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5.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4.xml" ContentType="application/vnd.openxmlformats-officedocument.drawing+xml"/>
  <Override PartName="/xl/comments6.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5.xml" ContentType="application/vnd.openxmlformats-officedocument.drawing+xml"/>
  <Override PartName="/xl/comments7.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https://oaknorth818-my.sharepoint.com/personal/kshitij_pathak_oaknorth_co_uk/Documents/Kshitij/ONB Work/6. Quarterly Provisions/1. Trading/2. June 2022/Workings/"/>
    </mc:Choice>
  </mc:AlternateContent>
  <xr:revisionPtr revIDLastSave="16" documentId="13_ncr:1_{8FC92B1E-6E0E-4101-A42B-1306BCF6A245}" xr6:coauthVersionLast="47" xr6:coauthVersionMax="47" xr10:uidLastSave="{8FDD98C4-C011-49B9-B0AD-968CFBA0443F}"/>
  <bookViews>
    <workbookView xWindow="-120" yWindow="-120" windowWidth="20730" windowHeight="11160" tabRatio="953" firstSheet="2" activeTab="2" xr2:uid="{00000000-000D-0000-FFFF-FFFF00000000}"/>
  </bookViews>
  <sheets>
    <sheet name="Results_Summary" sheetId="29" state="hidden" r:id="rId1"/>
    <sheet name="Qtrlycal-newloans" sheetId="67" state="hidden" r:id="rId2"/>
    <sheet name="Index" sheetId="52" r:id="rId3"/>
    <sheet name="Data Summary" sheetId="38" r:id="rId4"/>
    <sheet name="Input Baseline" sheetId="51" state="hidden" r:id="rId5"/>
    <sheet name="Input 90% Downside" sheetId="53" state="hidden" r:id="rId6"/>
    <sheet name="Input 96% Downside" sheetId="54" state="hidden" r:id="rId7"/>
    <sheet name="Output Baseline" sheetId="50" state="hidden" r:id="rId8"/>
    <sheet name="Output 90% Downside" sheetId="55" state="hidden" r:id="rId9"/>
    <sheet name="Output 96% Downside" sheetId="56" state="hidden" r:id="rId10"/>
    <sheet name="Ref-Data" sheetId="4" r:id="rId11"/>
    <sheet name="Model Output-LoanNameUpdate" sheetId="23" state="hidden" r:id="rId12"/>
    <sheet name="Model Output_TTC" sheetId="65" state="hidden" r:id="rId13"/>
    <sheet name="MacroPD-Cal" sheetId="16" r:id="rId14"/>
    <sheet name="Stage 2 loans" sheetId="66" state="hidden" r:id="rId15"/>
    <sheet name="Updated Ncino PD" sheetId="36" state="hidden" r:id="rId16"/>
    <sheet name="Loan Book Summary" sheetId="42" state="hidden" r:id="rId17"/>
    <sheet name="MacroAssumptions" sheetId="21" state="hidden" r:id="rId18"/>
    <sheet name="Input PD LGD" sheetId="44" r:id="rId19"/>
    <sheet name="Code Results" sheetId="39" r:id="rId20"/>
    <sheet name="Prov Code output" sheetId="64" state="hidden" r:id="rId21"/>
    <sheet name="Reference_Rate_Repricing_Report" sheetId="47" state="hidden" r:id="rId22"/>
    <sheet name="Adjustment Factor" sheetId="48" state="hidden" r:id="rId23"/>
    <sheet name="Cashflow-Provisions" sheetId="6" state="hidden" r:id="rId24"/>
    <sheet name="Mambu Name" sheetId="40" state="hidden" r:id="rId25"/>
    <sheet name="inputs" sheetId="27" state="hidden" r:id="rId26"/>
    <sheet name="LGD Data" sheetId="49" state="hidden" r:id="rId27"/>
    <sheet name="Scen-Calculations &gt;&gt;" sheetId="31" state="hidden" r:id="rId28"/>
    <sheet name="Baseline" sheetId="59" state="hidden" r:id="rId29"/>
    <sheet name="Adv" sheetId="63" state="hidden" r:id="rId30"/>
    <sheet name="SevAdv" sheetId="62" state="hidden" r:id="rId31"/>
    <sheet name="Historical Data" sheetId="24" state="hidden" r:id="rId32"/>
    <sheet name="Prov-Calculations &gt;&gt;" sheetId="34" state="hidden" r:id="rId33"/>
    <sheet name="Others &gt;&gt;" sheetId="35" state="hidden" r:id="rId34"/>
    <sheet name="Weighted PD" sheetId="37" state="hidden" r:id="rId35"/>
    <sheet name="Scenario Data &gt;&gt;" sheetId="30" state="hidden" r:id="rId36"/>
    <sheet name="HPICalc" sheetId="26" state="hidden" r:id="rId37"/>
    <sheet name="Summary - PD" sheetId="2" state="hidden" r:id="rId38"/>
    <sheet name="Important" sheetId="3" state="hidden" r:id="rId39"/>
    <sheet name="Pro_analysis" sheetId="12" state="hidden" r:id="rId40"/>
    <sheet name="Qual-Mapping" sheetId="8" state="hidden" r:id="rId41"/>
    <sheet name="Qual_data" sheetId="9" state="hidden" r:id="rId42"/>
  </sheets>
  <externalReferences>
    <externalReference r:id="rId43"/>
    <externalReference r:id="rId44"/>
  </externalReferences>
  <definedNames>
    <definedName name="_xlnm._FilterDatabase" localSheetId="22" hidden="1">'Adjustment Factor'!$A$1:$G$115</definedName>
    <definedName name="_xlnm._FilterDatabase" localSheetId="23" hidden="1">'Cashflow-Provisions'!$A$1:$AC$403</definedName>
    <definedName name="_xlnm._FilterDatabase" localSheetId="19" hidden="1">'Code Results'!$A$1:$G$120</definedName>
    <definedName name="_xlnm._FilterDatabase" localSheetId="3" hidden="1">'Data Summary'!$A$2:$T$121</definedName>
    <definedName name="_xlnm._FilterDatabase" localSheetId="5" hidden="1">'Input 90% Downside'!$A$1:$AA$61</definedName>
    <definedName name="_xlnm._FilterDatabase" localSheetId="6" hidden="1">'Input 96% Downside'!$A$1:$AA$61</definedName>
    <definedName name="_xlnm._FilterDatabase" localSheetId="4" hidden="1">'Input Baseline'!$A$1:$AA$61</definedName>
    <definedName name="_xlnm._FilterDatabase" localSheetId="18" hidden="1">'Input PD LGD'!$A$1:$N$120</definedName>
    <definedName name="_xlnm._FilterDatabase" localSheetId="26" hidden="1">'LGD Data'!$A$1:$E$120</definedName>
    <definedName name="_xlnm._FilterDatabase" localSheetId="16" hidden="1">'Loan Book Summary'!$A$1:$AL$654</definedName>
    <definedName name="_xlnm._FilterDatabase" localSheetId="13" hidden="1">'MacroPD-Cal'!$A$1:$R$120</definedName>
    <definedName name="_xlnm._FilterDatabase" localSheetId="12" hidden="1">'Model Output_TTC'!$A$1:$Z$120</definedName>
    <definedName name="_xlnm._FilterDatabase" localSheetId="11" hidden="1">'Model Output-LoanNameUpdate'!$A$2:$U$62</definedName>
    <definedName name="_xlnm._FilterDatabase" localSheetId="8" hidden="1">'Output 90% Downside'!$A$1:$CW$61</definedName>
    <definedName name="_xlnm._FilterDatabase" localSheetId="9" hidden="1">'Output 96% Downside'!$A$1:$CW$61</definedName>
    <definedName name="_xlnm._FilterDatabase" localSheetId="7" hidden="1">'Output Baseline'!$A$1:$CW$61</definedName>
    <definedName name="_xlnm._FilterDatabase" localSheetId="39" hidden="1">Pro_analysis!$A$1:$T$65</definedName>
    <definedName name="_xlnm._FilterDatabase" localSheetId="20" hidden="1">'Prov Code output'!$A$1:$AM$120</definedName>
    <definedName name="_xlnm._FilterDatabase" localSheetId="1" hidden="1">'Qtrlycal-newloans'!$A$1:$M$82</definedName>
    <definedName name="_xlnm._FilterDatabase" localSheetId="41" hidden="1">Qual_data!$A$1:$W$49</definedName>
    <definedName name="_xlnm._FilterDatabase" localSheetId="10" hidden="1">'Ref-Data'!$AD$1:$AD$120</definedName>
    <definedName name="_xlnm._FilterDatabase" localSheetId="21" hidden="1">Reference_Rate_Repricing_Report!$A$1:$R$752</definedName>
    <definedName name="_xlnm._FilterDatabase" localSheetId="15" hidden="1">'Updated Ncino PD'!$U$1:$V$80</definedName>
    <definedName name="_xlnm._FilterDatabase" localSheetId="34" hidden="1">'Weighted PD'!$A$1:$F$89</definedName>
    <definedName name="a" localSheetId="39">#REF!</definedName>
    <definedName name="Corp_Access_to_Capital" localSheetId="22">#REF!</definedName>
    <definedName name="Corp_Access_to_Capital" localSheetId="29">#REF!</definedName>
    <definedName name="Corp_Access_to_Capital" localSheetId="28">#REF!</definedName>
    <definedName name="Corp_Access_to_Capital" localSheetId="12">#REF!</definedName>
    <definedName name="Corp_Access_to_Capital" localSheetId="21">#REF!</definedName>
    <definedName name="Corp_Access_to_Capital" localSheetId="30">#REF!</definedName>
    <definedName name="Corp_Access_to_Capital">#REF!</definedName>
    <definedName name="Corp_Cash_to_Debt" localSheetId="22">#REF!</definedName>
    <definedName name="Corp_Cash_to_Debt" localSheetId="29">#REF!</definedName>
    <definedName name="Corp_Cash_to_Debt" localSheetId="28">#REF!</definedName>
    <definedName name="Corp_Cash_to_Debt" localSheetId="12">#REF!</definedName>
    <definedName name="Corp_Cash_to_Debt" localSheetId="21">#REF!</definedName>
    <definedName name="Corp_Cash_to_Debt" localSheetId="30">#REF!</definedName>
    <definedName name="Corp_Cash_to_Debt">#REF!</definedName>
    <definedName name="Corp_FS_Type" localSheetId="22">#REF!</definedName>
    <definedName name="Corp_FS_Type" localSheetId="29">#REF!</definedName>
    <definedName name="Corp_FS_Type" localSheetId="28">#REF!</definedName>
    <definedName name="Corp_FS_Type" localSheetId="12">#REF!</definedName>
    <definedName name="Corp_FS_Type" localSheetId="21">#REF!</definedName>
    <definedName name="Corp_FS_Type" localSheetId="30">#REF!</definedName>
    <definedName name="Corp_FS_Type">#REF!</definedName>
    <definedName name="Corp_Legal" localSheetId="22">#REF!</definedName>
    <definedName name="Corp_Legal" localSheetId="29">#REF!</definedName>
    <definedName name="Corp_Legal" localSheetId="28">#REF!</definedName>
    <definedName name="Corp_Legal" localSheetId="12">#REF!</definedName>
    <definedName name="Corp_Legal" localSheetId="21">#REF!</definedName>
    <definedName name="Corp_Legal" localSheetId="30">#REF!</definedName>
    <definedName name="Corp_Legal">#REF!</definedName>
    <definedName name="Corp_Liab_to_TNW" localSheetId="22">#REF!</definedName>
    <definedName name="Corp_Liab_to_TNW" localSheetId="29">#REF!</definedName>
    <definedName name="Corp_Liab_to_TNW" localSheetId="28">#REF!</definedName>
    <definedName name="Corp_Liab_to_TNW" localSheetId="12">#REF!</definedName>
    <definedName name="Corp_Liab_to_TNW" localSheetId="21">#REF!</definedName>
    <definedName name="Corp_Liab_to_TNW" localSheetId="30">#REF!</definedName>
    <definedName name="Corp_Liab_to_TNW">#REF!</definedName>
    <definedName name="Corp_PD" localSheetId="22">#REF!</definedName>
    <definedName name="Corp_PD" localSheetId="29">#REF!</definedName>
    <definedName name="Corp_PD" localSheetId="28">#REF!</definedName>
    <definedName name="Corp_PD" localSheetId="12">#REF!</definedName>
    <definedName name="Corp_PD" localSheetId="21">#REF!</definedName>
    <definedName name="Corp_PD" localSheetId="30">#REF!</definedName>
    <definedName name="Corp_PD">#REF!</definedName>
    <definedName name="Corp_Rating" localSheetId="22">#REF!</definedName>
    <definedName name="Corp_Rating" localSheetId="29">#REF!</definedName>
    <definedName name="Corp_Rating" localSheetId="28">#REF!</definedName>
    <definedName name="Corp_Rating" localSheetId="12">#REF!</definedName>
    <definedName name="Corp_Rating" localSheetId="21">#REF!</definedName>
    <definedName name="Corp_Rating" localSheetId="30">#REF!</definedName>
    <definedName name="Corp_Rating">#REF!</definedName>
    <definedName name="Cov_Compliance_Certificate" localSheetId="22">#REF!</definedName>
    <definedName name="Cov_Compliance_Certificate" localSheetId="29">#REF!</definedName>
    <definedName name="Cov_Compliance_Certificate" localSheetId="28">#REF!</definedName>
    <definedName name="Cov_Compliance_Certificate" localSheetId="12">#REF!</definedName>
    <definedName name="Cov_Compliance_Certificate" localSheetId="21">#REF!</definedName>
    <definedName name="Cov_Compliance_Certificate" localSheetId="30">#REF!</definedName>
    <definedName name="Cov_Compliance_Certificate">#REF!</definedName>
    <definedName name="Cov_Compliance_Monitoring" localSheetId="22">#REF!</definedName>
    <definedName name="Cov_Compliance_Monitoring" localSheetId="29">#REF!</definedName>
    <definedName name="Cov_Compliance_Monitoring" localSheetId="28">#REF!</definedName>
    <definedName name="Cov_Compliance_Monitoring" localSheetId="12">#REF!</definedName>
    <definedName name="Cov_Compliance_Monitoring" localSheetId="21">#REF!</definedName>
    <definedName name="Cov_Compliance_Monitoring" localSheetId="30">#REF!</definedName>
    <definedName name="Cov_Compliance_Monitoring">#REF!</definedName>
    <definedName name="Cov_Max_Leverage" localSheetId="22">#REF!</definedName>
    <definedName name="Cov_Max_Leverage" localSheetId="29">#REF!</definedName>
    <definedName name="Cov_Max_Leverage" localSheetId="28">#REF!</definedName>
    <definedName name="Cov_Max_Leverage" localSheetId="12">#REF!</definedName>
    <definedName name="Cov_Max_Leverage" localSheetId="21">#REF!</definedName>
    <definedName name="Cov_Max_Leverage" localSheetId="30">#REF!</definedName>
    <definedName name="Cov_Max_Leverage">#REF!</definedName>
    <definedName name="Cov_Min_DSC" localSheetId="22">#REF!</definedName>
    <definedName name="Cov_Min_DSC" localSheetId="29">#REF!</definedName>
    <definedName name="Cov_Min_DSC" localSheetId="28">#REF!</definedName>
    <definedName name="Cov_Min_DSC" localSheetId="12">#REF!</definedName>
    <definedName name="Cov_Min_DSC" localSheetId="21">#REF!</definedName>
    <definedName name="Cov_Min_DSC" localSheetId="30">#REF!</definedName>
    <definedName name="Cov_Min_DSC">#REF!</definedName>
    <definedName name="Cov_Min_Liquidity" localSheetId="22">#REF!</definedName>
    <definedName name="Cov_Min_Liquidity" localSheetId="29">#REF!</definedName>
    <definedName name="Cov_Min_Liquidity" localSheetId="28">#REF!</definedName>
    <definedName name="Cov_Min_Liquidity" localSheetId="12">#REF!</definedName>
    <definedName name="Cov_Min_Liquidity" localSheetId="21">#REF!</definedName>
    <definedName name="Cov_Min_Liquidity" localSheetId="30">#REF!</definedName>
    <definedName name="Cov_Min_Liquidity">#REF!</definedName>
    <definedName name="Cov_Min_Net_Worth" localSheetId="22">#REF!</definedName>
    <definedName name="Cov_Min_Net_Worth" localSheetId="29">#REF!</definedName>
    <definedName name="Cov_Min_Net_Worth" localSheetId="28">#REF!</definedName>
    <definedName name="Cov_Min_Net_Worth" localSheetId="12">#REF!</definedName>
    <definedName name="Cov_Min_Net_Worth" localSheetId="21">#REF!</definedName>
    <definedName name="Cov_Min_Net_Worth" localSheetId="30">#REF!</definedName>
    <definedName name="Cov_Min_Net_Worth">#REF!</definedName>
    <definedName name="Cov_Reporting_Frequency" localSheetId="22">#REF!</definedName>
    <definedName name="Cov_Reporting_Frequency" localSheetId="29">#REF!</definedName>
    <definedName name="Cov_Reporting_Frequency" localSheetId="28">#REF!</definedName>
    <definedName name="Cov_Reporting_Frequency" localSheetId="12">#REF!</definedName>
    <definedName name="Cov_Reporting_Frequency" localSheetId="21">#REF!</definedName>
    <definedName name="Cov_Reporting_Frequency" localSheetId="30">#REF!</definedName>
    <definedName name="Cov_Reporting_Frequency">#REF!</definedName>
    <definedName name="FirmName" localSheetId="39">#REF!</definedName>
    <definedName name="FSO">[1]PD_Parameters!$E$3:$E$4</definedName>
    <definedName name="Gov_Entity" localSheetId="22">#REF!</definedName>
    <definedName name="Gov_Entity" localSheetId="29">#REF!</definedName>
    <definedName name="Gov_Entity" localSheetId="28">#REF!</definedName>
    <definedName name="Gov_Entity" localSheetId="12">#REF!</definedName>
    <definedName name="Gov_Entity" localSheetId="21">#REF!</definedName>
    <definedName name="Gov_Entity" localSheetId="30">#REF!</definedName>
    <definedName name="Gov_Entity">#REF!</definedName>
    <definedName name="Gov_Rating" localSheetId="22">#REF!</definedName>
    <definedName name="Gov_Rating" localSheetId="29">#REF!</definedName>
    <definedName name="Gov_Rating" localSheetId="28">#REF!</definedName>
    <definedName name="Gov_Rating" localSheetId="12">#REF!</definedName>
    <definedName name="Gov_Rating" localSheetId="21">#REF!</definedName>
    <definedName name="Gov_Rating" localSheetId="30">#REF!</definedName>
    <definedName name="Gov_Rating">#REF!</definedName>
    <definedName name="IQ_ADDIN" hidden="1">"AUTO"</definedName>
    <definedName name="IQ_CH" hidden="1">110000</definedName>
    <definedName name="IQ_CQ" hidden="1">5000</definedName>
    <definedName name="IQ_CY" hidden="1">10000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40459.5336574074</definedName>
    <definedName name="IQ_NTM" hidden="1">6000</definedName>
    <definedName name="IQ_TODAY" hidden="1">0</definedName>
    <definedName name="IQ_WEEK" hidden="1">50000</definedName>
    <definedName name="IQ_YTD" hidden="1">3000</definedName>
    <definedName name="IQ_YTDMONTH" hidden="1">130000</definedName>
    <definedName name="LGDBailout">[1]Lookups!$P$6:$P$8</definedName>
    <definedName name="LGDBankruptcy">[1]Lookups!$N$6:$N$8</definedName>
    <definedName name="LGDCapitalStructure">[1]Lookups!$K$6:$K$8</definedName>
    <definedName name="LGDCountryList">'[1]Private Country Mappings'!$H$6:$H$110</definedName>
    <definedName name="LGDDebtSeniority">[1]Lookups!$H$6:$H$19</definedName>
    <definedName name="LGDIndustryClassification">[1]Lookups!$F$6:$F$10</definedName>
    <definedName name="LGDPrivatePublic" localSheetId="22">#REF!</definedName>
    <definedName name="LGDPrivatePublic" localSheetId="29">#REF!</definedName>
    <definedName name="LGDPrivatePublic" localSheetId="28">#REF!</definedName>
    <definedName name="LGDPrivatePublic" localSheetId="12">#REF!</definedName>
    <definedName name="LGDPrivatePublic" localSheetId="21">#REF!</definedName>
    <definedName name="LGDPrivatePublic" localSheetId="30">#REF!</definedName>
    <definedName name="LGDPrivatePublic">#REF!</definedName>
    <definedName name="LGDRecoveryType">[1]Lookups!$R$6:$R$7</definedName>
    <definedName name="LGDRiskDeterminantType" localSheetId="22">#REF!</definedName>
    <definedName name="LGDRiskDeterminantType" localSheetId="29">#REF!</definedName>
    <definedName name="LGDRiskDeterminantType" localSheetId="28">#REF!</definedName>
    <definedName name="LGDRiskDeterminantType" localSheetId="12">#REF!</definedName>
    <definedName name="LGDRiskDeterminantType" localSheetId="21">#REF!</definedName>
    <definedName name="LGDRiskDeterminantType" localSheetId="30">#REF!</definedName>
    <definedName name="LGDRiskDeterminantType">#REF!</definedName>
    <definedName name="list">[2]Assumptions!$N$4:$N$7</definedName>
    <definedName name="LossCalcCountries" localSheetId="22">#REF!</definedName>
    <definedName name="LossCalcCountries" localSheetId="29">#REF!</definedName>
    <definedName name="LossCalcCountries" localSheetId="28">#REF!</definedName>
    <definedName name="LossCalcCountries" localSheetId="12">#REF!</definedName>
    <definedName name="LossCalcCountries" localSheetId="21">#REF!</definedName>
    <definedName name="LossCalcCountries" localSheetId="30">#REF!</definedName>
    <definedName name="LossCalcCountries">#REF!</definedName>
    <definedName name="na">[2]Assumptions!$N$3</definedName>
    <definedName name="Pers_Adj_NW_to_Liabilities" localSheetId="22">#REF!</definedName>
    <definedName name="Pers_Adj_NW_to_Liabilities" localSheetId="29">#REF!</definedName>
    <definedName name="Pers_Adj_NW_to_Liabilities" localSheetId="28">#REF!</definedName>
    <definedName name="Pers_Adj_NW_to_Liabilities" localSheetId="12">#REF!</definedName>
    <definedName name="Pers_Adj_NW_to_Liabilities" localSheetId="21">#REF!</definedName>
    <definedName name="Pers_Adj_NW_to_Liabilities" localSheetId="30">#REF!</definedName>
    <definedName name="Pers_Adj_NW_to_Liabilities">#REF!</definedName>
    <definedName name="Pers_Cash_to_Debt" localSheetId="22">#REF!</definedName>
    <definedName name="Pers_Cash_to_Debt" localSheetId="29">#REF!</definedName>
    <definedName name="Pers_Cash_to_Debt" localSheetId="28">#REF!</definedName>
    <definedName name="Pers_Cash_to_Debt" localSheetId="12">#REF!</definedName>
    <definedName name="Pers_Cash_to_Debt" localSheetId="21">#REF!</definedName>
    <definedName name="Pers_Cash_to_Debt" localSheetId="30">#REF!</definedName>
    <definedName name="Pers_Cash_to_Debt">#REF!</definedName>
    <definedName name="Pers_Credit_Score" localSheetId="22">#REF!</definedName>
    <definedName name="Pers_Credit_Score" localSheetId="29">#REF!</definedName>
    <definedName name="Pers_Credit_Score" localSheetId="28">#REF!</definedName>
    <definedName name="Pers_Credit_Score" localSheetId="12">#REF!</definedName>
    <definedName name="Pers_Credit_Score" localSheetId="21">#REF!</definedName>
    <definedName name="Pers_Credit_Score" localSheetId="30">#REF!</definedName>
    <definedName name="Pers_Credit_Score">#REF!</definedName>
    <definedName name="Pers_Debt_to_Income1" localSheetId="22">#REF!</definedName>
    <definedName name="Pers_Debt_to_Income1" localSheetId="29">#REF!</definedName>
    <definedName name="Pers_Debt_to_Income1" localSheetId="28">#REF!</definedName>
    <definedName name="Pers_Debt_to_Income1" localSheetId="12">#REF!</definedName>
    <definedName name="Pers_Debt_to_Income1" localSheetId="21">#REF!</definedName>
    <definedName name="Pers_Debt_to_Income1" localSheetId="30">#REF!</definedName>
    <definedName name="Pers_Debt_to_Income1">#REF!</definedName>
    <definedName name="Pers_FS_Type" localSheetId="22">#REF!</definedName>
    <definedName name="Pers_FS_Type" localSheetId="29">#REF!</definedName>
    <definedName name="Pers_FS_Type" localSheetId="28">#REF!</definedName>
    <definedName name="Pers_FS_Type" localSheetId="12">#REF!</definedName>
    <definedName name="Pers_FS_Type" localSheetId="21">#REF!</definedName>
    <definedName name="Pers_FS_Type" localSheetId="30">#REF!</definedName>
    <definedName name="Pers_FS_Type">#REF!</definedName>
    <definedName name="Pers_Income_Verification" localSheetId="22">#REF!</definedName>
    <definedName name="Pers_Income_Verification" localSheetId="29">#REF!</definedName>
    <definedName name="Pers_Income_Verification" localSheetId="28">#REF!</definedName>
    <definedName name="Pers_Income_Verification" localSheetId="12">#REF!</definedName>
    <definedName name="Pers_Income_Verification" localSheetId="21">#REF!</definedName>
    <definedName name="Pers_Income_Verification" localSheetId="30">#REF!</definedName>
    <definedName name="Pers_Income_Verification">#REF!</definedName>
    <definedName name="Pers_Legal" localSheetId="22">#REF!</definedName>
    <definedName name="Pers_Legal" localSheetId="29">#REF!</definedName>
    <definedName name="Pers_Legal" localSheetId="28">#REF!</definedName>
    <definedName name="Pers_Legal" localSheetId="12">#REF!</definedName>
    <definedName name="Pers_Legal" localSheetId="21">#REF!</definedName>
    <definedName name="Pers_Legal" localSheetId="30">#REF!</definedName>
    <definedName name="Pers_Legal">#REF!</definedName>
    <definedName name="_xlnm.Print_Area" localSheetId="13">'MacroPD-Cal'!$A$1:$CP$152</definedName>
    <definedName name="Property_Development" localSheetId="39">#REF!</definedName>
    <definedName name="Property_Investment" localSheetId="39">#REF!</definedName>
    <definedName name="Property1Development" localSheetId="39">#REF!</definedName>
    <definedName name="Property1Investment" localSheetId="39">#REF!</definedName>
    <definedName name="s" localSheetId="39">#REF!</definedName>
  </definedName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61" i="56" l="1"/>
  <c r="A60" i="56"/>
  <c r="A59" i="56"/>
  <c r="A58" i="56"/>
  <c r="A57" i="56"/>
  <c r="A56" i="56"/>
  <c r="A55" i="56"/>
  <c r="A54" i="56"/>
  <c r="A53" i="56"/>
  <c r="A52" i="56"/>
  <c r="A51" i="56"/>
  <c r="A50" i="56"/>
  <c r="A49" i="56"/>
  <c r="A48" i="56"/>
  <c r="A47" i="56"/>
  <c r="A46" i="56"/>
  <c r="A45" i="56"/>
  <c r="A44" i="56"/>
  <c r="A43" i="56"/>
  <c r="A42" i="56"/>
  <c r="A41" i="56"/>
  <c r="A40" i="56"/>
  <c r="A39" i="56"/>
  <c r="A38" i="56"/>
  <c r="A37" i="56"/>
  <c r="A36" i="56"/>
  <c r="A35" i="56"/>
  <c r="A34" i="56"/>
  <c r="A33" i="56"/>
  <c r="A32" i="56"/>
  <c r="A31" i="56"/>
  <c r="A30" i="56"/>
  <c r="A29" i="56"/>
  <c r="A28" i="56"/>
  <c r="A27" i="56"/>
  <c r="A26" i="56"/>
  <c r="A25" i="56"/>
  <c r="A24" i="56"/>
  <c r="A23" i="56"/>
  <c r="A22" i="56"/>
  <c r="A21" i="56"/>
  <c r="A20" i="56"/>
  <c r="A19" i="56"/>
  <c r="A18" i="56"/>
  <c r="A17" i="56"/>
  <c r="A16" i="56"/>
  <c r="A15" i="56"/>
  <c r="A14" i="56"/>
  <c r="A13" i="56"/>
  <c r="A12" i="56"/>
  <c r="A11" i="56"/>
  <c r="A10" i="56"/>
  <c r="A9" i="56"/>
  <c r="A8" i="56"/>
  <c r="A7" i="56"/>
  <c r="A6" i="56"/>
  <c r="A5" i="56"/>
  <c r="A4" i="56"/>
  <c r="A3" i="56"/>
  <c r="A2" i="56"/>
  <c r="A61" i="55"/>
  <c r="A60" i="55"/>
  <c r="A59" i="55"/>
  <c r="A58" i="55"/>
  <c r="A57" i="55"/>
  <c r="A56" i="55"/>
  <c r="A55" i="55"/>
  <c r="A54" i="55"/>
  <c r="A53" i="55"/>
  <c r="A52" i="55"/>
  <c r="A51" i="55"/>
  <c r="A50" i="55"/>
  <c r="A49" i="55"/>
  <c r="A48" i="55"/>
  <c r="A47" i="55"/>
  <c r="A46" i="55"/>
  <c r="A45" i="55"/>
  <c r="A44" i="55"/>
  <c r="A43" i="55"/>
  <c r="A42" i="55"/>
  <c r="A41" i="55"/>
  <c r="A40" i="55"/>
  <c r="A39" i="55"/>
  <c r="A38" i="55"/>
  <c r="A37" i="55"/>
  <c r="A36" i="55"/>
  <c r="A35" i="55"/>
  <c r="A34" i="55"/>
  <c r="A33" i="55"/>
  <c r="A32" i="55"/>
  <c r="A31" i="55"/>
  <c r="A30" i="55"/>
  <c r="A29" i="55"/>
  <c r="A28" i="55"/>
  <c r="A27" i="55"/>
  <c r="A26" i="55"/>
  <c r="A25" i="55"/>
  <c r="A24" i="55"/>
  <c r="A23" i="55"/>
  <c r="A22" i="55"/>
  <c r="A21" i="55"/>
  <c r="A20" i="55"/>
  <c r="A19" i="55"/>
  <c r="A18" i="55"/>
  <c r="A17" i="55"/>
  <c r="A16" i="55"/>
  <c r="A15" i="55"/>
  <c r="A14" i="55"/>
  <c r="A13" i="55"/>
  <c r="A12" i="55"/>
  <c r="A11" i="55"/>
  <c r="A10" i="55"/>
  <c r="A9" i="55"/>
  <c r="A8" i="55"/>
  <c r="A7" i="55"/>
  <c r="A6" i="55"/>
  <c r="A5" i="55"/>
  <c r="A4" i="55"/>
  <c r="A3" i="55"/>
  <c r="A2" i="55"/>
  <c r="A3" i="50"/>
  <c r="A4" i="50"/>
  <c r="A5" i="50"/>
  <c r="A6" i="50"/>
  <c r="A7" i="50"/>
  <c r="A8" i="50"/>
  <c r="A9" i="50"/>
  <c r="A10" i="50"/>
  <c r="A11" i="50"/>
  <c r="A12" i="50"/>
  <c r="A13" i="50"/>
  <c r="A14" i="50"/>
  <c r="A15" i="50"/>
  <c r="A16" i="50"/>
  <c r="A17" i="50"/>
  <c r="A18" i="50"/>
  <c r="A19" i="50"/>
  <c r="A20" i="50"/>
  <c r="A21" i="50"/>
  <c r="A22" i="50"/>
  <c r="A23" i="50"/>
  <c r="A24" i="50"/>
  <c r="A25" i="50"/>
  <c r="A26" i="50"/>
  <c r="A27" i="50"/>
  <c r="A28" i="50"/>
  <c r="A29" i="50"/>
  <c r="A30" i="50"/>
  <c r="A31" i="50"/>
  <c r="A32" i="50"/>
  <c r="A33" i="50"/>
  <c r="A34" i="50"/>
  <c r="A35" i="50"/>
  <c r="A36" i="50"/>
  <c r="A37" i="50"/>
  <c r="A38" i="50"/>
  <c r="A39" i="50"/>
  <c r="A40" i="50"/>
  <c r="A41" i="50"/>
  <c r="A42" i="50"/>
  <c r="A43" i="50"/>
  <c r="A44" i="50"/>
  <c r="A45" i="50"/>
  <c r="A46" i="50"/>
  <c r="A47" i="50"/>
  <c r="A48" i="50"/>
  <c r="A49" i="50"/>
  <c r="A50" i="50"/>
  <c r="A51" i="50"/>
  <c r="A52" i="50"/>
  <c r="A53" i="50"/>
  <c r="A54" i="50"/>
  <c r="A55" i="50"/>
  <c r="A56" i="50"/>
  <c r="A57" i="50"/>
  <c r="A58" i="50"/>
  <c r="A59" i="50"/>
  <c r="A60" i="50"/>
  <c r="A61" i="50"/>
  <c r="A2" i="50"/>
  <c r="F50" i="6" l="1"/>
  <c r="G50" i="6"/>
  <c r="J50" i="6"/>
  <c r="AA50" i="6"/>
  <c r="F51" i="6"/>
  <c r="G51" i="6"/>
  <c r="J51" i="6"/>
  <c r="AA51" i="6"/>
  <c r="F52" i="6"/>
  <c r="G52" i="6"/>
  <c r="J52" i="6"/>
  <c r="AA52" i="6"/>
  <c r="F53" i="6"/>
  <c r="G53" i="6"/>
  <c r="J53" i="6"/>
  <c r="AA53" i="6"/>
  <c r="F54" i="6"/>
  <c r="G54" i="6"/>
  <c r="J54" i="6"/>
  <c r="AA54" i="6"/>
  <c r="F55" i="6"/>
  <c r="G55" i="6"/>
  <c r="J55" i="6"/>
  <c r="AA55" i="6"/>
  <c r="F56" i="6"/>
  <c r="G56" i="6"/>
  <c r="J56" i="6"/>
  <c r="AA56" i="6"/>
  <c r="F57" i="6"/>
  <c r="G57" i="6"/>
  <c r="J57" i="6"/>
  <c r="AA57" i="6"/>
  <c r="F58" i="6"/>
  <c r="G58" i="6"/>
  <c r="J58" i="6"/>
  <c r="AA58" i="6"/>
  <c r="F59" i="6"/>
  <c r="G59" i="6"/>
  <c r="J59" i="6"/>
  <c r="AA59" i="6"/>
  <c r="F60" i="6"/>
  <c r="G60" i="6"/>
  <c r="J60" i="6"/>
  <c r="AA60" i="6"/>
  <c r="F61" i="6"/>
  <c r="G61" i="6"/>
  <c r="J61" i="6"/>
  <c r="AA61" i="6"/>
  <c r="F62" i="6"/>
  <c r="G62" i="6"/>
  <c r="J62" i="6"/>
  <c r="AA62" i="6"/>
  <c r="F63" i="6"/>
  <c r="G63" i="6"/>
  <c r="J63" i="6"/>
  <c r="AA63" i="6"/>
  <c r="F64" i="6"/>
  <c r="G64" i="6"/>
  <c r="J64" i="6"/>
  <c r="AA64" i="6"/>
  <c r="F65" i="6"/>
  <c r="G65" i="6"/>
  <c r="J65" i="6"/>
  <c r="AA65" i="6"/>
  <c r="F66" i="6"/>
  <c r="G66" i="6"/>
  <c r="J66" i="6"/>
  <c r="AA66" i="6"/>
  <c r="F67" i="6"/>
  <c r="G67" i="6"/>
  <c r="J67" i="6"/>
  <c r="AA67" i="6"/>
  <c r="F68" i="6"/>
  <c r="G68" i="6"/>
  <c r="J68" i="6"/>
  <c r="AA68" i="6"/>
  <c r="F69" i="6"/>
  <c r="G69" i="6"/>
  <c r="J69" i="6"/>
  <c r="AA69" i="6"/>
  <c r="F70" i="6"/>
  <c r="G70" i="6"/>
  <c r="J70" i="6"/>
  <c r="AA70" i="6"/>
  <c r="F71" i="6"/>
  <c r="G71" i="6"/>
  <c r="J71" i="6"/>
  <c r="AA71" i="6"/>
  <c r="F72" i="6"/>
  <c r="G72" i="6"/>
  <c r="J72" i="6"/>
  <c r="AA72" i="6"/>
  <c r="F73" i="6"/>
  <c r="G73" i="6"/>
  <c r="J73" i="6"/>
  <c r="AA73" i="6"/>
  <c r="F74" i="6"/>
  <c r="G74" i="6"/>
  <c r="J74" i="6"/>
  <c r="AA74" i="6"/>
  <c r="F75" i="6"/>
  <c r="G75" i="6"/>
  <c r="J75" i="6"/>
  <c r="AA75" i="6"/>
  <c r="F76" i="6"/>
  <c r="G76" i="6"/>
  <c r="J76" i="6"/>
  <c r="AA76" i="6"/>
  <c r="F77" i="6"/>
  <c r="G77" i="6"/>
  <c r="J77" i="6"/>
  <c r="AA77" i="6"/>
  <c r="F78" i="6"/>
  <c r="G78" i="6"/>
  <c r="J78" i="6"/>
  <c r="AA78" i="6"/>
  <c r="F79" i="6"/>
  <c r="G79" i="6"/>
  <c r="J79" i="6"/>
  <c r="AA79" i="6"/>
  <c r="F80" i="6"/>
  <c r="G80" i="6"/>
  <c r="J80" i="6"/>
  <c r="AA80" i="6"/>
  <c r="F81" i="6"/>
  <c r="G81" i="6"/>
  <c r="J81" i="6"/>
  <c r="AA81" i="6"/>
  <c r="F82" i="6"/>
  <c r="G82" i="6"/>
  <c r="J82" i="6"/>
  <c r="AA82" i="6"/>
  <c r="F83" i="6"/>
  <c r="G83" i="6"/>
  <c r="J83" i="6"/>
  <c r="AA83" i="6"/>
  <c r="F84" i="6"/>
  <c r="G84" i="6"/>
  <c r="J84" i="6"/>
  <c r="AA84" i="6"/>
  <c r="F85" i="6"/>
  <c r="G85" i="6"/>
  <c r="J85" i="6"/>
  <c r="AA85" i="6"/>
  <c r="F86" i="6"/>
  <c r="G86" i="6"/>
  <c r="J86" i="6"/>
  <c r="AA86" i="6"/>
  <c r="F87" i="6"/>
  <c r="G87" i="6"/>
  <c r="J87" i="6"/>
  <c r="AA87" i="6"/>
  <c r="F88" i="6"/>
  <c r="G88" i="6"/>
  <c r="J88" i="6"/>
  <c r="AA88" i="6"/>
  <c r="F89" i="6"/>
  <c r="G89" i="6"/>
  <c r="J89" i="6"/>
  <c r="AA89" i="6"/>
  <c r="F90" i="6"/>
  <c r="G90" i="6"/>
  <c r="J90" i="6"/>
  <c r="AA90" i="6"/>
  <c r="F91" i="6"/>
  <c r="G91" i="6"/>
  <c r="J91" i="6"/>
  <c r="AA91" i="6"/>
  <c r="F92" i="6"/>
  <c r="G92" i="6"/>
  <c r="J92" i="6"/>
  <c r="AA92" i="6"/>
  <c r="F93" i="6"/>
  <c r="G93" i="6"/>
  <c r="J93" i="6"/>
  <c r="AA93" i="6"/>
  <c r="F94" i="6"/>
  <c r="G94" i="6"/>
  <c r="J94" i="6"/>
  <c r="AA94" i="6"/>
  <c r="F95" i="6"/>
  <c r="G95" i="6"/>
  <c r="J95" i="6"/>
  <c r="AA95" i="6"/>
  <c r="F96" i="6"/>
  <c r="G96" i="6"/>
  <c r="J96" i="6"/>
  <c r="AA96" i="6"/>
  <c r="F97" i="6"/>
  <c r="G97" i="6"/>
  <c r="J97" i="6"/>
  <c r="AA97" i="6"/>
  <c r="F98" i="6"/>
  <c r="G98" i="6"/>
  <c r="J98" i="6"/>
  <c r="AA98" i="6"/>
  <c r="F99" i="6"/>
  <c r="G99" i="6"/>
  <c r="J99" i="6"/>
  <c r="AA99" i="6"/>
  <c r="F100" i="6"/>
  <c r="G100" i="6"/>
  <c r="J100" i="6"/>
  <c r="AA100" i="6"/>
  <c r="F101" i="6"/>
  <c r="G101" i="6"/>
  <c r="J101" i="6"/>
  <c r="AA101" i="6"/>
  <c r="F102" i="6"/>
  <c r="G102" i="6"/>
  <c r="J102" i="6"/>
  <c r="AA102" i="6"/>
  <c r="F103" i="6"/>
  <c r="G103" i="6"/>
  <c r="J103" i="6"/>
  <c r="AA103" i="6"/>
  <c r="C50" i="6"/>
  <c r="C51" i="6"/>
  <c r="H51" i="6" s="1"/>
  <c r="C52" i="6"/>
  <c r="C53" i="6"/>
  <c r="H53" i="6" s="1"/>
  <c r="C54" i="6"/>
  <c r="C55" i="6"/>
  <c r="H55" i="6" s="1"/>
  <c r="C56" i="6"/>
  <c r="C57" i="6"/>
  <c r="H57" i="6" s="1"/>
  <c r="C58" i="6"/>
  <c r="C59" i="6"/>
  <c r="H59" i="6" s="1"/>
  <c r="C60" i="6"/>
  <c r="C61" i="6"/>
  <c r="H61" i="6" s="1"/>
  <c r="C62" i="6"/>
  <c r="C63" i="6"/>
  <c r="H63" i="6" s="1"/>
  <c r="C64" i="6"/>
  <c r="C65" i="6"/>
  <c r="H65" i="6" s="1"/>
  <c r="C66" i="6"/>
  <c r="C67" i="6"/>
  <c r="H67" i="6" s="1"/>
  <c r="C68" i="6"/>
  <c r="C69" i="6"/>
  <c r="H69" i="6" s="1"/>
  <c r="C70" i="6"/>
  <c r="C71" i="6"/>
  <c r="H71" i="6" s="1"/>
  <c r="C72" i="6"/>
  <c r="C73" i="6"/>
  <c r="H73" i="6" s="1"/>
  <c r="C74" i="6"/>
  <c r="C75" i="6"/>
  <c r="H75" i="6" s="1"/>
  <c r="C76" i="6"/>
  <c r="C77" i="6"/>
  <c r="H77" i="6" s="1"/>
  <c r="C78" i="6"/>
  <c r="C79" i="6"/>
  <c r="H79" i="6" s="1"/>
  <c r="C80" i="6"/>
  <c r="C81" i="6"/>
  <c r="H81" i="6" s="1"/>
  <c r="C82" i="6"/>
  <c r="C83" i="6"/>
  <c r="H83" i="6" s="1"/>
  <c r="C84" i="6"/>
  <c r="C85" i="6"/>
  <c r="H85" i="6" s="1"/>
  <c r="C86" i="6"/>
  <c r="C87" i="6"/>
  <c r="H87" i="6" s="1"/>
  <c r="C88" i="6"/>
  <c r="C89" i="6"/>
  <c r="H89" i="6" s="1"/>
  <c r="C90" i="6"/>
  <c r="C91" i="6"/>
  <c r="H91" i="6" s="1"/>
  <c r="C92" i="6"/>
  <c r="C93" i="6"/>
  <c r="H93" i="6" s="1"/>
  <c r="C94" i="6"/>
  <c r="C95" i="6"/>
  <c r="H95" i="6" s="1"/>
  <c r="C96" i="6"/>
  <c r="C97" i="6"/>
  <c r="H97" i="6" s="1"/>
  <c r="C98" i="6"/>
  <c r="C99" i="6"/>
  <c r="H99" i="6" s="1"/>
  <c r="C100" i="6"/>
  <c r="C101" i="6"/>
  <c r="H101" i="6" s="1"/>
  <c r="C102" i="6"/>
  <c r="C103" i="6"/>
  <c r="H103" i="6" s="1"/>
  <c r="F9" i="6"/>
  <c r="G9" i="6"/>
  <c r="J9" i="6"/>
  <c r="AA9" i="6"/>
  <c r="F10" i="6"/>
  <c r="G10" i="6"/>
  <c r="J10" i="6"/>
  <c r="AA10" i="6"/>
  <c r="F11" i="6"/>
  <c r="G11" i="6"/>
  <c r="J11" i="6"/>
  <c r="AA11" i="6"/>
  <c r="F12" i="6"/>
  <c r="G12" i="6"/>
  <c r="J12" i="6"/>
  <c r="AA12" i="6"/>
  <c r="F13" i="6"/>
  <c r="G13" i="6"/>
  <c r="J13" i="6"/>
  <c r="AA13" i="6"/>
  <c r="F14" i="6"/>
  <c r="G14" i="6"/>
  <c r="J14" i="6"/>
  <c r="AA14" i="6"/>
  <c r="F15" i="6"/>
  <c r="G15" i="6"/>
  <c r="J15" i="6"/>
  <c r="AA15" i="6"/>
  <c r="F16" i="6"/>
  <c r="G16" i="6"/>
  <c r="J16" i="6"/>
  <c r="AA16" i="6"/>
  <c r="F17" i="6"/>
  <c r="G17" i="6"/>
  <c r="J17" i="6"/>
  <c r="AA17" i="6"/>
  <c r="F18" i="6"/>
  <c r="G18" i="6"/>
  <c r="J18" i="6"/>
  <c r="AA18" i="6"/>
  <c r="F19" i="6"/>
  <c r="G19" i="6"/>
  <c r="J19" i="6"/>
  <c r="AA19" i="6"/>
  <c r="F20" i="6"/>
  <c r="G20" i="6"/>
  <c r="J20" i="6"/>
  <c r="AA20" i="6"/>
  <c r="F21" i="6"/>
  <c r="G21" i="6"/>
  <c r="J21" i="6"/>
  <c r="AA21" i="6"/>
  <c r="F22" i="6"/>
  <c r="G22" i="6"/>
  <c r="J22" i="6"/>
  <c r="AA22" i="6"/>
  <c r="F23" i="6"/>
  <c r="G23" i="6"/>
  <c r="J23" i="6"/>
  <c r="AA23" i="6"/>
  <c r="F24" i="6"/>
  <c r="G24" i="6"/>
  <c r="J24" i="6"/>
  <c r="AA24" i="6"/>
  <c r="F25" i="6"/>
  <c r="G25" i="6"/>
  <c r="J25" i="6"/>
  <c r="AA25" i="6"/>
  <c r="F26" i="6"/>
  <c r="G26" i="6"/>
  <c r="J26" i="6"/>
  <c r="AA26" i="6"/>
  <c r="F27" i="6"/>
  <c r="G27" i="6"/>
  <c r="J27" i="6"/>
  <c r="AA27" i="6"/>
  <c r="F28" i="6"/>
  <c r="G28" i="6"/>
  <c r="J28" i="6"/>
  <c r="AA28" i="6"/>
  <c r="F29" i="6"/>
  <c r="G29" i="6"/>
  <c r="J29" i="6"/>
  <c r="AA29" i="6"/>
  <c r="F30" i="6"/>
  <c r="G30" i="6"/>
  <c r="J30" i="6"/>
  <c r="AA30" i="6"/>
  <c r="F31" i="6"/>
  <c r="G31" i="6"/>
  <c r="J31" i="6"/>
  <c r="AA31" i="6"/>
  <c r="F32" i="6"/>
  <c r="G32" i="6"/>
  <c r="J32" i="6"/>
  <c r="AA32" i="6"/>
  <c r="F33" i="6"/>
  <c r="G33" i="6"/>
  <c r="J33" i="6"/>
  <c r="AA33" i="6"/>
  <c r="F34" i="6"/>
  <c r="G34" i="6"/>
  <c r="J34" i="6"/>
  <c r="AA34" i="6"/>
  <c r="F35" i="6"/>
  <c r="G35" i="6"/>
  <c r="J35" i="6"/>
  <c r="AA35" i="6"/>
  <c r="F36" i="6"/>
  <c r="G36" i="6"/>
  <c r="J36" i="6"/>
  <c r="AA36" i="6"/>
  <c r="F37" i="6"/>
  <c r="G37" i="6"/>
  <c r="J37" i="6"/>
  <c r="AA37" i="6"/>
  <c r="F38" i="6"/>
  <c r="G38" i="6"/>
  <c r="J38" i="6"/>
  <c r="AA38" i="6"/>
  <c r="F39" i="6"/>
  <c r="G39" i="6"/>
  <c r="J39" i="6"/>
  <c r="AA39" i="6"/>
  <c r="F40" i="6"/>
  <c r="G40" i="6"/>
  <c r="J40" i="6"/>
  <c r="AA40" i="6"/>
  <c r="F41" i="6"/>
  <c r="G41" i="6"/>
  <c r="J41" i="6"/>
  <c r="AA41" i="6"/>
  <c r="F42" i="6"/>
  <c r="G42" i="6"/>
  <c r="J42" i="6"/>
  <c r="AA42" i="6"/>
  <c r="F43" i="6"/>
  <c r="G43" i="6"/>
  <c r="J43" i="6"/>
  <c r="AA43" i="6"/>
  <c r="F44" i="6"/>
  <c r="G44" i="6"/>
  <c r="J44" i="6"/>
  <c r="AA44" i="6"/>
  <c r="F45" i="6"/>
  <c r="G45" i="6"/>
  <c r="J45" i="6"/>
  <c r="AA45" i="6"/>
  <c r="F46" i="6"/>
  <c r="G46" i="6"/>
  <c r="J46" i="6"/>
  <c r="AA46" i="6"/>
  <c r="F47" i="6"/>
  <c r="G47" i="6"/>
  <c r="J47" i="6"/>
  <c r="AA47" i="6"/>
  <c r="F48" i="6"/>
  <c r="G48" i="6"/>
  <c r="J48" i="6"/>
  <c r="AA48" i="6"/>
  <c r="F49" i="6"/>
  <c r="G49" i="6"/>
  <c r="J49" i="6"/>
  <c r="AA49" i="6"/>
  <c r="C9" i="6"/>
  <c r="C10" i="6"/>
  <c r="C11" i="6"/>
  <c r="C12" i="6"/>
  <c r="C13" i="6"/>
  <c r="C14" i="6"/>
  <c r="C15" i="6"/>
  <c r="C16" i="6"/>
  <c r="C17" i="6"/>
  <c r="C18" i="6"/>
  <c r="C19" i="6"/>
  <c r="C20" i="6"/>
  <c r="C21" i="6"/>
  <c r="C22" i="6"/>
  <c r="C23" i="6"/>
  <c r="H23" i="6" s="1"/>
  <c r="C24" i="6"/>
  <c r="C25" i="6"/>
  <c r="H25" i="6" s="1"/>
  <c r="C26" i="6"/>
  <c r="C27" i="6"/>
  <c r="H27" i="6" s="1"/>
  <c r="C28" i="6"/>
  <c r="C29" i="6"/>
  <c r="H29" i="6" s="1"/>
  <c r="C30" i="6"/>
  <c r="C31" i="6"/>
  <c r="H31" i="6" s="1"/>
  <c r="C32" i="6"/>
  <c r="C33" i="6"/>
  <c r="H33" i="6" s="1"/>
  <c r="C34" i="6"/>
  <c r="C35" i="6"/>
  <c r="H35" i="6" s="1"/>
  <c r="C36" i="6"/>
  <c r="C37" i="6"/>
  <c r="H37" i="6" s="1"/>
  <c r="C38" i="6"/>
  <c r="C39" i="6"/>
  <c r="H39" i="6" s="1"/>
  <c r="C40" i="6"/>
  <c r="C41" i="6"/>
  <c r="H41" i="6" s="1"/>
  <c r="C42" i="6"/>
  <c r="C43" i="6"/>
  <c r="H43" i="6" s="1"/>
  <c r="C44" i="6"/>
  <c r="C45" i="6"/>
  <c r="H45" i="6" s="1"/>
  <c r="C46" i="6"/>
  <c r="C47" i="6"/>
  <c r="H47" i="6" s="1"/>
  <c r="C48" i="6"/>
  <c r="C49" i="6"/>
  <c r="H49" i="6" s="1"/>
  <c r="F3" i="6"/>
  <c r="G3" i="6"/>
  <c r="J3" i="6"/>
  <c r="AA3" i="6"/>
  <c r="F4" i="6"/>
  <c r="G4" i="6"/>
  <c r="J4" i="6"/>
  <c r="AA4" i="6"/>
  <c r="F5" i="6"/>
  <c r="G5" i="6"/>
  <c r="J5" i="6"/>
  <c r="AA5" i="6"/>
  <c r="F6" i="6"/>
  <c r="G6" i="6"/>
  <c r="J6" i="6"/>
  <c r="AA6" i="6"/>
  <c r="F7" i="6"/>
  <c r="G7" i="6"/>
  <c r="J7" i="6"/>
  <c r="AA7" i="6"/>
  <c r="F8" i="6"/>
  <c r="G8" i="6"/>
  <c r="J8" i="6"/>
  <c r="AA8" i="6"/>
  <c r="C3" i="6"/>
  <c r="H3" i="6" s="1"/>
  <c r="C4" i="6"/>
  <c r="H4" i="6" s="1"/>
  <c r="C5" i="6"/>
  <c r="C6" i="6"/>
  <c r="H6" i="6" s="1"/>
  <c r="C7" i="6"/>
  <c r="C8" i="6"/>
  <c r="H8" i="6" s="1"/>
  <c r="H9" i="6" l="1"/>
  <c r="I9" i="6" s="1"/>
  <c r="K9" i="6" s="1"/>
  <c r="H7" i="6"/>
  <c r="H5" i="6"/>
  <c r="H102" i="6"/>
  <c r="H100" i="6"/>
  <c r="I100" i="6" s="1"/>
  <c r="K100" i="6" s="1"/>
  <c r="H50" i="6"/>
  <c r="I50" i="6" s="1"/>
  <c r="K50" i="6" s="1"/>
  <c r="I103" i="6"/>
  <c r="K103" i="6" s="1"/>
  <c r="I101" i="6"/>
  <c r="K101" i="6" s="1"/>
  <c r="I99" i="6"/>
  <c r="K99" i="6" s="1"/>
  <c r="I97" i="6"/>
  <c r="K97" i="6" s="1"/>
  <c r="I95" i="6"/>
  <c r="K95" i="6" s="1"/>
  <c r="I93" i="6"/>
  <c r="K93" i="6" s="1"/>
  <c r="I91" i="6"/>
  <c r="K91" i="6" s="1"/>
  <c r="I89" i="6"/>
  <c r="K89" i="6" s="1"/>
  <c r="I87" i="6"/>
  <c r="K87" i="6" s="1"/>
  <c r="I85" i="6"/>
  <c r="K85" i="6" s="1"/>
  <c r="I83" i="6"/>
  <c r="K83" i="6" s="1"/>
  <c r="I81" i="6"/>
  <c r="K81" i="6" s="1"/>
  <c r="I79" i="6"/>
  <c r="K79" i="6" s="1"/>
  <c r="I77" i="6"/>
  <c r="K77" i="6" s="1"/>
  <c r="I75" i="6"/>
  <c r="K75" i="6" s="1"/>
  <c r="I73" i="6"/>
  <c r="K73" i="6" s="1"/>
  <c r="I71" i="6"/>
  <c r="K71" i="6" s="1"/>
  <c r="I69" i="6"/>
  <c r="K69" i="6" s="1"/>
  <c r="I67" i="6"/>
  <c r="K67" i="6" s="1"/>
  <c r="I102" i="6"/>
  <c r="K102" i="6" s="1"/>
  <c r="H98" i="6"/>
  <c r="H96" i="6"/>
  <c r="H94" i="6"/>
  <c r="H92" i="6"/>
  <c r="H90" i="6"/>
  <c r="H88" i="6"/>
  <c r="H86" i="6"/>
  <c r="H84" i="6"/>
  <c r="H82" i="6"/>
  <c r="H80" i="6"/>
  <c r="H78" i="6"/>
  <c r="H76" i="6"/>
  <c r="H74" i="6"/>
  <c r="H72" i="6"/>
  <c r="H70" i="6"/>
  <c r="H68" i="6"/>
  <c r="I65" i="6"/>
  <c r="K65" i="6" s="1"/>
  <c r="I63" i="6"/>
  <c r="K63" i="6" s="1"/>
  <c r="I61" i="6"/>
  <c r="K61" i="6" s="1"/>
  <c r="I59" i="6"/>
  <c r="K59" i="6" s="1"/>
  <c r="I57" i="6"/>
  <c r="K57" i="6" s="1"/>
  <c r="I55" i="6"/>
  <c r="K55" i="6" s="1"/>
  <c r="I53" i="6"/>
  <c r="K53" i="6" s="1"/>
  <c r="I51" i="6"/>
  <c r="K51" i="6" s="1"/>
  <c r="H66" i="6"/>
  <c r="H64" i="6"/>
  <c r="I64" i="6" s="1"/>
  <c r="K64" i="6" s="1"/>
  <c r="H62" i="6"/>
  <c r="H60" i="6"/>
  <c r="I60" i="6" s="1"/>
  <c r="K60" i="6" s="1"/>
  <c r="H58" i="6"/>
  <c r="H56" i="6"/>
  <c r="I56" i="6" s="1"/>
  <c r="K56" i="6" s="1"/>
  <c r="H54" i="6"/>
  <c r="H52" i="6"/>
  <c r="H21" i="6"/>
  <c r="I21" i="6" s="1"/>
  <c r="K21" i="6" s="1"/>
  <c r="H19" i="6"/>
  <c r="H17" i="6"/>
  <c r="I17" i="6" s="1"/>
  <c r="K17" i="6" s="1"/>
  <c r="H15" i="6"/>
  <c r="H13" i="6"/>
  <c r="I13" i="6" s="1"/>
  <c r="K13" i="6" s="1"/>
  <c r="H11" i="6"/>
  <c r="H48" i="6"/>
  <c r="H46" i="6"/>
  <c r="H44" i="6"/>
  <c r="H42" i="6"/>
  <c r="H40" i="6"/>
  <c r="H38" i="6"/>
  <c r="H36" i="6"/>
  <c r="H34" i="6"/>
  <c r="H32" i="6"/>
  <c r="H30" i="6"/>
  <c r="H28" i="6"/>
  <c r="H26" i="6"/>
  <c r="H24" i="6"/>
  <c r="I24" i="6" s="1"/>
  <c r="K24" i="6" s="1"/>
  <c r="H22" i="6"/>
  <c r="H20" i="6"/>
  <c r="I20" i="6" s="1"/>
  <c r="K20" i="6" s="1"/>
  <c r="H18" i="6"/>
  <c r="H16" i="6"/>
  <c r="I16" i="6" s="1"/>
  <c r="K16" i="6" s="1"/>
  <c r="H14" i="6"/>
  <c r="H12" i="6"/>
  <c r="I12" i="6" s="1"/>
  <c r="K12" i="6" s="1"/>
  <c r="H10" i="6"/>
  <c r="I49" i="6"/>
  <c r="K49" i="6" s="1"/>
  <c r="I47" i="6"/>
  <c r="K47" i="6" s="1"/>
  <c r="I45" i="6"/>
  <c r="K45" i="6" s="1"/>
  <c r="I43" i="6"/>
  <c r="K43" i="6" s="1"/>
  <c r="I41" i="6"/>
  <c r="K41" i="6" s="1"/>
  <c r="I38" i="6"/>
  <c r="K38" i="6" s="1"/>
  <c r="I36" i="6"/>
  <c r="K36" i="6" s="1"/>
  <c r="I34" i="6"/>
  <c r="K34" i="6" s="1"/>
  <c r="I32" i="6"/>
  <c r="K32" i="6" s="1"/>
  <c r="I30" i="6"/>
  <c r="K30" i="6" s="1"/>
  <c r="I28" i="6"/>
  <c r="K28" i="6" s="1"/>
  <c r="I26" i="6"/>
  <c r="K26" i="6" s="1"/>
  <c r="I14" i="6"/>
  <c r="K14" i="6" s="1"/>
  <c r="I10" i="6"/>
  <c r="K10" i="6" s="1"/>
  <c r="I25" i="6"/>
  <c r="K25" i="6" s="1"/>
  <c r="I39" i="6"/>
  <c r="K39" i="6" s="1"/>
  <c r="I37" i="6"/>
  <c r="K37" i="6" s="1"/>
  <c r="I35" i="6"/>
  <c r="K35" i="6" s="1"/>
  <c r="I33" i="6"/>
  <c r="K33" i="6" s="1"/>
  <c r="I31" i="6"/>
  <c r="K31" i="6" s="1"/>
  <c r="I29" i="6"/>
  <c r="K29" i="6" s="1"/>
  <c r="I27" i="6"/>
  <c r="K27" i="6" s="1"/>
  <c r="I23" i="6"/>
  <c r="K23" i="6" s="1"/>
  <c r="I19" i="6"/>
  <c r="K19" i="6" s="1"/>
  <c r="I15" i="6"/>
  <c r="K15" i="6" s="1"/>
  <c r="I11" i="6"/>
  <c r="K11" i="6" s="1"/>
  <c r="T49" i="6"/>
  <c r="I48" i="6"/>
  <c r="K48" i="6" s="1"/>
  <c r="I46" i="6"/>
  <c r="K46" i="6" s="1"/>
  <c r="I44" i="6"/>
  <c r="K44" i="6" s="1"/>
  <c r="I42" i="6"/>
  <c r="K42" i="6" s="1"/>
  <c r="I40" i="6"/>
  <c r="K40" i="6" s="1"/>
  <c r="I22" i="6"/>
  <c r="K22" i="6" s="1"/>
  <c r="I18" i="6"/>
  <c r="K18" i="6" s="1"/>
  <c r="I8" i="6"/>
  <c r="K8" i="6" s="1"/>
  <c r="I6" i="6"/>
  <c r="K6" i="6" s="1"/>
  <c r="I4" i="6"/>
  <c r="K4" i="6" s="1"/>
  <c r="I7" i="6"/>
  <c r="K7" i="6" s="1"/>
  <c r="I5" i="6"/>
  <c r="K5" i="6" s="1"/>
  <c r="I3" i="6"/>
  <c r="K3" i="6" s="1"/>
  <c r="R3" i="6"/>
  <c r="S3" i="6" s="1"/>
  <c r="T48" i="6" l="1"/>
  <c r="T7" i="6"/>
  <c r="I52" i="6"/>
  <c r="K52" i="6" s="1"/>
  <c r="I68" i="6"/>
  <c r="K68" i="6" s="1"/>
  <c r="I72" i="6"/>
  <c r="K72" i="6" s="1"/>
  <c r="I76" i="6"/>
  <c r="K76" i="6" s="1"/>
  <c r="I80" i="6"/>
  <c r="K80" i="6" s="1"/>
  <c r="I84" i="6"/>
  <c r="K84" i="6" s="1"/>
  <c r="T84" i="6" s="1"/>
  <c r="I88" i="6"/>
  <c r="K88" i="6" s="1"/>
  <c r="I92" i="6"/>
  <c r="K92" i="6" s="1"/>
  <c r="I96" i="6"/>
  <c r="K96" i="6" s="1"/>
  <c r="T100" i="6"/>
  <c r="T102" i="6"/>
  <c r="T85" i="6"/>
  <c r="I54" i="6"/>
  <c r="K54" i="6" s="1"/>
  <c r="I58" i="6"/>
  <c r="K58" i="6" s="1"/>
  <c r="I62" i="6"/>
  <c r="K62" i="6" s="1"/>
  <c r="I66" i="6"/>
  <c r="K66" i="6" s="1"/>
  <c r="T66" i="6" s="1"/>
  <c r="I70" i="6"/>
  <c r="K70" i="6" s="1"/>
  <c r="I74" i="6"/>
  <c r="K74" i="6" s="1"/>
  <c r="I78" i="6"/>
  <c r="K78" i="6" s="1"/>
  <c r="I82" i="6"/>
  <c r="K82" i="6" s="1"/>
  <c r="I86" i="6"/>
  <c r="K86" i="6" s="1"/>
  <c r="I90" i="6"/>
  <c r="K90" i="6" s="1"/>
  <c r="I94" i="6"/>
  <c r="K94" i="6" s="1"/>
  <c r="I98" i="6"/>
  <c r="K98" i="6" s="1"/>
  <c r="T97" i="6" s="1"/>
  <c r="T67" i="6"/>
  <c r="T99" i="6"/>
  <c r="T101" i="6"/>
  <c r="T103" i="6"/>
  <c r="T18" i="6"/>
  <c r="T22" i="6"/>
  <c r="T40" i="6"/>
  <c r="T42" i="6"/>
  <c r="T44" i="6"/>
  <c r="T46" i="6"/>
  <c r="T19" i="6"/>
  <c r="T23" i="6"/>
  <c r="T28" i="6"/>
  <c r="T33" i="6"/>
  <c r="T37" i="6"/>
  <c r="T12" i="6"/>
  <c r="T16" i="6"/>
  <c r="T20" i="6"/>
  <c r="T24" i="6"/>
  <c r="T17" i="6"/>
  <c r="T21" i="6"/>
  <c r="T26" i="6"/>
  <c r="T30" i="6"/>
  <c r="T35" i="6"/>
  <c r="T39" i="6"/>
  <c r="T10" i="6"/>
  <c r="T14" i="6"/>
  <c r="T9" i="6"/>
  <c r="T11" i="6"/>
  <c r="T13" i="6"/>
  <c r="T15" i="6"/>
  <c r="T41" i="6"/>
  <c r="T45" i="6"/>
  <c r="T32" i="6"/>
  <c r="T34" i="6"/>
  <c r="T36" i="6"/>
  <c r="T38" i="6"/>
  <c r="T25" i="6"/>
  <c r="T27" i="6"/>
  <c r="T29" i="6"/>
  <c r="T31" i="6"/>
  <c r="T43" i="6"/>
  <c r="T47" i="6"/>
  <c r="T6" i="6"/>
  <c r="T4" i="6"/>
  <c r="T8" i="6"/>
  <c r="T3" i="6"/>
  <c r="T5" i="6"/>
  <c r="T87" i="6" l="1"/>
  <c r="T80" i="6"/>
  <c r="T65" i="6"/>
  <c r="T53" i="6"/>
  <c r="T95" i="6"/>
  <c r="T57" i="6"/>
  <c r="T91" i="6"/>
  <c r="T61" i="6"/>
  <c r="T52" i="6"/>
  <c r="T98" i="6"/>
  <c r="T75" i="6"/>
  <c r="T79" i="6"/>
  <c r="T71" i="6"/>
  <c r="T77" i="6"/>
  <c r="T72" i="6"/>
  <c r="T69" i="6"/>
  <c r="T83" i="6"/>
  <c r="T93" i="6"/>
  <c r="T88" i="6"/>
  <c r="T82" i="6"/>
  <c r="T62" i="6"/>
  <c r="T58" i="6"/>
  <c r="T54" i="6"/>
  <c r="T60" i="6"/>
  <c r="T94" i="6"/>
  <c r="T86" i="6"/>
  <c r="T78" i="6"/>
  <c r="T70" i="6"/>
  <c r="T64" i="6"/>
  <c r="T56" i="6"/>
  <c r="T59" i="6"/>
  <c r="T92" i="6"/>
  <c r="T76" i="6"/>
  <c r="T68" i="6"/>
  <c r="T50" i="6"/>
  <c r="T63" i="6"/>
  <c r="T90" i="6"/>
  <c r="T74" i="6"/>
  <c r="T89" i="6"/>
  <c r="T81" i="6"/>
  <c r="T73" i="6"/>
  <c r="T55" i="6"/>
  <c r="T96" i="6"/>
  <c r="T51" i="6"/>
  <c r="D2" i="36" l="1"/>
  <c r="E2" i="36"/>
  <c r="F2" i="36"/>
  <c r="G2" i="36"/>
  <c r="D3" i="36"/>
  <c r="E3" i="36"/>
  <c r="F3" i="36"/>
  <c r="G3" i="36"/>
  <c r="D4" i="36"/>
  <c r="E4" i="36"/>
  <c r="F4" i="36"/>
  <c r="G4" i="36"/>
  <c r="D5" i="36"/>
  <c r="E5" i="36"/>
  <c r="F5" i="36"/>
  <c r="G5" i="36"/>
  <c r="D6" i="36"/>
  <c r="E6" i="36"/>
  <c r="F6" i="36"/>
  <c r="G6" i="36"/>
  <c r="AP3" i="16" l="1"/>
  <c r="AP4" i="16"/>
  <c r="AP5" i="16"/>
  <c r="AP6" i="16"/>
  <c r="AP7" i="16"/>
  <c r="AP8" i="16"/>
  <c r="AP9" i="16"/>
  <c r="AP2" i="16"/>
  <c r="C92" i="59"/>
  <c r="D92" i="59"/>
  <c r="G92" i="59"/>
  <c r="I92" i="59"/>
  <c r="C93" i="59"/>
  <c r="E93" i="59"/>
  <c r="I93" i="59"/>
  <c r="AB93" i="59"/>
  <c r="AC93" i="59"/>
  <c r="H93" i="59" s="1"/>
  <c r="AD93" i="59"/>
  <c r="AE93" i="59"/>
  <c r="G93" i="59" s="1"/>
  <c r="AF93" i="59"/>
  <c r="D93" i="59" s="1"/>
  <c r="C94" i="59"/>
  <c r="E94" i="59"/>
  <c r="I94" i="59"/>
  <c r="AB94" i="59"/>
  <c r="AC94" i="59"/>
  <c r="H94" i="59" s="1"/>
  <c r="M94" i="59" s="1"/>
  <c r="AD94" i="59"/>
  <c r="AE94" i="59"/>
  <c r="G94" i="59" s="1"/>
  <c r="AF94" i="59"/>
  <c r="D94" i="59" s="1"/>
  <c r="F94" i="59" s="1"/>
  <c r="C95" i="59"/>
  <c r="E95" i="59"/>
  <c r="I95" i="59"/>
  <c r="AB95" i="59"/>
  <c r="AC95" i="59"/>
  <c r="H95" i="59" s="1"/>
  <c r="M95" i="59" s="1"/>
  <c r="AD95" i="59"/>
  <c r="AE95" i="59"/>
  <c r="G95" i="59" s="1"/>
  <c r="AF95" i="59"/>
  <c r="D95" i="59" s="1"/>
  <c r="F95" i="59" s="1"/>
  <c r="C96" i="59"/>
  <c r="E96" i="59"/>
  <c r="I96" i="59"/>
  <c r="AB96" i="59"/>
  <c r="AC96" i="59"/>
  <c r="H96" i="59" s="1"/>
  <c r="M96" i="59" s="1"/>
  <c r="AD96" i="59"/>
  <c r="AE96" i="59"/>
  <c r="G96" i="59" s="1"/>
  <c r="AF96" i="59"/>
  <c r="D96" i="59" s="1"/>
  <c r="F96" i="59" s="1"/>
  <c r="C97" i="59"/>
  <c r="E97" i="59"/>
  <c r="I97" i="59"/>
  <c r="AB97" i="59"/>
  <c r="AC97" i="59"/>
  <c r="H97" i="59" s="1"/>
  <c r="M97" i="59" s="1"/>
  <c r="AD97" i="59"/>
  <c r="AE97" i="59"/>
  <c r="G97" i="59" s="1"/>
  <c r="AF97" i="59"/>
  <c r="D97" i="59" s="1"/>
  <c r="F97" i="59" s="1"/>
  <c r="C98" i="59"/>
  <c r="E98" i="59"/>
  <c r="I98" i="59"/>
  <c r="AB98" i="59"/>
  <c r="AC98" i="59"/>
  <c r="H98" i="59" s="1"/>
  <c r="M98" i="59" s="1"/>
  <c r="AD98" i="59"/>
  <c r="AE98" i="59"/>
  <c r="G98" i="59" s="1"/>
  <c r="AF98" i="59"/>
  <c r="D98" i="59" s="1"/>
  <c r="F98" i="59" s="1"/>
  <c r="C99" i="59"/>
  <c r="E99" i="59"/>
  <c r="I99" i="59"/>
  <c r="AB99" i="59"/>
  <c r="AC99" i="59"/>
  <c r="H99" i="59" s="1"/>
  <c r="M99" i="59" s="1"/>
  <c r="AD99" i="59"/>
  <c r="AE99" i="59"/>
  <c r="G99" i="59" s="1"/>
  <c r="AF99" i="59"/>
  <c r="D99" i="59" s="1"/>
  <c r="F99" i="59" s="1"/>
  <c r="G100" i="59"/>
  <c r="AB100" i="59"/>
  <c r="C100" i="59" s="1"/>
  <c r="AC100" i="59"/>
  <c r="H100" i="59" s="1"/>
  <c r="M100" i="59" s="1"/>
  <c r="AD100" i="59"/>
  <c r="E100" i="59" s="1"/>
  <c r="I100" i="59" s="1"/>
  <c r="AE100" i="59"/>
  <c r="AF100" i="59"/>
  <c r="D100" i="59" s="1"/>
  <c r="F100" i="59" s="1"/>
  <c r="M92" i="59" l="1"/>
  <c r="F93" i="59"/>
  <c r="M93" i="59"/>
  <c r="E116" i="16"/>
  <c r="F116" i="16"/>
  <c r="G116" i="16"/>
  <c r="H116" i="16"/>
  <c r="I116" i="16"/>
  <c r="J116" i="16"/>
  <c r="K116" i="16"/>
  <c r="L116" i="16"/>
  <c r="P116" i="16"/>
  <c r="T116" i="16" s="1"/>
  <c r="E117" i="16"/>
  <c r="F117" i="16"/>
  <c r="G117" i="16"/>
  <c r="H117" i="16"/>
  <c r="I117" i="16"/>
  <c r="J117" i="16"/>
  <c r="K117" i="16"/>
  <c r="L117" i="16"/>
  <c r="P117" i="16"/>
  <c r="T117" i="16" s="1"/>
  <c r="E118" i="16"/>
  <c r="F118" i="16"/>
  <c r="G118" i="16"/>
  <c r="H118" i="16"/>
  <c r="I118" i="16"/>
  <c r="J118" i="16"/>
  <c r="K118" i="16"/>
  <c r="L118" i="16"/>
  <c r="P118" i="16"/>
  <c r="T118" i="16" s="1"/>
  <c r="E119" i="16"/>
  <c r="F119" i="16"/>
  <c r="G119" i="16"/>
  <c r="H119" i="16"/>
  <c r="I119" i="16"/>
  <c r="J119" i="16"/>
  <c r="K119" i="16"/>
  <c r="L119" i="16"/>
  <c r="P119" i="16"/>
  <c r="T119" i="16" s="1"/>
  <c r="E120" i="16"/>
  <c r="F120" i="16"/>
  <c r="G120" i="16"/>
  <c r="H120" i="16"/>
  <c r="I120" i="16"/>
  <c r="J120" i="16"/>
  <c r="K120" i="16"/>
  <c r="L120" i="16"/>
  <c r="P120" i="16"/>
  <c r="W119" i="16" l="1"/>
  <c r="W116" i="16"/>
  <c r="Y118" i="16"/>
  <c r="W118" i="16"/>
  <c r="U118" i="16"/>
  <c r="X118" i="16"/>
  <c r="V118" i="16"/>
  <c r="W117" i="16"/>
  <c r="Y116" i="16"/>
  <c r="U116" i="16"/>
  <c r="Y119" i="16"/>
  <c r="U119" i="16"/>
  <c r="Y117" i="16"/>
  <c r="U117" i="16"/>
  <c r="X116" i="16"/>
  <c r="V116" i="16"/>
  <c r="X119" i="16"/>
  <c r="V119" i="16"/>
  <c r="X117" i="16"/>
  <c r="V117" i="16"/>
  <c r="B116" i="65"/>
  <c r="D116" i="65"/>
  <c r="B117" i="65"/>
  <c r="D117" i="65"/>
  <c r="B118" i="65"/>
  <c r="D118" i="65"/>
  <c r="B119" i="65"/>
  <c r="D119" i="65"/>
  <c r="B120" i="65"/>
  <c r="D120" i="65"/>
  <c r="E116" i="39"/>
  <c r="E117" i="39"/>
  <c r="E118" i="39"/>
  <c r="E119" i="39"/>
  <c r="E120" i="39"/>
  <c r="B116" i="44"/>
  <c r="C116" i="44"/>
  <c r="B117" i="44"/>
  <c r="C117" i="44"/>
  <c r="B118" i="44"/>
  <c r="C118" i="44"/>
  <c r="B119" i="44"/>
  <c r="C119" i="44"/>
  <c r="B120" i="44"/>
  <c r="C120" i="44"/>
  <c r="AD116" i="4"/>
  <c r="B117" i="38" s="1"/>
  <c r="C116" i="39" s="1"/>
  <c r="AD117" i="4"/>
  <c r="B118" i="38" s="1"/>
  <c r="C117" i="39" s="1"/>
  <c r="AD118" i="4"/>
  <c r="B119" i="38" s="1"/>
  <c r="C118" i="39" s="1"/>
  <c r="AD119" i="4"/>
  <c r="B120" i="38" s="1"/>
  <c r="C119" i="39" s="1"/>
  <c r="AD120" i="4"/>
  <c r="B121" i="38" s="1"/>
  <c r="C120" i="39" s="1"/>
  <c r="B3" i="49"/>
  <c r="B4" i="49"/>
  <c r="B5" i="49"/>
  <c r="B6" i="49"/>
  <c r="B7" i="49"/>
  <c r="B8" i="49"/>
  <c r="B9" i="49"/>
  <c r="B10" i="49"/>
  <c r="B11" i="49"/>
  <c r="B12" i="49"/>
  <c r="B13" i="49"/>
  <c r="B14" i="49"/>
  <c r="B15" i="49"/>
  <c r="B16" i="49"/>
  <c r="B17" i="49"/>
  <c r="B18" i="49"/>
  <c r="B19" i="49"/>
  <c r="B20" i="49"/>
  <c r="B21" i="49"/>
  <c r="B22" i="49"/>
  <c r="B23" i="49"/>
  <c r="B24" i="49"/>
  <c r="B25" i="49"/>
  <c r="B26" i="49"/>
  <c r="B27" i="49"/>
  <c r="B28" i="49"/>
  <c r="B29" i="49"/>
  <c r="B30" i="49"/>
  <c r="B31" i="49"/>
  <c r="B32" i="49"/>
  <c r="B33" i="49"/>
  <c r="B34" i="49"/>
  <c r="B35" i="49"/>
  <c r="B36" i="49"/>
  <c r="B37" i="49"/>
  <c r="B38" i="49"/>
  <c r="B39" i="49"/>
  <c r="B40" i="49"/>
  <c r="B41" i="49"/>
  <c r="B42" i="49"/>
  <c r="B43" i="49"/>
  <c r="B44" i="49"/>
  <c r="B45" i="49"/>
  <c r="B46" i="49"/>
  <c r="B47" i="49"/>
  <c r="B48" i="49"/>
  <c r="B49" i="49"/>
  <c r="B50" i="49"/>
  <c r="B51" i="49"/>
  <c r="B52" i="49"/>
  <c r="B53" i="49"/>
  <c r="B54" i="49"/>
  <c r="B55" i="49"/>
  <c r="B56" i="49"/>
  <c r="B57" i="49"/>
  <c r="B58" i="49"/>
  <c r="B59" i="49"/>
  <c r="B60" i="49"/>
  <c r="B61" i="49"/>
  <c r="B62" i="49"/>
  <c r="B63" i="49"/>
  <c r="B64" i="49"/>
  <c r="B65" i="49"/>
  <c r="B66" i="49"/>
  <c r="B67" i="49"/>
  <c r="B68" i="49"/>
  <c r="B69" i="49"/>
  <c r="B70" i="49"/>
  <c r="B71" i="49"/>
  <c r="B72" i="49"/>
  <c r="B73" i="49"/>
  <c r="B74" i="49"/>
  <c r="B75" i="49"/>
  <c r="B76" i="49"/>
  <c r="B77" i="49"/>
  <c r="B78" i="49"/>
  <c r="B79" i="49"/>
  <c r="B80" i="49"/>
  <c r="B81" i="49"/>
  <c r="B82" i="49"/>
  <c r="B83" i="49"/>
  <c r="B84" i="49"/>
  <c r="B85" i="49"/>
  <c r="B86" i="49"/>
  <c r="B87" i="49"/>
  <c r="B88" i="49"/>
  <c r="B89" i="49"/>
  <c r="B90" i="49"/>
  <c r="B91" i="49"/>
  <c r="B92" i="49"/>
  <c r="B93" i="49"/>
  <c r="B94" i="49"/>
  <c r="B95" i="49"/>
  <c r="B96" i="49"/>
  <c r="B97" i="49"/>
  <c r="B98" i="49"/>
  <c r="B99" i="49"/>
  <c r="B100" i="49"/>
  <c r="B101" i="49"/>
  <c r="B102" i="49"/>
  <c r="B103" i="49"/>
  <c r="B104" i="49"/>
  <c r="B105" i="49"/>
  <c r="B106" i="49"/>
  <c r="B107" i="49"/>
  <c r="B108" i="49"/>
  <c r="B109" i="49"/>
  <c r="B110" i="49"/>
  <c r="B111" i="49"/>
  <c r="B112" i="49"/>
  <c r="B113" i="49"/>
  <c r="B114" i="49"/>
  <c r="B115" i="49"/>
  <c r="B116" i="49"/>
  <c r="B117" i="49"/>
  <c r="B118" i="49"/>
  <c r="B119" i="49"/>
  <c r="B120" i="49"/>
  <c r="B2" i="49"/>
  <c r="C6" i="36"/>
  <c r="C5" i="36"/>
  <c r="C4" i="36"/>
  <c r="C3" i="36"/>
  <c r="C2" i="36"/>
  <c r="B116" i="4"/>
  <c r="D116" i="16" s="1"/>
  <c r="C116" i="4"/>
  <c r="F116" i="39" s="1"/>
  <c r="D116" i="4"/>
  <c r="E116" i="4"/>
  <c r="I116" i="4"/>
  <c r="J116" i="4"/>
  <c r="L116" i="4"/>
  <c r="F117" i="38" s="1"/>
  <c r="P117" i="38" s="1"/>
  <c r="O116" i="4"/>
  <c r="E117" i="38" s="1"/>
  <c r="B117" i="4"/>
  <c r="C117" i="4"/>
  <c r="D117" i="4"/>
  <c r="E117" i="4"/>
  <c r="I117" i="4"/>
  <c r="B117" i="16" s="1"/>
  <c r="J117" i="4"/>
  <c r="L117" i="4"/>
  <c r="F118" i="38" s="1"/>
  <c r="P118" i="38" s="1"/>
  <c r="O117" i="4"/>
  <c r="E118" i="38" s="1"/>
  <c r="B118" i="4"/>
  <c r="C118" i="4"/>
  <c r="D118" i="4"/>
  <c r="E118" i="4"/>
  <c r="I118" i="4"/>
  <c r="J118" i="4"/>
  <c r="L118" i="4"/>
  <c r="F119" i="38" s="1"/>
  <c r="P119" i="38" s="1"/>
  <c r="O118" i="4"/>
  <c r="E119" i="38" s="1"/>
  <c r="B119" i="4"/>
  <c r="C119" i="4"/>
  <c r="F119" i="39" s="1"/>
  <c r="D119" i="4"/>
  <c r="E119" i="4"/>
  <c r="I119" i="4"/>
  <c r="B119" i="16" s="1"/>
  <c r="J119" i="4"/>
  <c r="L119" i="4"/>
  <c r="F120" i="38" s="1"/>
  <c r="P120" i="38" s="1"/>
  <c r="O119" i="4"/>
  <c r="E120" i="38" s="1"/>
  <c r="B120" i="4"/>
  <c r="C120" i="4"/>
  <c r="F120" i="39" s="1"/>
  <c r="D120" i="4"/>
  <c r="E120" i="4"/>
  <c r="I120" i="4"/>
  <c r="B120" i="16" s="1"/>
  <c r="C120" i="16" s="1"/>
  <c r="Z120" i="16" s="1"/>
  <c r="J120" i="4"/>
  <c r="L120" i="4"/>
  <c r="F121" i="38" s="1"/>
  <c r="P121" i="38" s="1"/>
  <c r="O120" i="4"/>
  <c r="E121" i="38" s="1"/>
  <c r="G116" i="39" l="1"/>
  <c r="E120" i="65"/>
  <c r="D120" i="16"/>
  <c r="L119" i="38"/>
  <c r="B118" i="16"/>
  <c r="C118" i="16" s="1"/>
  <c r="Z118" i="16" s="1"/>
  <c r="E118" i="65"/>
  <c r="D118" i="16"/>
  <c r="L117" i="38"/>
  <c r="B116" i="16"/>
  <c r="C116" i="16" s="1"/>
  <c r="Z116" i="16" s="1"/>
  <c r="AD116" i="16" s="1"/>
  <c r="C119" i="16"/>
  <c r="Z119" i="16" s="1"/>
  <c r="AD119" i="16" s="1"/>
  <c r="E119" i="65"/>
  <c r="D119" i="16"/>
  <c r="C117" i="16"/>
  <c r="Z117" i="16" s="1"/>
  <c r="AE117" i="16" s="1"/>
  <c r="E117" i="65"/>
  <c r="D117" i="16"/>
  <c r="D120" i="39"/>
  <c r="B120" i="39" s="1"/>
  <c r="H121" i="38" s="1"/>
  <c r="M120" i="44"/>
  <c r="C120" i="65"/>
  <c r="S120" i="4"/>
  <c r="C119" i="65"/>
  <c r="M119" i="44"/>
  <c r="D119" i="39"/>
  <c r="B119" i="39" s="1"/>
  <c r="H120" i="38" s="1"/>
  <c r="S119" i="4"/>
  <c r="D119" i="38"/>
  <c r="F118" i="39"/>
  <c r="G118" i="39" s="1"/>
  <c r="C117" i="65"/>
  <c r="D117" i="39"/>
  <c r="B117" i="39" s="1"/>
  <c r="H118" i="38" s="1"/>
  <c r="M117" i="44"/>
  <c r="L118" i="38"/>
  <c r="S117" i="4"/>
  <c r="L121" i="38"/>
  <c r="D121" i="38"/>
  <c r="C120" i="38"/>
  <c r="C119" i="38"/>
  <c r="C118" i="38"/>
  <c r="M118" i="44"/>
  <c r="C118" i="65"/>
  <c r="D118" i="39"/>
  <c r="B118" i="39" s="1"/>
  <c r="H119" i="38" s="1"/>
  <c r="S118" i="4"/>
  <c r="F117" i="39"/>
  <c r="G117" i="39" s="1"/>
  <c r="D118" i="38"/>
  <c r="M116" i="44"/>
  <c r="C116" i="65"/>
  <c r="D116" i="39"/>
  <c r="B116" i="39" s="1"/>
  <c r="H117" i="38" s="1"/>
  <c r="S116" i="4"/>
  <c r="C117" i="38"/>
  <c r="E116" i="65"/>
  <c r="C121" i="38"/>
  <c r="L120" i="38"/>
  <c r="D120" i="38"/>
  <c r="D117" i="38"/>
  <c r="G120" i="39"/>
  <c r="G119" i="39"/>
  <c r="F120" i="4"/>
  <c r="M120" i="16" s="1"/>
  <c r="F119" i="4"/>
  <c r="M119" i="16" s="1"/>
  <c r="O119" i="16" s="1"/>
  <c r="AA120" i="38" s="1"/>
  <c r="F118" i="4"/>
  <c r="M118" i="16" s="1"/>
  <c r="F117" i="4"/>
  <c r="M117" i="16" s="1"/>
  <c r="O117" i="16" s="1"/>
  <c r="AA118" i="38" s="1"/>
  <c r="F116" i="4"/>
  <c r="M116" i="16" s="1"/>
  <c r="M120" i="4"/>
  <c r="N120" i="4" s="1"/>
  <c r="M119" i="4"/>
  <c r="N119" i="4" s="1"/>
  <c r="M118" i="4"/>
  <c r="N118" i="4" s="1"/>
  <c r="M117" i="4"/>
  <c r="N117" i="4" s="1"/>
  <c r="M116" i="4"/>
  <c r="N116" i="4" s="1"/>
  <c r="AB117" i="16" l="1"/>
  <c r="AB116" i="16"/>
  <c r="AB119" i="16"/>
  <c r="AC117" i="16"/>
  <c r="AA117" i="16"/>
  <c r="AA119" i="16"/>
  <c r="AE119" i="16"/>
  <c r="AC119" i="16"/>
  <c r="AD117" i="16"/>
  <c r="N116" i="16"/>
  <c r="Q116" i="4" s="1"/>
  <c r="O116" i="16"/>
  <c r="AA117" i="38" s="1"/>
  <c r="N118" i="16"/>
  <c r="Q118" i="4" s="1"/>
  <c r="O118" i="16"/>
  <c r="AA119" i="38" s="1"/>
  <c r="N120" i="16"/>
  <c r="Q120" i="4" s="1"/>
  <c r="O120" i="16"/>
  <c r="AA121" i="38" s="1"/>
  <c r="N117" i="16"/>
  <c r="Q117" i="4" s="1"/>
  <c r="N119" i="16"/>
  <c r="Q119" i="4" s="1"/>
  <c r="AA116" i="16"/>
  <c r="AC116" i="16"/>
  <c r="AE116" i="16"/>
  <c r="AA118" i="16"/>
  <c r="AD118" i="16"/>
  <c r="AC118" i="16"/>
  <c r="AB118" i="16"/>
  <c r="AE118" i="16"/>
  <c r="R117" i="4"/>
  <c r="I118" i="38" s="1"/>
  <c r="J118" i="38" s="1"/>
  <c r="R118" i="38" s="1"/>
  <c r="L117" i="44"/>
  <c r="G118" i="38"/>
  <c r="Q118" i="38" s="1"/>
  <c r="R119" i="4"/>
  <c r="I120" i="38" s="1"/>
  <c r="J120" i="38" s="1"/>
  <c r="R120" i="38" s="1"/>
  <c r="L119" i="44"/>
  <c r="G120" i="38"/>
  <c r="Q120" i="38" s="1"/>
  <c r="F116" i="65"/>
  <c r="Z117" i="38"/>
  <c r="F118" i="65"/>
  <c r="Z119" i="38"/>
  <c r="F120" i="65"/>
  <c r="Z121" i="38"/>
  <c r="R116" i="4"/>
  <c r="I117" i="38" s="1"/>
  <c r="J117" i="38" s="1"/>
  <c r="R117" i="38" s="1"/>
  <c r="G117" i="38"/>
  <c r="Q117" i="38" s="1"/>
  <c r="L116" i="44"/>
  <c r="R118" i="4"/>
  <c r="I119" i="38" s="1"/>
  <c r="J119" i="38" s="1"/>
  <c r="R119" i="38" s="1"/>
  <c r="L118" i="44"/>
  <c r="G119" i="38"/>
  <c r="Q119" i="38" s="1"/>
  <c r="R120" i="4"/>
  <c r="I121" i="38" s="1"/>
  <c r="J121" i="38" s="1"/>
  <c r="R121" i="38" s="1"/>
  <c r="L120" i="44"/>
  <c r="G121" i="38"/>
  <c r="Q121" i="38" s="1"/>
  <c r="Z118" i="38"/>
  <c r="F117" i="65"/>
  <c r="F119" i="65"/>
  <c r="Z120" i="38"/>
  <c r="AD3" i="4" l="1"/>
  <c r="B4" i="38" s="1"/>
  <c r="C3" i="39" s="1"/>
  <c r="AD4" i="4"/>
  <c r="B5" i="38" s="1"/>
  <c r="C4" i="39" s="1"/>
  <c r="AD5" i="4"/>
  <c r="B6" i="38" s="1"/>
  <c r="C5" i="39" s="1"/>
  <c r="AD6" i="4"/>
  <c r="B7" i="38" s="1"/>
  <c r="C6" i="39" s="1"/>
  <c r="AD7" i="4"/>
  <c r="B8" i="38" s="1"/>
  <c r="C7" i="39" s="1"/>
  <c r="AD8" i="4"/>
  <c r="B9" i="38" s="1"/>
  <c r="C8" i="39" s="1"/>
  <c r="AD9" i="4"/>
  <c r="B10" i="38" s="1"/>
  <c r="C9" i="39" s="1"/>
  <c r="AD10" i="4"/>
  <c r="B11" i="38" s="1"/>
  <c r="C10" i="39" s="1"/>
  <c r="AD11" i="4"/>
  <c r="B12" i="38" s="1"/>
  <c r="C11" i="39" s="1"/>
  <c r="AD12" i="4"/>
  <c r="B13" i="38" s="1"/>
  <c r="C12" i="39" s="1"/>
  <c r="AD13" i="4"/>
  <c r="B14" i="38" s="1"/>
  <c r="C13" i="39" s="1"/>
  <c r="AD14" i="4"/>
  <c r="B15" i="38" s="1"/>
  <c r="C14" i="39" s="1"/>
  <c r="AD15" i="4"/>
  <c r="B16" i="38" s="1"/>
  <c r="C15" i="39" s="1"/>
  <c r="AD16" i="4"/>
  <c r="B17" i="38" s="1"/>
  <c r="C16" i="39" s="1"/>
  <c r="AD17" i="4"/>
  <c r="B18" i="38" s="1"/>
  <c r="C17" i="39" s="1"/>
  <c r="AD18" i="4"/>
  <c r="B19" i="38" s="1"/>
  <c r="C18" i="39" s="1"/>
  <c r="AD19" i="4"/>
  <c r="B20" i="38" s="1"/>
  <c r="C19" i="39" s="1"/>
  <c r="AD20" i="4"/>
  <c r="B21" i="38" s="1"/>
  <c r="C20" i="39" s="1"/>
  <c r="AD21" i="4"/>
  <c r="B22" i="38" s="1"/>
  <c r="C21" i="39" s="1"/>
  <c r="AD22" i="4"/>
  <c r="B23" i="38" s="1"/>
  <c r="C22" i="39" s="1"/>
  <c r="AD23" i="4"/>
  <c r="B24" i="38" s="1"/>
  <c r="C23" i="39" s="1"/>
  <c r="AD24" i="4"/>
  <c r="B25" i="38" s="1"/>
  <c r="C24" i="39" s="1"/>
  <c r="AD25" i="4"/>
  <c r="B26" i="38" s="1"/>
  <c r="C25" i="39" s="1"/>
  <c r="AD26" i="4"/>
  <c r="B27" i="38" s="1"/>
  <c r="C26" i="39" s="1"/>
  <c r="AD27" i="4"/>
  <c r="B28" i="38" s="1"/>
  <c r="C27" i="39" s="1"/>
  <c r="AD28" i="4"/>
  <c r="B29" i="38" s="1"/>
  <c r="C28" i="39" s="1"/>
  <c r="AD29" i="4"/>
  <c r="B30" i="38" s="1"/>
  <c r="C29" i="39" s="1"/>
  <c r="AD30" i="4"/>
  <c r="B31" i="38" s="1"/>
  <c r="C30" i="39" s="1"/>
  <c r="AD31" i="4"/>
  <c r="B32" i="38" s="1"/>
  <c r="C31" i="39" s="1"/>
  <c r="AD32" i="4"/>
  <c r="B33" i="38" s="1"/>
  <c r="C32" i="39" s="1"/>
  <c r="AD33" i="4"/>
  <c r="B34" i="38" s="1"/>
  <c r="C33" i="39" s="1"/>
  <c r="AD34" i="4"/>
  <c r="B35" i="38" s="1"/>
  <c r="C34" i="39" s="1"/>
  <c r="AD35" i="4"/>
  <c r="B36" i="38" s="1"/>
  <c r="C35" i="39" s="1"/>
  <c r="AD36" i="4"/>
  <c r="B37" i="38" s="1"/>
  <c r="C36" i="39" s="1"/>
  <c r="AD37" i="4"/>
  <c r="B38" i="38" s="1"/>
  <c r="C37" i="39" s="1"/>
  <c r="AD38" i="4"/>
  <c r="B39" i="38" s="1"/>
  <c r="C38" i="39" s="1"/>
  <c r="AD39" i="4"/>
  <c r="B40" i="38" s="1"/>
  <c r="C39" i="39" s="1"/>
  <c r="AD40" i="4"/>
  <c r="B41" i="38" s="1"/>
  <c r="C40" i="39" s="1"/>
  <c r="AD41" i="4"/>
  <c r="B42" i="38" s="1"/>
  <c r="C41" i="39" s="1"/>
  <c r="AD42" i="4"/>
  <c r="B43" i="38" s="1"/>
  <c r="C42" i="39" s="1"/>
  <c r="AD43" i="4"/>
  <c r="B44" i="38" s="1"/>
  <c r="C43" i="39" s="1"/>
  <c r="AD44" i="4"/>
  <c r="B45" i="38" s="1"/>
  <c r="C44" i="39" s="1"/>
  <c r="AD45" i="4"/>
  <c r="B46" i="38" s="1"/>
  <c r="C45" i="39" s="1"/>
  <c r="AD46" i="4"/>
  <c r="B47" i="38" s="1"/>
  <c r="C46" i="39" s="1"/>
  <c r="AD47" i="4"/>
  <c r="B48" i="38" s="1"/>
  <c r="C47" i="39" s="1"/>
  <c r="AD48" i="4"/>
  <c r="B49" i="38" s="1"/>
  <c r="C48" i="39" s="1"/>
  <c r="AD49" i="4"/>
  <c r="B50" i="38" s="1"/>
  <c r="C49" i="39" s="1"/>
  <c r="AD50" i="4"/>
  <c r="B51" i="38" s="1"/>
  <c r="C50" i="39" s="1"/>
  <c r="AD51" i="4"/>
  <c r="B52" i="38" s="1"/>
  <c r="C51" i="39" s="1"/>
  <c r="AD52" i="4"/>
  <c r="B53" i="38" s="1"/>
  <c r="C52" i="39" s="1"/>
  <c r="AD53" i="4"/>
  <c r="B54" i="38" s="1"/>
  <c r="C53" i="39" s="1"/>
  <c r="AD54" i="4"/>
  <c r="B55" i="38" s="1"/>
  <c r="C54" i="39" s="1"/>
  <c r="AD55" i="4"/>
  <c r="B56" i="38" s="1"/>
  <c r="C55" i="39" s="1"/>
  <c r="AD56" i="4"/>
  <c r="B57" i="38" s="1"/>
  <c r="C56" i="39" s="1"/>
  <c r="AD57" i="4"/>
  <c r="B58" i="38" s="1"/>
  <c r="C57" i="39" s="1"/>
  <c r="AD58" i="4"/>
  <c r="B59" i="38" s="1"/>
  <c r="C58" i="39" s="1"/>
  <c r="AD59" i="4"/>
  <c r="B60" i="38" s="1"/>
  <c r="AD60" i="4"/>
  <c r="B61" i="38" s="1"/>
  <c r="C60" i="39" s="1"/>
  <c r="AD61" i="4"/>
  <c r="B62" i="38" s="1"/>
  <c r="C61" i="39" s="1"/>
  <c r="AD62" i="4"/>
  <c r="B63" i="38" s="1"/>
  <c r="C62" i="39" s="1"/>
  <c r="AD63" i="4"/>
  <c r="B64" i="38" s="1"/>
  <c r="C63" i="39" s="1"/>
  <c r="AD64" i="4"/>
  <c r="B65" i="38" s="1"/>
  <c r="C64" i="39" s="1"/>
  <c r="AD65" i="4"/>
  <c r="B66" i="38" s="1"/>
  <c r="C65" i="39" s="1"/>
  <c r="AD66" i="4"/>
  <c r="B67" i="38" s="1"/>
  <c r="C66" i="39" s="1"/>
  <c r="AD67" i="4"/>
  <c r="B68" i="38" s="1"/>
  <c r="C67" i="39" s="1"/>
  <c r="AD68" i="4"/>
  <c r="B69" i="38" s="1"/>
  <c r="C68" i="39" s="1"/>
  <c r="AD69" i="4"/>
  <c r="B70" i="38" s="1"/>
  <c r="C69" i="39" s="1"/>
  <c r="AD70" i="4"/>
  <c r="B71" i="38" s="1"/>
  <c r="C70" i="39" s="1"/>
  <c r="AD71" i="4"/>
  <c r="B72" i="38" s="1"/>
  <c r="C71" i="39" s="1"/>
  <c r="AD72" i="4"/>
  <c r="B73" i="38" s="1"/>
  <c r="C72" i="39" s="1"/>
  <c r="AD73" i="4"/>
  <c r="B74" i="38" s="1"/>
  <c r="C73" i="39" s="1"/>
  <c r="AD74" i="4"/>
  <c r="B75" i="38" s="1"/>
  <c r="C74" i="39" s="1"/>
  <c r="AD75" i="4"/>
  <c r="B76" i="38" s="1"/>
  <c r="C75" i="39" s="1"/>
  <c r="AD76" i="4"/>
  <c r="B77" i="38" s="1"/>
  <c r="C76" i="39" s="1"/>
  <c r="AD77" i="4"/>
  <c r="B78" i="38" s="1"/>
  <c r="C77" i="39" s="1"/>
  <c r="AD78" i="4"/>
  <c r="B79" i="38" s="1"/>
  <c r="C78" i="39" s="1"/>
  <c r="AD79" i="4"/>
  <c r="B80" i="38" s="1"/>
  <c r="C79" i="39" s="1"/>
  <c r="AD80" i="4"/>
  <c r="B81" i="38" s="1"/>
  <c r="C80" i="39" s="1"/>
  <c r="AD81" i="4"/>
  <c r="B82" i="38" s="1"/>
  <c r="C81" i="39" s="1"/>
  <c r="AD82" i="4"/>
  <c r="B83" i="38" s="1"/>
  <c r="C82" i="39" s="1"/>
  <c r="AD83" i="4"/>
  <c r="B84" i="38" s="1"/>
  <c r="C83" i="39" s="1"/>
  <c r="AD84" i="4"/>
  <c r="B85" i="38" s="1"/>
  <c r="C84" i="39" s="1"/>
  <c r="AD85" i="4"/>
  <c r="B86" i="38" s="1"/>
  <c r="C85" i="39" s="1"/>
  <c r="AD86" i="4"/>
  <c r="B87" i="38" s="1"/>
  <c r="C86" i="39" s="1"/>
  <c r="AD87" i="4"/>
  <c r="B88" i="38" s="1"/>
  <c r="C87" i="39" s="1"/>
  <c r="AD88" i="4"/>
  <c r="B89" i="38" s="1"/>
  <c r="C88" i="39" s="1"/>
  <c r="AD89" i="4"/>
  <c r="B90" i="38" s="1"/>
  <c r="C89" i="39" s="1"/>
  <c r="AD90" i="4"/>
  <c r="B91" i="38" s="1"/>
  <c r="C90" i="39" s="1"/>
  <c r="AD91" i="4"/>
  <c r="B92" i="38" s="1"/>
  <c r="C91" i="39" s="1"/>
  <c r="AD92" i="4"/>
  <c r="B93" i="38" s="1"/>
  <c r="C92" i="39" s="1"/>
  <c r="AD93" i="4"/>
  <c r="B94" i="38" s="1"/>
  <c r="C93" i="39" s="1"/>
  <c r="AD94" i="4"/>
  <c r="B95" i="38" s="1"/>
  <c r="C94" i="39" s="1"/>
  <c r="AD95" i="4"/>
  <c r="B96" i="38" s="1"/>
  <c r="C95" i="39" s="1"/>
  <c r="AD96" i="4"/>
  <c r="B97" i="38" s="1"/>
  <c r="C96" i="39" s="1"/>
  <c r="AD97" i="4"/>
  <c r="B98" i="38" s="1"/>
  <c r="C97" i="39" s="1"/>
  <c r="AD98" i="4"/>
  <c r="B99" i="38" s="1"/>
  <c r="C98" i="39" s="1"/>
  <c r="AD99" i="4"/>
  <c r="B100" i="38" s="1"/>
  <c r="C99" i="39" s="1"/>
  <c r="AD100" i="4"/>
  <c r="B101" i="38" s="1"/>
  <c r="C100" i="39" s="1"/>
  <c r="AD101" i="4"/>
  <c r="B102" i="38" s="1"/>
  <c r="C101" i="39" s="1"/>
  <c r="AD102" i="4"/>
  <c r="B103" i="38" s="1"/>
  <c r="C102" i="39" s="1"/>
  <c r="AD103" i="4"/>
  <c r="B104" i="38" s="1"/>
  <c r="C103" i="39" s="1"/>
  <c r="AD104" i="4"/>
  <c r="B105" i="38" s="1"/>
  <c r="C104" i="39" s="1"/>
  <c r="AD105" i="4"/>
  <c r="B106" i="38" s="1"/>
  <c r="C105" i="39" s="1"/>
  <c r="AD106" i="4"/>
  <c r="B107" i="38" s="1"/>
  <c r="C106" i="39" s="1"/>
  <c r="AD107" i="4"/>
  <c r="B108" i="38" s="1"/>
  <c r="C107" i="39" s="1"/>
  <c r="AD108" i="4"/>
  <c r="B109" i="38" s="1"/>
  <c r="C108" i="39" s="1"/>
  <c r="AD109" i="4"/>
  <c r="B110" i="38" s="1"/>
  <c r="C109" i="39" s="1"/>
  <c r="AD110" i="4"/>
  <c r="B111" i="38" s="1"/>
  <c r="C110" i="39" s="1"/>
  <c r="AD111" i="4"/>
  <c r="B112" i="38" s="1"/>
  <c r="C111" i="39" s="1"/>
  <c r="AD112" i="4"/>
  <c r="B113" i="38" s="1"/>
  <c r="C112" i="39" s="1"/>
  <c r="AD113" i="4"/>
  <c r="B114" i="38" s="1"/>
  <c r="C113" i="39" s="1"/>
  <c r="AD114" i="4"/>
  <c r="B115" i="38" s="1"/>
  <c r="C114" i="39" s="1"/>
  <c r="AD115" i="4"/>
  <c r="B116" i="38" s="1"/>
  <c r="C115" i="39" s="1"/>
  <c r="AD2" i="4"/>
  <c r="B3" i="38" s="1"/>
  <c r="C2" i="39" s="1"/>
  <c r="C59" i="39"/>
  <c r="B3" i="44"/>
  <c r="B4" i="44"/>
  <c r="B5" i="44"/>
  <c r="B6" i="44"/>
  <c r="B7" i="44"/>
  <c r="B8" i="44"/>
  <c r="B9" i="44"/>
  <c r="B10" i="44"/>
  <c r="B11" i="44"/>
  <c r="B12" i="44"/>
  <c r="B13" i="44"/>
  <c r="B14" i="44"/>
  <c r="B15" i="44"/>
  <c r="B16" i="44"/>
  <c r="B17" i="44"/>
  <c r="B18" i="44"/>
  <c r="B19" i="44"/>
  <c r="B20" i="44"/>
  <c r="B21" i="44"/>
  <c r="B22" i="44"/>
  <c r="B23" i="44"/>
  <c r="B24" i="44"/>
  <c r="B25" i="44"/>
  <c r="B26" i="44"/>
  <c r="B27" i="44"/>
  <c r="B28" i="44"/>
  <c r="B29" i="44"/>
  <c r="B30" i="44"/>
  <c r="B31" i="44"/>
  <c r="B32" i="44"/>
  <c r="B33" i="44"/>
  <c r="B34" i="44"/>
  <c r="B35" i="44"/>
  <c r="B36" i="44"/>
  <c r="B37" i="44"/>
  <c r="B38" i="44"/>
  <c r="B39" i="44"/>
  <c r="B40" i="44"/>
  <c r="B41" i="44"/>
  <c r="B42" i="44"/>
  <c r="B43" i="44"/>
  <c r="B44" i="44"/>
  <c r="B45" i="44"/>
  <c r="B46" i="44"/>
  <c r="B47" i="44"/>
  <c r="B48" i="44"/>
  <c r="B49" i="44"/>
  <c r="B50" i="44"/>
  <c r="B51" i="44"/>
  <c r="B52" i="44"/>
  <c r="B53" i="44"/>
  <c r="B54" i="44"/>
  <c r="B55" i="44"/>
  <c r="B56" i="44"/>
  <c r="B57" i="44"/>
  <c r="B58" i="44"/>
  <c r="B59" i="44"/>
  <c r="B60" i="44"/>
  <c r="B61" i="44"/>
  <c r="B62" i="44"/>
  <c r="B63" i="44"/>
  <c r="B64" i="44"/>
  <c r="B65" i="44"/>
  <c r="B66" i="44"/>
  <c r="B67" i="44"/>
  <c r="B68" i="44"/>
  <c r="B69" i="44"/>
  <c r="B70" i="44"/>
  <c r="B71" i="44"/>
  <c r="B72" i="44"/>
  <c r="B73" i="44"/>
  <c r="B74" i="44"/>
  <c r="B75" i="44"/>
  <c r="B76" i="44"/>
  <c r="B77" i="44"/>
  <c r="B78" i="44"/>
  <c r="B79" i="44"/>
  <c r="B80" i="44"/>
  <c r="B81" i="44"/>
  <c r="B82" i="44"/>
  <c r="B83" i="44"/>
  <c r="B84" i="44"/>
  <c r="B85" i="44"/>
  <c r="B86" i="44"/>
  <c r="B87" i="44"/>
  <c r="B88" i="44"/>
  <c r="B89" i="44"/>
  <c r="B90" i="44"/>
  <c r="B91" i="44"/>
  <c r="B92" i="44"/>
  <c r="B93" i="44"/>
  <c r="B94" i="44"/>
  <c r="B95" i="44"/>
  <c r="B96" i="44"/>
  <c r="B97" i="44"/>
  <c r="B98" i="44"/>
  <c r="B99" i="44"/>
  <c r="B100" i="44"/>
  <c r="B101" i="44"/>
  <c r="B102" i="44"/>
  <c r="B103" i="44"/>
  <c r="B104" i="44"/>
  <c r="B105" i="44"/>
  <c r="B106" i="44"/>
  <c r="B107" i="44"/>
  <c r="B108" i="44"/>
  <c r="B109" i="44"/>
  <c r="B110" i="44"/>
  <c r="B111" i="44"/>
  <c r="B112" i="44"/>
  <c r="B113" i="44"/>
  <c r="B114" i="44"/>
  <c r="B115" i="44"/>
  <c r="B2" i="44"/>
  <c r="P3" i="16"/>
  <c r="P4" i="16"/>
  <c r="P5" i="16"/>
  <c r="P6" i="16"/>
  <c r="P7" i="16"/>
  <c r="P8" i="16"/>
  <c r="P9" i="16"/>
  <c r="P10" i="16"/>
  <c r="P11" i="16"/>
  <c r="P12" i="16"/>
  <c r="P13" i="16"/>
  <c r="P14" i="16"/>
  <c r="P15" i="16"/>
  <c r="P16" i="16"/>
  <c r="P17" i="16"/>
  <c r="P18" i="16"/>
  <c r="P19" i="16"/>
  <c r="P20" i="16"/>
  <c r="P21" i="16"/>
  <c r="P22" i="16"/>
  <c r="P23" i="16"/>
  <c r="P24" i="16"/>
  <c r="P25" i="16"/>
  <c r="P26" i="16"/>
  <c r="P27" i="16"/>
  <c r="P28" i="16"/>
  <c r="P29" i="16"/>
  <c r="P30" i="16"/>
  <c r="P31" i="16"/>
  <c r="P32" i="16"/>
  <c r="P33" i="16"/>
  <c r="P34" i="16"/>
  <c r="P35" i="16"/>
  <c r="P36" i="16"/>
  <c r="P37" i="16"/>
  <c r="P38" i="16"/>
  <c r="P39" i="16"/>
  <c r="P40" i="16"/>
  <c r="P41" i="16"/>
  <c r="P42" i="16"/>
  <c r="P43" i="16"/>
  <c r="P44" i="16"/>
  <c r="P45" i="16"/>
  <c r="P46" i="16"/>
  <c r="P47" i="16"/>
  <c r="P48" i="16"/>
  <c r="P49" i="16"/>
  <c r="P50" i="16"/>
  <c r="P51" i="16"/>
  <c r="P52" i="16"/>
  <c r="P53" i="16"/>
  <c r="P54" i="16"/>
  <c r="P55" i="16"/>
  <c r="P56" i="16"/>
  <c r="P57" i="16"/>
  <c r="P58" i="16"/>
  <c r="P59" i="16"/>
  <c r="P60" i="16"/>
  <c r="P61" i="16"/>
  <c r="P62" i="16"/>
  <c r="P63" i="16"/>
  <c r="P64" i="16"/>
  <c r="P65" i="16"/>
  <c r="P66" i="16"/>
  <c r="P67" i="16"/>
  <c r="P68" i="16"/>
  <c r="P69" i="16"/>
  <c r="P70" i="16"/>
  <c r="P71" i="16"/>
  <c r="P72" i="16"/>
  <c r="P73" i="16"/>
  <c r="P74" i="16"/>
  <c r="P75" i="16"/>
  <c r="P76" i="16"/>
  <c r="P77" i="16"/>
  <c r="P78" i="16"/>
  <c r="P79" i="16"/>
  <c r="P80" i="16"/>
  <c r="P81" i="16"/>
  <c r="P82" i="16"/>
  <c r="P83" i="16"/>
  <c r="P84" i="16"/>
  <c r="P85" i="16"/>
  <c r="P86" i="16"/>
  <c r="P87" i="16"/>
  <c r="P88" i="16"/>
  <c r="P89" i="16"/>
  <c r="P90" i="16"/>
  <c r="P91" i="16"/>
  <c r="P92" i="16"/>
  <c r="P93" i="16"/>
  <c r="P94" i="16"/>
  <c r="P95" i="16"/>
  <c r="P96" i="16"/>
  <c r="P97" i="16"/>
  <c r="P98" i="16"/>
  <c r="P99" i="16"/>
  <c r="P100" i="16"/>
  <c r="P101" i="16"/>
  <c r="P102" i="16"/>
  <c r="P103" i="16"/>
  <c r="P104" i="16"/>
  <c r="P105" i="16"/>
  <c r="P106" i="16"/>
  <c r="P107" i="16"/>
  <c r="P108" i="16"/>
  <c r="P109" i="16"/>
  <c r="P110" i="16"/>
  <c r="P111" i="16"/>
  <c r="P112" i="16"/>
  <c r="P113" i="16"/>
  <c r="P114" i="16"/>
  <c r="P115" i="16"/>
  <c r="P2" i="16"/>
  <c r="B3" i="65"/>
  <c r="B4" i="65"/>
  <c r="B5" i="65"/>
  <c r="B6" i="65"/>
  <c r="B7" i="65"/>
  <c r="B8" i="65"/>
  <c r="B9" i="65"/>
  <c r="B10" i="65"/>
  <c r="B11" i="65"/>
  <c r="B12" i="65"/>
  <c r="B13" i="65"/>
  <c r="B14" i="65"/>
  <c r="B15" i="65"/>
  <c r="B16" i="65"/>
  <c r="B17" i="65"/>
  <c r="B18" i="65"/>
  <c r="B19" i="65"/>
  <c r="B20" i="65"/>
  <c r="B21" i="65"/>
  <c r="B22" i="65"/>
  <c r="B23" i="65"/>
  <c r="B24" i="65"/>
  <c r="B25" i="65"/>
  <c r="B26" i="65"/>
  <c r="B27" i="65"/>
  <c r="B28" i="65"/>
  <c r="B29" i="65"/>
  <c r="B30" i="65"/>
  <c r="B31" i="65"/>
  <c r="B32" i="65"/>
  <c r="B33" i="65"/>
  <c r="B34" i="65"/>
  <c r="B35" i="65"/>
  <c r="B36" i="65"/>
  <c r="B37" i="65"/>
  <c r="B38" i="65"/>
  <c r="B39" i="65"/>
  <c r="B40" i="65"/>
  <c r="B41" i="65"/>
  <c r="B42" i="65"/>
  <c r="B43" i="65"/>
  <c r="B44" i="65"/>
  <c r="B45" i="65"/>
  <c r="B46" i="65"/>
  <c r="B47" i="65"/>
  <c r="B48" i="65"/>
  <c r="B49" i="65"/>
  <c r="B50" i="65"/>
  <c r="B51" i="65"/>
  <c r="B52" i="65"/>
  <c r="B53" i="65"/>
  <c r="B54" i="65"/>
  <c r="B55" i="65"/>
  <c r="B56" i="65"/>
  <c r="B57" i="65"/>
  <c r="B58" i="65"/>
  <c r="B59" i="65"/>
  <c r="B60" i="65"/>
  <c r="B61" i="65"/>
  <c r="B62" i="65"/>
  <c r="B63" i="65"/>
  <c r="B64" i="65"/>
  <c r="B65" i="65"/>
  <c r="B66" i="65"/>
  <c r="B67" i="65"/>
  <c r="B68" i="65"/>
  <c r="B69" i="65"/>
  <c r="B70" i="65"/>
  <c r="B71" i="65"/>
  <c r="B72" i="65"/>
  <c r="B73" i="65"/>
  <c r="B74" i="65"/>
  <c r="B75" i="65"/>
  <c r="B76" i="65"/>
  <c r="B77" i="65"/>
  <c r="B78" i="65"/>
  <c r="B79" i="65"/>
  <c r="B80" i="65"/>
  <c r="B81" i="65"/>
  <c r="B82" i="65"/>
  <c r="B83" i="65"/>
  <c r="B84" i="65"/>
  <c r="B85" i="65"/>
  <c r="B86" i="65"/>
  <c r="B87" i="65"/>
  <c r="B88" i="65"/>
  <c r="B89" i="65"/>
  <c r="B90" i="65"/>
  <c r="B91" i="65"/>
  <c r="B92" i="65"/>
  <c r="B93" i="65"/>
  <c r="B94" i="65"/>
  <c r="B95" i="65"/>
  <c r="B96" i="65"/>
  <c r="B97" i="65"/>
  <c r="B98" i="65"/>
  <c r="B99" i="65"/>
  <c r="B100" i="65"/>
  <c r="B101" i="65"/>
  <c r="B102" i="65"/>
  <c r="B103" i="65"/>
  <c r="B104" i="65"/>
  <c r="B105" i="65"/>
  <c r="B106" i="65"/>
  <c r="B107" i="65"/>
  <c r="B108" i="65"/>
  <c r="B109" i="65"/>
  <c r="B110" i="65"/>
  <c r="B111" i="65"/>
  <c r="B112" i="65"/>
  <c r="B113" i="65"/>
  <c r="B114" i="65"/>
  <c r="B115" i="65"/>
  <c r="B2" i="65"/>
  <c r="O115" i="4"/>
  <c r="O114" i="4"/>
  <c r="O113" i="4"/>
  <c r="O112" i="4"/>
  <c r="O111" i="4"/>
  <c r="O110" i="4"/>
  <c r="O109" i="4"/>
  <c r="O108" i="4"/>
  <c r="O107" i="4"/>
  <c r="O106" i="4"/>
  <c r="O105" i="4"/>
  <c r="O104" i="4"/>
  <c r="O103" i="4"/>
  <c r="O102" i="4"/>
  <c r="O101" i="4"/>
  <c r="O100" i="4"/>
  <c r="O99" i="4"/>
  <c r="O98" i="4"/>
  <c r="O97" i="4"/>
  <c r="O96" i="4"/>
  <c r="O95" i="4"/>
  <c r="O94" i="4"/>
  <c r="O93" i="4"/>
  <c r="O92" i="4"/>
  <c r="O91" i="4"/>
  <c r="O90" i="4"/>
  <c r="O89" i="4"/>
  <c r="O88" i="4"/>
  <c r="O87" i="4"/>
  <c r="O86" i="4"/>
  <c r="O85" i="4"/>
  <c r="O84" i="4"/>
  <c r="O83" i="4"/>
  <c r="O82" i="4"/>
  <c r="O81" i="4"/>
  <c r="O80" i="4"/>
  <c r="O79" i="4"/>
  <c r="O78" i="4"/>
  <c r="O77" i="4"/>
  <c r="O76" i="4"/>
  <c r="O75" i="4"/>
  <c r="O74" i="4"/>
  <c r="O73" i="4"/>
  <c r="O72" i="4"/>
  <c r="O71" i="4"/>
  <c r="O70" i="4"/>
  <c r="O69" i="4"/>
  <c r="O68" i="4"/>
  <c r="O67" i="4"/>
  <c r="O66" i="4"/>
  <c r="O65" i="4"/>
  <c r="O64" i="4"/>
  <c r="O63" i="4"/>
  <c r="O62" i="4"/>
  <c r="O61" i="4"/>
  <c r="O60" i="4"/>
  <c r="O59" i="4"/>
  <c r="O58" i="4"/>
  <c r="O57" i="4"/>
  <c r="O56" i="4"/>
  <c r="O55" i="4"/>
  <c r="O54" i="4"/>
  <c r="O53" i="4"/>
  <c r="O52" i="4"/>
  <c r="O51" i="4"/>
  <c r="O50" i="4"/>
  <c r="O49" i="4"/>
  <c r="O48" i="4"/>
  <c r="O47" i="4"/>
  <c r="O46" i="4"/>
  <c r="O45" i="4"/>
  <c r="O44" i="4"/>
  <c r="O43" i="4"/>
  <c r="O42" i="4"/>
  <c r="O41" i="4"/>
  <c r="O40" i="4"/>
  <c r="O39" i="4"/>
  <c r="O38" i="4"/>
  <c r="O37" i="4"/>
  <c r="O36" i="4"/>
  <c r="O35" i="4"/>
  <c r="O34" i="4"/>
  <c r="O33" i="4"/>
  <c r="O32" i="4"/>
  <c r="O31" i="4"/>
  <c r="O30" i="4"/>
  <c r="O29" i="4"/>
  <c r="O28" i="4"/>
  <c r="O27" i="4"/>
  <c r="O26" i="4"/>
  <c r="O25" i="4"/>
  <c r="O24" i="4"/>
  <c r="O23" i="4"/>
  <c r="O22" i="4"/>
  <c r="O21" i="4"/>
  <c r="O20" i="4"/>
  <c r="O19" i="4"/>
  <c r="O18" i="4"/>
  <c r="O17" i="4"/>
  <c r="O16" i="4"/>
  <c r="O15" i="4"/>
  <c r="O14" i="4"/>
  <c r="O13" i="4"/>
  <c r="O12" i="4"/>
  <c r="O11" i="4"/>
  <c r="O10" i="4"/>
  <c r="O9" i="4"/>
  <c r="O8" i="4"/>
  <c r="O7" i="4"/>
  <c r="O6" i="4"/>
  <c r="O5" i="4"/>
  <c r="O4" i="4"/>
  <c r="O3" i="4"/>
  <c r="O2" i="4"/>
  <c r="E3" i="4"/>
  <c r="E4" i="4"/>
  <c r="E5" i="4"/>
  <c r="E6" i="4"/>
  <c r="E7" i="4"/>
  <c r="E8" i="4"/>
  <c r="E9" i="4"/>
  <c r="E10" i="4"/>
  <c r="E11" i="4"/>
  <c r="E12" i="4"/>
  <c r="E13" i="4"/>
  <c r="E14" i="4"/>
  <c r="E15" i="4"/>
  <c r="E16" i="4"/>
  <c r="E17" i="4"/>
  <c r="E18" i="4"/>
  <c r="E19" i="4"/>
  <c r="E20" i="4"/>
  <c r="E21" i="4"/>
  <c r="E22" i="4"/>
  <c r="E23" i="4"/>
  <c r="E24" i="4"/>
  <c r="E25" i="4"/>
  <c r="E26" i="4"/>
  <c r="E27" i="4"/>
  <c r="E28" i="4"/>
  <c r="E29" i="4"/>
  <c r="E30" i="4"/>
  <c r="E31" i="4"/>
  <c r="E32" i="4"/>
  <c r="E33" i="4"/>
  <c r="E34" i="4"/>
  <c r="E35" i="4"/>
  <c r="E36" i="4"/>
  <c r="E37" i="4"/>
  <c r="E38" i="4"/>
  <c r="E39" i="4"/>
  <c r="E40" i="4"/>
  <c r="E41" i="4"/>
  <c r="E42" i="4"/>
  <c r="E43" i="4"/>
  <c r="E44" i="4"/>
  <c r="E45" i="4"/>
  <c r="E46" i="4"/>
  <c r="E47" i="4"/>
  <c r="E48" i="4"/>
  <c r="E49" i="4"/>
  <c r="E50" i="4"/>
  <c r="E51" i="4"/>
  <c r="E52" i="4"/>
  <c r="E53" i="4"/>
  <c r="E54" i="4"/>
  <c r="E55" i="4"/>
  <c r="E56" i="4"/>
  <c r="E57" i="4"/>
  <c r="E58" i="4"/>
  <c r="E59" i="4"/>
  <c r="E60" i="4"/>
  <c r="E61" i="4"/>
  <c r="E62" i="4"/>
  <c r="E63" i="4"/>
  <c r="E64" i="4"/>
  <c r="E65" i="4"/>
  <c r="E66" i="4"/>
  <c r="E67" i="4"/>
  <c r="E68" i="4"/>
  <c r="E69" i="4"/>
  <c r="E70" i="4"/>
  <c r="E71" i="4"/>
  <c r="E72" i="4"/>
  <c r="E73" i="4"/>
  <c r="E74" i="4"/>
  <c r="E75" i="4"/>
  <c r="E76" i="4"/>
  <c r="E77" i="4"/>
  <c r="E78" i="4"/>
  <c r="E79" i="4"/>
  <c r="E80" i="4"/>
  <c r="E81" i="4"/>
  <c r="E82" i="4"/>
  <c r="E83" i="4"/>
  <c r="E84" i="4"/>
  <c r="E85" i="4"/>
  <c r="E86" i="4"/>
  <c r="E87" i="4"/>
  <c r="E88" i="4"/>
  <c r="E89" i="4"/>
  <c r="E90" i="4"/>
  <c r="E91" i="4"/>
  <c r="E92" i="4"/>
  <c r="E93" i="4"/>
  <c r="E94" i="4"/>
  <c r="E95" i="4"/>
  <c r="E96" i="4"/>
  <c r="E97" i="4"/>
  <c r="E98" i="4"/>
  <c r="E99" i="4"/>
  <c r="E100" i="4"/>
  <c r="E101" i="4"/>
  <c r="E102" i="4"/>
  <c r="E103" i="4"/>
  <c r="E104" i="4"/>
  <c r="E105" i="4"/>
  <c r="E106" i="4"/>
  <c r="E107" i="4"/>
  <c r="E108" i="4"/>
  <c r="E109" i="4"/>
  <c r="E110" i="4"/>
  <c r="E111" i="4"/>
  <c r="E112" i="4"/>
  <c r="E113" i="4"/>
  <c r="E114" i="4"/>
  <c r="E115" i="4"/>
  <c r="E2" i="4"/>
  <c r="D3" i="4"/>
  <c r="D4" i="4"/>
  <c r="D5" i="4"/>
  <c r="D6" i="4"/>
  <c r="D7" i="4"/>
  <c r="D8" i="4"/>
  <c r="D9" i="4"/>
  <c r="D10" i="4"/>
  <c r="D11" i="4"/>
  <c r="D12" i="4"/>
  <c r="D13" i="4"/>
  <c r="D14" i="4"/>
  <c r="D15" i="4"/>
  <c r="D16" i="4"/>
  <c r="D17" i="4"/>
  <c r="D18" i="4"/>
  <c r="D19" i="4"/>
  <c r="D20" i="4"/>
  <c r="D21" i="4"/>
  <c r="D22" i="4"/>
  <c r="D23" i="4"/>
  <c r="D24" i="4"/>
  <c r="D25" i="4"/>
  <c r="D26" i="4"/>
  <c r="D27" i="4"/>
  <c r="D28" i="4"/>
  <c r="D29" i="4"/>
  <c r="D30" i="4"/>
  <c r="D31" i="4"/>
  <c r="D32" i="4"/>
  <c r="D33" i="4"/>
  <c r="D34" i="4"/>
  <c r="D35" i="4"/>
  <c r="D36" i="4"/>
  <c r="D37" i="4"/>
  <c r="D38" i="4"/>
  <c r="D39" i="4"/>
  <c r="D40" i="4"/>
  <c r="D41" i="4"/>
  <c r="D42" i="4"/>
  <c r="D43" i="4"/>
  <c r="D44" i="4"/>
  <c r="D45" i="4"/>
  <c r="D46" i="4"/>
  <c r="D47" i="4"/>
  <c r="D48" i="4"/>
  <c r="D49" i="4"/>
  <c r="D50" i="4"/>
  <c r="D51" i="4"/>
  <c r="D52" i="4"/>
  <c r="D53" i="4"/>
  <c r="D54" i="4"/>
  <c r="D55" i="4"/>
  <c r="D56" i="4"/>
  <c r="D57" i="4"/>
  <c r="D58" i="4"/>
  <c r="D59" i="4"/>
  <c r="D60" i="4"/>
  <c r="D61" i="4"/>
  <c r="D62" i="4"/>
  <c r="D63" i="4"/>
  <c r="D64" i="4"/>
  <c r="D65" i="4"/>
  <c r="D66" i="4"/>
  <c r="D67" i="4"/>
  <c r="D68" i="4"/>
  <c r="D69" i="4"/>
  <c r="D70" i="4"/>
  <c r="D71" i="4"/>
  <c r="D72" i="4"/>
  <c r="D73" i="4"/>
  <c r="D74" i="4"/>
  <c r="D75" i="4"/>
  <c r="D76" i="4"/>
  <c r="D77" i="4"/>
  <c r="D78" i="4"/>
  <c r="D79" i="4"/>
  <c r="D80" i="4"/>
  <c r="D81" i="4"/>
  <c r="D82" i="4"/>
  <c r="D83" i="4"/>
  <c r="D84" i="4"/>
  <c r="D85" i="4"/>
  <c r="D86" i="4"/>
  <c r="D87" i="4"/>
  <c r="D88" i="4"/>
  <c r="D89" i="4"/>
  <c r="D90" i="4"/>
  <c r="D91" i="4"/>
  <c r="D92" i="4"/>
  <c r="D93" i="4"/>
  <c r="D94" i="4"/>
  <c r="D95" i="4"/>
  <c r="D96" i="4"/>
  <c r="D97" i="4"/>
  <c r="D98" i="4"/>
  <c r="D99" i="4"/>
  <c r="D100" i="4"/>
  <c r="D101" i="4"/>
  <c r="D102" i="4"/>
  <c r="D103" i="4"/>
  <c r="D104" i="4"/>
  <c r="D105" i="4"/>
  <c r="D106" i="4"/>
  <c r="D107" i="4"/>
  <c r="D108" i="4"/>
  <c r="D109" i="4"/>
  <c r="D110" i="4"/>
  <c r="D111" i="4"/>
  <c r="D112" i="4"/>
  <c r="D113" i="4"/>
  <c r="D114" i="4"/>
  <c r="D115" i="4"/>
  <c r="D2" i="4"/>
  <c r="C3" i="4"/>
  <c r="C4" i="4"/>
  <c r="C5" i="4"/>
  <c r="C6" i="4"/>
  <c r="C7" i="4"/>
  <c r="C8" i="4"/>
  <c r="C9" i="4"/>
  <c r="C10" i="4"/>
  <c r="C11" i="4"/>
  <c r="C12" i="4"/>
  <c r="C13" i="4"/>
  <c r="C14" i="4"/>
  <c r="C15" i="4"/>
  <c r="C16" i="4"/>
  <c r="C17" i="4"/>
  <c r="C18" i="4"/>
  <c r="C19" i="4"/>
  <c r="C20" i="4"/>
  <c r="C21" i="4"/>
  <c r="C22" i="4"/>
  <c r="C23" i="4"/>
  <c r="C24" i="4"/>
  <c r="C25" i="4"/>
  <c r="C26" i="4"/>
  <c r="C27" i="4"/>
  <c r="C28" i="4"/>
  <c r="C29" i="4"/>
  <c r="C30" i="4"/>
  <c r="C31" i="4"/>
  <c r="C32" i="4"/>
  <c r="C33" i="4"/>
  <c r="C34" i="4"/>
  <c r="C35" i="4"/>
  <c r="C36" i="4"/>
  <c r="C37" i="4"/>
  <c r="C38" i="4"/>
  <c r="C39" i="4"/>
  <c r="C40" i="4"/>
  <c r="C41" i="4"/>
  <c r="C42" i="4"/>
  <c r="C43" i="4"/>
  <c r="C44" i="4"/>
  <c r="C45" i="4"/>
  <c r="C46" i="4"/>
  <c r="C47" i="4"/>
  <c r="C48" i="4"/>
  <c r="C49" i="4"/>
  <c r="C50" i="4"/>
  <c r="C51" i="4"/>
  <c r="C52" i="4"/>
  <c r="C53" i="4"/>
  <c r="C54" i="4"/>
  <c r="C55" i="4"/>
  <c r="C56"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2" i="4"/>
  <c r="AE652" i="42"/>
  <c r="AB652" i="42"/>
  <c r="AA652" i="42"/>
  <c r="Z652" i="42"/>
  <c r="W652" i="42"/>
  <c r="V652" i="42"/>
  <c r="U652" i="42"/>
  <c r="AD651" i="42"/>
  <c r="AC651" i="42"/>
  <c r="Y651" i="42"/>
  <c r="X651" i="42"/>
  <c r="AD650" i="42"/>
  <c r="AC650" i="42"/>
  <c r="Y650" i="42"/>
  <c r="X650" i="42"/>
  <c r="AD649" i="42"/>
  <c r="AC649" i="42"/>
  <c r="Y649" i="42"/>
  <c r="X649" i="42"/>
  <c r="AD648" i="42"/>
  <c r="AC648" i="42"/>
  <c r="Y648" i="42"/>
  <c r="X648" i="42"/>
  <c r="AD647" i="42"/>
  <c r="AC647" i="42"/>
  <c r="Y647" i="42"/>
  <c r="X647" i="42"/>
  <c r="AD646" i="42"/>
  <c r="AC646" i="42"/>
  <c r="Y646" i="42"/>
  <c r="X646" i="42"/>
  <c r="AD645" i="42"/>
  <c r="AC645" i="42"/>
  <c r="Y645" i="42"/>
  <c r="X645" i="42"/>
  <c r="AD644" i="42"/>
  <c r="AC644" i="42"/>
  <c r="Y644" i="42"/>
  <c r="X644" i="42"/>
  <c r="AD643" i="42"/>
  <c r="AC643" i="42"/>
  <c r="Y643" i="42"/>
  <c r="X643" i="42"/>
  <c r="AD642" i="42"/>
  <c r="AC642" i="42"/>
  <c r="Y642" i="42"/>
  <c r="X642" i="42"/>
  <c r="AD641" i="42"/>
  <c r="AC641" i="42"/>
  <c r="Y641" i="42"/>
  <c r="X641" i="42"/>
  <c r="AD640" i="42"/>
  <c r="AC640" i="42"/>
  <c r="Y640" i="42"/>
  <c r="X640" i="42"/>
  <c r="AD639" i="42"/>
  <c r="AC639" i="42"/>
  <c r="Y639" i="42"/>
  <c r="X639" i="42"/>
  <c r="AD638" i="42"/>
  <c r="AC638" i="42"/>
  <c r="Y638" i="42"/>
  <c r="X638" i="42"/>
  <c r="AD637" i="42"/>
  <c r="AC637" i="42"/>
  <c r="Y637" i="42"/>
  <c r="X637" i="42"/>
  <c r="AD636" i="42"/>
  <c r="AC636" i="42"/>
  <c r="Y636" i="42"/>
  <c r="X636" i="42"/>
  <c r="AD635" i="42"/>
  <c r="AC635" i="42"/>
  <c r="Y635" i="42"/>
  <c r="X635" i="42"/>
  <c r="AD634" i="42"/>
  <c r="AC634" i="42"/>
  <c r="Y634" i="42"/>
  <c r="X634" i="42"/>
  <c r="AD633" i="42"/>
  <c r="AC633" i="42"/>
  <c r="Y633" i="42"/>
  <c r="X633" i="42"/>
  <c r="AD632" i="42"/>
  <c r="AC632" i="42"/>
  <c r="Y632" i="42"/>
  <c r="X632" i="42"/>
  <c r="AD631" i="42"/>
  <c r="AC631" i="42"/>
  <c r="Y631" i="42"/>
  <c r="X631" i="42"/>
  <c r="AD630" i="42"/>
  <c r="AC630" i="42"/>
  <c r="Y630" i="42"/>
  <c r="X630" i="42"/>
  <c r="AD629" i="42"/>
  <c r="AC629" i="42"/>
  <c r="Y629" i="42"/>
  <c r="X629" i="42"/>
  <c r="AD628" i="42"/>
  <c r="AC628" i="42"/>
  <c r="Y628" i="42"/>
  <c r="X628" i="42"/>
  <c r="AD627" i="42"/>
  <c r="AC627" i="42"/>
  <c r="Y627" i="42"/>
  <c r="X627" i="42"/>
  <c r="AD626" i="42"/>
  <c r="AC626" i="42"/>
  <c r="Y626" i="42"/>
  <c r="X626" i="42"/>
  <c r="AD625" i="42"/>
  <c r="AC625" i="42"/>
  <c r="Y625" i="42"/>
  <c r="X625" i="42"/>
  <c r="AD624" i="42"/>
  <c r="AC624" i="42"/>
  <c r="Y624" i="42"/>
  <c r="X624" i="42"/>
  <c r="AD623" i="42"/>
  <c r="AC623" i="42"/>
  <c r="Y623" i="42"/>
  <c r="X623" i="42"/>
  <c r="AD622" i="42"/>
  <c r="AC622" i="42"/>
  <c r="Y622" i="42"/>
  <c r="X622" i="42"/>
  <c r="AD621" i="42"/>
  <c r="AC621" i="42"/>
  <c r="Y621" i="42"/>
  <c r="X621" i="42"/>
  <c r="AD620" i="42"/>
  <c r="AC620" i="42"/>
  <c r="Y620" i="42"/>
  <c r="X620" i="42"/>
  <c r="AD619" i="42"/>
  <c r="AC619" i="42"/>
  <c r="Y619" i="42"/>
  <c r="X619" i="42"/>
  <c r="AD618" i="42"/>
  <c r="AC618" i="42"/>
  <c r="Y618" i="42"/>
  <c r="X618" i="42"/>
  <c r="AD617" i="42"/>
  <c r="AC617" i="42"/>
  <c r="Y617" i="42"/>
  <c r="X617" i="42"/>
  <c r="AD616" i="42"/>
  <c r="AC616" i="42"/>
  <c r="Y616" i="42"/>
  <c r="X616" i="42"/>
  <c r="AD615" i="42"/>
  <c r="AC615" i="42"/>
  <c r="Y615" i="42"/>
  <c r="X615" i="42"/>
  <c r="AD614" i="42"/>
  <c r="AC614" i="42"/>
  <c r="Y614" i="42"/>
  <c r="X614" i="42"/>
  <c r="AD613" i="42"/>
  <c r="AC613" i="42"/>
  <c r="Y613" i="42"/>
  <c r="X613" i="42"/>
  <c r="AD612" i="42"/>
  <c r="AC612" i="42"/>
  <c r="Y612" i="42"/>
  <c r="X612" i="42"/>
  <c r="AD611" i="42"/>
  <c r="AC611" i="42"/>
  <c r="Y611" i="42"/>
  <c r="X611" i="42"/>
  <c r="AD610" i="42"/>
  <c r="AC610" i="42"/>
  <c r="Y610" i="42"/>
  <c r="X610" i="42"/>
  <c r="AD609" i="42"/>
  <c r="AC609" i="42"/>
  <c r="Y609" i="42"/>
  <c r="X609" i="42"/>
  <c r="AD608" i="42"/>
  <c r="AC608" i="42"/>
  <c r="Y608" i="42"/>
  <c r="X608" i="42"/>
  <c r="AD607" i="42"/>
  <c r="AC607" i="42"/>
  <c r="Y607" i="42"/>
  <c r="X607" i="42"/>
  <c r="AD606" i="42"/>
  <c r="AC606" i="42"/>
  <c r="Y606" i="42"/>
  <c r="X606" i="42"/>
  <c r="AD605" i="42"/>
  <c r="AC605" i="42"/>
  <c r="Y605" i="42"/>
  <c r="X605" i="42"/>
  <c r="AD604" i="42"/>
  <c r="AC604" i="42"/>
  <c r="Y604" i="42"/>
  <c r="X604" i="42"/>
  <c r="AD603" i="42"/>
  <c r="AC603" i="42"/>
  <c r="Y603" i="42"/>
  <c r="X603" i="42"/>
  <c r="AD602" i="42"/>
  <c r="AC602" i="42"/>
  <c r="Y602" i="42"/>
  <c r="X602" i="42"/>
  <c r="AD601" i="42"/>
  <c r="AC601" i="42"/>
  <c r="Y601" i="42"/>
  <c r="X601" i="42"/>
  <c r="AD600" i="42"/>
  <c r="AC600" i="42"/>
  <c r="Y600" i="42"/>
  <c r="X600" i="42"/>
  <c r="AD599" i="42"/>
  <c r="AC599" i="42"/>
  <c r="Y599" i="42"/>
  <c r="X599" i="42"/>
  <c r="AD598" i="42"/>
  <c r="AC598" i="42"/>
  <c r="Y598" i="42"/>
  <c r="X598" i="42"/>
  <c r="AD597" i="42"/>
  <c r="AC597" i="42"/>
  <c r="Y597" i="42"/>
  <c r="X597" i="42"/>
  <c r="AD596" i="42"/>
  <c r="AC596" i="42"/>
  <c r="Y596" i="42"/>
  <c r="X596" i="42"/>
  <c r="AD595" i="42"/>
  <c r="AC595" i="42"/>
  <c r="Y595" i="42"/>
  <c r="X595" i="42"/>
  <c r="AD594" i="42"/>
  <c r="AC594" i="42"/>
  <c r="Y594" i="42"/>
  <c r="X594" i="42"/>
  <c r="AD593" i="42"/>
  <c r="AC593" i="42"/>
  <c r="Y593" i="42"/>
  <c r="X593" i="42"/>
  <c r="AD592" i="42"/>
  <c r="AC592" i="42"/>
  <c r="Y592" i="42"/>
  <c r="X592" i="42"/>
  <c r="AD591" i="42"/>
  <c r="AC591" i="42"/>
  <c r="Y591" i="42"/>
  <c r="X591" i="42"/>
  <c r="AD590" i="42"/>
  <c r="AC590" i="42"/>
  <c r="Y590" i="42"/>
  <c r="X590" i="42"/>
  <c r="AD589" i="42"/>
  <c r="AC589" i="42"/>
  <c r="Y589" i="42"/>
  <c r="X589" i="42"/>
  <c r="AD588" i="42"/>
  <c r="AC588" i="42"/>
  <c r="Y588" i="42"/>
  <c r="X588" i="42"/>
  <c r="AD587" i="42"/>
  <c r="AC587" i="42"/>
  <c r="Y587" i="42"/>
  <c r="X587" i="42"/>
  <c r="AD586" i="42"/>
  <c r="AC586" i="42"/>
  <c r="Y586" i="42"/>
  <c r="X586" i="42"/>
  <c r="AD585" i="42"/>
  <c r="AC585" i="42"/>
  <c r="Y585" i="42"/>
  <c r="X585" i="42"/>
  <c r="AD584" i="42"/>
  <c r="AC584" i="42"/>
  <c r="Y584" i="42"/>
  <c r="X584" i="42"/>
  <c r="AD583" i="42"/>
  <c r="AC583" i="42"/>
  <c r="Y583" i="42"/>
  <c r="X583" i="42"/>
  <c r="AD582" i="42"/>
  <c r="AC582" i="42"/>
  <c r="Y582" i="42"/>
  <c r="X582" i="42"/>
  <c r="AD581" i="42"/>
  <c r="AC581" i="42"/>
  <c r="Y581" i="42"/>
  <c r="X581" i="42"/>
  <c r="AD580" i="42"/>
  <c r="AC580" i="42"/>
  <c r="Y580" i="42"/>
  <c r="X580" i="42"/>
  <c r="AD579" i="42"/>
  <c r="AC579" i="42"/>
  <c r="Y579" i="42"/>
  <c r="X579" i="42"/>
  <c r="AD578" i="42"/>
  <c r="AC578" i="42"/>
  <c r="Y578" i="42"/>
  <c r="X578" i="42"/>
  <c r="AD577" i="42"/>
  <c r="AC577" i="42"/>
  <c r="Y577" i="42"/>
  <c r="X577" i="42"/>
  <c r="AD576" i="42"/>
  <c r="AC576" i="42"/>
  <c r="Y576" i="42"/>
  <c r="X576" i="42"/>
  <c r="AD575" i="42"/>
  <c r="AC575" i="42"/>
  <c r="Y575" i="42"/>
  <c r="X575" i="42"/>
  <c r="AD574" i="42"/>
  <c r="AC574" i="42"/>
  <c r="Y574" i="42"/>
  <c r="X574" i="42"/>
  <c r="AD573" i="42"/>
  <c r="AC573" i="42"/>
  <c r="Y573" i="42"/>
  <c r="X573" i="42"/>
  <c r="AD572" i="42"/>
  <c r="AC572" i="42"/>
  <c r="Y572" i="42"/>
  <c r="X572" i="42"/>
  <c r="AD571" i="42"/>
  <c r="AC571" i="42"/>
  <c r="Y571" i="42"/>
  <c r="X571" i="42"/>
  <c r="AD570" i="42"/>
  <c r="AC570" i="42"/>
  <c r="Y570" i="42"/>
  <c r="X570" i="42"/>
  <c r="AD569" i="42"/>
  <c r="AC569" i="42"/>
  <c r="Y569" i="42"/>
  <c r="X569" i="42"/>
  <c r="AD568" i="42"/>
  <c r="AC568" i="42"/>
  <c r="Y568" i="42"/>
  <c r="X568" i="42"/>
  <c r="AD567" i="42"/>
  <c r="AC567" i="42"/>
  <c r="Y567" i="42"/>
  <c r="X567" i="42"/>
  <c r="AD566" i="42"/>
  <c r="AC566" i="42"/>
  <c r="Y566" i="42"/>
  <c r="X566" i="42"/>
  <c r="AD565" i="42"/>
  <c r="AC565" i="42"/>
  <c r="Y565" i="42"/>
  <c r="X565" i="42"/>
  <c r="AD564" i="42"/>
  <c r="AC564" i="42"/>
  <c r="Y564" i="42"/>
  <c r="X564" i="42"/>
  <c r="AD563" i="42"/>
  <c r="AC563" i="42"/>
  <c r="Y563" i="42"/>
  <c r="X563" i="42"/>
  <c r="AD562" i="42"/>
  <c r="AC562" i="42"/>
  <c r="Y562" i="42"/>
  <c r="X562" i="42"/>
  <c r="AD561" i="42"/>
  <c r="AC561" i="42"/>
  <c r="Y561" i="42"/>
  <c r="X561" i="42"/>
  <c r="AD560" i="42"/>
  <c r="AC560" i="42"/>
  <c r="Y560" i="42"/>
  <c r="X560" i="42"/>
  <c r="AD559" i="42"/>
  <c r="AC559" i="42"/>
  <c r="Y559" i="42"/>
  <c r="X559" i="42"/>
  <c r="AD558" i="42"/>
  <c r="AC558" i="42"/>
  <c r="Y558" i="42"/>
  <c r="X558" i="42"/>
  <c r="AD557" i="42"/>
  <c r="AC557" i="42"/>
  <c r="Y557" i="42"/>
  <c r="X557" i="42"/>
  <c r="AD556" i="42"/>
  <c r="AC556" i="42"/>
  <c r="Y556" i="42"/>
  <c r="X556" i="42"/>
  <c r="AD555" i="42"/>
  <c r="AC555" i="42"/>
  <c r="Y555" i="42"/>
  <c r="X555" i="42"/>
  <c r="AD554" i="42"/>
  <c r="AC554" i="42"/>
  <c r="Y554" i="42"/>
  <c r="X554" i="42"/>
  <c r="AD553" i="42"/>
  <c r="AC553" i="42"/>
  <c r="Y553" i="42"/>
  <c r="X553" i="42"/>
  <c r="AD552" i="42"/>
  <c r="AC552" i="42"/>
  <c r="Y552" i="42"/>
  <c r="X552" i="42"/>
  <c r="AD551" i="42"/>
  <c r="AC551" i="42"/>
  <c r="Y551" i="42"/>
  <c r="X551" i="42"/>
  <c r="AD550" i="42"/>
  <c r="AC550" i="42"/>
  <c r="Y550" i="42"/>
  <c r="X550" i="42"/>
  <c r="AD549" i="42"/>
  <c r="AC549" i="42"/>
  <c r="Y549" i="42"/>
  <c r="X549" i="42"/>
  <c r="AD548" i="42"/>
  <c r="AC548" i="42"/>
  <c r="Y548" i="42"/>
  <c r="X548" i="42"/>
  <c r="AD547" i="42"/>
  <c r="AC547" i="42"/>
  <c r="Y547" i="42"/>
  <c r="X547" i="42"/>
  <c r="AD546" i="42"/>
  <c r="AC546" i="42"/>
  <c r="Y546" i="42"/>
  <c r="X546" i="42"/>
  <c r="AD545" i="42"/>
  <c r="AC545" i="42"/>
  <c r="Y545" i="42"/>
  <c r="X545" i="42"/>
  <c r="AD544" i="42"/>
  <c r="AC544" i="42"/>
  <c r="Y544" i="42"/>
  <c r="X544" i="42"/>
  <c r="AD543" i="42"/>
  <c r="AC543" i="42"/>
  <c r="Y543" i="42"/>
  <c r="X543" i="42"/>
  <c r="AD542" i="42"/>
  <c r="AC542" i="42"/>
  <c r="Y542" i="42"/>
  <c r="X542" i="42"/>
  <c r="AD541" i="42"/>
  <c r="AC541" i="42"/>
  <c r="Y541" i="42"/>
  <c r="X541" i="42"/>
  <c r="AD540" i="42"/>
  <c r="AC540" i="42"/>
  <c r="Y540" i="42"/>
  <c r="X540" i="42"/>
  <c r="AD539" i="42"/>
  <c r="AC539" i="42"/>
  <c r="Y539" i="42"/>
  <c r="X539" i="42"/>
  <c r="AD538" i="42"/>
  <c r="AC538" i="42"/>
  <c r="Y538" i="42"/>
  <c r="X538" i="42"/>
  <c r="AD537" i="42"/>
  <c r="AC537" i="42"/>
  <c r="Y537" i="42"/>
  <c r="X537" i="42"/>
  <c r="AD536" i="42"/>
  <c r="AC536" i="42"/>
  <c r="Y536" i="42"/>
  <c r="X536" i="42"/>
  <c r="AD535" i="42"/>
  <c r="AC535" i="42"/>
  <c r="Y535" i="42"/>
  <c r="X535" i="42"/>
  <c r="AD534" i="42"/>
  <c r="AC534" i="42"/>
  <c r="Y534" i="42"/>
  <c r="X534" i="42"/>
  <c r="AD533" i="42"/>
  <c r="AC533" i="42"/>
  <c r="Y533" i="42"/>
  <c r="X533" i="42"/>
  <c r="AD532" i="42"/>
  <c r="AC532" i="42"/>
  <c r="Y532" i="42"/>
  <c r="X532" i="42"/>
  <c r="AD531" i="42"/>
  <c r="AC531" i="42"/>
  <c r="Y531" i="42"/>
  <c r="X531" i="42"/>
  <c r="AD530" i="42"/>
  <c r="AC530" i="42"/>
  <c r="Y530" i="42"/>
  <c r="X530" i="42"/>
  <c r="AD529" i="42"/>
  <c r="AC529" i="42"/>
  <c r="Y529" i="42"/>
  <c r="X529" i="42"/>
  <c r="AD528" i="42"/>
  <c r="AC528" i="42"/>
  <c r="Y528" i="42"/>
  <c r="X528" i="42"/>
  <c r="AD527" i="42"/>
  <c r="AC527" i="42"/>
  <c r="Y527" i="42"/>
  <c r="X527" i="42"/>
  <c r="AD526" i="42"/>
  <c r="AC526" i="42"/>
  <c r="Y526" i="42"/>
  <c r="X526" i="42"/>
  <c r="AD525" i="42"/>
  <c r="AC525" i="42"/>
  <c r="Y525" i="42"/>
  <c r="X525" i="42"/>
  <c r="AD524" i="42"/>
  <c r="AC524" i="42"/>
  <c r="Y524" i="42"/>
  <c r="X524" i="42"/>
  <c r="AD523" i="42"/>
  <c r="AC523" i="42"/>
  <c r="Y523" i="42"/>
  <c r="X523" i="42"/>
  <c r="AD522" i="42"/>
  <c r="AC522" i="42"/>
  <c r="Y522" i="42"/>
  <c r="X522" i="42"/>
  <c r="AD521" i="42"/>
  <c r="AC521" i="42"/>
  <c r="Y521" i="42"/>
  <c r="X521" i="42"/>
  <c r="AD520" i="42"/>
  <c r="AC520" i="42"/>
  <c r="Y520" i="42"/>
  <c r="X520" i="42"/>
  <c r="AD519" i="42"/>
  <c r="AC519" i="42"/>
  <c r="Y519" i="42"/>
  <c r="X519" i="42"/>
  <c r="AD518" i="42"/>
  <c r="AC518" i="42"/>
  <c r="Y518" i="42"/>
  <c r="X518" i="42"/>
  <c r="AD517" i="42"/>
  <c r="AC517" i="42"/>
  <c r="Y517" i="42"/>
  <c r="X517" i="42"/>
  <c r="AD516" i="42"/>
  <c r="AC516" i="42"/>
  <c r="Y516" i="42"/>
  <c r="X516" i="42"/>
  <c r="AD515" i="42"/>
  <c r="AC515" i="42"/>
  <c r="Y515" i="42"/>
  <c r="X515" i="42"/>
  <c r="AD514" i="42"/>
  <c r="AC514" i="42"/>
  <c r="Y514" i="42"/>
  <c r="X514" i="42"/>
  <c r="AD513" i="42"/>
  <c r="AC513" i="42"/>
  <c r="Y513" i="42"/>
  <c r="X513" i="42"/>
  <c r="AD512" i="42"/>
  <c r="AC512" i="42"/>
  <c r="Y512" i="42"/>
  <c r="X512" i="42"/>
  <c r="AD511" i="42"/>
  <c r="AC511" i="42"/>
  <c r="Y511" i="42"/>
  <c r="X511" i="42"/>
  <c r="AD510" i="42"/>
  <c r="AC510" i="42"/>
  <c r="Y510" i="42"/>
  <c r="X510" i="42"/>
  <c r="AD509" i="42"/>
  <c r="AC509" i="42"/>
  <c r="Y509" i="42"/>
  <c r="X509" i="42"/>
  <c r="AD508" i="42"/>
  <c r="AC508" i="42"/>
  <c r="Y508" i="42"/>
  <c r="X508" i="42"/>
  <c r="AD507" i="42"/>
  <c r="AC507" i="42"/>
  <c r="Y507" i="42"/>
  <c r="X507" i="42"/>
  <c r="AD506" i="42"/>
  <c r="AC506" i="42"/>
  <c r="Y506" i="42"/>
  <c r="X506" i="42"/>
  <c r="AD505" i="42"/>
  <c r="AC505" i="42"/>
  <c r="Y505" i="42"/>
  <c r="X505" i="42"/>
  <c r="AD504" i="42"/>
  <c r="AC504" i="42"/>
  <c r="Y504" i="42"/>
  <c r="X504" i="42"/>
  <c r="AD503" i="42"/>
  <c r="AC503" i="42"/>
  <c r="Y503" i="42"/>
  <c r="X503" i="42"/>
  <c r="AD502" i="42"/>
  <c r="AC502" i="42"/>
  <c r="Y502" i="42"/>
  <c r="X502" i="42"/>
  <c r="AD501" i="42"/>
  <c r="AC501" i="42"/>
  <c r="Y501" i="42"/>
  <c r="X501" i="42"/>
  <c r="AD500" i="42"/>
  <c r="AC500" i="42"/>
  <c r="Y500" i="42"/>
  <c r="X500" i="42"/>
  <c r="AD499" i="42"/>
  <c r="AC499" i="42"/>
  <c r="Y499" i="42"/>
  <c r="X499" i="42"/>
  <c r="AD498" i="42"/>
  <c r="AC498" i="42"/>
  <c r="Y498" i="42"/>
  <c r="X498" i="42"/>
  <c r="AD497" i="42"/>
  <c r="AC497" i="42"/>
  <c r="Y497" i="42"/>
  <c r="X497" i="42"/>
  <c r="AD496" i="42"/>
  <c r="AC496" i="42"/>
  <c r="Y496" i="42"/>
  <c r="X496" i="42"/>
  <c r="AD495" i="42"/>
  <c r="AC495" i="42"/>
  <c r="Y495" i="42"/>
  <c r="X495" i="42"/>
  <c r="AD494" i="42"/>
  <c r="AC494" i="42"/>
  <c r="Y494" i="42"/>
  <c r="X494" i="42"/>
  <c r="AD493" i="42"/>
  <c r="AC493" i="42"/>
  <c r="Y493" i="42"/>
  <c r="X493" i="42"/>
  <c r="AD492" i="42"/>
  <c r="AC492" i="42"/>
  <c r="Y492" i="42"/>
  <c r="X492" i="42"/>
  <c r="AD491" i="42"/>
  <c r="AC491" i="42"/>
  <c r="Y491" i="42"/>
  <c r="X491" i="42"/>
  <c r="AD490" i="42"/>
  <c r="AC490" i="42"/>
  <c r="Y490" i="42"/>
  <c r="X490" i="42"/>
  <c r="AD489" i="42"/>
  <c r="AC489" i="42"/>
  <c r="Y489" i="42"/>
  <c r="X489" i="42"/>
  <c r="AD488" i="42"/>
  <c r="AC488" i="42"/>
  <c r="Y488" i="42"/>
  <c r="X488" i="42"/>
  <c r="AD487" i="42"/>
  <c r="AC487" i="42"/>
  <c r="Y487" i="42"/>
  <c r="X487" i="42"/>
  <c r="AD486" i="42"/>
  <c r="AC486" i="42"/>
  <c r="Y486" i="42"/>
  <c r="X486" i="42"/>
  <c r="AD485" i="42"/>
  <c r="AC485" i="42"/>
  <c r="Y485" i="42"/>
  <c r="X485" i="42"/>
  <c r="AD484" i="42"/>
  <c r="AC484" i="42"/>
  <c r="Y484" i="42"/>
  <c r="X484" i="42"/>
  <c r="AD483" i="42"/>
  <c r="AC483" i="42"/>
  <c r="Y483" i="42"/>
  <c r="X483" i="42"/>
  <c r="AD482" i="42"/>
  <c r="AC482" i="42"/>
  <c r="Y482" i="42"/>
  <c r="X482" i="42"/>
  <c r="AD481" i="42"/>
  <c r="AC481" i="42"/>
  <c r="Y481" i="42"/>
  <c r="X481" i="42"/>
  <c r="AD480" i="42"/>
  <c r="AC480" i="42"/>
  <c r="Y480" i="42"/>
  <c r="X480" i="42"/>
  <c r="AD479" i="42"/>
  <c r="AC479" i="42"/>
  <c r="Y479" i="42"/>
  <c r="X479" i="42"/>
  <c r="AD478" i="42"/>
  <c r="AC478" i="42"/>
  <c r="Y478" i="42"/>
  <c r="X478" i="42"/>
  <c r="AD477" i="42"/>
  <c r="AC477" i="42"/>
  <c r="Y477" i="42"/>
  <c r="X477" i="42"/>
  <c r="AD476" i="42"/>
  <c r="AC476" i="42"/>
  <c r="Y476" i="42"/>
  <c r="X476" i="42"/>
  <c r="AD475" i="42"/>
  <c r="AC475" i="42"/>
  <c r="Y475" i="42"/>
  <c r="X475" i="42"/>
  <c r="AD474" i="42"/>
  <c r="AC474" i="42"/>
  <c r="Y474" i="42"/>
  <c r="X474" i="42"/>
  <c r="AD473" i="42"/>
  <c r="AC473" i="42"/>
  <c r="Y473" i="42"/>
  <c r="X473" i="42"/>
  <c r="AD472" i="42"/>
  <c r="AC472" i="42"/>
  <c r="Y472" i="42"/>
  <c r="X472" i="42"/>
  <c r="AD471" i="42"/>
  <c r="AC471" i="42"/>
  <c r="Y471" i="42"/>
  <c r="X471" i="42"/>
  <c r="AD470" i="42"/>
  <c r="AC470" i="42"/>
  <c r="Y470" i="42"/>
  <c r="X470" i="42"/>
  <c r="AD469" i="42"/>
  <c r="AC469" i="42"/>
  <c r="Y469" i="42"/>
  <c r="X469" i="42"/>
  <c r="AD468" i="42"/>
  <c r="AC468" i="42"/>
  <c r="Y468" i="42"/>
  <c r="X468" i="42"/>
  <c r="AD467" i="42"/>
  <c r="AC467" i="42"/>
  <c r="Y467" i="42"/>
  <c r="X467" i="42"/>
  <c r="AD466" i="42"/>
  <c r="AC466" i="42"/>
  <c r="Y466" i="42"/>
  <c r="X466" i="42"/>
  <c r="AD465" i="42"/>
  <c r="AC465" i="42"/>
  <c r="Y465" i="42"/>
  <c r="X465" i="42"/>
  <c r="AD464" i="42"/>
  <c r="AC464" i="42"/>
  <c r="Y464" i="42"/>
  <c r="X464" i="42"/>
  <c r="AD463" i="42"/>
  <c r="AC463" i="42"/>
  <c r="Y463" i="42"/>
  <c r="X463" i="42"/>
  <c r="AD462" i="42"/>
  <c r="AC462" i="42"/>
  <c r="Y462" i="42"/>
  <c r="X462" i="42"/>
  <c r="AD461" i="42"/>
  <c r="AC461" i="42"/>
  <c r="Y461" i="42"/>
  <c r="X461" i="42"/>
  <c r="AD460" i="42"/>
  <c r="AC460" i="42"/>
  <c r="Y460" i="42"/>
  <c r="X460" i="42"/>
  <c r="AD459" i="42"/>
  <c r="AC459" i="42"/>
  <c r="Y459" i="42"/>
  <c r="X459" i="42"/>
  <c r="AD458" i="42"/>
  <c r="AC458" i="42"/>
  <c r="Y458" i="42"/>
  <c r="X458" i="42"/>
  <c r="AD457" i="42"/>
  <c r="AC457" i="42"/>
  <c r="Y457" i="42"/>
  <c r="X457" i="42"/>
  <c r="AD456" i="42"/>
  <c r="AC456" i="42"/>
  <c r="Y456" i="42"/>
  <c r="X456" i="42"/>
  <c r="AD455" i="42"/>
  <c r="AC455" i="42"/>
  <c r="Y455" i="42"/>
  <c r="X455" i="42"/>
  <c r="AD454" i="42"/>
  <c r="AC454" i="42"/>
  <c r="Y454" i="42"/>
  <c r="X454" i="42"/>
  <c r="AD453" i="42"/>
  <c r="AC453" i="42"/>
  <c r="Y453" i="42"/>
  <c r="X453" i="42"/>
  <c r="AD452" i="42"/>
  <c r="AC452" i="42"/>
  <c r="Y452" i="42"/>
  <c r="X452" i="42"/>
  <c r="AD451" i="42"/>
  <c r="AC451" i="42"/>
  <c r="Y451" i="42"/>
  <c r="X451" i="42"/>
  <c r="AD450" i="42"/>
  <c r="AC450" i="42"/>
  <c r="Y450" i="42"/>
  <c r="X450" i="42"/>
  <c r="AD449" i="42"/>
  <c r="AC449" i="42"/>
  <c r="Y449" i="42"/>
  <c r="X449" i="42"/>
  <c r="AD448" i="42"/>
  <c r="AC448" i="42"/>
  <c r="Y448" i="42"/>
  <c r="X448" i="42"/>
  <c r="AD447" i="42"/>
  <c r="AC447" i="42"/>
  <c r="Y447" i="42"/>
  <c r="X447" i="42"/>
  <c r="AD446" i="42"/>
  <c r="AC446" i="42"/>
  <c r="Y446" i="42"/>
  <c r="X446" i="42"/>
  <c r="AD445" i="42"/>
  <c r="AC445" i="42"/>
  <c r="Y445" i="42"/>
  <c r="X445" i="42"/>
  <c r="AD444" i="42"/>
  <c r="AC444" i="42"/>
  <c r="Y444" i="42"/>
  <c r="X444" i="42"/>
  <c r="AD443" i="42"/>
  <c r="AC443" i="42"/>
  <c r="Y443" i="42"/>
  <c r="X443" i="42"/>
  <c r="AD442" i="42"/>
  <c r="AC442" i="42"/>
  <c r="Y442" i="42"/>
  <c r="X442" i="42"/>
  <c r="AD441" i="42"/>
  <c r="AC441" i="42"/>
  <c r="Y441" i="42"/>
  <c r="X441" i="42"/>
  <c r="AD440" i="42"/>
  <c r="AC440" i="42"/>
  <c r="Y440" i="42"/>
  <c r="X440" i="42"/>
  <c r="AD439" i="42"/>
  <c r="AC439" i="42"/>
  <c r="Y439" i="42"/>
  <c r="X439" i="42"/>
  <c r="AD438" i="42"/>
  <c r="AC438" i="42"/>
  <c r="Y438" i="42"/>
  <c r="X438" i="42"/>
  <c r="AD437" i="42"/>
  <c r="AC437" i="42"/>
  <c r="Y437" i="42"/>
  <c r="X437" i="42"/>
  <c r="AD436" i="42"/>
  <c r="AC436" i="42"/>
  <c r="Y436" i="42"/>
  <c r="X436" i="42"/>
  <c r="AD435" i="42"/>
  <c r="AC435" i="42"/>
  <c r="Y435" i="42"/>
  <c r="X435" i="42"/>
  <c r="AD434" i="42"/>
  <c r="AC434" i="42"/>
  <c r="Y434" i="42"/>
  <c r="X434" i="42"/>
  <c r="AD433" i="42"/>
  <c r="AC433" i="42"/>
  <c r="Y433" i="42"/>
  <c r="X433" i="42"/>
  <c r="AD432" i="42"/>
  <c r="AC432" i="42"/>
  <c r="Y432" i="42"/>
  <c r="X432" i="42"/>
  <c r="AD431" i="42"/>
  <c r="AC431" i="42"/>
  <c r="Y431" i="42"/>
  <c r="X431" i="42"/>
  <c r="AD430" i="42"/>
  <c r="AC430" i="42"/>
  <c r="Y430" i="42"/>
  <c r="X430" i="42"/>
  <c r="AD429" i="42"/>
  <c r="AC429" i="42"/>
  <c r="Y429" i="42"/>
  <c r="X429" i="42"/>
  <c r="AD428" i="42"/>
  <c r="AC428" i="42"/>
  <c r="Y428" i="42"/>
  <c r="X428" i="42"/>
  <c r="AD427" i="42"/>
  <c r="AC427" i="42"/>
  <c r="Y427" i="42"/>
  <c r="X427" i="42"/>
  <c r="AD426" i="42"/>
  <c r="AC426" i="42"/>
  <c r="Y426" i="42"/>
  <c r="X426" i="42"/>
  <c r="AD425" i="42"/>
  <c r="AC425" i="42"/>
  <c r="Y425" i="42"/>
  <c r="X425" i="42"/>
  <c r="AD424" i="42"/>
  <c r="AC424" i="42"/>
  <c r="Y424" i="42"/>
  <c r="X424" i="42"/>
  <c r="AD423" i="42"/>
  <c r="AC423" i="42"/>
  <c r="Y423" i="42"/>
  <c r="X423" i="42"/>
  <c r="AD422" i="42"/>
  <c r="AC422" i="42"/>
  <c r="Y422" i="42"/>
  <c r="X422" i="42"/>
  <c r="AD421" i="42"/>
  <c r="AC421" i="42"/>
  <c r="Y421" i="42"/>
  <c r="X421" i="42"/>
  <c r="AD420" i="42"/>
  <c r="AC420" i="42"/>
  <c r="Y420" i="42"/>
  <c r="X420" i="42"/>
  <c r="AD419" i="42"/>
  <c r="AC419" i="42"/>
  <c r="Y419" i="42"/>
  <c r="X419" i="42"/>
  <c r="AD418" i="42"/>
  <c r="AC418" i="42"/>
  <c r="Y418" i="42"/>
  <c r="X418" i="42"/>
  <c r="AD417" i="42"/>
  <c r="AC417" i="42"/>
  <c r="Y417" i="42"/>
  <c r="X417" i="42"/>
  <c r="AD416" i="42"/>
  <c r="AC416" i="42"/>
  <c r="Y416" i="42"/>
  <c r="X416" i="42"/>
  <c r="AD415" i="42"/>
  <c r="AC415" i="42"/>
  <c r="Y415" i="42"/>
  <c r="X415" i="42"/>
  <c r="AD414" i="42"/>
  <c r="AC414" i="42"/>
  <c r="Y414" i="42"/>
  <c r="X414" i="42"/>
  <c r="AD413" i="42"/>
  <c r="AC413" i="42"/>
  <c r="Y413" i="42"/>
  <c r="X413" i="42"/>
  <c r="AD412" i="42"/>
  <c r="AC412" i="42"/>
  <c r="Y412" i="42"/>
  <c r="X412" i="42"/>
  <c r="AD411" i="42"/>
  <c r="AC411" i="42"/>
  <c r="Y411" i="42"/>
  <c r="X411" i="42"/>
  <c r="AD410" i="42"/>
  <c r="AC410" i="42"/>
  <c r="Y410" i="42"/>
  <c r="X410" i="42"/>
  <c r="AD409" i="42"/>
  <c r="AC409" i="42"/>
  <c r="Y409" i="42"/>
  <c r="X409" i="42"/>
  <c r="AD408" i="42"/>
  <c r="AC408" i="42"/>
  <c r="Y408" i="42"/>
  <c r="X408" i="42"/>
  <c r="AD407" i="42"/>
  <c r="AC407" i="42"/>
  <c r="Y407" i="42"/>
  <c r="X407" i="42"/>
  <c r="AD406" i="42"/>
  <c r="AC406" i="42"/>
  <c r="Y406" i="42"/>
  <c r="X406" i="42"/>
  <c r="AD405" i="42"/>
  <c r="AC405" i="42"/>
  <c r="Y405" i="42"/>
  <c r="X405" i="42"/>
  <c r="AD404" i="42"/>
  <c r="AC404" i="42"/>
  <c r="Y404" i="42"/>
  <c r="X404" i="42"/>
  <c r="AD403" i="42"/>
  <c r="AC403" i="42"/>
  <c r="Y403" i="42"/>
  <c r="X403" i="42"/>
  <c r="AD402" i="42"/>
  <c r="AC402" i="42"/>
  <c r="Y402" i="42"/>
  <c r="X402" i="42"/>
  <c r="AD401" i="42"/>
  <c r="AC401" i="42"/>
  <c r="Y401" i="42"/>
  <c r="X401" i="42"/>
  <c r="AD400" i="42"/>
  <c r="AC400" i="42"/>
  <c r="Y400" i="42"/>
  <c r="X400" i="42"/>
  <c r="AD399" i="42"/>
  <c r="AC399" i="42"/>
  <c r="Y399" i="42"/>
  <c r="X399" i="42"/>
  <c r="AD398" i="42"/>
  <c r="AC398" i="42"/>
  <c r="Y398" i="42"/>
  <c r="X398" i="42"/>
  <c r="AD397" i="42"/>
  <c r="AC397" i="42"/>
  <c r="Y397" i="42"/>
  <c r="X397" i="42"/>
  <c r="AD396" i="42"/>
  <c r="AC396" i="42"/>
  <c r="Y396" i="42"/>
  <c r="X396" i="42"/>
  <c r="AD395" i="42"/>
  <c r="AC395" i="42"/>
  <c r="Y395" i="42"/>
  <c r="X395" i="42"/>
  <c r="AD394" i="42"/>
  <c r="AC394" i="42"/>
  <c r="Y394" i="42"/>
  <c r="X394" i="42"/>
  <c r="AD393" i="42"/>
  <c r="AC393" i="42"/>
  <c r="Y393" i="42"/>
  <c r="X393" i="42"/>
  <c r="AD392" i="42"/>
  <c r="AC392" i="42"/>
  <c r="Y392" i="42"/>
  <c r="X392" i="42"/>
  <c r="AD391" i="42"/>
  <c r="AC391" i="42"/>
  <c r="Y391" i="42"/>
  <c r="X391" i="42"/>
  <c r="AD390" i="42"/>
  <c r="AC390" i="42"/>
  <c r="Y390" i="42"/>
  <c r="X390" i="42"/>
  <c r="AD389" i="42"/>
  <c r="AC389" i="42"/>
  <c r="Y389" i="42"/>
  <c r="X389" i="42"/>
  <c r="AD388" i="42"/>
  <c r="AC388" i="42"/>
  <c r="Y388" i="42"/>
  <c r="X388" i="42"/>
  <c r="AD387" i="42"/>
  <c r="AC387" i="42"/>
  <c r="Y387" i="42"/>
  <c r="X387" i="42"/>
  <c r="AD386" i="42"/>
  <c r="AC386" i="42"/>
  <c r="Y386" i="42"/>
  <c r="X386" i="42"/>
  <c r="AD385" i="42"/>
  <c r="AC385" i="42"/>
  <c r="Y385" i="42"/>
  <c r="X385" i="42"/>
  <c r="AD384" i="42"/>
  <c r="AC384" i="42"/>
  <c r="Y384" i="42"/>
  <c r="X384" i="42"/>
  <c r="AD383" i="42"/>
  <c r="AC383" i="42"/>
  <c r="Y383" i="42"/>
  <c r="X383" i="42"/>
  <c r="AD382" i="42"/>
  <c r="AC382" i="42"/>
  <c r="Y382" i="42"/>
  <c r="X382" i="42"/>
  <c r="AD381" i="42"/>
  <c r="AC381" i="42"/>
  <c r="Y381" i="42"/>
  <c r="X381" i="42"/>
  <c r="AD380" i="42"/>
  <c r="AC380" i="42"/>
  <c r="Y380" i="42"/>
  <c r="X380" i="42"/>
  <c r="AD379" i="42"/>
  <c r="AC379" i="42"/>
  <c r="Y379" i="42"/>
  <c r="X379" i="42"/>
  <c r="AD378" i="42"/>
  <c r="AC378" i="42"/>
  <c r="Y378" i="42"/>
  <c r="X378" i="42"/>
  <c r="AD377" i="42"/>
  <c r="AC377" i="42"/>
  <c r="Y377" i="42"/>
  <c r="X377" i="42"/>
  <c r="AD376" i="42"/>
  <c r="AC376" i="42"/>
  <c r="Y376" i="42"/>
  <c r="X376" i="42"/>
  <c r="AD375" i="42"/>
  <c r="AC375" i="42"/>
  <c r="Y375" i="42"/>
  <c r="X375" i="42"/>
  <c r="AD374" i="42"/>
  <c r="AC374" i="42"/>
  <c r="Y374" i="42"/>
  <c r="X374" i="42"/>
  <c r="AD373" i="42"/>
  <c r="AC373" i="42"/>
  <c r="Y373" i="42"/>
  <c r="X373" i="42"/>
  <c r="AD372" i="42"/>
  <c r="AC372" i="42"/>
  <c r="Y372" i="42"/>
  <c r="X372" i="42"/>
  <c r="AD371" i="42"/>
  <c r="AC371" i="42"/>
  <c r="Y371" i="42"/>
  <c r="X371" i="42"/>
  <c r="AD370" i="42"/>
  <c r="AC370" i="42"/>
  <c r="Y370" i="42"/>
  <c r="X370" i="42"/>
  <c r="AD369" i="42"/>
  <c r="AC369" i="42"/>
  <c r="Y369" i="42"/>
  <c r="X369" i="42"/>
  <c r="AD368" i="42"/>
  <c r="AC368" i="42"/>
  <c r="Y368" i="42"/>
  <c r="X368" i="42"/>
  <c r="AD367" i="42"/>
  <c r="AC367" i="42"/>
  <c r="Y367" i="42"/>
  <c r="X367" i="42"/>
  <c r="AD366" i="42"/>
  <c r="AC366" i="42"/>
  <c r="Y366" i="42"/>
  <c r="X366" i="42"/>
  <c r="AD365" i="42"/>
  <c r="AC365" i="42"/>
  <c r="Y365" i="42"/>
  <c r="X365" i="42"/>
  <c r="AD364" i="42"/>
  <c r="AC364" i="42"/>
  <c r="Y364" i="42"/>
  <c r="X364" i="42"/>
  <c r="AD363" i="42"/>
  <c r="AC363" i="42"/>
  <c r="Y363" i="42"/>
  <c r="X363" i="42"/>
  <c r="AD362" i="42"/>
  <c r="AC362" i="42"/>
  <c r="Y362" i="42"/>
  <c r="X362" i="42"/>
  <c r="AD361" i="42"/>
  <c r="AC361" i="42"/>
  <c r="Y361" i="42"/>
  <c r="X361" i="42"/>
  <c r="AD360" i="42"/>
  <c r="AC360" i="42"/>
  <c r="Y360" i="42"/>
  <c r="X360" i="42"/>
  <c r="AD359" i="42"/>
  <c r="AC359" i="42"/>
  <c r="Y359" i="42"/>
  <c r="X359" i="42"/>
  <c r="AD358" i="42"/>
  <c r="AC358" i="42"/>
  <c r="Y358" i="42"/>
  <c r="X358" i="42"/>
  <c r="AD357" i="42"/>
  <c r="AC357" i="42"/>
  <c r="Y357" i="42"/>
  <c r="X357" i="42"/>
  <c r="AD356" i="42"/>
  <c r="AC356" i="42"/>
  <c r="Y356" i="42"/>
  <c r="X356" i="42"/>
  <c r="AD355" i="42"/>
  <c r="AC355" i="42"/>
  <c r="Y355" i="42"/>
  <c r="X355" i="42"/>
  <c r="AD354" i="42"/>
  <c r="AC354" i="42"/>
  <c r="Y354" i="42"/>
  <c r="X354" i="42"/>
  <c r="AD353" i="42"/>
  <c r="AC353" i="42"/>
  <c r="Y353" i="42"/>
  <c r="X353" i="42"/>
  <c r="AD352" i="42"/>
  <c r="AC352" i="42"/>
  <c r="Y352" i="42"/>
  <c r="X352" i="42"/>
  <c r="AD351" i="42"/>
  <c r="AC351" i="42"/>
  <c r="Y351" i="42"/>
  <c r="X351" i="42"/>
  <c r="AD350" i="42"/>
  <c r="AC350" i="42"/>
  <c r="Y350" i="42"/>
  <c r="X350" i="42"/>
  <c r="AD349" i="42"/>
  <c r="AC349" i="42"/>
  <c r="Y349" i="42"/>
  <c r="X349" i="42"/>
  <c r="AD348" i="42"/>
  <c r="AC348" i="42"/>
  <c r="Y348" i="42"/>
  <c r="X348" i="42"/>
  <c r="AD347" i="42"/>
  <c r="AC347" i="42"/>
  <c r="Y347" i="42"/>
  <c r="X347" i="42"/>
  <c r="AD346" i="42"/>
  <c r="AC346" i="42"/>
  <c r="Y346" i="42"/>
  <c r="X346" i="42"/>
  <c r="AD345" i="42"/>
  <c r="AC345" i="42"/>
  <c r="Y345" i="42"/>
  <c r="X345" i="42"/>
  <c r="AD344" i="42"/>
  <c r="AC344" i="42"/>
  <c r="Y344" i="42"/>
  <c r="X344" i="42"/>
  <c r="AD343" i="42"/>
  <c r="AC343" i="42"/>
  <c r="Y343" i="42"/>
  <c r="X343" i="42"/>
  <c r="AD342" i="42"/>
  <c r="AC342" i="42"/>
  <c r="Y342" i="42"/>
  <c r="X342" i="42"/>
  <c r="AD341" i="42"/>
  <c r="AC341" i="42"/>
  <c r="Y341" i="42"/>
  <c r="X341" i="42"/>
  <c r="AD340" i="42"/>
  <c r="AC340" i="42"/>
  <c r="Y340" i="42"/>
  <c r="X340" i="42"/>
  <c r="AD339" i="42"/>
  <c r="AC339" i="42"/>
  <c r="Y339" i="42"/>
  <c r="X339" i="42"/>
  <c r="AD338" i="42"/>
  <c r="AC338" i="42"/>
  <c r="Y338" i="42"/>
  <c r="X338" i="42"/>
  <c r="AD337" i="42"/>
  <c r="AC337" i="42"/>
  <c r="Y337" i="42"/>
  <c r="X337" i="42"/>
  <c r="AD336" i="42"/>
  <c r="AC336" i="42"/>
  <c r="Y336" i="42"/>
  <c r="X336" i="42"/>
  <c r="AD335" i="42"/>
  <c r="AC335" i="42"/>
  <c r="Y335" i="42"/>
  <c r="X335" i="42"/>
  <c r="AD334" i="42"/>
  <c r="AC334" i="42"/>
  <c r="Y334" i="42"/>
  <c r="X334" i="42"/>
  <c r="AD333" i="42"/>
  <c r="AC333" i="42"/>
  <c r="Y333" i="42"/>
  <c r="X333" i="42"/>
  <c r="AD332" i="42"/>
  <c r="AC332" i="42"/>
  <c r="Y332" i="42"/>
  <c r="X332" i="42"/>
  <c r="AD331" i="42"/>
  <c r="AC331" i="42"/>
  <c r="Y331" i="42"/>
  <c r="X331" i="42"/>
  <c r="AD330" i="42"/>
  <c r="AC330" i="42"/>
  <c r="Y330" i="42"/>
  <c r="X330" i="42"/>
  <c r="AD329" i="42"/>
  <c r="AC329" i="42"/>
  <c r="Y329" i="42"/>
  <c r="X329" i="42"/>
  <c r="AD328" i="42"/>
  <c r="AC328" i="42"/>
  <c r="Y328" i="42"/>
  <c r="X328" i="42"/>
  <c r="AD327" i="42"/>
  <c r="AC327" i="42"/>
  <c r="Y327" i="42"/>
  <c r="X327" i="42"/>
  <c r="AD326" i="42"/>
  <c r="AC326" i="42"/>
  <c r="Y326" i="42"/>
  <c r="X326" i="42"/>
  <c r="AD325" i="42"/>
  <c r="AC325" i="42"/>
  <c r="Y325" i="42"/>
  <c r="X325" i="42"/>
  <c r="AD324" i="42"/>
  <c r="AC324" i="42"/>
  <c r="Y324" i="42"/>
  <c r="X324" i="42"/>
  <c r="AD323" i="42"/>
  <c r="AC323" i="42"/>
  <c r="Y323" i="42"/>
  <c r="X323" i="42"/>
  <c r="AD322" i="42"/>
  <c r="AC322" i="42"/>
  <c r="Y322" i="42"/>
  <c r="X322" i="42"/>
  <c r="AD321" i="42"/>
  <c r="AC321" i="42"/>
  <c r="Y321" i="42"/>
  <c r="X321" i="42"/>
  <c r="AD320" i="42"/>
  <c r="AC320" i="42"/>
  <c r="Y320" i="42"/>
  <c r="X320" i="42"/>
  <c r="AD319" i="42"/>
  <c r="AC319" i="42"/>
  <c r="Y319" i="42"/>
  <c r="X319" i="42"/>
  <c r="AD318" i="42"/>
  <c r="AC318" i="42"/>
  <c r="Y318" i="42"/>
  <c r="X318" i="42"/>
  <c r="AD317" i="42"/>
  <c r="AC317" i="42"/>
  <c r="Y317" i="42"/>
  <c r="X317" i="42"/>
  <c r="AD316" i="42"/>
  <c r="AC316" i="42"/>
  <c r="Y316" i="42"/>
  <c r="X316" i="42"/>
  <c r="AD315" i="42"/>
  <c r="AC315" i="42"/>
  <c r="Y315" i="42"/>
  <c r="X315" i="42"/>
  <c r="AD314" i="42"/>
  <c r="AC314" i="42"/>
  <c r="Y314" i="42"/>
  <c r="X314" i="42"/>
  <c r="AD313" i="42"/>
  <c r="AC313" i="42"/>
  <c r="Y313" i="42"/>
  <c r="X313" i="42"/>
  <c r="AD312" i="42"/>
  <c r="AC312" i="42"/>
  <c r="Y312" i="42"/>
  <c r="X312" i="42"/>
  <c r="AD311" i="42"/>
  <c r="AC311" i="42"/>
  <c r="Y311" i="42"/>
  <c r="X311" i="42"/>
  <c r="AD310" i="42"/>
  <c r="AC310" i="42"/>
  <c r="Y310" i="42"/>
  <c r="X310" i="42"/>
  <c r="AD309" i="42"/>
  <c r="AC309" i="42"/>
  <c r="Y309" i="42"/>
  <c r="X309" i="42"/>
  <c r="AD308" i="42"/>
  <c r="AC308" i="42"/>
  <c r="Y308" i="42"/>
  <c r="X308" i="42"/>
  <c r="AD307" i="42"/>
  <c r="AC307" i="42"/>
  <c r="Y307" i="42"/>
  <c r="X307" i="42"/>
  <c r="AD306" i="42"/>
  <c r="AC306" i="42"/>
  <c r="Y306" i="42"/>
  <c r="X306" i="42"/>
  <c r="AD305" i="42"/>
  <c r="AC305" i="42"/>
  <c r="Y305" i="42"/>
  <c r="X305" i="42"/>
  <c r="AD304" i="42"/>
  <c r="AC304" i="42"/>
  <c r="Y304" i="42"/>
  <c r="X304" i="42"/>
  <c r="AD303" i="42"/>
  <c r="AC303" i="42"/>
  <c r="Y303" i="42"/>
  <c r="X303" i="42"/>
  <c r="AD302" i="42"/>
  <c r="AC302" i="42"/>
  <c r="Y302" i="42"/>
  <c r="X302" i="42"/>
  <c r="AD301" i="42"/>
  <c r="AC301" i="42"/>
  <c r="Y301" i="42"/>
  <c r="X301" i="42"/>
  <c r="AD300" i="42"/>
  <c r="AC300" i="42"/>
  <c r="Y300" i="42"/>
  <c r="X300" i="42"/>
  <c r="AD299" i="42"/>
  <c r="AC299" i="42"/>
  <c r="Y299" i="42"/>
  <c r="X299" i="42"/>
  <c r="AD298" i="42"/>
  <c r="AC298" i="42"/>
  <c r="Y298" i="42"/>
  <c r="X298" i="42"/>
  <c r="AD297" i="42"/>
  <c r="AC297" i="42"/>
  <c r="Y297" i="42"/>
  <c r="X297" i="42"/>
  <c r="AD296" i="42"/>
  <c r="AC296" i="42"/>
  <c r="Y296" i="42"/>
  <c r="X296" i="42"/>
  <c r="AD295" i="42"/>
  <c r="AC295" i="42"/>
  <c r="Y295" i="42"/>
  <c r="X295" i="42"/>
  <c r="AD294" i="42"/>
  <c r="AC294" i="42"/>
  <c r="Y294" i="42"/>
  <c r="X294" i="42"/>
  <c r="AD293" i="42"/>
  <c r="AC293" i="42"/>
  <c r="Y293" i="42"/>
  <c r="X293" i="42"/>
  <c r="AD292" i="42"/>
  <c r="AC292" i="42"/>
  <c r="Y292" i="42"/>
  <c r="X292" i="42"/>
  <c r="AD291" i="42"/>
  <c r="AC291" i="42"/>
  <c r="Y291" i="42"/>
  <c r="X291" i="42"/>
  <c r="AD290" i="42"/>
  <c r="AC290" i="42"/>
  <c r="Y290" i="42"/>
  <c r="X290" i="42"/>
  <c r="AD289" i="42"/>
  <c r="AC289" i="42"/>
  <c r="Y289" i="42"/>
  <c r="X289" i="42"/>
  <c r="AD288" i="42"/>
  <c r="AC288" i="42"/>
  <c r="Y288" i="42"/>
  <c r="X288" i="42"/>
  <c r="AD287" i="42"/>
  <c r="AC287" i="42"/>
  <c r="Y287" i="42"/>
  <c r="X287" i="42"/>
  <c r="AD286" i="42"/>
  <c r="AC286" i="42"/>
  <c r="Y286" i="42"/>
  <c r="X286" i="42"/>
  <c r="AD285" i="42"/>
  <c r="AC285" i="42"/>
  <c r="Y285" i="42"/>
  <c r="X285" i="42"/>
  <c r="AD284" i="42"/>
  <c r="AC284" i="42"/>
  <c r="Y284" i="42"/>
  <c r="X284" i="42"/>
  <c r="AD283" i="42"/>
  <c r="AC283" i="42"/>
  <c r="Y283" i="42"/>
  <c r="X283" i="42"/>
  <c r="AD282" i="42"/>
  <c r="AC282" i="42"/>
  <c r="Y282" i="42"/>
  <c r="X282" i="42"/>
  <c r="AD281" i="42"/>
  <c r="AC281" i="42"/>
  <c r="Y281" i="42"/>
  <c r="X281" i="42"/>
  <c r="AD280" i="42"/>
  <c r="AC280" i="42"/>
  <c r="Y280" i="42"/>
  <c r="X280" i="42"/>
  <c r="AD279" i="42"/>
  <c r="AC279" i="42"/>
  <c r="Y279" i="42"/>
  <c r="X279" i="42"/>
  <c r="AD278" i="42"/>
  <c r="AC278" i="42"/>
  <c r="Y278" i="42"/>
  <c r="X278" i="42"/>
  <c r="AD277" i="42"/>
  <c r="AC277" i="42"/>
  <c r="Y277" i="42"/>
  <c r="X277" i="42"/>
  <c r="AD276" i="42"/>
  <c r="AC276" i="42"/>
  <c r="Y276" i="42"/>
  <c r="X276" i="42"/>
  <c r="AD275" i="42"/>
  <c r="AC275" i="42"/>
  <c r="Y275" i="42"/>
  <c r="X275" i="42"/>
  <c r="AD274" i="42"/>
  <c r="AC274" i="42"/>
  <c r="Y274" i="42"/>
  <c r="X274" i="42"/>
  <c r="AD273" i="42"/>
  <c r="AC273" i="42"/>
  <c r="Y273" i="42"/>
  <c r="X273" i="42"/>
  <c r="AD272" i="42"/>
  <c r="AC272" i="42"/>
  <c r="Y272" i="42"/>
  <c r="X272" i="42"/>
  <c r="AD271" i="42"/>
  <c r="AC271" i="42"/>
  <c r="Y271" i="42"/>
  <c r="X271" i="42"/>
  <c r="AD270" i="42"/>
  <c r="AC270" i="42"/>
  <c r="Y270" i="42"/>
  <c r="X270" i="42"/>
  <c r="AD269" i="42"/>
  <c r="AC269" i="42"/>
  <c r="Y269" i="42"/>
  <c r="X269" i="42"/>
  <c r="AD268" i="42"/>
  <c r="AC268" i="42"/>
  <c r="Y268" i="42"/>
  <c r="X268" i="42"/>
  <c r="AD267" i="42"/>
  <c r="AC267" i="42"/>
  <c r="Y267" i="42"/>
  <c r="X267" i="42"/>
  <c r="AD266" i="42"/>
  <c r="AC266" i="42"/>
  <c r="Y266" i="42"/>
  <c r="X266" i="42"/>
  <c r="AD265" i="42"/>
  <c r="AC265" i="42"/>
  <c r="Y265" i="42"/>
  <c r="X265" i="42"/>
  <c r="AD264" i="42"/>
  <c r="AC264" i="42"/>
  <c r="Y264" i="42"/>
  <c r="X264" i="42"/>
  <c r="AD263" i="42"/>
  <c r="AC263" i="42"/>
  <c r="Y263" i="42"/>
  <c r="X263" i="42"/>
  <c r="AD262" i="42"/>
  <c r="AC262" i="42"/>
  <c r="Y262" i="42"/>
  <c r="X262" i="42"/>
  <c r="AD261" i="42"/>
  <c r="AC261" i="42"/>
  <c r="Y261" i="42"/>
  <c r="X261" i="42"/>
  <c r="AD260" i="42"/>
  <c r="AC260" i="42"/>
  <c r="Y260" i="42"/>
  <c r="X260" i="42"/>
  <c r="AD259" i="42"/>
  <c r="AC259" i="42"/>
  <c r="Y259" i="42"/>
  <c r="X259" i="42"/>
  <c r="AD258" i="42"/>
  <c r="AC258" i="42"/>
  <c r="Y258" i="42"/>
  <c r="X258" i="42"/>
  <c r="AD257" i="42"/>
  <c r="AC257" i="42"/>
  <c r="Y257" i="42"/>
  <c r="X257" i="42"/>
  <c r="AD256" i="42"/>
  <c r="AC256" i="42"/>
  <c r="Y256" i="42"/>
  <c r="X256" i="42"/>
  <c r="AD255" i="42"/>
  <c r="AC255" i="42"/>
  <c r="Y255" i="42"/>
  <c r="X255" i="42"/>
  <c r="AD254" i="42"/>
  <c r="AC254" i="42"/>
  <c r="Y254" i="42"/>
  <c r="X254" i="42"/>
  <c r="AD253" i="42"/>
  <c r="AC253" i="42"/>
  <c r="Y253" i="42"/>
  <c r="X253" i="42"/>
  <c r="AD252" i="42"/>
  <c r="AC252" i="42"/>
  <c r="Y252" i="42"/>
  <c r="X252" i="42"/>
  <c r="AD251" i="42"/>
  <c r="AC251" i="42"/>
  <c r="Y251" i="42"/>
  <c r="X251" i="42"/>
  <c r="AD250" i="42"/>
  <c r="AC250" i="42"/>
  <c r="Y250" i="42"/>
  <c r="X250" i="42"/>
  <c r="AD249" i="42"/>
  <c r="AC249" i="42"/>
  <c r="Y249" i="42"/>
  <c r="X249" i="42"/>
  <c r="AD248" i="42"/>
  <c r="AC248" i="42"/>
  <c r="Y248" i="42"/>
  <c r="X248" i="42"/>
  <c r="AD247" i="42"/>
  <c r="AC247" i="42"/>
  <c r="Y247" i="42"/>
  <c r="X247" i="42"/>
  <c r="AD246" i="42"/>
  <c r="AC246" i="42"/>
  <c r="Y246" i="42"/>
  <c r="X246" i="42"/>
  <c r="AD245" i="42"/>
  <c r="AC245" i="42"/>
  <c r="Y245" i="42"/>
  <c r="X245" i="42"/>
  <c r="AD244" i="42"/>
  <c r="AC244" i="42"/>
  <c r="Y244" i="42"/>
  <c r="X244" i="42"/>
  <c r="AD243" i="42"/>
  <c r="AC243" i="42"/>
  <c r="Y243" i="42"/>
  <c r="X243" i="42"/>
  <c r="AD242" i="42"/>
  <c r="AC242" i="42"/>
  <c r="Y242" i="42"/>
  <c r="X242" i="42"/>
  <c r="AD241" i="42"/>
  <c r="AC241" i="42"/>
  <c r="Y241" i="42"/>
  <c r="X241" i="42"/>
  <c r="AD240" i="42"/>
  <c r="AC240" i="42"/>
  <c r="Y240" i="42"/>
  <c r="X240" i="42"/>
  <c r="AD239" i="42"/>
  <c r="AC239" i="42"/>
  <c r="Y239" i="42"/>
  <c r="X239" i="42"/>
  <c r="AD238" i="42"/>
  <c r="AC238" i="42"/>
  <c r="Y238" i="42"/>
  <c r="X238" i="42"/>
  <c r="AD237" i="42"/>
  <c r="AC237" i="42"/>
  <c r="Y237" i="42"/>
  <c r="X237" i="42"/>
  <c r="AD236" i="42"/>
  <c r="AC236" i="42"/>
  <c r="Y236" i="42"/>
  <c r="X236" i="42"/>
  <c r="AD235" i="42"/>
  <c r="AC235" i="42"/>
  <c r="Y235" i="42"/>
  <c r="X235" i="42"/>
  <c r="AD234" i="42"/>
  <c r="AC234" i="42"/>
  <c r="Y234" i="42"/>
  <c r="X234" i="42"/>
  <c r="AD233" i="42"/>
  <c r="AC233" i="42"/>
  <c r="Y233" i="42"/>
  <c r="X233" i="42"/>
  <c r="AD232" i="42"/>
  <c r="AC232" i="42"/>
  <c r="Y232" i="42"/>
  <c r="X232" i="42"/>
  <c r="AD231" i="42"/>
  <c r="AC231" i="42"/>
  <c r="Y231" i="42"/>
  <c r="X231" i="42"/>
  <c r="AD230" i="42"/>
  <c r="AC230" i="42"/>
  <c r="Y230" i="42"/>
  <c r="X230" i="42"/>
  <c r="AD229" i="42"/>
  <c r="AC229" i="42"/>
  <c r="Y229" i="42"/>
  <c r="X229" i="42"/>
  <c r="AD228" i="42"/>
  <c r="AC228" i="42"/>
  <c r="Y228" i="42"/>
  <c r="X228" i="42"/>
  <c r="AD227" i="42"/>
  <c r="AC227" i="42"/>
  <c r="Y227" i="42"/>
  <c r="X227" i="42"/>
  <c r="AD226" i="42"/>
  <c r="AC226" i="42"/>
  <c r="Y226" i="42"/>
  <c r="X226" i="42"/>
  <c r="AD225" i="42"/>
  <c r="AC225" i="42"/>
  <c r="Y225" i="42"/>
  <c r="X225" i="42"/>
  <c r="AD224" i="42"/>
  <c r="AC224" i="42"/>
  <c r="Y224" i="42"/>
  <c r="X224" i="42"/>
  <c r="AD223" i="42"/>
  <c r="AC223" i="42"/>
  <c r="Y223" i="42"/>
  <c r="X223" i="42"/>
  <c r="AD222" i="42"/>
  <c r="AC222" i="42"/>
  <c r="Y222" i="42"/>
  <c r="X222" i="42"/>
  <c r="AD221" i="42"/>
  <c r="AC221" i="42"/>
  <c r="Y221" i="42"/>
  <c r="X221" i="42"/>
  <c r="AD220" i="42"/>
  <c r="AC220" i="42"/>
  <c r="Y220" i="42"/>
  <c r="X220" i="42"/>
  <c r="AD219" i="42"/>
  <c r="AC219" i="42"/>
  <c r="Y219" i="42"/>
  <c r="X219" i="42"/>
  <c r="AD218" i="42"/>
  <c r="AC218" i="42"/>
  <c r="Y218" i="42"/>
  <c r="X218" i="42"/>
  <c r="AD217" i="42"/>
  <c r="AC217" i="42"/>
  <c r="Y217" i="42"/>
  <c r="X217" i="42"/>
  <c r="AD216" i="42"/>
  <c r="AC216" i="42"/>
  <c r="Y216" i="42"/>
  <c r="X216" i="42"/>
  <c r="AD215" i="42"/>
  <c r="AC215" i="42"/>
  <c r="Y215" i="42"/>
  <c r="X215" i="42"/>
  <c r="AD214" i="42"/>
  <c r="AC214" i="42"/>
  <c r="Y214" i="42"/>
  <c r="X214" i="42"/>
  <c r="AD213" i="42"/>
  <c r="AC213" i="42"/>
  <c r="Y213" i="42"/>
  <c r="X213" i="42"/>
  <c r="AD212" i="42"/>
  <c r="AC212" i="42"/>
  <c r="Y212" i="42"/>
  <c r="X212" i="42"/>
  <c r="AD211" i="42"/>
  <c r="AC211" i="42"/>
  <c r="Y211" i="42"/>
  <c r="X211" i="42"/>
  <c r="AD210" i="42"/>
  <c r="AC210" i="42"/>
  <c r="Y210" i="42"/>
  <c r="X210" i="42"/>
  <c r="AD209" i="42"/>
  <c r="AC209" i="42"/>
  <c r="Y209" i="42"/>
  <c r="X209" i="42"/>
  <c r="AD208" i="42"/>
  <c r="AC208" i="42"/>
  <c r="Y208" i="42"/>
  <c r="X208" i="42"/>
  <c r="AD207" i="42"/>
  <c r="AC207" i="42"/>
  <c r="Y207" i="42"/>
  <c r="X207" i="42"/>
  <c r="AD206" i="42"/>
  <c r="AC206" i="42"/>
  <c r="Y206" i="42"/>
  <c r="X206" i="42"/>
  <c r="AD205" i="42"/>
  <c r="AC205" i="42"/>
  <c r="Y205" i="42"/>
  <c r="X205" i="42"/>
  <c r="AD204" i="42"/>
  <c r="AC204" i="42"/>
  <c r="Y204" i="42"/>
  <c r="X204" i="42"/>
  <c r="AD203" i="42"/>
  <c r="AC203" i="42"/>
  <c r="Y203" i="42"/>
  <c r="X203" i="42"/>
  <c r="AD202" i="42"/>
  <c r="AC202" i="42"/>
  <c r="Y202" i="42"/>
  <c r="X202" i="42"/>
  <c r="AD201" i="42"/>
  <c r="AC201" i="42"/>
  <c r="Y201" i="42"/>
  <c r="X201" i="42"/>
  <c r="AD200" i="42"/>
  <c r="AC200" i="42"/>
  <c r="Y200" i="42"/>
  <c r="X200" i="42"/>
  <c r="AD199" i="42"/>
  <c r="AC199" i="42"/>
  <c r="Y199" i="42"/>
  <c r="X199" i="42"/>
  <c r="AD198" i="42"/>
  <c r="AC198" i="42"/>
  <c r="Y198" i="42"/>
  <c r="X198" i="42"/>
  <c r="AD197" i="42"/>
  <c r="AC197" i="42"/>
  <c r="Y197" i="42"/>
  <c r="X197" i="42"/>
  <c r="AD196" i="42"/>
  <c r="AC196" i="42"/>
  <c r="Y196" i="42"/>
  <c r="X196" i="42"/>
  <c r="AD195" i="42"/>
  <c r="AC195" i="42"/>
  <c r="Y195" i="42"/>
  <c r="X195" i="42"/>
  <c r="AD194" i="42"/>
  <c r="AC194" i="42"/>
  <c r="Y194" i="42"/>
  <c r="X194" i="42"/>
  <c r="AD193" i="42"/>
  <c r="AC193" i="42"/>
  <c r="Y193" i="42"/>
  <c r="X193" i="42"/>
  <c r="AD192" i="42"/>
  <c r="AC192" i="42"/>
  <c r="Y192" i="42"/>
  <c r="X192" i="42"/>
  <c r="AD191" i="42"/>
  <c r="AC191" i="42"/>
  <c r="Y191" i="42"/>
  <c r="X191" i="42"/>
  <c r="AD190" i="42"/>
  <c r="AC190" i="42"/>
  <c r="Y190" i="42"/>
  <c r="X190" i="42"/>
  <c r="AD189" i="42"/>
  <c r="AC189" i="42"/>
  <c r="Y189" i="42"/>
  <c r="X189" i="42"/>
  <c r="AD188" i="42"/>
  <c r="AC188" i="42"/>
  <c r="Y188" i="42"/>
  <c r="X188" i="42"/>
  <c r="AD187" i="42"/>
  <c r="AC187" i="42"/>
  <c r="Y187" i="42"/>
  <c r="X187" i="42"/>
  <c r="AD186" i="42"/>
  <c r="AC186" i="42"/>
  <c r="Y186" i="42"/>
  <c r="X186" i="42"/>
  <c r="AD185" i="42"/>
  <c r="AC185" i="42"/>
  <c r="Y185" i="42"/>
  <c r="X185" i="42"/>
  <c r="AD184" i="42"/>
  <c r="AC184" i="42"/>
  <c r="Y184" i="42"/>
  <c r="X184" i="42"/>
  <c r="AD183" i="42"/>
  <c r="AC183" i="42"/>
  <c r="Y183" i="42"/>
  <c r="X183" i="42"/>
  <c r="AD182" i="42"/>
  <c r="AC182" i="42"/>
  <c r="Y182" i="42"/>
  <c r="X182" i="42"/>
  <c r="AD181" i="42"/>
  <c r="AC181" i="42"/>
  <c r="Y181" i="42"/>
  <c r="X181" i="42"/>
  <c r="AD180" i="42"/>
  <c r="AC180" i="42"/>
  <c r="Y180" i="42"/>
  <c r="X180" i="42"/>
  <c r="AD179" i="42"/>
  <c r="AC179" i="42"/>
  <c r="Y179" i="42"/>
  <c r="X179" i="42"/>
  <c r="AD178" i="42"/>
  <c r="AC178" i="42"/>
  <c r="Y178" i="42"/>
  <c r="X178" i="42"/>
  <c r="AD177" i="42"/>
  <c r="AC177" i="42"/>
  <c r="Y177" i="42"/>
  <c r="X177" i="42"/>
  <c r="AD176" i="42"/>
  <c r="AC176" i="42"/>
  <c r="Y176" i="42"/>
  <c r="X176" i="42"/>
  <c r="AD175" i="42"/>
  <c r="AC175" i="42"/>
  <c r="Y175" i="42"/>
  <c r="X175" i="42"/>
  <c r="AD174" i="42"/>
  <c r="AC174" i="42"/>
  <c r="Y174" i="42"/>
  <c r="X174" i="42"/>
  <c r="AD173" i="42"/>
  <c r="AC173" i="42"/>
  <c r="Y173" i="42"/>
  <c r="X173" i="42"/>
  <c r="AD172" i="42"/>
  <c r="AC172" i="42"/>
  <c r="Y172" i="42"/>
  <c r="X172" i="42"/>
  <c r="AD171" i="42"/>
  <c r="AC171" i="42"/>
  <c r="Y171" i="42"/>
  <c r="X171" i="42"/>
  <c r="AD170" i="42"/>
  <c r="AC170" i="42"/>
  <c r="Y170" i="42"/>
  <c r="X170" i="42"/>
  <c r="AD169" i="42"/>
  <c r="AC169" i="42"/>
  <c r="Y169" i="42"/>
  <c r="X169" i="42"/>
  <c r="AD168" i="42"/>
  <c r="AC168" i="42"/>
  <c r="Y168" i="42"/>
  <c r="X168" i="42"/>
  <c r="AD167" i="42"/>
  <c r="AC167" i="42"/>
  <c r="Y167" i="42"/>
  <c r="X167" i="42"/>
  <c r="AD166" i="42"/>
  <c r="AC166" i="42"/>
  <c r="Y166" i="42"/>
  <c r="X166" i="42"/>
  <c r="AD165" i="42"/>
  <c r="AC165" i="42"/>
  <c r="Y165" i="42"/>
  <c r="X165" i="42"/>
  <c r="AD164" i="42"/>
  <c r="AC164" i="42"/>
  <c r="Y164" i="42"/>
  <c r="X164" i="42"/>
  <c r="AD163" i="42"/>
  <c r="AC163" i="42"/>
  <c r="Y163" i="42"/>
  <c r="X163" i="42"/>
  <c r="AD162" i="42"/>
  <c r="AC162" i="42"/>
  <c r="Y162" i="42"/>
  <c r="X162" i="42"/>
  <c r="AD161" i="42"/>
  <c r="AC161" i="42"/>
  <c r="Y161" i="42"/>
  <c r="X161" i="42"/>
  <c r="AD160" i="42"/>
  <c r="AC160" i="42"/>
  <c r="Y160" i="42"/>
  <c r="X160" i="42"/>
  <c r="AD159" i="42"/>
  <c r="AC159" i="42"/>
  <c r="Y159" i="42"/>
  <c r="X159" i="42"/>
  <c r="AD158" i="42"/>
  <c r="AC158" i="42"/>
  <c r="Y158" i="42"/>
  <c r="X158" i="42"/>
  <c r="AD157" i="42"/>
  <c r="AC157" i="42"/>
  <c r="AD156" i="42"/>
  <c r="AC156" i="42"/>
  <c r="AD155" i="42"/>
  <c r="AC155" i="42"/>
  <c r="AD154" i="42"/>
  <c r="AC154" i="42"/>
  <c r="AD153" i="42"/>
  <c r="AC153" i="42"/>
  <c r="AD152" i="42"/>
  <c r="AC152" i="42"/>
  <c r="AD151" i="42"/>
  <c r="AC151" i="42"/>
  <c r="AD150" i="42"/>
  <c r="AC150" i="42"/>
  <c r="AD149" i="42"/>
  <c r="AC149" i="42"/>
  <c r="AD148" i="42"/>
  <c r="AC148" i="42"/>
  <c r="AD147" i="42"/>
  <c r="AC147" i="42"/>
  <c r="AD146" i="42"/>
  <c r="AC146" i="42"/>
  <c r="AD145" i="42"/>
  <c r="AC145" i="42"/>
  <c r="AF144" i="42"/>
  <c r="AF652" i="42" s="1"/>
  <c r="AD144" i="42"/>
  <c r="AC144" i="42"/>
  <c r="Y144" i="42"/>
  <c r="X144" i="42"/>
  <c r="AD143" i="42"/>
  <c r="AC143" i="42"/>
  <c r="Y143" i="42"/>
  <c r="X143" i="42"/>
  <c r="AD142" i="42"/>
  <c r="AC142" i="42"/>
  <c r="Y142" i="42"/>
  <c r="X142" i="42"/>
  <c r="AD141" i="42"/>
  <c r="AC141" i="42"/>
  <c r="Y141" i="42"/>
  <c r="X141" i="42"/>
  <c r="AD140" i="42"/>
  <c r="AC140" i="42"/>
  <c r="Y140" i="42"/>
  <c r="X140" i="42"/>
  <c r="AD139" i="42"/>
  <c r="AC139" i="42"/>
  <c r="Y139" i="42"/>
  <c r="X139" i="42"/>
  <c r="AD138" i="42"/>
  <c r="AC138" i="42"/>
  <c r="Y138" i="42"/>
  <c r="X138" i="42"/>
  <c r="AD137" i="42"/>
  <c r="AC137" i="42"/>
  <c r="Y137" i="42"/>
  <c r="X137" i="42"/>
  <c r="AD136" i="42"/>
  <c r="AC136" i="42"/>
  <c r="Y136" i="42"/>
  <c r="X136" i="42"/>
  <c r="AD135" i="42"/>
  <c r="AC135" i="42"/>
  <c r="Y135" i="42"/>
  <c r="X135" i="42"/>
  <c r="AD134" i="42"/>
  <c r="AC134" i="42"/>
  <c r="Y134" i="42"/>
  <c r="X134" i="42"/>
  <c r="AD133" i="42"/>
  <c r="AC133" i="42"/>
  <c r="Y133" i="42"/>
  <c r="X133" i="42"/>
  <c r="AD132" i="42"/>
  <c r="AC132" i="42"/>
  <c r="Y132" i="42"/>
  <c r="X132" i="42"/>
  <c r="AD131" i="42"/>
  <c r="AC131" i="42"/>
  <c r="Y131" i="42"/>
  <c r="X131" i="42"/>
  <c r="AD130" i="42"/>
  <c r="AC130" i="42"/>
  <c r="Y130" i="42"/>
  <c r="X130" i="42"/>
  <c r="AD129" i="42"/>
  <c r="AC129" i="42"/>
  <c r="Y129" i="42"/>
  <c r="X129" i="42"/>
  <c r="AD128" i="42"/>
  <c r="AC128" i="42"/>
  <c r="Y128" i="42"/>
  <c r="X128" i="42"/>
  <c r="AD127" i="42"/>
  <c r="AC127" i="42"/>
  <c r="Y127" i="42"/>
  <c r="X127" i="42"/>
  <c r="AD126" i="42"/>
  <c r="AC126" i="42"/>
  <c r="Y126" i="42"/>
  <c r="X126" i="42"/>
  <c r="AD125" i="42"/>
  <c r="AC125" i="42"/>
  <c r="Y125" i="42"/>
  <c r="X125" i="42"/>
  <c r="AD124" i="42"/>
  <c r="AC124" i="42"/>
  <c r="Y124" i="42"/>
  <c r="X124" i="42"/>
  <c r="AD123" i="42"/>
  <c r="AC123" i="42"/>
  <c r="Y123" i="42"/>
  <c r="X123" i="42"/>
  <c r="AD122" i="42"/>
  <c r="AC122" i="42"/>
  <c r="Y122" i="42"/>
  <c r="X122" i="42"/>
  <c r="AD121" i="42"/>
  <c r="AC121" i="42"/>
  <c r="Y121" i="42"/>
  <c r="X121" i="42"/>
  <c r="AD120" i="42"/>
  <c r="AC120" i="42"/>
  <c r="Y120" i="42"/>
  <c r="X120" i="42"/>
  <c r="AD119" i="42"/>
  <c r="AC119" i="42"/>
  <c r="Y119" i="42"/>
  <c r="X119" i="42"/>
  <c r="AD118" i="42"/>
  <c r="AC118" i="42"/>
  <c r="Y118" i="42"/>
  <c r="X118" i="42"/>
  <c r="AD117" i="42"/>
  <c r="AC117" i="42"/>
  <c r="Y117" i="42"/>
  <c r="X117" i="42"/>
  <c r="AD116" i="42"/>
  <c r="AC116" i="42"/>
  <c r="Y116" i="42"/>
  <c r="X116" i="42"/>
  <c r="AD115" i="42"/>
  <c r="AC115" i="42"/>
  <c r="Y115" i="42"/>
  <c r="X115" i="42"/>
  <c r="AD114" i="42"/>
  <c r="AC114" i="42"/>
  <c r="Y114" i="42"/>
  <c r="X114" i="42"/>
  <c r="AD113" i="42"/>
  <c r="AC113" i="42"/>
  <c r="Y113" i="42"/>
  <c r="X113" i="42"/>
  <c r="AD112" i="42"/>
  <c r="AC112" i="42"/>
  <c r="Y112" i="42"/>
  <c r="X112" i="42"/>
  <c r="AD111" i="42"/>
  <c r="AC111" i="42"/>
  <c r="Y111" i="42"/>
  <c r="X111" i="42"/>
  <c r="AD110" i="42"/>
  <c r="AC110" i="42"/>
  <c r="Y110" i="42"/>
  <c r="X110" i="42"/>
  <c r="AD109" i="42"/>
  <c r="AC109" i="42"/>
  <c r="Y109" i="42"/>
  <c r="X109" i="42"/>
  <c r="AD108" i="42"/>
  <c r="AC108" i="42"/>
  <c r="Y108" i="42"/>
  <c r="X108" i="42"/>
  <c r="AD107" i="42"/>
  <c r="AC107" i="42"/>
  <c r="Y107" i="42"/>
  <c r="X107" i="42"/>
  <c r="AD106" i="42"/>
  <c r="AC106" i="42"/>
  <c r="Y106" i="42"/>
  <c r="X106" i="42"/>
  <c r="AD105" i="42"/>
  <c r="AC105" i="42"/>
  <c r="Y105" i="42"/>
  <c r="X105" i="42"/>
  <c r="AD104" i="42"/>
  <c r="AC104" i="42"/>
  <c r="Y104" i="42"/>
  <c r="X104" i="42"/>
  <c r="AD103" i="42"/>
  <c r="AC103" i="42"/>
  <c r="Y103" i="42"/>
  <c r="X103" i="42"/>
  <c r="AD102" i="42"/>
  <c r="AC102" i="42"/>
  <c r="Y102" i="42"/>
  <c r="X102" i="42"/>
  <c r="AD101" i="42"/>
  <c r="AC101" i="42"/>
  <c r="Y101" i="42"/>
  <c r="X101" i="42"/>
  <c r="AD100" i="42"/>
  <c r="AC100" i="42"/>
  <c r="Y100" i="42"/>
  <c r="X100" i="42"/>
  <c r="AD99" i="42"/>
  <c r="AC99" i="42"/>
  <c r="Y99" i="42"/>
  <c r="X99" i="42"/>
  <c r="AD98" i="42"/>
  <c r="AC98" i="42"/>
  <c r="Y98" i="42"/>
  <c r="X98" i="42"/>
  <c r="AD97" i="42"/>
  <c r="AC97" i="42"/>
  <c r="Y97" i="42"/>
  <c r="X97" i="42"/>
  <c r="AD96" i="42"/>
  <c r="AC96" i="42"/>
  <c r="Y96" i="42"/>
  <c r="X96" i="42"/>
  <c r="AD95" i="42"/>
  <c r="AC95" i="42"/>
  <c r="Y95" i="42"/>
  <c r="X95" i="42"/>
  <c r="AD94" i="42"/>
  <c r="AC94" i="42"/>
  <c r="Y94" i="42"/>
  <c r="X94" i="42"/>
  <c r="AD93" i="42"/>
  <c r="AC93" i="42"/>
  <c r="Y93" i="42"/>
  <c r="X93" i="42"/>
  <c r="AD92" i="42"/>
  <c r="AC92" i="42"/>
  <c r="Y92" i="42"/>
  <c r="X92" i="42"/>
  <c r="AD91" i="42"/>
  <c r="AC91" i="42"/>
  <c r="Y91" i="42"/>
  <c r="X91" i="42"/>
  <c r="AD90" i="42"/>
  <c r="AC90" i="42"/>
  <c r="Y90" i="42"/>
  <c r="X90" i="42"/>
  <c r="AD89" i="42"/>
  <c r="AC89" i="42"/>
  <c r="Y89" i="42"/>
  <c r="X89" i="42"/>
  <c r="AD88" i="42"/>
  <c r="AC88" i="42"/>
  <c r="Y88" i="42"/>
  <c r="X88" i="42"/>
  <c r="AD87" i="42"/>
  <c r="AC87" i="42"/>
  <c r="Y87" i="42"/>
  <c r="X87" i="42"/>
  <c r="AD86" i="42"/>
  <c r="AC86" i="42"/>
  <c r="Y86" i="42"/>
  <c r="X86" i="42"/>
  <c r="AD85" i="42"/>
  <c r="AC85" i="42"/>
  <c r="Y85" i="42"/>
  <c r="X85" i="42"/>
  <c r="AD84" i="42"/>
  <c r="AC84" i="42"/>
  <c r="Y84" i="42"/>
  <c r="X84" i="42"/>
  <c r="AD83" i="42"/>
  <c r="AC83" i="42"/>
  <c r="Y83" i="42"/>
  <c r="X83" i="42"/>
  <c r="AD82" i="42"/>
  <c r="AC82" i="42"/>
  <c r="Y82" i="42"/>
  <c r="X82" i="42"/>
  <c r="AD81" i="42"/>
  <c r="AC81" i="42"/>
  <c r="Y81" i="42"/>
  <c r="X81" i="42"/>
  <c r="AD80" i="42"/>
  <c r="AC80" i="42"/>
  <c r="Y80" i="42"/>
  <c r="X80" i="42"/>
  <c r="AD79" i="42"/>
  <c r="AC79" i="42"/>
  <c r="Y79" i="42"/>
  <c r="X79" i="42"/>
  <c r="AD78" i="42"/>
  <c r="AC78" i="42"/>
  <c r="Y78" i="42"/>
  <c r="X78" i="42"/>
  <c r="AD77" i="42"/>
  <c r="AC77" i="42"/>
  <c r="Y77" i="42"/>
  <c r="X77" i="42"/>
  <c r="AD76" i="42"/>
  <c r="AC76" i="42"/>
  <c r="Y76" i="42"/>
  <c r="X76" i="42"/>
  <c r="AD75" i="42"/>
  <c r="AC75" i="42"/>
  <c r="Y75" i="42"/>
  <c r="X75" i="42"/>
  <c r="AD74" i="42"/>
  <c r="AC74" i="42"/>
  <c r="Y74" i="42"/>
  <c r="X74" i="42"/>
  <c r="AD73" i="42"/>
  <c r="AC73" i="42"/>
  <c r="Y73" i="42"/>
  <c r="X73" i="42"/>
  <c r="AD72" i="42"/>
  <c r="AC72" i="42"/>
  <c r="Y72" i="42"/>
  <c r="X72" i="42"/>
  <c r="AD71" i="42"/>
  <c r="AC71" i="42"/>
  <c r="Y71" i="42"/>
  <c r="X71" i="42"/>
  <c r="AD70" i="42"/>
  <c r="AC70" i="42"/>
  <c r="Y70" i="42"/>
  <c r="X70" i="42"/>
  <c r="AD69" i="42"/>
  <c r="AC69" i="42"/>
  <c r="Y69" i="42"/>
  <c r="X69" i="42"/>
  <c r="AD68" i="42"/>
  <c r="AC68" i="42"/>
  <c r="Y68" i="42"/>
  <c r="X68" i="42"/>
  <c r="AD67" i="42"/>
  <c r="AC67" i="42"/>
  <c r="Y67" i="42"/>
  <c r="X67" i="42"/>
  <c r="AD66" i="42"/>
  <c r="AC66" i="42"/>
  <c r="Y66" i="42"/>
  <c r="X66" i="42"/>
  <c r="AD65" i="42"/>
  <c r="AC65" i="42"/>
  <c r="Y65" i="42"/>
  <c r="X65" i="42"/>
  <c r="AD64" i="42"/>
  <c r="AC64" i="42"/>
  <c r="Y64" i="42"/>
  <c r="X64" i="42"/>
  <c r="AD63" i="42"/>
  <c r="AC63" i="42"/>
  <c r="Y63" i="42"/>
  <c r="X63" i="42"/>
  <c r="AD62" i="42"/>
  <c r="AC62" i="42"/>
  <c r="Y62" i="42"/>
  <c r="X62" i="42"/>
  <c r="AD61" i="42"/>
  <c r="AC61" i="42"/>
  <c r="Y61" i="42"/>
  <c r="X61" i="42"/>
  <c r="AD60" i="42"/>
  <c r="AC60" i="42"/>
  <c r="Y60" i="42"/>
  <c r="X60" i="42"/>
  <c r="AD59" i="42"/>
  <c r="AC59" i="42"/>
  <c r="Y59" i="42"/>
  <c r="X59" i="42"/>
  <c r="AD58" i="42"/>
  <c r="AC58" i="42"/>
  <c r="Y58" i="42"/>
  <c r="X58" i="42"/>
  <c r="AD57" i="42"/>
  <c r="AC57" i="42"/>
  <c r="Y57" i="42"/>
  <c r="X57" i="42"/>
  <c r="AD56" i="42"/>
  <c r="AC56" i="42"/>
  <c r="Y56" i="42"/>
  <c r="X56" i="42"/>
  <c r="AD55" i="42"/>
  <c r="AC55" i="42"/>
  <c r="Y55" i="42"/>
  <c r="X55" i="42"/>
  <c r="AD54" i="42"/>
  <c r="AC54" i="42"/>
  <c r="Y54" i="42"/>
  <c r="X54" i="42"/>
  <c r="AD53" i="42"/>
  <c r="AC53" i="42"/>
  <c r="Y53" i="42"/>
  <c r="X53" i="42"/>
  <c r="AD52" i="42"/>
  <c r="AC52" i="42"/>
  <c r="Y52" i="42"/>
  <c r="X52" i="42"/>
  <c r="AD51" i="42"/>
  <c r="AC51" i="42"/>
  <c r="Y51" i="42"/>
  <c r="X51" i="42"/>
  <c r="AD50" i="42"/>
  <c r="AC50" i="42"/>
  <c r="Y50" i="42"/>
  <c r="X50" i="42"/>
  <c r="AD49" i="42"/>
  <c r="AC49" i="42"/>
  <c r="Y49" i="42"/>
  <c r="X49" i="42"/>
  <c r="AD48" i="42"/>
  <c r="AC48" i="42"/>
  <c r="Y48" i="42"/>
  <c r="X48" i="42"/>
  <c r="AD47" i="42"/>
  <c r="AC47" i="42"/>
  <c r="Y47" i="42"/>
  <c r="X47" i="42"/>
  <c r="AD46" i="42"/>
  <c r="AC46" i="42"/>
  <c r="Y46" i="42"/>
  <c r="X46" i="42"/>
  <c r="AD45" i="42"/>
  <c r="AC45" i="42"/>
  <c r="Y45" i="42"/>
  <c r="X45" i="42"/>
  <c r="AD44" i="42"/>
  <c r="AC44" i="42"/>
  <c r="Y44" i="42"/>
  <c r="X44" i="42"/>
  <c r="AD43" i="42"/>
  <c r="AC43" i="42"/>
  <c r="Y43" i="42"/>
  <c r="X43" i="42"/>
  <c r="AD42" i="42"/>
  <c r="AC42" i="42"/>
  <c r="Y42" i="42"/>
  <c r="X42" i="42"/>
  <c r="AD41" i="42"/>
  <c r="AC41" i="42"/>
  <c r="Y41" i="42"/>
  <c r="X41" i="42"/>
  <c r="AD40" i="42"/>
  <c r="AC40" i="42"/>
  <c r="Y40" i="42"/>
  <c r="X40" i="42"/>
  <c r="AD39" i="42"/>
  <c r="AC39" i="42"/>
  <c r="Y39" i="42"/>
  <c r="X39" i="42"/>
  <c r="AD38" i="42"/>
  <c r="AC38" i="42"/>
  <c r="Y38" i="42"/>
  <c r="X38" i="42"/>
  <c r="AD37" i="42"/>
  <c r="AC37" i="42"/>
  <c r="Y37" i="42"/>
  <c r="X37" i="42"/>
  <c r="AD36" i="42"/>
  <c r="AC36" i="42"/>
  <c r="Y36" i="42"/>
  <c r="X36" i="42"/>
  <c r="AD35" i="42"/>
  <c r="AC35" i="42"/>
  <c r="Y35" i="42"/>
  <c r="X35" i="42"/>
  <c r="AD34" i="42"/>
  <c r="AC34" i="42"/>
  <c r="Y34" i="42"/>
  <c r="X34" i="42"/>
  <c r="AD33" i="42"/>
  <c r="AC33" i="42"/>
  <c r="Y33" i="42"/>
  <c r="X33" i="42"/>
  <c r="AD32" i="42"/>
  <c r="AC32" i="42"/>
  <c r="Y32" i="42"/>
  <c r="X32" i="42"/>
  <c r="AD31" i="42"/>
  <c r="AC31" i="42"/>
  <c r="Y31" i="42"/>
  <c r="X31" i="42"/>
  <c r="AD30" i="42"/>
  <c r="AC30" i="42"/>
  <c r="Y30" i="42"/>
  <c r="X30" i="42"/>
  <c r="AD29" i="42"/>
  <c r="AC29" i="42"/>
  <c r="Y29" i="42"/>
  <c r="X29" i="42"/>
  <c r="AD28" i="42"/>
  <c r="AC28" i="42"/>
  <c r="Y28" i="42"/>
  <c r="X28" i="42"/>
  <c r="AD27" i="42"/>
  <c r="AC27" i="42"/>
  <c r="Y27" i="42"/>
  <c r="X27" i="42"/>
  <c r="AD26" i="42"/>
  <c r="AC26" i="42"/>
  <c r="Y26" i="42"/>
  <c r="X26" i="42"/>
  <c r="AD25" i="42"/>
  <c r="AC25" i="42"/>
  <c r="Y25" i="42"/>
  <c r="X25" i="42"/>
  <c r="AD24" i="42"/>
  <c r="AC24" i="42"/>
  <c r="Y24" i="42"/>
  <c r="X24" i="42"/>
  <c r="AD23" i="42"/>
  <c r="AC23" i="42"/>
  <c r="Y23" i="42"/>
  <c r="X23" i="42"/>
  <c r="AD22" i="42"/>
  <c r="AC22" i="42"/>
  <c r="Y22" i="42"/>
  <c r="X22" i="42"/>
  <c r="AD21" i="42"/>
  <c r="AC21" i="42"/>
  <c r="Y21" i="42"/>
  <c r="X21" i="42"/>
  <c r="AD20" i="42"/>
  <c r="AC20" i="42"/>
  <c r="Y20" i="42"/>
  <c r="X20" i="42"/>
  <c r="AD19" i="42"/>
  <c r="AC19" i="42"/>
  <c r="Y19" i="42"/>
  <c r="X19" i="42"/>
  <c r="AD18" i="42"/>
  <c r="AC18" i="42"/>
  <c r="Y18" i="42"/>
  <c r="X18" i="42"/>
  <c r="AD17" i="42"/>
  <c r="AC17" i="42"/>
  <c r="Y17" i="42"/>
  <c r="X17" i="42"/>
  <c r="AD16" i="42"/>
  <c r="AC16" i="42"/>
  <c r="Y16" i="42"/>
  <c r="X16" i="42"/>
  <c r="AD15" i="42"/>
  <c r="AC15" i="42"/>
  <c r="Y15" i="42"/>
  <c r="X15" i="42"/>
  <c r="AD14" i="42"/>
  <c r="AC14" i="42"/>
  <c r="Y14" i="42"/>
  <c r="X14" i="42"/>
  <c r="AD13" i="42"/>
  <c r="AC13" i="42"/>
  <c r="Y13" i="42"/>
  <c r="X13" i="42"/>
  <c r="AD12" i="42"/>
  <c r="AC12" i="42"/>
  <c r="Y12" i="42"/>
  <c r="X12" i="42"/>
  <c r="AD11" i="42"/>
  <c r="AC11" i="42"/>
  <c r="Y11" i="42"/>
  <c r="X11" i="42"/>
  <c r="AD10" i="42"/>
  <c r="AC10" i="42"/>
  <c r="Y10" i="42"/>
  <c r="X10" i="42"/>
  <c r="AD9" i="42"/>
  <c r="AC9" i="42"/>
  <c r="Y9" i="42"/>
  <c r="X9" i="42"/>
  <c r="AD8" i="42"/>
  <c r="AC8" i="42"/>
  <c r="Y8" i="42"/>
  <c r="X8" i="42"/>
  <c r="AD7" i="42"/>
  <c r="AC7" i="42"/>
  <c r="Y7" i="42"/>
  <c r="X7" i="42"/>
  <c r="AD6" i="42"/>
  <c r="AC6" i="42"/>
  <c r="Y6" i="42"/>
  <c r="X6" i="42"/>
  <c r="AD5" i="42"/>
  <c r="AC5" i="42"/>
  <c r="Y5" i="42"/>
  <c r="X5" i="42"/>
  <c r="AD4" i="42"/>
  <c r="AC4" i="42"/>
  <c r="Y4" i="42"/>
  <c r="X4" i="42"/>
  <c r="A4" i="42"/>
  <c r="A5" i="42" s="1"/>
  <c r="A6" i="42" s="1"/>
  <c r="A7" i="42" s="1"/>
  <c r="A8" i="42" s="1"/>
  <c r="A9" i="42" s="1"/>
  <c r="A10" i="42" s="1"/>
  <c r="A11" i="42" s="1"/>
  <c r="A12" i="42" s="1"/>
  <c r="A13" i="42" s="1"/>
  <c r="A14" i="42" s="1"/>
  <c r="A15" i="42" s="1"/>
  <c r="A16" i="42" s="1"/>
  <c r="A17" i="42" s="1"/>
  <c r="A18" i="42" s="1"/>
  <c r="A19" i="42" s="1"/>
  <c r="A20" i="42" s="1"/>
  <c r="A21" i="42" s="1"/>
  <c r="A22" i="42" s="1"/>
  <c r="A23" i="42" s="1"/>
  <c r="A24" i="42" s="1"/>
  <c r="A25" i="42" s="1"/>
  <c r="A26" i="42" s="1"/>
  <c r="A27" i="42" s="1"/>
  <c r="A28" i="42" s="1"/>
  <c r="A29" i="42" s="1"/>
  <c r="A30" i="42" s="1"/>
  <c r="A31" i="42" s="1"/>
  <c r="A32" i="42" s="1"/>
  <c r="A33" i="42" s="1"/>
  <c r="A34" i="42" s="1"/>
  <c r="A35" i="42" s="1"/>
  <c r="A36" i="42" s="1"/>
  <c r="A37" i="42" s="1"/>
  <c r="A38" i="42" s="1"/>
  <c r="A39" i="42" s="1"/>
  <c r="A40" i="42" s="1"/>
  <c r="A41" i="42" s="1"/>
  <c r="A42" i="42" s="1"/>
  <c r="A43" i="42" s="1"/>
  <c r="A44" i="42" s="1"/>
  <c r="A45" i="42" s="1"/>
  <c r="A46" i="42" s="1"/>
  <c r="A47" i="42" s="1"/>
  <c r="A48" i="42" s="1"/>
  <c r="A49" i="42" s="1"/>
  <c r="A50" i="42" s="1"/>
  <c r="A51" i="42" s="1"/>
  <c r="A52" i="42" s="1"/>
  <c r="A53" i="42" s="1"/>
  <c r="A54" i="42" s="1"/>
  <c r="A55" i="42" s="1"/>
  <c r="A56" i="42" s="1"/>
  <c r="A57" i="42" s="1"/>
  <c r="A58" i="42" s="1"/>
  <c r="A59" i="42" s="1"/>
  <c r="A60" i="42" s="1"/>
  <c r="A61" i="42" s="1"/>
  <c r="A62" i="42" s="1"/>
  <c r="A63" i="42" s="1"/>
  <c r="A64" i="42" s="1"/>
  <c r="A65" i="42" s="1"/>
  <c r="A66" i="42" s="1"/>
  <c r="A67" i="42" s="1"/>
  <c r="A68" i="42" s="1"/>
  <c r="A69" i="42" s="1"/>
  <c r="A70" i="42" s="1"/>
  <c r="A71" i="42" s="1"/>
  <c r="A72" i="42" s="1"/>
  <c r="A73" i="42" s="1"/>
  <c r="A74" i="42" s="1"/>
  <c r="A75" i="42" s="1"/>
  <c r="A76" i="42" s="1"/>
  <c r="A77" i="42" s="1"/>
  <c r="A78" i="42" s="1"/>
  <c r="A79" i="42" s="1"/>
  <c r="A80" i="42" s="1"/>
  <c r="A81" i="42" s="1"/>
  <c r="A82" i="42" s="1"/>
  <c r="A83" i="42" s="1"/>
  <c r="A84" i="42" s="1"/>
  <c r="A85" i="42" s="1"/>
  <c r="A86" i="42" s="1"/>
  <c r="A87" i="42" s="1"/>
  <c r="A88" i="42" s="1"/>
  <c r="A89" i="42" s="1"/>
  <c r="A90" i="42" s="1"/>
  <c r="A91" i="42" s="1"/>
  <c r="A92" i="42" s="1"/>
  <c r="A93" i="42" s="1"/>
  <c r="A94" i="42" s="1"/>
  <c r="A95" i="42" s="1"/>
  <c r="A96" i="42" s="1"/>
  <c r="A97" i="42" s="1"/>
  <c r="A98" i="42" s="1"/>
  <c r="A99" i="42" s="1"/>
  <c r="A100" i="42" s="1"/>
  <c r="A101" i="42" s="1"/>
  <c r="A102" i="42" s="1"/>
  <c r="A103" i="42" s="1"/>
  <c r="A104" i="42" s="1"/>
  <c r="A105" i="42" s="1"/>
  <c r="A106" i="42" s="1"/>
  <c r="A107" i="42" s="1"/>
  <c r="A108" i="42" s="1"/>
  <c r="A109" i="42" s="1"/>
  <c r="A110" i="42" s="1"/>
  <c r="A111" i="42" s="1"/>
  <c r="A112" i="42" s="1"/>
  <c r="A113" i="42" s="1"/>
  <c r="A114" i="42" s="1"/>
  <c r="A115" i="42" s="1"/>
  <c r="A116" i="42" s="1"/>
  <c r="A117" i="42" s="1"/>
  <c r="A118" i="42" s="1"/>
  <c r="A119" i="42" s="1"/>
  <c r="A120" i="42" s="1"/>
  <c r="A121" i="42" s="1"/>
  <c r="A122" i="42" s="1"/>
  <c r="A123" i="42" s="1"/>
  <c r="A124" i="42" s="1"/>
  <c r="A125" i="42" s="1"/>
  <c r="A126" i="42" s="1"/>
  <c r="A127" i="42" s="1"/>
  <c r="A128" i="42" s="1"/>
  <c r="A129" i="42" s="1"/>
  <c r="A130" i="42" s="1"/>
  <c r="A131" i="42" s="1"/>
  <c r="A132" i="42" s="1"/>
  <c r="A133" i="42" s="1"/>
  <c r="A134" i="42" s="1"/>
  <c r="A135" i="42" s="1"/>
  <c r="A136" i="42" s="1"/>
  <c r="A137" i="42" s="1"/>
  <c r="A138" i="42" s="1"/>
  <c r="A139" i="42" s="1"/>
  <c r="A140" i="42" s="1"/>
  <c r="A141" i="42" s="1"/>
  <c r="A142" i="42" s="1"/>
  <c r="A143" i="42" s="1"/>
  <c r="A144" i="42" s="1"/>
  <c r="A145" i="42" s="1"/>
  <c r="A146" i="42" s="1"/>
  <c r="A147" i="42" s="1"/>
  <c r="A148" i="42" s="1"/>
  <c r="A149" i="42" s="1"/>
  <c r="A150" i="42" s="1"/>
  <c r="A151" i="42" s="1"/>
  <c r="A152" i="42" s="1"/>
  <c r="A153" i="42" s="1"/>
  <c r="A154" i="42" s="1"/>
  <c r="A155" i="42" s="1"/>
  <c r="A156" i="42" s="1"/>
  <c r="A157" i="42" s="1"/>
  <c r="A158" i="42" s="1"/>
  <c r="A159" i="42" s="1"/>
  <c r="A160" i="42" s="1"/>
  <c r="A161" i="42" s="1"/>
  <c r="A162" i="42" s="1"/>
  <c r="A163" i="42" s="1"/>
  <c r="A164" i="42" s="1"/>
  <c r="A165" i="42" s="1"/>
  <c r="A166" i="42" s="1"/>
  <c r="A167" i="42" s="1"/>
  <c r="A168" i="42" s="1"/>
  <c r="A169" i="42" s="1"/>
  <c r="A170" i="42" s="1"/>
  <c r="A171" i="42" s="1"/>
  <c r="A172" i="42" s="1"/>
  <c r="A173" i="42" s="1"/>
  <c r="A174" i="42" s="1"/>
  <c r="A175" i="42" s="1"/>
  <c r="A176" i="42" s="1"/>
  <c r="A177" i="42" s="1"/>
  <c r="A178" i="42" s="1"/>
  <c r="A179" i="42" s="1"/>
  <c r="A180" i="42" s="1"/>
  <c r="A181" i="42" s="1"/>
  <c r="A182" i="42" s="1"/>
  <c r="A183" i="42" s="1"/>
  <c r="A184" i="42" s="1"/>
  <c r="A185" i="42" s="1"/>
  <c r="A186" i="42" s="1"/>
  <c r="A187" i="42" s="1"/>
  <c r="A188" i="42" s="1"/>
  <c r="A189" i="42" s="1"/>
  <c r="A190" i="42" s="1"/>
  <c r="A191" i="42" s="1"/>
  <c r="A192" i="42" s="1"/>
  <c r="A193" i="42" s="1"/>
  <c r="A194" i="42" s="1"/>
  <c r="A195" i="42" s="1"/>
  <c r="A196" i="42" s="1"/>
  <c r="A197" i="42" s="1"/>
  <c r="A198" i="42" s="1"/>
  <c r="A199" i="42" s="1"/>
  <c r="A200" i="42" s="1"/>
  <c r="A201" i="42" s="1"/>
  <c r="A202" i="42" s="1"/>
  <c r="A203" i="42" s="1"/>
  <c r="A204" i="42" s="1"/>
  <c r="A205" i="42" s="1"/>
  <c r="A206" i="42" s="1"/>
  <c r="A207" i="42" s="1"/>
  <c r="A208" i="42" s="1"/>
  <c r="A209" i="42" s="1"/>
  <c r="A210" i="42" s="1"/>
  <c r="A211" i="42" s="1"/>
  <c r="A212" i="42" s="1"/>
  <c r="A213" i="42" s="1"/>
  <c r="A214" i="42" s="1"/>
  <c r="A215" i="42" s="1"/>
  <c r="A216" i="42" s="1"/>
  <c r="A217" i="42" s="1"/>
  <c r="A218" i="42" s="1"/>
  <c r="A219" i="42" s="1"/>
  <c r="A220" i="42" s="1"/>
  <c r="A221" i="42" s="1"/>
  <c r="A222" i="42" s="1"/>
  <c r="A223" i="42" s="1"/>
  <c r="A224" i="42" s="1"/>
  <c r="A225" i="42" s="1"/>
  <c r="A226" i="42" s="1"/>
  <c r="A227" i="42" s="1"/>
  <c r="A228" i="42" s="1"/>
  <c r="A229" i="42" s="1"/>
  <c r="A230" i="42" s="1"/>
  <c r="A231" i="42" s="1"/>
  <c r="A232" i="42" s="1"/>
  <c r="A233" i="42" s="1"/>
  <c r="A234" i="42" s="1"/>
  <c r="A235" i="42" s="1"/>
  <c r="A236" i="42" s="1"/>
  <c r="A237" i="42" s="1"/>
  <c r="A238" i="42" s="1"/>
  <c r="A239" i="42" s="1"/>
  <c r="A240" i="42" s="1"/>
  <c r="A241" i="42" s="1"/>
  <c r="A242" i="42" s="1"/>
  <c r="A243" i="42" s="1"/>
  <c r="A244" i="42" s="1"/>
  <c r="A245" i="42" s="1"/>
  <c r="A246" i="42" s="1"/>
  <c r="A247" i="42" s="1"/>
  <c r="A248" i="42" s="1"/>
  <c r="A249" i="42" s="1"/>
  <c r="A250" i="42" s="1"/>
  <c r="A251" i="42" s="1"/>
  <c r="A252" i="42" s="1"/>
  <c r="A253" i="42" s="1"/>
  <c r="A254" i="42" s="1"/>
  <c r="A255" i="42" s="1"/>
  <c r="A256" i="42" s="1"/>
  <c r="A257" i="42" s="1"/>
  <c r="A258" i="42" s="1"/>
  <c r="A259" i="42" s="1"/>
  <c r="A260" i="42" s="1"/>
  <c r="A261" i="42" s="1"/>
  <c r="A262" i="42" s="1"/>
  <c r="A263" i="42" s="1"/>
  <c r="A264" i="42" s="1"/>
  <c r="A265" i="42" s="1"/>
  <c r="A266" i="42" s="1"/>
  <c r="A267" i="42" s="1"/>
  <c r="A268" i="42" s="1"/>
  <c r="A269" i="42" s="1"/>
  <c r="A270" i="42" s="1"/>
  <c r="A271" i="42" s="1"/>
  <c r="A272" i="42" s="1"/>
  <c r="A273" i="42" s="1"/>
  <c r="A274" i="42" s="1"/>
  <c r="A275" i="42" s="1"/>
  <c r="A276" i="42" s="1"/>
  <c r="A277" i="42" s="1"/>
  <c r="A278" i="42" s="1"/>
  <c r="A279" i="42" s="1"/>
  <c r="A280" i="42" s="1"/>
  <c r="A281" i="42" s="1"/>
  <c r="A282" i="42" s="1"/>
  <c r="A283" i="42" s="1"/>
  <c r="A284" i="42" s="1"/>
  <c r="A285" i="42" s="1"/>
  <c r="A286" i="42" s="1"/>
  <c r="A287" i="42" s="1"/>
  <c r="A288" i="42" s="1"/>
  <c r="A289" i="42" s="1"/>
  <c r="A290" i="42" s="1"/>
  <c r="A291" i="42" s="1"/>
  <c r="A292" i="42" s="1"/>
  <c r="A293" i="42" s="1"/>
  <c r="A294" i="42" s="1"/>
  <c r="A295" i="42" s="1"/>
  <c r="A296" i="42" s="1"/>
  <c r="A297" i="42" s="1"/>
  <c r="A298" i="42" s="1"/>
  <c r="A299" i="42" s="1"/>
  <c r="A300" i="42" s="1"/>
  <c r="A301" i="42" s="1"/>
  <c r="A302" i="42" s="1"/>
  <c r="A303" i="42" s="1"/>
  <c r="A304" i="42" s="1"/>
  <c r="A305" i="42" s="1"/>
  <c r="A306" i="42" s="1"/>
  <c r="A307" i="42" s="1"/>
  <c r="A308" i="42" s="1"/>
  <c r="A309" i="42" s="1"/>
  <c r="A310" i="42" s="1"/>
  <c r="A311" i="42" s="1"/>
  <c r="A312" i="42" s="1"/>
  <c r="A313" i="42" s="1"/>
  <c r="A314" i="42" s="1"/>
  <c r="A315" i="42" s="1"/>
  <c r="A316" i="42" s="1"/>
  <c r="A317" i="42" s="1"/>
  <c r="A318" i="42" s="1"/>
  <c r="A319" i="42" s="1"/>
  <c r="A320" i="42" s="1"/>
  <c r="A321" i="42" s="1"/>
  <c r="A322" i="42" s="1"/>
  <c r="A323" i="42" s="1"/>
  <c r="A324" i="42" s="1"/>
  <c r="A325" i="42" s="1"/>
  <c r="A326" i="42" s="1"/>
  <c r="A327" i="42" s="1"/>
  <c r="A328" i="42" s="1"/>
  <c r="A329" i="42" s="1"/>
  <c r="A330" i="42" s="1"/>
  <c r="A331" i="42" s="1"/>
  <c r="A332" i="42" s="1"/>
  <c r="A333" i="42" s="1"/>
  <c r="A334" i="42" s="1"/>
  <c r="A335" i="42" s="1"/>
  <c r="A336" i="42" s="1"/>
  <c r="A337" i="42" s="1"/>
  <c r="A338" i="42" s="1"/>
  <c r="A339" i="42" s="1"/>
  <c r="A340" i="42" s="1"/>
  <c r="A341" i="42" s="1"/>
  <c r="A342" i="42" s="1"/>
  <c r="A343" i="42" s="1"/>
  <c r="A344" i="42" s="1"/>
  <c r="A345" i="42" s="1"/>
  <c r="A346" i="42" s="1"/>
  <c r="A347" i="42" s="1"/>
  <c r="A348" i="42" s="1"/>
  <c r="A349" i="42" s="1"/>
  <c r="A350" i="42" s="1"/>
  <c r="A351" i="42" s="1"/>
  <c r="A352" i="42" s="1"/>
  <c r="A353" i="42" s="1"/>
  <c r="A354" i="42" s="1"/>
  <c r="A355" i="42" s="1"/>
  <c r="A356" i="42" s="1"/>
  <c r="A357" i="42" s="1"/>
  <c r="A358" i="42" s="1"/>
  <c r="A359" i="42" s="1"/>
  <c r="A360" i="42" s="1"/>
  <c r="A361" i="42" s="1"/>
  <c r="A362" i="42" s="1"/>
  <c r="A363" i="42" s="1"/>
  <c r="A364" i="42" s="1"/>
  <c r="A365" i="42" s="1"/>
  <c r="A366" i="42" s="1"/>
  <c r="A367" i="42" s="1"/>
  <c r="A368" i="42" s="1"/>
  <c r="A369" i="42" s="1"/>
  <c r="A370" i="42" s="1"/>
  <c r="A371" i="42" s="1"/>
  <c r="A372" i="42" s="1"/>
  <c r="A373" i="42" s="1"/>
  <c r="A374" i="42" s="1"/>
  <c r="A375" i="42" s="1"/>
  <c r="A376" i="42" s="1"/>
  <c r="A377" i="42" s="1"/>
  <c r="A378" i="42" s="1"/>
  <c r="A379" i="42" s="1"/>
  <c r="A380" i="42" s="1"/>
  <c r="A381" i="42" s="1"/>
  <c r="A382" i="42" s="1"/>
  <c r="A383" i="42" s="1"/>
  <c r="A384" i="42" s="1"/>
  <c r="A385" i="42" s="1"/>
  <c r="A386" i="42" s="1"/>
  <c r="A387" i="42" s="1"/>
  <c r="A388" i="42" s="1"/>
  <c r="A389" i="42" s="1"/>
  <c r="A390" i="42" s="1"/>
  <c r="A391" i="42" s="1"/>
  <c r="A392" i="42" s="1"/>
  <c r="A393" i="42" s="1"/>
  <c r="A394" i="42" s="1"/>
  <c r="A395" i="42" s="1"/>
  <c r="A396" i="42" s="1"/>
  <c r="A397" i="42" s="1"/>
  <c r="A398" i="42" s="1"/>
  <c r="A399" i="42" s="1"/>
  <c r="A400" i="42" s="1"/>
  <c r="A401" i="42" s="1"/>
  <c r="A402" i="42" s="1"/>
  <c r="A403" i="42" s="1"/>
  <c r="A404" i="42" s="1"/>
  <c r="A405" i="42" s="1"/>
  <c r="A406" i="42" s="1"/>
  <c r="A407" i="42" s="1"/>
  <c r="A408" i="42" s="1"/>
  <c r="A409" i="42" s="1"/>
  <c r="A410" i="42" s="1"/>
  <c r="A411" i="42" s="1"/>
  <c r="A412" i="42" s="1"/>
  <c r="A413" i="42" s="1"/>
  <c r="A414" i="42" s="1"/>
  <c r="A415" i="42" s="1"/>
  <c r="A416" i="42" s="1"/>
  <c r="A417" i="42" s="1"/>
  <c r="A418" i="42" s="1"/>
  <c r="A419" i="42" s="1"/>
  <c r="A420" i="42" s="1"/>
  <c r="A421" i="42" s="1"/>
  <c r="A422" i="42" s="1"/>
  <c r="A423" i="42" s="1"/>
  <c r="A424" i="42" s="1"/>
  <c r="A425" i="42" s="1"/>
  <c r="A426" i="42" s="1"/>
  <c r="A427" i="42" s="1"/>
  <c r="A428" i="42" s="1"/>
  <c r="A429" i="42" s="1"/>
  <c r="A430" i="42" s="1"/>
  <c r="A431" i="42" s="1"/>
  <c r="A432" i="42" s="1"/>
  <c r="A433" i="42" s="1"/>
  <c r="A434" i="42" s="1"/>
  <c r="A435" i="42" s="1"/>
  <c r="A436" i="42" s="1"/>
  <c r="A437" i="42" s="1"/>
  <c r="A438" i="42" s="1"/>
  <c r="A439" i="42" s="1"/>
  <c r="A440" i="42" s="1"/>
  <c r="A441" i="42" s="1"/>
  <c r="A442" i="42" s="1"/>
  <c r="A443" i="42" s="1"/>
  <c r="A444" i="42" s="1"/>
  <c r="A445" i="42" s="1"/>
  <c r="A446" i="42" s="1"/>
  <c r="A447" i="42" s="1"/>
  <c r="A448" i="42" s="1"/>
  <c r="A449" i="42" s="1"/>
  <c r="A450" i="42" s="1"/>
  <c r="A451" i="42" s="1"/>
  <c r="A452" i="42" s="1"/>
  <c r="A453" i="42" s="1"/>
  <c r="A454" i="42" s="1"/>
  <c r="A455" i="42" s="1"/>
  <c r="A456" i="42" s="1"/>
  <c r="A457" i="42" s="1"/>
  <c r="A458" i="42" s="1"/>
  <c r="A459" i="42" s="1"/>
  <c r="A460" i="42" s="1"/>
  <c r="A461" i="42" s="1"/>
  <c r="A462" i="42" s="1"/>
  <c r="A463" i="42" s="1"/>
  <c r="A464" i="42" s="1"/>
  <c r="A465" i="42" s="1"/>
  <c r="A466" i="42" s="1"/>
  <c r="A467" i="42" s="1"/>
  <c r="A468" i="42" s="1"/>
  <c r="A469" i="42" s="1"/>
  <c r="A470" i="42" s="1"/>
  <c r="A471" i="42" s="1"/>
  <c r="A472" i="42" s="1"/>
  <c r="A473" i="42" s="1"/>
  <c r="A474" i="42" s="1"/>
  <c r="A475" i="42" s="1"/>
  <c r="A476" i="42" s="1"/>
  <c r="A477" i="42" s="1"/>
  <c r="A478" i="42" s="1"/>
  <c r="A479" i="42" s="1"/>
  <c r="A480" i="42" s="1"/>
  <c r="A481" i="42" s="1"/>
  <c r="A482" i="42" s="1"/>
  <c r="A483" i="42" s="1"/>
  <c r="A484" i="42" s="1"/>
  <c r="A485" i="42" s="1"/>
  <c r="A486" i="42" s="1"/>
  <c r="A487" i="42" s="1"/>
  <c r="A488" i="42" s="1"/>
  <c r="A489" i="42" s="1"/>
  <c r="A490" i="42" s="1"/>
  <c r="A491" i="42" s="1"/>
  <c r="A492" i="42" s="1"/>
  <c r="A493" i="42" s="1"/>
  <c r="A494" i="42" s="1"/>
  <c r="A495" i="42" s="1"/>
  <c r="A496" i="42" s="1"/>
  <c r="A497" i="42" s="1"/>
  <c r="A498" i="42" s="1"/>
  <c r="A499" i="42" s="1"/>
  <c r="A500" i="42" s="1"/>
  <c r="A501" i="42" s="1"/>
  <c r="A502" i="42" s="1"/>
  <c r="A503" i="42" s="1"/>
  <c r="A504" i="42" s="1"/>
  <c r="A505" i="42" s="1"/>
  <c r="A506" i="42" s="1"/>
  <c r="A507" i="42" s="1"/>
  <c r="A508" i="42" s="1"/>
  <c r="A509" i="42" s="1"/>
  <c r="A510" i="42" s="1"/>
  <c r="A511" i="42" s="1"/>
  <c r="A512" i="42" s="1"/>
  <c r="A513" i="42" s="1"/>
  <c r="A514" i="42" s="1"/>
  <c r="A515" i="42" s="1"/>
  <c r="A516" i="42" s="1"/>
  <c r="A517" i="42" s="1"/>
  <c r="A518" i="42" s="1"/>
  <c r="A519" i="42" s="1"/>
  <c r="A520" i="42" s="1"/>
  <c r="A521" i="42" s="1"/>
  <c r="A522" i="42" s="1"/>
  <c r="A523" i="42" s="1"/>
  <c r="A524" i="42" s="1"/>
  <c r="A525" i="42" s="1"/>
  <c r="A526" i="42" s="1"/>
  <c r="A527" i="42" s="1"/>
  <c r="A528" i="42" s="1"/>
  <c r="A529" i="42" s="1"/>
  <c r="A530" i="42" s="1"/>
  <c r="A531" i="42" s="1"/>
  <c r="A532" i="42" s="1"/>
  <c r="A533" i="42" s="1"/>
  <c r="A534" i="42" s="1"/>
  <c r="A535" i="42" s="1"/>
  <c r="A536" i="42" s="1"/>
  <c r="A537" i="42" s="1"/>
  <c r="A538" i="42" s="1"/>
  <c r="A539" i="42" s="1"/>
  <c r="A540" i="42" s="1"/>
  <c r="A541" i="42" s="1"/>
  <c r="A542" i="42" s="1"/>
  <c r="A543" i="42" s="1"/>
  <c r="A544" i="42" s="1"/>
  <c r="A545" i="42" s="1"/>
  <c r="A546" i="42" s="1"/>
  <c r="A547" i="42" s="1"/>
  <c r="A548" i="42" s="1"/>
  <c r="A549" i="42" s="1"/>
  <c r="A550" i="42" s="1"/>
  <c r="A551" i="42" s="1"/>
  <c r="A552" i="42" s="1"/>
  <c r="A553" i="42" s="1"/>
  <c r="A554" i="42" s="1"/>
  <c r="A555" i="42" s="1"/>
  <c r="A556" i="42" s="1"/>
  <c r="A557" i="42" s="1"/>
  <c r="A558" i="42" s="1"/>
  <c r="A559" i="42" s="1"/>
  <c r="A560" i="42" s="1"/>
  <c r="A561" i="42" s="1"/>
  <c r="A562" i="42" s="1"/>
  <c r="A563" i="42" s="1"/>
  <c r="A564" i="42" s="1"/>
  <c r="A565" i="42" s="1"/>
  <c r="A566" i="42" s="1"/>
  <c r="A567" i="42" s="1"/>
  <c r="A568" i="42" s="1"/>
  <c r="A569" i="42" s="1"/>
  <c r="A570" i="42" s="1"/>
  <c r="A571" i="42" s="1"/>
  <c r="A572" i="42" s="1"/>
  <c r="A573" i="42" s="1"/>
  <c r="A574" i="42" s="1"/>
  <c r="A575" i="42" s="1"/>
  <c r="A576" i="42" s="1"/>
  <c r="A577" i="42" s="1"/>
  <c r="A578" i="42" s="1"/>
  <c r="A579" i="42" s="1"/>
  <c r="A580" i="42" s="1"/>
  <c r="A581" i="42" s="1"/>
  <c r="A582" i="42" s="1"/>
  <c r="A583" i="42" s="1"/>
  <c r="A584" i="42" s="1"/>
  <c r="A585" i="42" s="1"/>
  <c r="A586" i="42" s="1"/>
  <c r="A587" i="42" s="1"/>
  <c r="A588" i="42" s="1"/>
  <c r="A589" i="42" s="1"/>
  <c r="A590" i="42" s="1"/>
  <c r="A591" i="42" s="1"/>
  <c r="A592" i="42" s="1"/>
  <c r="A593" i="42" s="1"/>
  <c r="A594" i="42" s="1"/>
  <c r="A595" i="42" s="1"/>
  <c r="A596" i="42" s="1"/>
  <c r="A597" i="42" s="1"/>
  <c r="A598" i="42" s="1"/>
  <c r="A599" i="42" s="1"/>
  <c r="A600" i="42" s="1"/>
  <c r="A601" i="42" s="1"/>
  <c r="A602" i="42" s="1"/>
  <c r="A603" i="42" s="1"/>
  <c r="A604" i="42" s="1"/>
  <c r="A605" i="42" s="1"/>
  <c r="A606" i="42" s="1"/>
  <c r="A607" i="42" s="1"/>
  <c r="A608" i="42" s="1"/>
  <c r="A609" i="42" s="1"/>
  <c r="A610" i="42" s="1"/>
  <c r="A611" i="42" s="1"/>
  <c r="A612" i="42" s="1"/>
  <c r="A613" i="42" s="1"/>
  <c r="A614" i="42" s="1"/>
  <c r="A615" i="42" s="1"/>
  <c r="A616" i="42" s="1"/>
  <c r="A617" i="42" s="1"/>
  <c r="A618" i="42" s="1"/>
  <c r="A619" i="42" s="1"/>
  <c r="A620" i="42" s="1"/>
  <c r="A621" i="42" s="1"/>
  <c r="A622" i="42" s="1"/>
  <c r="A623" i="42" s="1"/>
  <c r="A624" i="42" s="1"/>
  <c r="A625" i="42" s="1"/>
  <c r="A626" i="42" s="1"/>
  <c r="A627" i="42" s="1"/>
  <c r="A628" i="42" s="1"/>
  <c r="A629" i="42" s="1"/>
  <c r="A630" i="42" s="1"/>
  <c r="A631" i="42" s="1"/>
  <c r="A632" i="42" s="1"/>
  <c r="A633" i="42" s="1"/>
  <c r="A634" i="42" s="1"/>
  <c r="A635" i="42" s="1"/>
  <c r="A636" i="42" s="1"/>
  <c r="A637" i="42" s="1"/>
  <c r="A638" i="42" s="1"/>
  <c r="A639" i="42" s="1"/>
  <c r="A640" i="42" s="1"/>
  <c r="A641" i="42" s="1"/>
  <c r="A642" i="42" s="1"/>
  <c r="A643" i="42" s="1"/>
  <c r="A644" i="42" s="1"/>
  <c r="A645" i="42" s="1"/>
  <c r="A646" i="42" s="1"/>
  <c r="A647" i="42" s="1"/>
  <c r="A648" i="42" s="1"/>
  <c r="A649" i="42" s="1"/>
  <c r="A650" i="42" s="1"/>
  <c r="A651" i="42" s="1"/>
  <c r="AD3" i="42"/>
  <c r="AC3" i="42"/>
  <c r="Y3" i="42"/>
  <c r="X3" i="42"/>
  <c r="AC116" i="65" l="1"/>
  <c r="AE116" i="65"/>
  <c r="AG116" i="65"/>
  <c r="AD117" i="65"/>
  <c r="AD119" i="65"/>
  <c r="AD116" i="65"/>
  <c r="AF116" i="65"/>
  <c r="AF117" i="65"/>
  <c r="AD118" i="65"/>
  <c r="AF118" i="65"/>
  <c r="AF119" i="65"/>
  <c r="AC120" i="65"/>
  <c r="AE120" i="65"/>
  <c r="AG120" i="65"/>
  <c r="AF120" i="65"/>
  <c r="AE118" i="65"/>
  <c r="AG119" i="65"/>
  <c r="AC119" i="65"/>
  <c r="AG117" i="65"/>
  <c r="AC117" i="65"/>
  <c r="AD120" i="65"/>
  <c r="AG118" i="65"/>
  <c r="AC118" i="65"/>
  <c r="AE119" i="65"/>
  <c r="AE117" i="65"/>
  <c r="H116" i="65"/>
  <c r="J116" i="65"/>
  <c r="L116" i="65"/>
  <c r="I117" i="65"/>
  <c r="I119" i="65"/>
  <c r="I116" i="65"/>
  <c r="K116" i="65"/>
  <c r="K117" i="65"/>
  <c r="H118" i="65"/>
  <c r="J118" i="65"/>
  <c r="L118" i="65"/>
  <c r="K119" i="65"/>
  <c r="H120" i="65"/>
  <c r="J120" i="65"/>
  <c r="L120" i="65"/>
  <c r="I120" i="65"/>
  <c r="K120" i="65"/>
  <c r="K118" i="65"/>
  <c r="J119" i="65"/>
  <c r="J117" i="65"/>
  <c r="I118" i="65"/>
  <c r="H119" i="65"/>
  <c r="H117" i="65"/>
  <c r="L119" i="65"/>
  <c r="L117" i="65"/>
  <c r="AY116" i="65"/>
  <c r="BA116" i="65"/>
  <c r="AX117" i="65"/>
  <c r="BB117" i="65"/>
  <c r="AX119" i="65"/>
  <c r="BB119" i="65"/>
  <c r="AX116" i="65"/>
  <c r="AZ116" i="65"/>
  <c r="BB116" i="65"/>
  <c r="AZ117" i="65"/>
  <c r="AY118" i="65"/>
  <c r="BA118" i="65"/>
  <c r="AZ119" i="65"/>
  <c r="AX120" i="65"/>
  <c r="AZ120" i="65"/>
  <c r="BB120" i="65"/>
  <c r="BA120" i="65"/>
  <c r="BB118" i="65"/>
  <c r="AX118" i="65"/>
  <c r="BA119" i="65"/>
  <c r="BA117" i="65"/>
  <c r="AY120" i="65"/>
  <c r="AZ118" i="65"/>
  <c r="AY119" i="65"/>
  <c r="AY117" i="65"/>
  <c r="BK117" i="65" s="1"/>
  <c r="Y654" i="42"/>
  <c r="Y653" i="42"/>
  <c r="Y652" i="42"/>
  <c r="AD654" i="42"/>
  <c r="AD653" i="42"/>
  <c r="AD652" i="42"/>
  <c r="X652" i="42"/>
  <c r="X654" i="42"/>
  <c r="X653" i="42"/>
  <c r="AC654" i="42"/>
  <c r="AC653" i="42"/>
  <c r="AC652" i="42"/>
  <c r="D8" i="36"/>
  <c r="E8" i="36"/>
  <c r="F8" i="36"/>
  <c r="G8" i="36"/>
  <c r="D9" i="36"/>
  <c r="E9" i="36"/>
  <c r="F9" i="36"/>
  <c r="G9" i="36"/>
  <c r="D10" i="36"/>
  <c r="E10" i="36"/>
  <c r="F10" i="36"/>
  <c r="G10" i="36"/>
  <c r="D11" i="36"/>
  <c r="E11" i="36"/>
  <c r="F11" i="36"/>
  <c r="G11" i="36"/>
  <c r="D12" i="36"/>
  <c r="E12" i="36"/>
  <c r="F12" i="36"/>
  <c r="G12" i="36"/>
  <c r="D13" i="36"/>
  <c r="E13" i="36"/>
  <c r="F13" i="36"/>
  <c r="G13" i="36"/>
  <c r="D14" i="36"/>
  <c r="E14" i="36"/>
  <c r="F14" i="36"/>
  <c r="G14" i="36"/>
  <c r="D15" i="36"/>
  <c r="E15" i="36"/>
  <c r="F15" i="36"/>
  <c r="G15" i="36"/>
  <c r="D16" i="36"/>
  <c r="E16" i="36"/>
  <c r="F16" i="36"/>
  <c r="G16" i="36"/>
  <c r="D17" i="36"/>
  <c r="E17" i="36"/>
  <c r="F17" i="36"/>
  <c r="G17" i="36"/>
  <c r="D18" i="36"/>
  <c r="E18" i="36"/>
  <c r="F18" i="36"/>
  <c r="G18" i="36"/>
  <c r="D19" i="36"/>
  <c r="E19" i="36"/>
  <c r="F19" i="36"/>
  <c r="G19" i="36"/>
  <c r="D20" i="36"/>
  <c r="E20" i="36"/>
  <c r="F20" i="36"/>
  <c r="G20" i="36"/>
  <c r="D21" i="36"/>
  <c r="E21" i="36"/>
  <c r="F21" i="36"/>
  <c r="G21" i="36"/>
  <c r="D22" i="36"/>
  <c r="E22" i="36"/>
  <c r="F22" i="36"/>
  <c r="G22" i="36"/>
  <c r="D23" i="36"/>
  <c r="E23" i="36"/>
  <c r="F23" i="36"/>
  <c r="G23" i="36"/>
  <c r="D24" i="36"/>
  <c r="E24" i="36"/>
  <c r="F24" i="36"/>
  <c r="G24" i="36"/>
  <c r="D25" i="36"/>
  <c r="E25" i="36"/>
  <c r="F25" i="36"/>
  <c r="G25" i="36"/>
  <c r="D72" i="65"/>
  <c r="D73" i="65"/>
  <c r="D74" i="65"/>
  <c r="D75" i="65"/>
  <c r="D76" i="65"/>
  <c r="D77" i="65"/>
  <c r="D78" i="65"/>
  <c r="D79" i="65"/>
  <c r="D80" i="65"/>
  <c r="D81" i="65"/>
  <c r="D82" i="65"/>
  <c r="D83" i="65"/>
  <c r="D84" i="65"/>
  <c r="D85" i="65"/>
  <c r="D86" i="65"/>
  <c r="D87" i="65"/>
  <c r="D88" i="65"/>
  <c r="D89" i="65"/>
  <c r="D90" i="65"/>
  <c r="D91" i="65"/>
  <c r="D92" i="65"/>
  <c r="D93" i="65"/>
  <c r="D94" i="65"/>
  <c r="D95" i="65"/>
  <c r="D96" i="65"/>
  <c r="D97" i="65"/>
  <c r="D98" i="65"/>
  <c r="D99" i="65"/>
  <c r="D100" i="65"/>
  <c r="D101" i="65"/>
  <c r="D102" i="65"/>
  <c r="D103" i="65"/>
  <c r="D104" i="65"/>
  <c r="D105" i="65"/>
  <c r="D106" i="65"/>
  <c r="D107" i="65"/>
  <c r="D108" i="65"/>
  <c r="D109" i="65"/>
  <c r="D110" i="65"/>
  <c r="D111" i="65"/>
  <c r="D112" i="65"/>
  <c r="D113" i="65"/>
  <c r="D114" i="65"/>
  <c r="D115" i="65"/>
  <c r="E72" i="39"/>
  <c r="E73" i="39"/>
  <c r="E74" i="39"/>
  <c r="E75" i="39"/>
  <c r="E76" i="39"/>
  <c r="E77" i="39"/>
  <c r="E78" i="39"/>
  <c r="E79" i="39"/>
  <c r="E80" i="39"/>
  <c r="E81" i="39"/>
  <c r="E82" i="39"/>
  <c r="E83" i="39"/>
  <c r="E84" i="39"/>
  <c r="E85" i="39"/>
  <c r="E86" i="39"/>
  <c r="E87" i="39"/>
  <c r="E88" i="39"/>
  <c r="E89" i="39"/>
  <c r="E90" i="39"/>
  <c r="E91" i="39"/>
  <c r="E92" i="39"/>
  <c r="E93" i="39"/>
  <c r="E94" i="39"/>
  <c r="E95" i="39"/>
  <c r="E96" i="39"/>
  <c r="E97" i="39"/>
  <c r="E98" i="39"/>
  <c r="E99" i="39"/>
  <c r="E100" i="39"/>
  <c r="E101" i="39"/>
  <c r="E102" i="39"/>
  <c r="E103" i="39"/>
  <c r="E104" i="39"/>
  <c r="E105" i="39"/>
  <c r="E106" i="39"/>
  <c r="E107" i="39"/>
  <c r="E108" i="39"/>
  <c r="E109" i="39"/>
  <c r="E110" i="39"/>
  <c r="E111" i="39"/>
  <c r="E112" i="39"/>
  <c r="E113" i="39"/>
  <c r="E114" i="39"/>
  <c r="E115" i="39"/>
  <c r="C72" i="44"/>
  <c r="C73" i="44"/>
  <c r="C74" i="44"/>
  <c r="C75" i="44"/>
  <c r="C76" i="44"/>
  <c r="C77" i="44"/>
  <c r="C78" i="44"/>
  <c r="C79" i="44"/>
  <c r="C80" i="44"/>
  <c r="C81" i="44"/>
  <c r="C82" i="44"/>
  <c r="C83" i="44"/>
  <c r="C84" i="44"/>
  <c r="C85" i="44"/>
  <c r="C86" i="44"/>
  <c r="C87" i="44"/>
  <c r="C88" i="44"/>
  <c r="C89" i="44"/>
  <c r="C90" i="44"/>
  <c r="C91" i="44"/>
  <c r="C92" i="44"/>
  <c r="C93" i="44"/>
  <c r="C94" i="44"/>
  <c r="C95" i="44"/>
  <c r="C96" i="44"/>
  <c r="C97" i="44"/>
  <c r="C98" i="44"/>
  <c r="C99" i="44"/>
  <c r="C100" i="44"/>
  <c r="C101" i="44"/>
  <c r="C102" i="44"/>
  <c r="C103" i="44"/>
  <c r="C104" i="44"/>
  <c r="C105" i="44"/>
  <c r="C106" i="44"/>
  <c r="C107" i="44"/>
  <c r="C108" i="44"/>
  <c r="C109" i="44"/>
  <c r="C110" i="44"/>
  <c r="C111" i="44"/>
  <c r="C112" i="44"/>
  <c r="C113" i="44"/>
  <c r="C114" i="44"/>
  <c r="C115" i="44"/>
  <c r="M61" i="23"/>
  <c r="U61" i="23"/>
  <c r="N62" i="23"/>
  <c r="I70" i="4"/>
  <c r="S70" i="4" s="1"/>
  <c r="J70" i="4"/>
  <c r="I71" i="4"/>
  <c r="F71" i="4" s="1"/>
  <c r="J71" i="4"/>
  <c r="M71" i="4"/>
  <c r="N71" i="4" s="1"/>
  <c r="D73" i="38"/>
  <c r="I72" i="4"/>
  <c r="D72" i="39" s="1"/>
  <c r="B72" i="39" s="1"/>
  <c r="H73" i="38" s="1"/>
  <c r="J72" i="4"/>
  <c r="D73" i="16"/>
  <c r="D74" i="38"/>
  <c r="I73" i="4"/>
  <c r="J73" i="4"/>
  <c r="D75" i="38"/>
  <c r="I74" i="4"/>
  <c r="D74" i="39" s="1"/>
  <c r="B74" i="39" s="1"/>
  <c r="H75" i="38" s="1"/>
  <c r="J74" i="4"/>
  <c r="D76" i="38"/>
  <c r="I75" i="4"/>
  <c r="J75" i="4"/>
  <c r="M75" i="4"/>
  <c r="N75" i="4" s="1"/>
  <c r="D76" i="16"/>
  <c r="D77" i="38"/>
  <c r="I76" i="4"/>
  <c r="J76" i="4"/>
  <c r="D78" i="38"/>
  <c r="I77" i="4"/>
  <c r="D77" i="39" s="1"/>
  <c r="B77" i="39" s="1"/>
  <c r="H78" i="38" s="1"/>
  <c r="J77" i="4"/>
  <c r="D79" i="38"/>
  <c r="I78" i="4"/>
  <c r="B78" i="16" s="1"/>
  <c r="C78" i="16" s="1"/>
  <c r="Z78" i="16" s="1"/>
  <c r="J78" i="4"/>
  <c r="D79" i="16"/>
  <c r="D80" i="38"/>
  <c r="I79" i="4"/>
  <c r="B79" i="16" s="1"/>
  <c r="C79" i="16" s="1"/>
  <c r="Z79" i="16" s="1"/>
  <c r="J79" i="4"/>
  <c r="M79" i="4"/>
  <c r="N79" i="4" s="1"/>
  <c r="G80" i="38" s="1"/>
  <c r="Q80" i="38" s="1"/>
  <c r="D81" i="38"/>
  <c r="I80" i="4"/>
  <c r="J80" i="4"/>
  <c r="D81" i="16"/>
  <c r="D82" i="38"/>
  <c r="I81" i="4"/>
  <c r="D81" i="39" s="1"/>
  <c r="B81" i="39" s="1"/>
  <c r="H82" i="38" s="1"/>
  <c r="J81" i="4"/>
  <c r="D83" i="38"/>
  <c r="I82" i="4"/>
  <c r="J82" i="4"/>
  <c r="D83" i="16"/>
  <c r="D84" i="38"/>
  <c r="I83" i="4"/>
  <c r="D83" i="39" s="1"/>
  <c r="B83" i="39" s="1"/>
  <c r="H84" i="38" s="1"/>
  <c r="J83" i="4"/>
  <c r="M83" i="4"/>
  <c r="N83" i="4" s="1"/>
  <c r="D84" i="16"/>
  <c r="D85" i="38"/>
  <c r="I84" i="4"/>
  <c r="D84" i="39" s="1"/>
  <c r="B84" i="39" s="1"/>
  <c r="H85" i="38" s="1"/>
  <c r="J84" i="4"/>
  <c r="D86" i="38"/>
  <c r="I85" i="4"/>
  <c r="J85" i="4"/>
  <c r="D86" i="16"/>
  <c r="D87" i="38"/>
  <c r="I86" i="4"/>
  <c r="D86" i="39" s="1"/>
  <c r="B86" i="39" s="1"/>
  <c r="H87" i="38" s="1"/>
  <c r="J86" i="4"/>
  <c r="D87" i="16"/>
  <c r="D88" i="38"/>
  <c r="I87" i="4"/>
  <c r="J87" i="4"/>
  <c r="M87" i="4"/>
  <c r="N87" i="4" s="1"/>
  <c r="D89" i="38"/>
  <c r="I88" i="4"/>
  <c r="J88" i="4"/>
  <c r="D89" i="16"/>
  <c r="D90" i="38"/>
  <c r="I89" i="4"/>
  <c r="D89" i="39" s="1"/>
  <c r="B89" i="39" s="1"/>
  <c r="H90" i="38" s="1"/>
  <c r="J89" i="4"/>
  <c r="D91" i="38"/>
  <c r="I90" i="4"/>
  <c r="J90" i="4"/>
  <c r="D91" i="16"/>
  <c r="D92" i="38"/>
  <c r="I91" i="4"/>
  <c r="D91" i="39" s="1"/>
  <c r="B91" i="39" s="1"/>
  <c r="H92" i="38" s="1"/>
  <c r="J91" i="4"/>
  <c r="M91" i="4"/>
  <c r="N91" i="4" s="1"/>
  <c r="G92" i="38" s="1"/>
  <c r="Q92" i="38" s="1"/>
  <c r="D92" i="16"/>
  <c r="D93" i="38"/>
  <c r="I92" i="4"/>
  <c r="D92" i="39" s="1"/>
  <c r="B92" i="39" s="1"/>
  <c r="H93" i="38" s="1"/>
  <c r="J92" i="4"/>
  <c r="D94" i="38"/>
  <c r="I93" i="4"/>
  <c r="J93" i="4"/>
  <c r="D94" i="16"/>
  <c r="D95" i="38"/>
  <c r="I94" i="4"/>
  <c r="D94" i="39" s="1"/>
  <c r="B94" i="39" s="1"/>
  <c r="H95" i="38" s="1"/>
  <c r="J94" i="4"/>
  <c r="D95" i="16"/>
  <c r="D96" i="38"/>
  <c r="I95" i="4"/>
  <c r="B95" i="16" s="1"/>
  <c r="C95" i="16" s="1"/>
  <c r="Z95" i="16" s="1"/>
  <c r="J95" i="4"/>
  <c r="M95" i="4"/>
  <c r="N95" i="4" s="1"/>
  <c r="G96" i="38" s="1"/>
  <c r="Q96" i="38" s="1"/>
  <c r="D97" i="38"/>
  <c r="I96" i="4"/>
  <c r="B96" i="16" s="1"/>
  <c r="C96" i="16" s="1"/>
  <c r="Z96" i="16" s="1"/>
  <c r="J96" i="4"/>
  <c r="D98" i="38"/>
  <c r="I97" i="4"/>
  <c r="D97" i="39" s="1"/>
  <c r="B97" i="39" s="1"/>
  <c r="H98" i="38" s="1"/>
  <c r="J97" i="4"/>
  <c r="E98" i="65"/>
  <c r="D99" i="38"/>
  <c r="I98" i="4"/>
  <c r="B98" i="16" s="1"/>
  <c r="C98" i="16" s="1"/>
  <c r="Z98" i="16" s="1"/>
  <c r="J98" i="4"/>
  <c r="E99" i="65"/>
  <c r="D100" i="38"/>
  <c r="I99" i="4"/>
  <c r="D99" i="39" s="1"/>
  <c r="B99" i="39" s="1"/>
  <c r="H100" i="38" s="1"/>
  <c r="J99" i="4"/>
  <c r="D101" i="38"/>
  <c r="I100" i="4"/>
  <c r="B100" i="16" s="1"/>
  <c r="C100" i="16" s="1"/>
  <c r="Z100" i="16" s="1"/>
  <c r="J100" i="4"/>
  <c r="D101" i="16"/>
  <c r="D102" i="38"/>
  <c r="I101" i="4"/>
  <c r="D101" i="39" s="1"/>
  <c r="B101" i="39" s="1"/>
  <c r="H102" i="38" s="1"/>
  <c r="J101" i="4"/>
  <c r="M101" i="4"/>
  <c r="N101" i="4" s="1"/>
  <c r="G102" i="38" s="1"/>
  <c r="Q102" i="38" s="1"/>
  <c r="D102" i="16"/>
  <c r="F102" i="39"/>
  <c r="G102" i="39" s="1"/>
  <c r="I102" i="4"/>
  <c r="D102" i="39" s="1"/>
  <c r="B102" i="39" s="1"/>
  <c r="H103" i="38" s="1"/>
  <c r="J102" i="4"/>
  <c r="D104" i="38"/>
  <c r="I103" i="4"/>
  <c r="B103" i="16" s="1"/>
  <c r="C103" i="16" s="1"/>
  <c r="Z103" i="16" s="1"/>
  <c r="J103" i="4"/>
  <c r="D105" i="38"/>
  <c r="I104" i="4"/>
  <c r="C104" i="65" s="1"/>
  <c r="J104" i="4"/>
  <c r="M104" i="4"/>
  <c r="N104" i="4" s="1"/>
  <c r="G105" i="38" s="1"/>
  <c r="Q105" i="38" s="1"/>
  <c r="D106" i="38"/>
  <c r="I105" i="4"/>
  <c r="C105" i="65" s="1"/>
  <c r="J105" i="4"/>
  <c r="D106" i="16"/>
  <c r="F106" i="39"/>
  <c r="G106" i="39" s="1"/>
  <c r="I106" i="4"/>
  <c r="J106" i="4"/>
  <c r="D108" i="38"/>
  <c r="I107" i="4"/>
  <c r="C107" i="65" s="1"/>
  <c r="J107" i="4"/>
  <c r="D108" i="16"/>
  <c r="D109" i="38"/>
  <c r="I108" i="4"/>
  <c r="C108" i="65" s="1"/>
  <c r="J108" i="4"/>
  <c r="M108" i="4"/>
  <c r="N108" i="4" s="1"/>
  <c r="G109" i="38" s="1"/>
  <c r="Q109" i="38" s="1"/>
  <c r="D109" i="16"/>
  <c r="D110" i="38"/>
  <c r="I109" i="4"/>
  <c r="C109" i="65" s="1"/>
  <c r="J109" i="4"/>
  <c r="S109" i="4"/>
  <c r="F110" i="39"/>
  <c r="G110" i="39" s="1"/>
  <c r="I110" i="4"/>
  <c r="F110" i="4" s="1"/>
  <c r="M110" i="16" s="1"/>
  <c r="J110" i="4"/>
  <c r="M110" i="4"/>
  <c r="N110" i="4" s="1"/>
  <c r="G111" i="38" s="1"/>
  <c r="Q111" i="38" s="1"/>
  <c r="D112" i="38"/>
  <c r="I111" i="4"/>
  <c r="J111" i="4"/>
  <c r="D112" i="16"/>
  <c r="D113" i="38"/>
  <c r="I112" i="4"/>
  <c r="J112" i="4"/>
  <c r="M112" i="4"/>
  <c r="N112" i="4" s="1"/>
  <c r="G113" i="38" s="1"/>
  <c r="Q113" i="38" s="1"/>
  <c r="D113" i="16"/>
  <c r="D114" i="38"/>
  <c r="I113" i="4"/>
  <c r="J113" i="4"/>
  <c r="E114" i="65"/>
  <c r="D115" i="38"/>
  <c r="I114" i="4"/>
  <c r="B114" i="16" s="1"/>
  <c r="C114" i="16" s="1"/>
  <c r="Z114" i="16" s="1"/>
  <c r="J114" i="4"/>
  <c r="D116" i="38"/>
  <c r="I115" i="4"/>
  <c r="B115" i="16" s="1"/>
  <c r="C115" i="16" s="1"/>
  <c r="Z115" i="16" s="1"/>
  <c r="J115" i="4"/>
  <c r="B72" i="16"/>
  <c r="C72" i="16" s="1"/>
  <c r="Z72" i="16" s="1"/>
  <c r="D72" i="16"/>
  <c r="B73" i="16"/>
  <c r="C73" i="16" s="1"/>
  <c r="Z73" i="16" s="1"/>
  <c r="B74" i="16"/>
  <c r="C74" i="16" s="1"/>
  <c r="Z74" i="16" s="1"/>
  <c r="D74" i="16"/>
  <c r="B75" i="16"/>
  <c r="C75" i="16" s="1"/>
  <c r="Z75" i="16" s="1"/>
  <c r="D75" i="16"/>
  <c r="B76" i="16"/>
  <c r="C76" i="16" s="1"/>
  <c r="Z76" i="16" s="1"/>
  <c r="B77" i="16"/>
  <c r="C77" i="16" s="1"/>
  <c r="Z77" i="16" s="1"/>
  <c r="D77" i="16"/>
  <c r="D78" i="16"/>
  <c r="B80" i="16"/>
  <c r="C80" i="16" s="1"/>
  <c r="Z80" i="16" s="1"/>
  <c r="D80" i="16"/>
  <c r="B81" i="16"/>
  <c r="C81" i="16" s="1"/>
  <c r="Z81" i="16" s="1"/>
  <c r="B82" i="16"/>
  <c r="C82" i="16" s="1"/>
  <c r="Z82" i="16" s="1"/>
  <c r="D82" i="16"/>
  <c r="B83" i="16"/>
  <c r="C83" i="16" s="1"/>
  <c r="Z83" i="16" s="1"/>
  <c r="B84" i="16"/>
  <c r="C84" i="16" s="1"/>
  <c r="Z84" i="16" s="1"/>
  <c r="B85" i="16"/>
  <c r="C85" i="16" s="1"/>
  <c r="Z85" i="16" s="1"/>
  <c r="D85" i="16"/>
  <c r="B86" i="16"/>
  <c r="C86" i="16" s="1"/>
  <c r="Z86" i="16" s="1"/>
  <c r="B87" i="16"/>
  <c r="C87" i="16" s="1"/>
  <c r="Z87" i="16" s="1"/>
  <c r="B88" i="16"/>
  <c r="C88" i="16" s="1"/>
  <c r="Z88" i="16" s="1"/>
  <c r="D88" i="16"/>
  <c r="B89" i="16"/>
  <c r="C89" i="16" s="1"/>
  <c r="Z89" i="16" s="1"/>
  <c r="B90" i="16"/>
  <c r="C90" i="16" s="1"/>
  <c r="Z90" i="16" s="1"/>
  <c r="D90" i="16"/>
  <c r="B91" i="16"/>
  <c r="C91" i="16" s="1"/>
  <c r="Z91" i="16" s="1"/>
  <c r="B92" i="16"/>
  <c r="B93" i="16"/>
  <c r="C93" i="16" s="1"/>
  <c r="Z93" i="16" s="1"/>
  <c r="D93" i="16"/>
  <c r="B94" i="16"/>
  <c r="C94" i="16" s="1"/>
  <c r="Z94" i="16" s="1"/>
  <c r="D96" i="16"/>
  <c r="D98" i="16"/>
  <c r="D100" i="16"/>
  <c r="B104" i="16"/>
  <c r="C104" i="16" s="1"/>
  <c r="Z104" i="16" s="1"/>
  <c r="D107" i="16"/>
  <c r="B111" i="16"/>
  <c r="D114" i="16"/>
  <c r="Q60" i="23"/>
  <c r="I60" i="23"/>
  <c r="P59" i="23"/>
  <c r="H59" i="23"/>
  <c r="O58" i="23"/>
  <c r="G58" i="23"/>
  <c r="N57" i="23"/>
  <c r="U56" i="23"/>
  <c r="M56" i="23"/>
  <c r="T55" i="23"/>
  <c r="L55" i="23"/>
  <c r="S54" i="23"/>
  <c r="K54" i="23"/>
  <c r="R53" i="23"/>
  <c r="J53" i="23"/>
  <c r="U52" i="23"/>
  <c r="Q52" i="23"/>
  <c r="M52" i="23"/>
  <c r="I52" i="23"/>
  <c r="T51" i="23"/>
  <c r="P51" i="23"/>
  <c r="L51" i="23"/>
  <c r="H51" i="23"/>
  <c r="S50" i="23"/>
  <c r="O50" i="23"/>
  <c r="K50" i="23"/>
  <c r="G50" i="23"/>
  <c r="R49" i="23"/>
  <c r="N49" i="23"/>
  <c r="J49" i="23"/>
  <c r="U48" i="23"/>
  <c r="Q48" i="23"/>
  <c r="M48" i="23"/>
  <c r="I48" i="23"/>
  <c r="U47" i="23"/>
  <c r="S47" i="23"/>
  <c r="Q47" i="23"/>
  <c r="N47" i="23"/>
  <c r="J47" i="23"/>
  <c r="U46" i="23"/>
  <c r="S46" i="23"/>
  <c r="Q46" i="23"/>
  <c r="O46" i="23"/>
  <c r="M46" i="23"/>
  <c r="K46" i="23"/>
  <c r="G46" i="23"/>
  <c r="T45" i="23"/>
  <c r="R45" i="23"/>
  <c r="P45" i="23"/>
  <c r="N45" i="23"/>
  <c r="L45" i="23"/>
  <c r="J45" i="23"/>
  <c r="H45" i="23"/>
  <c r="U44" i="23"/>
  <c r="S44" i="23"/>
  <c r="Q44" i="23"/>
  <c r="O44" i="23"/>
  <c r="M44" i="23"/>
  <c r="K44" i="23"/>
  <c r="I44" i="23"/>
  <c r="G44" i="23"/>
  <c r="T43" i="23"/>
  <c r="R43" i="23"/>
  <c r="P43" i="23"/>
  <c r="O43" i="23"/>
  <c r="N43" i="23"/>
  <c r="M43" i="23"/>
  <c r="L43" i="23"/>
  <c r="K43" i="23"/>
  <c r="J43" i="23"/>
  <c r="I43" i="23"/>
  <c r="H43" i="23"/>
  <c r="G43" i="23"/>
  <c r="U42" i="23"/>
  <c r="T42" i="23"/>
  <c r="S42" i="23"/>
  <c r="R42" i="23"/>
  <c r="Q42" i="23"/>
  <c r="P42" i="23"/>
  <c r="O42" i="23"/>
  <c r="N42" i="23"/>
  <c r="M42" i="23"/>
  <c r="L42" i="23"/>
  <c r="K42" i="23"/>
  <c r="J42" i="23"/>
  <c r="I42" i="23"/>
  <c r="H42" i="23"/>
  <c r="G42" i="23"/>
  <c r="U41" i="23"/>
  <c r="T41" i="23"/>
  <c r="S41" i="23"/>
  <c r="R41" i="23"/>
  <c r="Q41" i="23"/>
  <c r="P41" i="23"/>
  <c r="O41" i="23"/>
  <c r="N41" i="23"/>
  <c r="M41" i="23"/>
  <c r="L41" i="23"/>
  <c r="K41" i="23"/>
  <c r="J41" i="23"/>
  <c r="I41" i="23"/>
  <c r="H41" i="23"/>
  <c r="G41" i="23"/>
  <c r="U40" i="23"/>
  <c r="T40" i="23"/>
  <c r="S40" i="23"/>
  <c r="R40" i="23"/>
  <c r="Q40" i="23"/>
  <c r="P40" i="23"/>
  <c r="O40" i="23"/>
  <c r="N40" i="23"/>
  <c r="M40" i="23"/>
  <c r="L40" i="23"/>
  <c r="K40" i="23"/>
  <c r="J40" i="23"/>
  <c r="I40" i="23"/>
  <c r="H40" i="23"/>
  <c r="G40" i="23"/>
  <c r="U39" i="23"/>
  <c r="T39" i="23"/>
  <c r="S39" i="23"/>
  <c r="R39" i="23"/>
  <c r="Q39" i="23"/>
  <c r="P39" i="23"/>
  <c r="O39" i="23"/>
  <c r="N39" i="23"/>
  <c r="M39" i="23"/>
  <c r="L39" i="23"/>
  <c r="K39" i="23"/>
  <c r="J39" i="23"/>
  <c r="I39" i="23"/>
  <c r="H39" i="23"/>
  <c r="G39" i="23"/>
  <c r="U38" i="23"/>
  <c r="T38" i="23"/>
  <c r="S38" i="23"/>
  <c r="R38" i="23"/>
  <c r="Q38" i="23"/>
  <c r="P38" i="23"/>
  <c r="O38" i="23"/>
  <c r="N38" i="23"/>
  <c r="M38" i="23"/>
  <c r="L38" i="23"/>
  <c r="K38" i="23"/>
  <c r="J38" i="23"/>
  <c r="I38" i="23"/>
  <c r="H38" i="23"/>
  <c r="G38" i="23"/>
  <c r="U37" i="23"/>
  <c r="T37" i="23"/>
  <c r="S37" i="23"/>
  <c r="R37" i="23"/>
  <c r="Q37" i="23"/>
  <c r="P37" i="23"/>
  <c r="O37" i="23"/>
  <c r="N37" i="23"/>
  <c r="M37" i="23"/>
  <c r="L37" i="23"/>
  <c r="K37" i="23"/>
  <c r="J37" i="23"/>
  <c r="I37" i="23"/>
  <c r="H37" i="23"/>
  <c r="G37" i="23"/>
  <c r="U36" i="23"/>
  <c r="T36" i="23"/>
  <c r="S36" i="23"/>
  <c r="R36" i="23"/>
  <c r="Q36" i="23"/>
  <c r="P36" i="23"/>
  <c r="O36" i="23"/>
  <c r="N36" i="23"/>
  <c r="M36" i="23"/>
  <c r="L36" i="23"/>
  <c r="K36" i="23"/>
  <c r="J36" i="23"/>
  <c r="I36" i="23"/>
  <c r="H36" i="23"/>
  <c r="G36" i="23"/>
  <c r="U35" i="23"/>
  <c r="T35" i="23"/>
  <c r="S35" i="23"/>
  <c r="R35" i="23"/>
  <c r="Q35" i="23"/>
  <c r="P35" i="23"/>
  <c r="O35" i="23"/>
  <c r="N35" i="23"/>
  <c r="M35" i="23"/>
  <c r="L35" i="23"/>
  <c r="K35" i="23"/>
  <c r="J35" i="23"/>
  <c r="I35" i="23"/>
  <c r="H35" i="23"/>
  <c r="G35" i="23"/>
  <c r="G84" i="38" l="1"/>
  <c r="Q84" i="38" s="1"/>
  <c r="U69" i="6"/>
  <c r="U71" i="6"/>
  <c r="U73" i="6"/>
  <c r="U75" i="6"/>
  <c r="U77" i="6"/>
  <c r="U79" i="6"/>
  <c r="U81" i="6"/>
  <c r="U83" i="6"/>
  <c r="U85" i="6"/>
  <c r="U68" i="6"/>
  <c r="U70" i="6"/>
  <c r="U72" i="6"/>
  <c r="U74" i="6"/>
  <c r="U76" i="6"/>
  <c r="U78" i="6"/>
  <c r="U80" i="6"/>
  <c r="U82" i="6"/>
  <c r="U84" i="6"/>
  <c r="CI117" i="65"/>
  <c r="B101" i="16"/>
  <c r="C101" i="16" s="1"/>
  <c r="Z101" i="16" s="1"/>
  <c r="B110" i="16"/>
  <c r="C110" i="16" s="1"/>
  <c r="Z110" i="16" s="1"/>
  <c r="B105" i="16"/>
  <c r="C105" i="16" s="1"/>
  <c r="Z105" i="16" s="1"/>
  <c r="B99" i="16"/>
  <c r="C99" i="16" s="1"/>
  <c r="Z99" i="16" s="1"/>
  <c r="CI119" i="65"/>
  <c r="BC120" i="65"/>
  <c r="BM120" i="65"/>
  <c r="BP120" i="65" s="1"/>
  <c r="BK120" i="65"/>
  <c r="BL120" i="65"/>
  <c r="BN120" i="65"/>
  <c r="BJ120" i="65"/>
  <c r="BO120" i="65" s="1"/>
  <c r="U117" i="65"/>
  <c r="M117" i="65"/>
  <c r="V117" i="65"/>
  <c r="W117" i="65"/>
  <c r="T117" i="65"/>
  <c r="Y117" i="65" s="1"/>
  <c r="CJ120" i="65"/>
  <c r="M120" i="65"/>
  <c r="W120" i="65"/>
  <c r="Z120" i="65" s="1"/>
  <c r="V120" i="65"/>
  <c r="U120" i="65"/>
  <c r="X120" i="65"/>
  <c r="T120" i="65"/>
  <c r="Y120" i="65" s="1"/>
  <c r="U118" i="65"/>
  <c r="M118" i="65"/>
  <c r="V118" i="65"/>
  <c r="W118" i="65"/>
  <c r="T118" i="65"/>
  <c r="Y118" i="65" s="1"/>
  <c r="X118" i="65"/>
  <c r="Z118" i="65" s="1"/>
  <c r="U116" i="65"/>
  <c r="T116" i="65"/>
  <c r="Y116" i="65" s="1"/>
  <c r="X116" i="65"/>
  <c r="Z116" i="65" s="1"/>
  <c r="M116" i="65"/>
  <c r="V116" i="65"/>
  <c r="W116" i="65"/>
  <c r="CH119" i="65"/>
  <c r="CJ118" i="65"/>
  <c r="AR117" i="65"/>
  <c r="CF117" i="65"/>
  <c r="AQ117" i="65"/>
  <c r="AO117" i="65"/>
  <c r="AP117" i="65"/>
  <c r="BY117" i="65" s="1"/>
  <c r="AH117" i="65"/>
  <c r="AS117" i="65"/>
  <c r="AP119" i="65"/>
  <c r="AQ119" i="65"/>
  <c r="AR119" i="65"/>
  <c r="AS119" i="65"/>
  <c r="AO119" i="65"/>
  <c r="CF119" i="65"/>
  <c r="AH119" i="65"/>
  <c r="CH118" i="65"/>
  <c r="AH120" i="65"/>
  <c r="AP120" i="65"/>
  <c r="AS120" i="65"/>
  <c r="AO120" i="65"/>
  <c r="CF120" i="65"/>
  <c r="AQ120" i="65"/>
  <c r="CI118" i="65"/>
  <c r="CG116" i="65"/>
  <c r="CG117" i="65"/>
  <c r="CH116" i="65"/>
  <c r="BK118" i="65"/>
  <c r="BC118" i="65"/>
  <c r="BL118" i="65"/>
  <c r="BM118" i="65"/>
  <c r="BJ118" i="65"/>
  <c r="BO118" i="65" s="1"/>
  <c r="BN118" i="65"/>
  <c r="BP118" i="65" s="1"/>
  <c r="BK116" i="65"/>
  <c r="BJ116" i="65"/>
  <c r="BO116" i="65" s="1"/>
  <c r="BN116" i="65"/>
  <c r="BP116" i="65" s="1"/>
  <c r="BM116" i="65"/>
  <c r="BC116" i="65"/>
  <c r="BL116" i="65"/>
  <c r="BC119" i="65"/>
  <c r="BN119" i="65"/>
  <c r="BJ119" i="65"/>
  <c r="BO119" i="65" s="1"/>
  <c r="BL119" i="65"/>
  <c r="BM119" i="65"/>
  <c r="BP119" i="65" s="1"/>
  <c r="BK119" i="65"/>
  <c r="BC117" i="65"/>
  <c r="BL117" i="65"/>
  <c r="BM117" i="65"/>
  <c r="BJ117" i="65"/>
  <c r="BO117" i="65" s="1"/>
  <c r="BN117" i="65"/>
  <c r="BP117" i="65" s="1"/>
  <c r="U119" i="65"/>
  <c r="M119" i="65"/>
  <c r="V119" i="65"/>
  <c r="W119" i="65"/>
  <c r="Z119" i="65" s="1"/>
  <c r="T119" i="65"/>
  <c r="Y119" i="65" s="1"/>
  <c r="X119" i="65"/>
  <c r="X117" i="65"/>
  <c r="Z117" i="65" s="1"/>
  <c r="CH120" i="65"/>
  <c r="CH117" i="65"/>
  <c r="AP118" i="65"/>
  <c r="AR118" i="65"/>
  <c r="AO118" i="65"/>
  <c r="AS118" i="65"/>
  <c r="AH118" i="65"/>
  <c r="AQ118" i="65"/>
  <c r="CF118" i="65"/>
  <c r="AR120" i="65"/>
  <c r="CG120" i="65"/>
  <c r="CJ117" i="65"/>
  <c r="CJ119" i="65"/>
  <c r="CI120" i="65"/>
  <c r="CG118" i="65"/>
  <c r="CI116" i="65"/>
  <c r="CG119" i="65"/>
  <c r="CJ116" i="65"/>
  <c r="AR116" i="65"/>
  <c r="AP116" i="65"/>
  <c r="CF116" i="65"/>
  <c r="AO116" i="65"/>
  <c r="AS116" i="65"/>
  <c r="AH116" i="65"/>
  <c r="AQ116" i="65"/>
  <c r="S110" i="4"/>
  <c r="S104" i="4"/>
  <c r="B97" i="16"/>
  <c r="C97" i="16" s="1"/>
  <c r="Z97" i="16" s="1"/>
  <c r="F104" i="4"/>
  <c r="M104" i="16" s="1"/>
  <c r="S71" i="4"/>
  <c r="S94" i="4"/>
  <c r="S86" i="4"/>
  <c r="C115" i="65"/>
  <c r="L116" i="38"/>
  <c r="S115" i="4"/>
  <c r="C113" i="65"/>
  <c r="L114" i="38"/>
  <c r="F112" i="4"/>
  <c r="F112" i="65" s="1"/>
  <c r="C112" i="65"/>
  <c r="L113" i="38"/>
  <c r="B106" i="16"/>
  <c r="C106" i="16" s="1"/>
  <c r="Z106" i="16" s="1"/>
  <c r="C106" i="65"/>
  <c r="B113" i="16"/>
  <c r="C113" i="16" s="1"/>
  <c r="Z113" i="16" s="1"/>
  <c r="B112" i="16"/>
  <c r="C112" i="16" s="1"/>
  <c r="Z112" i="16" s="1"/>
  <c r="B109" i="16"/>
  <c r="C109" i="16" s="1"/>
  <c r="Z109" i="16" s="1"/>
  <c r="C114" i="65"/>
  <c r="L115" i="38"/>
  <c r="C111" i="65"/>
  <c r="L112" i="38"/>
  <c r="C110" i="65"/>
  <c r="L111" i="38"/>
  <c r="C103" i="65"/>
  <c r="L104" i="38"/>
  <c r="C100" i="65"/>
  <c r="L101" i="38"/>
  <c r="C98" i="65"/>
  <c r="L99" i="38"/>
  <c r="C96" i="65"/>
  <c r="L97" i="38"/>
  <c r="C95" i="65"/>
  <c r="L96" i="38"/>
  <c r="C93" i="65"/>
  <c r="L94" i="38"/>
  <c r="C90" i="65"/>
  <c r="M90" i="44"/>
  <c r="L91" i="38"/>
  <c r="C88" i="65"/>
  <c r="M88" i="44"/>
  <c r="L89" i="38"/>
  <c r="L87" i="44"/>
  <c r="G88" i="38"/>
  <c r="Q88" i="38" s="1"/>
  <c r="C87" i="65"/>
  <c r="L88" i="38"/>
  <c r="C85" i="65"/>
  <c r="M85" i="44"/>
  <c r="L86" i="38"/>
  <c r="C82" i="65"/>
  <c r="L83" i="38"/>
  <c r="C80" i="65"/>
  <c r="L81" i="38"/>
  <c r="C79" i="65"/>
  <c r="M79" i="44"/>
  <c r="L80" i="38"/>
  <c r="C78" i="65"/>
  <c r="M78" i="44"/>
  <c r="L79" i="38"/>
  <c r="S78" i="4"/>
  <c r="C76" i="65"/>
  <c r="M76" i="44"/>
  <c r="L77" i="38"/>
  <c r="L75" i="44"/>
  <c r="G76" i="38"/>
  <c r="Q76" i="38" s="1"/>
  <c r="F75" i="4"/>
  <c r="M75" i="16" s="1"/>
  <c r="C75" i="65"/>
  <c r="L76" i="38"/>
  <c r="F73" i="4"/>
  <c r="M73" i="16" s="1"/>
  <c r="C73" i="65"/>
  <c r="M73" i="44"/>
  <c r="L74" i="38"/>
  <c r="M115" i="44"/>
  <c r="M113" i="44"/>
  <c r="M111" i="44"/>
  <c r="L110" i="44"/>
  <c r="M108" i="44"/>
  <c r="M106" i="44"/>
  <c r="M104" i="44"/>
  <c r="M103" i="44"/>
  <c r="M101" i="44"/>
  <c r="M99" i="44"/>
  <c r="M97" i="44"/>
  <c r="M95" i="44"/>
  <c r="M94" i="44"/>
  <c r="M92" i="44"/>
  <c r="M89" i="44"/>
  <c r="M86" i="44"/>
  <c r="M82" i="44"/>
  <c r="L79" i="44"/>
  <c r="M75" i="44"/>
  <c r="M72" i="44"/>
  <c r="D115" i="39"/>
  <c r="B115" i="39" s="1"/>
  <c r="H116" i="38" s="1"/>
  <c r="D114" i="39"/>
  <c r="B114" i="39" s="1"/>
  <c r="H115" i="38" s="1"/>
  <c r="D113" i="39"/>
  <c r="B113" i="39" s="1"/>
  <c r="H114" i="38" s="1"/>
  <c r="D112" i="39"/>
  <c r="B112" i="39" s="1"/>
  <c r="H113" i="38" s="1"/>
  <c r="D111" i="39"/>
  <c r="B111" i="39" s="1"/>
  <c r="H112" i="38" s="1"/>
  <c r="D110" i="39"/>
  <c r="B110" i="39" s="1"/>
  <c r="H111" i="38" s="1"/>
  <c r="D109" i="39"/>
  <c r="B109" i="39" s="1"/>
  <c r="H110" i="38" s="1"/>
  <c r="D108" i="39"/>
  <c r="B108" i="39" s="1"/>
  <c r="H109" i="38" s="1"/>
  <c r="D107" i="39"/>
  <c r="B107" i="39" s="1"/>
  <c r="H108" i="38" s="1"/>
  <c r="D106" i="39"/>
  <c r="B106" i="39" s="1"/>
  <c r="H107" i="38" s="1"/>
  <c r="D105" i="39"/>
  <c r="B105" i="39" s="1"/>
  <c r="H106" i="38" s="1"/>
  <c r="D104" i="39"/>
  <c r="B104" i="39" s="1"/>
  <c r="H105" i="38" s="1"/>
  <c r="D103" i="39"/>
  <c r="B103" i="39" s="1"/>
  <c r="H104" i="38" s="1"/>
  <c r="D100" i="39"/>
  <c r="B100" i="39" s="1"/>
  <c r="H101" i="38" s="1"/>
  <c r="D98" i="39"/>
  <c r="B98" i="39" s="1"/>
  <c r="H99" i="38" s="1"/>
  <c r="D96" i="39"/>
  <c r="B96" i="39" s="1"/>
  <c r="H97" i="38" s="1"/>
  <c r="D95" i="39"/>
  <c r="B95" i="39" s="1"/>
  <c r="H96" i="38" s="1"/>
  <c r="D93" i="39"/>
  <c r="B93" i="39" s="1"/>
  <c r="H94" i="38" s="1"/>
  <c r="D90" i="39"/>
  <c r="B90" i="39" s="1"/>
  <c r="H91" i="38" s="1"/>
  <c r="D88" i="39"/>
  <c r="B88" i="39" s="1"/>
  <c r="H89" i="38" s="1"/>
  <c r="D87" i="39"/>
  <c r="B87" i="39" s="1"/>
  <c r="H88" i="38" s="1"/>
  <c r="D85" i="39"/>
  <c r="B85" i="39" s="1"/>
  <c r="H86" i="38" s="1"/>
  <c r="D82" i="39"/>
  <c r="B82" i="39" s="1"/>
  <c r="H83" i="38" s="1"/>
  <c r="D80" i="39"/>
  <c r="B80" i="39" s="1"/>
  <c r="H81" i="38" s="1"/>
  <c r="D79" i="39"/>
  <c r="B79" i="39" s="1"/>
  <c r="H80" i="38" s="1"/>
  <c r="D78" i="39"/>
  <c r="B78" i="39" s="1"/>
  <c r="H79" i="38" s="1"/>
  <c r="D76" i="39"/>
  <c r="B76" i="39" s="1"/>
  <c r="H77" i="38" s="1"/>
  <c r="D75" i="39"/>
  <c r="B75" i="39" s="1"/>
  <c r="H76" i="38" s="1"/>
  <c r="D73" i="39"/>
  <c r="B73" i="39" s="1"/>
  <c r="H74" i="38" s="1"/>
  <c r="B102" i="16"/>
  <c r="C102" i="16" s="1"/>
  <c r="Z102" i="16" s="1"/>
  <c r="C102" i="65"/>
  <c r="L103" i="38"/>
  <c r="F101" i="4"/>
  <c r="M101" i="16" s="1"/>
  <c r="C101" i="65"/>
  <c r="L102" i="38"/>
  <c r="C99" i="65"/>
  <c r="L100" i="38"/>
  <c r="F97" i="4"/>
  <c r="F97" i="65" s="1"/>
  <c r="C97" i="65"/>
  <c r="L98" i="38"/>
  <c r="F95" i="4"/>
  <c r="M95" i="16" s="1"/>
  <c r="S95" i="4"/>
  <c r="C94" i="65"/>
  <c r="L95" i="38"/>
  <c r="C92" i="65"/>
  <c r="L93" i="38"/>
  <c r="F91" i="4"/>
  <c r="F91" i="65" s="1"/>
  <c r="C91" i="65"/>
  <c r="L92" i="38"/>
  <c r="F89" i="4"/>
  <c r="M89" i="16" s="1"/>
  <c r="C89" i="65"/>
  <c r="L90" i="38"/>
  <c r="F87" i="4"/>
  <c r="M87" i="16" s="1"/>
  <c r="S87" i="4"/>
  <c r="C86" i="65"/>
  <c r="L87" i="38"/>
  <c r="C84" i="65"/>
  <c r="L85" i="38"/>
  <c r="F83" i="4"/>
  <c r="M83" i="16" s="1"/>
  <c r="C83" i="65"/>
  <c r="M83" i="44"/>
  <c r="L84" i="38"/>
  <c r="F81" i="4"/>
  <c r="M81" i="16" s="1"/>
  <c r="C81" i="65"/>
  <c r="M81" i="44"/>
  <c r="L82" i="38"/>
  <c r="F79" i="4"/>
  <c r="M79" i="16" s="1"/>
  <c r="S79" i="4"/>
  <c r="C77" i="65"/>
  <c r="L78" i="38"/>
  <c r="C74" i="65"/>
  <c r="L75" i="38"/>
  <c r="C72" i="65"/>
  <c r="L73" i="38"/>
  <c r="M114" i="44"/>
  <c r="M112" i="44"/>
  <c r="M110" i="44"/>
  <c r="M109" i="44"/>
  <c r="M107" i="44"/>
  <c r="M105" i="44"/>
  <c r="L104" i="44"/>
  <c r="M102" i="44"/>
  <c r="M100" i="44"/>
  <c r="M98" i="44"/>
  <c r="M96" i="44"/>
  <c r="L95" i="44"/>
  <c r="M93" i="44"/>
  <c r="M91" i="44"/>
  <c r="M87" i="44"/>
  <c r="M84" i="44"/>
  <c r="M80" i="44"/>
  <c r="M77" i="44"/>
  <c r="M74" i="44"/>
  <c r="L110" i="38"/>
  <c r="L109" i="38"/>
  <c r="L108" i="38"/>
  <c r="L107" i="38"/>
  <c r="L106" i="38"/>
  <c r="L105" i="38"/>
  <c r="L112" i="44"/>
  <c r="L108" i="44"/>
  <c r="L101" i="44"/>
  <c r="L91" i="44"/>
  <c r="L83" i="44"/>
  <c r="E115" i="65"/>
  <c r="D115" i="16"/>
  <c r="E97" i="65"/>
  <c r="D97" i="16"/>
  <c r="I61" i="23"/>
  <c r="J62" i="23"/>
  <c r="K58" i="23"/>
  <c r="J57" i="23"/>
  <c r="I56" i="23"/>
  <c r="H55" i="23"/>
  <c r="G54" i="23"/>
  <c r="H53" i="23"/>
  <c r="K52" i="23"/>
  <c r="G52" i="23"/>
  <c r="J51" i="23"/>
  <c r="I50" i="23"/>
  <c r="H49" i="23"/>
  <c r="K48" i="23"/>
  <c r="G48" i="23"/>
  <c r="H47" i="23"/>
  <c r="I46" i="23"/>
  <c r="K45" i="23"/>
  <c r="I45" i="23"/>
  <c r="G45" i="23"/>
  <c r="J44" i="23"/>
  <c r="H44" i="23"/>
  <c r="M60" i="23"/>
  <c r="L59" i="23"/>
  <c r="P55" i="23"/>
  <c r="O54" i="23"/>
  <c r="N53" i="23"/>
  <c r="O52" i="23"/>
  <c r="N51" i="23"/>
  <c r="M50" i="23"/>
  <c r="P49" i="23"/>
  <c r="L49" i="23"/>
  <c r="O48" i="23"/>
  <c r="P47" i="23"/>
  <c r="L47" i="23"/>
  <c r="P46" i="23"/>
  <c r="F46" i="23" s="1"/>
  <c r="Y75" i="16" s="1"/>
  <c r="AE75" i="16" s="1"/>
  <c r="N46" i="23"/>
  <c r="L46" i="23"/>
  <c r="B46" i="23" s="1"/>
  <c r="T75" i="16" s="1"/>
  <c r="O45" i="23"/>
  <c r="E45" i="23" s="1"/>
  <c r="M45" i="23"/>
  <c r="P44" i="23"/>
  <c r="N44" i="23"/>
  <c r="D44" i="23" s="1"/>
  <c r="W73" i="16" s="1"/>
  <c r="AC73" i="16" s="1"/>
  <c r="L44" i="23"/>
  <c r="B44" i="23" s="1"/>
  <c r="T73" i="16" s="1"/>
  <c r="Q61" i="23"/>
  <c r="R62" i="23"/>
  <c r="U60" i="23"/>
  <c r="T59" i="23"/>
  <c r="S58" i="23"/>
  <c r="R57" i="23"/>
  <c r="Q56" i="23"/>
  <c r="S52" i="23"/>
  <c r="R51" i="23"/>
  <c r="U50" i="23"/>
  <c r="Q50" i="23"/>
  <c r="T49" i="23"/>
  <c r="S48" i="23"/>
  <c r="T47" i="23"/>
  <c r="R47" i="23"/>
  <c r="T46" i="23"/>
  <c r="R46" i="23"/>
  <c r="U45" i="23"/>
  <c r="S45" i="23"/>
  <c r="Q45" i="23"/>
  <c r="T44" i="23"/>
  <c r="R44" i="23"/>
  <c r="U43" i="23"/>
  <c r="F43" i="23" s="1"/>
  <c r="S43" i="23"/>
  <c r="D43" i="23" s="1"/>
  <c r="Q43" i="23"/>
  <c r="B43" i="23" s="1"/>
  <c r="H115" i="65"/>
  <c r="T115" i="65" s="1"/>
  <c r="H113" i="65"/>
  <c r="M113" i="65" s="1"/>
  <c r="H111" i="65"/>
  <c r="T111" i="65" s="1"/>
  <c r="H109" i="65"/>
  <c r="T109" i="65" s="1"/>
  <c r="D99" i="16"/>
  <c r="M97" i="16"/>
  <c r="F111" i="4"/>
  <c r="D111" i="16"/>
  <c r="E111" i="65"/>
  <c r="C112" i="38"/>
  <c r="S107" i="4"/>
  <c r="E107" i="65"/>
  <c r="C108" i="38"/>
  <c r="D105" i="16"/>
  <c r="E105" i="65"/>
  <c r="C106" i="38"/>
  <c r="D103" i="16"/>
  <c r="E103" i="65"/>
  <c r="C104" i="38"/>
  <c r="S100" i="4"/>
  <c r="E100" i="65"/>
  <c r="C101" i="38"/>
  <c r="S98" i="4"/>
  <c r="F96" i="4"/>
  <c r="E96" i="65"/>
  <c r="C97" i="38"/>
  <c r="E93" i="65"/>
  <c r="C94" i="38"/>
  <c r="S90" i="4"/>
  <c r="E90" i="65"/>
  <c r="C91" i="38"/>
  <c r="F88" i="4"/>
  <c r="E88" i="65"/>
  <c r="C89" i="38"/>
  <c r="E85" i="65"/>
  <c r="C86" i="38"/>
  <c r="S82" i="4"/>
  <c r="C83" i="38"/>
  <c r="E82" i="65"/>
  <c r="F80" i="4"/>
  <c r="C81" i="38"/>
  <c r="E80" i="65"/>
  <c r="C78" i="38"/>
  <c r="E77" i="65"/>
  <c r="S74" i="4"/>
  <c r="C75" i="38"/>
  <c r="E74" i="65"/>
  <c r="F72" i="4"/>
  <c r="C73" i="38"/>
  <c r="E72" i="65"/>
  <c r="F113" i="39"/>
  <c r="G113" i="39" s="1"/>
  <c r="F112" i="39"/>
  <c r="G112" i="39" s="1"/>
  <c r="F109" i="39"/>
  <c r="G109" i="39" s="1"/>
  <c r="F108" i="39"/>
  <c r="G108" i="39" s="1"/>
  <c r="F105" i="39"/>
  <c r="G105" i="39" s="1"/>
  <c r="F104" i="39"/>
  <c r="G104" i="39" s="1"/>
  <c r="F101" i="39"/>
  <c r="G101" i="39" s="1"/>
  <c r="F100" i="39"/>
  <c r="G100" i="39" s="1"/>
  <c r="F97" i="39"/>
  <c r="G97" i="39" s="1"/>
  <c r="F96" i="39"/>
  <c r="G96" i="39" s="1"/>
  <c r="F93" i="39"/>
  <c r="G93" i="39" s="1"/>
  <c r="F92" i="39"/>
  <c r="G92" i="39" s="1"/>
  <c r="F89" i="39"/>
  <c r="G89" i="39" s="1"/>
  <c r="F88" i="39"/>
  <c r="G88" i="39" s="1"/>
  <c r="F85" i="39"/>
  <c r="G85" i="39" s="1"/>
  <c r="F84" i="39"/>
  <c r="G84" i="39" s="1"/>
  <c r="F81" i="39"/>
  <c r="G81" i="39" s="1"/>
  <c r="F80" i="39"/>
  <c r="G80" i="39" s="1"/>
  <c r="F77" i="39"/>
  <c r="G77" i="39" s="1"/>
  <c r="F76" i="39"/>
  <c r="G76" i="39" s="1"/>
  <c r="C116" i="38"/>
  <c r="C115" i="38"/>
  <c r="D111" i="38"/>
  <c r="D107" i="38"/>
  <c r="D103" i="38"/>
  <c r="Z98" i="38"/>
  <c r="E113" i="65"/>
  <c r="C114" i="38"/>
  <c r="M112" i="16"/>
  <c r="E112" i="65"/>
  <c r="C113" i="38"/>
  <c r="F110" i="65"/>
  <c r="Z111" i="38"/>
  <c r="D110" i="16"/>
  <c r="E110" i="65"/>
  <c r="C111" i="38"/>
  <c r="E109" i="65"/>
  <c r="C110" i="38"/>
  <c r="E108" i="65"/>
  <c r="C109" i="38"/>
  <c r="E106" i="65"/>
  <c r="C107" i="38"/>
  <c r="D104" i="16"/>
  <c r="E104" i="65"/>
  <c r="C105" i="38"/>
  <c r="E102" i="65"/>
  <c r="C103" i="38"/>
  <c r="E101" i="65"/>
  <c r="C102" i="38"/>
  <c r="F95" i="65"/>
  <c r="E95" i="65"/>
  <c r="C96" i="38"/>
  <c r="E94" i="65"/>
  <c r="C95" i="38"/>
  <c r="E92" i="65"/>
  <c r="C93" i="38"/>
  <c r="E91" i="65"/>
  <c r="C92" i="38"/>
  <c r="E89" i="65"/>
  <c r="C90" i="38"/>
  <c r="E87" i="65"/>
  <c r="C88" i="38"/>
  <c r="E86" i="65"/>
  <c r="C87" i="38"/>
  <c r="E84" i="65"/>
  <c r="C85" i="38"/>
  <c r="E83" i="65"/>
  <c r="C84" i="38"/>
  <c r="F81" i="65"/>
  <c r="C82" i="38"/>
  <c r="E81" i="65"/>
  <c r="C80" i="38"/>
  <c r="E79" i="65"/>
  <c r="C79" i="38"/>
  <c r="E78" i="65"/>
  <c r="C77" i="38"/>
  <c r="E76" i="65"/>
  <c r="C76" i="38"/>
  <c r="E75" i="65"/>
  <c r="C74" i="38"/>
  <c r="E73" i="65"/>
  <c r="F115" i="39"/>
  <c r="G115" i="39" s="1"/>
  <c r="F114" i="39"/>
  <c r="G114" i="39" s="1"/>
  <c r="F111" i="39"/>
  <c r="G111" i="39" s="1"/>
  <c r="F107" i="39"/>
  <c r="G107" i="39" s="1"/>
  <c r="F103" i="39"/>
  <c r="G103" i="39" s="1"/>
  <c r="F99" i="39"/>
  <c r="G99" i="39" s="1"/>
  <c r="F98" i="39"/>
  <c r="G98" i="39" s="1"/>
  <c r="F95" i="39"/>
  <c r="G95" i="39" s="1"/>
  <c r="F94" i="39"/>
  <c r="G94" i="39" s="1"/>
  <c r="F91" i="39"/>
  <c r="G91" i="39" s="1"/>
  <c r="F90" i="39"/>
  <c r="G90" i="39" s="1"/>
  <c r="F87" i="39"/>
  <c r="G87" i="39" s="1"/>
  <c r="F86" i="39"/>
  <c r="G86" i="39" s="1"/>
  <c r="F83" i="39"/>
  <c r="G83" i="39" s="1"/>
  <c r="F82" i="39"/>
  <c r="G82" i="39" s="1"/>
  <c r="F79" i="39"/>
  <c r="G79" i="39" s="1"/>
  <c r="F78" i="39"/>
  <c r="G78" i="39" s="1"/>
  <c r="F75" i="39"/>
  <c r="G75" i="39" s="1"/>
  <c r="F74" i="39"/>
  <c r="G74" i="39" s="1"/>
  <c r="F73" i="39"/>
  <c r="G73" i="39" s="1"/>
  <c r="F72" i="39"/>
  <c r="G72" i="39" s="1"/>
  <c r="C100" i="38"/>
  <c r="C99" i="38"/>
  <c r="C98" i="38"/>
  <c r="H46" i="23"/>
  <c r="C46" i="23" s="1"/>
  <c r="V75" i="16" s="1"/>
  <c r="AB75" i="16" s="1"/>
  <c r="J46" i="23"/>
  <c r="H61" i="23"/>
  <c r="J61" i="23"/>
  <c r="G62" i="23"/>
  <c r="I62" i="23"/>
  <c r="K62" i="23"/>
  <c r="J60" i="23"/>
  <c r="H60" i="23"/>
  <c r="K59" i="23"/>
  <c r="I59" i="23"/>
  <c r="G59" i="23"/>
  <c r="J58" i="23"/>
  <c r="H58" i="23"/>
  <c r="K57" i="23"/>
  <c r="I57" i="23"/>
  <c r="G57" i="23"/>
  <c r="J56" i="23"/>
  <c r="H56" i="23"/>
  <c r="K55" i="23"/>
  <c r="I55" i="23"/>
  <c r="G55" i="23"/>
  <c r="J54" i="23"/>
  <c r="H54" i="23"/>
  <c r="K53" i="23"/>
  <c r="L61" i="23"/>
  <c r="N61" i="23"/>
  <c r="P61" i="23"/>
  <c r="M62" i="23"/>
  <c r="O62" i="23"/>
  <c r="P60" i="23"/>
  <c r="N60" i="23"/>
  <c r="L60" i="23"/>
  <c r="O59" i="23"/>
  <c r="M59" i="23"/>
  <c r="P58" i="23"/>
  <c r="N58" i="23"/>
  <c r="L58" i="23"/>
  <c r="O57" i="23"/>
  <c r="M57" i="23"/>
  <c r="P56" i="23"/>
  <c r="N56" i="23"/>
  <c r="L56" i="23"/>
  <c r="O55" i="23"/>
  <c r="M55" i="23"/>
  <c r="P54" i="23"/>
  <c r="N54" i="23"/>
  <c r="L54" i="23"/>
  <c r="O53" i="23"/>
  <c r="M53" i="23"/>
  <c r="R61" i="23"/>
  <c r="T61" i="23"/>
  <c r="Q62" i="23"/>
  <c r="S62" i="23"/>
  <c r="U62" i="23"/>
  <c r="T60" i="23"/>
  <c r="R60" i="23"/>
  <c r="U59" i="23"/>
  <c r="S59" i="23"/>
  <c r="Q59" i="23"/>
  <c r="T58" i="23"/>
  <c r="R58" i="23"/>
  <c r="U57" i="23"/>
  <c r="S57" i="23"/>
  <c r="Q57" i="23"/>
  <c r="T56" i="23"/>
  <c r="R56" i="23"/>
  <c r="U55" i="23"/>
  <c r="S55" i="23"/>
  <c r="Q55" i="23"/>
  <c r="T54" i="23"/>
  <c r="R54" i="23"/>
  <c r="U53" i="23"/>
  <c r="S53" i="23"/>
  <c r="Q53" i="23"/>
  <c r="D35" i="23"/>
  <c r="B37" i="23"/>
  <c r="B39" i="23"/>
  <c r="G47" i="23"/>
  <c r="I47" i="23"/>
  <c r="D47" i="23" s="1"/>
  <c r="K47" i="23"/>
  <c r="F47" i="23" s="1"/>
  <c r="M47" i="23"/>
  <c r="O47" i="23"/>
  <c r="H48" i="23"/>
  <c r="J48" i="23"/>
  <c r="L48" i="23"/>
  <c r="N48" i="23"/>
  <c r="P48" i="23"/>
  <c r="R48" i="23"/>
  <c r="T48" i="23"/>
  <c r="G49" i="23"/>
  <c r="I49" i="23"/>
  <c r="K49" i="23"/>
  <c r="M49" i="23"/>
  <c r="O49" i="23"/>
  <c r="E49" i="23" s="1"/>
  <c r="Q49" i="23"/>
  <c r="S49" i="23"/>
  <c r="U49" i="23"/>
  <c r="H50" i="23"/>
  <c r="J50" i="23"/>
  <c r="L50" i="23"/>
  <c r="N50" i="23"/>
  <c r="P50" i="23"/>
  <c r="R50" i="23"/>
  <c r="T50" i="23"/>
  <c r="G51" i="23"/>
  <c r="I51" i="23"/>
  <c r="K51" i="23"/>
  <c r="M51" i="23"/>
  <c r="O51" i="23"/>
  <c r="Q51" i="23"/>
  <c r="S51" i="23"/>
  <c r="U51" i="23"/>
  <c r="H52" i="23"/>
  <c r="J52" i="23"/>
  <c r="L52" i="23"/>
  <c r="N52" i="23"/>
  <c r="P52" i="23"/>
  <c r="R52" i="23"/>
  <c r="T52" i="23"/>
  <c r="G53" i="23"/>
  <c r="I53" i="23"/>
  <c r="L53" i="23"/>
  <c r="P53" i="23"/>
  <c r="T53" i="23"/>
  <c r="I54" i="23"/>
  <c r="M54" i="23"/>
  <c r="Q54" i="23"/>
  <c r="U54" i="23"/>
  <c r="J55" i="23"/>
  <c r="E55" i="23" s="1"/>
  <c r="N55" i="23"/>
  <c r="R55" i="23"/>
  <c r="G56" i="23"/>
  <c r="K56" i="23"/>
  <c r="O56" i="23"/>
  <c r="S56" i="23"/>
  <c r="H57" i="23"/>
  <c r="L57" i="23"/>
  <c r="P57" i="23"/>
  <c r="T57" i="23"/>
  <c r="I58" i="23"/>
  <c r="M58" i="23"/>
  <c r="Q58" i="23"/>
  <c r="U58" i="23"/>
  <c r="J59" i="23"/>
  <c r="N59" i="23"/>
  <c r="R59" i="23"/>
  <c r="G60" i="23"/>
  <c r="K60" i="23"/>
  <c r="O60" i="23"/>
  <c r="S60" i="23"/>
  <c r="T62" i="23"/>
  <c r="P62" i="23"/>
  <c r="L62" i="23"/>
  <c r="H62" i="23"/>
  <c r="S61" i="23"/>
  <c r="O61" i="23"/>
  <c r="K61" i="23"/>
  <c r="F61" i="23" s="1"/>
  <c r="Y113" i="16" s="1"/>
  <c r="G61" i="23"/>
  <c r="I114" i="65"/>
  <c r="I112" i="65"/>
  <c r="I110" i="65"/>
  <c r="H108" i="65"/>
  <c r="T108" i="65" s="1"/>
  <c r="J106" i="65"/>
  <c r="F36" i="23"/>
  <c r="F38" i="23"/>
  <c r="D42" i="23"/>
  <c r="W120" i="16" s="1"/>
  <c r="AC120" i="16" s="1"/>
  <c r="M115" i="65"/>
  <c r="H107" i="65"/>
  <c r="J107" i="65"/>
  <c r="L107" i="65"/>
  <c r="AC107" i="65"/>
  <c r="AE107" i="65"/>
  <c r="AG107" i="65"/>
  <c r="AX107" i="65"/>
  <c r="AZ107" i="65"/>
  <c r="BB107" i="65"/>
  <c r="I105" i="65"/>
  <c r="K105" i="65"/>
  <c r="H105" i="65"/>
  <c r="J105" i="65"/>
  <c r="L105" i="65"/>
  <c r="AC105" i="65"/>
  <c r="AE105" i="65"/>
  <c r="AG105" i="65"/>
  <c r="AX105" i="65"/>
  <c r="AZ105" i="65"/>
  <c r="BB105" i="65"/>
  <c r="I103" i="65"/>
  <c r="K103" i="65"/>
  <c r="AD103" i="65"/>
  <c r="AF103" i="65"/>
  <c r="AY103" i="65"/>
  <c r="BA103" i="65"/>
  <c r="H103" i="65"/>
  <c r="J103" i="65"/>
  <c r="L103" i="65"/>
  <c r="AC103" i="65"/>
  <c r="AE103" i="65"/>
  <c r="AG103" i="65"/>
  <c r="AX103" i="65"/>
  <c r="AZ103" i="65"/>
  <c r="BB103" i="65"/>
  <c r="I101" i="65"/>
  <c r="K101" i="65"/>
  <c r="AD101" i="65"/>
  <c r="AF101" i="65"/>
  <c r="AY101" i="65"/>
  <c r="BA101" i="65"/>
  <c r="H101" i="65"/>
  <c r="J101" i="65"/>
  <c r="L101" i="65"/>
  <c r="AC101" i="65"/>
  <c r="AE101" i="65"/>
  <c r="AG101" i="65"/>
  <c r="AX101" i="65"/>
  <c r="AZ101" i="65"/>
  <c r="BB101" i="65"/>
  <c r="I99" i="65"/>
  <c r="K99" i="65"/>
  <c r="AD99" i="65"/>
  <c r="AF99" i="65"/>
  <c r="AY99" i="65"/>
  <c r="BA99" i="65"/>
  <c r="H99" i="65"/>
  <c r="J99" i="65"/>
  <c r="L99" i="65"/>
  <c r="AC99" i="65"/>
  <c r="AE99" i="65"/>
  <c r="AG99" i="65"/>
  <c r="AX99" i="65"/>
  <c r="AZ99" i="65"/>
  <c r="BB99" i="65"/>
  <c r="I97" i="65"/>
  <c r="K97" i="65"/>
  <c r="AD97" i="65"/>
  <c r="AF97" i="65"/>
  <c r="AY97" i="65"/>
  <c r="BA97" i="65"/>
  <c r="H97" i="65"/>
  <c r="J97" i="65"/>
  <c r="L97" i="65"/>
  <c r="AC97" i="65"/>
  <c r="AE97" i="65"/>
  <c r="AG97" i="65"/>
  <c r="AX97" i="65"/>
  <c r="AZ97" i="65"/>
  <c r="BB97" i="65"/>
  <c r="I95" i="65"/>
  <c r="K95" i="65"/>
  <c r="AD95" i="65"/>
  <c r="AF95" i="65"/>
  <c r="H95" i="65"/>
  <c r="L95" i="65"/>
  <c r="AE95" i="65"/>
  <c r="AY95" i="65"/>
  <c r="BA95" i="65"/>
  <c r="J95" i="65"/>
  <c r="AC95" i="65"/>
  <c r="AG95" i="65"/>
  <c r="AX95" i="65"/>
  <c r="AZ95" i="65"/>
  <c r="BB95" i="65"/>
  <c r="H93" i="65"/>
  <c r="J93" i="65"/>
  <c r="L93" i="65"/>
  <c r="AC93" i="65"/>
  <c r="AE93" i="65"/>
  <c r="AG93" i="65"/>
  <c r="AX93" i="65"/>
  <c r="AZ93" i="65"/>
  <c r="BB93" i="65"/>
  <c r="I93" i="65"/>
  <c r="K93" i="65"/>
  <c r="AD93" i="65"/>
  <c r="AF93" i="65"/>
  <c r="AY93" i="65"/>
  <c r="BA93" i="65"/>
  <c r="H91" i="65"/>
  <c r="J91" i="65"/>
  <c r="L91" i="65"/>
  <c r="AC91" i="65"/>
  <c r="AE91" i="65"/>
  <c r="AG91" i="65"/>
  <c r="AX91" i="65"/>
  <c r="AZ91" i="65"/>
  <c r="BB91" i="65"/>
  <c r="I91" i="65"/>
  <c r="K91" i="65"/>
  <c r="AD91" i="65"/>
  <c r="AF91" i="65"/>
  <c r="AY91" i="65"/>
  <c r="BA91" i="65"/>
  <c r="H89" i="65"/>
  <c r="J89" i="65"/>
  <c r="L89" i="65"/>
  <c r="AC89" i="65"/>
  <c r="AE89" i="65"/>
  <c r="AG89" i="65"/>
  <c r="AX89" i="65"/>
  <c r="AZ89" i="65"/>
  <c r="BB89" i="65"/>
  <c r="I89" i="65"/>
  <c r="K89" i="65"/>
  <c r="AD89" i="65"/>
  <c r="AF89" i="65"/>
  <c r="AY89" i="65"/>
  <c r="BA89" i="65"/>
  <c r="H87" i="65"/>
  <c r="J87" i="65"/>
  <c r="L87" i="65"/>
  <c r="AC87" i="65"/>
  <c r="AE87" i="65"/>
  <c r="AG87" i="65"/>
  <c r="AX87" i="65"/>
  <c r="AZ87" i="65"/>
  <c r="BB87" i="65"/>
  <c r="I87" i="65"/>
  <c r="K87" i="65"/>
  <c r="AD87" i="65"/>
  <c r="AF87" i="65"/>
  <c r="AY87" i="65"/>
  <c r="BA87" i="65"/>
  <c r="I85" i="65"/>
  <c r="K85" i="65"/>
  <c r="H85" i="65"/>
  <c r="J85" i="65"/>
  <c r="L85" i="65"/>
  <c r="AC85" i="65"/>
  <c r="AE85" i="65"/>
  <c r="AG85" i="65"/>
  <c r="AX85" i="65"/>
  <c r="AZ85" i="65"/>
  <c r="BB85" i="65"/>
  <c r="AD85" i="65"/>
  <c r="BA85" i="65"/>
  <c r="AF85" i="65"/>
  <c r="AY85" i="65"/>
  <c r="I83" i="65"/>
  <c r="K83" i="65"/>
  <c r="AD83" i="65"/>
  <c r="AF83" i="65"/>
  <c r="AY83" i="65"/>
  <c r="BA83" i="65"/>
  <c r="H83" i="65"/>
  <c r="J83" i="65"/>
  <c r="L83" i="65"/>
  <c r="AC83" i="65"/>
  <c r="AE83" i="65"/>
  <c r="AG83" i="65"/>
  <c r="AX83" i="65"/>
  <c r="AZ83" i="65"/>
  <c r="BB83" i="65"/>
  <c r="I81" i="65"/>
  <c r="K81" i="65"/>
  <c r="AD81" i="65"/>
  <c r="AF81" i="65"/>
  <c r="AY81" i="65"/>
  <c r="BA81" i="65"/>
  <c r="H81" i="65"/>
  <c r="L81" i="65"/>
  <c r="AE81" i="65"/>
  <c r="AX81" i="65"/>
  <c r="BB81" i="65"/>
  <c r="J81" i="65"/>
  <c r="AC81" i="65"/>
  <c r="AG81" i="65"/>
  <c r="AZ81" i="65"/>
  <c r="I79" i="65"/>
  <c r="K79" i="65"/>
  <c r="AD79" i="65"/>
  <c r="AF79" i="65"/>
  <c r="AY79" i="65"/>
  <c r="BA79" i="65"/>
  <c r="H79" i="65"/>
  <c r="J79" i="65"/>
  <c r="L79" i="65"/>
  <c r="AC79" i="65"/>
  <c r="AE79" i="65"/>
  <c r="AG79" i="65"/>
  <c r="AX79" i="65"/>
  <c r="AZ79" i="65"/>
  <c r="BB79" i="65"/>
  <c r="I77" i="65"/>
  <c r="K77" i="65"/>
  <c r="AD77" i="65"/>
  <c r="AF77" i="65"/>
  <c r="AY77" i="65"/>
  <c r="BA77" i="65"/>
  <c r="H77" i="65"/>
  <c r="J77" i="65"/>
  <c r="L77" i="65"/>
  <c r="AC77" i="65"/>
  <c r="AE77" i="65"/>
  <c r="AG77" i="65"/>
  <c r="AX77" i="65"/>
  <c r="AZ77" i="65"/>
  <c r="BB77" i="65"/>
  <c r="H75" i="65"/>
  <c r="J75" i="65"/>
  <c r="L75" i="65"/>
  <c r="AC75" i="65"/>
  <c r="AE75" i="65"/>
  <c r="AG75" i="65"/>
  <c r="AX75" i="65"/>
  <c r="AZ75" i="65"/>
  <c r="BB75" i="65"/>
  <c r="I75" i="65"/>
  <c r="K75" i="65"/>
  <c r="AD75" i="65"/>
  <c r="AF75" i="65"/>
  <c r="AY75" i="65"/>
  <c r="BA75" i="65"/>
  <c r="I73" i="65"/>
  <c r="K73" i="65"/>
  <c r="AD73" i="65"/>
  <c r="AF73" i="65"/>
  <c r="AY73" i="65"/>
  <c r="BA73" i="65"/>
  <c r="H73" i="65"/>
  <c r="J73" i="65"/>
  <c r="L73" i="65"/>
  <c r="AC73" i="65"/>
  <c r="AE73" i="65"/>
  <c r="AG73" i="65"/>
  <c r="AX73" i="65"/>
  <c r="AZ73" i="65"/>
  <c r="BB73" i="65"/>
  <c r="BA115" i="65"/>
  <c r="AY115" i="65"/>
  <c r="AF115" i="65"/>
  <c r="AD115" i="65"/>
  <c r="K115" i="65"/>
  <c r="I115" i="65"/>
  <c r="BB114" i="65"/>
  <c r="AZ114" i="65"/>
  <c r="AX114" i="65"/>
  <c r="AG114" i="65"/>
  <c r="AE114" i="65"/>
  <c r="AC114" i="65"/>
  <c r="L114" i="65"/>
  <c r="J114" i="65"/>
  <c r="H114" i="65"/>
  <c r="BA113" i="65"/>
  <c r="AY113" i="65"/>
  <c r="AF113" i="65"/>
  <c r="AD113" i="65"/>
  <c r="K113" i="65"/>
  <c r="I113" i="65"/>
  <c r="BB112" i="65"/>
  <c r="AZ112" i="65"/>
  <c r="AX112" i="65"/>
  <c r="AG112" i="65"/>
  <c r="AE112" i="65"/>
  <c r="AC112" i="65"/>
  <c r="L112" i="65"/>
  <c r="J112" i="65"/>
  <c r="H112" i="65"/>
  <c r="BA111" i="65"/>
  <c r="AY111" i="65"/>
  <c r="AF111" i="65"/>
  <c r="AD111" i="65"/>
  <c r="K111" i="65"/>
  <c r="I111" i="65"/>
  <c r="BB110" i="65"/>
  <c r="AZ110" i="65"/>
  <c r="AX110" i="65"/>
  <c r="AG110" i="65"/>
  <c r="AE110" i="65"/>
  <c r="AC110" i="65"/>
  <c r="L110" i="65"/>
  <c r="J110" i="65"/>
  <c r="H110" i="65"/>
  <c r="BA109" i="65"/>
  <c r="AY109" i="65"/>
  <c r="AF109" i="65"/>
  <c r="AD109" i="65"/>
  <c r="K109" i="65"/>
  <c r="I109" i="65"/>
  <c r="BB108" i="65"/>
  <c r="AZ108" i="65"/>
  <c r="AX108" i="65"/>
  <c r="AE108" i="65"/>
  <c r="L108" i="65"/>
  <c r="AY107" i="65"/>
  <c r="AF107" i="65"/>
  <c r="I107" i="65"/>
  <c r="AZ106" i="65"/>
  <c r="AG106" i="65"/>
  <c r="AC106" i="65"/>
  <c r="BA105" i="65"/>
  <c r="AD105" i="65"/>
  <c r="I108" i="65"/>
  <c r="K108" i="65"/>
  <c r="AD108" i="65"/>
  <c r="AF108" i="65"/>
  <c r="I106" i="65"/>
  <c r="K106" i="65"/>
  <c r="AD106" i="65"/>
  <c r="AF106" i="65"/>
  <c r="AY106" i="65"/>
  <c r="BA106" i="65"/>
  <c r="H104" i="65"/>
  <c r="J104" i="65"/>
  <c r="L104" i="65"/>
  <c r="AC104" i="65"/>
  <c r="AE104" i="65"/>
  <c r="AG104" i="65"/>
  <c r="AX104" i="65"/>
  <c r="AZ104" i="65"/>
  <c r="BB104" i="65"/>
  <c r="I104" i="65"/>
  <c r="K104" i="65"/>
  <c r="AD104" i="65"/>
  <c r="AF104" i="65"/>
  <c r="AY104" i="65"/>
  <c r="BA104" i="65"/>
  <c r="H102" i="65"/>
  <c r="J102" i="65"/>
  <c r="L102" i="65"/>
  <c r="AC102" i="65"/>
  <c r="AE102" i="65"/>
  <c r="AG102" i="65"/>
  <c r="AX102" i="65"/>
  <c r="AZ102" i="65"/>
  <c r="BB102" i="65"/>
  <c r="I102" i="65"/>
  <c r="K102" i="65"/>
  <c r="AD102" i="65"/>
  <c r="AF102" i="65"/>
  <c r="AY102" i="65"/>
  <c r="BA102" i="65"/>
  <c r="H100" i="65"/>
  <c r="J100" i="65"/>
  <c r="L100" i="65"/>
  <c r="AC100" i="65"/>
  <c r="AE100" i="65"/>
  <c r="AG100" i="65"/>
  <c r="AX100" i="65"/>
  <c r="AZ100" i="65"/>
  <c r="BB100" i="65"/>
  <c r="I100" i="65"/>
  <c r="K100" i="65"/>
  <c r="AD100" i="65"/>
  <c r="AF100" i="65"/>
  <c r="AY100" i="65"/>
  <c r="BA100" i="65"/>
  <c r="H98" i="65"/>
  <c r="J98" i="65"/>
  <c r="L98" i="65"/>
  <c r="AC98" i="65"/>
  <c r="AE98" i="65"/>
  <c r="AG98" i="65"/>
  <c r="AX98" i="65"/>
  <c r="AZ98" i="65"/>
  <c r="BB98" i="65"/>
  <c r="I98" i="65"/>
  <c r="K98" i="65"/>
  <c r="AD98" i="65"/>
  <c r="AF98" i="65"/>
  <c r="AY98" i="65"/>
  <c r="BA98" i="65"/>
  <c r="H96" i="65"/>
  <c r="J96" i="65"/>
  <c r="L96" i="65"/>
  <c r="AC96" i="65"/>
  <c r="AE96" i="65"/>
  <c r="AG96" i="65"/>
  <c r="AX96" i="65"/>
  <c r="AZ96" i="65"/>
  <c r="BB96" i="65"/>
  <c r="I96" i="65"/>
  <c r="K96" i="65"/>
  <c r="AD96" i="65"/>
  <c r="AF96" i="65"/>
  <c r="AY96" i="65"/>
  <c r="BA96" i="65"/>
  <c r="I94" i="65"/>
  <c r="K94" i="65"/>
  <c r="AD94" i="65"/>
  <c r="AF94" i="65"/>
  <c r="AY94" i="65"/>
  <c r="BA94" i="65"/>
  <c r="H94" i="65"/>
  <c r="J94" i="65"/>
  <c r="L94" i="65"/>
  <c r="AC94" i="65"/>
  <c r="AE94" i="65"/>
  <c r="AG94" i="65"/>
  <c r="AX94" i="65"/>
  <c r="AZ94" i="65"/>
  <c r="BB94" i="65"/>
  <c r="I92" i="65"/>
  <c r="K92" i="65"/>
  <c r="AD92" i="65"/>
  <c r="AF92" i="65"/>
  <c r="AY92" i="65"/>
  <c r="BA92" i="65"/>
  <c r="H92" i="65"/>
  <c r="J92" i="65"/>
  <c r="L92" i="65"/>
  <c r="AC92" i="65"/>
  <c r="AE92" i="65"/>
  <c r="AG92" i="65"/>
  <c r="AX92" i="65"/>
  <c r="AZ92" i="65"/>
  <c r="BB92" i="65"/>
  <c r="I90" i="65"/>
  <c r="K90" i="65"/>
  <c r="AD90" i="65"/>
  <c r="AF90" i="65"/>
  <c r="AY90" i="65"/>
  <c r="BA90" i="65"/>
  <c r="H90" i="65"/>
  <c r="J90" i="65"/>
  <c r="L90" i="65"/>
  <c r="AC90" i="65"/>
  <c r="AE90" i="65"/>
  <c r="AG90" i="65"/>
  <c r="AX90" i="65"/>
  <c r="AZ90" i="65"/>
  <c r="BB90" i="65"/>
  <c r="I88" i="65"/>
  <c r="K88" i="65"/>
  <c r="AD88" i="65"/>
  <c r="AF88" i="65"/>
  <c r="AY88" i="65"/>
  <c r="BA88" i="65"/>
  <c r="H88" i="65"/>
  <c r="J88" i="65"/>
  <c r="L88" i="65"/>
  <c r="AC88" i="65"/>
  <c r="AE88" i="65"/>
  <c r="AG88" i="65"/>
  <c r="AX88" i="65"/>
  <c r="AZ88" i="65"/>
  <c r="BB88" i="65"/>
  <c r="I86" i="65"/>
  <c r="K86" i="65"/>
  <c r="J86" i="65"/>
  <c r="AD86" i="65"/>
  <c r="AF86" i="65"/>
  <c r="AY86" i="65"/>
  <c r="BA86" i="65"/>
  <c r="H86" i="65"/>
  <c r="L86" i="65"/>
  <c r="AC86" i="65"/>
  <c r="AE86" i="65"/>
  <c r="AG86" i="65"/>
  <c r="AX86" i="65"/>
  <c r="AZ86" i="65"/>
  <c r="BB86" i="65"/>
  <c r="H84" i="65"/>
  <c r="J84" i="65"/>
  <c r="L84" i="65"/>
  <c r="AC84" i="65"/>
  <c r="AE84" i="65"/>
  <c r="AG84" i="65"/>
  <c r="AX84" i="65"/>
  <c r="AZ84" i="65"/>
  <c r="BB84" i="65"/>
  <c r="I84" i="65"/>
  <c r="K84" i="65"/>
  <c r="AD84" i="65"/>
  <c r="AF84" i="65"/>
  <c r="AY84" i="65"/>
  <c r="BA84" i="65"/>
  <c r="H82" i="65"/>
  <c r="J82" i="65"/>
  <c r="L82" i="65"/>
  <c r="AC82" i="65"/>
  <c r="AE82" i="65"/>
  <c r="AG82" i="65"/>
  <c r="AX82" i="65"/>
  <c r="AZ82" i="65"/>
  <c r="BB82" i="65"/>
  <c r="I82" i="65"/>
  <c r="K82" i="65"/>
  <c r="AD82" i="65"/>
  <c r="AF82" i="65"/>
  <c r="AY82" i="65"/>
  <c r="BA82" i="65"/>
  <c r="H80" i="65"/>
  <c r="J80" i="65"/>
  <c r="L80" i="65"/>
  <c r="AC80" i="65"/>
  <c r="AE80" i="65"/>
  <c r="AG80" i="65"/>
  <c r="AX80" i="65"/>
  <c r="AZ80" i="65"/>
  <c r="BB80" i="65"/>
  <c r="I80" i="65"/>
  <c r="K80" i="65"/>
  <c r="AD80" i="65"/>
  <c r="AF80" i="65"/>
  <c r="AY80" i="65"/>
  <c r="BA80" i="65"/>
  <c r="H78" i="65"/>
  <c r="J78" i="65"/>
  <c r="L78" i="65"/>
  <c r="AC78" i="65"/>
  <c r="AE78" i="65"/>
  <c r="AG78" i="65"/>
  <c r="AX78" i="65"/>
  <c r="AZ78" i="65"/>
  <c r="BB78" i="65"/>
  <c r="I78" i="65"/>
  <c r="K78" i="65"/>
  <c r="AD78" i="65"/>
  <c r="AF78" i="65"/>
  <c r="AY78" i="65"/>
  <c r="BA78" i="65"/>
  <c r="I76" i="65"/>
  <c r="K76" i="65"/>
  <c r="AD76" i="65"/>
  <c r="AF76" i="65"/>
  <c r="AY76" i="65"/>
  <c r="BA76" i="65"/>
  <c r="H76" i="65"/>
  <c r="J76" i="65"/>
  <c r="L76" i="65"/>
  <c r="AC76" i="65"/>
  <c r="AE76" i="65"/>
  <c r="AG76" i="65"/>
  <c r="AX76" i="65"/>
  <c r="AZ76" i="65"/>
  <c r="BB76" i="65"/>
  <c r="H74" i="65"/>
  <c r="J74" i="65"/>
  <c r="L74" i="65"/>
  <c r="I74" i="65"/>
  <c r="K74" i="65"/>
  <c r="AD74" i="65"/>
  <c r="AF74" i="65"/>
  <c r="AC74" i="65"/>
  <c r="AG74" i="65"/>
  <c r="AY74" i="65"/>
  <c r="BA74" i="65"/>
  <c r="AE74" i="65"/>
  <c r="AX74" i="65"/>
  <c r="AZ74" i="65"/>
  <c r="BB74" i="65"/>
  <c r="H72" i="65"/>
  <c r="J72" i="65"/>
  <c r="L72" i="65"/>
  <c r="AC72" i="65"/>
  <c r="AE72" i="65"/>
  <c r="AG72" i="65"/>
  <c r="AX72" i="65"/>
  <c r="AZ72" i="65"/>
  <c r="BB72" i="65"/>
  <c r="I72" i="65"/>
  <c r="K72" i="65"/>
  <c r="AD72" i="65"/>
  <c r="AF72" i="65"/>
  <c r="AY72" i="65"/>
  <c r="BA72" i="65"/>
  <c r="BB115" i="65"/>
  <c r="AZ115" i="65"/>
  <c r="AX115" i="65"/>
  <c r="AG115" i="65"/>
  <c r="AE115" i="65"/>
  <c r="AC115" i="65"/>
  <c r="L115" i="65"/>
  <c r="J115" i="65"/>
  <c r="BA114" i="65"/>
  <c r="AY114" i="65"/>
  <c r="AF114" i="65"/>
  <c r="AD114" i="65"/>
  <c r="K114" i="65"/>
  <c r="BB113" i="65"/>
  <c r="AZ113" i="65"/>
  <c r="AX113" i="65"/>
  <c r="AG113" i="65"/>
  <c r="AE113" i="65"/>
  <c r="AC113" i="65"/>
  <c r="L113" i="65"/>
  <c r="J113" i="65"/>
  <c r="BA112" i="65"/>
  <c r="AY112" i="65"/>
  <c r="AF112" i="65"/>
  <c r="AD112" i="65"/>
  <c r="K112" i="65"/>
  <c r="BB111" i="65"/>
  <c r="AZ111" i="65"/>
  <c r="AX111" i="65"/>
  <c r="AG111" i="65"/>
  <c r="AE111" i="65"/>
  <c r="AC111" i="65"/>
  <c r="L111" i="65"/>
  <c r="J111" i="65"/>
  <c r="BA110" i="65"/>
  <c r="AY110" i="65"/>
  <c r="AF110" i="65"/>
  <c r="AD110" i="65"/>
  <c r="K110" i="65"/>
  <c r="BB109" i="65"/>
  <c r="AZ109" i="65"/>
  <c r="AX109" i="65"/>
  <c r="AG109" i="65"/>
  <c r="AE109" i="65"/>
  <c r="AC109" i="65"/>
  <c r="L109" i="65"/>
  <c r="J109" i="65"/>
  <c r="BA108" i="65"/>
  <c r="AY108" i="65"/>
  <c r="AG108" i="65"/>
  <c r="AC108" i="65"/>
  <c r="J108" i="65"/>
  <c r="BA107" i="65"/>
  <c r="AD107" i="65"/>
  <c r="CG107" i="65" s="1"/>
  <c r="K107" i="65"/>
  <c r="BB106" i="65"/>
  <c r="AX106" i="65"/>
  <c r="AE106" i="65"/>
  <c r="L106" i="65"/>
  <c r="H106" i="65"/>
  <c r="AY105" i="65"/>
  <c r="AF105" i="65"/>
  <c r="CI105" i="65" s="1"/>
  <c r="C36" i="23"/>
  <c r="E36" i="23"/>
  <c r="B36" i="23"/>
  <c r="D36" i="23"/>
  <c r="C38" i="23"/>
  <c r="E38" i="23"/>
  <c r="B38" i="23"/>
  <c r="D38" i="23"/>
  <c r="B40" i="23"/>
  <c r="D40" i="23"/>
  <c r="F40" i="23"/>
  <c r="F108" i="4"/>
  <c r="B108" i="16"/>
  <c r="C108" i="16" s="1"/>
  <c r="Z108" i="16" s="1"/>
  <c r="S101" i="4"/>
  <c r="B107" i="16"/>
  <c r="C107" i="16" s="1"/>
  <c r="Z107" i="16" s="1"/>
  <c r="F114" i="4"/>
  <c r="F113" i="4"/>
  <c r="S108" i="4"/>
  <c r="S102" i="4"/>
  <c r="F99" i="4"/>
  <c r="F93" i="4"/>
  <c r="F92" i="4"/>
  <c r="S91" i="4"/>
  <c r="F85" i="4"/>
  <c r="F84" i="4"/>
  <c r="S83" i="4"/>
  <c r="F77" i="4"/>
  <c r="F76" i="4"/>
  <c r="S75" i="4"/>
  <c r="F37" i="23"/>
  <c r="C111" i="16"/>
  <c r="Z111" i="16" s="1"/>
  <c r="B35" i="23"/>
  <c r="F35" i="23"/>
  <c r="C37" i="23"/>
  <c r="E37" i="23"/>
  <c r="D37" i="23"/>
  <c r="D39" i="23"/>
  <c r="F39" i="23"/>
  <c r="B41" i="23"/>
  <c r="D41" i="23"/>
  <c r="F41" i="23"/>
  <c r="B42" i="23"/>
  <c r="F42" i="23"/>
  <c r="Y120" i="16" s="1"/>
  <c r="AE120" i="16" s="1"/>
  <c r="F44" i="23"/>
  <c r="C92" i="16"/>
  <c r="Z92" i="16" s="1"/>
  <c r="S112" i="4"/>
  <c r="S111" i="4"/>
  <c r="F109" i="4"/>
  <c r="F103" i="4"/>
  <c r="M103" i="4"/>
  <c r="N103" i="4" s="1"/>
  <c r="F115" i="4"/>
  <c r="M114" i="4"/>
  <c r="N114" i="4" s="1"/>
  <c r="S114" i="4"/>
  <c r="S113" i="4"/>
  <c r="F106" i="4"/>
  <c r="M106" i="4"/>
  <c r="N106" i="4" s="1"/>
  <c r="F105" i="4"/>
  <c r="S105" i="4"/>
  <c r="F100" i="4"/>
  <c r="M99" i="4"/>
  <c r="N99" i="4" s="1"/>
  <c r="S99" i="4"/>
  <c r="F107" i="4"/>
  <c r="S106" i="4"/>
  <c r="S103" i="4"/>
  <c r="F98" i="4"/>
  <c r="M97" i="4"/>
  <c r="N97" i="4" s="1"/>
  <c r="S97" i="4"/>
  <c r="S96" i="4"/>
  <c r="F94" i="4"/>
  <c r="M93" i="4"/>
  <c r="N93" i="4" s="1"/>
  <c r="S93" i="4"/>
  <c r="S92" i="4"/>
  <c r="F90" i="4"/>
  <c r="M89" i="4"/>
  <c r="N89" i="4" s="1"/>
  <c r="S89" i="4"/>
  <c r="S88" i="4"/>
  <c r="F86" i="4"/>
  <c r="M85" i="4"/>
  <c r="N85" i="4" s="1"/>
  <c r="S85" i="4"/>
  <c r="S84" i="4"/>
  <c r="F82" i="4"/>
  <c r="M81" i="4"/>
  <c r="N81" i="4" s="1"/>
  <c r="S81" i="4"/>
  <c r="S80" i="4"/>
  <c r="F78" i="4"/>
  <c r="M77" i="4"/>
  <c r="N77" i="4" s="1"/>
  <c r="S77" i="4"/>
  <c r="S76" i="4"/>
  <c r="F74" i="4"/>
  <c r="M73" i="4"/>
  <c r="N73" i="4" s="1"/>
  <c r="S73" i="4"/>
  <c r="S72" i="4"/>
  <c r="F70" i="4"/>
  <c r="M115" i="4"/>
  <c r="N115" i="4" s="1"/>
  <c r="M113" i="4"/>
  <c r="N113" i="4" s="1"/>
  <c r="M111" i="4"/>
  <c r="N111" i="4" s="1"/>
  <c r="M109" i="4"/>
  <c r="N109" i="4" s="1"/>
  <c r="M107" i="4"/>
  <c r="N107" i="4" s="1"/>
  <c r="M105" i="4"/>
  <c r="N105" i="4" s="1"/>
  <c r="F102" i="4"/>
  <c r="M102" i="4"/>
  <c r="N102" i="4" s="1"/>
  <c r="M100" i="4"/>
  <c r="N100" i="4" s="1"/>
  <c r="M98" i="4"/>
  <c r="N98" i="4" s="1"/>
  <c r="M96" i="4"/>
  <c r="N96" i="4" s="1"/>
  <c r="M94" i="4"/>
  <c r="N94" i="4" s="1"/>
  <c r="M92" i="4"/>
  <c r="N92" i="4" s="1"/>
  <c r="M90" i="4"/>
  <c r="N90" i="4" s="1"/>
  <c r="M88" i="4"/>
  <c r="N88" i="4" s="1"/>
  <c r="M86" i="4"/>
  <c r="N86" i="4" s="1"/>
  <c r="M84" i="4"/>
  <c r="N84" i="4" s="1"/>
  <c r="M82" i="4"/>
  <c r="N82" i="4" s="1"/>
  <c r="M80" i="4"/>
  <c r="N80" i="4" s="1"/>
  <c r="M78" i="4"/>
  <c r="N78" i="4" s="1"/>
  <c r="M76" i="4"/>
  <c r="N76" i="4" s="1"/>
  <c r="M74" i="4"/>
  <c r="N74" i="4" s="1"/>
  <c r="M72" i="4"/>
  <c r="N72" i="4" s="1"/>
  <c r="M70" i="4"/>
  <c r="N70" i="4" s="1"/>
  <c r="C35" i="23"/>
  <c r="E35" i="23"/>
  <c r="C39" i="23"/>
  <c r="E39" i="23"/>
  <c r="C40" i="23"/>
  <c r="E40" i="23"/>
  <c r="C41" i="23"/>
  <c r="E41" i="23"/>
  <c r="C42" i="23"/>
  <c r="V120" i="16" s="1"/>
  <c r="AB120" i="16" s="1"/>
  <c r="E42" i="23"/>
  <c r="X120" i="16" s="1"/>
  <c r="AD120" i="16" s="1"/>
  <c r="C43" i="23"/>
  <c r="E43" i="23"/>
  <c r="C45" i="23"/>
  <c r="I92" i="63"/>
  <c r="I92" i="62"/>
  <c r="G92" i="62"/>
  <c r="D92" i="62"/>
  <c r="C92" i="62"/>
  <c r="AB93" i="63"/>
  <c r="AC93" i="63"/>
  <c r="AD93" i="63"/>
  <c r="E93" i="63" s="1"/>
  <c r="I93" i="63" s="1"/>
  <c r="AE93" i="63"/>
  <c r="AF93" i="63"/>
  <c r="C93" i="63"/>
  <c r="D93" i="63"/>
  <c r="F93" i="63" s="1"/>
  <c r="G93" i="63"/>
  <c r="H93" i="63"/>
  <c r="G92" i="63"/>
  <c r="D92" i="63"/>
  <c r="C92" i="63"/>
  <c r="C59" i="23" l="1"/>
  <c r="F54" i="23"/>
  <c r="M111" i="65"/>
  <c r="E52" i="23"/>
  <c r="F50" i="23"/>
  <c r="E47" i="23"/>
  <c r="M109" i="65"/>
  <c r="T113" i="65"/>
  <c r="D56" i="23"/>
  <c r="W102" i="16" s="1"/>
  <c r="AC102" i="16" s="1"/>
  <c r="F62" i="23"/>
  <c r="Y115" i="16" s="1"/>
  <c r="AE115" i="16" s="1"/>
  <c r="W101" i="16"/>
  <c r="AC101" i="16" s="1"/>
  <c r="CG110" i="65"/>
  <c r="D58" i="23"/>
  <c r="W109" i="16" s="1"/>
  <c r="AC109" i="16" s="1"/>
  <c r="C51" i="23"/>
  <c r="Z90" i="38"/>
  <c r="U5" i="6"/>
  <c r="U6" i="6"/>
  <c r="U87" i="6"/>
  <c r="U89" i="6"/>
  <c r="U91" i="6"/>
  <c r="U93" i="6"/>
  <c r="U95" i="6"/>
  <c r="U97" i="6"/>
  <c r="U99" i="6"/>
  <c r="U101" i="6"/>
  <c r="U103" i="6"/>
  <c r="U86" i="6"/>
  <c r="U88" i="6"/>
  <c r="U90" i="6"/>
  <c r="U92" i="6"/>
  <c r="U94" i="6"/>
  <c r="U96" i="6"/>
  <c r="U98" i="6"/>
  <c r="U100" i="6"/>
  <c r="U102" i="6"/>
  <c r="U51" i="6"/>
  <c r="U53" i="6"/>
  <c r="U55" i="6"/>
  <c r="U57" i="6"/>
  <c r="U59" i="6"/>
  <c r="U61" i="6"/>
  <c r="U63" i="6"/>
  <c r="U65" i="6"/>
  <c r="U67" i="6"/>
  <c r="U50" i="6"/>
  <c r="U52" i="6"/>
  <c r="U54" i="6"/>
  <c r="U56" i="6"/>
  <c r="U58" i="6"/>
  <c r="U60" i="6"/>
  <c r="U62" i="6"/>
  <c r="U64" i="6"/>
  <c r="U66" i="6"/>
  <c r="E54" i="23"/>
  <c r="E57" i="23"/>
  <c r="X105" i="16" s="1"/>
  <c r="AD105" i="16" s="1"/>
  <c r="BZ118" i="65"/>
  <c r="CA118" i="65"/>
  <c r="BZ120" i="65"/>
  <c r="C53" i="23"/>
  <c r="F104" i="65"/>
  <c r="E53" i="23"/>
  <c r="Z74" i="38"/>
  <c r="C56" i="23"/>
  <c r="V101" i="16" s="1"/>
  <c r="AB101" i="16" s="1"/>
  <c r="F57" i="23"/>
  <c r="Y104" i="16" s="1"/>
  <c r="AE104" i="16" s="1"/>
  <c r="E58" i="23"/>
  <c r="X106" i="16" s="1"/>
  <c r="AD106" i="16" s="1"/>
  <c r="C61" i="23"/>
  <c r="V113" i="16" s="1"/>
  <c r="AB113" i="16" s="1"/>
  <c r="B60" i="23"/>
  <c r="T112" i="16" s="1"/>
  <c r="F56" i="23"/>
  <c r="Y101" i="16" s="1"/>
  <c r="AE101" i="16" s="1"/>
  <c r="D54" i="23"/>
  <c r="D53" i="23"/>
  <c r="F51" i="23"/>
  <c r="E50" i="23"/>
  <c r="E46" i="23"/>
  <c r="D61" i="23"/>
  <c r="W114" i="16" s="1"/>
  <c r="AC114" i="16" s="1"/>
  <c r="B62" i="23"/>
  <c r="U115" i="16" s="1"/>
  <c r="AA115" i="16" s="1"/>
  <c r="D59" i="23"/>
  <c r="B57" i="23"/>
  <c r="U103" i="16" s="1"/>
  <c r="AA103" i="16" s="1"/>
  <c r="F53" i="23"/>
  <c r="E51" i="23"/>
  <c r="E48" i="23"/>
  <c r="E44" i="23"/>
  <c r="Z88" i="38"/>
  <c r="Z92" i="38"/>
  <c r="E59" i="23"/>
  <c r="E56" i="23"/>
  <c r="X101" i="16" s="1"/>
  <c r="AD101" i="16" s="1"/>
  <c r="F59" i="23"/>
  <c r="D48" i="23"/>
  <c r="B50" i="23"/>
  <c r="B56" i="23"/>
  <c r="T101" i="16" s="1"/>
  <c r="D60" i="23"/>
  <c r="W112" i="16" s="1"/>
  <c r="AC112" i="16" s="1"/>
  <c r="F60" i="23"/>
  <c r="Y112" i="16" s="1"/>
  <c r="AE112" i="16" s="1"/>
  <c r="D45" i="23"/>
  <c r="F58" i="23"/>
  <c r="Y106" i="16" s="1"/>
  <c r="AE106" i="16" s="1"/>
  <c r="F52" i="23"/>
  <c r="F79" i="65"/>
  <c r="F83" i="65"/>
  <c r="M91" i="16"/>
  <c r="F101" i="65"/>
  <c r="Z113" i="38"/>
  <c r="B53" i="23"/>
  <c r="F55" i="23"/>
  <c r="D57" i="23"/>
  <c r="W103" i="16" s="1"/>
  <c r="AC103" i="16" s="1"/>
  <c r="C52" i="23"/>
  <c r="B51" i="23"/>
  <c r="C48" i="23"/>
  <c r="F45" i="23"/>
  <c r="F48" i="23"/>
  <c r="E62" i="23"/>
  <c r="T120" i="16"/>
  <c r="U120" i="16"/>
  <c r="AA120" i="16" s="1"/>
  <c r="E60" i="23"/>
  <c r="X112" i="16" s="1"/>
  <c r="AD112" i="16" s="1"/>
  <c r="C55" i="23"/>
  <c r="B52" i="23"/>
  <c r="D50" i="23"/>
  <c r="F49" i="23"/>
  <c r="C47" i="23"/>
  <c r="V76" i="16" s="1"/>
  <c r="AB76" i="16" s="1"/>
  <c r="F75" i="65"/>
  <c r="BZ116" i="65"/>
  <c r="CA116" i="65"/>
  <c r="BY118" i="65"/>
  <c r="CB120" i="65"/>
  <c r="AU116" i="65"/>
  <c r="CD116" i="65" s="1"/>
  <c r="CB116" i="65"/>
  <c r="AL118" i="65"/>
  <c r="AJ118" i="65"/>
  <c r="AN118" i="65" s="1"/>
  <c r="AI118" i="65"/>
  <c r="AM118" i="65" s="1"/>
  <c r="BX118" i="65"/>
  <c r="AT118" i="65"/>
  <c r="CC118" i="65" s="1"/>
  <c r="O119" i="65"/>
  <c r="S119" i="65" s="1"/>
  <c r="Q119" i="65"/>
  <c r="N119" i="65"/>
  <c r="R119" i="65" s="1"/>
  <c r="BD117" i="65"/>
  <c r="BH117" i="65" s="1"/>
  <c r="BE117" i="65"/>
  <c r="BI117" i="65" s="1"/>
  <c r="BG117" i="65"/>
  <c r="BG119" i="65"/>
  <c r="BD119" i="65"/>
  <c r="BH119" i="65" s="1"/>
  <c r="BE119" i="65"/>
  <c r="BI119" i="65" s="1"/>
  <c r="BD116" i="65"/>
  <c r="BH116" i="65" s="1"/>
  <c r="BE116" i="65"/>
  <c r="BI116" i="65" s="1"/>
  <c r="BG116" i="65"/>
  <c r="BY116" i="65"/>
  <c r="AI120" i="65"/>
  <c r="AM120" i="65" s="1"/>
  <c r="AJ120" i="65"/>
  <c r="AN120" i="65" s="1"/>
  <c r="AL120" i="65"/>
  <c r="AI119" i="65"/>
  <c r="AM119" i="65" s="1"/>
  <c r="AL119" i="65"/>
  <c r="AJ119" i="65"/>
  <c r="AN119" i="65" s="1"/>
  <c r="BW119" i="65" s="1"/>
  <c r="AT119" i="65"/>
  <c r="CC119" i="65" s="1"/>
  <c r="BX119" i="65"/>
  <c r="CA119" i="65"/>
  <c r="AU119" i="65"/>
  <c r="CD119" i="65" s="1"/>
  <c r="AJ117" i="65"/>
  <c r="AN117" i="65" s="1"/>
  <c r="AL117" i="65"/>
  <c r="AI117" i="65"/>
  <c r="AM117" i="65" s="1"/>
  <c r="BX117" i="65"/>
  <c r="AT117" i="65"/>
  <c r="CC117" i="65" s="1"/>
  <c r="O116" i="65"/>
  <c r="S116" i="65" s="1"/>
  <c r="Q116" i="65"/>
  <c r="N116" i="65"/>
  <c r="R116" i="65" s="1"/>
  <c r="O118" i="65"/>
  <c r="S118" i="65" s="1"/>
  <c r="Q118" i="65"/>
  <c r="N118" i="65"/>
  <c r="R118" i="65" s="1"/>
  <c r="BY120" i="65"/>
  <c r="O117" i="65"/>
  <c r="S117" i="65" s="1"/>
  <c r="Q117" i="65"/>
  <c r="N117" i="65"/>
  <c r="R117" i="65" s="1"/>
  <c r="Y73" i="16"/>
  <c r="AE73" i="16" s="1"/>
  <c r="AL116" i="65"/>
  <c r="BU116" i="65" s="1"/>
  <c r="D116" i="44" s="1"/>
  <c r="AJ116" i="65"/>
  <c r="AN116" i="65" s="1"/>
  <c r="BW116" i="65" s="1"/>
  <c r="AI116" i="65"/>
  <c r="AM116" i="65" s="1"/>
  <c r="BX116" i="65"/>
  <c r="AT116" i="65"/>
  <c r="CC116" i="65" s="1"/>
  <c r="CA120" i="65"/>
  <c r="AU120" i="65"/>
  <c r="CD120" i="65" s="1"/>
  <c r="CB118" i="65"/>
  <c r="AU118" i="65"/>
  <c r="CD118" i="65" s="1"/>
  <c r="BY119" i="65"/>
  <c r="BD118" i="65"/>
  <c r="BH118" i="65" s="1"/>
  <c r="BE118" i="65"/>
  <c r="BI118" i="65" s="1"/>
  <c r="BG118" i="65"/>
  <c r="AT120" i="65"/>
  <c r="CC120" i="65" s="1"/>
  <c r="BX120" i="65"/>
  <c r="CB119" i="65"/>
  <c r="BZ119" i="65"/>
  <c r="CB117" i="65"/>
  <c r="AU117" i="65"/>
  <c r="CD117" i="65" s="1"/>
  <c r="BZ117" i="65"/>
  <c r="CA117" i="65"/>
  <c r="N120" i="65"/>
  <c r="R120" i="65" s="1"/>
  <c r="O120" i="65"/>
  <c r="S120" i="65" s="1"/>
  <c r="Q120" i="65"/>
  <c r="BG120" i="65"/>
  <c r="BD120" i="65"/>
  <c r="BH120" i="65" s="1"/>
  <c r="BE120" i="65"/>
  <c r="BI120" i="65" s="1"/>
  <c r="AE113" i="16"/>
  <c r="Z76" i="38"/>
  <c r="F89" i="65"/>
  <c r="Z105" i="38"/>
  <c r="X73" i="16"/>
  <c r="AD73" i="16" s="1"/>
  <c r="C50" i="23"/>
  <c r="B49" i="23"/>
  <c r="U73" i="16" s="1"/>
  <c r="AA73" i="16" s="1"/>
  <c r="C44" i="23"/>
  <c r="V73" i="16" s="1"/>
  <c r="AB73" i="16" s="1"/>
  <c r="B45" i="23"/>
  <c r="X115" i="16"/>
  <c r="AD115" i="16" s="1"/>
  <c r="CG114" i="65"/>
  <c r="V114" i="16"/>
  <c r="AB114" i="16" s="1"/>
  <c r="U75" i="16"/>
  <c r="AA75" i="16" s="1"/>
  <c r="CG112" i="65"/>
  <c r="M108" i="65"/>
  <c r="N108" i="65" s="1"/>
  <c r="R108" i="65" s="1"/>
  <c r="C57" i="23"/>
  <c r="V103" i="16" s="1"/>
  <c r="AB103" i="16" s="1"/>
  <c r="B58" i="23"/>
  <c r="U108" i="16" s="1"/>
  <c r="AA108" i="16" s="1"/>
  <c r="B61" i="23"/>
  <c r="U113" i="16" s="1"/>
  <c r="AA113" i="16" s="1"/>
  <c r="C54" i="23"/>
  <c r="B55" i="23"/>
  <c r="C58" i="23"/>
  <c r="V107" i="16" s="1"/>
  <c r="AB107" i="16" s="1"/>
  <c r="B59" i="23"/>
  <c r="D62" i="23"/>
  <c r="W115" i="16" s="1"/>
  <c r="AC115" i="16" s="1"/>
  <c r="E61" i="23"/>
  <c r="X114" i="16" s="1"/>
  <c r="AD114" i="16" s="1"/>
  <c r="D52" i="23"/>
  <c r="C62" i="23"/>
  <c r="V115" i="16" s="1"/>
  <c r="AB115" i="16" s="1"/>
  <c r="B47" i="23"/>
  <c r="T76" i="16" s="1"/>
  <c r="C60" i="23"/>
  <c r="V112" i="16" s="1"/>
  <c r="AB112" i="16" s="1"/>
  <c r="D46" i="23"/>
  <c r="W75" i="16" s="1"/>
  <c r="AC75" i="16" s="1"/>
  <c r="B48" i="23"/>
  <c r="C49" i="23"/>
  <c r="B54" i="23"/>
  <c r="F73" i="65"/>
  <c r="Z80" i="38"/>
  <c r="Z82" i="38"/>
  <c r="Z84" i="38"/>
  <c r="F87" i="65"/>
  <c r="Z96" i="38"/>
  <c r="Z102" i="38"/>
  <c r="CH86" i="65"/>
  <c r="CJ88" i="65"/>
  <c r="CH90" i="65"/>
  <c r="CJ92" i="65"/>
  <c r="CJ109" i="65"/>
  <c r="CH111" i="65"/>
  <c r="CJ113" i="65"/>
  <c r="CH115" i="65"/>
  <c r="CJ72" i="65"/>
  <c r="CJ76" i="65"/>
  <c r="CH78" i="65"/>
  <c r="CJ80" i="65"/>
  <c r="CH82" i="65"/>
  <c r="CJ84" i="65"/>
  <c r="G73" i="38"/>
  <c r="Q73" i="38" s="1"/>
  <c r="L72" i="44"/>
  <c r="G77" i="38"/>
  <c r="Q77" i="38" s="1"/>
  <c r="L76" i="44"/>
  <c r="G81" i="38"/>
  <c r="Q81" i="38" s="1"/>
  <c r="L80" i="44"/>
  <c r="G85" i="38"/>
  <c r="Q85" i="38" s="1"/>
  <c r="L84" i="44"/>
  <c r="G89" i="38"/>
  <c r="Q89" i="38" s="1"/>
  <c r="L88" i="44"/>
  <c r="G75" i="38"/>
  <c r="Q75" i="38" s="1"/>
  <c r="L74" i="44"/>
  <c r="G79" i="38"/>
  <c r="Q79" i="38" s="1"/>
  <c r="L78" i="44"/>
  <c r="G83" i="38"/>
  <c r="Q83" i="38" s="1"/>
  <c r="L82" i="44"/>
  <c r="G87" i="38"/>
  <c r="Q87" i="38" s="1"/>
  <c r="L86" i="44"/>
  <c r="G91" i="38"/>
  <c r="Q91" i="38" s="1"/>
  <c r="L90" i="44"/>
  <c r="G95" i="38"/>
  <c r="Q95" i="38" s="1"/>
  <c r="L94" i="44"/>
  <c r="G99" i="38"/>
  <c r="Q99" i="38" s="1"/>
  <c r="L98" i="44"/>
  <c r="G103" i="38"/>
  <c r="Q103" i="38" s="1"/>
  <c r="L102" i="44"/>
  <c r="G106" i="38"/>
  <c r="Q106" i="38" s="1"/>
  <c r="L105" i="44"/>
  <c r="G110" i="38"/>
  <c r="Q110" i="38" s="1"/>
  <c r="L109" i="44"/>
  <c r="G114" i="38"/>
  <c r="Q114" i="38" s="1"/>
  <c r="L113" i="44"/>
  <c r="G104" i="38"/>
  <c r="Q104" i="38" s="1"/>
  <c r="L103" i="44"/>
  <c r="G93" i="38"/>
  <c r="Q93" i="38" s="1"/>
  <c r="L92" i="44"/>
  <c r="G97" i="38"/>
  <c r="Q97" i="38" s="1"/>
  <c r="L96" i="44"/>
  <c r="G101" i="38"/>
  <c r="Q101" i="38" s="1"/>
  <c r="L100" i="44"/>
  <c r="G108" i="38"/>
  <c r="Q108" i="38" s="1"/>
  <c r="L107" i="44"/>
  <c r="G112" i="38"/>
  <c r="Q112" i="38" s="1"/>
  <c r="L111" i="44"/>
  <c r="G116" i="38"/>
  <c r="Q116" i="38" s="1"/>
  <c r="L115" i="44"/>
  <c r="G74" i="38"/>
  <c r="Q74" i="38" s="1"/>
  <c r="L73" i="44"/>
  <c r="G78" i="38"/>
  <c r="Q78" i="38" s="1"/>
  <c r="L77" i="44"/>
  <c r="G82" i="38"/>
  <c r="Q82" i="38" s="1"/>
  <c r="L81" i="44"/>
  <c r="G86" i="38"/>
  <c r="Q86" i="38" s="1"/>
  <c r="L85" i="44"/>
  <c r="G90" i="38"/>
  <c r="Q90" i="38" s="1"/>
  <c r="L89" i="44"/>
  <c r="G94" i="38"/>
  <c r="Q94" i="38" s="1"/>
  <c r="L93" i="44"/>
  <c r="G98" i="38"/>
  <c r="Q98" i="38" s="1"/>
  <c r="L97" i="44"/>
  <c r="G100" i="38"/>
  <c r="Q100" i="38" s="1"/>
  <c r="L99" i="44"/>
  <c r="G107" i="38"/>
  <c r="Q107" i="38" s="1"/>
  <c r="L106" i="44"/>
  <c r="G115" i="38"/>
  <c r="Q115" i="38" s="1"/>
  <c r="L114" i="44"/>
  <c r="Y114" i="16"/>
  <c r="AE114" i="16" s="1"/>
  <c r="M102" i="16"/>
  <c r="F102" i="65"/>
  <c r="Z103" i="38"/>
  <c r="M107" i="16"/>
  <c r="F107" i="65"/>
  <c r="Z108" i="38"/>
  <c r="M109" i="16"/>
  <c r="F109" i="65"/>
  <c r="Y109" i="65" s="1"/>
  <c r="Z110" i="38"/>
  <c r="M77" i="16"/>
  <c r="F77" i="65"/>
  <c r="Z78" i="38"/>
  <c r="M84" i="16"/>
  <c r="F84" i="65"/>
  <c r="Z85" i="38"/>
  <c r="M93" i="16"/>
  <c r="F93" i="65"/>
  <c r="Z94" i="38"/>
  <c r="M113" i="16"/>
  <c r="F113" i="65"/>
  <c r="Y113" i="65" s="1"/>
  <c r="Z114" i="38"/>
  <c r="F72" i="65"/>
  <c r="Z73" i="38"/>
  <c r="M72" i="16"/>
  <c r="F80" i="65"/>
  <c r="Z81" i="38"/>
  <c r="M80" i="16"/>
  <c r="F88" i="65"/>
  <c r="Z89" i="38"/>
  <c r="M88" i="16"/>
  <c r="F96" i="65"/>
  <c r="Z97" i="38"/>
  <c r="M96" i="16"/>
  <c r="M74" i="16"/>
  <c r="F74" i="65"/>
  <c r="Z75" i="38"/>
  <c r="M78" i="16"/>
  <c r="F78" i="65"/>
  <c r="Z79" i="38"/>
  <c r="M82" i="16"/>
  <c r="F82" i="65"/>
  <c r="Z83" i="38"/>
  <c r="M86" i="16"/>
  <c r="F86" i="65"/>
  <c r="Z87" i="38"/>
  <c r="M90" i="16"/>
  <c r="F90" i="65"/>
  <c r="Z91" i="38"/>
  <c r="M94" i="16"/>
  <c r="F94" i="65"/>
  <c r="Z95" i="38"/>
  <c r="M98" i="16"/>
  <c r="F98" i="65"/>
  <c r="Z99" i="38"/>
  <c r="M100" i="16"/>
  <c r="F100" i="65"/>
  <c r="Z101" i="38"/>
  <c r="M105" i="16"/>
  <c r="F105" i="65"/>
  <c r="Z106" i="38"/>
  <c r="M106" i="16"/>
  <c r="F106" i="65"/>
  <c r="Z107" i="38"/>
  <c r="M115" i="16"/>
  <c r="F115" i="65"/>
  <c r="Y115" i="65" s="1"/>
  <c r="Z116" i="38"/>
  <c r="M103" i="16"/>
  <c r="F103" i="65"/>
  <c r="Z104" i="38"/>
  <c r="M76" i="16"/>
  <c r="F76" i="65"/>
  <c r="Z77" i="38"/>
  <c r="M85" i="16"/>
  <c r="F85" i="65"/>
  <c r="Z86" i="38"/>
  <c r="M92" i="16"/>
  <c r="F92" i="65"/>
  <c r="Z93" i="38"/>
  <c r="M99" i="16"/>
  <c r="F99" i="65"/>
  <c r="Z100" i="38"/>
  <c r="M114" i="16"/>
  <c r="F114" i="65"/>
  <c r="Z115" i="38"/>
  <c r="M108" i="16"/>
  <c r="F108" i="65"/>
  <c r="Y108" i="65" s="1"/>
  <c r="Z109" i="38"/>
  <c r="CH94" i="65"/>
  <c r="CJ96" i="65"/>
  <c r="CH98" i="65"/>
  <c r="CJ100" i="65"/>
  <c r="CJ104" i="65"/>
  <c r="CJ110" i="65"/>
  <c r="CH112" i="65"/>
  <c r="CJ114" i="65"/>
  <c r="CJ79" i="65"/>
  <c r="F111" i="65"/>
  <c r="Z111" i="65" s="1"/>
  <c r="Y111" i="65" s="1"/>
  <c r="Z112" i="38"/>
  <c r="M111" i="16"/>
  <c r="D51" i="23"/>
  <c r="CH102" i="65"/>
  <c r="CH73" i="65"/>
  <c r="CJ75" i="65"/>
  <c r="CH77" i="65"/>
  <c r="CJ83" i="65"/>
  <c r="CH85" i="65"/>
  <c r="CJ87" i="65"/>
  <c r="CH89" i="65"/>
  <c r="CJ91" i="65"/>
  <c r="D49" i="23"/>
  <c r="D55" i="23"/>
  <c r="CI108" i="65"/>
  <c r="W111" i="65"/>
  <c r="W115" i="65"/>
  <c r="CH103" i="65"/>
  <c r="CH97" i="65"/>
  <c r="CJ99" i="65"/>
  <c r="CH101" i="65"/>
  <c r="CI78" i="65"/>
  <c r="CG84" i="65"/>
  <c r="CI88" i="65"/>
  <c r="CG94" i="65"/>
  <c r="CH106" i="65"/>
  <c r="CJ108" i="65"/>
  <c r="V108" i="65"/>
  <c r="W109" i="65"/>
  <c r="W113" i="65"/>
  <c r="CH95" i="65"/>
  <c r="CJ105" i="65"/>
  <c r="CH107" i="65"/>
  <c r="M106" i="65"/>
  <c r="T106" i="65"/>
  <c r="V106" i="65"/>
  <c r="X106" i="65"/>
  <c r="U106" i="65"/>
  <c r="W106" i="65"/>
  <c r="AH108" i="65"/>
  <c r="AO108" i="65"/>
  <c r="AQ108" i="65"/>
  <c r="AP108" i="65"/>
  <c r="AS108" i="65"/>
  <c r="AR108" i="65"/>
  <c r="CF108" i="65"/>
  <c r="AP109" i="65"/>
  <c r="AR109" i="65"/>
  <c r="CF109" i="65"/>
  <c r="AH109" i="65"/>
  <c r="AO109" i="65"/>
  <c r="AQ109" i="65"/>
  <c r="AS109" i="65"/>
  <c r="CI110" i="65"/>
  <c r="BK111" i="65"/>
  <c r="BM111" i="65"/>
  <c r="BC111" i="65"/>
  <c r="BJ111" i="65"/>
  <c r="BL111" i="65"/>
  <c r="BN111" i="65"/>
  <c r="AP113" i="65"/>
  <c r="AR113" i="65"/>
  <c r="CF113" i="65"/>
  <c r="AH113" i="65"/>
  <c r="AO113" i="65"/>
  <c r="AQ113" i="65"/>
  <c r="AS113" i="65"/>
  <c r="CI114" i="65"/>
  <c r="CG72" i="65"/>
  <c r="AP72" i="65"/>
  <c r="AR72" i="65"/>
  <c r="CF72" i="65"/>
  <c r="AH72" i="65"/>
  <c r="AO72" i="65"/>
  <c r="AQ72" i="65"/>
  <c r="AS72" i="65"/>
  <c r="BC74" i="65"/>
  <c r="BJ74" i="65"/>
  <c r="BL74" i="65"/>
  <c r="BN74" i="65"/>
  <c r="BK74" i="65"/>
  <c r="BM74" i="65"/>
  <c r="CJ74" i="65"/>
  <c r="U74" i="65"/>
  <c r="W74" i="65"/>
  <c r="M74" i="65"/>
  <c r="T74" i="65"/>
  <c r="V74" i="65"/>
  <c r="X74" i="65"/>
  <c r="CI76" i="65"/>
  <c r="BK78" i="65"/>
  <c r="BM78" i="65"/>
  <c r="BC78" i="65"/>
  <c r="BJ78" i="65"/>
  <c r="BL78" i="65"/>
  <c r="BN78" i="65"/>
  <c r="CI82" i="65"/>
  <c r="U82" i="65"/>
  <c r="W82" i="65"/>
  <c r="M82" i="65"/>
  <c r="T82" i="65"/>
  <c r="V82" i="65"/>
  <c r="X82" i="65"/>
  <c r="BC86" i="65"/>
  <c r="BJ86" i="65"/>
  <c r="BL86" i="65"/>
  <c r="BN86" i="65"/>
  <c r="BK86" i="65"/>
  <c r="BM86" i="65"/>
  <c r="CI86" i="65"/>
  <c r="BC90" i="65"/>
  <c r="BJ90" i="65"/>
  <c r="BL90" i="65"/>
  <c r="BN90" i="65"/>
  <c r="BK90" i="65"/>
  <c r="BM90" i="65"/>
  <c r="CI92" i="65"/>
  <c r="M94" i="65"/>
  <c r="T94" i="65"/>
  <c r="V94" i="65"/>
  <c r="X94" i="65"/>
  <c r="U94" i="65"/>
  <c r="W94" i="65"/>
  <c r="CG96" i="65"/>
  <c r="CI98" i="65"/>
  <c r="U98" i="65"/>
  <c r="W98" i="65"/>
  <c r="M98" i="65"/>
  <c r="T98" i="65"/>
  <c r="V98" i="65"/>
  <c r="X98" i="65"/>
  <c r="BC106" i="65"/>
  <c r="BJ106" i="65"/>
  <c r="BL106" i="65"/>
  <c r="BN106" i="65"/>
  <c r="BK106" i="65"/>
  <c r="BM106" i="65"/>
  <c r="CH109" i="65"/>
  <c r="BK109" i="65"/>
  <c r="BM109" i="65"/>
  <c r="BC109" i="65"/>
  <c r="BJ109" i="65"/>
  <c r="BL109" i="65"/>
  <c r="BN109" i="65"/>
  <c r="AP111" i="65"/>
  <c r="AR111" i="65"/>
  <c r="CF111" i="65"/>
  <c r="AH111" i="65"/>
  <c r="AO111" i="65"/>
  <c r="AQ111" i="65"/>
  <c r="AS111" i="65"/>
  <c r="CJ111" i="65"/>
  <c r="CI112" i="65"/>
  <c r="CH113" i="65"/>
  <c r="BK113" i="65"/>
  <c r="BM113" i="65"/>
  <c r="BC113" i="65"/>
  <c r="BJ113" i="65"/>
  <c r="BL113" i="65"/>
  <c r="BN113" i="65"/>
  <c r="AP115" i="65"/>
  <c r="AR115" i="65"/>
  <c r="CF115" i="65"/>
  <c r="AH115" i="65"/>
  <c r="AO115" i="65"/>
  <c r="AQ115" i="65"/>
  <c r="AS115" i="65"/>
  <c r="CJ115" i="65"/>
  <c r="CI72" i="65"/>
  <c r="BK72" i="65"/>
  <c r="BM72" i="65"/>
  <c r="BC72" i="65"/>
  <c r="BJ72" i="65"/>
  <c r="BL72" i="65"/>
  <c r="BN72" i="65"/>
  <c r="CH72" i="65"/>
  <c r="U72" i="65"/>
  <c r="W72" i="65"/>
  <c r="M72" i="65"/>
  <c r="T72" i="65"/>
  <c r="V72" i="65"/>
  <c r="X72" i="65"/>
  <c r="CH74" i="65"/>
  <c r="AH74" i="65"/>
  <c r="AO74" i="65"/>
  <c r="AQ74" i="65"/>
  <c r="AP74" i="65"/>
  <c r="AS74" i="65"/>
  <c r="AR74" i="65"/>
  <c r="CF74" i="65"/>
  <c r="CG74" i="65"/>
  <c r="BC76" i="65"/>
  <c r="BJ76" i="65"/>
  <c r="BL76" i="65"/>
  <c r="BN76" i="65"/>
  <c r="BK76" i="65"/>
  <c r="BM76" i="65"/>
  <c r="CH76" i="65"/>
  <c r="M76" i="65"/>
  <c r="T76" i="65"/>
  <c r="V76" i="65"/>
  <c r="X76" i="65"/>
  <c r="U76" i="65"/>
  <c r="W76" i="65"/>
  <c r="CG76" i="65"/>
  <c r="CG78" i="65"/>
  <c r="CJ78" i="65"/>
  <c r="AP78" i="65"/>
  <c r="AR78" i="65"/>
  <c r="CF78" i="65"/>
  <c r="AH78" i="65"/>
  <c r="AO78" i="65"/>
  <c r="AQ78" i="65"/>
  <c r="AS78" i="65"/>
  <c r="CI80" i="65"/>
  <c r="BK80" i="65"/>
  <c r="BM80" i="65"/>
  <c r="BC80" i="65"/>
  <c r="BJ80" i="65"/>
  <c r="BL80" i="65"/>
  <c r="BN80" i="65"/>
  <c r="CH80" i="65"/>
  <c r="U80" i="65"/>
  <c r="W80" i="65"/>
  <c r="M80" i="65"/>
  <c r="T80" i="65"/>
  <c r="V80" i="65"/>
  <c r="X80" i="65"/>
  <c r="CG82" i="65"/>
  <c r="CJ82" i="65"/>
  <c r="AP82" i="65"/>
  <c r="AR82" i="65"/>
  <c r="CF82" i="65"/>
  <c r="AH82" i="65"/>
  <c r="AO82" i="65"/>
  <c r="AQ82" i="65"/>
  <c r="AS82" i="65"/>
  <c r="CI84" i="65"/>
  <c r="BK84" i="65"/>
  <c r="BM84" i="65"/>
  <c r="BC84" i="65"/>
  <c r="BJ84" i="65"/>
  <c r="BL84" i="65"/>
  <c r="BN84" i="65"/>
  <c r="CH84" i="65"/>
  <c r="U84" i="65"/>
  <c r="W84" i="65"/>
  <c r="M84" i="65"/>
  <c r="T84" i="65"/>
  <c r="V84" i="65"/>
  <c r="X84" i="65"/>
  <c r="CJ86" i="65"/>
  <c r="AH86" i="65"/>
  <c r="AO86" i="65"/>
  <c r="AQ86" i="65"/>
  <c r="AS86" i="65"/>
  <c r="AP86" i="65"/>
  <c r="AR86" i="65"/>
  <c r="CF86" i="65"/>
  <c r="M86" i="65"/>
  <c r="T86" i="65"/>
  <c r="V86" i="65"/>
  <c r="X86" i="65"/>
  <c r="U86" i="65"/>
  <c r="W86" i="65"/>
  <c r="CG86" i="65"/>
  <c r="BC88" i="65"/>
  <c r="BJ88" i="65"/>
  <c r="BL88" i="65"/>
  <c r="BN88" i="65"/>
  <c r="BK88" i="65"/>
  <c r="BM88" i="65"/>
  <c r="CH88" i="65"/>
  <c r="M88" i="65"/>
  <c r="T88" i="65"/>
  <c r="V88" i="65"/>
  <c r="X88" i="65"/>
  <c r="U88" i="65"/>
  <c r="W88" i="65"/>
  <c r="CG88" i="65"/>
  <c r="CJ90" i="65"/>
  <c r="AH90" i="65"/>
  <c r="AO90" i="65"/>
  <c r="AQ90" i="65"/>
  <c r="AS90" i="65"/>
  <c r="AP90" i="65"/>
  <c r="AR90" i="65"/>
  <c r="CF90" i="65"/>
  <c r="CI90" i="65"/>
  <c r="BC92" i="65"/>
  <c r="BJ92" i="65"/>
  <c r="BL92" i="65"/>
  <c r="BN92" i="65"/>
  <c r="BK92" i="65"/>
  <c r="BM92" i="65"/>
  <c r="CH92" i="65"/>
  <c r="M92" i="65"/>
  <c r="T92" i="65"/>
  <c r="V92" i="65"/>
  <c r="X92" i="65"/>
  <c r="U92" i="65"/>
  <c r="W92" i="65"/>
  <c r="CG92" i="65"/>
  <c r="CJ94" i="65"/>
  <c r="AH94" i="65"/>
  <c r="AO94" i="65"/>
  <c r="AQ94" i="65"/>
  <c r="AS94" i="65"/>
  <c r="AP94" i="65"/>
  <c r="AR94" i="65"/>
  <c r="CF94" i="65"/>
  <c r="CI94" i="65"/>
  <c r="CI96" i="65"/>
  <c r="BK96" i="65"/>
  <c r="BM96" i="65"/>
  <c r="BC96" i="65"/>
  <c r="BJ96" i="65"/>
  <c r="BL96" i="65"/>
  <c r="BN96" i="65"/>
  <c r="CH96" i="65"/>
  <c r="U96" i="65"/>
  <c r="W96" i="65"/>
  <c r="M96" i="65"/>
  <c r="T96" i="65"/>
  <c r="V96" i="65"/>
  <c r="X96" i="65"/>
  <c r="CG98" i="65"/>
  <c r="CJ98" i="65"/>
  <c r="AP98" i="65"/>
  <c r="AR98" i="65"/>
  <c r="CF98" i="65"/>
  <c r="AH98" i="65"/>
  <c r="AO98" i="65"/>
  <c r="AQ98" i="65"/>
  <c r="AS98" i="65"/>
  <c r="CI100" i="65"/>
  <c r="BK100" i="65"/>
  <c r="BM100" i="65"/>
  <c r="BC100" i="65"/>
  <c r="BJ100" i="65"/>
  <c r="BL100" i="65"/>
  <c r="BN100" i="65"/>
  <c r="CH100" i="65"/>
  <c r="U100" i="65"/>
  <c r="W100" i="65"/>
  <c r="M100" i="65"/>
  <c r="T100" i="65"/>
  <c r="V100" i="65"/>
  <c r="X100" i="65"/>
  <c r="CG102" i="65"/>
  <c r="CJ102" i="65"/>
  <c r="AP102" i="65"/>
  <c r="AR102" i="65"/>
  <c r="CF102" i="65"/>
  <c r="AH102" i="65"/>
  <c r="AO102" i="65"/>
  <c r="AQ102" i="65"/>
  <c r="AS102" i="65"/>
  <c r="CI104" i="65"/>
  <c r="BK104" i="65"/>
  <c r="BM104" i="65"/>
  <c r="BC104" i="65"/>
  <c r="BJ104" i="65"/>
  <c r="BO104" i="65" s="1"/>
  <c r="BL104" i="65"/>
  <c r="BN104" i="65"/>
  <c r="BP104" i="65" s="1"/>
  <c r="CH104" i="65"/>
  <c r="U104" i="65"/>
  <c r="W104" i="65"/>
  <c r="M104" i="65"/>
  <c r="T104" i="65"/>
  <c r="V104" i="65"/>
  <c r="X104" i="65"/>
  <c r="CG106" i="65"/>
  <c r="CG108" i="65"/>
  <c r="CG105" i="65"/>
  <c r="AH106" i="65"/>
  <c r="AO106" i="65"/>
  <c r="BX106" i="65" s="1"/>
  <c r="AQ106" i="65"/>
  <c r="BZ106" i="65" s="1"/>
  <c r="AS106" i="65"/>
  <c r="CB106" i="65" s="1"/>
  <c r="AR106" i="65"/>
  <c r="CF106" i="65"/>
  <c r="AP106" i="65"/>
  <c r="BY106" i="65" s="1"/>
  <c r="CI107" i="65"/>
  <c r="CH108" i="65"/>
  <c r="CG109" i="65"/>
  <c r="M110" i="65"/>
  <c r="T110" i="65"/>
  <c r="Y110" i="65" s="1"/>
  <c r="V110" i="65"/>
  <c r="X110" i="65"/>
  <c r="Z110" i="65" s="1"/>
  <c r="U110" i="65"/>
  <c r="W110" i="65"/>
  <c r="CH110" i="65"/>
  <c r="BC110" i="65"/>
  <c r="BJ110" i="65"/>
  <c r="BO110" i="65" s="1"/>
  <c r="BL110" i="65"/>
  <c r="BN110" i="65"/>
  <c r="BP110" i="65" s="1"/>
  <c r="BK110" i="65"/>
  <c r="BM110" i="65"/>
  <c r="CI111" i="65"/>
  <c r="AH112" i="65"/>
  <c r="AO112" i="65"/>
  <c r="AQ112" i="65"/>
  <c r="AS112" i="65"/>
  <c r="AP112" i="65"/>
  <c r="AR112" i="65"/>
  <c r="CF112" i="65"/>
  <c r="CJ112" i="65"/>
  <c r="CG113" i="65"/>
  <c r="M114" i="65"/>
  <c r="T114" i="65"/>
  <c r="V114" i="65"/>
  <c r="X114" i="65"/>
  <c r="U114" i="65"/>
  <c r="W114" i="65"/>
  <c r="CH114" i="65"/>
  <c r="BC114" i="65"/>
  <c r="BJ114" i="65"/>
  <c r="BL114" i="65"/>
  <c r="BN114" i="65"/>
  <c r="BK114" i="65"/>
  <c r="BM114" i="65"/>
  <c r="CI115" i="65"/>
  <c r="CJ73" i="65"/>
  <c r="AH73" i="65"/>
  <c r="AO73" i="65"/>
  <c r="AQ73" i="65"/>
  <c r="AS73" i="65"/>
  <c r="AP73" i="65"/>
  <c r="AR73" i="65"/>
  <c r="CF73" i="65"/>
  <c r="CI73" i="65"/>
  <c r="CI75" i="65"/>
  <c r="BK75" i="65"/>
  <c r="BM75" i="65"/>
  <c r="BC75" i="65"/>
  <c r="BJ75" i="65"/>
  <c r="BL75" i="65"/>
  <c r="BN75" i="65"/>
  <c r="CH75" i="65"/>
  <c r="U75" i="65"/>
  <c r="W75" i="65"/>
  <c r="M75" i="65"/>
  <c r="T75" i="65"/>
  <c r="V75" i="65"/>
  <c r="X75" i="65"/>
  <c r="CJ77" i="65"/>
  <c r="AH77" i="65"/>
  <c r="AO77" i="65"/>
  <c r="AQ77" i="65"/>
  <c r="AS77" i="65"/>
  <c r="AP77" i="65"/>
  <c r="AR77" i="65"/>
  <c r="CF77" i="65"/>
  <c r="CI77" i="65"/>
  <c r="BC79" i="65"/>
  <c r="BJ79" i="65"/>
  <c r="BO79" i="65" s="1"/>
  <c r="BL79" i="65"/>
  <c r="BN79" i="65"/>
  <c r="BP79" i="65" s="1"/>
  <c r="BK79" i="65"/>
  <c r="BM79" i="65"/>
  <c r="CH79" i="65"/>
  <c r="M79" i="65"/>
  <c r="T79" i="65"/>
  <c r="V79" i="65"/>
  <c r="X79" i="65"/>
  <c r="U79" i="65"/>
  <c r="W79" i="65"/>
  <c r="CG79" i="65"/>
  <c r="CJ81" i="65"/>
  <c r="BC81" i="65"/>
  <c r="BJ81" i="65"/>
  <c r="BO81" i="65" s="1"/>
  <c r="BL81" i="65"/>
  <c r="BN81" i="65"/>
  <c r="BP81" i="65" s="1"/>
  <c r="BK81" i="65"/>
  <c r="BM81" i="65"/>
  <c r="CI81" i="65"/>
  <c r="BC83" i="65"/>
  <c r="BJ83" i="65"/>
  <c r="BL83" i="65"/>
  <c r="BN83" i="65"/>
  <c r="BK83" i="65"/>
  <c r="BM83" i="65"/>
  <c r="CH83" i="65"/>
  <c r="M83" i="65"/>
  <c r="T83" i="65"/>
  <c r="Y83" i="65" s="1"/>
  <c r="V83" i="65"/>
  <c r="X83" i="65"/>
  <c r="Z83" i="65" s="1"/>
  <c r="U83" i="65"/>
  <c r="W83" i="65"/>
  <c r="CG83" i="65"/>
  <c r="CI85" i="65"/>
  <c r="CG85" i="65"/>
  <c r="CJ85" i="65"/>
  <c r="AP85" i="65"/>
  <c r="AR85" i="65"/>
  <c r="CF85" i="65"/>
  <c r="AH85" i="65"/>
  <c r="AQ85" i="65"/>
  <c r="AO85" i="65"/>
  <c r="AS85" i="65"/>
  <c r="CI87" i="65"/>
  <c r="BK87" i="65"/>
  <c r="BM87" i="65"/>
  <c r="BC87" i="65"/>
  <c r="BJ87" i="65"/>
  <c r="BL87" i="65"/>
  <c r="BN87" i="65"/>
  <c r="CH87" i="65"/>
  <c r="U87" i="65"/>
  <c r="W87" i="65"/>
  <c r="M87" i="65"/>
  <c r="T87" i="65"/>
  <c r="V87" i="65"/>
  <c r="X87" i="65"/>
  <c r="CG89" i="65"/>
  <c r="CJ89" i="65"/>
  <c r="AP89" i="65"/>
  <c r="AR89" i="65"/>
  <c r="CF89" i="65"/>
  <c r="AH89" i="65"/>
  <c r="AO89" i="65"/>
  <c r="AQ89" i="65"/>
  <c r="AS89" i="65"/>
  <c r="CI91" i="65"/>
  <c r="BK91" i="65"/>
  <c r="BM91" i="65"/>
  <c r="BP91" i="65" s="1"/>
  <c r="BC91" i="65"/>
  <c r="BJ91" i="65"/>
  <c r="BO91" i="65" s="1"/>
  <c r="BL91" i="65"/>
  <c r="BN91" i="65"/>
  <c r="CH91" i="65"/>
  <c r="U91" i="65"/>
  <c r="W91" i="65"/>
  <c r="Z91" i="65" s="1"/>
  <c r="M91" i="65"/>
  <c r="T91" i="65"/>
  <c r="Y91" i="65" s="1"/>
  <c r="V91" i="65"/>
  <c r="X91" i="65"/>
  <c r="CG93" i="65"/>
  <c r="CJ93" i="65"/>
  <c r="AP93" i="65"/>
  <c r="AR93" i="65"/>
  <c r="CF93" i="65"/>
  <c r="AH93" i="65"/>
  <c r="AO93" i="65"/>
  <c r="AQ93" i="65"/>
  <c r="AS93" i="65"/>
  <c r="BC95" i="65"/>
  <c r="BJ95" i="65"/>
  <c r="BO95" i="65" s="1"/>
  <c r="BL95" i="65"/>
  <c r="BN95" i="65"/>
  <c r="BK95" i="65"/>
  <c r="BM95" i="65"/>
  <c r="BP95" i="65" s="1"/>
  <c r="AH95" i="65"/>
  <c r="AO95" i="65"/>
  <c r="AQ95" i="65"/>
  <c r="AS95" i="65"/>
  <c r="AR95" i="65"/>
  <c r="AP95" i="65"/>
  <c r="CF95" i="65"/>
  <c r="M95" i="65"/>
  <c r="T95" i="65"/>
  <c r="Y95" i="65" s="1"/>
  <c r="V95" i="65"/>
  <c r="X95" i="65"/>
  <c r="U95" i="65"/>
  <c r="W95" i="65"/>
  <c r="Z95" i="65" s="1"/>
  <c r="CG95" i="65"/>
  <c r="CJ97" i="65"/>
  <c r="AH97" i="65"/>
  <c r="AO97" i="65"/>
  <c r="AQ97" i="65"/>
  <c r="AS97" i="65"/>
  <c r="AP97" i="65"/>
  <c r="AR97" i="65"/>
  <c r="CF97" i="65"/>
  <c r="CI97" i="65"/>
  <c r="BC99" i="65"/>
  <c r="BJ99" i="65"/>
  <c r="BL99" i="65"/>
  <c r="BN99" i="65"/>
  <c r="BK99" i="65"/>
  <c r="BM99" i="65"/>
  <c r="CH99" i="65"/>
  <c r="M99" i="65"/>
  <c r="T99" i="65"/>
  <c r="V99" i="65"/>
  <c r="X99" i="65"/>
  <c r="U99" i="65"/>
  <c r="W99" i="65"/>
  <c r="CG99" i="65"/>
  <c r="CJ101" i="65"/>
  <c r="AH101" i="65"/>
  <c r="AO101" i="65"/>
  <c r="AQ101" i="65"/>
  <c r="AS101" i="65"/>
  <c r="AP101" i="65"/>
  <c r="AR101" i="65"/>
  <c r="CF101" i="65"/>
  <c r="CI101" i="65"/>
  <c r="BC103" i="65"/>
  <c r="BJ103" i="65"/>
  <c r="BL103" i="65"/>
  <c r="BN103" i="65"/>
  <c r="BK103" i="65"/>
  <c r="BM103" i="65"/>
  <c r="M103" i="65"/>
  <c r="T103" i="65"/>
  <c r="V103" i="65"/>
  <c r="X103" i="65"/>
  <c r="U103" i="65"/>
  <c r="W103" i="65"/>
  <c r="CG103" i="65"/>
  <c r="AP105" i="65"/>
  <c r="AR105" i="65"/>
  <c r="CF105" i="65"/>
  <c r="AO105" i="65"/>
  <c r="AS105" i="65"/>
  <c r="AH105" i="65"/>
  <c r="AQ105" i="65"/>
  <c r="BK107" i="65"/>
  <c r="BM107" i="65"/>
  <c r="BJ107" i="65"/>
  <c r="BN107" i="65"/>
  <c r="BC107" i="65"/>
  <c r="BL107" i="65"/>
  <c r="U107" i="65"/>
  <c r="W107" i="65"/>
  <c r="T107" i="65"/>
  <c r="X107" i="65"/>
  <c r="M107" i="65"/>
  <c r="V107" i="65"/>
  <c r="V109" i="65"/>
  <c r="N109" i="65"/>
  <c r="R109" i="65" s="1"/>
  <c r="Q109" i="65"/>
  <c r="O109" i="65"/>
  <c r="S109" i="65" s="1"/>
  <c r="U109" i="65"/>
  <c r="V111" i="65"/>
  <c r="N111" i="65"/>
  <c r="R111" i="65" s="1"/>
  <c r="Q111" i="65"/>
  <c r="O111" i="65"/>
  <c r="S111" i="65" s="1"/>
  <c r="U111" i="65"/>
  <c r="V113" i="65"/>
  <c r="N113" i="65"/>
  <c r="R113" i="65" s="1"/>
  <c r="Q113" i="65"/>
  <c r="O113" i="65"/>
  <c r="S113" i="65" s="1"/>
  <c r="U113" i="65"/>
  <c r="V115" i="65"/>
  <c r="N115" i="65"/>
  <c r="R115" i="65" s="1"/>
  <c r="Q115" i="65"/>
  <c r="O115" i="65"/>
  <c r="S115" i="65" s="1"/>
  <c r="U115" i="65"/>
  <c r="U108" i="65"/>
  <c r="X108" i="65"/>
  <c r="BK115" i="65"/>
  <c r="BM115" i="65"/>
  <c r="BC115" i="65"/>
  <c r="BJ115" i="65"/>
  <c r="BL115" i="65"/>
  <c r="BN115" i="65"/>
  <c r="CI74" i="65"/>
  <c r="AH76" i="65"/>
  <c r="AO76" i="65"/>
  <c r="AQ76" i="65"/>
  <c r="AS76" i="65"/>
  <c r="AP76" i="65"/>
  <c r="AR76" i="65"/>
  <c r="CF76" i="65"/>
  <c r="U78" i="65"/>
  <c r="W78" i="65"/>
  <c r="M78" i="65"/>
  <c r="T78" i="65"/>
  <c r="V78" i="65"/>
  <c r="X78" i="65"/>
  <c r="CG80" i="65"/>
  <c r="AP80" i="65"/>
  <c r="AR80" i="65"/>
  <c r="CF80" i="65"/>
  <c r="AH80" i="65"/>
  <c r="AO80" i="65"/>
  <c r="AQ80" i="65"/>
  <c r="AS80" i="65"/>
  <c r="BK82" i="65"/>
  <c r="BM82" i="65"/>
  <c r="BC82" i="65"/>
  <c r="BJ82" i="65"/>
  <c r="BL82" i="65"/>
  <c r="BN82" i="65"/>
  <c r="AP84" i="65"/>
  <c r="AR84" i="65"/>
  <c r="CF84" i="65"/>
  <c r="AH84" i="65"/>
  <c r="AO84" i="65"/>
  <c r="AQ84" i="65"/>
  <c r="AS84" i="65"/>
  <c r="AH88" i="65"/>
  <c r="AO88" i="65"/>
  <c r="AQ88" i="65"/>
  <c r="AS88" i="65"/>
  <c r="AP88" i="65"/>
  <c r="AR88" i="65"/>
  <c r="CF88" i="65"/>
  <c r="M90" i="65"/>
  <c r="T90" i="65"/>
  <c r="V90" i="65"/>
  <c r="X90" i="65"/>
  <c r="U90" i="65"/>
  <c r="W90" i="65"/>
  <c r="CG90" i="65"/>
  <c r="AH92" i="65"/>
  <c r="AO92" i="65"/>
  <c r="AQ92" i="65"/>
  <c r="AS92" i="65"/>
  <c r="AP92" i="65"/>
  <c r="AR92" i="65"/>
  <c r="CF92" i="65"/>
  <c r="BC94" i="65"/>
  <c r="BJ94" i="65"/>
  <c r="BL94" i="65"/>
  <c r="BN94" i="65"/>
  <c r="BK94" i="65"/>
  <c r="BM94" i="65"/>
  <c r="AP96" i="65"/>
  <c r="AR96" i="65"/>
  <c r="CF96" i="65"/>
  <c r="AH96" i="65"/>
  <c r="AO96" i="65"/>
  <c r="AQ96" i="65"/>
  <c r="AS96" i="65"/>
  <c r="BK98" i="65"/>
  <c r="BM98" i="65"/>
  <c r="BC98" i="65"/>
  <c r="BJ98" i="65"/>
  <c r="BL98" i="65"/>
  <c r="BN98" i="65"/>
  <c r="CG100" i="65"/>
  <c r="AP100" i="65"/>
  <c r="AR100" i="65"/>
  <c r="CF100" i="65"/>
  <c r="AH100" i="65"/>
  <c r="AO100" i="65"/>
  <c r="AQ100" i="65"/>
  <c r="AS100" i="65"/>
  <c r="CI102" i="65"/>
  <c r="BK102" i="65"/>
  <c r="BM102" i="65"/>
  <c r="BC102" i="65"/>
  <c r="BJ102" i="65"/>
  <c r="BL102" i="65"/>
  <c r="BN102" i="65"/>
  <c r="U102" i="65"/>
  <c r="W102" i="65"/>
  <c r="M102" i="65"/>
  <c r="T102" i="65"/>
  <c r="V102" i="65"/>
  <c r="X102" i="65"/>
  <c r="CG104" i="65"/>
  <c r="AP104" i="65"/>
  <c r="AR104" i="65"/>
  <c r="CF104" i="65"/>
  <c r="AH104" i="65"/>
  <c r="AO104" i="65"/>
  <c r="AQ104" i="65"/>
  <c r="AS104" i="65"/>
  <c r="CI106" i="65"/>
  <c r="CJ106" i="65"/>
  <c r="BC108" i="65"/>
  <c r="BJ108" i="65"/>
  <c r="BL108" i="65"/>
  <c r="BN108" i="65"/>
  <c r="BK108" i="65"/>
  <c r="BM108" i="65"/>
  <c r="CI109" i="65"/>
  <c r="AH110" i="65"/>
  <c r="AO110" i="65"/>
  <c r="AQ110" i="65"/>
  <c r="AS110" i="65"/>
  <c r="AP110" i="65"/>
  <c r="AR110" i="65"/>
  <c r="CF110" i="65"/>
  <c r="CG111" i="65"/>
  <c r="M112" i="65"/>
  <c r="T112" i="65"/>
  <c r="Y112" i="65" s="1"/>
  <c r="V112" i="65"/>
  <c r="X112" i="65"/>
  <c r="Z112" i="65" s="1"/>
  <c r="U112" i="65"/>
  <c r="W112" i="65"/>
  <c r="BC112" i="65"/>
  <c r="BJ112" i="65"/>
  <c r="BO112" i="65" s="1"/>
  <c r="BL112" i="65"/>
  <c r="BN112" i="65"/>
  <c r="BP112" i="65" s="1"/>
  <c r="BK112" i="65"/>
  <c r="BM112" i="65"/>
  <c r="CI113" i="65"/>
  <c r="AH114" i="65"/>
  <c r="AO114" i="65"/>
  <c r="AQ114" i="65"/>
  <c r="AS114" i="65"/>
  <c r="AP114" i="65"/>
  <c r="AR114" i="65"/>
  <c r="CF114" i="65"/>
  <c r="CG115" i="65"/>
  <c r="BC73" i="65"/>
  <c r="BJ73" i="65"/>
  <c r="BL73" i="65"/>
  <c r="BN73" i="65"/>
  <c r="BK73" i="65"/>
  <c r="BM73" i="65"/>
  <c r="M73" i="65"/>
  <c r="T73" i="65"/>
  <c r="V73" i="65"/>
  <c r="X73" i="65"/>
  <c r="U73" i="65"/>
  <c r="W73" i="65"/>
  <c r="CG73" i="65"/>
  <c r="CG75" i="65"/>
  <c r="AP75" i="65"/>
  <c r="AR75" i="65"/>
  <c r="CF75" i="65"/>
  <c r="AH75" i="65"/>
  <c r="AO75" i="65"/>
  <c r="AQ75" i="65"/>
  <c r="AS75" i="65"/>
  <c r="BC77" i="65"/>
  <c r="BJ77" i="65"/>
  <c r="BL77" i="65"/>
  <c r="BN77" i="65"/>
  <c r="BK77" i="65"/>
  <c r="BM77" i="65"/>
  <c r="M77" i="65"/>
  <c r="T77" i="65"/>
  <c r="V77" i="65"/>
  <c r="X77" i="65"/>
  <c r="U77" i="65"/>
  <c r="W77" i="65"/>
  <c r="CG77" i="65"/>
  <c r="AH79" i="65"/>
  <c r="AO79" i="65"/>
  <c r="AQ79" i="65"/>
  <c r="AS79" i="65"/>
  <c r="AP79" i="65"/>
  <c r="AR79" i="65"/>
  <c r="CF79" i="65"/>
  <c r="CI79" i="65"/>
  <c r="AH81" i="65"/>
  <c r="AO81" i="65"/>
  <c r="AQ81" i="65"/>
  <c r="AS81" i="65"/>
  <c r="AR81" i="65"/>
  <c r="AP81" i="65"/>
  <c r="CF81" i="65"/>
  <c r="CH81" i="65"/>
  <c r="M81" i="65"/>
  <c r="T81" i="65"/>
  <c r="Y81" i="65" s="1"/>
  <c r="V81" i="65"/>
  <c r="X81" i="65"/>
  <c r="Z81" i="65" s="1"/>
  <c r="U81" i="65"/>
  <c r="W81" i="65"/>
  <c r="CG81" i="65"/>
  <c r="AH83" i="65"/>
  <c r="AO83" i="65"/>
  <c r="AQ83" i="65"/>
  <c r="AS83" i="65"/>
  <c r="AP83" i="65"/>
  <c r="AR83" i="65"/>
  <c r="CF83" i="65"/>
  <c r="CI83" i="65"/>
  <c r="BK85" i="65"/>
  <c r="BM85" i="65"/>
  <c r="BJ85" i="65"/>
  <c r="BN85" i="65"/>
  <c r="BC85" i="65"/>
  <c r="BL85" i="65"/>
  <c r="M85" i="65"/>
  <c r="U85" i="65"/>
  <c r="W85" i="65"/>
  <c r="T85" i="65"/>
  <c r="X85" i="65"/>
  <c r="V85" i="65"/>
  <c r="CG87" i="65"/>
  <c r="AP87" i="65"/>
  <c r="AR87" i="65"/>
  <c r="CF87" i="65"/>
  <c r="AH87" i="65"/>
  <c r="AO87" i="65"/>
  <c r="AQ87" i="65"/>
  <c r="AS87" i="65"/>
  <c r="CI89" i="65"/>
  <c r="BK89" i="65"/>
  <c r="BM89" i="65"/>
  <c r="BP89" i="65" s="1"/>
  <c r="BC89" i="65"/>
  <c r="BJ89" i="65"/>
  <c r="BO89" i="65" s="1"/>
  <c r="BL89" i="65"/>
  <c r="BN89" i="65"/>
  <c r="U89" i="65"/>
  <c r="W89" i="65"/>
  <c r="Z89" i="65" s="1"/>
  <c r="M89" i="65"/>
  <c r="T89" i="65"/>
  <c r="Y89" i="65" s="1"/>
  <c r="V89" i="65"/>
  <c r="X89" i="65"/>
  <c r="CG91" i="65"/>
  <c r="AP91" i="65"/>
  <c r="AR91" i="65"/>
  <c r="CF91" i="65"/>
  <c r="AH91" i="65"/>
  <c r="AO91" i="65"/>
  <c r="AQ91" i="65"/>
  <c r="AS91" i="65"/>
  <c r="CI93" i="65"/>
  <c r="BK93" i="65"/>
  <c r="BM93" i="65"/>
  <c r="BC93" i="65"/>
  <c r="BJ93" i="65"/>
  <c r="BL93" i="65"/>
  <c r="BN93" i="65"/>
  <c r="CH93" i="65"/>
  <c r="U93" i="65"/>
  <c r="W93" i="65"/>
  <c r="M93" i="65"/>
  <c r="T93" i="65"/>
  <c r="V93" i="65"/>
  <c r="X93" i="65"/>
  <c r="CJ95" i="65"/>
  <c r="CI95" i="65"/>
  <c r="BC97" i="65"/>
  <c r="BJ97" i="65"/>
  <c r="BO97" i="65" s="1"/>
  <c r="BL97" i="65"/>
  <c r="BN97" i="65"/>
  <c r="BK97" i="65"/>
  <c r="BM97" i="65"/>
  <c r="BP97" i="65" s="1"/>
  <c r="M97" i="65"/>
  <c r="T97" i="65"/>
  <c r="Y97" i="65" s="1"/>
  <c r="V97" i="65"/>
  <c r="X97" i="65"/>
  <c r="U97" i="65"/>
  <c r="W97" i="65"/>
  <c r="Z97" i="65" s="1"/>
  <c r="CG97" i="65"/>
  <c r="AH99" i="65"/>
  <c r="AO99" i="65"/>
  <c r="AQ99" i="65"/>
  <c r="AS99" i="65"/>
  <c r="AP99" i="65"/>
  <c r="AR99" i="65"/>
  <c r="CF99" i="65"/>
  <c r="CI99" i="65"/>
  <c r="BC101" i="65"/>
  <c r="BJ101" i="65"/>
  <c r="BO101" i="65" s="1"/>
  <c r="BL101" i="65"/>
  <c r="BN101" i="65"/>
  <c r="BP101" i="65" s="1"/>
  <c r="BK101" i="65"/>
  <c r="BM101" i="65"/>
  <c r="M101" i="65"/>
  <c r="T101" i="65"/>
  <c r="Y101" i="65" s="1"/>
  <c r="V101" i="65"/>
  <c r="X101" i="65"/>
  <c r="Z101" i="65" s="1"/>
  <c r="U101" i="65"/>
  <c r="W101" i="65"/>
  <c r="CG101" i="65"/>
  <c r="CJ103" i="65"/>
  <c r="AH103" i="65"/>
  <c r="AO103" i="65"/>
  <c r="AQ103" i="65"/>
  <c r="AS103" i="65"/>
  <c r="AP103" i="65"/>
  <c r="AR103" i="65"/>
  <c r="CF103" i="65"/>
  <c r="CI103" i="65"/>
  <c r="BK105" i="65"/>
  <c r="BM105" i="65"/>
  <c r="BC105" i="65"/>
  <c r="BL105" i="65"/>
  <c r="BJ105" i="65"/>
  <c r="BN105" i="65"/>
  <c r="CH105" i="65"/>
  <c r="M105" i="65"/>
  <c r="U105" i="65"/>
  <c r="W105" i="65"/>
  <c r="V105" i="65"/>
  <c r="T105" i="65"/>
  <c r="X105" i="65"/>
  <c r="CJ107" i="65"/>
  <c r="AP107" i="65"/>
  <c r="AR107" i="65"/>
  <c r="CF107" i="65"/>
  <c r="AH107" i="65"/>
  <c r="AQ107" i="65"/>
  <c r="BZ107" i="65" s="1"/>
  <c r="AO107" i="65"/>
  <c r="BX107" i="65" s="1"/>
  <c r="AS107" i="65"/>
  <c r="CB107" i="65" s="1"/>
  <c r="X109" i="65"/>
  <c r="X111" i="65"/>
  <c r="X113" i="65"/>
  <c r="X115" i="65"/>
  <c r="W108" i="65"/>
  <c r="O108" i="65"/>
  <c r="S108" i="65" s="1"/>
  <c r="W76" i="16"/>
  <c r="AC76" i="16" s="1"/>
  <c r="W108" i="16"/>
  <c r="AC108" i="16" s="1"/>
  <c r="X76" i="16"/>
  <c r="AD76" i="16" s="1"/>
  <c r="Y76" i="16"/>
  <c r="AE76" i="16" s="1"/>
  <c r="E3" i="39"/>
  <c r="E4" i="39"/>
  <c r="E5" i="39"/>
  <c r="E6" i="39"/>
  <c r="E7" i="39"/>
  <c r="E8" i="39"/>
  <c r="E9" i="39"/>
  <c r="E10" i="39"/>
  <c r="E11" i="39"/>
  <c r="E12" i="39"/>
  <c r="E13" i="39"/>
  <c r="E14" i="39"/>
  <c r="E15" i="39"/>
  <c r="E16" i="39"/>
  <c r="E17" i="39"/>
  <c r="E18" i="39"/>
  <c r="E19" i="39"/>
  <c r="E20" i="39"/>
  <c r="E21" i="39"/>
  <c r="E22" i="39"/>
  <c r="E23" i="39"/>
  <c r="E24" i="39"/>
  <c r="E25" i="39"/>
  <c r="E26" i="39"/>
  <c r="E27" i="39"/>
  <c r="E28" i="39"/>
  <c r="E29" i="39"/>
  <c r="E30" i="39"/>
  <c r="E31" i="39"/>
  <c r="E32" i="39"/>
  <c r="E33" i="39"/>
  <c r="E34" i="39"/>
  <c r="E35" i="39"/>
  <c r="E36" i="39"/>
  <c r="E37" i="39"/>
  <c r="E38" i="39"/>
  <c r="E39" i="39"/>
  <c r="E40" i="39"/>
  <c r="E41" i="39"/>
  <c r="E42" i="39"/>
  <c r="E43" i="39"/>
  <c r="E44" i="39"/>
  <c r="E45" i="39"/>
  <c r="E46" i="39"/>
  <c r="E47" i="39"/>
  <c r="E48" i="39"/>
  <c r="E49" i="39"/>
  <c r="E50" i="39"/>
  <c r="E51" i="39"/>
  <c r="E52" i="39"/>
  <c r="E53" i="39"/>
  <c r="E54" i="39"/>
  <c r="E55" i="39"/>
  <c r="E56" i="39"/>
  <c r="E57" i="39"/>
  <c r="E58" i="39"/>
  <c r="E59" i="39"/>
  <c r="E60" i="39"/>
  <c r="E61" i="39"/>
  <c r="E62" i="39"/>
  <c r="E63" i="39"/>
  <c r="E64" i="39"/>
  <c r="E65" i="39"/>
  <c r="E66" i="39"/>
  <c r="E67" i="39"/>
  <c r="E68" i="39"/>
  <c r="E69" i="39"/>
  <c r="E70" i="39"/>
  <c r="E71" i="39"/>
  <c r="Z75" i="65" l="1"/>
  <c r="Y75" i="65"/>
  <c r="T105" i="16"/>
  <c r="X103" i="16"/>
  <c r="AD103" i="16" s="1"/>
  <c r="U112" i="16"/>
  <c r="AA112" i="16" s="1"/>
  <c r="Y108" i="16"/>
  <c r="AE108" i="16" s="1"/>
  <c r="V106" i="16"/>
  <c r="AB106" i="16" s="1"/>
  <c r="T106" i="16"/>
  <c r="T104" i="16"/>
  <c r="X104" i="16"/>
  <c r="AD104" i="16" s="1"/>
  <c r="X107" i="16"/>
  <c r="AD107" i="16" s="1"/>
  <c r="X108" i="16"/>
  <c r="AD108" i="16" s="1"/>
  <c r="V109" i="16"/>
  <c r="AB109" i="16" s="1"/>
  <c r="U106" i="16"/>
  <c r="AA106" i="16" s="1"/>
  <c r="Y103" i="16"/>
  <c r="AE103" i="16" s="1"/>
  <c r="T103" i="16"/>
  <c r="X102" i="16"/>
  <c r="AD102" i="16" s="1"/>
  <c r="X109" i="16"/>
  <c r="AD109" i="16" s="1"/>
  <c r="V108" i="16"/>
  <c r="AB108" i="16" s="1"/>
  <c r="U107" i="16"/>
  <c r="AA107" i="16" s="1"/>
  <c r="U76" i="16"/>
  <c r="AA76" i="16" s="1"/>
  <c r="Z79" i="65"/>
  <c r="Y79" i="65"/>
  <c r="U102" i="16"/>
  <c r="AA102" i="16" s="1"/>
  <c r="W107" i="16"/>
  <c r="AC107" i="16" s="1"/>
  <c r="W106" i="16"/>
  <c r="AC106" i="16" s="1"/>
  <c r="Y105" i="16"/>
  <c r="AE105" i="16" s="1"/>
  <c r="BP83" i="65"/>
  <c r="BO83" i="65"/>
  <c r="BP75" i="65"/>
  <c r="BO75" i="65"/>
  <c r="Z104" i="65"/>
  <c r="Y104" i="65"/>
  <c r="BV119" i="65"/>
  <c r="V105" i="16"/>
  <c r="AB105" i="16" s="1"/>
  <c r="X113" i="16"/>
  <c r="AD113" i="16" s="1"/>
  <c r="V104" i="16"/>
  <c r="AB104" i="16" s="1"/>
  <c r="T114" i="16"/>
  <c r="W104" i="16"/>
  <c r="AC104" i="16" s="1"/>
  <c r="X75" i="16"/>
  <c r="AD75" i="16" s="1"/>
  <c r="V102" i="16"/>
  <c r="AB102" i="16" s="1"/>
  <c r="Y102" i="16"/>
  <c r="AE102" i="16" s="1"/>
  <c r="T113" i="16"/>
  <c r="T102" i="16"/>
  <c r="U101" i="16"/>
  <c r="AA101" i="16" s="1"/>
  <c r="U104" i="16"/>
  <c r="AA104" i="16" s="1"/>
  <c r="U105" i="16"/>
  <c r="AA105" i="16" s="1"/>
  <c r="U114" i="16"/>
  <c r="AA114" i="16" s="1"/>
  <c r="Y109" i="16"/>
  <c r="AE109" i="16" s="1"/>
  <c r="Y107" i="16"/>
  <c r="AE107" i="16" s="1"/>
  <c r="T115" i="16"/>
  <c r="W105" i="16"/>
  <c r="AC105" i="16" s="1"/>
  <c r="W113" i="16"/>
  <c r="AC113" i="16" s="1"/>
  <c r="T109" i="16"/>
  <c r="T107" i="16"/>
  <c r="U109" i="16"/>
  <c r="AA109" i="16" s="1"/>
  <c r="T108" i="16"/>
  <c r="Q108" i="65"/>
  <c r="BU117" i="65"/>
  <c r="D117" i="44" s="1"/>
  <c r="BW120" i="65"/>
  <c r="BW118" i="65"/>
  <c r="Z113" i="65"/>
  <c r="Z109" i="65"/>
  <c r="Y85" i="65"/>
  <c r="BP85" i="65"/>
  <c r="Z73" i="65"/>
  <c r="BP73" i="65"/>
  <c r="BP99" i="65"/>
  <c r="BO99" i="65"/>
  <c r="BP87" i="65"/>
  <c r="BO87" i="65"/>
  <c r="Y100" i="65"/>
  <c r="Z100" i="65"/>
  <c r="Z88" i="65"/>
  <c r="Y88" i="65"/>
  <c r="Z86" i="65"/>
  <c r="Y86" i="65"/>
  <c r="Z84" i="65"/>
  <c r="Y84" i="65"/>
  <c r="Z72" i="65"/>
  <c r="BO72" i="65"/>
  <c r="BP106" i="65"/>
  <c r="BO106" i="65"/>
  <c r="Z94" i="65"/>
  <c r="Y94" i="65"/>
  <c r="BP86" i="65"/>
  <c r="BO86" i="65"/>
  <c r="Z106" i="65"/>
  <c r="Y106" i="65"/>
  <c r="BV116" i="65"/>
  <c r="BV117" i="65"/>
  <c r="BW117" i="65"/>
  <c r="BU119" i="65"/>
  <c r="D119" i="44" s="1"/>
  <c r="BU120" i="65"/>
  <c r="D120" i="44" s="1"/>
  <c r="BV120" i="65"/>
  <c r="BV118" i="65"/>
  <c r="BU118" i="65"/>
  <c r="D118" i="44" s="1"/>
  <c r="Y73" i="65"/>
  <c r="BO73" i="65"/>
  <c r="Z87" i="65"/>
  <c r="Y87" i="65"/>
  <c r="Y105" i="65"/>
  <c r="BP105" i="65"/>
  <c r="BO93" i="65"/>
  <c r="BP93" i="65"/>
  <c r="BO98" i="65"/>
  <c r="BP98" i="65"/>
  <c r="Y107" i="65"/>
  <c r="BO107" i="65"/>
  <c r="BP114" i="65"/>
  <c r="BO114" i="65"/>
  <c r="BO96" i="65"/>
  <c r="BP96" i="65"/>
  <c r="BP92" i="65"/>
  <c r="BO92" i="65"/>
  <c r="BP80" i="65"/>
  <c r="BO80" i="65"/>
  <c r="Y98" i="65"/>
  <c r="Z98" i="65"/>
  <c r="Z82" i="65"/>
  <c r="Y82" i="65"/>
  <c r="Z74" i="65"/>
  <c r="Y74" i="65"/>
  <c r="CA107" i="65"/>
  <c r="CA103" i="65"/>
  <c r="CB103" i="65"/>
  <c r="BX103" i="65"/>
  <c r="CA99" i="65"/>
  <c r="CB99" i="65"/>
  <c r="BX99" i="65"/>
  <c r="BZ91" i="65"/>
  <c r="CA91" i="65"/>
  <c r="CB87" i="65"/>
  <c r="BX87" i="65"/>
  <c r="BY87" i="65"/>
  <c r="CA83" i="65"/>
  <c r="CB83" i="65"/>
  <c r="BX83" i="65"/>
  <c r="CA81" i="65"/>
  <c r="BY79" i="65"/>
  <c r="BZ79" i="65"/>
  <c r="CB75" i="65"/>
  <c r="BX75" i="65"/>
  <c r="BY75" i="65"/>
  <c r="BY114" i="65"/>
  <c r="BZ114" i="65"/>
  <c r="CA110" i="65"/>
  <c r="CB110" i="65"/>
  <c r="BX110" i="65"/>
  <c r="BZ104" i="65"/>
  <c r="CA104" i="65"/>
  <c r="CB100" i="65"/>
  <c r="BX100" i="65"/>
  <c r="BY100" i="65"/>
  <c r="CB96" i="65"/>
  <c r="BX96" i="65"/>
  <c r="BY96" i="65"/>
  <c r="CA92" i="65"/>
  <c r="CB92" i="65"/>
  <c r="BX92" i="65"/>
  <c r="CA88" i="65"/>
  <c r="CB88" i="65"/>
  <c r="BX88" i="65"/>
  <c r="CB84" i="65"/>
  <c r="BX84" i="65"/>
  <c r="BY84" i="65"/>
  <c r="BZ80" i="65"/>
  <c r="CA80" i="65"/>
  <c r="CA76" i="65"/>
  <c r="CB76" i="65"/>
  <c r="BX76" i="65"/>
  <c r="BZ95" i="65"/>
  <c r="BY86" i="65"/>
  <c r="BZ86" i="65"/>
  <c r="CA74" i="65"/>
  <c r="BY74" i="65"/>
  <c r="BX74" i="65"/>
  <c r="BX111" i="65"/>
  <c r="Z115" i="65"/>
  <c r="BY107" i="65"/>
  <c r="Z105" i="65"/>
  <c r="BO105" i="65"/>
  <c r="BY103" i="65"/>
  <c r="BZ103" i="65"/>
  <c r="BY99" i="65"/>
  <c r="BZ99" i="65"/>
  <c r="Y93" i="65"/>
  <c r="Z93" i="65"/>
  <c r="CB91" i="65"/>
  <c r="BX91" i="65"/>
  <c r="BY91" i="65"/>
  <c r="BZ87" i="65"/>
  <c r="CA87" i="65"/>
  <c r="BY83" i="65"/>
  <c r="BZ83" i="65"/>
  <c r="CA79" i="65"/>
  <c r="CB79" i="65"/>
  <c r="BX79" i="65"/>
  <c r="BZ75" i="65"/>
  <c r="CA75" i="65"/>
  <c r="CA114" i="65"/>
  <c r="CB114" i="65"/>
  <c r="BX114" i="65"/>
  <c r="BY110" i="65"/>
  <c r="BZ110" i="65"/>
  <c r="CB104" i="65"/>
  <c r="BX104" i="65"/>
  <c r="BY104" i="65"/>
  <c r="BZ100" i="65"/>
  <c r="CA100" i="65"/>
  <c r="BZ96" i="65"/>
  <c r="CA96" i="65"/>
  <c r="Z90" i="65"/>
  <c r="Y90" i="65"/>
  <c r="BP82" i="65"/>
  <c r="BO82" i="65"/>
  <c r="BP115" i="65"/>
  <c r="BO115" i="65"/>
  <c r="Z107" i="65"/>
  <c r="BP107" i="65"/>
  <c r="Z114" i="65"/>
  <c r="Y114" i="65"/>
  <c r="Y96" i="65"/>
  <c r="Z96" i="65"/>
  <c r="Z80" i="65"/>
  <c r="Y80" i="65"/>
  <c r="BP90" i="65"/>
  <c r="BO90" i="65"/>
  <c r="BP74" i="65"/>
  <c r="BO74" i="65"/>
  <c r="BY92" i="65"/>
  <c r="BZ92" i="65"/>
  <c r="BY88" i="65"/>
  <c r="BZ88" i="65"/>
  <c r="BZ84" i="65"/>
  <c r="CA84" i="65"/>
  <c r="CB80" i="65"/>
  <c r="BX80" i="65"/>
  <c r="BY80" i="65"/>
  <c r="BY76" i="65"/>
  <c r="BZ76" i="65"/>
  <c r="CA106" i="65"/>
  <c r="Z92" i="65"/>
  <c r="Y92" i="65"/>
  <c r="CB74" i="65"/>
  <c r="BZ74" i="65"/>
  <c r="CA111" i="65"/>
  <c r="BY81" i="65"/>
  <c r="CB81" i="65"/>
  <c r="BX81" i="65"/>
  <c r="BZ105" i="65"/>
  <c r="CB105" i="65"/>
  <c r="BY105" i="65"/>
  <c r="CA101" i="65"/>
  <c r="CB101" i="65"/>
  <c r="BX101" i="65"/>
  <c r="BY97" i="65"/>
  <c r="BZ97" i="65"/>
  <c r="BY95" i="65"/>
  <c r="CB95" i="65"/>
  <c r="BX95" i="65"/>
  <c r="CB93" i="65"/>
  <c r="BX93" i="65"/>
  <c r="BY93" i="65"/>
  <c r="BZ89" i="65"/>
  <c r="CA89" i="65"/>
  <c r="CB85" i="65"/>
  <c r="BZ85" i="65"/>
  <c r="BY85" i="65"/>
  <c r="CA77" i="65"/>
  <c r="CB77" i="65"/>
  <c r="BX77" i="65"/>
  <c r="BY73" i="65"/>
  <c r="BZ73" i="65"/>
  <c r="BY112" i="65"/>
  <c r="BZ112" i="65"/>
  <c r="CB102" i="65"/>
  <c r="BX102" i="65"/>
  <c r="BY102" i="65"/>
  <c r="BZ98" i="65"/>
  <c r="CA98" i="65"/>
  <c r="CA94" i="65"/>
  <c r="CB94" i="65"/>
  <c r="BX94" i="65"/>
  <c r="BY90" i="65"/>
  <c r="BZ90" i="65"/>
  <c r="CA86" i="65"/>
  <c r="CB86" i="65"/>
  <c r="BX86" i="65"/>
  <c r="BZ82" i="65"/>
  <c r="CA82" i="65"/>
  <c r="CB78" i="65"/>
  <c r="BX78" i="65"/>
  <c r="BY78" i="65"/>
  <c r="BZ115" i="65"/>
  <c r="CA115" i="65"/>
  <c r="BZ111" i="65"/>
  <c r="CB72" i="65"/>
  <c r="BX72" i="65"/>
  <c r="BY72" i="65"/>
  <c r="BZ113" i="65"/>
  <c r="CA113" i="65"/>
  <c r="BZ109" i="65"/>
  <c r="CA109" i="65"/>
  <c r="CB108" i="65"/>
  <c r="BZ108" i="65"/>
  <c r="BZ81" i="65"/>
  <c r="BX105" i="65"/>
  <c r="CA105" i="65"/>
  <c r="BY101" i="65"/>
  <c r="BZ101" i="65"/>
  <c r="CA97" i="65"/>
  <c r="CB97" i="65"/>
  <c r="BX97" i="65"/>
  <c r="CA95" i="65"/>
  <c r="BZ93" i="65"/>
  <c r="CA93" i="65"/>
  <c r="CB89" i="65"/>
  <c r="BX89" i="65"/>
  <c r="BY89" i="65"/>
  <c r="BX85" i="65"/>
  <c r="CA85" i="65"/>
  <c r="BY77" i="65"/>
  <c r="BZ77" i="65"/>
  <c r="CA73" i="65"/>
  <c r="CB73" i="65"/>
  <c r="BX73" i="65"/>
  <c r="CA112" i="65"/>
  <c r="CB112" i="65"/>
  <c r="BX112" i="65"/>
  <c r="BZ102" i="65"/>
  <c r="CA102" i="65"/>
  <c r="CB98" i="65"/>
  <c r="BX98" i="65"/>
  <c r="BY98" i="65"/>
  <c r="BY94" i="65"/>
  <c r="BZ94" i="65"/>
  <c r="CA90" i="65"/>
  <c r="CB90" i="65"/>
  <c r="BX90" i="65"/>
  <c r="CB82" i="65"/>
  <c r="BX82" i="65"/>
  <c r="BY82" i="65"/>
  <c r="BZ78" i="65"/>
  <c r="CA78" i="65"/>
  <c r="CB115" i="65"/>
  <c r="BX115" i="65"/>
  <c r="BY115" i="65"/>
  <c r="CB111" i="65"/>
  <c r="BY111" i="65"/>
  <c r="BZ72" i="65"/>
  <c r="CA72" i="65"/>
  <c r="CB113" i="65"/>
  <c r="BX113" i="65"/>
  <c r="BY113" i="65"/>
  <c r="CB109" i="65"/>
  <c r="BX109" i="65"/>
  <c r="BY109" i="65"/>
  <c r="CA108" i="65"/>
  <c r="BY108" i="65"/>
  <c r="BX108" i="65"/>
  <c r="Z85" i="65"/>
  <c r="BO85" i="65"/>
  <c r="BP108" i="65"/>
  <c r="BO108" i="65"/>
  <c r="Z102" i="65"/>
  <c r="Y102" i="65"/>
  <c r="BP102" i="65"/>
  <c r="BO102" i="65"/>
  <c r="BP94" i="65"/>
  <c r="BO94" i="65"/>
  <c r="Z78" i="65"/>
  <c r="Y78" i="65"/>
  <c r="Z108" i="65"/>
  <c r="Z103" i="65"/>
  <c r="Y103" i="65"/>
  <c r="BP103" i="65"/>
  <c r="BO103" i="65"/>
  <c r="Z99" i="65"/>
  <c r="Y99" i="65"/>
  <c r="BO100" i="65"/>
  <c r="BP100" i="65"/>
  <c r="BP88" i="65"/>
  <c r="BO88" i="65"/>
  <c r="BP84" i="65"/>
  <c r="BO84" i="65"/>
  <c r="Y72" i="65"/>
  <c r="BP72" i="65"/>
  <c r="BP113" i="65"/>
  <c r="BO113" i="65"/>
  <c r="BP109" i="65"/>
  <c r="BO109" i="65"/>
  <c r="BP78" i="65"/>
  <c r="BO78" i="65"/>
  <c r="BP111" i="65"/>
  <c r="BO111" i="65" s="1"/>
  <c r="BD105" i="65"/>
  <c r="BH105" i="65" s="1"/>
  <c r="BG105" i="65"/>
  <c r="BE105" i="65"/>
  <c r="BI105" i="65" s="1"/>
  <c r="AJ103" i="65"/>
  <c r="AN103" i="65" s="1"/>
  <c r="AI103" i="65"/>
  <c r="AM103" i="65" s="1"/>
  <c r="AL103" i="65"/>
  <c r="BE101" i="65"/>
  <c r="BI101" i="65" s="1"/>
  <c r="BD101" i="65"/>
  <c r="BH101" i="65" s="1"/>
  <c r="BG101" i="65"/>
  <c r="AT91" i="65"/>
  <c r="CC91" i="65" s="1"/>
  <c r="BD85" i="65"/>
  <c r="BH85" i="65" s="1"/>
  <c r="BG85" i="65"/>
  <c r="BE85" i="65"/>
  <c r="BI85" i="65" s="1"/>
  <c r="AU81" i="65"/>
  <c r="CD81" i="65" s="1"/>
  <c r="AT81" i="65"/>
  <c r="CC81" i="65" s="1"/>
  <c r="AT79" i="65"/>
  <c r="CC79" i="65" s="1"/>
  <c r="O77" i="65"/>
  <c r="S77" i="65" s="1"/>
  <c r="N77" i="65"/>
  <c r="R77" i="65" s="1"/>
  <c r="Q77" i="65"/>
  <c r="AT107" i="65"/>
  <c r="AI107" i="65"/>
  <c r="AM107" i="65" s="1"/>
  <c r="AL107" i="65"/>
  <c r="AJ107" i="65"/>
  <c r="AN107" i="65" s="1"/>
  <c r="O105" i="65"/>
  <c r="S105" i="65" s="1"/>
  <c r="N105" i="65"/>
  <c r="R105" i="65" s="1"/>
  <c r="Q105" i="65"/>
  <c r="AU103" i="65"/>
  <c r="AT103" i="65"/>
  <c r="AU99" i="65"/>
  <c r="AT99" i="65"/>
  <c r="O97" i="65"/>
  <c r="S97" i="65" s="1"/>
  <c r="N97" i="65"/>
  <c r="R97" i="65" s="1"/>
  <c r="Q97" i="65"/>
  <c r="BE97" i="65"/>
  <c r="BI97" i="65" s="1"/>
  <c r="BD97" i="65"/>
  <c r="BH97" i="65" s="1"/>
  <c r="BG97" i="65"/>
  <c r="N93" i="65"/>
  <c r="R93" i="65" s="1"/>
  <c r="Q93" i="65"/>
  <c r="O93" i="65"/>
  <c r="S93" i="65" s="1"/>
  <c r="AI91" i="65"/>
  <c r="AM91" i="65" s="1"/>
  <c r="AL91" i="65"/>
  <c r="AJ91" i="65"/>
  <c r="AN91" i="65" s="1"/>
  <c r="AU91" i="65"/>
  <c r="CD91" i="65" s="1"/>
  <c r="N89" i="65"/>
  <c r="R89" i="65" s="1"/>
  <c r="Q89" i="65"/>
  <c r="O89" i="65"/>
  <c r="S89" i="65" s="1"/>
  <c r="BD89" i="65"/>
  <c r="BH89" i="65" s="1"/>
  <c r="BG89" i="65"/>
  <c r="BE89" i="65"/>
  <c r="BI89" i="65" s="1"/>
  <c r="AU87" i="65"/>
  <c r="AT87" i="65"/>
  <c r="AU83" i="65"/>
  <c r="AT83" i="65"/>
  <c r="CC83" i="65" s="1"/>
  <c r="O81" i="65"/>
  <c r="S81" i="65" s="1"/>
  <c r="Q81" i="65"/>
  <c r="N81" i="65"/>
  <c r="R81" i="65" s="1"/>
  <c r="AJ81" i="65"/>
  <c r="AN81" i="65" s="1"/>
  <c r="AI81" i="65"/>
  <c r="AM81" i="65" s="1"/>
  <c r="AL81" i="65"/>
  <c r="AJ79" i="65"/>
  <c r="AN79" i="65" s="1"/>
  <c r="AI79" i="65"/>
  <c r="AM79" i="65" s="1"/>
  <c r="AL79" i="65"/>
  <c r="Z77" i="65"/>
  <c r="Y77" i="65"/>
  <c r="BP77" i="65"/>
  <c r="BO77" i="65"/>
  <c r="AU75" i="65"/>
  <c r="CD75" i="65" s="1"/>
  <c r="AT75" i="65"/>
  <c r="O73" i="65"/>
  <c r="S73" i="65" s="1"/>
  <c r="N73" i="65"/>
  <c r="R73" i="65" s="1"/>
  <c r="Q73" i="65"/>
  <c r="BE73" i="65"/>
  <c r="BI73" i="65" s="1"/>
  <c r="BD73" i="65"/>
  <c r="BH73" i="65" s="1"/>
  <c r="BG73" i="65"/>
  <c r="AJ114" i="65"/>
  <c r="AN114" i="65" s="1"/>
  <c r="AI114" i="65"/>
  <c r="AM114" i="65" s="1"/>
  <c r="AL114" i="65"/>
  <c r="AU110" i="65"/>
  <c r="CD110" i="65" s="1"/>
  <c r="AT110" i="65"/>
  <c r="CC110" i="65" s="1"/>
  <c r="BE108" i="65"/>
  <c r="BI108" i="65" s="1"/>
  <c r="BD108" i="65"/>
  <c r="BH108" i="65" s="1"/>
  <c r="BG108" i="65"/>
  <c r="AI104" i="65"/>
  <c r="AM104" i="65" s="1"/>
  <c r="AL104" i="65"/>
  <c r="AJ104" i="65"/>
  <c r="AN104" i="65" s="1"/>
  <c r="N102" i="65"/>
  <c r="R102" i="65" s="1"/>
  <c r="Q102" i="65"/>
  <c r="O102" i="65"/>
  <c r="S102" i="65" s="1"/>
  <c r="BD102" i="65"/>
  <c r="BH102" i="65" s="1"/>
  <c r="BG102" i="65"/>
  <c r="BE102" i="65"/>
  <c r="BI102" i="65" s="1"/>
  <c r="AT100" i="65"/>
  <c r="AT96" i="65"/>
  <c r="BE94" i="65"/>
  <c r="BI94" i="65" s="1"/>
  <c r="BD94" i="65"/>
  <c r="BH94" i="65" s="1"/>
  <c r="BG94" i="65"/>
  <c r="AU92" i="65"/>
  <c r="AT92" i="65"/>
  <c r="O90" i="65"/>
  <c r="S90" i="65" s="1"/>
  <c r="N90" i="65"/>
  <c r="R90" i="65" s="1"/>
  <c r="Q90" i="65"/>
  <c r="AU88" i="65"/>
  <c r="AT88" i="65"/>
  <c r="AU84" i="65"/>
  <c r="AT84" i="65"/>
  <c r="BD82" i="65"/>
  <c r="BH82" i="65" s="1"/>
  <c r="BG82" i="65"/>
  <c r="BE82" i="65"/>
  <c r="BI82" i="65" s="1"/>
  <c r="AI80" i="65"/>
  <c r="AM80" i="65" s="1"/>
  <c r="AL80" i="65"/>
  <c r="AJ80" i="65"/>
  <c r="AN80" i="65" s="1"/>
  <c r="N78" i="65"/>
  <c r="R78" i="65" s="1"/>
  <c r="Q78" i="65"/>
  <c r="O78" i="65"/>
  <c r="S78" i="65" s="1"/>
  <c r="AU76" i="65"/>
  <c r="AT76" i="65"/>
  <c r="BD115" i="65"/>
  <c r="BH115" i="65" s="1"/>
  <c r="BG115" i="65"/>
  <c r="BE115" i="65"/>
  <c r="BI115" i="65" s="1"/>
  <c r="N107" i="65"/>
  <c r="R107" i="65" s="1"/>
  <c r="Q107" i="65"/>
  <c r="O107" i="65"/>
  <c r="S107" i="65" s="1"/>
  <c r="BD107" i="65"/>
  <c r="BH107" i="65" s="1"/>
  <c r="BG107" i="65"/>
  <c r="BE107" i="65"/>
  <c r="BI107" i="65" s="1"/>
  <c r="AI105" i="65"/>
  <c r="AM105" i="65" s="1"/>
  <c r="AL105" i="65"/>
  <c r="AJ105" i="65"/>
  <c r="AN105" i="65" s="1"/>
  <c r="AT105" i="65"/>
  <c r="CC105" i="65" s="1"/>
  <c r="O103" i="65"/>
  <c r="S103" i="65" s="1"/>
  <c r="N103" i="65"/>
  <c r="R103" i="65" s="1"/>
  <c r="Q103" i="65"/>
  <c r="BE103" i="65"/>
  <c r="BI103" i="65" s="1"/>
  <c r="BD103" i="65"/>
  <c r="BH103" i="65" s="1"/>
  <c r="BG103" i="65"/>
  <c r="AJ101" i="65"/>
  <c r="AN101" i="65" s="1"/>
  <c r="AI101" i="65"/>
  <c r="AM101" i="65" s="1"/>
  <c r="AL101" i="65"/>
  <c r="O99" i="65"/>
  <c r="S99" i="65" s="1"/>
  <c r="N99" i="65"/>
  <c r="R99" i="65" s="1"/>
  <c r="Q99" i="65"/>
  <c r="AU97" i="65"/>
  <c r="CD97" i="65" s="1"/>
  <c r="AT97" i="65"/>
  <c r="CC97" i="65" s="1"/>
  <c r="AU95" i="65"/>
  <c r="CD95" i="65" s="1"/>
  <c r="AJ95" i="65"/>
  <c r="AN95" i="65" s="1"/>
  <c r="AI95" i="65"/>
  <c r="AM95" i="65" s="1"/>
  <c r="AL95" i="65"/>
  <c r="BE95" i="65"/>
  <c r="BI95" i="65" s="1"/>
  <c r="BD95" i="65"/>
  <c r="BH95" i="65" s="1"/>
  <c r="BG95" i="65"/>
  <c r="AI93" i="65"/>
  <c r="AM93" i="65" s="1"/>
  <c r="AL93" i="65"/>
  <c r="AJ93" i="65"/>
  <c r="AN93" i="65" s="1"/>
  <c r="AU93" i="65"/>
  <c r="BD91" i="65"/>
  <c r="BH91" i="65" s="1"/>
  <c r="BG91" i="65"/>
  <c r="BE91" i="65"/>
  <c r="BI91" i="65" s="1"/>
  <c r="AT89" i="65"/>
  <c r="CC89" i="65" s="1"/>
  <c r="N87" i="65"/>
  <c r="R87" i="65" s="1"/>
  <c r="Q87" i="65"/>
  <c r="O87" i="65"/>
  <c r="S87" i="65" s="1"/>
  <c r="AT85" i="65"/>
  <c r="AI85" i="65"/>
  <c r="AM85" i="65" s="1"/>
  <c r="AL85" i="65"/>
  <c r="AJ85" i="65"/>
  <c r="AN85" i="65" s="1"/>
  <c r="BE83" i="65"/>
  <c r="BI83" i="65" s="1"/>
  <c r="BD83" i="65"/>
  <c r="BH83" i="65" s="1"/>
  <c r="BG83" i="65"/>
  <c r="BE79" i="65"/>
  <c r="BI79" i="65" s="1"/>
  <c r="BD79" i="65"/>
  <c r="BH79" i="65" s="1"/>
  <c r="BG79" i="65"/>
  <c r="AJ77" i="65"/>
  <c r="AN77" i="65" s="1"/>
  <c r="AI77" i="65"/>
  <c r="AM77" i="65" s="1"/>
  <c r="AL77" i="65"/>
  <c r="BD75" i="65"/>
  <c r="BH75" i="65" s="1"/>
  <c r="BG75" i="65"/>
  <c r="BE75" i="65"/>
  <c r="BI75" i="65" s="1"/>
  <c r="AT73" i="65"/>
  <c r="O114" i="65"/>
  <c r="S114" i="65" s="1"/>
  <c r="N114" i="65"/>
  <c r="R114" i="65" s="1"/>
  <c r="Q114" i="65"/>
  <c r="AU112" i="65"/>
  <c r="CD112" i="65" s="1"/>
  <c r="AT112" i="65"/>
  <c r="CC112" i="65" s="1"/>
  <c r="BE110" i="65"/>
  <c r="BI110" i="65" s="1"/>
  <c r="BD110" i="65"/>
  <c r="BH110" i="65" s="1"/>
  <c r="BG110" i="65"/>
  <c r="AU106" i="65"/>
  <c r="CD106" i="65" s="1"/>
  <c r="AT106" i="65"/>
  <c r="CC106" i="65" s="1"/>
  <c r="N104" i="65"/>
  <c r="R104" i="65" s="1"/>
  <c r="Q104" i="65"/>
  <c r="O104" i="65"/>
  <c r="S104" i="65" s="1"/>
  <c r="AI102" i="65"/>
  <c r="AM102" i="65" s="1"/>
  <c r="AL102" i="65"/>
  <c r="AJ102" i="65"/>
  <c r="AN102" i="65" s="1"/>
  <c r="BD100" i="65"/>
  <c r="BH100" i="65" s="1"/>
  <c r="BG100" i="65"/>
  <c r="BE100" i="65"/>
  <c r="BI100" i="65" s="1"/>
  <c r="AT98" i="65"/>
  <c r="N96" i="65"/>
  <c r="R96" i="65" s="1"/>
  <c r="Q96" i="65"/>
  <c r="O96" i="65"/>
  <c r="S96" i="65" s="1"/>
  <c r="AJ94" i="65"/>
  <c r="AN94" i="65" s="1"/>
  <c r="AI94" i="65"/>
  <c r="AM94" i="65" s="1"/>
  <c r="AL94" i="65"/>
  <c r="O92" i="65"/>
  <c r="S92" i="65" s="1"/>
  <c r="N92" i="65"/>
  <c r="R92" i="65" s="1"/>
  <c r="Q92" i="65"/>
  <c r="AU90" i="65"/>
  <c r="CD90" i="65" s="1"/>
  <c r="AT90" i="65"/>
  <c r="CC90" i="65" s="1"/>
  <c r="BE88" i="65"/>
  <c r="BI88" i="65" s="1"/>
  <c r="BD88" i="65"/>
  <c r="BH88" i="65" s="1"/>
  <c r="BG88" i="65"/>
  <c r="AJ86" i="65"/>
  <c r="AN86" i="65" s="1"/>
  <c r="AI86" i="65"/>
  <c r="AM86" i="65" s="1"/>
  <c r="AL86" i="65"/>
  <c r="BD84" i="65"/>
  <c r="BH84" i="65" s="1"/>
  <c r="BG84" i="65"/>
  <c r="BE84" i="65"/>
  <c r="BI84" i="65" s="1"/>
  <c r="AU82" i="65"/>
  <c r="AT82" i="65"/>
  <c r="N80" i="65"/>
  <c r="R80" i="65" s="1"/>
  <c r="Q80" i="65"/>
  <c r="O80" i="65"/>
  <c r="S80" i="65" s="1"/>
  <c r="AI78" i="65"/>
  <c r="AM78" i="65" s="1"/>
  <c r="AL78" i="65"/>
  <c r="AJ78" i="65"/>
  <c r="AN78" i="65" s="1"/>
  <c r="O76" i="65"/>
  <c r="S76" i="65" s="1"/>
  <c r="N76" i="65"/>
  <c r="R76" i="65" s="1"/>
  <c r="Q76" i="65"/>
  <c r="BP76" i="65"/>
  <c r="BO76" i="65"/>
  <c r="AT74" i="65"/>
  <c r="N72" i="65"/>
  <c r="R72" i="65" s="1"/>
  <c r="Q72" i="65"/>
  <c r="O72" i="65"/>
  <c r="S72" i="65" s="1"/>
  <c r="AU115" i="65"/>
  <c r="CD115" i="65" s="1"/>
  <c r="AT115" i="65"/>
  <c r="CC115" i="65" s="1"/>
  <c r="BD113" i="65"/>
  <c r="BH113" i="65" s="1"/>
  <c r="BG113" i="65"/>
  <c r="BE113" i="65"/>
  <c r="BI113" i="65" s="1"/>
  <c r="AU111" i="65"/>
  <c r="BD109" i="65"/>
  <c r="BH109" i="65" s="1"/>
  <c r="BG109" i="65"/>
  <c r="BE109" i="65"/>
  <c r="BI109" i="65" s="1"/>
  <c r="BE90" i="65"/>
  <c r="BI90" i="65" s="1"/>
  <c r="BD90" i="65"/>
  <c r="BH90" i="65" s="1"/>
  <c r="BG90" i="65"/>
  <c r="BD78" i="65"/>
  <c r="BH78" i="65" s="1"/>
  <c r="BG78" i="65"/>
  <c r="BE78" i="65"/>
  <c r="BI78" i="65" s="1"/>
  <c r="BE74" i="65"/>
  <c r="BI74" i="65" s="1"/>
  <c r="BD74" i="65"/>
  <c r="BH74" i="65" s="1"/>
  <c r="BG74" i="65"/>
  <c r="AU72" i="65"/>
  <c r="AI72" i="65"/>
  <c r="AM72" i="65" s="1"/>
  <c r="AL72" i="65"/>
  <c r="AJ72" i="65"/>
  <c r="AN72" i="65" s="1"/>
  <c r="AU113" i="65"/>
  <c r="AT113" i="65"/>
  <c r="CC113" i="65" s="1"/>
  <c r="BD111" i="65"/>
  <c r="BH111" i="65" s="1"/>
  <c r="BG111" i="65"/>
  <c r="BE111" i="65"/>
  <c r="BI111" i="65" s="1"/>
  <c r="AU109" i="65"/>
  <c r="AT109" i="65"/>
  <c r="AT108" i="65"/>
  <c r="AU107" i="65"/>
  <c r="O101" i="65"/>
  <c r="S101" i="65" s="1"/>
  <c r="N101" i="65"/>
  <c r="R101" i="65" s="1"/>
  <c r="Q101" i="65"/>
  <c r="AJ99" i="65"/>
  <c r="AN99" i="65" s="1"/>
  <c r="AI99" i="65"/>
  <c r="AM99" i="65" s="1"/>
  <c r="AL99" i="65"/>
  <c r="BD93" i="65"/>
  <c r="BH93" i="65" s="1"/>
  <c r="BG93" i="65"/>
  <c r="BE93" i="65"/>
  <c r="BI93" i="65" s="1"/>
  <c r="AI87" i="65"/>
  <c r="AM87" i="65" s="1"/>
  <c r="AL87" i="65"/>
  <c r="AJ87" i="65"/>
  <c r="AN87" i="65" s="1"/>
  <c r="O85" i="65"/>
  <c r="S85" i="65" s="1"/>
  <c r="N85" i="65"/>
  <c r="R85" i="65" s="1"/>
  <c r="Q85" i="65"/>
  <c r="AJ83" i="65"/>
  <c r="AN83" i="65" s="1"/>
  <c r="AI83" i="65"/>
  <c r="AM83" i="65" s="1"/>
  <c r="AL83" i="65"/>
  <c r="AU79" i="65"/>
  <c r="CD79" i="65" s="1"/>
  <c r="BE77" i="65"/>
  <c r="BI77" i="65" s="1"/>
  <c r="BD77" i="65"/>
  <c r="BH77" i="65" s="1"/>
  <c r="BG77" i="65"/>
  <c r="AI75" i="65"/>
  <c r="AM75" i="65" s="1"/>
  <c r="AL75" i="65"/>
  <c r="AJ75" i="65"/>
  <c r="AN75" i="65" s="1"/>
  <c r="AU114" i="65"/>
  <c r="AT114" i="65"/>
  <c r="BE112" i="65"/>
  <c r="BI112" i="65" s="1"/>
  <c r="BD112" i="65"/>
  <c r="BH112" i="65" s="1"/>
  <c r="BG112" i="65"/>
  <c r="O112" i="65"/>
  <c r="S112" i="65" s="1"/>
  <c r="N112" i="65"/>
  <c r="R112" i="65" s="1"/>
  <c r="Q112" i="65"/>
  <c r="AJ110" i="65"/>
  <c r="AN110" i="65" s="1"/>
  <c r="AI110" i="65"/>
  <c r="AM110" i="65" s="1"/>
  <c r="AL110" i="65"/>
  <c r="AU104" i="65"/>
  <c r="CD104" i="65" s="1"/>
  <c r="AT104" i="65"/>
  <c r="CC104" i="65" s="1"/>
  <c r="AI100" i="65"/>
  <c r="AM100" i="65" s="1"/>
  <c r="AL100" i="65"/>
  <c r="AJ100" i="65"/>
  <c r="AN100" i="65" s="1"/>
  <c r="AU100" i="65"/>
  <c r="BD98" i="65"/>
  <c r="BH98" i="65" s="1"/>
  <c r="BG98" i="65"/>
  <c r="BE98" i="65"/>
  <c r="BI98" i="65" s="1"/>
  <c r="AI96" i="65"/>
  <c r="AM96" i="65" s="1"/>
  <c r="AL96" i="65"/>
  <c r="AJ96" i="65"/>
  <c r="AN96" i="65" s="1"/>
  <c r="AU96" i="65"/>
  <c r="AJ92" i="65"/>
  <c r="AN92" i="65" s="1"/>
  <c r="AI92" i="65"/>
  <c r="AM92" i="65" s="1"/>
  <c r="AL92" i="65"/>
  <c r="AJ88" i="65"/>
  <c r="AN88" i="65" s="1"/>
  <c r="AI88" i="65"/>
  <c r="AM88" i="65" s="1"/>
  <c r="AL88" i="65"/>
  <c r="AI84" i="65"/>
  <c r="AM84" i="65" s="1"/>
  <c r="AL84" i="65"/>
  <c r="AJ84" i="65"/>
  <c r="AN84" i="65" s="1"/>
  <c r="AU80" i="65"/>
  <c r="AT80" i="65"/>
  <c r="AJ76" i="65"/>
  <c r="AN76" i="65" s="1"/>
  <c r="AI76" i="65"/>
  <c r="AM76" i="65" s="1"/>
  <c r="AL76" i="65"/>
  <c r="AU105" i="65"/>
  <c r="AU101" i="65"/>
  <c r="CD101" i="65" s="1"/>
  <c r="AT101" i="65"/>
  <c r="CC101" i="65" s="1"/>
  <c r="BE99" i="65"/>
  <c r="BI99" i="65" s="1"/>
  <c r="BD99" i="65"/>
  <c r="BH99" i="65" s="1"/>
  <c r="BG99" i="65"/>
  <c r="AJ97" i="65"/>
  <c r="AN97" i="65" s="1"/>
  <c r="AI97" i="65"/>
  <c r="AM97" i="65" s="1"/>
  <c r="AL97" i="65"/>
  <c r="O95" i="65"/>
  <c r="S95" i="65" s="1"/>
  <c r="Q95" i="65"/>
  <c r="N95" i="65"/>
  <c r="R95" i="65" s="1"/>
  <c r="AT95" i="65"/>
  <c r="CC95" i="65" s="1"/>
  <c r="AT93" i="65"/>
  <c r="N91" i="65"/>
  <c r="R91" i="65" s="1"/>
  <c r="Q91" i="65"/>
  <c r="O91" i="65"/>
  <c r="S91" i="65" s="1"/>
  <c r="AI89" i="65"/>
  <c r="AM89" i="65" s="1"/>
  <c r="AL89" i="65"/>
  <c r="AJ89" i="65"/>
  <c r="AN89" i="65" s="1"/>
  <c r="AU89" i="65"/>
  <c r="CD89" i="65" s="1"/>
  <c r="BD87" i="65"/>
  <c r="BH87" i="65" s="1"/>
  <c r="BG87" i="65"/>
  <c r="BE87" i="65"/>
  <c r="BI87" i="65" s="1"/>
  <c r="AU85" i="65"/>
  <c r="O83" i="65"/>
  <c r="S83" i="65" s="1"/>
  <c r="N83" i="65"/>
  <c r="R83" i="65" s="1"/>
  <c r="Q83" i="65"/>
  <c r="BE81" i="65"/>
  <c r="BI81" i="65" s="1"/>
  <c r="BD81" i="65"/>
  <c r="BH81" i="65" s="1"/>
  <c r="BG81" i="65"/>
  <c r="O79" i="65"/>
  <c r="S79" i="65" s="1"/>
  <c r="N79" i="65"/>
  <c r="R79" i="65" s="1"/>
  <c r="Q79" i="65"/>
  <c r="AU77" i="65"/>
  <c r="AT77" i="65"/>
  <c r="N75" i="65"/>
  <c r="R75" i="65" s="1"/>
  <c r="Q75" i="65"/>
  <c r="O75" i="65"/>
  <c r="S75" i="65" s="1"/>
  <c r="AU73" i="65"/>
  <c r="AJ73" i="65"/>
  <c r="AN73" i="65" s="1"/>
  <c r="AI73" i="65"/>
  <c r="AM73" i="65" s="1"/>
  <c r="AL73" i="65"/>
  <c r="BE114" i="65"/>
  <c r="BI114" i="65" s="1"/>
  <c r="BD114" i="65"/>
  <c r="BH114" i="65" s="1"/>
  <c r="BG114" i="65"/>
  <c r="AJ112" i="65"/>
  <c r="AN112" i="65" s="1"/>
  <c r="AI112" i="65"/>
  <c r="AM112" i="65" s="1"/>
  <c r="AL112" i="65"/>
  <c r="O110" i="65"/>
  <c r="S110" i="65" s="1"/>
  <c r="N110" i="65"/>
  <c r="R110" i="65" s="1"/>
  <c r="Q110" i="65"/>
  <c r="AJ106" i="65"/>
  <c r="AN106" i="65" s="1"/>
  <c r="AI106" i="65"/>
  <c r="AM106" i="65" s="1"/>
  <c r="AL106" i="65"/>
  <c r="BD104" i="65"/>
  <c r="BH104" i="65" s="1"/>
  <c r="BG104" i="65"/>
  <c r="BE104" i="65"/>
  <c r="BI104" i="65" s="1"/>
  <c r="AU102" i="65"/>
  <c r="AT102" i="65"/>
  <c r="N100" i="65"/>
  <c r="R100" i="65" s="1"/>
  <c r="Q100" i="65"/>
  <c r="O100" i="65"/>
  <c r="S100" i="65" s="1"/>
  <c r="AI98" i="65"/>
  <c r="AM98" i="65" s="1"/>
  <c r="AL98" i="65"/>
  <c r="AJ98" i="65"/>
  <c r="AN98" i="65" s="1"/>
  <c r="AU98" i="65"/>
  <c r="BD96" i="65"/>
  <c r="BH96" i="65" s="1"/>
  <c r="BG96" i="65"/>
  <c r="BE96" i="65"/>
  <c r="BI96" i="65" s="1"/>
  <c r="AU94" i="65"/>
  <c r="AT94" i="65"/>
  <c r="BE92" i="65"/>
  <c r="BI92" i="65" s="1"/>
  <c r="BD92" i="65"/>
  <c r="BH92" i="65" s="1"/>
  <c r="BG92" i="65"/>
  <c r="AJ90" i="65"/>
  <c r="AN90" i="65" s="1"/>
  <c r="BW90" i="65" s="1"/>
  <c r="AI90" i="65"/>
  <c r="AM90" i="65" s="1"/>
  <c r="BV90" i="65" s="1"/>
  <c r="AL90" i="65"/>
  <c r="BU90" i="65" s="1"/>
  <c r="O88" i="65"/>
  <c r="S88" i="65" s="1"/>
  <c r="N88" i="65"/>
  <c r="R88" i="65" s="1"/>
  <c r="Q88" i="65"/>
  <c r="O86" i="65"/>
  <c r="S86" i="65" s="1"/>
  <c r="N86" i="65"/>
  <c r="R86" i="65" s="1"/>
  <c r="Q86" i="65"/>
  <c r="AU86" i="65"/>
  <c r="AT86" i="65"/>
  <c r="N84" i="65"/>
  <c r="R84" i="65" s="1"/>
  <c r="Q84" i="65"/>
  <c r="O84" i="65"/>
  <c r="S84" i="65" s="1"/>
  <c r="AI82" i="65"/>
  <c r="AM82" i="65" s="1"/>
  <c r="AL82" i="65"/>
  <c r="AJ82" i="65"/>
  <c r="AN82" i="65" s="1"/>
  <c r="BD80" i="65"/>
  <c r="BH80" i="65" s="1"/>
  <c r="BG80" i="65"/>
  <c r="BE80" i="65"/>
  <c r="BI80" i="65" s="1"/>
  <c r="AU78" i="65"/>
  <c r="AT78" i="65"/>
  <c r="Z76" i="65"/>
  <c r="Y76" i="65"/>
  <c r="BE76" i="65"/>
  <c r="BI76" i="65" s="1"/>
  <c r="BG76" i="65"/>
  <c r="BD76" i="65"/>
  <c r="BH76" i="65" s="1"/>
  <c r="AU74" i="65"/>
  <c r="AJ74" i="65"/>
  <c r="AN74" i="65" s="1"/>
  <c r="AL74" i="65"/>
  <c r="AI74" i="65"/>
  <c r="AM74" i="65" s="1"/>
  <c r="BD72" i="65"/>
  <c r="BH72" i="65" s="1"/>
  <c r="BG72" i="65"/>
  <c r="BE72" i="65"/>
  <c r="BI72" i="65" s="1"/>
  <c r="AI115" i="65"/>
  <c r="AM115" i="65" s="1"/>
  <c r="BV115" i="65" s="1"/>
  <c r="AL115" i="65"/>
  <c r="BU115" i="65" s="1"/>
  <c r="AJ115" i="65"/>
  <c r="AN115" i="65" s="1"/>
  <c r="BW115" i="65" s="1"/>
  <c r="AI111" i="65"/>
  <c r="AM111" i="65" s="1"/>
  <c r="BV111" i="65" s="1"/>
  <c r="AL111" i="65"/>
  <c r="BU111" i="65" s="1"/>
  <c r="AJ111" i="65"/>
  <c r="AN111" i="65" s="1"/>
  <c r="BW111" i="65" s="1"/>
  <c r="BE106" i="65"/>
  <c r="BI106" i="65" s="1"/>
  <c r="BG106" i="65"/>
  <c r="BD106" i="65"/>
  <c r="BH106" i="65" s="1"/>
  <c r="N98" i="65"/>
  <c r="R98" i="65" s="1"/>
  <c r="Q98" i="65"/>
  <c r="O98" i="65"/>
  <c r="S98" i="65" s="1"/>
  <c r="O94" i="65"/>
  <c r="S94" i="65" s="1"/>
  <c r="N94" i="65"/>
  <c r="R94" i="65" s="1"/>
  <c r="Q94" i="65"/>
  <c r="BE86" i="65"/>
  <c r="BI86" i="65" s="1"/>
  <c r="BD86" i="65"/>
  <c r="BH86" i="65" s="1"/>
  <c r="BG86" i="65"/>
  <c r="N82" i="65"/>
  <c r="R82" i="65" s="1"/>
  <c r="Q82" i="65"/>
  <c r="O82" i="65"/>
  <c r="S82" i="65" s="1"/>
  <c r="N74" i="65"/>
  <c r="R74" i="65" s="1"/>
  <c r="Q74" i="65"/>
  <c r="O74" i="65"/>
  <c r="S74" i="65" s="1"/>
  <c r="AT72" i="65"/>
  <c r="AI113" i="65"/>
  <c r="AM113" i="65" s="1"/>
  <c r="BV113" i="65" s="1"/>
  <c r="AL113" i="65"/>
  <c r="BU113" i="65" s="1"/>
  <c r="AJ113" i="65"/>
  <c r="AN113" i="65" s="1"/>
  <c r="BW113" i="65" s="1"/>
  <c r="AI109" i="65"/>
  <c r="AM109" i="65" s="1"/>
  <c r="AL109" i="65"/>
  <c r="AJ109" i="65"/>
  <c r="AN109" i="65" s="1"/>
  <c r="AU108" i="65"/>
  <c r="AJ108" i="65"/>
  <c r="AN108" i="65" s="1"/>
  <c r="AL108" i="65"/>
  <c r="AI108" i="65"/>
  <c r="AM108" i="65" s="1"/>
  <c r="BV108" i="65" s="1"/>
  <c r="O106" i="65"/>
  <c r="S106" i="65" s="1"/>
  <c r="Q106" i="65"/>
  <c r="N106" i="65"/>
  <c r="R106" i="65" s="1"/>
  <c r="E2" i="39"/>
  <c r="CC75" i="65" l="1"/>
  <c r="BU108" i="65"/>
  <c r="CD74" i="65"/>
  <c r="CD86" i="65"/>
  <c r="CD114" i="65"/>
  <c r="CC98" i="65"/>
  <c r="CD83" i="65"/>
  <c r="CD87" i="65"/>
  <c r="CC86" i="65"/>
  <c r="CD73" i="65"/>
  <c r="CC93" i="65"/>
  <c r="CD80" i="65"/>
  <c r="CD96" i="65"/>
  <c r="CC114" i="65"/>
  <c r="CD82" i="65"/>
  <c r="CC84" i="65"/>
  <c r="CC88" i="65"/>
  <c r="CC96" i="65"/>
  <c r="CC87" i="65"/>
  <c r="CC73" i="65"/>
  <c r="CD98" i="65"/>
  <c r="CD105" i="65"/>
  <c r="CC107" i="65"/>
  <c r="CD108" i="65"/>
  <c r="CC78" i="65"/>
  <c r="CD94" i="65"/>
  <c r="CD102" i="65"/>
  <c r="CD85" i="65"/>
  <c r="CC80" i="65"/>
  <c r="CD100" i="65"/>
  <c r="CD107" i="65"/>
  <c r="CC109" i="65"/>
  <c r="CD72" i="65"/>
  <c r="CC74" i="65"/>
  <c r="CC82" i="65"/>
  <c r="CD93" i="65"/>
  <c r="CC92" i="65"/>
  <c r="CC99" i="65"/>
  <c r="CC103" i="65"/>
  <c r="BW108" i="65"/>
  <c r="BW109" i="65"/>
  <c r="BV109" i="65"/>
  <c r="CC72" i="65"/>
  <c r="CD78" i="65"/>
  <c r="CC94" i="65"/>
  <c r="CC102" i="65"/>
  <c r="BV112" i="65"/>
  <c r="BV73" i="65"/>
  <c r="CC77" i="65"/>
  <c r="BW89" i="65"/>
  <c r="BV89" i="65"/>
  <c r="BV97" i="65"/>
  <c r="CC108" i="65"/>
  <c r="CD109" i="65"/>
  <c r="BU102" i="65"/>
  <c r="BU105" i="65"/>
  <c r="CD92" i="65"/>
  <c r="CD99" i="65"/>
  <c r="CD103" i="65"/>
  <c r="BU109" i="65"/>
  <c r="BU74" i="65"/>
  <c r="BU98" i="65"/>
  <c r="BU112" i="65"/>
  <c r="BW112" i="65"/>
  <c r="BU73" i="65"/>
  <c r="BW73" i="65"/>
  <c r="CD77" i="65"/>
  <c r="BU89" i="65"/>
  <c r="BU97" i="65"/>
  <c r="BW97" i="65"/>
  <c r="CD113" i="65"/>
  <c r="BW102" i="65"/>
  <c r="BV102" i="65"/>
  <c r="CC85" i="65"/>
  <c r="BW105" i="65"/>
  <c r="BV105" i="65"/>
  <c r="CD84" i="65"/>
  <c r="CD88" i="65"/>
  <c r="CC100" i="65"/>
  <c r="BV74" i="65"/>
  <c r="BW74" i="65"/>
  <c r="BW82" i="65"/>
  <c r="BV82" i="65"/>
  <c r="BW98" i="65"/>
  <c r="BV98" i="65"/>
  <c r="BV106" i="65"/>
  <c r="BU76" i="65"/>
  <c r="BW76" i="65"/>
  <c r="BU84" i="65"/>
  <c r="BU88" i="65"/>
  <c r="BW88" i="65"/>
  <c r="BV92" i="65"/>
  <c r="BU96" i="65"/>
  <c r="BW100" i="65"/>
  <c r="BV100" i="65"/>
  <c r="BV110" i="65"/>
  <c r="BW75" i="65"/>
  <c r="BV75" i="65"/>
  <c r="BV83" i="65"/>
  <c r="BU87" i="65"/>
  <c r="BV99" i="65"/>
  <c r="BW72" i="65"/>
  <c r="BV72" i="65"/>
  <c r="BU78" i="65"/>
  <c r="BU86" i="65"/>
  <c r="BW86" i="65"/>
  <c r="BV94" i="65"/>
  <c r="BV77" i="65"/>
  <c r="BW85" i="65"/>
  <c r="BV85" i="65"/>
  <c r="BW93" i="65"/>
  <c r="BV93" i="65"/>
  <c r="BU95" i="65"/>
  <c r="BW95" i="65"/>
  <c r="BV101" i="65"/>
  <c r="BW80" i="65"/>
  <c r="BV80" i="65"/>
  <c r="BW104" i="65"/>
  <c r="BV104" i="65"/>
  <c r="BU114" i="65"/>
  <c r="BW114" i="65"/>
  <c r="BV79" i="65"/>
  <c r="BU81" i="65"/>
  <c r="BW81" i="65"/>
  <c r="BU91" i="65"/>
  <c r="BW107" i="65"/>
  <c r="BV107" i="65"/>
  <c r="BV103" i="65"/>
  <c r="BU82" i="65"/>
  <c r="BU106" i="65"/>
  <c r="BW106" i="65"/>
  <c r="BV76" i="65"/>
  <c r="BW84" i="65"/>
  <c r="BV84" i="65"/>
  <c r="BV88" i="65"/>
  <c r="BU92" i="65"/>
  <c r="BW92" i="65"/>
  <c r="BW96" i="65"/>
  <c r="BV96" i="65"/>
  <c r="BU100" i="65"/>
  <c r="BU110" i="65"/>
  <c r="BW110" i="65"/>
  <c r="BU75" i="65"/>
  <c r="BU83" i="65"/>
  <c r="BW83" i="65"/>
  <c r="BW87" i="65"/>
  <c r="BV87" i="65"/>
  <c r="BU99" i="65"/>
  <c r="BW99" i="65"/>
  <c r="BU72" i="65"/>
  <c r="BW78" i="65"/>
  <c r="BV78" i="65"/>
  <c r="BV86" i="65"/>
  <c r="BU94" i="65"/>
  <c r="BW94" i="65"/>
  <c r="BU77" i="65"/>
  <c r="BW77" i="65"/>
  <c r="BU85" i="65"/>
  <c r="BU93" i="65"/>
  <c r="BV95" i="65"/>
  <c r="BU101" i="65"/>
  <c r="BW101" i="65"/>
  <c r="BU80" i="65"/>
  <c r="BU104" i="65"/>
  <c r="BV114" i="65"/>
  <c r="BU79" i="65"/>
  <c r="BW79" i="65"/>
  <c r="BV81" i="65"/>
  <c r="BW91" i="65"/>
  <c r="BV91" i="65"/>
  <c r="BU107" i="65"/>
  <c r="BU103" i="65"/>
  <c r="BW103" i="65"/>
  <c r="AT111" i="65"/>
  <c r="CC111" i="65" s="1"/>
  <c r="CD111" i="65"/>
  <c r="CC76" i="65"/>
  <c r="CD76" i="65"/>
  <c r="C3" i="44"/>
  <c r="C4" i="44"/>
  <c r="C5" i="44"/>
  <c r="C6" i="44"/>
  <c r="C7" i="44"/>
  <c r="C8" i="44"/>
  <c r="C9" i="44"/>
  <c r="C10" i="44"/>
  <c r="C11" i="44"/>
  <c r="C12" i="44"/>
  <c r="C13" i="44"/>
  <c r="C14" i="44"/>
  <c r="C15" i="44"/>
  <c r="C16" i="44"/>
  <c r="C17" i="44"/>
  <c r="C18" i="44"/>
  <c r="C19" i="44"/>
  <c r="C20" i="44"/>
  <c r="C21" i="44"/>
  <c r="C22" i="44"/>
  <c r="C23" i="44"/>
  <c r="C24" i="44"/>
  <c r="C25" i="44"/>
  <c r="C26" i="44"/>
  <c r="C27" i="44"/>
  <c r="C28" i="44"/>
  <c r="C29" i="44"/>
  <c r="C30" i="44"/>
  <c r="C31" i="44"/>
  <c r="C32" i="44"/>
  <c r="C33" i="44"/>
  <c r="C34" i="44"/>
  <c r="C35" i="44"/>
  <c r="C36" i="44"/>
  <c r="C37" i="44"/>
  <c r="C38" i="44"/>
  <c r="C39" i="44"/>
  <c r="C40" i="44"/>
  <c r="C41" i="44"/>
  <c r="C42" i="44"/>
  <c r="C43" i="44"/>
  <c r="C44" i="44"/>
  <c r="C45" i="44"/>
  <c r="C46" i="44"/>
  <c r="C47" i="44"/>
  <c r="C48" i="44"/>
  <c r="C49" i="44"/>
  <c r="C50" i="44"/>
  <c r="C51" i="44"/>
  <c r="C52" i="44"/>
  <c r="C53" i="44"/>
  <c r="C54" i="44"/>
  <c r="C55" i="44"/>
  <c r="C56" i="44"/>
  <c r="C57" i="44"/>
  <c r="C58" i="44"/>
  <c r="C59" i="44"/>
  <c r="C60" i="44"/>
  <c r="C61" i="44"/>
  <c r="C62" i="44"/>
  <c r="C63" i="44"/>
  <c r="C64" i="44"/>
  <c r="C65" i="44"/>
  <c r="C66" i="44"/>
  <c r="C67" i="44"/>
  <c r="C68" i="44"/>
  <c r="C69" i="44"/>
  <c r="C70" i="44"/>
  <c r="C71" i="44"/>
  <c r="C2" i="44"/>
  <c r="M82" i="67" l="1"/>
  <c r="L82" i="67"/>
  <c r="K82" i="67"/>
  <c r="J82" i="67"/>
  <c r="I82" i="67"/>
  <c r="M81" i="67"/>
  <c r="L81" i="67"/>
  <c r="K81" i="67"/>
  <c r="J81" i="67"/>
  <c r="I81" i="67"/>
  <c r="M80" i="67"/>
  <c r="L80" i="67"/>
  <c r="K80" i="67"/>
  <c r="J80" i="67"/>
  <c r="I80" i="67"/>
  <c r="M79" i="67"/>
  <c r="L79" i="67"/>
  <c r="K79" i="67"/>
  <c r="J79" i="67"/>
  <c r="I79" i="67"/>
  <c r="M78" i="67"/>
  <c r="L78" i="67"/>
  <c r="K78" i="67"/>
  <c r="J78" i="67"/>
  <c r="I78" i="67"/>
  <c r="M77" i="67"/>
  <c r="L77" i="67"/>
  <c r="K77" i="67"/>
  <c r="J77" i="67"/>
  <c r="I77" i="67"/>
  <c r="M76" i="67"/>
  <c r="L76" i="67"/>
  <c r="K76" i="67"/>
  <c r="J76" i="67"/>
  <c r="I76" i="67"/>
  <c r="M75" i="67"/>
  <c r="L75" i="67"/>
  <c r="K75" i="67"/>
  <c r="J75" i="67"/>
  <c r="I75" i="67"/>
  <c r="M74" i="67"/>
  <c r="L74" i="67"/>
  <c r="K74" i="67"/>
  <c r="J74" i="67"/>
  <c r="I74" i="67"/>
  <c r="M73" i="67"/>
  <c r="L73" i="67"/>
  <c r="K73" i="67"/>
  <c r="J73" i="67"/>
  <c r="I73" i="67"/>
  <c r="M72" i="67"/>
  <c r="L72" i="67"/>
  <c r="K72" i="67"/>
  <c r="J72" i="67"/>
  <c r="I72" i="67"/>
  <c r="M71" i="67"/>
  <c r="L71" i="67"/>
  <c r="K71" i="67"/>
  <c r="J71" i="67"/>
  <c r="I71" i="67"/>
  <c r="M70" i="67"/>
  <c r="L70" i="67"/>
  <c r="K70" i="67"/>
  <c r="J70" i="67"/>
  <c r="I70" i="67"/>
  <c r="M69" i="67"/>
  <c r="L69" i="67"/>
  <c r="K69" i="67"/>
  <c r="J69" i="67"/>
  <c r="I69" i="67"/>
  <c r="M68" i="67"/>
  <c r="L68" i="67"/>
  <c r="K68" i="67"/>
  <c r="J68" i="67"/>
  <c r="I68" i="67"/>
  <c r="M67" i="67"/>
  <c r="L67" i="67"/>
  <c r="K67" i="67"/>
  <c r="J67" i="67"/>
  <c r="I67" i="67"/>
  <c r="M66" i="67"/>
  <c r="L66" i="67"/>
  <c r="K66" i="67"/>
  <c r="J66" i="67"/>
  <c r="I66" i="67"/>
  <c r="M65" i="67"/>
  <c r="L65" i="67"/>
  <c r="K65" i="67"/>
  <c r="J65" i="67"/>
  <c r="I65" i="67"/>
  <c r="M64" i="67"/>
  <c r="L64" i="67"/>
  <c r="K64" i="67"/>
  <c r="J64" i="67"/>
  <c r="I64" i="67"/>
  <c r="M63" i="67"/>
  <c r="L63" i="67"/>
  <c r="K63" i="67"/>
  <c r="J63" i="67"/>
  <c r="I63" i="67"/>
  <c r="M62" i="67"/>
  <c r="L62" i="67"/>
  <c r="K62" i="67"/>
  <c r="J62" i="67"/>
  <c r="I62" i="67"/>
  <c r="M61" i="67"/>
  <c r="L61" i="67"/>
  <c r="K61" i="67"/>
  <c r="J61" i="67"/>
  <c r="I61" i="67"/>
  <c r="M60" i="67"/>
  <c r="L60" i="67"/>
  <c r="K60" i="67"/>
  <c r="J60" i="67"/>
  <c r="I60" i="67"/>
  <c r="M59" i="67"/>
  <c r="L59" i="67"/>
  <c r="K59" i="67"/>
  <c r="J59" i="67"/>
  <c r="I59" i="67"/>
  <c r="M58" i="67"/>
  <c r="L58" i="67"/>
  <c r="K58" i="67"/>
  <c r="J58" i="67"/>
  <c r="I58" i="67"/>
  <c r="M57" i="67"/>
  <c r="L57" i="67"/>
  <c r="K57" i="67"/>
  <c r="J57" i="67"/>
  <c r="I57" i="67"/>
  <c r="M56" i="67"/>
  <c r="L56" i="67"/>
  <c r="K56" i="67"/>
  <c r="J56" i="67"/>
  <c r="I56" i="67"/>
  <c r="M55" i="67"/>
  <c r="L55" i="67"/>
  <c r="K55" i="67"/>
  <c r="J55" i="67"/>
  <c r="I55" i="67"/>
  <c r="M54" i="67"/>
  <c r="L54" i="67"/>
  <c r="K54" i="67"/>
  <c r="J54" i="67"/>
  <c r="I54" i="67"/>
  <c r="M53" i="67"/>
  <c r="L53" i="67"/>
  <c r="K53" i="67"/>
  <c r="J53" i="67"/>
  <c r="I53" i="67"/>
  <c r="M52" i="67"/>
  <c r="L52" i="67"/>
  <c r="K52" i="67"/>
  <c r="J52" i="67"/>
  <c r="I52" i="67"/>
  <c r="M51" i="67"/>
  <c r="L51" i="67"/>
  <c r="K51" i="67"/>
  <c r="J51" i="67"/>
  <c r="I51" i="67"/>
  <c r="P5" i="67" s="1"/>
  <c r="M50" i="67"/>
  <c r="L50" i="67"/>
  <c r="K50" i="67"/>
  <c r="J50" i="67"/>
  <c r="I50" i="67"/>
  <c r="M49" i="67"/>
  <c r="L49" i="67"/>
  <c r="K49" i="67"/>
  <c r="J49" i="67"/>
  <c r="I49" i="67"/>
  <c r="M48" i="67"/>
  <c r="L48" i="67"/>
  <c r="K48" i="67"/>
  <c r="J48" i="67"/>
  <c r="I48" i="67"/>
  <c r="M47" i="67"/>
  <c r="L47" i="67"/>
  <c r="K47" i="67"/>
  <c r="J47" i="67"/>
  <c r="I47" i="67"/>
  <c r="M46" i="67"/>
  <c r="L46" i="67"/>
  <c r="K46" i="67"/>
  <c r="J46" i="67"/>
  <c r="I46" i="67"/>
  <c r="M45" i="67"/>
  <c r="L45" i="67"/>
  <c r="K45" i="67"/>
  <c r="J45" i="67"/>
  <c r="I45" i="67"/>
  <c r="M44" i="67"/>
  <c r="L44" i="67"/>
  <c r="K44" i="67"/>
  <c r="J44" i="67"/>
  <c r="I44" i="67"/>
  <c r="M43" i="67"/>
  <c r="L43" i="67"/>
  <c r="K43" i="67"/>
  <c r="J43" i="67"/>
  <c r="I43" i="67"/>
  <c r="M42" i="67"/>
  <c r="L42" i="67"/>
  <c r="K42" i="67"/>
  <c r="J42" i="67"/>
  <c r="I42" i="67"/>
  <c r="M41" i="67"/>
  <c r="L41" i="67"/>
  <c r="K41" i="67"/>
  <c r="J41" i="67"/>
  <c r="I41" i="67"/>
  <c r="M40" i="67"/>
  <c r="L40" i="67"/>
  <c r="K40" i="67"/>
  <c r="J40" i="67"/>
  <c r="I40" i="67"/>
  <c r="M39" i="67"/>
  <c r="L39" i="67"/>
  <c r="K39" i="67"/>
  <c r="J39" i="67"/>
  <c r="I39" i="67"/>
  <c r="M38" i="67"/>
  <c r="L38" i="67"/>
  <c r="K38" i="67"/>
  <c r="J38" i="67"/>
  <c r="I38" i="67"/>
  <c r="M37" i="67"/>
  <c r="L37" i="67"/>
  <c r="K37" i="67"/>
  <c r="J37" i="67"/>
  <c r="I37" i="67"/>
  <c r="M36" i="67"/>
  <c r="L36" i="67"/>
  <c r="K36" i="67"/>
  <c r="J36" i="67"/>
  <c r="I36" i="67"/>
  <c r="M35" i="67"/>
  <c r="L35" i="67"/>
  <c r="K35" i="67"/>
  <c r="J35" i="67"/>
  <c r="I35" i="67"/>
  <c r="M34" i="67"/>
  <c r="L34" i="67"/>
  <c r="K34" i="67"/>
  <c r="J34" i="67"/>
  <c r="I34" i="67"/>
  <c r="M33" i="67"/>
  <c r="L33" i="67"/>
  <c r="K33" i="67"/>
  <c r="J33" i="67"/>
  <c r="I33" i="67"/>
  <c r="M32" i="67"/>
  <c r="L32" i="67"/>
  <c r="K32" i="67"/>
  <c r="J32" i="67"/>
  <c r="I32" i="67"/>
  <c r="M31" i="67"/>
  <c r="L31" i="67"/>
  <c r="K31" i="67"/>
  <c r="J31" i="67"/>
  <c r="I31" i="67"/>
  <c r="M30" i="67"/>
  <c r="L30" i="67"/>
  <c r="K30" i="67"/>
  <c r="J30" i="67"/>
  <c r="I30" i="67"/>
  <c r="M29" i="67"/>
  <c r="L29" i="67"/>
  <c r="K29" i="67"/>
  <c r="J29" i="67"/>
  <c r="I29" i="67"/>
  <c r="M28" i="67"/>
  <c r="L28" i="67"/>
  <c r="K28" i="67"/>
  <c r="J28" i="67"/>
  <c r="I28" i="67"/>
  <c r="M27" i="67"/>
  <c r="L27" i="67"/>
  <c r="K27" i="67"/>
  <c r="J27" i="67"/>
  <c r="I27" i="67"/>
  <c r="M26" i="67"/>
  <c r="L26" i="67"/>
  <c r="K26" i="67"/>
  <c r="J26" i="67"/>
  <c r="I26" i="67"/>
  <c r="M25" i="67"/>
  <c r="L25" i="67"/>
  <c r="K25" i="67"/>
  <c r="J25" i="67"/>
  <c r="I25" i="67"/>
  <c r="M24" i="67"/>
  <c r="L24" i="67"/>
  <c r="K24" i="67"/>
  <c r="J24" i="67"/>
  <c r="I24" i="67"/>
  <c r="M23" i="67"/>
  <c r="L23" i="67"/>
  <c r="K23" i="67"/>
  <c r="J23" i="67"/>
  <c r="I23" i="67"/>
  <c r="M22" i="67"/>
  <c r="L22" i="67"/>
  <c r="K22" i="67"/>
  <c r="J22" i="67"/>
  <c r="I22" i="67"/>
  <c r="M21" i="67"/>
  <c r="L21" i="67"/>
  <c r="K21" i="67"/>
  <c r="J21" i="67"/>
  <c r="I21" i="67"/>
  <c r="M20" i="67"/>
  <c r="L20" i="67"/>
  <c r="K20" i="67"/>
  <c r="J20" i="67"/>
  <c r="I20" i="67"/>
  <c r="M19" i="67"/>
  <c r="L19" i="67"/>
  <c r="K19" i="67"/>
  <c r="J19" i="67"/>
  <c r="I19" i="67"/>
  <c r="M18" i="67"/>
  <c r="L18" i="67"/>
  <c r="K18" i="67"/>
  <c r="J18" i="67"/>
  <c r="I18" i="67"/>
  <c r="M17" i="67"/>
  <c r="L17" i="67"/>
  <c r="K17" i="67"/>
  <c r="J17" i="67"/>
  <c r="I17" i="67"/>
  <c r="M16" i="67"/>
  <c r="L16" i="67"/>
  <c r="K16" i="67"/>
  <c r="J16" i="67"/>
  <c r="I16" i="67"/>
  <c r="M15" i="67"/>
  <c r="L15" i="67"/>
  <c r="K15" i="67"/>
  <c r="J15" i="67"/>
  <c r="I15" i="67"/>
  <c r="M14" i="67"/>
  <c r="L14" i="67"/>
  <c r="K14" i="67"/>
  <c r="J14" i="67"/>
  <c r="I14" i="67"/>
  <c r="M13" i="67"/>
  <c r="L13" i="67"/>
  <c r="K13" i="67"/>
  <c r="J13" i="67"/>
  <c r="I13" i="67"/>
  <c r="M12" i="67"/>
  <c r="L12" i="67"/>
  <c r="K12" i="67"/>
  <c r="J12" i="67"/>
  <c r="I12" i="67"/>
  <c r="M11" i="67"/>
  <c r="L11" i="67"/>
  <c r="K11" i="67"/>
  <c r="J11" i="67"/>
  <c r="I11" i="67"/>
  <c r="M10" i="67"/>
  <c r="L10" i="67"/>
  <c r="K10" i="67"/>
  <c r="J10" i="67"/>
  <c r="I10" i="67"/>
  <c r="M9" i="67"/>
  <c r="L9" i="67"/>
  <c r="K9" i="67"/>
  <c r="J9" i="67"/>
  <c r="I9" i="67"/>
  <c r="M8" i="67"/>
  <c r="L8" i="67"/>
  <c r="K8" i="67"/>
  <c r="J8" i="67"/>
  <c r="I8" i="67"/>
  <c r="M7" i="67"/>
  <c r="L7" i="67"/>
  <c r="K7" i="67"/>
  <c r="J7" i="67"/>
  <c r="I7" i="67"/>
  <c r="M6" i="67"/>
  <c r="L6" i="67"/>
  <c r="K6" i="67"/>
  <c r="J6" i="67"/>
  <c r="I6" i="67"/>
  <c r="M5" i="67"/>
  <c r="L5" i="67"/>
  <c r="K5" i="67"/>
  <c r="J5" i="67"/>
  <c r="I5" i="67"/>
  <c r="M4" i="67"/>
  <c r="L4" i="67"/>
  <c r="K4" i="67"/>
  <c r="J4" i="67"/>
  <c r="I4" i="67"/>
  <c r="M3" i="67"/>
  <c r="L3" i="67"/>
  <c r="P4" i="67" s="1"/>
  <c r="K3" i="67"/>
  <c r="J3" i="67"/>
  <c r="I3" i="67"/>
  <c r="M2" i="67"/>
  <c r="L2" i="67"/>
  <c r="K2" i="67"/>
  <c r="J2" i="67"/>
  <c r="I2" i="67"/>
  <c r="P2" i="67" l="1"/>
  <c r="P3" i="67"/>
  <c r="D3" i="65" l="1"/>
  <c r="D4" i="65"/>
  <c r="D5" i="65"/>
  <c r="D6" i="65"/>
  <c r="D7" i="65"/>
  <c r="D8" i="65"/>
  <c r="D9" i="65"/>
  <c r="D10" i="65"/>
  <c r="D11" i="65"/>
  <c r="D12" i="65"/>
  <c r="D13" i="65"/>
  <c r="D14" i="65"/>
  <c r="D15" i="65"/>
  <c r="D16" i="65"/>
  <c r="D17" i="65"/>
  <c r="D18" i="65"/>
  <c r="D19" i="65"/>
  <c r="D20" i="65"/>
  <c r="D21" i="65"/>
  <c r="D22" i="65"/>
  <c r="D23" i="65"/>
  <c r="D24" i="65"/>
  <c r="D25" i="65"/>
  <c r="D26" i="65"/>
  <c r="D27" i="65"/>
  <c r="D28" i="65"/>
  <c r="D29" i="65"/>
  <c r="D30" i="65"/>
  <c r="D31" i="65"/>
  <c r="D32" i="65"/>
  <c r="D33" i="65"/>
  <c r="D34" i="65"/>
  <c r="D35" i="65"/>
  <c r="D36" i="65"/>
  <c r="D37" i="65"/>
  <c r="D38" i="65"/>
  <c r="D39" i="65"/>
  <c r="D40" i="65"/>
  <c r="D41" i="65"/>
  <c r="D42" i="65"/>
  <c r="D43" i="65"/>
  <c r="D44" i="65"/>
  <c r="D45" i="65"/>
  <c r="D46" i="65"/>
  <c r="D47" i="65"/>
  <c r="D48" i="65"/>
  <c r="D49" i="65"/>
  <c r="D50" i="65"/>
  <c r="D51" i="65"/>
  <c r="D52" i="65"/>
  <c r="D53" i="65"/>
  <c r="D54" i="65"/>
  <c r="D55" i="65"/>
  <c r="D56" i="65"/>
  <c r="D57" i="65"/>
  <c r="D58" i="65"/>
  <c r="D59" i="65"/>
  <c r="D60" i="65"/>
  <c r="D61" i="65"/>
  <c r="D62" i="65"/>
  <c r="D63" i="65"/>
  <c r="D64" i="65"/>
  <c r="D65" i="65"/>
  <c r="D66" i="65"/>
  <c r="D67" i="65"/>
  <c r="D68" i="65"/>
  <c r="D69" i="65"/>
  <c r="D70" i="65"/>
  <c r="D71" i="65"/>
  <c r="D2" i="65"/>
  <c r="J3" i="4" l="1"/>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M50" i="4" s="1"/>
  <c r="I51" i="4"/>
  <c r="I52" i="4"/>
  <c r="I53" i="4"/>
  <c r="I54" i="4"/>
  <c r="I55" i="4"/>
  <c r="I56" i="4"/>
  <c r="I57" i="4"/>
  <c r="I58" i="4"/>
  <c r="I59" i="4"/>
  <c r="I60" i="4"/>
  <c r="I61" i="4"/>
  <c r="I62" i="4"/>
  <c r="I63" i="4"/>
  <c r="I64" i="4"/>
  <c r="I65" i="4"/>
  <c r="I66" i="4"/>
  <c r="I67" i="4"/>
  <c r="I68" i="4"/>
  <c r="I69" i="4"/>
  <c r="I2" i="4"/>
  <c r="C6" i="38"/>
  <c r="C36" i="38"/>
  <c r="C71" i="38"/>
  <c r="C72" i="38"/>
  <c r="E89" i="38"/>
  <c r="E88" i="38"/>
  <c r="E87" i="38"/>
  <c r="E86" i="38"/>
  <c r="E85" i="38"/>
  <c r="E80" i="38"/>
  <c r="E79" i="38"/>
  <c r="E78" i="38"/>
  <c r="M42" i="4" l="1"/>
  <c r="D42" i="39"/>
  <c r="B42" i="39" s="1"/>
  <c r="H43" i="38" s="1"/>
  <c r="L43" i="38"/>
  <c r="L44" i="38"/>
  <c r="D43" i="39"/>
  <c r="B43" i="39" s="1"/>
  <c r="H44" i="38" s="1"/>
  <c r="E77" i="38"/>
  <c r="E104" i="38"/>
  <c r="E105" i="38"/>
  <c r="E108" i="38"/>
  <c r="E110" i="38"/>
  <c r="E114" i="38"/>
  <c r="E116" i="38"/>
  <c r="C69" i="38"/>
  <c r="C67" i="38"/>
  <c r="C65" i="38"/>
  <c r="C63" i="38"/>
  <c r="C61" i="38"/>
  <c r="C59" i="38"/>
  <c r="C57" i="38"/>
  <c r="C55" i="38"/>
  <c r="C51" i="38"/>
  <c r="C43" i="38"/>
  <c r="E74" i="38"/>
  <c r="E76" i="38"/>
  <c r="E102" i="38"/>
  <c r="E103" i="38"/>
  <c r="E106" i="38"/>
  <c r="E107" i="38"/>
  <c r="E109" i="38"/>
  <c r="E113" i="38"/>
  <c r="E115" i="38"/>
  <c r="C70" i="38"/>
  <c r="C68" i="38"/>
  <c r="C66" i="38"/>
  <c r="C64" i="38"/>
  <c r="C62" i="38"/>
  <c r="C60" i="38"/>
  <c r="C58" i="38"/>
  <c r="C56" i="38"/>
  <c r="C54" i="38"/>
  <c r="C52" i="38"/>
  <c r="C44" i="38"/>
  <c r="E36" i="38"/>
  <c r="E75" i="38"/>
  <c r="E81" i="38"/>
  <c r="E82" i="38"/>
  <c r="E91" i="38"/>
  <c r="E92" i="38"/>
  <c r="E94" i="38"/>
  <c r="E99" i="38"/>
  <c r="E100" i="38"/>
  <c r="E111" i="38"/>
  <c r="E6" i="38"/>
  <c r="E19" i="38"/>
  <c r="E20" i="38"/>
  <c r="E24" i="38"/>
  <c r="E40" i="38"/>
  <c r="E73" i="38"/>
  <c r="E83" i="38"/>
  <c r="E84" i="38"/>
  <c r="E90" i="38"/>
  <c r="E93" i="38"/>
  <c r="E95" i="38"/>
  <c r="E96" i="38"/>
  <c r="E97" i="38"/>
  <c r="E98" i="38"/>
  <c r="E101" i="38"/>
  <c r="E112" i="38"/>
  <c r="C49" i="38"/>
  <c r="C47" i="38"/>
  <c r="C45" i="38"/>
  <c r="C41" i="38"/>
  <c r="C39" i="38"/>
  <c r="C37" i="38"/>
  <c r="C35" i="38"/>
  <c r="C33" i="38"/>
  <c r="C31" i="38"/>
  <c r="C29" i="38"/>
  <c r="C27" i="38"/>
  <c r="C25" i="38"/>
  <c r="C23" i="38"/>
  <c r="C21" i="38"/>
  <c r="C19" i="38"/>
  <c r="C17" i="38"/>
  <c r="C15" i="38"/>
  <c r="C13" i="38"/>
  <c r="C11" i="38"/>
  <c r="C9" i="38"/>
  <c r="C7" i="38"/>
  <c r="C5" i="38"/>
  <c r="E5" i="38"/>
  <c r="E7" i="38"/>
  <c r="E9" i="38"/>
  <c r="E13" i="38"/>
  <c r="C50" i="38"/>
  <c r="C48" i="38"/>
  <c r="C46" i="38"/>
  <c r="C42" i="38"/>
  <c r="C40" i="38"/>
  <c r="C38" i="38"/>
  <c r="C34" i="38"/>
  <c r="C32" i="38"/>
  <c r="C30" i="38"/>
  <c r="C28" i="38"/>
  <c r="C26" i="38"/>
  <c r="C24" i="38"/>
  <c r="C22" i="38"/>
  <c r="C20" i="38"/>
  <c r="C18" i="38"/>
  <c r="C16" i="38"/>
  <c r="C14" i="38"/>
  <c r="C12" i="38"/>
  <c r="C10" i="38"/>
  <c r="C8" i="38"/>
  <c r="C4" i="38"/>
  <c r="E53" i="38"/>
  <c r="M69" i="4"/>
  <c r="D71" i="39"/>
  <c r="B71" i="39" s="1"/>
  <c r="H72" i="38" s="1"/>
  <c r="L72" i="38"/>
  <c r="M67" i="4"/>
  <c r="D69" i="39"/>
  <c r="B69" i="39" s="1"/>
  <c r="H70" i="38" s="1"/>
  <c r="L70" i="38"/>
  <c r="M65" i="4"/>
  <c r="D67" i="39"/>
  <c r="B67" i="39" s="1"/>
  <c r="H68" i="38" s="1"/>
  <c r="L68" i="38"/>
  <c r="M63" i="4"/>
  <c r="D65" i="39"/>
  <c r="B65" i="39" s="1"/>
  <c r="H66" i="38" s="1"/>
  <c r="L66" i="38"/>
  <c r="M61" i="4"/>
  <c r="D63" i="39"/>
  <c r="B63" i="39" s="1"/>
  <c r="H64" i="38" s="1"/>
  <c r="L64" i="38"/>
  <c r="M59" i="4"/>
  <c r="D61" i="39"/>
  <c r="B61" i="39" s="1"/>
  <c r="H62" i="38" s="1"/>
  <c r="L62" i="38"/>
  <c r="M57" i="4"/>
  <c r="D59" i="39"/>
  <c r="B59" i="39" s="1"/>
  <c r="H60" i="38" s="1"/>
  <c r="L60" i="38"/>
  <c r="M55" i="4"/>
  <c r="D57" i="39"/>
  <c r="B57" i="39" s="1"/>
  <c r="H58" i="38" s="1"/>
  <c r="L58" i="38"/>
  <c r="M53" i="4"/>
  <c r="D55" i="39"/>
  <c r="B55" i="39" s="1"/>
  <c r="H56" i="38" s="1"/>
  <c r="L56" i="38"/>
  <c r="M51" i="4"/>
  <c r="D53" i="39"/>
  <c r="B53" i="39" s="1"/>
  <c r="H54" i="38" s="1"/>
  <c r="L54" i="38"/>
  <c r="M49" i="4"/>
  <c r="D51" i="39"/>
  <c r="B51" i="39" s="1"/>
  <c r="H52" i="38" s="1"/>
  <c r="L52" i="38"/>
  <c r="M47" i="4"/>
  <c r="D49" i="39"/>
  <c r="B49" i="39" s="1"/>
  <c r="H50" i="38" s="1"/>
  <c r="L50" i="38"/>
  <c r="M45" i="4"/>
  <c r="D47" i="39"/>
  <c r="B47" i="39" s="1"/>
  <c r="H48" i="38" s="1"/>
  <c r="L48" i="38"/>
  <c r="M43" i="4"/>
  <c r="D45" i="39"/>
  <c r="B45" i="39" s="1"/>
  <c r="H46" i="38" s="1"/>
  <c r="L46" i="38"/>
  <c r="M41" i="4"/>
  <c r="L53" i="38"/>
  <c r="D52" i="39"/>
  <c r="B52" i="39" s="1"/>
  <c r="H53" i="38" s="1"/>
  <c r="M39" i="4"/>
  <c r="D41" i="39"/>
  <c r="B41" i="39" s="1"/>
  <c r="H42" i="38" s="1"/>
  <c r="L42" i="38"/>
  <c r="M37" i="4"/>
  <c r="D39" i="39"/>
  <c r="B39" i="39" s="1"/>
  <c r="H40" i="38" s="1"/>
  <c r="L40" i="38"/>
  <c r="M35" i="4"/>
  <c r="D37" i="39"/>
  <c r="B37" i="39" s="1"/>
  <c r="H38" i="38" s="1"/>
  <c r="L38" i="38"/>
  <c r="D35" i="39"/>
  <c r="B35" i="39" s="1"/>
  <c r="H36" i="38" s="1"/>
  <c r="L36" i="38"/>
  <c r="E43" i="38"/>
  <c r="C53" i="38"/>
  <c r="M2" i="4"/>
  <c r="D2" i="39"/>
  <c r="M68" i="4"/>
  <c r="L71" i="38"/>
  <c r="D70" i="39"/>
  <c r="B70" i="39" s="1"/>
  <c r="H71" i="38" s="1"/>
  <c r="M66" i="4"/>
  <c r="L69" i="38"/>
  <c r="D68" i="39"/>
  <c r="B68" i="39" s="1"/>
  <c r="H69" i="38" s="1"/>
  <c r="M64" i="4"/>
  <c r="L67" i="38"/>
  <c r="D66" i="39"/>
  <c r="B66" i="39" s="1"/>
  <c r="H67" i="38" s="1"/>
  <c r="M62" i="4"/>
  <c r="L65" i="38"/>
  <c r="D64" i="39"/>
  <c r="B64" i="39" s="1"/>
  <c r="H65" i="38" s="1"/>
  <c r="M60" i="4"/>
  <c r="L63" i="38"/>
  <c r="D62" i="39"/>
  <c r="B62" i="39" s="1"/>
  <c r="H63" i="38" s="1"/>
  <c r="M58" i="4"/>
  <c r="L61" i="38"/>
  <c r="D60" i="39"/>
  <c r="B60" i="39" s="1"/>
  <c r="H61" i="38" s="1"/>
  <c r="M56" i="4"/>
  <c r="L59" i="38"/>
  <c r="D58" i="39"/>
  <c r="B58" i="39" s="1"/>
  <c r="H59" i="38" s="1"/>
  <c r="M54" i="4"/>
  <c r="L57" i="38"/>
  <c r="D56" i="39"/>
  <c r="B56" i="39" s="1"/>
  <c r="H57" i="38" s="1"/>
  <c r="M52" i="4"/>
  <c r="L55" i="38"/>
  <c r="D54" i="39"/>
  <c r="B54" i="39" s="1"/>
  <c r="H55" i="38" s="1"/>
  <c r="M48" i="4"/>
  <c r="L51" i="38"/>
  <c r="D50" i="39"/>
  <c r="B50" i="39" s="1"/>
  <c r="H51" i="38" s="1"/>
  <c r="M46" i="4"/>
  <c r="L49" i="38"/>
  <c r="D48" i="39"/>
  <c r="B48" i="39" s="1"/>
  <c r="H49" i="38" s="1"/>
  <c r="M44" i="4"/>
  <c r="L47" i="38"/>
  <c r="D46" i="39"/>
  <c r="B46" i="39" s="1"/>
  <c r="H47" i="38" s="1"/>
  <c r="M40" i="4"/>
  <c r="L45" i="38"/>
  <c r="D44" i="39"/>
  <c r="B44" i="39" s="1"/>
  <c r="H45" i="38" s="1"/>
  <c r="M38" i="4"/>
  <c r="D40" i="39"/>
  <c r="B40" i="39" s="1"/>
  <c r="H41" i="38" s="1"/>
  <c r="L41" i="38"/>
  <c r="M36" i="4"/>
  <c r="D38" i="39"/>
  <c r="B38" i="39" s="1"/>
  <c r="H39" i="38" s="1"/>
  <c r="L39" i="38"/>
  <c r="M34" i="4"/>
  <c r="D36" i="39"/>
  <c r="B36" i="39" s="1"/>
  <c r="H37" i="38" s="1"/>
  <c r="L37" i="38"/>
  <c r="M33" i="4"/>
  <c r="D34" i="39"/>
  <c r="B34" i="39" s="1"/>
  <c r="H35" i="38" s="1"/>
  <c r="L35" i="38"/>
  <c r="M31" i="4"/>
  <c r="D32" i="39"/>
  <c r="B32" i="39" s="1"/>
  <c r="H33" i="38" s="1"/>
  <c r="L33" i="38"/>
  <c r="M29" i="4"/>
  <c r="D30" i="39"/>
  <c r="B30" i="39" s="1"/>
  <c r="H31" i="38" s="1"/>
  <c r="L31" i="38"/>
  <c r="M27" i="4"/>
  <c r="D28" i="39"/>
  <c r="B28" i="39" s="1"/>
  <c r="H29" i="38" s="1"/>
  <c r="L29" i="38"/>
  <c r="M25" i="4"/>
  <c r="D26" i="39"/>
  <c r="B26" i="39" s="1"/>
  <c r="H27" i="38" s="1"/>
  <c r="L27" i="38"/>
  <c r="M23" i="4"/>
  <c r="D24" i="39"/>
  <c r="B24" i="39" s="1"/>
  <c r="H25" i="38" s="1"/>
  <c r="L25" i="38"/>
  <c r="M21" i="4"/>
  <c r="D22" i="39"/>
  <c r="B22" i="39" s="1"/>
  <c r="H23" i="38" s="1"/>
  <c r="L23" i="38"/>
  <c r="M19" i="4"/>
  <c r="D20" i="39"/>
  <c r="B20" i="39" s="1"/>
  <c r="H21" i="38" s="1"/>
  <c r="L21" i="38"/>
  <c r="M17" i="4"/>
  <c r="D18" i="39"/>
  <c r="B18" i="39" s="1"/>
  <c r="H19" i="38" s="1"/>
  <c r="L19" i="38"/>
  <c r="M15" i="4"/>
  <c r="D16" i="39"/>
  <c r="B16" i="39" s="1"/>
  <c r="H17" i="38" s="1"/>
  <c r="L17" i="38"/>
  <c r="M13" i="4"/>
  <c r="D14" i="39"/>
  <c r="B14" i="39" s="1"/>
  <c r="H15" i="38" s="1"/>
  <c r="L15" i="38"/>
  <c r="M11" i="4"/>
  <c r="D12" i="39"/>
  <c r="B12" i="39" s="1"/>
  <c r="H13" i="38" s="1"/>
  <c r="L13" i="38"/>
  <c r="M9" i="4"/>
  <c r="D10" i="39"/>
  <c r="B10" i="39" s="1"/>
  <c r="H11" i="38" s="1"/>
  <c r="L11" i="38"/>
  <c r="M7" i="4"/>
  <c r="D8" i="39"/>
  <c r="B8" i="39" s="1"/>
  <c r="H9" i="38" s="1"/>
  <c r="L9" i="38"/>
  <c r="M5" i="4"/>
  <c r="D6" i="39"/>
  <c r="B6" i="39" s="1"/>
  <c r="H7" i="38" s="1"/>
  <c r="L7" i="38"/>
  <c r="M4" i="4"/>
  <c r="D4" i="39"/>
  <c r="B4" i="39" s="1"/>
  <c r="H5" i="38" s="1"/>
  <c r="L5" i="38"/>
  <c r="M32" i="4"/>
  <c r="D33" i="39"/>
  <c r="B33" i="39" s="1"/>
  <c r="H34" i="38" s="1"/>
  <c r="L34" i="38"/>
  <c r="M30" i="4"/>
  <c r="D31" i="39"/>
  <c r="B31" i="39" s="1"/>
  <c r="H32" i="38" s="1"/>
  <c r="L32" i="38"/>
  <c r="M28" i="4"/>
  <c r="D29" i="39"/>
  <c r="B29" i="39" s="1"/>
  <c r="H30" i="38" s="1"/>
  <c r="L30" i="38"/>
  <c r="M26" i="4"/>
  <c r="D27" i="39"/>
  <c r="B27" i="39" s="1"/>
  <c r="H28" i="38" s="1"/>
  <c r="L28" i="38"/>
  <c r="M24" i="4"/>
  <c r="D25" i="39"/>
  <c r="B25" i="39" s="1"/>
  <c r="H26" i="38" s="1"/>
  <c r="L26" i="38"/>
  <c r="M22" i="4"/>
  <c r="D23" i="39"/>
  <c r="B23" i="39" s="1"/>
  <c r="H24" i="38" s="1"/>
  <c r="L24" i="38"/>
  <c r="M20" i="4"/>
  <c r="D21" i="39"/>
  <c r="B21" i="39" s="1"/>
  <c r="H22" i="38" s="1"/>
  <c r="L22" i="38"/>
  <c r="M18" i="4"/>
  <c r="D19" i="39"/>
  <c r="B19" i="39" s="1"/>
  <c r="H20" i="38" s="1"/>
  <c r="L20" i="38"/>
  <c r="M16" i="4"/>
  <c r="D17" i="39"/>
  <c r="B17" i="39" s="1"/>
  <c r="H18" i="38" s="1"/>
  <c r="L18" i="38"/>
  <c r="M14" i="4"/>
  <c r="D15" i="39"/>
  <c r="B15" i="39" s="1"/>
  <c r="H16" i="38" s="1"/>
  <c r="L16" i="38"/>
  <c r="M12" i="4"/>
  <c r="D13" i="39"/>
  <c r="B13" i="39" s="1"/>
  <c r="H14" i="38" s="1"/>
  <c r="L14" i="38"/>
  <c r="M10" i="4"/>
  <c r="D11" i="39"/>
  <c r="B11" i="39" s="1"/>
  <c r="H12" i="38" s="1"/>
  <c r="L12" i="38"/>
  <c r="M8" i="4"/>
  <c r="D9" i="39"/>
  <c r="B9" i="39" s="1"/>
  <c r="H10" i="38" s="1"/>
  <c r="L10" i="38"/>
  <c r="M6" i="4"/>
  <c r="D7" i="39"/>
  <c r="B7" i="39" s="1"/>
  <c r="H8" i="38" s="1"/>
  <c r="L8" i="38"/>
  <c r="D5" i="39"/>
  <c r="B5" i="39" s="1"/>
  <c r="H6" i="38" s="1"/>
  <c r="L6" i="38"/>
  <c r="M3" i="4"/>
  <c r="D3" i="39"/>
  <c r="B3" i="39" s="1"/>
  <c r="H4" i="38" s="1"/>
  <c r="L4" i="38"/>
  <c r="F70" i="39"/>
  <c r="G70" i="39" s="1"/>
  <c r="D71" i="38"/>
  <c r="F68" i="39"/>
  <c r="G68" i="39" s="1"/>
  <c r="D69" i="38"/>
  <c r="F66" i="39"/>
  <c r="G66" i="39" s="1"/>
  <c r="D67" i="38"/>
  <c r="F64" i="39"/>
  <c r="G64" i="39" s="1"/>
  <c r="D65" i="38"/>
  <c r="F62" i="39"/>
  <c r="G62" i="39" s="1"/>
  <c r="D63" i="38"/>
  <c r="F60" i="39"/>
  <c r="G60" i="39" s="1"/>
  <c r="D61" i="38"/>
  <c r="F58" i="39"/>
  <c r="G58" i="39" s="1"/>
  <c r="D59" i="38"/>
  <c r="F56" i="39"/>
  <c r="G56" i="39" s="1"/>
  <c r="D57" i="38"/>
  <c r="F54" i="39"/>
  <c r="G54" i="39" s="1"/>
  <c r="D55" i="38"/>
  <c r="F52" i="39"/>
  <c r="G52" i="39" s="1"/>
  <c r="D53" i="38"/>
  <c r="F50" i="39"/>
  <c r="G50" i="39" s="1"/>
  <c r="D51" i="38"/>
  <c r="F48" i="39"/>
  <c r="G48" i="39" s="1"/>
  <c r="D49" i="38"/>
  <c r="F46" i="39"/>
  <c r="G46" i="39" s="1"/>
  <c r="D47" i="38"/>
  <c r="F44" i="39"/>
  <c r="G44" i="39" s="1"/>
  <c r="D45" i="38"/>
  <c r="F42" i="39"/>
  <c r="G42" i="39" s="1"/>
  <c r="D43" i="38"/>
  <c r="F40" i="39"/>
  <c r="G40" i="39" s="1"/>
  <c r="D41" i="38"/>
  <c r="F38" i="39"/>
  <c r="G38" i="39" s="1"/>
  <c r="D39" i="38"/>
  <c r="F36" i="39"/>
  <c r="G36" i="39" s="1"/>
  <c r="D37" i="38"/>
  <c r="F34" i="39"/>
  <c r="G34" i="39" s="1"/>
  <c r="D35" i="38"/>
  <c r="F32" i="39"/>
  <c r="G32" i="39" s="1"/>
  <c r="D33" i="38"/>
  <c r="F30" i="39"/>
  <c r="G30" i="39" s="1"/>
  <c r="D31" i="38"/>
  <c r="F28" i="39"/>
  <c r="G28" i="39" s="1"/>
  <c r="D29" i="38"/>
  <c r="D27" i="38"/>
  <c r="F26" i="39"/>
  <c r="G26" i="39" s="1"/>
  <c r="F24" i="39"/>
  <c r="G24" i="39" s="1"/>
  <c r="D25" i="38"/>
  <c r="F22" i="39"/>
  <c r="G22" i="39" s="1"/>
  <c r="D23" i="38"/>
  <c r="F20" i="39"/>
  <c r="G20" i="39" s="1"/>
  <c r="D21" i="38"/>
  <c r="F18" i="39"/>
  <c r="G18" i="39" s="1"/>
  <c r="D19" i="38"/>
  <c r="F16" i="39"/>
  <c r="G16" i="39" s="1"/>
  <c r="D17" i="38"/>
  <c r="F14" i="39"/>
  <c r="G14" i="39" s="1"/>
  <c r="D15" i="38"/>
  <c r="F12" i="39"/>
  <c r="G12" i="39" s="1"/>
  <c r="D13" i="38"/>
  <c r="D11" i="38"/>
  <c r="F10" i="39"/>
  <c r="G10" i="39" s="1"/>
  <c r="F8" i="39"/>
  <c r="G8" i="39" s="1"/>
  <c r="D9" i="38"/>
  <c r="F6" i="39"/>
  <c r="G6" i="39" s="1"/>
  <c r="D7" i="38"/>
  <c r="F4" i="39"/>
  <c r="G4" i="39" s="1"/>
  <c r="D5" i="38"/>
  <c r="F71" i="39"/>
  <c r="G71" i="39" s="1"/>
  <c r="D72" i="38"/>
  <c r="F69" i="39"/>
  <c r="G69" i="39" s="1"/>
  <c r="D70" i="38"/>
  <c r="F67" i="39"/>
  <c r="G67" i="39" s="1"/>
  <c r="D68" i="38"/>
  <c r="F65" i="39"/>
  <c r="G65" i="39" s="1"/>
  <c r="D66" i="38"/>
  <c r="F63" i="39"/>
  <c r="G63" i="39" s="1"/>
  <c r="D64" i="38"/>
  <c r="F61" i="39"/>
  <c r="G61" i="39" s="1"/>
  <c r="D62" i="38"/>
  <c r="F59" i="39"/>
  <c r="G59" i="39" s="1"/>
  <c r="D60" i="38"/>
  <c r="F57" i="39"/>
  <c r="G57" i="39" s="1"/>
  <c r="D58" i="38"/>
  <c r="F55" i="39"/>
  <c r="G55" i="39" s="1"/>
  <c r="D56" i="38"/>
  <c r="F53" i="39"/>
  <c r="G53" i="39" s="1"/>
  <c r="D54" i="38"/>
  <c r="F51" i="39"/>
  <c r="G51" i="39" s="1"/>
  <c r="D52" i="38"/>
  <c r="F49" i="39"/>
  <c r="G49" i="39" s="1"/>
  <c r="D50" i="38"/>
  <c r="F47" i="39"/>
  <c r="G47" i="39" s="1"/>
  <c r="D48" i="38"/>
  <c r="F45" i="39"/>
  <c r="G45" i="39" s="1"/>
  <c r="D46" i="38"/>
  <c r="F43" i="39"/>
  <c r="G43" i="39" s="1"/>
  <c r="D44" i="38"/>
  <c r="F41" i="39"/>
  <c r="G41" i="39" s="1"/>
  <c r="D42" i="38"/>
  <c r="F39" i="39"/>
  <c r="G39" i="39" s="1"/>
  <c r="D40" i="38"/>
  <c r="F37" i="39"/>
  <c r="G37" i="39" s="1"/>
  <c r="D38" i="38"/>
  <c r="F35" i="39"/>
  <c r="G35" i="39" s="1"/>
  <c r="D36" i="38"/>
  <c r="F33" i="39"/>
  <c r="G33" i="39" s="1"/>
  <c r="D34" i="38"/>
  <c r="F31" i="39"/>
  <c r="G31" i="39" s="1"/>
  <c r="D32" i="38"/>
  <c r="F29" i="39"/>
  <c r="G29" i="39" s="1"/>
  <c r="D30" i="38"/>
  <c r="F27" i="39"/>
  <c r="G27" i="39" s="1"/>
  <c r="D28" i="38"/>
  <c r="F25" i="39"/>
  <c r="G25" i="39" s="1"/>
  <c r="D26" i="38"/>
  <c r="F23" i="39"/>
  <c r="G23" i="39" s="1"/>
  <c r="D24" i="38"/>
  <c r="F21" i="39"/>
  <c r="G21" i="39" s="1"/>
  <c r="D22" i="38"/>
  <c r="F19" i="39"/>
  <c r="G19" i="39" s="1"/>
  <c r="D20" i="38"/>
  <c r="F17" i="39"/>
  <c r="G17" i="39" s="1"/>
  <c r="D18" i="38"/>
  <c r="F15" i="39"/>
  <c r="G15" i="39" s="1"/>
  <c r="D16" i="38"/>
  <c r="F13" i="39"/>
  <c r="G13" i="39" s="1"/>
  <c r="D14" i="38"/>
  <c r="F11" i="39"/>
  <c r="G11" i="39" s="1"/>
  <c r="D12" i="38"/>
  <c r="F9" i="39"/>
  <c r="G9" i="39" s="1"/>
  <c r="D10" i="38"/>
  <c r="F7" i="39"/>
  <c r="G7" i="39" s="1"/>
  <c r="D8" i="38"/>
  <c r="F5" i="39"/>
  <c r="G5" i="39" s="1"/>
  <c r="D6" i="38"/>
  <c r="F3" i="39"/>
  <c r="G3" i="39" s="1"/>
  <c r="D4" i="38"/>
  <c r="E32" i="38" l="1"/>
  <c r="E30" i="38"/>
  <c r="E15" i="38"/>
  <c r="E71" i="38"/>
  <c r="E69" i="38"/>
  <c r="E68" i="38"/>
  <c r="E63" i="38"/>
  <c r="E61" i="38"/>
  <c r="E60" i="38"/>
  <c r="E56" i="38"/>
  <c r="E55" i="38"/>
  <c r="E54" i="38"/>
  <c r="E44" i="38"/>
  <c r="E72" i="38"/>
  <c r="E70" i="38"/>
  <c r="E67" i="38"/>
  <c r="E66" i="38"/>
  <c r="E65" i="38"/>
  <c r="E64" i="38"/>
  <c r="E62" i="38"/>
  <c r="E59" i="38"/>
  <c r="E58" i="38"/>
  <c r="E57" i="38"/>
  <c r="E51" i="38"/>
  <c r="E48" i="38"/>
  <c r="E33" i="38"/>
  <c r="E31" i="38"/>
  <c r="E4" i="38"/>
  <c r="E49" i="38"/>
  <c r="E46" i="38"/>
  <c r="E41" i="38"/>
  <c r="E38" i="38"/>
  <c r="E35" i="38"/>
  <c r="E29" i="38"/>
  <c r="E25" i="38"/>
  <c r="E22" i="38"/>
  <c r="E18" i="38"/>
  <c r="E16" i="38"/>
  <c r="E12" i="38"/>
  <c r="E10" i="38"/>
  <c r="E50" i="38"/>
  <c r="E52" i="38"/>
  <c r="E47" i="38"/>
  <c r="E42" i="38"/>
  <c r="E39" i="38"/>
  <c r="E37" i="38"/>
  <c r="E34" i="38"/>
  <c r="E28" i="38"/>
  <c r="E26" i="38"/>
  <c r="E23" i="38"/>
  <c r="E21" i="38"/>
  <c r="E17" i="38"/>
  <c r="E14" i="38"/>
  <c r="E11" i="38"/>
  <c r="E8" i="38"/>
  <c r="E27" i="38"/>
  <c r="E45" i="38"/>
  <c r="Y8" i="44" l="1"/>
  <c r="Z8" i="44"/>
  <c r="AA8" i="44"/>
  <c r="AB8" i="44"/>
  <c r="AC8" i="44"/>
  <c r="AD8" i="44"/>
  <c r="AE8" i="44"/>
  <c r="X8" i="44"/>
  <c r="Y6" i="44"/>
  <c r="Z6" i="44"/>
  <c r="AA6" i="44"/>
  <c r="AB6" i="44"/>
  <c r="AC6" i="44"/>
  <c r="AD6" i="44"/>
  <c r="AE6" i="44"/>
  <c r="X6" i="44"/>
  <c r="Y4" i="44"/>
  <c r="Z4" i="44"/>
  <c r="AA4" i="44"/>
  <c r="AB4" i="44"/>
  <c r="AC4" i="44"/>
  <c r="AD4" i="44"/>
  <c r="AE4" i="44"/>
  <c r="X4" i="44"/>
  <c r="Y2" i="44"/>
  <c r="Y1" i="44"/>
  <c r="BB71" i="65"/>
  <c r="BA71" i="65"/>
  <c r="AZ71" i="65"/>
  <c r="AY71" i="65"/>
  <c r="AX71" i="65"/>
  <c r="AG71" i="65"/>
  <c r="AF71" i="65"/>
  <c r="AE71" i="65"/>
  <c r="AD71" i="65"/>
  <c r="AC71" i="65"/>
  <c r="AH71" i="65" s="1"/>
  <c r="AJ71" i="65" s="1"/>
  <c r="L71" i="65"/>
  <c r="K71" i="65"/>
  <c r="J71" i="65"/>
  <c r="I71" i="65"/>
  <c r="H71" i="65"/>
  <c r="C71" i="65"/>
  <c r="BB70" i="65"/>
  <c r="BA70" i="65"/>
  <c r="AZ70" i="65"/>
  <c r="AY70" i="65"/>
  <c r="AX70" i="65"/>
  <c r="AG70" i="65"/>
  <c r="AF70" i="65"/>
  <c r="AE70" i="65"/>
  <c r="AD70" i="65"/>
  <c r="AC70" i="65"/>
  <c r="AH70" i="65" s="1"/>
  <c r="AJ70" i="65" s="1"/>
  <c r="AN70" i="65" s="1"/>
  <c r="L70" i="65"/>
  <c r="K70" i="65"/>
  <c r="J70" i="65"/>
  <c r="I70" i="65"/>
  <c r="H70" i="65"/>
  <c r="C70" i="65"/>
  <c r="BB69" i="65"/>
  <c r="BA69" i="65"/>
  <c r="AZ69" i="65"/>
  <c r="AY69" i="65"/>
  <c r="AX69" i="65"/>
  <c r="AG69" i="65"/>
  <c r="AF69" i="65"/>
  <c r="AE69" i="65"/>
  <c r="AD69" i="65"/>
  <c r="AC69" i="65"/>
  <c r="L69" i="65"/>
  <c r="K69" i="65"/>
  <c r="J69" i="65"/>
  <c r="I69" i="65"/>
  <c r="H69" i="65"/>
  <c r="C69" i="65"/>
  <c r="BB68" i="65"/>
  <c r="BA68" i="65"/>
  <c r="AZ68" i="65"/>
  <c r="AY68" i="65"/>
  <c r="AX68" i="65"/>
  <c r="AG68" i="65"/>
  <c r="AF68" i="65"/>
  <c r="AE68" i="65"/>
  <c r="AD68" i="65"/>
  <c r="AC68" i="65"/>
  <c r="AH68" i="65" s="1"/>
  <c r="AJ68" i="65" s="1"/>
  <c r="AN68" i="65" s="1"/>
  <c r="L68" i="65"/>
  <c r="K68" i="65"/>
  <c r="J68" i="65"/>
  <c r="I68" i="65"/>
  <c r="H68" i="65"/>
  <c r="C68" i="65"/>
  <c r="BB67" i="65"/>
  <c r="BA67" i="65"/>
  <c r="AZ67" i="65"/>
  <c r="AY67" i="65"/>
  <c r="AX67" i="65"/>
  <c r="AG67" i="65"/>
  <c r="AF67" i="65"/>
  <c r="AE67" i="65"/>
  <c r="AD67" i="65"/>
  <c r="AC67" i="65"/>
  <c r="L67" i="65"/>
  <c r="K67" i="65"/>
  <c r="J67" i="65"/>
  <c r="I67" i="65"/>
  <c r="H67" i="65"/>
  <c r="C67" i="65"/>
  <c r="BB66" i="65"/>
  <c r="BA66" i="65"/>
  <c r="AZ66" i="65"/>
  <c r="AY66" i="65"/>
  <c r="AX66" i="65"/>
  <c r="AG66" i="65"/>
  <c r="AF66" i="65"/>
  <c r="AE66" i="65"/>
  <c r="AD66" i="65"/>
  <c r="AC66" i="65"/>
  <c r="AH66" i="65" s="1"/>
  <c r="AJ66" i="65" s="1"/>
  <c r="AN66" i="65" s="1"/>
  <c r="L66" i="65"/>
  <c r="K66" i="65"/>
  <c r="J66" i="65"/>
  <c r="I66" i="65"/>
  <c r="H66" i="65"/>
  <c r="M66" i="65" s="1"/>
  <c r="O66" i="65" s="1"/>
  <c r="C66" i="65"/>
  <c r="BB65" i="65"/>
  <c r="BA65" i="65"/>
  <c r="AZ65" i="65"/>
  <c r="AY65" i="65"/>
  <c r="AX65" i="65"/>
  <c r="AG65" i="65"/>
  <c r="AF65" i="65"/>
  <c r="AE65" i="65"/>
  <c r="AD65" i="65"/>
  <c r="AC65" i="65"/>
  <c r="L65" i="65"/>
  <c r="K65" i="65"/>
  <c r="J65" i="65"/>
  <c r="I65" i="65"/>
  <c r="H65" i="65"/>
  <c r="C65" i="65"/>
  <c r="BB64" i="65"/>
  <c r="BA64" i="65"/>
  <c r="AZ64" i="65"/>
  <c r="AY64" i="65"/>
  <c r="AX64" i="65"/>
  <c r="AG64" i="65"/>
  <c r="AF64" i="65"/>
  <c r="AE64" i="65"/>
  <c r="AD64" i="65"/>
  <c r="AC64" i="65"/>
  <c r="AH64" i="65" s="1"/>
  <c r="AJ64" i="65" s="1"/>
  <c r="AN64" i="65" s="1"/>
  <c r="L64" i="65"/>
  <c r="K64" i="65"/>
  <c r="J64" i="65"/>
  <c r="I64" i="65"/>
  <c r="H64" i="65"/>
  <c r="M64" i="65" s="1"/>
  <c r="O64" i="65" s="1"/>
  <c r="C64" i="65"/>
  <c r="BB63" i="65"/>
  <c r="BA63" i="65"/>
  <c r="AZ63" i="65"/>
  <c r="AY63" i="65"/>
  <c r="AX63" i="65"/>
  <c r="AG63" i="65"/>
  <c r="AF63" i="65"/>
  <c r="AE63" i="65"/>
  <c r="AD63" i="65"/>
  <c r="AC63" i="65"/>
  <c r="AH63" i="65" s="1"/>
  <c r="AJ63" i="65" s="1"/>
  <c r="L63" i="65"/>
  <c r="K63" i="65"/>
  <c r="J63" i="65"/>
  <c r="I63" i="65"/>
  <c r="H63" i="65"/>
  <c r="C63" i="65"/>
  <c r="BB62" i="65"/>
  <c r="BA62" i="65"/>
  <c r="AZ62" i="65"/>
  <c r="AY62" i="65"/>
  <c r="AX62" i="65"/>
  <c r="BC62" i="65" s="1"/>
  <c r="AG62" i="65"/>
  <c r="AF62" i="65"/>
  <c r="AE62" i="65"/>
  <c r="AD62" i="65"/>
  <c r="AC62" i="65"/>
  <c r="L62" i="65"/>
  <c r="K62" i="65"/>
  <c r="J62" i="65"/>
  <c r="I62" i="65"/>
  <c r="H62" i="65"/>
  <c r="C62" i="65"/>
  <c r="BB61" i="65"/>
  <c r="BA61" i="65"/>
  <c r="AZ61" i="65"/>
  <c r="AY61" i="65"/>
  <c r="AX61" i="65"/>
  <c r="AG61" i="65"/>
  <c r="AF61" i="65"/>
  <c r="AE61" i="65"/>
  <c r="AD61" i="65"/>
  <c r="AC61" i="65"/>
  <c r="AH61" i="65" s="1"/>
  <c r="L61" i="65"/>
  <c r="K61" i="65"/>
  <c r="J61" i="65"/>
  <c r="I61" i="65"/>
  <c r="H61" i="65"/>
  <c r="C61" i="65"/>
  <c r="BB60" i="65"/>
  <c r="BA60" i="65"/>
  <c r="AZ60" i="65"/>
  <c r="AY60" i="65"/>
  <c r="AX60" i="65"/>
  <c r="BC60" i="65" s="1"/>
  <c r="BE60" i="65" s="1"/>
  <c r="AG60" i="65"/>
  <c r="AF60" i="65"/>
  <c r="AE60" i="65"/>
  <c r="AD60" i="65"/>
  <c r="AC60" i="65"/>
  <c r="L60" i="65"/>
  <c r="K60" i="65"/>
  <c r="J60" i="65"/>
  <c r="I60" i="65"/>
  <c r="H60" i="65"/>
  <c r="C60" i="65"/>
  <c r="BB59" i="65"/>
  <c r="BA59" i="65"/>
  <c r="AZ59" i="65"/>
  <c r="AY59" i="65"/>
  <c r="AX59" i="65"/>
  <c r="AG59" i="65"/>
  <c r="AF59" i="65"/>
  <c r="AE59" i="65"/>
  <c r="AD59" i="65"/>
  <c r="AC59" i="65"/>
  <c r="AH59" i="65" s="1"/>
  <c r="AJ59" i="65" s="1"/>
  <c r="AN59" i="65" s="1"/>
  <c r="L59" i="65"/>
  <c r="K59" i="65"/>
  <c r="J59" i="65"/>
  <c r="I59" i="65"/>
  <c r="H59" i="65"/>
  <c r="C59" i="65"/>
  <c r="BB58" i="65"/>
  <c r="BA58" i="65"/>
  <c r="AZ58" i="65"/>
  <c r="AY58" i="65"/>
  <c r="AX58" i="65"/>
  <c r="BC58" i="65" s="1"/>
  <c r="BE58" i="65" s="1"/>
  <c r="AG58" i="65"/>
  <c r="AF58" i="65"/>
  <c r="AE58" i="65"/>
  <c r="AD58" i="65"/>
  <c r="AC58" i="65"/>
  <c r="L58" i="65"/>
  <c r="K58" i="65"/>
  <c r="J58" i="65"/>
  <c r="I58" i="65"/>
  <c r="H58" i="65"/>
  <c r="C58" i="65"/>
  <c r="BB57" i="65"/>
  <c r="BA57" i="65"/>
  <c r="AZ57" i="65"/>
  <c r="AY57" i="65"/>
  <c r="AX57" i="65"/>
  <c r="AG57" i="65"/>
  <c r="AF57" i="65"/>
  <c r="AE57" i="65"/>
  <c r="AD57" i="65"/>
  <c r="AC57" i="65"/>
  <c r="AH57" i="65" s="1"/>
  <c r="AJ57" i="65" s="1"/>
  <c r="L57" i="65"/>
  <c r="K57" i="65"/>
  <c r="J57" i="65"/>
  <c r="I57" i="65"/>
  <c r="H57" i="65"/>
  <c r="C57" i="65"/>
  <c r="BB56" i="65"/>
  <c r="BA56" i="65"/>
  <c r="AZ56" i="65"/>
  <c r="AY56" i="65"/>
  <c r="AX56" i="65"/>
  <c r="AG56" i="65"/>
  <c r="AF56" i="65"/>
  <c r="AE56" i="65"/>
  <c r="AD56" i="65"/>
  <c r="AC56" i="65"/>
  <c r="L56" i="65"/>
  <c r="K56" i="65"/>
  <c r="J56" i="65"/>
  <c r="I56" i="65"/>
  <c r="H56" i="65"/>
  <c r="M56" i="65" s="1"/>
  <c r="O56" i="65" s="1"/>
  <c r="C56" i="65"/>
  <c r="BB55" i="65"/>
  <c r="BA55" i="65"/>
  <c r="AZ55" i="65"/>
  <c r="AY55" i="65"/>
  <c r="AX55" i="65"/>
  <c r="AG55" i="65"/>
  <c r="AF55" i="65"/>
  <c r="AE55" i="65"/>
  <c r="AD55" i="65"/>
  <c r="AC55" i="65"/>
  <c r="AH55" i="65" s="1"/>
  <c r="AJ55" i="65" s="1"/>
  <c r="AN55" i="65" s="1"/>
  <c r="L55" i="65"/>
  <c r="K55" i="65"/>
  <c r="J55" i="65"/>
  <c r="I55" i="65"/>
  <c r="H55" i="65"/>
  <c r="C55" i="65"/>
  <c r="BB54" i="65"/>
  <c r="BA54" i="65"/>
  <c r="AZ54" i="65"/>
  <c r="AY54" i="65"/>
  <c r="AX54" i="65"/>
  <c r="BC54" i="65" s="1"/>
  <c r="BE54" i="65" s="1"/>
  <c r="AG54" i="65"/>
  <c r="AF54" i="65"/>
  <c r="AE54" i="65"/>
  <c r="AD54" i="65"/>
  <c r="AC54" i="65"/>
  <c r="L54" i="65"/>
  <c r="K54" i="65"/>
  <c r="J54" i="65"/>
  <c r="I54" i="65"/>
  <c r="H54" i="65"/>
  <c r="M54" i="65" s="1"/>
  <c r="O54" i="65" s="1"/>
  <c r="C54" i="65"/>
  <c r="BB53" i="65"/>
  <c r="BA53" i="65"/>
  <c r="AZ53" i="65"/>
  <c r="AY53" i="65"/>
  <c r="AX53" i="65"/>
  <c r="AG53" i="65"/>
  <c r="AF53" i="65"/>
  <c r="AE53" i="65"/>
  <c r="AD53" i="65"/>
  <c r="AC53" i="65"/>
  <c r="AH53" i="65" s="1"/>
  <c r="AJ53" i="65" s="1"/>
  <c r="L53" i="65"/>
  <c r="K53" i="65"/>
  <c r="J53" i="65"/>
  <c r="I53" i="65"/>
  <c r="H53" i="65"/>
  <c r="C53" i="65"/>
  <c r="BB52" i="65"/>
  <c r="BA52" i="65"/>
  <c r="AZ52" i="65"/>
  <c r="AY52" i="65"/>
  <c r="AX52" i="65"/>
  <c r="AG52" i="65"/>
  <c r="AF52" i="65"/>
  <c r="AE52" i="65"/>
  <c r="AD52" i="65"/>
  <c r="AC52" i="65"/>
  <c r="L52" i="65"/>
  <c r="K52" i="65"/>
  <c r="J52" i="65"/>
  <c r="I52" i="65"/>
  <c r="H52" i="65"/>
  <c r="M52" i="65" s="1"/>
  <c r="C52" i="65"/>
  <c r="BB51" i="65"/>
  <c r="BA51" i="65"/>
  <c r="AZ51" i="65"/>
  <c r="AY51" i="65"/>
  <c r="AX51" i="65"/>
  <c r="AG51" i="65"/>
  <c r="AF51" i="65"/>
  <c r="AE51" i="65"/>
  <c r="AD51" i="65"/>
  <c r="AC51" i="65"/>
  <c r="L51" i="65"/>
  <c r="K51" i="65"/>
  <c r="J51" i="65"/>
  <c r="I51" i="65"/>
  <c r="H51" i="65"/>
  <c r="C51" i="65"/>
  <c r="BB50" i="65"/>
  <c r="BA50" i="65"/>
  <c r="AZ50" i="65"/>
  <c r="AY50" i="65"/>
  <c r="AX50" i="65"/>
  <c r="AG50" i="65"/>
  <c r="AF50" i="65"/>
  <c r="AE50" i="65"/>
  <c r="AD50" i="65"/>
  <c r="AC50" i="65"/>
  <c r="L50" i="65"/>
  <c r="K50" i="65"/>
  <c r="J50" i="65"/>
  <c r="I50" i="65"/>
  <c r="H50" i="65"/>
  <c r="M50" i="65" s="1"/>
  <c r="C50" i="65"/>
  <c r="BB49" i="65"/>
  <c r="BA49" i="65"/>
  <c r="AZ49" i="65"/>
  <c r="AY49" i="65"/>
  <c r="AX49" i="65"/>
  <c r="AG49" i="65"/>
  <c r="AF49" i="65"/>
  <c r="AE49" i="65"/>
  <c r="AD49" i="65"/>
  <c r="AC49" i="65"/>
  <c r="AH49" i="65" s="1"/>
  <c r="AJ49" i="65" s="1"/>
  <c r="L49" i="65"/>
  <c r="K49" i="65"/>
  <c r="J49" i="65"/>
  <c r="I49" i="65"/>
  <c r="H49" i="65"/>
  <c r="C49" i="65"/>
  <c r="BB48" i="65"/>
  <c r="BA48" i="65"/>
  <c r="AZ48" i="65"/>
  <c r="AY48" i="65"/>
  <c r="AX48" i="65"/>
  <c r="BC48" i="65" s="1"/>
  <c r="BE48" i="65" s="1"/>
  <c r="AG48" i="65"/>
  <c r="AF48" i="65"/>
  <c r="AE48" i="65"/>
  <c r="AD48" i="65"/>
  <c r="AC48" i="65"/>
  <c r="L48" i="65"/>
  <c r="K48" i="65"/>
  <c r="J48" i="65"/>
  <c r="I48" i="65"/>
  <c r="H48" i="65"/>
  <c r="C48" i="65"/>
  <c r="BB47" i="65"/>
  <c r="BA47" i="65"/>
  <c r="AZ47" i="65"/>
  <c r="AY47" i="65"/>
  <c r="AX47" i="65"/>
  <c r="AG47" i="65"/>
  <c r="AF47" i="65"/>
  <c r="AE47" i="65"/>
  <c r="AD47" i="65"/>
  <c r="AC47" i="65"/>
  <c r="AH47" i="65" s="1"/>
  <c r="AJ47" i="65" s="1"/>
  <c r="L47" i="65"/>
  <c r="K47" i="65"/>
  <c r="J47" i="65"/>
  <c r="I47" i="65"/>
  <c r="H47" i="65"/>
  <c r="C47" i="65"/>
  <c r="BB46" i="65"/>
  <c r="BA46" i="65"/>
  <c r="AZ46" i="65"/>
  <c r="AY46" i="65"/>
  <c r="AX46" i="65"/>
  <c r="BC46" i="65" s="1"/>
  <c r="BE46" i="65" s="1"/>
  <c r="AG46" i="65"/>
  <c r="AF46" i="65"/>
  <c r="AE46" i="65"/>
  <c r="AD46" i="65"/>
  <c r="AC46" i="65"/>
  <c r="L46" i="65"/>
  <c r="K46" i="65"/>
  <c r="J46" i="65"/>
  <c r="I46" i="65"/>
  <c r="H46" i="65"/>
  <c r="C46" i="65"/>
  <c r="BB45" i="65"/>
  <c r="BA45" i="65"/>
  <c r="AZ45" i="65"/>
  <c r="AY45" i="65"/>
  <c r="AX45" i="65"/>
  <c r="AG45" i="65"/>
  <c r="AF45" i="65"/>
  <c r="AE45" i="65"/>
  <c r="AD45" i="65"/>
  <c r="AC45" i="65"/>
  <c r="AH45" i="65" s="1"/>
  <c r="AJ45" i="65" s="1"/>
  <c r="L45" i="65"/>
  <c r="K45" i="65"/>
  <c r="J45" i="65"/>
  <c r="I45" i="65"/>
  <c r="H45" i="65"/>
  <c r="C45" i="65"/>
  <c r="BB44" i="65"/>
  <c r="BA44" i="65"/>
  <c r="AZ44" i="65"/>
  <c r="AY44" i="65"/>
  <c r="AX44" i="65"/>
  <c r="BC44" i="65" s="1"/>
  <c r="BE44" i="65" s="1"/>
  <c r="AG44" i="65"/>
  <c r="AF44" i="65"/>
  <c r="AE44" i="65"/>
  <c r="AD44" i="65"/>
  <c r="AC44" i="65"/>
  <c r="L44" i="65"/>
  <c r="K44" i="65"/>
  <c r="J44" i="65"/>
  <c r="I44" i="65"/>
  <c r="H44" i="65"/>
  <c r="M44" i="65" s="1"/>
  <c r="O44" i="65" s="1"/>
  <c r="C44" i="65"/>
  <c r="BB43" i="65"/>
  <c r="BA43" i="65"/>
  <c r="AZ43" i="65"/>
  <c r="AY43" i="65"/>
  <c r="AX43" i="65"/>
  <c r="AG43" i="65"/>
  <c r="AF43" i="65"/>
  <c r="AE43" i="65"/>
  <c r="AD43" i="65"/>
  <c r="AC43" i="65"/>
  <c r="AH43" i="65" s="1"/>
  <c r="AJ43" i="65" s="1"/>
  <c r="L43" i="65"/>
  <c r="K43" i="65"/>
  <c r="J43" i="65"/>
  <c r="I43" i="65"/>
  <c r="H43" i="65"/>
  <c r="C43" i="65"/>
  <c r="BB42" i="65"/>
  <c r="BA42" i="65"/>
  <c r="AZ42" i="65"/>
  <c r="AY42" i="65"/>
  <c r="AX42" i="65"/>
  <c r="BC42" i="65" s="1"/>
  <c r="BE42" i="65" s="1"/>
  <c r="BI42" i="65" s="1"/>
  <c r="AG42" i="65"/>
  <c r="AF42" i="65"/>
  <c r="AE42" i="65"/>
  <c r="AD42" i="65"/>
  <c r="AC42" i="65"/>
  <c r="L42" i="65"/>
  <c r="K42" i="65"/>
  <c r="J42" i="65"/>
  <c r="I42" i="65"/>
  <c r="H42" i="65"/>
  <c r="M42" i="65" s="1"/>
  <c r="O42" i="65" s="1"/>
  <c r="C42" i="65"/>
  <c r="BB41" i="65"/>
  <c r="BA41" i="65"/>
  <c r="AZ41" i="65"/>
  <c r="AY41" i="65"/>
  <c r="AX41" i="65"/>
  <c r="AG41" i="65"/>
  <c r="AF41" i="65"/>
  <c r="AE41" i="65"/>
  <c r="AD41" i="65"/>
  <c r="AC41" i="65"/>
  <c r="L41" i="65"/>
  <c r="K41" i="65"/>
  <c r="J41" i="65"/>
  <c r="I41" i="65"/>
  <c r="H41" i="65"/>
  <c r="T41" i="65" s="1"/>
  <c r="C41" i="65"/>
  <c r="BB40" i="65"/>
  <c r="BA40" i="65"/>
  <c r="AZ40" i="65"/>
  <c r="AY40" i="65"/>
  <c r="AX40" i="65"/>
  <c r="BC40" i="65" s="1"/>
  <c r="BE40" i="65" s="1"/>
  <c r="AG40" i="65"/>
  <c r="AF40" i="65"/>
  <c r="AE40" i="65"/>
  <c r="AD40" i="65"/>
  <c r="AC40" i="65"/>
  <c r="L40" i="65"/>
  <c r="K40" i="65"/>
  <c r="J40" i="65"/>
  <c r="I40" i="65"/>
  <c r="H40" i="65"/>
  <c r="M40" i="65" s="1"/>
  <c r="O40" i="65" s="1"/>
  <c r="C40" i="65"/>
  <c r="BB39" i="65"/>
  <c r="BA39" i="65"/>
  <c r="AZ39" i="65"/>
  <c r="AY39" i="65"/>
  <c r="AX39" i="65"/>
  <c r="AG39" i="65"/>
  <c r="AF39" i="65"/>
  <c r="AE39" i="65"/>
  <c r="AD39" i="65"/>
  <c r="AC39" i="65"/>
  <c r="AH39" i="65" s="1"/>
  <c r="L39" i="65"/>
  <c r="K39" i="65"/>
  <c r="J39" i="65"/>
  <c r="I39" i="65"/>
  <c r="H39" i="65"/>
  <c r="C39" i="65"/>
  <c r="BB38" i="65"/>
  <c r="BA38" i="65"/>
  <c r="AZ38" i="65"/>
  <c r="AY38" i="65"/>
  <c r="AX38" i="65"/>
  <c r="AG38" i="65"/>
  <c r="AF38" i="65"/>
  <c r="AE38" i="65"/>
  <c r="AD38" i="65"/>
  <c r="AC38" i="65"/>
  <c r="L38" i="65"/>
  <c r="K38" i="65"/>
  <c r="J38" i="65"/>
  <c r="I38" i="65"/>
  <c r="H38" i="65"/>
  <c r="M38" i="65" s="1"/>
  <c r="C38" i="65"/>
  <c r="BB37" i="65"/>
  <c r="BA37" i="65"/>
  <c r="AZ37" i="65"/>
  <c r="AY37" i="65"/>
  <c r="AX37" i="65"/>
  <c r="BC37" i="65" s="1"/>
  <c r="BE37" i="65" s="1"/>
  <c r="AG37" i="65"/>
  <c r="AF37" i="65"/>
  <c r="AE37" i="65"/>
  <c r="AD37" i="65"/>
  <c r="AC37" i="65"/>
  <c r="AH37" i="65" s="1"/>
  <c r="AJ37" i="65" s="1"/>
  <c r="AN37" i="65" s="1"/>
  <c r="L37" i="65"/>
  <c r="K37" i="65"/>
  <c r="J37" i="65"/>
  <c r="I37" i="65"/>
  <c r="H37" i="65"/>
  <c r="C37" i="65"/>
  <c r="BB36" i="65"/>
  <c r="BA36" i="65"/>
  <c r="AZ36" i="65"/>
  <c r="AY36" i="65"/>
  <c r="AX36" i="65"/>
  <c r="AG36" i="65"/>
  <c r="AF36" i="65"/>
  <c r="AE36" i="65"/>
  <c r="AD36" i="65"/>
  <c r="AC36" i="65"/>
  <c r="AO36" i="65" s="1"/>
  <c r="L36" i="65"/>
  <c r="K36" i="65"/>
  <c r="J36" i="65"/>
  <c r="I36" i="65"/>
  <c r="H36" i="65"/>
  <c r="M36" i="65" s="1"/>
  <c r="O36" i="65" s="1"/>
  <c r="C36" i="65"/>
  <c r="BB35" i="65"/>
  <c r="BA35" i="65"/>
  <c r="AZ35" i="65"/>
  <c r="AY35" i="65"/>
  <c r="AX35" i="65"/>
  <c r="AG35" i="65"/>
  <c r="AF35" i="65"/>
  <c r="AE35" i="65"/>
  <c r="AD35" i="65"/>
  <c r="AC35" i="65"/>
  <c r="L35" i="65"/>
  <c r="K35" i="65"/>
  <c r="J35" i="65"/>
  <c r="I35" i="65"/>
  <c r="H35" i="65"/>
  <c r="C35" i="65"/>
  <c r="BB34" i="65"/>
  <c r="BA34" i="65"/>
  <c r="AZ34" i="65"/>
  <c r="AY34" i="65"/>
  <c r="AX34" i="65"/>
  <c r="BC34" i="65" s="1"/>
  <c r="BE34" i="65" s="1"/>
  <c r="AG34" i="65"/>
  <c r="AF34" i="65"/>
  <c r="AE34" i="65"/>
  <c r="AD34" i="65"/>
  <c r="AC34" i="65"/>
  <c r="L34" i="65"/>
  <c r="K34" i="65"/>
  <c r="J34" i="65"/>
  <c r="I34" i="65"/>
  <c r="H34" i="65"/>
  <c r="C34" i="65"/>
  <c r="BB33" i="65"/>
  <c r="BA33" i="65"/>
  <c r="AZ33" i="65"/>
  <c r="AY33" i="65"/>
  <c r="AX33" i="65"/>
  <c r="AG33" i="65"/>
  <c r="AF33" i="65"/>
  <c r="AE33" i="65"/>
  <c r="AD33" i="65"/>
  <c r="AC33" i="65"/>
  <c r="AH33" i="65" s="1"/>
  <c r="AJ33" i="65" s="1"/>
  <c r="L33" i="65"/>
  <c r="K33" i="65"/>
  <c r="J33" i="65"/>
  <c r="I33" i="65"/>
  <c r="H33" i="65"/>
  <c r="C33" i="65"/>
  <c r="BB32" i="65"/>
  <c r="BA32" i="65"/>
  <c r="AZ32" i="65"/>
  <c r="AY32" i="65"/>
  <c r="AX32" i="65"/>
  <c r="BC32" i="65" s="1"/>
  <c r="BE32" i="65" s="1"/>
  <c r="AG32" i="65"/>
  <c r="AF32" i="65"/>
  <c r="AE32" i="65"/>
  <c r="AD32" i="65"/>
  <c r="AC32" i="65"/>
  <c r="L32" i="65"/>
  <c r="K32" i="65"/>
  <c r="J32" i="65"/>
  <c r="I32" i="65"/>
  <c r="H32" i="65"/>
  <c r="M32" i="65" s="1"/>
  <c r="O32" i="65" s="1"/>
  <c r="C32" i="65"/>
  <c r="BB31" i="65"/>
  <c r="BA31" i="65"/>
  <c r="AZ31" i="65"/>
  <c r="AY31" i="65"/>
  <c r="AX31" i="65"/>
  <c r="AG31" i="65"/>
  <c r="AF31" i="65"/>
  <c r="AE31" i="65"/>
  <c r="AD31" i="65"/>
  <c r="AC31" i="65"/>
  <c r="L31" i="65"/>
  <c r="K31" i="65"/>
  <c r="J31" i="65"/>
  <c r="I31" i="65"/>
  <c r="H31" i="65"/>
  <c r="C31" i="65"/>
  <c r="BB30" i="65"/>
  <c r="BA30" i="65"/>
  <c r="AZ30" i="65"/>
  <c r="AY30" i="65"/>
  <c r="AX30" i="65"/>
  <c r="BC30" i="65" s="1"/>
  <c r="BE30" i="65" s="1"/>
  <c r="AG30" i="65"/>
  <c r="AF30" i="65"/>
  <c r="AE30" i="65"/>
  <c r="AD30" i="65"/>
  <c r="AC30" i="65"/>
  <c r="L30" i="65"/>
  <c r="K30" i="65"/>
  <c r="J30" i="65"/>
  <c r="I30" i="65"/>
  <c r="H30" i="65"/>
  <c r="M30" i="65" s="1"/>
  <c r="C30" i="65"/>
  <c r="BB29" i="65"/>
  <c r="BA29" i="65"/>
  <c r="AZ29" i="65"/>
  <c r="AY29" i="65"/>
  <c r="AX29" i="65"/>
  <c r="AG29" i="65"/>
  <c r="AF29" i="65"/>
  <c r="AE29" i="65"/>
  <c r="AD29" i="65"/>
  <c r="AC29" i="65"/>
  <c r="L29" i="65"/>
  <c r="K29" i="65"/>
  <c r="J29" i="65"/>
  <c r="I29" i="65"/>
  <c r="H29" i="65"/>
  <c r="C29" i="65"/>
  <c r="BB28" i="65"/>
  <c r="BA28" i="65"/>
  <c r="AZ28" i="65"/>
  <c r="AY28" i="65"/>
  <c r="AX28" i="65"/>
  <c r="AG28" i="65"/>
  <c r="AF28" i="65"/>
  <c r="AE28" i="65"/>
  <c r="AD28" i="65"/>
  <c r="AC28" i="65"/>
  <c r="L28" i="65"/>
  <c r="K28" i="65"/>
  <c r="J28" i="65"/>
  <c r="I28" i="65"/>
  <c r="H28" i="65"/>
  <c r="M28" i="65" s="1"/>
  <c r="C28" i="65"/>
  <c r="BB27" i="65"/>
  <c r="BA27" i="65"/>
  <c r="AZ27" i="65"/>
  <c r="AY27" i="65"/>
  <c r="AX27" i="65"/>
  <c r="AG27" i="65"/>
  <c r="AF27" i="65"/>
  <c r="AE27" i="65"/>
  <c r="AD27" i="65"/>
  <c r="AC27" i="65"/>
  <c r="L27" i="65"/>
  <c r="K27" i="65"/>
  <c r="J27" i="65"/>
  <c r="I27" i="65"/>
  <c r="H27" i="65"/>
  <c r="C27" i="65"/>
  <c r="BB26" i="65"/>
  <c r="BA26" i="65"/>
  <c r="AZ26" i="65"/>
  <c r="AY26" i="65"/>
  <c r="AX26" i="65"/>
  <c r="BC26" i="65" s="1"/>
  <c r="BE26" i="65" s="1"/>
  <c r="AG26" i="65"/>
  <c r="AF26" i="65"/>
  <c r="AE26" i="65"/>
  <c r="AD26" i="65"/>
  <c r="AC26" i="65"/>
  <c r="L26" i="65"/>
  <c r="K26" i="65"/>
  <c r="J26" i="65"/>
  <c r="I26" i="65"/>
  <c r="H26" i="65"/>
  <c r="C26" i="65"/>
  <c r="BB25" i="65"/>
  <c r="BA25" i="65"/>
  <c r="AZ25" i="65"/>
  <c r="AY25" i="65"/>
  <c r="AX25" i="65"/>
  <c r="AG25" i="65"/>
  <c r="AF25" i="65"/>
  <c r="AE25" i="65"/>
  <c r="AD25" i="65"/>
  <c r="AC25" i="65"/>
  <c r="AH25" i="65" s="1"/>
  <c r="AJ25" i="65" s="1"/>
  <c r="L25" i="65"/>
  <c r="K25" i="65"/>
  <c r="J25" i="65"/>
  <c r="I25" i="65"/>
  <c r="H25" i="65"/>
  <c r="C25" i="65"/>
  <c r="BB24" i="65"/>
  <c r="BA24" i="65"/>
  <c r="AZ24" i="65"/>
  <c r="AY24" i="65"/>
  <c r="AX24" i="65"/>
  <c r="AG24" i="65"/>
  <c r="AF24" i="65"/>
  <c r="AE24" i="65"/>
  <c r="AD24" i="65"/>
  <c r="AC24" i="65"/>
  <c r="L24" i="65"/>
  <c r="K24" i="65"/>
  <c r="J24" i="65"/>
  <c r="I24" i="65"/>
  <c r="H24" i="65"/>
  <c r="M24" i="65" s="1"/>
  <c r="C24" i="65"/>
  <c r="BB23" i="65"/>
  <c r="BA23" i="65"/>
  <c r="AZ23" i="65"/>
  <c r="AY23" i="65"/>
  <c r="AX23" i="65"/>
  <c r="AG23" i="65"/>
  <c r="AF23" i="65"/>
  <c r="AE23" i="65"/>
  <c r="AD23" i="65"/>
  <c r="AC23" i="65"/>
  <c r="L23" i="65"/>
  <c r="K23" i="65"/>
  <c r="J23" i="65"/>
  <c r="I23" i="65"/>
  <c r="H23" i="65"/>
  <c r="C23" i="65"/>
  <c r="BB22" i="65"/>
  <c r="BA22" i="65"/>
  <c r="AZ22" i="65"/>
  <c r="AY22" i="65"/>
  <c r="AX22" i="65"/>
  <c r="BC22" i="65" s="1"/>
  <c r="BE22" i="65" s="1"/>
  <c r="AG22" i="65"/>
  <c r="AF22" i="65"/>
  <c r="AE22" i="65"/>
  <c r="AD22" i="65"/>
  <c r="AC22" i="65"/>
  <c r="L22" i="65"/>
  <c r="K22" i="65"/>
  <c r="J22" i="65"/>
  <c r="I22" i="65"/>
  <c r="H22" i="65"/>
  <c r="M22" i="65" s="1"/>
  <c r="C22" i="65"/>
  <c r="BB21" i="65"/>
  <c r="BA21" i="65"/>
  <c r="AZ21" i="65"/>
  <c r="AY21" i="65"/>
  <c r="AX21" i="65"/>
  <c r="AG21" i="65"/>
  <c r="AF21" i="65"/>
  <c r="AE21" i="65"/>
  <c r="AD21" i="65"/>
  <c r="AC21" i="65"/>
  <c r="L21" i="65"/>
  <c r="K21" i="65"/>
  <c r="J21" i="65"/>
  <c r="I21" i="65"/>
  <c r="H21" i="65"/>
  <c r="C21" i="65"/>
  <c r="BB20" i="65"/>
  <c r="BA20" i="65"/>
  <c r="AZ20" i="65"/>
  <c r="AY20" i="65"/>
  <c r="AX20" i="65"/>
  <c r="AG20" i="65"/>
  <c r="AF20" i="65"/>
  <c r="AE20" i="65"/>
  <c r="AD20" i="65"/>
  <c r="AC20" i="65"/>
  <c r="AH20" i="65" s="1"/>
  <c r="AJ20" i="65" s="1"/>
  <c r="AN20" i="65" s="1"/>
  <c r="L20" i="65"/>
  <c r="K20" i="65"/>
  <c r="J20" i="65"/>
  <c r="I20" i="65"/>
  <c r="H20" i="65"/>
  <c r="M20" i="65" s="1"/>
  <c r="O20" i="65" s="1"/>
  <c r="C20" i="65"/>
  <c r="BB19" i="65"/>
  <c r="BA19" i="65"/>
  <c r="AZ19" i="65"/>
  <c r="AY19" i="65"/>
  <c r="AX19" i="65"/>
  <c r="AG19" i="65"/>
  <c r="AF19" i="65"/>
  <c r="AE19" i="65"/>
  <c r="AD19" i="65"/>
  <c r="AC19" i="65"/>
  <c r="L19" i="65"/>
  <c r="K19" i="65"/>
  <c r="J19" i="65"/>
  <c r="I19" i="65"/>
  <c r="H19" i="65"/>
  <c r="C19" i="65"/>
  <c r="BB18" i="65"/>
  <c r="BA18" i="65"/>
  <c r="AZ18" i="65"/>
  <c r="AY18" i="65"/>
  <c r="AX18" i="65"/>
  <c r="AG18" i="65"/>
  <c r="AF18" i="65"/>
  <c r="AE18" i="65"/>
  <c r="AD18" i="65"/>
  <c r="AC18" i="65"/>
  <c r="AH18" i="65" s="1"/>
  <c r="AJ18" i="65" s="1"/>
  <c r="AN18" i="65" s="1"/>
  <c r="L18" i="65"/>
  <c r="K18" i="65"/>
  <c r="J18" i="65"/>
  <c r="I18" i="65"/>
  <c r="H18" i="65"/>
  <c r="M18" i="65" s="1"/>
  <c r="O18" i="65" s="1"/>
  <c r="C18" i="65"/>
  <c r="BB17" i="65"/>
  <c r="BA17" i="65"/>
  <c r="AZ17" i="65"/>
  <c r="AY17" i="65"/>
  <c r="AX17" i="65"/>
  <c r="AG17" i="65"/>
  <c r="AF17" i="65"/>
  <c r="AE17" i="65"/>
  <c r="AD17" i="65"/>
  <c r="AC17" i="65"/>
  <c r="AH17" i="65" s="1"/>
  <c r="AJ17" i="65" s="1"/>
  <c r="L17" i="65"/>
  <c r="K17" i="65"/>
  <c r="J17" i="65"/>
  <c r="I17" i="65"/>
  <c r="H17" i="65"/>
  <c r="C17" i="65"/>
  <c r="BB16" i="65"/>
  <c r="BA16" i="65"/>
  <c r="AZ16" i="65"/>
  <c r="AY16" i="65"/>
  <c r="AX16" i="65"/>
  <c r="AG16" i="65"/>
  <c r="AF16" i="65"/>
  <c r="AE16" i="65"/>
  <c r="AD16" i="65"/>
  <c r="AC16" i="65"/>
  <c r="AH16" i="65" s="1"/>
  <c r="AJ16" i="65" s="1"/>
  <c r="L16" i="65"/>
  <c r="K16" i="65"/>
  <c r="J16" i="65"/>
  <c r="I16" i="65"/>
  <c r="H16" i="65"/>
  <c r="M16" i="65" s="1"/>
  <c r="O16" i="65" s="1"/>
  <c r="C16" i="65"/>
  <c r="BB15" i="65"/>
  <c r="BA15" i="65"/>
  <c r="AZ15" i="65"/>
  <c r="AY15" i="65"/>
  <c r="AX15" i="65"/>
  <c r="AG15" i="65"/>
  <c r="AF15" i="65"/>
  <c r="AE15" i="65"/>
  <c r="AD15" i="65"/>
  <c r="AC15" i="65"/>
  <c r="L15" i="65"/>
  <c r="K15" i="65"/>
  <c r="J15" i="65"/>
  <c r="I15" i="65"/>
  <c r="H15" i="65"/>
  <c r="C15" i="65"/>
  <c r="BB14" i="65"/>
  <c r="BA14" i="65"/>
  <c r="AZ14" i="65"/>
  <c r="AY14" i="65"/>
  <c r="AX14" i="65"/>
  <c r="AG14" i="65"/>
  <c r="AF14" i="65"/>
  <c r="AE14" i="65"/>
  <c r="AD14" i="65"/>
  <c r="AC14" i="65"/>
  <c r="AH14" i="65" s="1"/>
  <c r="AJ14" i="65" s="1"/>
  <c r="L14" i="65"/>
  <c r="K14" i="65"/>
  <c r="J14" i="65"/>
  <c r="I14" i="65"/>
  <c r="H14" i="65"/>
  <c r="M14" i="65" s="1"/>
  <c r="O14" i="65" s="1"/>
  <c r="C14" i="65"/>
  <c r="BB13" i="65"/>
  <c r="BA13" i="65"/>
  <c r="AZ13" i="65"/>
  <c r="AY13" i="65"/>
  <c r="AX13" i="65"/>
  <c r="BJ13" i="65" s="1"/>
  <c r="AG13" i="65"/>
  <c r="AF13" i="65"/>
  <c r="AE13" i="65"/>
  <c r="AD13" i="65"/>
  <c r="AC13" i="65"/>
  <c r="AH13" i="65" s="1"/>
  <c r="AJ13" i="65" s="1"/>
  <c r="L13" i="65"/>
  <c r="K13" i="65"/>
  <c r="J13" i="65"/>
  <c r="I13" i="65"/>
  <c r="H13" i="65"/>
  <c r="C13" i="65"/>
  <c r="BB12" i="65"/>
  <c r="BA12" i="65"/>
  <c r="AZ12" i="65"/>
  <c r="AY12" i="65"/>
  <c r="AX12" i="65"/>
  <c r="AG12" i="65"/>
  <c r="AF12" i="65"/>
  <c r="AE12" i="65"/>
  <c r="AD12" i="65"/>
  <c r="AC12" i="65"/>
  <c r="AH12" i="65" s="1"/>
  <c r="AJ12" i="65" s="1"/>
  <c r="L12" i="65"/>
  <c r="K12" i="65"/>
  <c r="J12" i="65"/>
  <c r="I12" i="65"/>
  <c r="H12" i="65"/>
  <c r="M12" i="65" s="1"/>
  <c r="O12" i="65" s="1"/>
  <c r="C12" i="65"/>
  <c r="BB11" i="65"/>
  <c r="BA11" i="65"/>
  <c r="AZ11" i="65"/>
  <c r="AY11" i="65"/>
  <c r="AX11" i="65"/>
  <c r="AG11" i="65"/>
  <c r="AF11" i="65"/>
  <c r="AE11" i="65"/>
  <c r="AD11" i="65"/>
  <c r="AC11" i="65"/>
  <c r="L11" i="65"/>
  <c r="K11" i="65"/>
  <c r="J11" i="65"/>
  <c r="I11" i="65"/>
  <c r="H11" i="65"/>
  <c r="C11" i="65"/>
  <c r="BB10" i="65"/>
  <c r="BA10" i="65"/>
  <c r="AZ10" i="65"/>
  <c r="AY10" i="65"/>
  <c r="AX10" i="65"/>
  <c r="AG10" i="65"/>
  <c r="AF10" i="65"/>
  <c r="AE10" i="65"/>
  <c r="AD10" i="65"/>
  <c r="AC10" i="65"/>
  <c r="AH10" i="65" s="1"/>
  <c r="AJ10" i="65" s="1"/>
  <c r="AN10" i="65" s="1"/>
  <c r="L10" i="65"/>
  <c r="K10" i="65"/>
  <c r="J10" i="65"/>
  <c r="I10" i="65"/>
  <c r="H10" i="65"/>
  <c r="M10" i="65" s="1"/>
  <c r="O10" i="65" s="1"/>
  <c r="C10" i="65"/>
  <c r="BB9" i="65"/>
  <c r="BA9" i="65"/>
  <c r="AZ9" i="65"/>
  <c r="AY9" i="65"/>
  <c r="AX9" i="65"/>
  <c r="AG9" i="65"/>
  <c r="AF9" i="65"/>
  <c r="AE9" i="65"/>
  <c r="AD9" i="65"/>
  <c r="AC9" i="65"/>
  <c r="AH9" i="65" s="1"/>
  <c r="AJ9" i="65" s="1"/>
  <c r="L9" i="65"/>
  <c r="K9" i="65"/>
  <c r="J9" i="65"/>
  <c r="I9" i="65"/>
  <c r="H9" i="65"/>
  <c r="C9" i="65"/>
  <c r="BB8" i="65"/>
  <c r="BA8" i="65"/>
  <c r="AZ8" i="65"/>
  <c r="AY8" i="65"/>
  <c r="AX8" i="65"/>
  <c r="BC8" i="65" s="1"/>
  <c r="BE8" i="65" s="1"/>
  <c r="AG8" i="65"/>
  <c r="AF8" i="65"/>
  <c r="AE8" i="65"/>
  <c r="AD8" i="65"/>
  <c r="AC8" i="65"/>
  <c r="AH8" i="65" s="1"/>
  <c r="AJ8" i="65" s="1"/>
  <c r="AN8" i="65" s="1"/>
  <c r="L8" i="65"/>
  <c r="K8" i="65"/>
  <c r="J8" i="65"/>
  <c r="I8" i="65"/>
  <c r="H8" i="65"/>
  <c r="C8" i="65"/>
  <c r="BB7" i="65"/>
  <c r="BA7" i="65"/>
  <c r="AZ7" i="65"/>
  <c r="AY7" i="65"/>
  <c r="AX7" i="65"/>
  <c r="AG7" i="65"/>
  <c r="AF7" i="65"/>
  <c r="AE7" i="65"/>
  <c r="AD7" i="65"/>
  <c r="AC7" i="65"/>
  <c r="L7" i="65"/>
  <c r="K7" i="65"/>
  <c r="J7" i="65"/>
  <c r="I7" i="65"/>
  <c r="H7" i="65"/>
  <c r="C7" i="65"/>
  <c r="BB6" i="65"/>
  <c r="BA6" i="65"/>
  <c r="AZ6" i="65"/>
  <c r="AY6" i="65"/>
  <c r="AX6" i="65"/>
  <c r="AG6" i="65"/>
  <c r="AF6" i="65"/>
  <c r="AE6" i="65"/>
  <c r="AD6" i="65"/>
  <c r="AC6" i="65"/>
  <c r="AH6" i="65" s="1"/>
  <c r="AJ6" i="65" s="1"/>
  <c r="AN6" i="65" s="1"/>
  <c r="L6" i="65"/>
  <c r="K6" i="65"/>
  <c r="J6" i="65"/>
  <c r="I6" i="65"/>
  <c r="H6" i="65"/>
  <c r="M6" i="65" s="1"/>
  <c r="O6" i="65" s="1"/>
  <c r="C6" i="65"/>
  <c r="BB5" i="65"/>
  <c r="BA5" i="65"/>
  <c r="AZ5" i="65"/>
  <c r="AY5" i="65"/>
  <c r="AX5" i="65"/>
  <c r="AG5" i="65"/>
  <c r="AF5" i="65"/>
  <c r="AE5" i="65"/>
  <c r="AD5" i="65"/>
  <c r="AC5" i="65"/>
  <c r="AH5" i="65" s="1"/>
  <c r="AJ5" i="65" s="1"/>
  <c r="L5" i="65"/>
  <c r="K5" i="65"/>
  <c r="J5" i="65"/>
  <c r="I5" i="65"/>
  <c r="H5" i="65"/>
  <c r="C5" i="65"/>
  <c r="BB4" i="65"/>
  <c r="BA4" i="65"/>
  <c r="AZ4" i="65"/>
  <c r="AY4" i="65"/>
  <c r="AX4" i="65"/>
  <c r="BC4" i="65" s="1"/>
  <c r="BE4" i="65" s="1"/>
  <c r="AG4" i="65"/>
  <c r="AF4" i="65"/>
  <c r="AE4" i="65"/>
  <c r="AD4" i="65"/>
  <c r="AC4" i="65"/>
  <c r="AH4" i="65" s="1"/>
  <c r="AJ4" i="65" s="1"/>
  <c r="AN4" i="65" s="1"/>
  <c r="L4" i="65"/>
  <c r="K4" i="65"/>
  <c r="J4" i="65"/>
  <c r="I4" i="65"/>
  <c r="H4" i="65"/>
  <c r="C4" i="65"/>
  <c r="BB3" i="65"/>
  <c r="BA3" i="65"/>
  <c r="AZ3" i="65"/>
  <c r="AY3" i="65"/>
  <c r="AX3" i="65"/>
  <c r="AG3" i="65"/>
  <c r="AF3" i="65"/>
  <c r="AE3" i="65"/>
  <c r="AD3" i="65"/>
  <c r="AC3" i="65"/>
  <c r="L3" i="65"/>
  <c r="K3" i="65"/>
  <c r="J3" i="65"/>
  <c r="I3" i="65"/>
  <c r="H3" i="65"/>
  <c r="C3" i="65"/>
  <c r="BB2" i="65"/>
  <c r="BA2" i="65"/>
  <c r="AZ2" i="65"/>
  <c r="AY2" i="65"/>
  <c r="AX2" i="65"/>
  <c r="BC2" i="65" s="1"/>
  <c r="BE2" i="65" s="1"/>
  <c r="AG2" i="65"/>
  <c r="AF2" i="65"/>
  <c r="AE2" i="65"/>
  <c r="AD2" i="65"/>
  <c r="AC2" i="65"/>
  <c r="AH2" i="65" s="1"/>
  <c r="AJ2" i="65" s="1"/>
  <c r="L2" i="65"/>
  <c r="K2" i="65"/>
  <c r="J2" i="65"/>
  <c r="I2" i="65"/>
  <c r="H2" i="65"/>
  <c r="C2" i="65"/>
  <c r="BJ71" i="65"/>
  <c r="T71" i="65"/>
  <c r="BC70" i="65"/>
  <c r="U70" i="65"/>
  <c r="BJ69" i="65"/>
  <c r="T69" i="65"/>
  <c r="BC68" i="65"/>
  <c r="W68" i="65"/>
  <c r="M68" i="65"/>
  <c r="O68" i="65" s="1"/>
  <c r="S68" i="65" s="1"/>
  <c r="BM67" i="65"/>
  <c r="BC67" i="65"/>
  <c r="BE67" i="65" s="1"/>
  <c r="BI67" i="65" s="1"/>
  <c r="AR66" i="65"/>
  <c r="BJ65" i="65"/>
  <c r="BC64" i="65"/>
  <c r="M62" i="65"/>
  <c r="O62" i="65" s="1"/>
  <c r="T61" i="65"/>
  <c r="M60" i="65"/>
  <c r="O60" i="65" s="1"/>
  <c r="S60" i="65" s="1"/>
  <c r="M58" i="65"/>
  <c r="O58" i="65" s="1"/>
  <c r="BC56" i="65"/>
  <c r="BE56" i="65" s="1"/>
  <c r="M55" i="65"/>
  <c r="O55" i="65" s="1"/>
  <c r="BC52" i="65"/>
  <c r="BE52" i="65" s="1"/>
  <c r="M47" i="65"/>
  <c r="O47" i="65" s="1"/>
  <c r="U66" i="65" l="1"/>
  <c r="V69" i="65"/>
  <c r="BL69" i="65"/>
  <c r="CI65" i="65"/>
  <c r="CJ66" i="65"/>
  <c r="CH68" i="65"/>
  <c r="E119" i="44"/>
  <c r="E120" i="44"/>
  <c r="E117" i="44"/>
  <c r="E118" i="44"/>
  <c r="E116" i="44"/>
  <c r="CG69" i="65"/>
  <c r="X71" i="65"/>
  <c r="Z2" i="44"/>
  <c r="BM68" i="65"/>
  <c r="BM70" i="65"/>
  <c r="V65" i="65"/>
  <c r="BK66" i="65"/>
  <c r="BL71" i="65"/>
  <c r="AO61" i="65"/>
  <c r="AP68" i="65"/>
  <c r="CI15" i="65"/>
  <c r="CJ16" i="65"/>
  <c r="AO57" i="65"/>
  <c r="W42" i="65"/>
  <c r="CG48" i="65"/>
  <c r="AQ50" i="65"/>
  <c r="BL50" i="65"/>
  <c r="AP56" i="65"/>
  <c r="BM56" i="65"/>
  <c r="CJ62" i="65"/>
  <c r="BC50" i="65"/>
  <c r="BE50" i="65" s="1"/>
  <c r="BI50" i="65" s="1"/>
  <c r="T54" i="65"/>
  <c r="CJ8" i="65"/>
  <c r="CI19" i="65"/>
  <c r="CJ45" i="65"/>
  <c r="CJ53" i="65"/>
  <c r="CF55" i="65"/>
  <c r="CG71" i="65"/>
  <c r="AR67" i="65"/>
  <c r="AO69" i="65"/>
  <c r="BX69" i="65" s="1"/>
  <c r="AN71" i="65"/>
  <c r="AN5" i="65"/>
  <c r="AN25" i="65"/>
  <c r="AN2" i="65"/>
  <c r="BJ7" i="65"/>
  <c r="AN12" i="65"/>
  <c r="AN14" i="65"/>
  <c r="AN16" i="65"/>
  <c r="BJ17" i="65"/>
  <c r="T21" i="65"/>
  <c r="AP28" i="65"/>
  <c r="AP35" i="65"/>
  <c r="CF2" i="65"/>
  <c r="CJ2" i="65"/>
  <c r="AR2" i="65"/>
  <c r="BJ3" i="65"/>
  <c r="CI3" i="65"/>
  <c r="U4" i="65"/>
  <c r="CJ4" i="65"/>
  <c r="BJ5" i="65"/>
  <c r="CI5" i="65"/>
  <c r="CJ6" i="65"/>
  <c r="AR6" i="65"/>
  <c r="BK6" i="65"/>
  <c r="CI7" i="65"/>
  <c r="U8" i="65"/>
  <c r="AR8" i="65"/>
  <c r="BJ9" i="65"/>
  <c r="AR10" i="65"/>
  <c r="BK10" i="65"/>
  <c r="BJ11" i="65"/>
  <c r="CI11" i="65"/>
  <c r="CJ12" i="65"/>
  <c r="AR12" i="65"/>
  <c r="BK12" i="65"/>
  <c r="AR14" i="65"/>
  <c r="BK14" i="65"/>
  <c r="BJ15" i="65"/>
  <c r="AR16" i="65"/>
  <c r="BK16" i="65"/>
  <c r="AR18" i="65"/>
  <c r="BK18" i="65"/>
  <c r="BJ19" i="65"/>
  <c r="AR20" i="65"/>
  <c r="BI22" i="65"/>
  <c r="AP24" i="65"/>
  <c r="BM24" i="65"/>
  <c r="T25" i="65"/>
  <c r="CG25" i="65"/>
  <c r="CH26" i="65"/>
  <c r="BI26" i="65"/>
  <c r="T29" i="65"/>
  <c r="BI30" i="65"/>
  <c r="S32" i="65"/>
  <c r="AP32" i="65"/>
  <c r="BM32" i="65"/>
  <c r="T33" i="65"/>
  <c r="CG33" i="65"/>
  <c r="CH34" i="65"/>
  <c r="BI34" i="65"/>
  <c r="CH37" i="65"/>
  <c r="V38" i="65"/>
  <c r="AS38" i="65"/>
  <c r="CI38" i="65"/>
  <c r="S40" i="65"/>
  <c r="AP40" i="65"/>
  <c r="BI58" i="65"/>
  <c r="CI61" i="65"/>
  <c r="U68" i="65"/>
  <c r="AR68" i="65"/>
  <c r="CA68" i="65" s="1"/>
  <c r="W70" i="65"/>
  <c r="CH70" i="65"/>
  <c r="AR70" i="65"/>
  <c r="CA70" i="65" s="1"/>
  <c r="AN9" i="65"/>
  <c r="AN13" i="65"/>
  <c r="V15" i="65"/>
  <c r="AN17" i="65"/>
  <c r="V19" i="65"/>
  <c r="X23" i="65"/>
  <c r="X27" i="65"/>
  <c r="BL27" i="65"/>
  <c r="X31" i="65"/>
  <c r="AN33" i="65"/>
  <c r="X35" i="65"/>
  <c r="AL39" i="65"/>
  <c r="AN45" i="65"/>
  <c r="AN47" i="65"/>
  <c r="AO51" i="65"/>
  <c r="AN57" i="65"/>
  <c r="AO59" i="65"/>
  <c r="AL61" i="65"/>
  <c r="U62" i="65"/>
  <c r="AN63" i="65"/>
  <c r="AO65" i="65"/>
  <c r="AP67" i="65"/>
  <c r="AQ69" i="65"/>
  <c r="AS71" i="65"/>
  <c r="V3" i="65"/>
  <c r="AO3" i="65"/>
  <c r="V7" i="65"/>
  <c r="V11" i="65"/>
  <c r="M2" i="65"/>
  <c r="O2" i="65" s="1"/>
  <c r="S2" i="65" s="1"/>
  <c r="BK2" i="65"/>
  <c r="BK4" i="65"/>
  <c r="W30" i="65"/>
  <c r="BM40" i="65"/>
  <c r="AO63" i="65"/>
  <c r="AH65" i="65"/>
  <c r="AJ65" i="65" s="1"/>
  <c r="AN65" i="65" s="1"/>
  <c r="AO67" i="65"/>
  <c r="AS69" i="65"/>
  <c r="AP70" i="65"/>
  <c r="AQ71" i="65"/>
  <c r="AR4" i="65"/>
  <c r="AH67" i="65"/>
  <c r="AJ67" i="65" s="1"/>
  <c r="AN67" i="65" s="1"/>
  <c r="AH69" i="65"/>
  <c r="AJ69" i="65" s="1"/>
  <c r="AN69" i="65" s="1"/>
  <c r="AO71" i="65"/>
  <c r="BX71" i="65" s="1"/>
  <c r="CF6" i="65"/>
  <c r="AQ3" i="65"/>
  <c r="V5" i="65"/>
  <c r="AO5" i="65"/>
  <c r="AQ5" i="65"/>
  <c r="BN7" i="65"/>
  <c r="BN9" i="65"/>
  <c r="AO11" i="65"/>
  <c r="AH11" i="65"/>
  <c r="AJ11" i="65" s="1"/>
  <c r="AN11" i="65" s="1"/>
  <c r="BN13" i="65"/>
  <c r="AO15" i="65"/>
  <c r="AH15" i="65"/>
  <c r="AJ15" i="65" s="1"/>
  <c r="AN15" i="65" s="1"/>
  <c r="BN17" i="65"/>
  <c r="AO19" i="65"/>
  <c r="AH19" i="65"/>
  <c r="AJ19" i="65" s="1"/>
  <c r="AN19" i="65" s="1"/>
  <c r="AS21" i="65"/>
  <c r="AO21" i="65"/>
  <c r="BL23" i="65"/>
  <c r="AO25" i="65"/>
  <c r="AS25" i="65"/>
  <c r="M26" i="65"/>
  <c r="N26" i="65" s="1"/>
  <c r="R26" i="65" s="1"/>
  <c r="W26" i="65"/>
  <c r="BC28" i="65"/>
  <c r="BE28" i="65" s="1"/>
  <c r="BI28" i="65" s="1"/>
  <c r="BM28" i="65"/>
  <c r="AS29" i="65"/>
  <c r="AO29" i="65"/>
  <c r="BL31" i="65"/>
  <c r="BM35" i="65"/>
  <c r="U37" i="65"/>
  <c r="AO37" i="65"/>
  <c r="BJ38" i="65"/>
  <c r="BC38" i="65"/>
  <c r="BD38" i="65" s="1"/>
  <c r="BH38" i="65" s="1"/>
  <c r="BL39" i="65"/>
  <c r="AO41" i="65"/>
  <c r="AS41" i="65"/>
  <c r="X43" i="65"/>
  <c r="BL43" i="65"/>
  <c r="W45" i="65"/>
  <c r="AO45" i="65"/>
  <c r="M46" i="65"/>
  <c r="Q46" i="65" s="1"/>
  <c r="T46" i="65"/>
  <c r="AO47" i="65"/>
  <c r="X48" i="65"/>
  <c r="M48" i="65"/>
  <c r="N48" i="65" s="1"/>
  <c r="R48" i="65" s="1"/>
  <c r="BK49" i="65"/>
  <c r="U2" i="65"/>
  <c r="U6" i="65"/>
  <c r="BC6" i="65"/>
  <c r="BE6" i="65" s="1"/>
  <c r="BI6" i="65" s="1"/>
  <c r="BK8" i="65"/>
  <c r="BC10" i="65"/>
  <c r="BE10" i="65" s="1"/>
  <c r="BI10" i="65" s="1"/>
  <c r="AQ11" i="65"/>
  <c r="U12" i="65"/>
  <c r="BC14" i="65"/>
  <c r="BE14" i="65" s="1"/>
  <c r="AQ15" i="65"/>
  <c r="U16" i="65"/>
  <c r="BC18" i="65"/>
  <c r="BG18" i="65" s="1"/>
  <c r="AQ19" i="65"/>
  <c r="U20" i="65"/>
  <c r="W22" i="65"/>
  <c r="BC24" i="65"/>
  <c r="BE24" i="65" s="1"/>
  <c r="BI24" i="65" s="1"/>
  <c r="AH41" i="65"/>
  <c r="AJ41" i="65" s="1"/>
  <c r="AN41" i="65" s="1"/>
  <c r="AO43" i="65"/>
  <c r="CF47" i="65"/>
  <c r="AO49" i="65"/>
  <c r="AO53" i="65"/>
  <c r="BN3" i="65"/>
  <c r="CF4" i="65"/>
  <c r="M4" i="65"/>
  <c r="Q4" i="65" s="1"/>
  <c r="BN5" i="65"/>
  <c r="AQ7" i="65"/>
  <c r="AO7" i="65"/>
  <c r="CF8" i="65"/>
  <c r="M8" i="65"/>
  <c r="O8" i="65" s="1"/>
  <c r="S8" i="65" s="1"/>
  <c r="V9" i="65"/>
  <c r="AO9" i="65"/>
  <c r="AQ9" i="65"/>
  <c r="CF10" i="65"/>
  <c r="U10" i="65"/>
  <c r="BN11" i="65"/>
  <c r="V13" i="65"/>
  <c r="AO13" i="65"/>
  <c r="AQ13" i="65"/>
  <c r="CF14" i="65"/>
  <c r="U14" i="65"/>
  <c r="BN15" i="65"/>
  <c r="V17" i="65"/>
  <c r="AO17" i="65"/>
  <c r="AQ17" i="65"/>
  <c r="CF18" i="65"/>
  <c r="U18" i="65"/>
  <c r="BN19" i="65"/>
  <c r="BC20" i="65"/>
  <c r="BG20" i="65" s="1"/>
  <c r="BM20" i="65"/>
  <c r="AH23" i="65"/>
  <c r="AL23" i="65" s="1"/>
  <c r="AO23" i="65"/>
  <c r="AO27" i="65"/>
  <c r="AH27" i="65"/>
  <c r="AH31" i="65"/>
  <c r="AJ31" i="65" s="1"/>
  <c r="AN31" i="65" s="1"/>
  <c r="AO31" i="65"/>
  <c r="AO33" i="65"/>
  <c r="AS33" i="65"/>
  <c r="M34" i="65"/>
  <c r="N34" i="65" s="1"/>
  <c r="R34" i="65" s="1"/>
  <c r="W34" i="65"/>
  <c r="AO35" i="65"/>
  <c r="AH35" i="65"/>
  <c r="AJ35" i="65" s="1"/>
  <c r="AN35" i="65" s="1"/>
  <c r="BN36" i="65"/>
  <c r="BC36" i="65"/>
  <c r="BE36" i="65" s="1"/>
  <c r="BI36" i="65" s="1"/>
  <c r="X39" i="65"/>
  <c r="AO39" i="65"/>
  <c r="AN43" i="65"/>
  <c r="AN49" i="65"/>
  <c r="AR51" i="65"/>
  <c r="AH51" i="65"/>
  <c r="AJ51" i="65" s="1"/>
  <c r="AN51" i="65" s="1"/>
  <c r="W53" i="65"/>
  <c r="AN53" i="65"/>
  <c r="AO55" i="65"/>
  <c r="X59" i="65"/>
  <c r="BN63" i="65"/>
  <c r="V67" i="65"/>
  <c r="X69" i="65"/>
  <c r="BN69" i="65"/>
  <c r="BN71" i="65"/>
  <c r="BI37" i="65"/>
  <c r="S47" i="65"/>
  <c r="S55" i="65"/>
  <c r="AH3" i="65"/>
  <c r="AJ3" i="65" s="1"/>
  <c r="AN3" i="65" s="1"/>
  <c r="AH7" i="65"/>
  <c r="AJ7" i="65" s="1"/>
  <c r="AN7" i="65" s="1"/>
  <c r="AH21" i="65"/>
  <c r="AJ21" i="65" s="1"/>
  <c r="AN21" i="65" s="1"/>
  <c r="AH29" i="65"/>
  <c r="AL29" i="65" s="1"/>
  <c r="CI9" i="65"/>
  <c r="CJ10" i="65"/>
  <c r="CF12" i="65"/>
  <c r="CI13" i="65"/>
  <c r="CJ14" i="65"/>
  <c r="CF16" i="65"/>
  <c r="CI17" i="65"/>
  <c r="CJ18" i="65"/>
  <c r="CG21" i="65"/>
  <c r="CH22" i="65"/>
  <c r="CG29" i="65"/>
  <c r="CH30" i="65"/>
  <c r="CG41" i="65"/>
  <c r="CH42" i="65"/>
  <c r="CF64" i="65"/>
  <c r="CF66" i="65"/>
  <c r="CG67" i="65"/>
  <c r="CF68" i="65"/>
  <c r="CJ68" i="65"/>
  <c r="CI69" i="65"/>
  <c r="CF70" i="65"/>
  <c r="CJ70" i="65"/>
  <c r="CI71" i="65"/>
  <c r="M70" i="65"/>
  <c r="O70" i="65" s="1"/>
  <c r="S70" i="65" s="1"/>
  <c r="V71" i="65"/>
  <c r="BC12" i="65"/>
  <c r="BE12" i="65" s="1"/>
  <c r="BC16" i="65"/>
  <c r="BE16" i="65" s="1"/>
  <c r="BI16" i="65" s="1"/>
  <c r="BC66" i="65"/>
  <c r="BG66" i="65" s="1"/>
  <c r="BK67" i="65"/>
  <c r="BK68" i="65"/>
  <c r="BK70" i="65"/>
  <c r="BJ2" i="65"/>
  <c r="CG2" i="65"/>
  <c r="CI2" i="65"/>
  <c r="CH2" i="65"/>
  <c r="CF3" i="65"/>
  <c r="CH3" i="65"/>
  <c r="CJ3" i="65"/>
  <c r="AR3" i="65"/>
  <c r="BM3" i="65"/>
  <c r="BJ4" i="65"/>
  <c r="CG4" i="65"/>
  <c r="CI4" i="65"/>
  <c r="CH4" i="65"/>
  <c r="CF5" i="65"/>
  <c r="CH5" i="65"/>
  <c r="CJ5" i="65"/>
  <c r="AR5" i="65"/>
  <c r="BM5" i="65"/>
  <c r="BJ6" i="65"/>
  <c r="CG6" i="65"/>
  <c r="CI6" i="65"/>
  <c r="CH6" i="65"/>
  <c r="CF7" i="65"/>
  <c r="CH7" i="65"/>
  <c r="CJ7" i="65"/>
  <c r="AR7" i="65"/>
  <c r="BM7" i="65"/>
  <c r="BJ8" i="65"/>
  <c r="CG8" i="65"/>
  <c r="CI8" i="65"/>
  <c r="CH8" i="65"/>
  <c r="CF9" i="65"/>
  <c r="CH9" i="65"/>
  <c r="CJ9" i="65"/>
  <c r="AR9" i="65"/>
  <c r="BM9" i="65"/>
  <c r="BJ10" i="65"/>
  <c r="CG10" i="65"/>
  <c r="CI10" i="65"/>
  <c r="CH10" i="65"/>
  <c r="CF11" i="65"/>
  <c r="CH11" i="65"/>
  <c r="CJ11" i="65"/>
  <c r="AR11" i="65"/>
  <c r="BM11" i="65"/>
  <c r="BJ12" i="65"/>
  <c r="CG12" i="65"/>
  <c r="CI12" i="65"/>
  <c r="CH12" i="65"/>
  <c r="CF13" i="65"/>
  <c r="CH13" i="65"/>
  <c r="CJ13" i="65"/>
  <c r="AR13" i="65"/>
  <c r="BM13" i="65"/>
  <c r="BJ14" i="65"/>
  <c r="CG14" i="65"/>
  <c r="CI14" i="65"/>
  <c r="CH14" i="65"/>
  <c r="CF15" i="65"/>
  <c r="CH15" i="65"/>
  <c r="CJ15" i="65"/>
  <c r="AR15" i="65"/>
  <c r="BM15" i="65"/>
  <c r="BJ16" i="65"/>
  <c r="CG16" i="65"/>
  <c r="CI16" i="65"/>
  <c r="CH16" i="65"/>
  <c r="CF17" i="65"/>
  <c r="CH17" i="65"/>
  <c r="CJ17" i="65"/>
  <c r="AR17" i="65"/>
  <c r="BM17" i="65"/>
  <c r="BJ18" i="65"/>
  <c r="CG18" i="65"/>
  <c r="CI18" i="65"/>
  <c r="CH18" i="65"/>
  <c r="CF19" i="65"/>
  <c r="CH19" i="65"/>
  <c r="CJ19" i="65"/>
  <c r="AR19" i="65"/>
  <c r="BM19" i="65"/>
  <c r="BJ20" i="65"/>
  <c r="CG20" i="65"/>
  <c r="CI20" i="65"/>
  <c r="CF20" i="65"/>
  <c r="CH20" i="65"/>
  <c r="CJ20" i="65"/>
  <c r="X21" i="65"/>
  <c r="CH21" i="65"/>
  <c r="CJ21" i="65"/>
  <c r="AQ21" i="65"/>
  <c r="CI21" i="65"/>
  <c r="BN21" i="65"/>
  <c r="CI22" i="65"/>
  <c r="CF22" i="65"/>
  <c r="CJ22" i="65"/>
  <c r="BM22" i="65"/>
  <c r="V23" i="65"/>
  <c r="CH23" i="65"/>
  <c r="CJ23" i="65"/>
  <c r="CG23" i="65"/>
  <c r="CI23" i="65"/>
  <c r="W24" i="65"/>
  <c r="CI24" i="65"/>
  <c r="CH24" i="65"/>
  <c r="CJ24" i="65"/>
  <c r="X25" i="65"/>
  <c r="CH25" i="65"/>
  <c r="CJ25" i="65"/>
  <c r="AQ25" i="65"/>
  <c r="CI25" i="65"/>
  <c r="BN25" i="65"/>
  <c r="CI26" i="65"/>
  <c r="CF26" i="65"/>
  <c r="CJ26" i="65"/>
  <c r="BM26" i="65"/>
  <c r="V27" i="65"/>
  <c r="CH27" i="65"/>
  <c r="CJ27" i="65"/>
  <c r="CG27" i="65"/>
  <c r="CI27" i="65"/>
  <c r="W28" i="65"/>
  <c r="CI28" i="65"/>
  <c r="CH28" i="65"/>
  <c r="CJ28" i="65"/>
  <c r="X29" i="65"/>
  <c r="CH29" i="65"/>
  <c r="CJ29" i="65"/>
  <c r="AQ29" i="65"/>
  <c r="CI29" i="65"/>
  <c r="BN29" i="65"/>
  <c r="CI30" i="65"/>
  <c r="CF30" i="65"/>
  <c r="CJ30" i="65"/>
  <c r="BM30" i="65"/>
  <c r="V31" i="65"/>
  <c r="CH31" i="65"/>
  <c r="CJ31" i="65"/>
  <c r="CG31" i="65"/>
  <c r="CI31" i="65"/>
  <c r="W32" i="65"/>
  <c r="CI32" i="65"/>
  <c r="CH32" i="65"/>
  <c r="CJ32" i="65"/>
  <c r="X33" i="65"/>
  <c r="CH33" i="65"/>
  <c r="CJ33" i="65"/>
  <c r="AQ33" i="65"/>
  <c r="CI33" i="65"/>
  <c r="BN33" i="65"/>
  <c r="CI34" i="65"/>
  <c r="CF34" i="65"/>
  <c r="CJ34" i="65"/>
  <c r="BM34" i="65"/>
  <c r="CF35" i="65"/>
  <c r="CH35" i="65"/>
  <c r="CJ35" i="65"/>
  <c r="AR35" i="65"/>
  <c r="CI35" i="65"/>
  <c r="BK35" i="65"/>
  <c r="T36" i="65"/>
  <c r="CG36" i="65"/>
  <c r="CI36" i="65"/>
  <c r="CH36" i="65"/>
  <c r="CJ36" i="65"/>
  <c r="CF37" i="65"/>
  <c r="CJ37" i="65"/>
  <c r="AP37" i="65"/>
  <c r="CI37" i="65"/>
  <c r="BM37" i="65"/>
  <c r="T38" i="65"/>
  <c r="AO38" i="65"/>
  <c r="CH38" i="65"/>
  <c r="CJ38" i="65"/>
  <c r="BN38" i="65"/>
  <c r="V39" i="65"/>
  <c r="CH39" i="65"/>
  <c r="CJ39" i="65"/>
  <c r="CG39" i="65"/>
  <c r="CI39" i="65"/>
  <c r="W40" i="65"/>
  <c r="CI40" i="65"/>
  <c r="CH40" i="65"/>
  <c r="CJ40" i="65"/>
  <c r="X41" i="65"/>
  <c r="CH41" i="65"/>
  <c r="CJ41" i="65"/>
  <c r="AQ41" i="65"/>
  <c r="CI41" i="65"/>
  <c r="BN41" i="65"/>
  <c r="CI42" i="65"/>
  <c r="CF42" i="65"/>
  <c r="CJ42" i="65"/>
  <c r="BM42" i="65"/>
  <c r="V43" i="65"/>
  <c r="CH43" i="65"/>
  <c r="CJ43" i="65"/>
  <c r="CG43" i="65"/>
  <c r="CI43" i="65"/>
  <c r="BJ44" i="65"/>
  <c r="CG44" i="65"/>
  <c r="CI44" i="65"/>
  <c r="CH44" i="65"/>
  <c r="CJ44" i="65"/>
  <c r="CH45" i="65"/>
  <c r="AR45" i="65"/>
  <c r="CI45" i="65"/>
  <c r="BK45" i="65"/>
  <c r="BJ46" i="65"/>
  <c r="CG46" i="65"/>
  <c r="CI46" i="65"/>
  <c r="AQ46" i="65"/>
  <c r="CH46" i="65"/>
  <c r="CJ46" i="65"/>
  <c r="BL46" i="65"/>
  <c r="W47" i="65"/>
  <c r="CH47" i="65"/>
  <c r="CJ47" i="65"/>
  <c r="AR47" i="65"/>
  <c r="CI47" i="65"/>
  <c r="BJ48" i="65"/>
  <c r="CI48" i="65"/>
  <c r="CH48" i="65"/>
  <c r="CJ48" i="65"/>
  <c r="W49" i="65"/>
  <c r="CH49" i="65"/>
  <c r="CJ49" i="65"/>
  <c r="CI49" i="65"/>
  <c r="BJ50" i="65"/>
  <c r="CI50" i="65"/>
  <c r="CH50" i="65"/>
  <c r="CJ50" i="65"/>
  <c r="W51" i="65"/>
  <c r="CH51" i="65"/>
  <c r="CJ51" i="65"/>
  <c r="CI51" i="65"/>
  <c r="BJ52" i="65"/>
  <c r="CG52" i="65"/>
  <c r="CI52" i="65"/>
  <c r="CH52" i="65"/>
  <c r="CJ52" i="65"/>
  <c r="CF53" i="65"/>
  <c r="CH53" i="65"/>
  <c r="AR53" i="65"/>
  <c r="CI53" i="65"/>
  <c r="BK53" i="65"/>
  <c r="BJ54" i="65"/>
  <c r="CG54" i="65"/>
  <c r="CI54" i="65"/>
  <c r="AQ54" i="65"/>
  <c r="CH54" i="65"/>
  <c r="CJ54" i="65"/>
  <c r="BL54" i="65"/>
  <c r="W55" i="65"/>
  <c r="CH55" i="65"/>
  <c r="CJ55" i="65"/>
  <c r="AR55" i="65"/>
  <c r="CI55" i="65"/>
  <c r="BK55" i="65"/>
  <c r="CI56" i="65"/>
  <c r="CH56" i="65"/>
  <c r="CJ56" i="65"/>
  <c r="T57" i="65"/>
  <c r="CH57" i="65"/>
  <c r="CJ57" i="65"/>
  <c r="CG57" i="65"/>
  <c r="CI57" i="65"/>
  <c r="W58" i="65"/>
  <c r="CI58" i="65"/>
  <c r="CH58" i="65"/>
  <c r="CJ58" i="65"/>
  <c r="T59" i="65"/>
  <c r="CH59" i="65"/>
  <c r="CJ59" i="65"/>
  <c r="CG59" i="65"/>
  <c r="CI59" i="65"/>
  <c r="BL59" i="65"/>
  <c r="CI60" i="65"/>
  <c r="AP60" i="65"/>
  <c r="CH60" i="65"/>
  <c r="CJ60" i="65"/>
  <c r="BM60" i="65"/>
  <c r="X61" i="65"/>
  <c r="CH61" i="65"/>
  <c r="CJ61" i="65"/>
  <c r="AS61" i="65"/>
  <c r="BL61" i="65"/>
  <c r="BK62" i="65"/>
  <c r="CI62" i="65"/>
  <c r="CH62" i="65"/>
  <c r="V63" i="65"/>
  <c r="CH63" i="65"/>
  <c r="CJ63" i="65"/>
  <c r="AQ63" i="65"/>
  <c r="CI63" i="65"/>
  <c r="BJ63" i="65"/>
  <c r="BK64" i="65"/>
  <c r="CI64" i="65"/>
  <c r="CH64" i="65"/>
  <c r="CJ64" i="65"/>
  <c r="X65" i="65"/>
  <c r="CH65" i="65"/>
  <c r="CJ65" i="65"/>
  <c r="CG65" i="65"/>
  <c r="BL65" i="65"/>
  <c r="W66" i="65"/>
  <c r="CI66" i="65"/>
  <c r="AP66" i="65"/>
  <c r="CH66" i="65"/>
  <c r="BM66" i="65"/>
  <c r="CA66" i="65" s="1"/>
  <c r="CF67" i="65"/>
  <c r="CH67" i="65"/>
  <c r="CJ67" i="65"/>
  <c r="AS67" i="65"/>
  <c r="CI67" i="65"/>
  <c r="BN67" i="65"/>
  <c r="BJ68" i="65"/>
  <c r="CG68" i="65"/>
  <c r="CI68" i="65"/>
  <c r="AS68" i="65"/>
  <c r="BN68" i="65"/>
  <c r="CF69" i="65"/>
  <c r="CH69" i="65"/>
  <c r="CJ69" i="65"/>
  <c r="AR69" i="65"/>
  <c r="BM69" i="65"/>
  <c r="BJ70" i="65"/>
  <c r="CG70" i="65"/>
  <c r="CI70" i="65"/>
  <c r="AS70" i="65"/>
  <c r="BN70" i="65"/>
  <c r="CF71" i="65"/>
  <c r="CH71" i="65"/>
  <c r="CJ71" i="65"/>
  <c r="AR71" i="65"/>
  <c r="BM71" i="65"/>
  <c r="AS2" i="65"/>
  <c r="BN2" i="65"/>
  <c r="AS4" i="65"/>
  <c r="BN4" i="65"/>
  <c r="AS6" i="65"/>
  <c r="BN6" i="65"/>
  <c r="AS8" i="65"/>
  <c r="BN8" i="65"/>
  <c r="AS10" i="65"/>
  <c r="BN10" i="65"/>
  <c r="AS12" i="65"/>
  <c r="BN12" i="65"/>
  <c r="AS14" i="65"/>
  <c r="BN14" i="65"/>
  <c r="AS16" i="65"/>
  <c r="BN16" i="65"/>
  <c r="AS18" i="65"/>
  <c r="BN18" i="65"/>
  <c r="BK20" i="65"/>
  <c r="U22" i="65"/>
  <c r="BK24" i="65"/>
  <c r="U26" i="65"/>
  <c r="BK28" i="65"/>
  <c r="U30" i="65"/>
  <c r="BK32" i="65"/>
  <c r="U34" i="65"/>
  <c r="AQ36" i="65"/>
  <c r="BK40" i="65"/>
  <c r="U42" i="65"/>
  <c r="BL44" i="65"/>
  <c r="BL48" i="65"/>
  <c r="BL52" i="65"/>
  <c r="AP58" i="65"/>
  <c r="BM58" i="65"/>
  <c r="W60" i="65"/>
  <c r="U64" i="65"/>
  <c r="W2" i="65"/>
  <c r="AP2" i="65"/>
  <c r="BI2" i="65"/>
  <c r="BM2" i="65"/>
  <c r="T3" i="65"/>
  <c r="X3" i="65"/>
  <c r="AS3" i="65"/>
  <c r="BL3" i="65"/>
  <c r="CG3" i="65"/>
  <c r="W4" i="65"/>
  <c r="AP4" i="65"/>
  <c r="BY4" i="65" s="1"/>
  <c r="BI4" i="65"/>
  <c r="BM4" i="65"/>
  <c r="T5" i="65"/>
  <c r="X5" i="65"/>
  <c r="AS5" i="65"/>
  <c r="BL5" i="65"/>
  <c r="CG5" i="65"/>
  <c r="S6" i="65"/>
  <c r="W6" i="65"/>
  <c r="AP6" i="65"/>
  <c r="BY6" i="65" s="1"/>
  <c r="BM6" i="65"/>
  <c r="T7" i="65"/>
  <c r="X7" i="65"/>
  <c r="AS7" i="65"/>
  <c r="BL7" i="65"/>
  <c r="CG7" i="65"/>
  <c r="W8" i="65"/>
  <c r="AP8" i="65"/>
  <c r="BY8" i="65" s="1"/>
  <c r="BI8" i="65"/>
  <c r="BM8" i="65"/>
  <c r="T9" i="65"/>
  <c r="X9" i="65"/>
  <c r="AS9" i="65"/>
  <c r="BL9" i="65"/>
  <c r="CG9" i="65"/>
  <c r="S10" i="65"/>
  <c r="W10" i="65"/>
  <c r="AP10" i="65"/>
  <c r="BY10" i="65" s="1"/>
  <c r="BM10" i="65"/>
  <c r="T11" i="65"/>
  <c r="X11" i="65"/>
  <c r="AS11" i="65"/>
  <c r="BL11" i="65"/>
  <c r="CG11" i="65"/>
  <c r="S12" i="65"/>
  <c r="W12" i="65"/>
  <c r="AP12" i="65"/>
  <c r="BI12" i="65"/>
  <c r="BM12" i="65"/>
  <c r="T13" i="65"/>
  <c r="X13" i="65"/>
  <c r="AS13" i="65"/>
  <c r="BL13" i="65"/>
  <c r="CG13" i="65"/>
  <c r="S14" i="65"/>
  <c r="W14" i="65"/>
  <c r="AP14" i="65"/>
  <c r="BI14" i="65"/>
  <c r="BM14" i="65"/>
  <c r="T15" i="65"/>
  <c r="X15" i="65"/>
  <c r="AS15" i="65"/>
  <c r="BL15" i="65"/>
  <c r="CG15" i="65"/>
  <c r="S16" i="65"/>
  <c r="W16" i="65"/>
  <c r="AP16" i="65"/>
  <c r="BM16" i="65"/>
  <c r="T17" i="65"/>
  <c r="X17" i="65"/>
  <c r="AS17" i="65"/>
  <c r="BL17" i="65"/>
  <c r="CG17" i="65"/>
  <c r="S18" i="65"/>
  <c r="W18" i="65"/>
  <c r="AP18" i="65"/>
  <c r="BY18" i="65" s="1"/>
  <c r="BM18" i="65"/>
  <c r="T19" i="65"/>
  <c r="X19" i="65"/>
  <c r="AS19" i="65"/>
  <c r="BL19" i="65"/>
  <c r="CG19" i="65"/>
  <c r="S20" i="65"/>
  <c r="W20" i="65"/>
  <c r="AP20" i="65"/>
  <c r="BL21" i="65"/>
  <c r="AP22" i="65"/>
  <c r="T23" i="65"/>
  <c r="AS23" i="65"/>
  <c r="BL25" i="65"/>
  <c r="AP26" i="65"/>
  <c r="T27" i="65"/>
  <c r="AS27" i="65"/>
  <c r="BL29" i="65"/>
  <c r="AP30" i="65"/>
  <c r="T31" i="65"/>
  <c r="AS31" i="65"/>
  <c r="BI32" i="65"/>
  <c r="BL33" i="65"/>
  <c r="AP34" i="65"/>
  <c r="T35" i="65"/>
  <c r="BC35" i="65"/>
  <c r="BE35" i="65" s="1"/>
  <c r="BI35" i="65" s="1"/>
  <c r="V36" i="65"/>
  <c r="AS36" i="65"/>
  <c r="BJ36" i="65"/>
  <c r="T39" i="65"/>
  <c r="AS39" i="65"/>
  <c r="BI40" i="65"/>
  <c r="BL41" i="65"/>
  <c r="S42" i="65"/>
  <c r="AP42" i="65"/>
  <c r="T43" i="65"/>
  <c r="AS43" i="65"/>
  <c r="X44" i="65"/>
  <c r="T50" i="65"/>
  <c r="M51" i="65"/>
  <c r="O51" i="65" s="1"/>
  <c r="S51" i="65" s="1"/>
  <c r="CF51" i="65"/>
  <c r="X52" i="65"/>
  <c r="AS57" i="65"/>
  <c r="AQ65" i="65"/>
  <c r="BN65" i="65"/>
  <c r="S66" i="65"/>
  <c r="T67" i="65"/>
  <c r="X67" i="65"/>
  <c r="AQ67" i="65"/>
  <c r="BJ67" i="65"/>
  <c r="BL67" i="65"/>
  <c r="T68" i="65"/>
  <c r="V68" i="65"/>
  <c r="X68" i="65"/>
  <c r="AO68" i="65"/>
  <c r="AQ68" i="65"/>
  <c r="BL68" i="65"/>
  <c r="M69" i="65"/>
  <c r="N69" i="65" s="1"/>
  <c r="R69" i="65" s="1"/>
  <c r="U69" i="65"/>
  <c r="W69" i="65"/>
  <c r="AP69" i="65"/>
  <c r="BC69" i="65"/>
  <c r="BE69" i="65" s="1"/>
  <c r="BI69" i="65" s="1"/>
  <c r="BK69" i="65"/>
  <c r="T70" i="65"/>
  <c r="V70" i="65"/>
  <c r="X70" i="65"/>
  <c r="AO70" i="65"/>
  <c r="AQ70" i="65"/>
  <c r="BL70" i="65"/>
  <c r="M71" i="65"/>
  <c r="N71" i="65" s="1"/>
  <c r="R71" i="65" s="1"/>
  <c r="U71" i="65"/>
  <c r="W71" i="65"/>
  <c r="AP71" i="65"/>
  <c r="BC71" i="65"/>
  <c r="BE71" i="65" s="1"/>
  <c r="BI71" i="65" s="1"/>
  <c r="BK71" i="65"/>
  <c r="Z1" i="44"/>
  <c r="CF21" i="65"/>
  <c r="W21" i="65"/>
  <c r="U21" i="65"/>
  <c r="M21" i="65"/>
  <c r="BJ22" i="65"/>
  <c r="T22" i="65"/>
  <c r="BN22" i="65"/>
  <c r="BL22" i="65"/>
  <c r="AR23" i="65"/>
  <c r="AP23" i="65"/>
  <c r="BM23" i="65"/>
  <c r="BK23" i="65"/>
  <c r="BC23" i="65"/>
  <c r="BG23" i="65" s="1"/>
  <c r="CG24" i="65"/>
  <c r="X24" i="65"/>
  <c r="V24" i="65"/>
  <c r="AS24" i="65"/>
  <c r="AQ24" i="65"/>
  <c r="AO24" i="65"/>
  <c r="CF25" i="65"/>
  <c r="W25" i="65"/>
  <c r="U25" i="65"/>
  <c r="M25" i="65"/>
  <c r="O25" i="65" s="1"/>
  <c r="S25" i="65" s="1"/>
  <c r="BJ26" i="65"/>
  <c r="T26" i="65"/>
  <c r="BN26" i="65"/>
  <c r="BL26" i="65"/>
  <c r="AR27" i="65"/>
  <c r="AP27" i="65"/>
  <c r="BM27" i="65"/>
  <c r="BK27" i="65"/>
  <c r="BC27" i="65"/>
  <c r="BG27" i="65" s="1"/>
  <c r="CG28" i="65"/>
  <c r="X28" i="65"/>
  <c r="V28" i="65"/>
  <c r="AS28" i="65"/>
  <c r="AQ28" i="65"/>
  <c r="AO28" i="65"/>
  <c r="CF29" i="65"/>
  <c r="W29" i="65"/>
  <c r="U29" i="65"/>
  <c r="M29" i="65"/>
  <c r="O29" i="65" s="1"/>
  <c r="S29" i="65" s="1"/>
  <c r="BJ30" i="65"/>
  <c r="T30" i="65"/>
  <c r="BN30" i="65"/>
  <c r="BL30" i="65"/>
  <c r="AR31" i="65"/>
  <c r="AP31" i="65"/>
  <c r="BM31" i="65"/>
  <c r="BK31" i="65"/>
  <c r="BC31" i="65"/>
  <c r="BE31" i="65" s="1"/>
  <c r="BI31" i="65" s="1"/>
  <c r="CG32" i="65"/>
  <c r="X32" i="65"/>
  <c r="V32" i="65"/>
  <c r="AS32" i="65"/>
  <c r="AQ32" i="65"/>
  <c r="AO32" i="65"/>
  <c r="CF33" i="65"/>
  <c r="W33" i="65"/>
  <c r="U33" i="65"/>
  <c r="M33" i="65"/>
  <c r="BJ34" i="65"/>
  <c r="T34" i="65"/>
  <c r="BN34" i="65"/>
  <c r="BL34" i="65"/>
  <c r="BM36" i="65"/>
  <c r="BK36" i="65"/>
  <c r="CG37" i="65"/>
  <c r="AS37" i="65"/>
  <c r="AQ37" i="65"/>
  <c r="BN37" i="65"/>
  <c r="BL37" i="65"/>
  <c r="BJ37" i="65"/>
  <c r="W38" i="65"/>
  <c r="U38" i="65"/>
  <c r="CF38" i="65"/>
  <c r="AR38" i="65"/>
  <c r="AP38" i="65"/>
  <c r="AH38" i="65"/>
  <c r="AI38" i="65" s="1"/>
  <c r="AM38" i="65" s="1"/>
  <c r="BM38" i="65"/>
  <c r="BK38" i="65"/>
  <c r="AR39" i="65"/>
  <c r="AP39" i="65"/>
  <c r="BM39" i="65"/>
  <c r="BK39" i="65"/>
  <c r="BC39" i="65"/>
  <c r="BE39" i="65" s="1"/>
  <c r="BI39" i="65" s="1"/>
  <c r="CG40" i="65"/>
  <c r="X40" i="65"/>
  <c r="V40" i="65"/>
  <c r="AS40" i="65"/>
  <c r="AQ40" i="65"/>
  <c r="AO40" i="65"/>
  <c r="CF41" i="65"/>
  <c r="W41" i="65"/>
  <c r="U41" i="65"/>
  <c r="M41" i="65"/>
  <c r="Q41" i="65" s="1"/>
  <c r="BJ42" i="65"/>
  <c r="T42" i="65"/>
  <c r="BN42" i="65"/>
  <c r="BL42" i="65"/>
  <c r="AR43" i="65"/>
  <c r="AP43" i="65"/>
  <c r="BM43" i="65"/>
  <c r="BK43" i="65"/>
  <c r="BC43" i="65"/>
  <c r="W44" i="65"/>
  <c r="U44" i="65"/>
  <c r="V44" i="65"/>
  <c r="CF44" i="65"/>
  <c r="AR44" i="65"/>
  <c r="AP44" i="65"/>
  <c r="AH44" i="65"/>
  <c r="AJ44" i="65" s="1"/>
  <c r="AN44" i="65" s="1"/>
  <c r="AS44" i="65"/>
  <c r="AO44" i="65"/>
  <c r="X45" i="65"/>
  <c r="V45" i="65"/>
  <c r="T45" i="65"/>
  <c r="U45" i="65"/>
  <c r="BM46" i="65"/>
  <c r="BK46" i="65"/>
  <c r="BN46" i="65"/>
  <c r="CG47" i="65"/>
  <c r="AS47" i="65"/>
  <c r="AQ47" i="65"/>
  <c r="AP47" i="65"/>
  <c r="BN47" i="65"/>
  <c r="BL47" i="65"/>
  <c r="BJ47" i="65"/>
  <c r="BM47" i="65"/>
  <c r="BC47" i="65"/>
  <c r="BG47" i="65" s="1"/>
  <c r="W48" i="65"/>
  <c r="U48" i="65"/>
  <c r="V48" i="65"/>
  <c r="CF48" i="65"/>
  <c r="AR48" i="65"/>
  <c r="AP48" i="65"/>
  <c r="AH48" i="65"/>
  <c r="AJ48" i="65" s="1"/>
  <c r="AN48" i="65" s="1"/>
  <c r="AS48" i="65"/>
  <c r="AO48" i="65"/>
  <c r="X49" i="65"/>
  <c r="V49" i="65"/>
  <c r="T49" i="65"/>
  <c r="U49" i="65"/>
  <c r="CG49" i="65"/>
  <c r="AS49" i="65"/>
  <c r="AQ49" i="65"/>
  <c r="AP49" i="65"/>
  <c r="BN49" i="65"/>
  <c r="BL49" i="65"/>
  <c r="BJ49" i="65"/>
  <c r="BM49" i="65"/>
  <c r="BC49" i="65"/>
  <c r="BG49" i="65" s="1"/>
  <c r="W50" i="65"/>
  <c r="U50" i="65"/>
  <c r="V50" i="65"/>
  <c r="CF50" i="65"/>
  <c r="AR50" i="65"/>
  <c r="AP50" i="65"/>
  <c r="AH50" i="65"/>
  <c r="AJ50" i="65" s="1"/>
  <c r="AN50" i="65" s="1"/>
  <c r="AS50" i="65"/>
  <c r="AO50" i="65"/>
  <c r="CG51" i="65"/>
  <c r="AS51" i="65"/>
  <c r="AQ51" i="65"/>
  <c r="AP51" i="65"/>
  <c r="BN51" i="65"/>
  <c r="BL51" i="65"/>
  <c r="BJ51" i="65"/>
  <c r="BM51" i="65"/>
  <c r="BC51" i="65"/>
  <c r="BG51" i="65" s="1"/>
  <c r="W52" i="65"/>
  <c r="U52" i="65"/>
  <c r="V52" i="65"/>
  <c r="CF52" i="65"/>
  <c r="AR52" i="65"/>
  <c r="AP52" i="65"/>
  <c r="AH52" i="65"/>
  <c r="AJ52" i="65" s="1"/>
  <c r="AN52" i="65" s="1"/>
  <c r="AS52" i="65"/>
  <c r="AO52" i="65"/>
  <c r="T2" i="65"/>
  <c r="V2" i="65"/>
  <c r="X2" i="65"/>
  <c r="AO2" i="65"/>
  <c r="AQ2" i="65"/>
  <c r="BL2" i="65"/>
  <c r="M3" i="65"/>
  <c r="N3" i="65" s="1"/>
  <c r="R3" i="65" s="1"/>
  <c r="U3" i="65"/>
  <c r="W3" i="65"/>
  <c r="AP3" i="65"/>
  <c r="BC3" i="65"/>
  <c r="BE3" i="65" s="1"/>
  <c r="BI3" i="65" s="1"/>
  <c r="BK3" i="65"/>
  <c r="T4" i="65"/>
  <c r="V4" i="65"/>
  <c r="X4" i="65"/>
  <c r="AO4" i="65"/>
  <c r="AQ4" i="65"/>
  <c r="BL4" i="65"/>
  <c r="M5" i="65"/>
  <c r="O5" i="65" s="1"/>
  <c r="S5" i="65" s="1"/>
  <c r="U5" i="65"/>
  <c r="W5" i="65"/>
  <c r="AP5" i="65"/>
  <c r="BC5" i="65"/>
  <c r="BE5" i="65" s="1"/>
  <c r="BI5" i="65" s="1"/>
  <c r="BK5" i="65"/>
  <c r="T6" i="65"/>
  <c r="V6" i="65"/>
  <c r="X6" i="65"/>
  <c r="AO6" i="65"/>
  <c r="AQ6" i="65"/>
  <c r="BL6" i="65"/>
  <c r="M7" i="65"/>
  <c r="U7" i="65"/>
  <c r="W7" i="65"/>
  <c r="AP7" i="65"/>
  <c r="BC7" i="65"/>
  <c r="BE7" i="65" s="1"/>
  <c r="BI7" i="65" s="1"/>
  <c r="BK7" i="65"/>
  <c r="T8" i="65"/>
  <c r="V8" i="65"/>
  <c r="X8" i="65"/>
  <c r="AO8" i="65"/>
  <c r="AQ8" i="65"/>
  <c r="BL8" i="65"/>
  <c r="M9" i="65"/>
  <c r="U9" i="65"/>
  <c r="W9" i="65"/>
  <c r="AP9" i="65"/>
  <c r="BC9" i="65"/>
  <c r="BE9" i="65" s="1"/>
  <c r="BI9" i="65" s="1"/>
  <c r="BK9" i="65"/>
  <c r="T10" i="65"/>
  <c r="V10" i="65"/>
  <c r="X10" i="65"/>
  <c r="AO10" i="65"/>
  <c r="AQ10" i="65"/>
  <c r="BL10" i="65"/>
  <c r="M11" i="65"/>
  <c r="O11" i="65" s="1"/>
  <c r="S11" i="65" s="1"/>
  <c r="U11" i="65"/>
  <c r="W11" i="65"/>
  <c r="AP11" i="65"/>
  <c r="BC11" i="65"/>
  <c r="BE11" i="65" s="1"/>
  <c r="BI11" i="65" s="1"/>
  <c r="BK11" i="65"/>
  <c r="T12" i="65"/>
  <c r="V12" i="65"/>
  <c r="X12" i="65"/>
  <c r="AO12" i="65"/>
  <c r="AQ12" i="65"/>
  <c r="BL12" i="65"/>
  <c r="M13" i="65"/>
  <c r="O13" i="65" s="1"/>
  <c r="S13" i="65" s="1"/>
  <c r="U13" i="65"/>
  <c r="W13" i="65"/>
  <c r="AP13" i="65"/>
  <c r="BC13" i="65"/>
  <c r="BE13" i="65" s="1"/>
  <c r="BI13" i="65" s="1"/>
  <c r="BK13" i="65"/>
  <c r="T14" i="65"/>
  <c r="V14" i="65"/>
  <c r="X14" i="65"/>
  <c r="AO14" i="65"/>
  <c r="AQ14" i="65"/>
  <c r="BL14" i="65"/>
  <c r="M15" i="65"/>
  <c r="U15" i="65"/>
  <c r="W15" i="65"/>
  <c r="AP15" i="65"/>
  <c r="BC15" i="65"/>
  <c r="BE15" i="65" s="1"/>
  <c r="BI15" i="65" s="1"/>
  <c r="BK15" i="65"/>
  <c r="T16" i="65"/>
  <c r="V16" i="65"/>
  <c r="X16" i="65"/>
  <c r="AO16" i="65"/>
  <c r="AQ16" i="65"/>
  <c r="BL16" i="65"/>
  <c r="M17" i="65"/>
  <c r="U17" i="65"/>
  <c r="W17" i="65"/>
  <c r="AP17" i="65"/>
  <c r="BC17" i="65"/>
  <c r="BE17" i="65" s="1"/>
  <c r="BI17" i="65" s="1"/>
  <c r="BK17" i="65"/>
  <c r="T18" i="65"/>
  <c r="V18" i="65"/>
  <c r="X18" i="65"/>
  <c r="AO18" i="65"/>
  <c r="AQ18" i="65"/>
  <c r="BL18" i="65"/>
  <c r="M19" i="65"/>
  <c r="U19" i="65"/>
  <c r="W19" i="65"/>
  <c r="AP19" i="65"/>
  <c r="BC19" i="65"/>
  <c r="BE19" i="65" s="1"/>
  <c r="BI19" i="65" s="1"/>
  <c r="BK19" i="65"/>
  <c r="T20" i="65"/>
  <c r="V20" i="65"/>
  <c r="X20" i="65"/>
  <c r="AO20" i="65"/>
  <c r="AQ20" i="65"/>
  <c r="AS20" i="65"/>
  <c r="V21" i="65"/>
  <c r="BJ21" i="65"/>
  <c r="AH22" i="65"/>
  <c r="AL22" i="65" s="1"/>
  <c r="AR22" i="65"/>
  <c r="BK22" i="65"/>
  <c r="AQ23" i="65"/>
  <c r="BJ23" i="65"/>
  <c r="BN23" i="65"/>
  <c r="U24" i="65"/>
  <c r="AH24" i="65"/>
  <c r="AR24" i="65"/>
  <c r="CA24" i="65" s="1"/>
  <c r="CF24" i="65"/>
  <c r="V25" i="65"/>
  <c r="BJ25" i="65"/>
  <c r="AH26" i="65"/>
  <c r="AL26" i="65" s="1"/>
  <c r="AR26" i="65"/>
  <c r="BK26" i="65"/>
  <c r="AQ27" i="65"/>
  <c r="BJ27" i="65"/>
  <c r="BN27" i="65"/>
  <c r="U28" i="65"/>
  <c r="AH28" i="65"/>
  <c r="AR28" i="65"/>
  <c r="CA28" i="65" s="1"/>
  <c r="CF28" i="65"/>
  <c r="V29" i="65"/>
  <c r="BJ29" i="65"/>
  <c r="AH30" i="65"/>
  <c r="AL30" i="65" s="1"/>
  <c r="AR30" i="65"/>
  <c r="BK30" i="65"/>
  <c r="AQ31" i="65"/>
  <c r="BJ31" i="65"/>
  <c r="BN31" i="65"/>
  <c r="U32" i="65"/>
  <c r="AH32" i="65"/>
  <c r="AJ32" i="65" s="1"/>
  <c r="AN32" i="65" s="1"/>
  <c r="AR32" i="65"/>
  <c r="CA32" i="65" s="1"/>
  <c r="CF32" i="65"/>
  <c r="V33" i="65"/>
  <c r="BJ33" i="65"/>
  <c r="AH34" i="65"/>
  <c r="AJ34" i="65" s="1"/>
  <c r="AN34" i="65" s="1"/>
  <c r="AR34" i="65"/>
  <c r="BK34" i="65"/>
  <c r="V35" i="65"/>
  <c r="X36" i="65"/>
  <c r="BL36" i="65"/>
  <c r="M37" i="65"/>
  <c r="O37" i="65" s="1"/>
  <c r="S37" i="65" s="1"/>
  <c r="W37" i="65"/>
  <c r="AR37" i="65"/>
  <c r="BK37" i="65"/>
  <c r="X38" i="65"/>
  <c r="AQ38" i="65"/>
  <c r="BL38" i="65"/>
  <c r="CG38" i="65"/>
  <c r="M39" i="65"/>
  <c r="Q39" i="65" s="1"/>
  <c r="AQ39" i="65"/>
  <c r="BJ39" i="65"/>
  <c r="BN39" i="65"/>
  <c r="U40" i="65"/>
  <c r="AH40" i="65"/>
  <c r="AJ40" i="65" s="1"/>
  <c r="AN40" i="65" s="1"/>
  <c r="AR40" i="65"/>
  <c r="CA40" i="65" s="1"/>
  <c r="CF40" i="65"/>
  <c r="V41" i="65"/>
  <c r="BJ41" i="65"/>
  <c r="AH42" i="65"/>
  <c r="AJ42" i="65" s="1"/>
  <c r="AN42" i="65" s="1"/>
  <c r="BW42" i="65" s="1"/>
  <c r="AR42" i="65"/>
  <c r="BK42" i="65"/>
  <c r="AQ43" i="65"/>
  <c r="BJ43" i="65"/>
  <c r="BN43" i="65"/>
  <c r="T44" i="65"/>
  <c r="AQ44" i="65"/>
  <c r="M45" i="65"/>
  <c r="CF45" i="65"/>
  <c r="X46" i="65"/>
  <c r="BK47" i="65"/>
  <c r="T48" i="65"/>
  <c r="AQ48" i="65"/>
  <c r="M49" i="65"/>
  <c r="Q49" i="65" s="1"/>
  <c r="AR49" i="65"/>
  <c r="CF49" i="65"/>
  <c r="X50" i="65"/>
  <c r="CG50" i="65"/>
  <c r="BK51" i="65"/>
  <c r="T52" i="65"/>
  <c r="AQ52" i="65"/>
  <c r="M53" i="65"/>
  <c r="O53" i="65" s="1"/>
  <c r="S53" i="65" s="1"/>
  <c r="X54" i="65"/>
  <c r="S56" i="65"/>
  <c r="BN20" i="65"/>
  <c r="BL20" i="65"/>
  <c r="AR21" i="65"/>
  <c r="AP21" i="65"/>
  <c r="BM21" i="65"/>
  <c r="BK21" i="65"/>
  <c r="BC21" i="65"/>
  <c r="BG21" i="65" s="1"/>
  <c r="CG22" i="65"/>
  <c r="X22" i="65"/>
  <c r="V22" i="65"/>
  <c r="AS22" i="65"/>
  <c r="CB22" i="65" s="1"/>
  <c r="AQ22" i="65"/>
  <c r="BZ22" i="65" s="1"/>
  <c r="AO22" i="65"/>
  <c r="CF23" i="65"/>
  <c r="W23" i="65"/>
  <c r="U23" i="65"/>
  <c r="M23" i="65"/>
  <c r="O23" i="65" s="1"/>
  <c r="S23" i="65" s="1"/>
  <c r="BJ24" i="65"/>
  <c r="T24" i="65"/>
  <c r="BN24" i="65"/>
  <c r="BL24" i="65"/>
  <c r="AR25" i="65"/>
  <c r="AP25" i="65"/>
  <c r="BM25" i="65"/>
  <c r="BK25" i="65"/>
  <c r="BC25" i="65"/>
  <c r="BD25" i="65" s="1"/>
  <c r="BH25" i="65" s="1"/>
  <c r="CG26" i="65"/>
  <c r="X26" i="65"/>
  <c r="V26" i="65"/>
  <c r="AS26" i="65"/>
  <c r="CB26" i="65" s="1"/>
  <c r="AQ26" i="65"/>
  <c r="BZ26" i="65" s="1"/>
  <c r="AO26" i="65"/>
  <c r="BX26" i="65" s="1"/>
  <c r="CF27" i="65"/>
  <c r="W27" i="65"/>
  <c r="U27" i="65"/>
  <c r="M27" i="65"/>
  <c r="O27" i="65" s="1"/>
  <c r="S27" i="65" s="1"/>
  <c r="BJ28" i="65"/>
  <c r="T28" i="65"/>
  <c r="BN28" i="65"/>
  <c r="BL28" i="65"/>
  <c r="AR29" i="65"/>
  <c r="AP29" i="65"/>
  <c r="BM29" i="65"/>
  <c r="BK29" i="65"/>
  <c r="BC29" i="65"/>
  <c r="BD29" i="65" s="1"/>
  <c r="BH29" i="65" s="1"/>
  <c r="CG30" i="65"/>
  <c r="X30" i="65"/>
  <c r="V30" i="65"/>
  <c r="AS30" i="65"/>
  <c r="CB30" i="65" s="1"/>
  <c r="AQ30" i="65"/>
  <c r="BZ30" i="65" s="1"/>
  <c r="AO30" i="65"/>
  <c r="CF31" i="65"/>
  <c r="W31" i="65"/>
  <c r="U31" i="65"/>
  <c r="M31" i="65"/>
  <c r="O31" i="65" s="1"/>
  <c r="S31" i="65" s="1"/>
  <c r="BJ32" i="65"/>
  <c r="T32" i="65"/>
  <c r="BN32" i="65"/>
  <c r="BL32" i="65"/>
  <c r="AR33" i="65"/>
  <c r="AP33" i="65"/>
  <c r="BM33" i="65"/>
  <c r="BK33" i="65"/>
  <c r="BC33" i="65"/>
  <c r="BE33" i="65" s="1"/>
  <c r="BI33" i="65" s="1"/>
  <c r="CG34" i="65"/>
  <c r="X34" i="65"/>
  <c r="V34" i="65"/>
  <c r="AS34" i="65"/>
  <c r="CB34" i="65" s="1"/>
  <c r="AQ34" i="65"/>
  <c r="BZ34" i="65" s="1"/>
  <c r="AO34" i="65"/>
  <c r="BX34" i="65" s="1"/>
  <c r="W35" i="65"/>
  <c r="U35" i="65"/>
  <c r="M35" i="65"/>
  <c r="CG35" i="65"/>
  <c r="AS35" i="65"/>
  <c r="AQ35" i="65"/>
  <c r="BN35" i="65"/>
  <c r="BL35" i="65"/>
  <c r="BJ35" i="65"/>
  <c r="W36" i="65"/>
  <c r="U36" i="65"/>
  <c r="CF36" i="65"/>
  <c r="AR36" i="65"/>
  <c r="AP36" i="65"/>
  <c r="AH36" i="65"/>
  <c r="AJ36" i="65" s="1"/>
  <c r="AN36" i="65" s="1"/>
  <c r="X37" i="65"/>
  <c r="V37" i="65"/>
  <c r="T37" i="65"/>
  <c r="CF39" i="65"/>
  <c r="W39" i="65"/>
  <c r="U39" i="65"/>
  <c r="BJ40" i="65"/>
  <c r="T40" i="65"/>
  <c r="BN40" i="65"/>
  <c r="BL40" i="65"/>
  <c r="AR41" i="65"/>
  <c r="AP41" i="65"/>
  <c r="BM41" i="65"/>
  <c r="BK41" i="65"/>
  <c r="BC41" i="65"/>
  <c r="BE41" i="65" s="1"/>
  <c r="BI41" i="65" s="1"/>
  <c r="CG42" i="65"/>
  <c r="X42" i="65"/>
  <c r="V42" i="65"/>
  <c r="AS42" i="65"/>
  <c r="CB42" i="65" s="1"/>
  <c r="AQ42" i="65"/>
  <c r="AO42" i="65"/>
  <c r="BX42" i="65" s="1"/>
  <c r="CF43" i="65"/>
  <c r="W43" i="65"/>
  <c r="U43" i="65"/>
  <c r="M43" i="65"/>
  <c r="Q43" i="65" s="1"/>
  <c r="BM44" i="65"/>
  <c r="BK44" i="65"/>
  <c r="BN44" i="65"/>
  <c r="CG45" i="65"/>
  <c r="AS45" i="65"/>
  <c r="AQ45" i="65"/>
  <c r="AP45" i="65"/>
  <c r="BN45" i="65"/>
  <c r="BL45" i="65"/>
  <c r="BJ45" i="65"/>
  <c r="BM45" i="65"/>
  <c r="BC45" i="65"/>
  <c r="BE45" i="65" s="1"/>
  <c r="BI45" i="65" s="1"/>
  <c r="W46" i="65"/>
  <c r="U46" i="65"/>
  <c r="V46" i="65"/>
  <c r="CF46" i="65"/>
  <c r="AR46" i="65"/>
  <c r="CA46" i="65" s="1"/>
  <c r="AP46" i="65"/>
  <c r="BY46" i="65" s="1"/>
  <c r="AH46" i="65"/>
  <c r="AJ46" i="65" s="1"/>
  <c r="AN46" i="65" s="1"/>
  <c r="AS46" i="65"/>
  <c r="CB46" i="65" s="1"/>
  <c r="AO46" i="65"/>
  <c r="X47" i="65"/>
  <c r="V47" i="65"/>
  <c r="T47" i="65"/>
  <c r="U47" i="65"/>
  <c r="BM48" i="65"/>
  <c r="BK48" i="65"/>
  <c r="BN48" i="65"/>
  <c r="BM50" i="65"/>
  <c r="BK50" i="65"/>
  <c r="BN50" i="65"/>
  <c r="X51" i="65"/>
  <c r="V51" i="65"/>
  <c r="T51" i="65"/>
  <c r="U51" i="65"/>
  <c r="BM52" i="65"/>
  <c r="BK52" i="65"/>
  <c r="BN52" i="65"/>
  <c r="X53" i="65"/>
  <c r="V53" i="65"/>
  <c r="T53" i="65"/>
  <c r="U53" i="65"/>
  <c r="CG53" i="65"/>
  <c r="AS53" i="65"/>
  <c r="AQ53" i="65"/>
  <c r="AP53" i="65"/>
  <c r="BY53" i="65" s="1"/>
  <c r="BN53" i="65"/>
  <c r="BL53" i="65"/>
  <c r="BJ53" i="65"/>
  <c r="BM53" i="65"/>
  <c r="BC53" i="65"/>
  <c r="W54" i="65"/>
  <c r="U54" i="65"/>
  <c r="V54" i="65"/>
  <c r="CF54" i="65"/>
  <c r="AR54" i="65"/>
  <c r="AP54" i="65"/>
  <c r="AH54" i="65"/>
  <c r="AJ54" i="65" s="1"/>
  <c r="AN54" i="65" s="1"/>
  <c r="AS54" i="65"/>
  <c r="AO54" i="65"/>
  <c r="BX54" i="65" s="1"/>
  <c r="BM54" i="65"/>
  <c r="BK54" i="65"/>
  <c r="BN54" i="65"/>
  <c r="X55" i="65"/>
  <c r="V55" i="65"/>
  <c r="T55" i="65"/>
  <c r="U55" i="65"/>
  <c r="CG55" i="65"/>
  <c r="AS55" i="65"/>
  <c r="AQ55" i="65"/>
  <c r="AP55" i="65"/>
  <c r="BN55" i="65"/>
  <c r="BL55" i="65"/>
  <c r="BJ55" i="65"/>
  <c r="BM55" i="65"/>
  <c r="BC55" i="65"/>
  <c r="BE55" i="65" s="1"/>
  <c r="BI55" i="65" s="1"/>
  <c r="BW55" i="65" s="1"/>
  <c r="BJ56" i="65"/>
  <c r="T56" i="65"/>
  <c r="CG56" i="65"/>
  <c r="X56" i="65"/>
  <c r="V56" i="65"/>
  <c r="U56" i="65"/>
  <c r="W56" i="65"/>
  <c r="AS56" i="65"/>
  <c r="AQ56" i="65"/>
  <c r="AO56" i="65"/>
  <c r="CF56" i="65"/>
  <c r="AR56" i="65"/>
  <c r="AH56" i="65"/>
  <c r="AJ56" i="65" s="1"/>
  <c r="AN56" i="65" s="1"/>
  <c r="BN56" i="65"/>
  <c r="BL56" i="65"/>
  <c r="BK56" i="65"/>
  <c r="CF57" i="65"/>
  <c r="W57" i="65"/>
  <c r="U57" i="65"/>
  <c r="M57" i="65"/>
  <c r="V57" i="65"/>
  <c r="X57" i="65"/>
  <c r="AR57" i="65"/>
  <c r="AP57" i="65"/>
  <c r="AQ57" i="65"/>
  <c r="BM57" i="65"/>
  <c r="BK57" i="65"/>
  <c r="BC57" i="65"/>
  <c r="BE57" i="65" s="1"/>
  <c r="BI57" i="65" s="1"/>
  <c r="BN57" i="65"/>
  <c r="BJ57" i="65"/>
  <c r="BL57" i="65"/>
  <c r="S36" i="65"/>
  <c r="Q38" i="65"/>
  <c r="BG38" i="65"/>
  <c r="BI56" i="65"/>
  <c r="S58" i="65"/>
  <c r="AS59" i="65"/>
  <c r="BI60" i="65"/>
  <c r="AR62" i="65"/>
  <c r="BJ58" i="65"/>
  <c r="T58" i="65"/>
  <c r="CG58" i="65"/>
  <c r="X58" i="65"/>
  <c r="V58" i="65"/>
  <c r="U58" i="65"/>
  <c r="AS58" i="65"/>
  <c r="AQ58" i="65"/>
  <c r="AO58" i="65"/>
  <c r="CF58" i="65"/>
  <c r="AR58" i="65"/>
  <c r="CA58" i="65" s="1"/>
  <c r="AH58" i="65"/>
  <c r="AJ58" i="65" s="1"/>
  <c r="AN58" i="65" s="1"/>
  <c r="BN58" i="65"/>
  <c r="BL58" i="65"/>
  <c r="BK58" i="65"/>
  <c r="CF59" i="65"/>
  <c r="W59" i="65"/>
  <c r="U59" i="65"/>
  <c r="M59" i="65"/>
  <c r="Q59" i="65" s="1"/>
  <c r="V59" i="65"/>
  <c r="AR59" i="65"/>
  <c r="AP59" i="65"/>
  <c r="AQ59" i="65"/>
  <c r="BM59" i="65"/>
  <c r="BK59" i="65"/>
  <c r="BC59" i="65"/>
  <c r="BE59" i="65" s="1"/>
  <c r="BI59" i="65" s="1"/>
  <c r="BN59" i="65"/>
  <c r="BJ59" i="65"/>
  <c r="BJ60" i="65"/>
  <c r="T60" i="65"/>
  <c r="CG60" i="65"/>
  <c r="X60" i="65"/>
  <c r="V60" i="65"/>
  <c r="U60" i="65"/>
  <c r="AS60" i="65"/>
  <c r="AQ60" i="65"/>
  <c r="AO60" i="65"/>
  <c r="CF60" i="65"/>
  <c r="AR60" i="65"/>
  <c r="CA60" i="65" s="1"/>
  <c r="AH60" i="65"/>
  <c r="AL60" i="65" s="1"/>
  <c r="BN60" i="65"/>
  <c r="BL60" i="65"/>
  <c r="BK60" i="65"/>
  <c r="CF61" i="65"/>
  <c r="W61" i="65"/>
  <c r="U61" i="65"/>
  <c r="M61" i="65"/>
  <c r="O61" i="65" s="1"/>
  <c r="S61" i="65" s="1"/>
  <c r="V61" i="65"/>
  <c r="CG61" i="65"/>
  <c r="AR61" i="65"/>
  <c r="AP61" i="65"/>
  <c r="AQ61" i="65"/>
  <c r="BM61" i="65"/>
  <c r="BK61" i="65"/>
  <c r="BC61" i="65"/>
  <c r="BN61" i="65"/>
  <c r="BJ61" i="65"/>
  <c r="BJ62" i="65"/>
  <c r="T62" i="65"/>
  <c r="CG62" i="65"/>
  <c r="X62" i="65"/>
  <c r="V62" i="65"/>
  <c r="W62" i="65"/>
  <c r="AS62" i="65"/>
  <c r="AQ62" i="65"/>
  <c r="AO62" i="65"/>
  <c r="AP62" i="65"/>
  <c r="BY62" i="65" s="1"/>
  <c r="CF62" i="65"/>
  <c r="AH62" i="65"/>
  <c r="AL62" i="65" s="1"/>
  <c r="S44" i="65"/>
  <c r="BI44" i="65"/>
  <c r="BI46" i="65"/>
  <c r="BI48" i="65"/>
  <c r="BI52" i="65"/>
  <c r="S54" i="65"/>
  <c r="BI54" i="65"/>
  <c r="AR64" i="65"/>
  <c r="BN62" i="65"/>
  <c r="BL62" i="65"/>
  <c r="BM62" i="65"/>
  <c r="CF63" i="65"/>
  <c r="W63" i="65"/>
  <c r="U63" i="65"/>
  <c r="M63" i="65"/>
  <c r="N63" i="65" s="1"/>
  <c r="R63" i="65" s="1"/>
  <c r="X63" i="65"/>
  <c r="T63" i="65"/>
  <c r="AR63" i="65"/>
  <c r="AP63" i="65"/>
  <c r="CG63" i="65"/>
  <c r="AS63" i="65"/>
  <c r="BM63" i="65"/>
  <c r="BK63" i="65"/>
  <c r="BC63" i="65"/>
  <c r="BE63" i="65" s="1"/>
  <c r="BI63" i="65" s="1"/>
  <c r="BL63" i="65"/>
  <c r="BJ64" i="65"/>
  <c r="T64" i="65"/>
  <c r="CG64" i="65"/>
  <c r="X64" i="65"/>
  <c r="V64" i="65"/>
  <c r="W64" i="65"/>
  <c r="AS64" i="65"/>
  <c r="AQ64" i="65"/>
  <c r="AO64" i="65"/>
  <c r="AP64" i="65"/>
  <c r="BN64" i="65"/>
  <c r="BL64" i="65"/>
  <c r="BM64" i="65"/>
  <c r="S62" i="65"/>
  <c r="S64" i="65"/>
  <c r="T65" i="65"/>
  <c r="AS65" i="65"/>
  <c r="CB65" i="65" s="1"/>
  <c r="CF65" i="65"/>
  <c r="W65" i="65"/>
  <c r="U65" i="65"/>
  <c r="M65" i="65"/>
  <c r="N65" i="65" s="1"/>
  <c r="R65" i="65" s="1"/>
  <c r="AR65" i="65"/>
  <c r="AP65" i="65"/>
  <c r="BM65" i="65"/>
  <c r="BK65" i="65"/>
  <c r="BC65" i="65"/>
  <c r="BE65" i="65" s="1"/>
  <c r="BI65" i="65" s="1"/>
  <c r="BJ66" i="65"/>
  <c r="T66" i="65"/>
  <c r="CG66" i="65"/>
  <c r="X66" i="65"/>
  <c r="V66" i="65"/>
  <c r="AS66" i="65"/>
  <c r="BN66" i="65"/>
  <c r="AO66" i="65"/>
  <c r="AQ66" i="65"/>
  <c r="BL66" i="65"/>
  <c r="M67" i="65"/>
  <c r="N67" i="65" s="1"/>
  <c r="R67" i="65" s="1"/>
  <c r="U67" i="65"/>
  <c r="W67" i="65"/>
  <c r="AI63" i="65"/>
  <c r="AM63" i="65" s="1"/>
  <c r="BD42" i="65"/>
  <c r="BH42" i="65" s="1"/>
  <c r="N2" i="65"/>
  <c r="R2" i="65" s="1"/>
  <c r="N6" i="65"/>
  <c r="R6" i="65" s="1"/>
  <c r="BD52" i="65"/>
  <c r="BH52" i="65" s="1"/>
  <c r="BD56" i="65"/>
  <c r="BH56" i="65" s="1"/>
  <c r="N12" i="65"/>
  <c r="R12" i="65" s="1"/>
  <c r="N16" i="65"/>
  <c r="R16" i="65" s="1"/>
  <c r="N32" i="65"/>
  <c r="R32" i="65" s="1"/>
  <c r="N36" i="65"/>
  <c r="R36" i="65" s="1"/>
  <c r="N10" i="65"/>
  <c r="R10" i="65" s="1"/>
  <c r="N14" i="65"/>
  <c r="R14" i="65" s="1"/>
  <c r="N18" i="65"/>
  <c r="R18" i="65" s="1"/>
  <c r="N20" i="65"/>
  <c r="R20" i="65" s="1"/>
  <c r="BD37" i="65"/>
  <c r="BH37" i="65" s="1"/>
  <c r="BD40" i="65"/>
  <c r="BH40" i="65" s="1"/>
  <c r="BD44" i="65"/>
  <c r="BH44" i="65" s="1"/>
  <c r="BD46" i="65"/>
  <c r="BH46" i="65" s="1"/>
  <c r="N47" i="65"/>
  <c r="R47" i="65" s="1"/>
  <c r="BD48" i="65"/>
  <c r="BH48" i="65" s="1"/>
  <c r="BD54" i="65"/>
  <c r="BH54" i="65" s="1"/>
  <c r="N55" i="65"/>
  <c r="R55" i="65" s="1"/>
  <c r="BD58" i="65"/>
  <c r="BH58" i="65" s="1"/>
  <c r="AI66" i="65"/>
  <c r="AM66" i="65" s="1"/>
  <c r="BG2" i="65"/>
  <c r="BG4" i="65"/>
  <c r="BG8" i="65"/>
  <c r="BG16" i="65"/>
  <c r="BD2" i="65"/>
  <c r="BH2" i="65" s="1"/>
  <c r="BD4" i="65"/>
  <c r="BH4" i="65" s="1"/>
  <c r="Q6" i="65"/>
  <c r="BD8" i="65"/>
  <c r="BH8" i="65" s="1"/>
  <c r="Q10" i="65"/>
  <c r="BD10" i="65"/>
  <c r="BH10" i="65" s="1"/>
  <c r="Q12" i="65"/>
  <c r="Q14" i="65"/>
  <c r="Q16" i="65"/>
  <c r="BD16" i="65"/>
  <c r="BH16" i="65" s="1"/>
  <c r="Q18" i="65"/>
  <c r="BD18" i="65"/>
  <c r="BH18" i="65" s="1"/>
  <c r="BD20" i="65"/>
  <c r="BH20" i="65" s="1"/>
  <c r="Q20" i="65"/>
  <c r="AI25" i="65"/>
  <c r="AM25" i="65" s="1"/>
  <c r="Q32" i="65"/>
  <c r="BD32" i="65"/>
  <c r="BH32" i="65" s="1"/>
  <c r="Q33" i="65"/>
  <c r="BD34" i="65"/>
  <c r="BH34" i="65" s="1"/>
  <c r="BD35" i="65"/>
  <c r="BH35" i="65" s="1"/>
  <c r="Q36" i="65"/>
  <c r="BD36" i="65"/>
  <c r="BH36" i="65" s="1"/>
  <c r="O38" i="65"/>
  <c r="S38" i="65" s="1"/>
  <c r="N38" i="65"/>
  <c r="R38" i="65" s="1"/>
  <c r="AL25" i="65"/>
  <c r="BG32" i="65"/>
  <c r="BG34" i="65"/>
  <c r="BE38" i="65"/>
  <c r="BI38" i="65" s="1"/>
  <c r="BG37" i="65"/>
  <c r="N40" i="65"/>
  <c r="R40" i="65" s="1"/>
  <c r="BG40" i="65"/>
  <c r="N42" i="65"/>
  <c r="R42" i="65" s="1"/>
  <c r="BG42" i="65"/>
  <c r="N44" i="65"/>
  <c r="R44" i="65" s="1"/>
  <c r="BG44" i="65"/>
  <c r="O46" i="65"/>
  <c r="S46" i="65" s="1"/>
  <c r="O48" i="65"/>
  <c r="S48" i="65" s="1"/>
  <c r="O50" i="65"/>
  <c r="S50" i="65" s="1"/>
  <c r="N50" i="65"/>
  <c r="R50" i="65" s="1"/>
  <c r="O52" i="65"/>
  <c r="S52" i="65" s="1"/>
  <c r="N52" i="65"/>
  <c r="R52" i="65" s="1"/>
  <c r="Q40" i="65"/>
  <c r="Q42" i="65"/>
  <c r="Q44" i="65"/>
  <c r="Q48" i="65"/>
  <c r="Q50" i="65"/>
  <c r="Q52" i="65"/>
  <c r="Q54" i="65"/>
  <c r="Q56" i="65"/>
  <c r="Q58" i="65"/>
  <c r="Q60" i="65"/>
  <c r="BG60" i="65"/>
  <c r="AL64" i="65"/>
  <c r="BG46" i="65"/>
  <c r="Q47" i="65"/>
  <c r="BG48" i="65"/>
  <c r="BG52" i="65"/>
  <c r="N54" i="65"/>
  <c r="R54" i="65" s="1"/>
  <c r="BG54" i="65"/>
  <c r="Q55" i="65"/>
  <c r="N56" i="65"/>
  <c r="R56" i="65" s="1"/>
  <c r="BG56" i="65"/>
  <c r="N58" i="65"/>
  <c r="R58" i="65" s="1"/>
  <c r="BG58" i="65"/>
  <c r="N60" i="65"/>
  <c r="R60" i="65" s="1"/>
  <c r="BD60" i="65"/>
  <c r="BH60" i="65" s="1"/>
  <c r="AL63" i="65"/>
  <c r="AI64" i="65"/>
  <c r="AM64" i="65" s="1"/>
  <c r="AL66" i="65"/>
  <c r="AL68" i="65"/>
  <c r="AL69" i="65"/>
  <c r="AI70" i="65"/>
  <c r="AM70" i="65" s="1"/>
  <c r="AI71" i="65"/>
  <c r="AM71" i="65" s="1"/>
  <c r="AI68" i="65"/>
  <c r="AM68" i="65" s="1"/>
  <c r="AL70" i="65"/>
  <c r="AL71" i="65"/>
  <c r="AL2" i="65"/>
  <c r="AI2" i="65"/>
  <c r="AM2" i="65" s="1"/>
  <c r="AL4" i="65"/>
  <c r="AI4" i="65"/>
  <c r="AM4" i="65" s="1"/>
  <c r="AL5" i="65"/>
  <c r="AI5" i="65"/>
  <c r="AM5" i="65" s="1"/>
  <c r="AL6" i="65"/>
  <c r="AI6" i="65"/>
  <c r="AM6" i="65" s="1"/>
  <c r="AI7" i="65"/>
  <c r="AM7" i="65" s="1"/>
  <c r="AL8" i="65"/>
  <c r="AI8" i="65"/>
  <c r="AM8" i="65" s="1"/>
  <c r="AL9" i="65"/>
  <c r="AI9" i="65"/>
  <c r="AM9" i="65" s="1"/>
  <c r="AL10" i="65"/>
  <c r="AI10" i="65"/>
  <c r="AM10" i="65" s="1"/>
  <c r="AL12" i="65"/>
  <c r="AI12" i="65"/>
  <c r="AM12" i="65" s="1"/>
  <c r="AL13" i="65"/>
  <c r="AI13" i="65"/>
  <c r="AM13" i="65" s="1"/>
  <c r="AL14" i="65"/>
  <c r="AI14" i="65"/>
  <c r="AM14" i="65" s="1"/>
  <c r="AL16" i="65"/>
  <c r="AI16" i="65"/>
  <c r="AM16" i="65" s="1"/>
  <c r="AL17" i="65"/>
  <c r="AI17" i="65"/>
  <c r="AM17" i="65" s="1"/>
  <c r="AL18" i="65"/>
  <c r="AI18" i="65"/>
  <c r="AM18" i="65" s="1"/>
  <c r="AL20" i="65"/>
  <c r="AI20" i="65"/>
  <c r="AM20" i="65" s="1"/>
  <c r="AL21" i="65"/>
  <c r="Q22" i="65"/>
  <c r="N22" i="65"/>
  <c r="R22" i="65" s="1"/>
  <c r="O22" i="65"/>
  <c r="S22" i="65" s="1"/>
  <c r="Q24" i="65"/>
  <c r="N24" i="65"/>
  <c r="R24" i="65" s="1"/>
  <c r="O24" i="65"/>
  <c r="S24" i="65" s="1"/>
  <c r="BD23" i="65"/>
  <c r="BH23" i="65" s="1"/>
  <c r="Q26" i="65"/>
  <c r="Q28" i="65"/>
  <c r="N28" i="65"/>
  <c r="R28" i="65" s="1"/>
  <c r="BG29" i="65"/>
  <c r="Q30" i="65"/>
  <c r="N30" i="65"/>
  <c r="R30" i="65" s="1"/>
  <c r="BG22" i="65"/>
  <c r="BD22" i="65"/>
  <c r="BH22" i="65" s="1"/>
  <c r="BD24" i="65"/>
  <c r="BH24" i="65" s="1"/>
  <c r="BG26" i="65"/>
  <c r="BD26" i="65"/>
  <c r="BH26" i="65" s="1"/>
  <c r="O28" i="65"/>
  <c r="S28" i="65" s="1"/>
  <c r="O30" i="65"/>
  <c r="S30" i="65" s="1"/>
  <c r="BG30" i="65"/>
  <c r="BD30" i="65"/>
  <c r="BH30" i="65" s="1"/>
  <c r="AI31" i="65"/>
  <c r="AM31" i="65" s="1"/>
  <c r="AL33" i="65"/>
  <c r="AI33" i="65"/>
  <c r="AM33" i="65" s="1"/>
  <c r="AL37" i="65"/>
  <c r="AI37" i="65"/>
  <c r="AM37" i="65" s="1"/>
  <c r="AJ39" i="65"/>
  <c r="AN39" i="65" s="1"/>
  <c r="AI39" i="65"/>
  <c r="AM39" i="65" s="1"/>
  <c r="AI41" i="65"/>
  <c r="AM41" i="65" s="1"/>
  <c r="AL43" i="65"/>
  <c r="AI43" i="65"/>
  <c r="AM43" i="65" s="1"/>
  <c r="AL45" i="65"/>
  <c r="AI45" i="65"/>
  <c r="AM45" i="65" s="1"/>
  <c r="AL47" i="65"/>
  <c r="AI47" i="65"/>
  <c r="AM47" i="65" s="1"/>
  <c r="AL49" i="65"/>
  <c r="AI49" i="65"/>
  <c r="AM49" i="65" s="1"/>
  <c r="AL53" i="65"/>
  <c r="AI53" i="65"/>
  <c r="AM53" i="65" s="1"/>
  <c r="AL55" i="65"/>
  <c r="AI55" i="65"/>
  <c r="AM55" i="65" s="1"/>
  <c r="AL57" i="65"/>
  <c r="AI57" i="65"/>
  <c r="AM57" i="65" s="1"/>
  <c r="AL59" i="65"/>
  <c r="AI59" i="65"/>
  <c r="AM59" i="65" s="1"/>
  <c r="AJ61" i="65"/>
  <c r="AN61" i="65" s="1"/>
  <c r="BG62" i="65"/>
  <c r="BD62" i="65"/>
  <c r="BH62" i="65" s="1"/>
  <c r="BG64" i="65"/>
  <c r="BD64" i="65"/>
  <c r="BH64" i="65" s="1"/>
  <c r="BG68" i="65"/>
  <c r="BD68" i="65"/>
  <c r="BH68" i="65" s="1"/>
  <c r="Q69" i="65"/>
  <c r="BG70" i="65"/>
  <c r="BD70" i="65"/>
  <c r="BH70" i="65" s="1"/>
  <c r="AI61" i="65"/>
  <c r="AM61" i="65" s="1"/>
  <c r="Q62" i="65"/>
  <c r="N62" i="65"/>
  <c r="R62" i="65" s="1"/>
  <c r="BE62" i="65"/>
  <c r="BI62" i="65" s="1"/>
  <c r="Q64" i="65"/>
  <c r="N64" i="65"/>
  <c r="R64" i="65" s="1"/>
  <c r="BE64" i="65"/>
  <c r="BI64" i="65" s="1"/>
  <c r="Q66" i="65"/>
  <c r="N66" i="65"/>
  <c r="R66" i="65" s="1"/>
  <c r="BE66" i="65"/>
  <c r="BI66" i="65" s="1"/>
  <c r="BG67" i="65"/>
  <c r="BD67" i="65"/>
  <c r="BH67" i="65" s="1"/>
  <c r="Q68" i="65"/>
  <c r="N68" i="65"/>
  <c r="R68" i="65" s="1"/>
  <c r="BE68" i="65"/>
  <c r="BI68" i="65" s="1"/>
  <c r="BW68" i="65" s="1"/>
  <c r="BD69" i="65"/>
  <c r="BH69" i="65" s="1"/>
  <c r="BE70" i="65"/>
  <c r="BI70" i="65" s="1"/>
  <c r="BG71" i="65"/>
  <c r="BW70" i="65" l="1"/>
  <c r="CA49" i="65"/>
  <c r="BX36" i="65"/>
  <c r="BY16" i="65"/>
  <c r="BW8" i="65"/>
  <c r="BZ69" i="65"/>
  <c r="BD15" i="65"/>
  <c r="BH15" i="65" s="1"/>
  <c r="BD11" i="65"/>
  <c r="BH11" i="65" s="1"/>
  <c r="BY64" i="65"/>
  <c r="BZ61" i="65"/>
  <c r="BY55" i="65"/>
  <c r="BX46" i="65"/>
  <c r="BZ48" i="65"/>
  <c r="BZ43" i="65"/>
  <c r="CA30" i="65"/>
  <c r="BZ27" i="65"/>
  <c r="CA22" i="65"/>
  <c r="BX50" i="65"/>
  <c r="BY49" i="65"/>
  <c r="BY14" i="65"/>
  <c r="BY12" i="65"/>
  <c r="BY66" i="65"/>
  <c r="Q29" i="65"/>
  <c r="N27" i="65"/>
  <c r="R27" i="65" s="1"/>
  <c r="BG24" i="65"/>
  <c r="BE51" i="65"/>
  <c r="BI51" i="65" s="1"/>
  <c r="BD49" i="65"/>
  <c r="BH49" i="65" s="1"/>
  <c r="BE47" i="65"/>
  <c r="BI47" i="65" s="1"/>
  <c r="N46" i="65"/>
  <c r="R46" i="65" s="1"/>
  <c r="BD41" i="65"/>
  <c r="BH41" i="65" s="1"/>
  <c r="BG19" i="65"/>
  <c r="BE20" i="65"/>
  <c r="BI20" i="65" s="1"/>
  <c r="BW20" i="65" s="1"/>
  <c r="BE18" i="65"/>
  <c r="BI18" i="65" s="1"/>
  <c r="BW18" i="65" s="1"/>
  <c r="BG17" i="65"/>
  <c r="N13" i="65"/>
  <c r="R13" i="65" s="1"/>
  <c r="BG11" i="65"/>
  <c r="BD6" i="65"/>
  <c r="BH6" i="65" s="1"/>
  <c r="N5" i="65"/>
  <c r="R5" i="65" s="1"/>
  <c r="Q2" i="65"/>
  <c r="BG10" i="65"/>
  <c r="BG6" i="65"/>
  <c r="BD19" i="65"/>
  <c r="BH19" i="65" s="1"/>
  <c r="BD17" i="65"/>
  <c r="BH17" i="65" s="1"/>
  <c r="BD13" i="65"/>
  <c r="BH13" i="65" s="1"/>
  <c r="BD9" i="65"/>
  <c r="BH9" i="65" s="1"/>
  <c r="BY2" i="65"/>
  <c r="AI52" i="65"/>
  <c r="AM52" i="65" s="1"/>
  <c r="AL38" i="65"/>
  <c r="AI50" i="65"/>
  <c r="AM50" i="65" s="1"/>
  <c r="AL40" i="65"/>
  <c r="AL15" i="65"/>
  <c r="AL3" i="65"/>
  <c r="AL67" i="65"/>
  <c r="BW64" i="65"/>
  <c r="F116" i="44"/>
  <c r="F119" i="44"/>
  <c r="F118" i="44"/>
  <c r="F117" i="44"/>
  <c r="F120" i="44"/>
  <c r="BV20" i="65"/>
  <c r="BV18" i="65"/>
  <c r="BD33" i="65"/>
  <c r="BH33" i="65" s="1"/>
  <c r="BV16" i="65"/>
  <c r="O69" i="65"/>
  <c r="S69" i="65" s="1"/>
  <c r="BW69" i="65" s="1"/>
  <c r="BW66" i="65"/>
  <c r="Q71" i="65"/>
  <c r="BU71" i="65" s="1"/>
  <c r="BU49" i="65"/>
  <c r="AL34" i="65"/>
  <c r="BE25" i="65"/>
  <c r="BI25" i="65" s="1"/>
  <c r="BD27" i="65"/>
  <c r="BH27" i="65" s="1"/>
  <c r="BG25" i="65"/>
  <c r="BU16" i="65"/>
  <c r="BV13" i="65"/>
  <c r="BV2" i="65"/>
  <c r="BG41" i="65"/>
  <c r="BD45" i="65"/>
  <c r="BH45" i="65" s="1"/>
  <c r="BG39" i="65"/>
  <c r="BG35" i="65"/>
  <c r="BG33" i="65"/>
  <c r="BG9" i="65"/>
  <c r="BG7" i="65"/>
  <c r="BG3" i="65"/>
  <c r="Q13" i="65"/>
  <c r="N37" i="65"/>
  <c r="R37" i="65" s="1"/>
  <c r="BV37" i="65" s="1"/>
  <c r="BY45" i="65"/>
  <c r="BZ42" i="65"/>
  <c r="BX30" i="65"/>
  <c r="BX22" i="65"/>
  <c r="BZ52" i="65"/>
  <c r="BZ44" i="65"/>
  <c r="CA42" i="65"/>
  <c r="BW40" i="65"/>
  <c r="BZ39" i="65"/>
  <c r="CA34" i="65"/>
  <c r="BW32" i="65"/>
  <c r="BZ31" i="65"/>
  <c r="CA26" i="65"/>
  <c r="BZ23" i="65"/>
  <c r="BV52" i="65"/>
  <c r="BU38" i="65"/>
  <c r="BU10" i="65"/>
  <c r="BV6" i="65"/>
  <c r="BV64" i="65"/>
  <c r="BZ66" i="65"/>
  <c r="BX64" i="65"/>
  <c r="BX62" i="65"/>
  <c r="CB62" i="65"/>
  <c r="CA61" i="65"/>
  <c r="BY59" i="65"/>
  <c r="BW58" i="65"/>
  <c r="CA62" i="65"/>
  <c r="CB59" i="65"/>
  <c r="CA57" i="65"/>
  <c r="CB55" i="65"/>
  <c r="BY54" i="65"/>
  <c r="BZ53" i="65"/>
  <c r="CB45" i="65"/>
  <c r="BW36" i="65"/>
  <c r="CA36" i="65"/>
  <c r="BZ38" i="65"/>
  <c r="BX20" i="65"/>
  <c r="BX18" i="65"/>
  <c r="BX16" i="65"/>
  <c r="BX14" i="65"/>
  <c r="BX12" i="65"/>
  <c r="BX10" i="65"/>
  <c r="BX8" i="65"/>
  <c r="BX6" i="65"/>
  <c r="BX4" i="65"/>
  <c r="BX2" i="65"/>
  <c r="CB49" i="65"/>
  <c r="CA38" i="65"/>
  <c r="BX70" i="65"/>
  <c r="BX68" i="65"/>
  <c r="CB19" i="65"/>
  <c r="CB17" i="65"/>
  <c r="CB15" i="65"/>
  <c r="CB13" i="65"/>
  <c r="CB11" i="65"/>
  <c r="BW10" i="65"/>
  <c r="CB9" i="65"/>
  <c r="CB5" i="65"/>
  <c r="BW37" i="65"/>
  <c r="BZ65" i="65"/>
  <c r="BY20" i="65"/>
  <c r="BW6" i="65"/>
  <c r="BU68" i="65"/>
  <c r="BU29" i="65"/>
  <c r="BU47" i="65"/>
  <c r="BU40" i="65"/>
  <c r="BU33" i="65"/>
  <c r="BU20" i="65"/>
  <c r="BU18" i="65"/>
  <c r="BV10" i="65"/>
  <c r="BU6" i="65"/>
  <c r="BU4" i="65"/>
  <c r="BV68" i="65"/>
  <c r="BU66" i="65"/>
  <c r="BX66" i="65"/>
  <c r="CB66" i="65"/>
  <c r="CA65" i="65"/>
  <c r="BZ64" i="65"/>
  <c r="CB63" i="65"/>
  <c r="BY63" i="65"/>
  <c r="BU62" i="65"/>
  <c r="BZ62" i="65"/>
  <c r="BY61" i="65"/>
  <c r="BX60" i="65"/>
  <c r="CB60" i="65"/>
  <c r="BZ59" i="65"/>
  <c r="CA59" i="65"/>
  <c r="BX58" i="65"/>
  <c r="CB58" i="65"/>
  <c r="BY57" i="65"/>
  <c r="CA56" i="65"/>
  <c r="BX56" i="65"/>
  <c r="CB56" i="65"/>
  <c r="BZ55" i="65"/>
  <c r="BW54" i="65"/>
  <c r="CA54" i="65"/>
  <c r="CB53" i="65"/>
  <c r="BZ45" i="65"/>
  <c r="CA41" i="65"/>
  <c r="BY36" i="65"/>
  <c r="BZ35" i="65"/>
  <c r="CA33" i="65"/>
  <c r="BY29" i="65"/>
  <c r="CA25" i="65"/>
  <c r="BY21" i="65"/>
  <c r="CA37" i="65"/>
  <c r="BU30" i="65"/>
  <c r="BU26" i="65"/>
  <c r="BU22" i="65"/>
  <c r="BZ20" i="65"/>
  <c r="BZ18" i="65"/>
  <c r="BZ16" i="65"/>
  <c r="BZ14" i="65"/>
  <c r="BZ12" i="65"/>
  <c r="BZ10" i="65"/>
  <c r="BZ8" i="65"/>
  <c r="BZ6" i="65"/>
  <c r="BZ4" i="65"/>
  <c r="BZ2" i="65"/>
  <c r="CB52" i="65"/>
  <c r="BY52" i="65"/>
  <c r="BZ51" i="65"/>
  <c r="CB50" i="65"/>
  <c r="BY50" i="65"/>
  <c r="BZ49" i="65"/>
  <c r="CB48" i="65"/>
  <c r="BY48" i="65"/>
  <c r="BZ47" i="65"/>
  <c r="BX44" i="65"/>
  <c r="BW44" i="65"/>
  <c r="CA44" i="65"/>
  <c r="BY43" i="65"/>
  <c r="BX40" i="65"/>
  <c r="CB40" i="65"/>
  <c r="CA39" i="65"/>
  <c r="BY38" i="65"/>
  <c r="BZ37" i="65"/>
  <c r="BZ32" i="65"/>
  <c r="BY31" i="65"/>
  <c r="BX28" i="65"/>
  <c r="CB28" i="65"/>
  <c r="CA27" i="65"/>
  <c r="BZ24" i="65"/>
  <c r="BY23" i="65"/>
  <c r="BZ70" i="65"/>
  <c r="BZ68" i="65"/>
  <c r="CB36" i="65"/>
  <c r="BY34" i="65"/>
  <c r="CB7" i="65"/>
  <c r="CB3" i="65"/>
  <c r="CB70" i="65"/>
  <c r="CB68" i="65"/>
  <c r="CB67" i="65"/>
  <c r="BZ63" i="65"/>
  <c r="CB61" i="65"/>
  <c r="BZ54" i="65"/>
  <c r="CA53" i="65"/>
  <c r="BZ46" i="65"/>
  <c r="CA45" i="65"/>
  <c r="BZ41" i="65"/>
  <c r="BX38" i="65"/>
  <c r="BY37" i="65"/>
  <c r="CA35" i="65"/>
  <c r="BZ33" i="65"/>
  <c r="BZ25" i="65"/>
  <c r="CA19" i="65"/>
  <c r="CA15" i="65"/>
  <c r="CA11" i="65"/>
  <c r="CA7" i="65"/>
  <c r="CA3" i="65"/>
  <c r="BX55" i="65"/>
  <c r="CA51" i="65"/>
  <c r="BX35" i="65"/>
  <c r="BX33" i="65"/>
  <c r="BW31" i="65"/>
  <c r="BX27" i="65"/>
  <c r="BZ17" i="65"/>
  <c r="BZ13" i="65"/>
  <c r="BZ9" i="65"/>
  <c r="BZ7" i="65"/>
  <c r="BX49" i="65"/>
  <c r="BX43" i="65"/>
  <c r="BZ15" i="65"/>
  <c r="BX47" i="65"/>
  <c r="BX41" i="65"/>
  <c r="BX37" i="65"/>
  <c r="BX29" i="65"/>
  <c r="CB25" i="65"/>
  <c r="CB21" i="65"/>
  <c r="BX19" i="65"/>
  <c r="BX11" i="65"/>
  <c r="BX5" i="65"/>
  <c r="BZ3" i="65"/>
  <c r="BZ71" i="65"/>
  <c r="CB69" i="65"/>
  <c r="BX65" i="65"/>
  <c r="BX59" i="65"/>
  <c r="BX51" i="65"/>
  <c r="BY40" i="65"/>
  <c r="BY24" i="65"/>
  <c r="CA20" i="65"/>
  <c r="CA14" i="65"/>
  <c r="CA12" i="65"/>
  <c r="BY35" i="65"/>
  <c r="BW16" i="65"/>
  <c r="BW12" i="65"/>
  <c r="BW2" i="65"/>
  <c r="BW5" i="65"/>
  <c r="BY56" i="65"/>
  <c r="BZ50" i="65"/>
  <c r="BY68" i="65"/>
  <c r="BU64" i="65"/>
  <c r="BY65" i="65"/>
  <c r="CB64" i="65"/>
  <c r="CA63" i="65"/>
  <c r="CA64" i="65"/>
  <c r="BU60" i="65"/>
  <c r="BZ60" i="65"/>
  <c r="BZ58" i="65"/>
  <c r="BZ57" i="65"/>
  <c r="BW56" i="65"/>
  <c r="BZ56" i="65"/>
  <c r="CB54" i="65"/>
  <c r="BW46" i="65"/>
  <c r="BY41" i="65"/>
  <c r="CB35" i="65"/>
  <c r="BY33" i="65"/>
  <c r="CA29" i="65"/>
  <c r="BY25" i="65"/>
  <c r="CA21" i="65"/>
  <c r="CB20" i="65"/>
  <c r="BY19" i="65"/>
  <c r="BY17" i="65"/>
  <c r="BY15" i="65"/>
  <c r="BY13" i="65"/>
  <c r="BY11" i="65"/>
  <c r="BY9" i="65"/>
  <c r="BY7" i="65"/>
  <c r="BY5" i="65"/>
  <c r="BY3" i="65"/>
  <c r="BX52" i="65"/>
  <c r="BW52" i="65"/>
  <c r="CA52" i="65"/>
  <c r="BY51" i="65"/>
  <c r="CB51" i="65"/>
  <c r="BW50" i="65"/>
  <c r="CA50" i="65"/>
  <c r="BX48" i="65"/>
  <c r="BW48" i="65"/>
  <c r="CA48" i="65"/>
  <c r="BY47" i="65"/>
  <c r="CB47" i="65"/>
  <c r="CB44" i="65"/>
  <c r="BY44" i="65"/>
  <c r="CA43" i="65"/>
  <c r="BZ40" i="65"/>
  <c r="BY39" i="65"/>
  <c r="BV38" i="65"/>
  <c r="CB37" i="65"/>
  <c r="BX32" i="65"/>
  <c r="CB32" i="65"/>
  <c r="CA31" i="65"/>
  <c r="BZ28" i="65"/>
  <c r="BY27" i="65"/>
  <c r="BX24" i="65"/>
  <c r="CB24" i="65"/>
  <c r="CA23" i="65"/>
  <c r="BY71" i="65"/>
  <c r="BY69" i="65"/>
  <c r="BZ67" i="65"/>
  <c r="CB57" i="65"/>
  <c r="CB43" i="65"/>
  <c r="BY42" i="65"/>
  <c r="CB39" i="65"/>
  <c r="CB31" i="65"/>
  <c r="BY30" i="65"/>
  <c r="CB27" i="65"/>
  <c r="BY26" i="65"/>
  <c r="CB23" i="65"/>
  <c r="BY22" i="65"/>
  <c r="BY58" i="65"/>
  <c r="BZ36" i="65"/>
  <c r="CB18" i="65"/>
  <c r="CB16" i="65"/>
  <c r="CB14" i="65"/>
  <c r="CB12" i="65"/>
  <c r="CB10" i="65"/>
  <c r="CB8" i="65"/>
  <c r="CB6" i="65"/>
  <c r="CB4" i="65"/>
  <c r="CB2" i="65"/>
  <c r="CA71" i="65"/>
  <c r="CA69" i="65"/>
  <c r="BY60" i="65"/>
  <c r="CA55" i="65"/>
  <c r="CA47" i="65"/>
  <c r="BZ29" i="65"/>
  <c r="BZ21" i="65"/>
  <c r="CA17" i="65"/>
  <c r="CA13" i="65"/>
  <c r="CA9" i="65"/>
  <c r="CA5" i="65"/>
  <c r="BW51" i="65"/>
  <c r="BX39" i="65"/>
  <c r="CB33" i="65"/>
  <c r="BX31" i="65"/>
  <c r="BX23" i="65"/>
  <c r="BX17" i="65"/>
  <c r="BX13" i="65"/>
  <c r="BX9" i="65"/>
  <c r="BX7" i="65"/>
  <c r="BX53" i="65"/>
  <c r="BZ19" i="65"/>
  <c r="BZ11" i="65"/>
  <c r="BX45" i="65"/>
  <c r="CB41" i="65"/>
  <c r="CB29" i="65"/>
  <c r="BX25" i="65"/>
  <c r="BX21" i="65"/>
  <c r="BX15" i="65"/>
  <c r="BW11" i="65"/>
  <c r="BZ5" i="65"/>
  <c r="CA4" i="65"/>
  <c r="BY70" i="65"/>
  <c r="BX67" i="65"/>
  <c r="BX63" i="65"/>
  <c r="BX3" i="65"/>
  <c r="CB71" i="65"/>
  <c r="BY67" i="65"/>
  <c r="BW47" i="65"/>
  <c r="BU39" i="65"/>
  <c r="BW13" i="65"/>
  <c r="CB38" i="65"/>
  <c r="BY32" i="65"/>
  <c r="CA18" i="65"/>
  <c r="CA16" i="65"/>
  <c r="CA10" i="65"/>
  <c r="CA8" i="65"/>
  <c r="CA6" i="65"/>
  <c r="CA2" i="65"/>
  <c r="BY28" i="65"/>
  <c r="BW14" i="65"/>
  <c r="BW25" i="65"/>
  <c r="CA67" i="65"/>
  <c r="BX57" i="65"/>
  <c r="BX61" i="65"/>
  <c r="Q63" i="65"/>
  <c r="BU2" i="65"/>
  <c r="BD55" i="65"/>
  <c r="BH55" i="65" s="1"/>
  <c r="BV55" i="65" s="1"/>
  <c r="AA2" i="44"/>
  <c r="BD71" i="65"/>
  <c r="BH71" i="65" s="1"/>
  <c r="BV71" i="65" s="1"/>
  <c r="O71" i="65"/>
  <c r="S71" i="65" s="1"/>
  <c r="BW71" i="65" s="1"/>
  <c r="Q70" i="65"/>
  <c r="BU70" i="65" s="1"/>
  <c r="BG69" i="65"/>
  <c r="BU69" i="65" s="1"/>
  <c r="BD65" i="65"/>
  <c r="BH65" i="65" s="1"/>
  <c r="BD66" i="65"/>
  <c r="BH66" i="65" s="1"/>
  <c r="BV66" i="65" s="1"/>
  <c r="AI51" i="65"/>
  <c r="AM51" i="65" s="1"/>
  <c r="AI44" i="65"/>
  <c r="AM44" i="65" s="1"/>
  <c r="BV44" i="65" s="1"/>
  <c r="AI35" i="65"/>
  <c r="AM35" i="65" s="1"/>
  <c r="N29" i="65"/>
  <c r="R29" i="65" s="1"/>
  <c r="BG28" i="65"/>
  <c r="BE27" i="65"/>
  <c r="BI27" i="65" s="1"/>
  <c r="Q27" i="65"/>
  <c r="AL19" i="65"/>
  <c r="AI11" i="65"/>
  <c r="AM11" i="65" s="1"/>
  <c r="BD59" i="65"/>
  <c r="BH59" i="65" s="1"/>
  <c r="BD57" i="65"/>
  <c r="BH57" i="65" s="1"/>
  <c r="Q53" i="65"/>
  <c r="Q51" i="65"/>
  <c r="BG57" i="65"/>
  <c r="BD51" i="65"/>
  <c r="BH51" i="65" s="1"/>
  <c r="BE49" i="65"/>
  <c r="BI49" i="65" s="1"/>
  <c r="BD47" i="65"/>
  <c r="BH47" i="65" s="1"/>
  <c r="BV47" i="65" s="1"/>
  <c r="BG45" i="65"/>
  <c r="BG36" i="65"/>
  <c r="Q37" i="65"/>
  <c r="BU37" i="65" s="1"/>
  <c r="BG15" i="65"/>
  <c r="BG13" i="65"/>
  <c r="N11" i="65"/>
  <c r="R11" i="65" s="1"/>
  <c r="BG5" i="65"/>
  <c r="BG14" i="65"/>
  <c r="BU14" i="65" s="1"/>
  <c r="Q11" i="65"/>
  <c r="Q5" i="65"/>
  <c r="BD39" i="65"/>
  <c r="BH39" i="65" s="1"/>
  <c r="BD3" i="65"/>
  <c r="BH3" i="65" s="1"/>
  <c r="BD7" i="65"/>
  <c r="BH7" i="65" s="1"/>
  <c r="BD5" i="65"/>
  <c r="BH5" i="65" s="1"/>
  <c r="BV5" i="65" s="1"/>
  <c r="BD50" i="65"/>
  <c r="BH50" i="65" s="1"/>
  <c r="BV50" i="65" s="1"/>
  <c r="AI69" i="65"/>
  <c r="AM69" i="65" s="1"/>
  <c r="BV69" i="65" s="1"/>
  <c r="O65" i="65"/>
  <c r="S65" i="65" s="1"/>
  <c r="BW65" i="65" s="1"/>
  <c r="BD63" i="65"/>
  <c r="BH63" i="65" s="1"/>
  <c r="BV63" i="65" s="1"/>
  <c r="Q65" i="65"/>
  <c r="AI48" i="65"/>
  <c r="AM48" i="65" s="1"/>
  <c r="BV48" i="65" s="1"/>
  <c r="AJ38" i="65"/>
  <c r="AN38" i="65" s="1"/>
  <c r="BW38" i="65" s="1"/>
  <c r="Q25" i="65"/>
  <c r="BU25" i="65" s="1"/>
  <c r="AL46" i="65"/>
  <c r="BU46" i="65" s="1"/>
  <c r="Q61" i="65"/>
  <c r="N61" i="65"/>
  <c r="R61" i="65" s="1"/>
  <c r="N70" i="65"/>
  <c r="R70" i="65" s="1"/>
  <c r="BV70" i="65" s="1"/>
  <c r="O67" i="65"/>
  <c r="S67" i="65" s="1"/>
  <c r="BW67" i="65" s="1"/>
  <c r="Q67" i="65"/>
  <c r="AL56" i="65"/>
  <c r="BU56" i="65" s="1"/>
  <c r="AL52" i="65"/>
  <c r="BU52" i="65" s="1"/>
  <c r="AL51" i="65"/>
  <c r="AL50" i="65"/>
  <c r="AL48" i="65"/>
  <c r="BU48" i="65" s="1"/>
  <c r="AL41" i="65"/>
  <c r="BU41" i="65" s="1"/>
  <c r="AI36" i="65"/>
  <c r="AM36" i="65" s="1"/>
  <c r="BV36" i="65" s="1"/>
  <c r="AL35" i="65"/>
  <c r="AI32" i="65"/>
  <c r="AM32" i="65" s="1"/>
  <c r="BV32" i="65" s="1"/>
  <c r="N31" i="65"/>
  <c r="R31" i="65" s="1"/>
  <c r="BD28" i="65"/>
  <c r="BH28" i="65" s="1"/>
  <c r="O26" i="65"/>
  <c r="S26" i="65" s="1"/>
  <c r="N25" i="65"/>
  <c r="R25" i="65" s="1"/>
  <c r="BV25" i="65" s="1"/>
  <c r="Q23" i="65"/>
  <c r="BU23" i="65" s="1"/>
  <c r="BE23" i="65"/>
  <c r="BI23" i="65" s="1"/>
  <c r="AI19" i="65"/>
  <c r="AM19" i="65" s="1"/>
  <c r="AL11" i="65"/>
  <c r="BU11" i="65" s="1"/>
  <c r="AL7" i="65"/>
  <c r="BG50" i="65"/>
  <c r="BD14" i="65"/>
  <c r="BH14" i="65" s="1"/>
  <c r="BV14" i="65" s="1"/>
  <c r="BD12" i="65"/>
  <c r="BH12" i="65" s="1"/>
  <c r="BV12" i="65" s="1"/>
  <c r="Q8" i="65"/>
  <c r="BU8" i="65" s="1"/>
  <c r="BD21" i="65"/>
  <c r="BH21" i="65" s="1"/>
  <c r="BG12" i="65"/>
  <c r="BU12" i="65" s="1"/>
  <c r="N8" i="65"/>
  <c r="R8" i="65" s="1"/>
  <c r="BV8" i="65" s="1"/>
  <c r="AL42" i="65"/>
  <c r="BU42" i="65" s="1"/>
  <c r="AJ60" i="65"/>
  <c r="AN60" i="65" s="1"/>
  <c r="BW60" i="65" s="1"/>
  <c r="AL44" i="65"/>
  <c r="BU44" i="65" s="1"/>
  <c r="AL31" i="65"/>
  <c r="AI21" i="65"/>
  <c r="AM21" i="65" s="1"/>
  <c r="AI15" i="65"/>
  <c r="AM15" i="65" s="1"/>
  <c r="AI3" i="65"/>
  <c r="AM3" i="65" s="1"/>
  <c r="BV3" i="65" s="1"/>
  <c r="AI67" i="65"/>
  <c r="AM67" i="65" s="1"/>
  <c r="BV67" i="65" s="1"/>
  <c r="AI65" i="65"/>
  <c r="AM65" i="65" s="1"/>
  <c r="BV65" i="65" s="1"/>
  <c r="AL65" i="65"/>
  <c r="BG65" i="65"/>
  <c r="O63" i="65"/>
  <c r="S63" i="65" s="1"/>
  <c r="BW63" i="65" s="1"/>
  <c r="AL58" i="65"/>
  <c r="BU58" i="65" s="1"/>
  <c r="AI54" i="65"/>
  <c r="AM54" i="65" s="1"/>
  <c r="BV54" i="65" s="1"/>
  <c r="BG59" i="65"/>
  <c r="BU59" i="65" s="1"/>
  <c r="BG55" i="65"/>
  <c r="BU55" i="65" s="1"/>
  <c r="AI60" i="65"/>
  <c r="AM60" i="65" s="1"/>
  <c r="BV60" i="65" s="1"/>
  <c r="AI58" i="65"/>
  <c r="AM58" i="65" s="1"/>
  <c r="BV58" i="65" s="1"/>
  <c r="AL54" i="65"/>
  <c r="BU54" i="65" s="1"/>
  <c r="AI42" i="65"/>
  <c r="AM42" i="65" s="1"/>
  <c r="BV42" i="65" s="1"/>
  <c r="AI34" i="65"/>
  <c r="AM34" i="65" s="1"/>
  <c r="BV34" i="65" s="1"/>
  <c r="O57" i="65"/>
  <c r="S57" i="65" s="1"/>
  <c r="BW57" i="65" s="1"/>
  <c r="N57" i="65"/>
  <c r="R57" i="65" s="1"/>
  <c r="O43" i="65"/>
  <c r="S43" i="65" s="1"/>
  <c r="N43" i="65"/>
  <c r="R43" i="65" s="1"/>
  <c r="O49" i="65"/>
  <c r="S49" i="65" s="1"/>
  <c r="N49" i="65"/>
  <c r="R49" i="65" s="1"/>
  <c r="BV49" i="65" s="1"/>
  <c r="O45" i="65"/>
  <c r="S45" i="65" s="1"/>
  <c r="BW45" i="65" s="1"/>
  <c r="N45" i="65"/>
  <c r="R45" i="65" s="1"/>
  <c r="BV45" i="65" s="1"/>
  <c r="AJ30" i="65"/>
  <c r="AN30" i="65" s="1"/>
  <c r="BW30" i="65" s="1"/>
  <c r="AI30" i="65"/>
  <c r="AM30" i="65" s="1"/>
  <c r="BV30" i="65" s="1"/>
  <c r="AJ26" i="65"/>
  <c r="AN26" i="65" s="1"/>
  <c r="AI26" i="65"/>
  <c r="AM26" i="65" s="1"/>
  <c r="BV26" i="65" s="1"/>
  <c r="AJ22" i="65"/>
  <c r="AN22" i="65" s="1"/>
  <c r="BW22" i="65" s="1"/>
  <c r="AI22" i="65"/>
  <c r="AM22" i="65" s="1"/>
  <c r="BV22" i="65" s="1"/>
  <c r="O19" i="65"/>
  <c r="S19" i="65" s="1"/>
  <c r="BW19" i="65" s="1"/>
  <c r="Q19" i="65"/>
  <c r="O17" i="65"/>
  <c r="S17" i="65" s="1"/>
  <c r="BW17" i="65" s="1"/>
  <c r="Q17" i="65"/>
  <c r="BU17" i="65" s="1"/>
  <c r="N17" i="65"/>
  <c r="R17" i="65" s="1"/>
  <c r="BV17" i="65" s="1"/>
  <c r="O15" i="65"/>
  <c r="S15" i="65" s="1"/>
  <c r="BW15" i="65" s="1"/>
  <c r="Q15" i="65"/>
  <c r="N15" i="65"/>
  <c r="R15" i="65" s="1"/>
  <c r="O9" i="65"/>
  <c r="S9" i="65" s="1"/>
  <c r="BW9" i="65" s="1"/>
  <c r="Q9" i="65"/>
  <c r="BU9" i="65" s="1"/>
  <c r="N9" i="65"/>
  <c r="R9" i="65" s="1"/>
  <c r="BV9" i="65" s="1"/>
  <c r="O7" i="65"/>
  <c r="S7" i="65" s="1"/>
  <c r="BW7" i="65" s="1"/>
  <c r="Q7" i="65"/>
  <c r="N7" i="65"/>
  <c r="R7" i="65" s="1"/>
  <c r="O3" i="65"/>
  <c r="S3" i="65" s="1"/>
  <c r="BW3" i="65" s="1"/>
  <c r="Q3" i="65"/>
  <c r="BU3" i="65" s="1"/>
  <c r="O41" i="65"/>
  <c r="S41" i="65" s="1"/>
  <c r="BW41" i="65" s="1"/>
  <c r="N41" i="65"/>
  <c r="R41" i="65" s="1"/>
  <c r="BV41" i="65" s="1"/>
  <c r="O21" i="65"/>
  <c r="S21" i="65" s="1"/>
  <c r="Q21" i="65"/>
  <c r="BU21" i="65" s="1"/>
  <c r="AJ29" i="65"/>
  <c r="AN29" i="65" s="1"/>
  <c r="AI29" i="65"/>
  <c r="AM29" i="65" s="1"/>
  <c r="O34" i="65"/>
  <c r="S34" i="65" s="1"/>
  <c r="BW34" i="65" s="1"/>
  <c r="Q34" i="65"/>
  <c r="BU34" i="65" s="1"/>
  <c r="AJ23" i="65"/>
  <c r="AN23" i="65" s="1"/>
  <c r="BW23" i="65" s="1"/>
  <c r="AI23" i="65"/>
  <c r="AM23" i="65" s="1"/>
  <c r="O4" i="65"/>
  <c r="S4" i="65" s="1"/>
  <c r="BW4" i="65" s="1"/>
  <c r="N4" i="65"/>
  <c r="R4" i="65" s="1"/>
  <c r="BV4" i="65" s="1"/>
  <c r="Q57" i="65"/>
  <c r="Q45" i="65"/>
  <c r="N19" i="65"/>
  <c r="R19" i="65" s="1"/>
  <c r="N53" i="65"/>
  <c r="R53" i="65" s="1"/>
  <c r="N21" i="65"/>
  <c r="R21" i="65" s="1"/>
  <c r="AJ62" i="65"/>
  <c r="AN62" i="65" s="1"/>
  <c r="BW62" i="65" s="1"/>
  <c r="AI62" i="65"/>
  <c r="AM62" i="65" s="1"/>
  <c r="BV62" i="65" s="1"/>
  <c r="BE61" i="65"/>
  <c r="BI61" i="65" s="1"/>
  <c r="BW61" i="65" s="1"/>
  <c r="BD61" i="65"/>
  <c r="BH61" i="65" s="1"/>
  <c r="BV61" i="65" s="1"/>
  <c r="O59" i="65"/>
  <c r="S59" i="65" s="1"/>
  <c r="BW59" i="65" s="1"/>
  <c r="N59" i="65"/>
  <c r="R59" i="65" s="1"/>
  <c r="BE53" i="65"/>
  <c r="BI53" i="65" s="1"/>
  <c r="BW53" i="65" s="1"/>
  <c r="BG53" i="65"/>
  <c r="BU53" i="65" s="1"/>
  <c r="O35" i="65"/>
  <c r="S35" i="65" s="1"/>
  <c r="BW35" i="65" s="1"/>
  <c r="N35" i="65"/>
  <c r="R35" i="65" s="1"/>
  <c r="AJ28" i="65"/>
  <c r="AN28" i="65" s="1"/>
  <c r="BW28" i="65" s="1"/>
  <c r="AI28" i="65"/>
  <c r="AM28" i="65" s="1"/>
  <c r="BV28" i="65" s="1"/>
  <c r="AJ24" i="65"/>
  <c r="AN24" i="65" s="1"/>
  <c r="BW24" i="65" s="1"/>
  <c r="AI24" i="65"/>
  <c r="AM24" i="65" s="1"/>
  <c r="BV24" i="65" s="1"/>
  <c r="BE43" i="65"/>
  <c r="BI43" i="65" s="1"/>
  <c r="BD43" i="65"/>
  <c r="BH43" i="65" s="1"/>
  <c r="O33" i="65"/>
  <c r="S33" i="65" s="1"/>
  <c r="BW33" i="65" s="1"/>
  <c r="N33" i="65"/>
  <c r="R33" i="65" s="1"/>
  <c r="BV33" i="65" s="1"/>
  <c r="AJ27" i="65"/>
  <c r="AN27" i="65" s="1"/>
  <c r="AI27" i="65"/>
  <c r="AM27" i="65" s="1"/>
  <c r="AL27" i="65"/>
  <c r="BU27" i="65" s="1"/>
  <c r="BG63" i="65"/>
  <c r="AI56" i="65"/>
  <c r="AM56" i="65" s="1"/>
  <c r="BV56" i="65" s="1"/>
  <c r="AI46" i="65"/>
  <c r="AM46" i="65" s="1"/>
  <c r="BV46" i="65" s="1"/>
  <c r="AI40" i="65"/>
  <c r="AM40" i="65" s="1"/>
  <c r="BV40" i="65" s="1"/>
  <c r="AL36" i="65"/>
  <c r="AL32" i="65"/>
  <c r="BU32" i="65" s="1"/>
  <c r="Q31" i="65"/>
  <c r="BE29" i="65"/>
  <c r="BI29" i="65" s="1"/>
  <c r="N23" i="65"/>
  <c r="R23" i="65" s="1"/>
  <c r="BE21" i="65"/>
  <c r="BI21" i="65" s="1"/>
  <c r="BG61" i="65"/>
  <c r="BD53" i="65"/>
  <c r="BH53" i="65" s="1"/>
  <c r="BV53" i="65" s="1"/>
  <c r="BG43" i="65"/>
  <c r="BU43" i="65" s="1"/>
  <c r="BG31" i="65"/>
  <c r="Q35" i="65"/>
  <c r="BD31" i="65"/>
  <c r="BH31" i="65" s="1"/>
  <c r="BV31" i="65" s="1"/>
  <c r="AL28" i="65"/>
  <c r="AL24" i="65"/>
  <c r="BU24" i="65" s="1"/>
  <c r="N51" i="65"/>
  <c r="R51" i="65" s="1"/>
  <c r="AA1" i="44"/>
  <c r="O39" i="65"/>
  <c r="S39" i="65" s="1"/>
  <c r="BW39" i="65" s="1"/>
  <c r="N39" i="65"/>
  <c r="R39" i="65" s="1"/>
  <c r="BV27" i="65" l="1"/>
  <c r="BU67" i="65"/>
  <c r="G116" i="44"/>
  <c r="G119" i="44"/>
  <c r="G118" i="44"/>
  <c r="G120" i="44"/>
  <c r="G117" i="44"/>
  <c r="BU28" i="65"/>
  <c r="BU61" i="65"/>
  <c r="BU36" i="65"/>
  <c r="BU63" i="65"/>
  <c r="BU13" i="65"/>
  <c r="BV43" i="65"/>
  <c r="BW26" i="65"/>
  <c r="BU51" i="65"/>
  <c r="BU65" i="65"/>
  <c r="BW21" i="65"/>
  <c r="BW27" i="65"/>
  <c r="BW43" i="65"/>
  <c r="BV29" i="65"/>
  <c r="BU15" i="65"/>
  <c r="BV57" i="65"/>
  <c r="BW29" i="65"/>
  <c r="BV15" i="65"/>
  <c r="BV7" i="65"/>
  <c r="BV39" i="65"/>
  <c r="BU5" i="65"/>
  <c r="BU45" i="65"/>
  <c r="BW49" i="65"/>
  <c r="BU57" i="65"/>
  <c r="BV59" i="65"/>
  <c r="BV23" i="65"/>
  <c r="BV21" i="65"/>
  <c r="BU7" i="65"/>
  <c r="BV19" i="65"/>
  <c r="BU35" i="65"/>
  <c r="BU50" i="65"/>
  <c r="BV11" i="65"/>
  <c r="BV35" i="65"/>
  <c r="BV51" i="65"/>
  <c r="BU31" i="65"/>
  <c r="BU19" i="65"/>
  <c r="AB2" i="44"/>
  <c r="AB1" i="44"/>
  <c r="H117" i="44" l="1"/>
  <c r="H120" i="44"/>
  <c r="H118" i="44"/>
  <c r="H119" i="44"/>
  <c r="H116" i="44"/>
  <c r="AC2" i="44"/>
  <c r="AC1" i="44"/>
  <c r="C2" i="6"/>
  <c r="F2" i="6"/>
  <c r="G2" i="6"/>
  <c r="J2" i="6"/>
  <c r="L2" i="6"/>
  <c r="M2" i="6"/>
  <c r="N2" i="6"/>
  <c r="O2" i="6"/>
  <c r="P2" i="6"/>
  <c r="Q2" i="6"/>
  <c r="U2" i="6"/>
  <c r="W2" i="6"/>
  <c r="X2" i="6"/>
  <c r="Y2" i="6"/>
  <c r="Z2" i="6"/>
  <c r="AA2" i="6"/>
  <c r="AC2" i="6"/>
  <c r="H2" i="6" s="1"/>
  <c r="I118" i="44" l="1"/>
  <c r="I120" i="44"/>
  <c r="I117" i="44"/>
  <c r="I119" i="44"/>
  <c r="I116" i="44"/>
  <c r="AD2" i="44"/>
  <c r="AD1" i="44"/>
  <c r="I2" i="6"/>
  <c r="K2" i="6" s="1"/>
  <c r="R2" i="6"/>
  <c r="S2" i="6" s="1"/>
  <c r="T2" i="6"/>
  <c r="J118" i="44" l="1"/>
  <c r="J117" i="44"/>
  <c r="J120" i="44"/>
  <c r="J116" i="44"/>
  <c r="J119" i="44"/>
  <c r="AE2" i="44"/>
  <c r="AE1" i="44"/>
  <c r="V2" i="6"/>
  <c r="K119" i="44" l="1"/>
  <c r="K118" i="44"/>
  <c r="K120" i="44"/>
  <c r="K117" i="44"/>
  <c r="K116" i="44"/>
  <c r="B2" i="39"/>
  <c r="H3" i="38" s="1"/>
  <c r="AC94" i="63" l="1"/>
  <c r="H94" i="63" s="1"/>
  <c r="AD94" i="63"/>
  <c r="E94" i="63" s="1"/>
  <c r="I94" i="63" s="1"/>
  <c r="AE94" i="63"/>
  <c r="G94" i="63" s="1"/>
  <c r="AF94" i="63"/>
  <c r="D94" i="63" s="1"/>
  <c r="F94" i="63" s="1"/>
  <c r="AC95" i="63"/>
  <c r="H95" i="63" s="1"/>
  <c r="AD95" i="63"/>
  <c r="E95" i="63" s="1"/>
  <c r="I95" i="63" s="1"/>
  <c r="AE95" i="63"/>
  <c r="G95" i="63" s="1"/>
  <c r="AF95" i="63"/>
  <c r="D95" i="63" s="1"/>
  <c r="F95" i="63" s="1"/>
  <c r="AC96" i="63"/>
  <c r="H96" i="63" s="1"/>
  <c r="AD96" i="63"/>
  <c r="E96" i="63" s="1"/>
  <c r="I96" i="63" s="1"/>
  <c r="AE96" i="63"/>
  <c r="G96" i="63" s="1"/>
  <c r="AF96" i="63"/>
  <c r="D96" i="63" s="1"/>
  <c r="F96" i="63" s="1"/>
  <c r="AB97" i="63"/>
  <c r="C97" i="63" s="1"/>
  <c r="AC97" i="63"/>
  <c r="H97" i="63" s="1"/>
  <c r="AD97" i="63"/>
  <c r="E97" i="63" s="1"/>
  <c r="AE97" i="63"/>
  <c r="G97" i="63" s="1"/>
  <c r="AF97" i="63"/>
  <c r="D97" i="63" s="1"/>
  <c r="AB98" i="63"/>
  <c r="C98" i="63" s="1"/>
  <c r="AC98" i="63"/>
  <c r="H98" i="63" s="1"/>
  <c r="AD98" i="63"/>
  <c r="E98" i="63" s="1"/>
  <c r="I98" i="63" s="1"/>
  <c r="AE98" i="63"/>
  <c r="G98" i="63" s="1"/>
  <c r="AF98" i="63"/>
  <c r="D98" i="63" s="1"/>
  <c r="F98" i="63" s="1"/>
  <c r="AB99" i="63"/>
  <c r="C99" i="63" s="1"/>
  <c r="AC99" i="63"/>
  <c r="H99" i="63" s="1"/>
  <c r="M99" i="63" s="1"/>
  <c r="AD99" i="63"/>
  <c r="E99" i="63" s="1"/>
  <c r="AE99" i="63"/>
  <c r="G99" i="63" s="1"/>
  <c r="AF99" i="63"/>
  <c r="D99" i="63" s="1"/>
  <c r="AB100" i="63"/>
  <c r="C100" i="63" s="1"/>
  <c r="AC100" i="63"/>
  <c r="AD100" i="63"/>
  <c r="E100" i="63" s="1"/>
  <c r="I100" i="63" s="1"/>
  <c r="AE100" i="63"/>
  <c r="AF100" i="63"/>
  <c r="D100" i="63" s="1"/>
  <c r="F100" i="63" s="1"/>
  <c r="AC94" i="62"/>
  <c r="AD94" i="62"/>
  <c r="E94" i="62" s="1"/>
  <c r="AE94" i="62"/>
  <c r="G94" i="62" s="1"/>
  <c r="AF94" i="62"/>
  <c r="D94" i="62" s="1"/>
  <c r="AC95" i="62"/>
  <c r="AD95" i="62"/>
  <c r="E95" i="62" s="1"/>
  <c r="AE95" i="62"/>
  <c r="AF95" i="62"/>
  <c r="D95" i="62" s="1"/>
  <c r="AC96" i="62"/>
  <c r="H96" i="62" s="1"/>
  <c r="AD96" i="62"/>
  <c r="E96" i="62" s="1"/>
  <c r="I96" i="62" s="1"/>
  <c r="AE96" i="62"/>
  <c r="G96" i="62" s="1"/>
  <c r="AF96" i="62"/>
  <c r="D96" i="62" s="1"/>
  <c r="AB97" i="62"/>
  <c r="AC97" i="62"/>
  <c r="H97" i="62" s="1"/>
  <c r="AD97" i="62"/>
  <c r="E97" i="62" s="1"/>
  <c r="AE97" i="62"/>
  <c r="G97" i="62" s="1"/>
  <c r="AF97" i="62"/>
  <c r="D97" i="62" s="1"/>
  <c r="AB98" i="62"/>
  <c r="C98" i="62" s="1"/>
  <c r="AC98" i="62"/>
  <c r="H98" i="62" s="1"/>
  <c r="AD98" i="62"/>
  <c r="AE98" i="62"/>
  <c r="G98" i="62" s="1"/>
  <c r="AF98" i="62"/>
  <c r="D98" i="62" s="1"/>
  <c r="AB99" i="62"/>
  <c r="AC99" i="62"/>
  <c r="H99" i="62" s="1"/>
  <c r="AD99" i="62"/>
  <c r="E99" i="62" s="1"/>
  <c r="AE99" i="62"/>
  <c r="G99" i="62" s="1"/>
  <c r="AF99" i="62"/>
  <c r="D99" i="62" s="1"/>
  <c r="AB100" i="62"/>
  <c r="C100" i="62" s="1"/>
  <c r="AC100" i="62"/>
  <c r="H100" i="62" s="1"/>
  <c r="AD100" i="62"/>
  <c r="E100" i="62" s="1"/>
  <c r="I100" i="62" s="1"/>
  <c r="AE100" i="62"/>
  <c r="G100" i="62" s="1"/>
  <c r="AF100" i="62"/>
  <c r="D100" i="62" s="1"/>
  <c r="AC93" i="62"/>
  <c r="H93" i="62" s="1"/>
  <c r="AD93" i="62"/>
  <c r="E93" i="62" s="1"/>
  <c r="I93" i="62" s="1"/>
  <c r="AE93" i="62"/>
  <c r="G93" i="62" s="1"/>
  <c r="AF93" i="62"/>
  <c r="H100" i="63"/>
  <c r="G100" i="63"/>
  <c r="I91" i="63"/>
  <c r="G91" i="63"/>
  <c r="D91" i="63"/>
  <c r="F92" i="63" s="1"/>
  <c r="C91" i="63"/>
  <c r="I90" i="63"/>
  <c r="G90" i="63"/>
  <c r="D90" i="63"/>
  <c r="C90" i="63"/>
  <c r="I89" i="63"/>
  <c r="G89" i="63"/>
  <c r="D89" i="63"/>
  <c r="F90" i="63" s="1"/>
  <c r="C89" i="63"/>
  <c r="I88" i="63"/>
  <c r="G88" i="63"/>
  <c r="D88" i="63"/>
  <c r="F89" i="63" s="1"/>
  <c r="C88" i="63"/>
  <c r="I87" i="63"/>
  <c r="G87" i="63"/>
  <c r="D87" i="63"/>
  <c r="C87" i="63"/>
  <c r="I86" i="63"/>
  <c r="G86" i="63"/>
  <c r="D86" i="63"/>
  <c r="C86" i="63"/>
  <c r="I85" i="63"/>
  <c r="G85" i="63"/>
  <c r="D85" i="63"/>
  <c r="C85" i="63"/>
  <c r="I84" i="63"/>
  <c r="G84" i="63"/>
  <c r="D84" i="63"/>
  <c r="F85" i="63" s="1"/>
  <c r="C84" i="63"/>
  <c r="I83" i="63"/>
  <c r="G83" i="63"/>
  <c r="D83" i="63"/>
  <c r="C83" i="63"/>
  <c r="I82" i="63"/>
  <c r="G82" i="63"/>
  <c r="D82" i="63"/>
  <c r="F83" i="63" s="1"/>
  <c r="C82" i="63"/>
  <c r="I81" i="63"/>
  <c r="G81" i="63"/>
  <c r="D81" i="63"/>
  <c r="C81" i="63"/>
  <c r="I80" i="63"/>
  <c r="G80" i="63"/>
  <c r="D80" i="63"/>
  <c r="C80" i="63"/>
  <c r="I79" i="63"/>
  <c r="G79" i="63"/>
  <c r="D79" i="63"/>
  <c r="C79" i="63"/>
  <c r="I78" i="63"/>
  <c r="G78" i="63"/>
  <c r="D78" i="63"/>
  <c r="C78" i="63"/>
  <c r="I77" i="63"/>
  <c r="G77" i="63"/>
  <c r="D77" i="63"/>
  <c r="C77" i="63"/>
  <c r="I76" i="63"/>
  <c r="G76" i="63"/>
  <c r="D76" i="63"/>
  <c r="C76" i="63"/>
  <c r="I75" i="63"/>
  <c r="G75" i="63"/>
  <c r="D75" i="63"/>
  <c r="C75" i="63"/>
  <c r="I74" i="63"/>
  <c r="G74" i="63"/>
  <c r="D74" i="63"/>
  <c r="C74" i="63"/>
  <c r="I73" i="63"/>
  <c r="G73" i="63"/>
  <c r="D73" i="63"/>
  <c r="C73" i="63"/>
  <c r="I72" i="63"/>
  <c r="G72" i="63"/>
  <c r="D72" i="63"/>
  <c r="C72" i="63"/>
  <c r="I71" i="63"/>
  <c r="G71" i="63"/>
  <c r="D71" i="63"/>
  <c r="C71" i="63"/>
  <c r="I70" i="63"/>
  <c r="G70" i="63"/>
  <c r="D70" i="63"/>
  <c r="C70" i="63"/>
  <c r="I69" i="63"/>
  <c r="G69" i="63"/>
  <c r="D69" i="63"/>
  <c r="C69" i="63"/>
  <c r="I68" i="63"/>
  <c r="G68" i="63"/>
  <c r="D68" i="63"/>
  <c r="C68" i="63"/>
  <c r="I67" i="63"/>
  <c r="G67" i="63"/>
  <c r="D67" i="63"/>
  <c r="C67" i="63"/>
  <c r="I66" i="63"/>
  <c r="G66" i="63"/>
  <c r="D66" i="63"/>
  <c r="C66" i="63"/>
  <c r="I65" i="63"/>
  <c r="G65" i="63"/>
  <c r="D65" i="63"/>
  <c r="C65" i="63"/>
  <c r="I64" i="63"/>
  <c r="G64" i="63"/>
  <c r="D64" i="63"/>
  <c r="C64" i="63"/>
  <c r="I63" i="63"/>
  <c r="G63" i="63"/>
  <c r="D63" i="63"/>
  <c r="C63" i="63"/>
  <c r="I62" i="63"/>
  <c r="G62" i="63"/>
  <c r="D62" i="63"/>
  <c r="C62" i="63"/>
  <c r="I61" i="63"/>
  <c r="G61" i="63"/>
  <c r="D61" i="63"/>
  <c r="F61" i="63" s="1"/>
  <c r="C61" i="63"/>
  <c r="I60" i="63"/>
  <c r="G60" i="63"/>
  <c r="D60" i="63"/>
  <c r="C60" i="63"/>
  <c r="I59" i="63"/>
  <c r="G59" i="63"/>
  <c r="D59" i="63"/>
  <c r="C59" i="63"/>
  <c r="I58" i="63"/>
  <c r="G58" i="63"/>
  <c r="D58" i="63"/>
  <c r="C58" i="63"/>
  <c r="I57" i="63"/>
  <c r="G57" i="63"/>
  <c r="D57" i="63"/>
  <c r="C57" i="63"/>
  <c r="I56" i="63"/>
  <c r="G56" i="63"/>
  <c r="D56" i="63"/>
  <c r="C56" i="63"/>
  <c r="I55" i="63"/>
  <c r="G55" i="63"/>
  <c r="D55" i="63"/>
  <c r="C55" i="63"/>
  <c r="I54" i="63"/>
  <c r="G54" i="63"/>
  <c r="D54" i="63"/>
  <c r="C54" i="63"/>
  <c r="I53" i="63"/>
  <c r="G53" i="63"/>
  <c r="D53" i="63"/>
  <c r="C53" i="63"/>
  <c r="I52" i="63"/>
  <c r="G52" i="63"/>
  <c r="D52" i="63"/>
  <c r="C52" i="63"/>
  <c r="I51" i="63"/>
  <c r="G51" i="63"/>
  <c r="D51" i="63"/>
  <c r="C51" i="63"/>
  <c r="I50" i="63"/>
  <c r="G50" i="63"/>
  <c r="D50" i="63"/>
  <c r="C50" i="63"/>
  <c r="I49" i="63"/>
  <c r="G49" i="63"/>
  <c r="D49" i="63"/>
  <c r="C49" i="63"/>
  <c r="I48" i="63"/>
  <c r="G48" i="63"/>
  <c r="D48" i="63"/>
  <c r="C48" i="63"/>
  <c r="I47" i="63"/>
  <c r="G47" i="63"/>
  <c r="D47" i="63"/>
  <c r="C47" i="63"/>
  <c r="I46" i="63"/>
  <c r="G46" i="63"/>
  <c r="D46" i="63"/>
  <c r="C46" i="63"/>
  <c r="I45" i="63"/>
  <c r="G45" i="63"/>
  <c r="D45" i="63"/>
  <c r="C45" i="63"/>
  <c r="I44" i="63"/>
  <c r="G44" i="63"/>
  <c r="D44" i="63"/>
  <c r="C44" i="63"/>
  <c r="I43" i="63"/>
  <c r="G43" i="63"/>
  <c r="D43" i="63"/>
  <c r="C43" i="63"/>
  <c r="I42" i="63"/>
  <c r="G42" i="63"/>
  <c r="D42" i="63"/>
  <c r="C42" i="63"/>
  <c r="I41" i="63"/>
  <c r="G41" i="63"/>
  <c r="F41" i="63"/>
  <c r="D41" i="63"/>
  <c r="C41" i="63"/>
  <c r="I40" i="63"/>
  <c r="G40" i="63"/>
  <c r="D40" i="63"/>
  <c r="C40" i="63"/>
  <c r="I39" i="63"/>
  <c r="G39" i="63"/>
  <c r="D39" i="63"/>
  <c r="C39" i="63"/>
  <c r="I38" i="63"/>
  <c r="G38" i="63"/>
  <c r="D38" i="63"/>
  <c r="F39" i="63" s="1"/>
  <c r="C38" i="63"/>
  <c r="I37" i="63"/>
  <c r="G37" i="63"/>
  <c r="D37" i="63"/>
  <c r="C37" i="63"/>
  <c r="I36" i="63"/>
  <c r="G36" i="63"/>
  <c r="D36" i="63"/>
  <c r="F37" i="63" s="1"/>
  <c r="C36" i="63"/>
  <c r="I35" i="63"/>
  <c r="G35" i="63"/>
  <c r="D35" i="63"/>
  <c r="C35" i="63"/>
  <c r="I34" i="63"/>
  <c r="G34" i="63"/>
  <c r="D34" i="63"/>
  <c r="F35" i="63" s="1"/>
  <c r="C34" i="63"/>
  <c r="I33" i="63"/>
  <c r="G33" i="63"/>
  <c r="D33" i="63"/>
  <c r="C33" i="63"/>
  <c r="I32" i="63"/>
  <c r="G32" i="63"/>
  <c r="D32" i="63"/>
  <c r="F33" i="63" s="1"/>
  <c r="C32" i="63"/>
  <c r="I31" i="63"/>
  <c r="G31" i="63"/>
  <c r="D31" i="63"/>
  <c r="C31" i="63"/>
  <c r="I30" i="63"/>
  <c r="G30" i="63"/>
  <c r="D30" i="63"/>
  <c r="F31" i="63" s="1"/>
  <c r="C30" i="63"/>
  <c r="I29" i="63"/>
  <c r="G29" i="63"/>
  <c r="D29" i="63"/>
  <c r="C29" i="63"/>
  <c r="I28" i="63"/>
  <c r="G28" i="63"/>
  <c r="D28" i="63"/>
  <c r="F29" i="63" s="1"/>
  <c r="C28" i="63"/>
  <c r="I27" i="63"/>
  <c r="G27" i="63"/>
  <c r="D27" i="63"/>
  <c r="C27" i="63"/>
  <c r="I26" i="63"/>
  <c r="G26" i="63"/>
  <c r="D26" i="63"/>
  <c r="F27" i="63" s="1"/>
  <c r="C26" i="63"/>
  <c r="I25" i="63"/>
  <c r="G25" i="63"/>
  <c r="D25" i="63"/>
  <c r="C25" i="63"/>
  <c r="I24" i="63"/>
  <c r="G24" i="63"/>
  <c r="D24" i="63"/>
  <c r="F25" i="63" s="1"/>
  <c r="C24" i="63"/>
  <c r="I23" i="63"/>
  <c r="G23" i="63"/>
  <c r="D23" i="63"/>
  <c r="C23" i="63"/>
  <c r="I22" i="63"/>
  <c r="G22" i="63"/>
  <c r="D22" i="63"/>
  <c r="F23" i="63" s="1"/>
  <c r="C22" i="63"/>
  <c r="I21" i="63"/>
  <c r="G21" i="63"/>
  <c r="D21" i="63"/>
  <c r="C21" i="63"/>
  <c r="I20" i="63"/>
  <c r="G20" i="63"/>
  <c r="D20" i="63"/>
  <c r="F21" i="63" s="1"/>
  <c r="C20" i="63"/>
  <c r="I19" i="63"/>
  <c r="G19" i="63"/>
  <c r="D19" i="63"/>
  <c r="C19" i="63"/>
  <c r="I18" i="63"/>
  <c r="G18" i="63"/>
  <c r="D18" i="63"/>
  <c r="F19" i="63" s="1"/>
  <c r="C18" i="63"/>
  <c r="I17" i="63"/>
  <c r="G17" i="63"/>
  <c r="D17" i="63"/>
  <c r="F17" i="63" s="1"/>
  <c r="C17" i="63"/>
  <c r="AB16" i="63"/>
  <c r="I16" i="63"/>
  <c r="G16" i="63"/>
  <c r="D16" i="63"/>
  <c r="F16" i="63" s="1"/>
  <c r="C16" i="63"/>
  <c r="AB15" i="63"/>
  <c r="I15" i="63"/>
  <c r="G15" i="63"/>
  <c r="D15" i="63"/>
  <c r="F15" i="63" s="1"/>
  <c r="C15" i="63"/>
  <c r="AB14" i="63"/>
  <c r="I14" i="63"/>
  <c r="G14" i="63"/>
  <c r="D14" i="63"/>
  <c r="C14" i="63"/>
  <c r="I13" i="63"/>
  <c r="G13" i="63"/>
  <c r="D13" i="63"/>
  <c r="F14" i="63" s="1"/>
  <c r="C13" i="63"/>
  <c r="AB12" i="63"/>
  <c r="I12" i="63"/>
  <c r="G12" i="63"/>
  <c r="D12" i="63"/>
  <c r="C12" i="63"/>
  <c r="AB11" i="63"/>
  <c r="I11" i="63"/>
  <c r="G11" i="63"/>
  <c r="D11" i="63"/>
  <c r="C11" i="63"/>
  <c r="AB10" i="63"/>
  <c r="I10" i="63"/>
  <c r="G10" i="63"/>
  <c r="D10" i="63"/>
  <c r="C10" i="63"/>
  <c r="AB9" i="63"/>
  <c r="I9" i="63"/>
  <c r="G9" i="63"/>
  <c r="D9" i="63"/>
  <c r="C9" i="63"/>
  <c r="AB8" i="63"/>
  <c r="I8" i="63"/>
  <c r="G8" i="63"/>
  <c r="D8" i="63"/>
  <c r="C8" i="63"/>
  <c r="I7" i="63"/>
  <c r="G7" i="63"/>
  <c r="D7" i="63"/>
  <c r="C7" i="63"/>
  <c r="X6" i="63"/>
  <c r="I6" i="63"/>
  <c r="G6" i="63"/>
  <c r="D6" i="63"/>
  <c r="F7" i="63" s="1"/>
  <c r="C6" i="63"/>
  <c r="X5" i="63"/>
  <c r="I5" i="63"/>
  <c r="G5" i="63"/>
  <c r="D5" i="63"/>
  <c r="C5" i="63"/>
  <c r="G4" i="63"/>
  <c r="D4" i="63"/>
  <c r="C4" i="63"/>
  <c r="C99" i="62"/>
  <c r="E98" i="62"/>
  <c r="I98" i="62" s="1"/>
  <c r="C97" i="62"/>
  <c r="H95" i="62"/>
  <c r="G95" i="62"/>
  <c r="H94" i="62"/>
  <c r="D93" i="62"/>
  <c r="I91" i="62"/>
  <c r="G91" i="62"/>
  <c r="D91" i="62"/>
  <c r="F92" i="62" s="1"/>
  <c r="C91" i="62"/>
  <c r="I90" i="62"/>
  <c r="G90" i="62"/>
  <c r="D90" i="62"/>
  <c r="C90" i="62"/>
  <c r="I89" i="62"/>
  <c r="G89" i="62"/>
  <c r="D89" i="62"/>
  <c r="C89" i="62"/>
  <c r="I88" i="62"/>
  <c r="G88" i="62"/>
  <c r="D88" i="62"/>
  <c r="C88" i="62"/>
  <c r="I87" i="62"/>
  <c r="G87" i="62"/>
  <c r="D87" i="62"/>
  <c r="F88" i="62" s="1"/>
  <c r="C87" i="62"/>
  <c r="I86" i="62"/>
  <c r="G86" i="62"/>
  <c r="D86" i="62"/>
  <c r="C86" i="62"/>
  <c r="I85" i="62"/>
  <c r="G85" i="62"/>
  <c r="D85" i="62"/>
  <c r="F86" i="62" s="1"/>
  <c r="C85" i="62"/>
  <c r="I84" i="62"/>
  <c r="G84" i="62"/>
  <c r="D84" i="62"/>
  <c r="C84" i="62"/>
  <c r="I83" i="62"/>
  <c r="G83" i="62"/>
  <c r="D83" i="62"/>
  <c r="F84" i="62" s="1"/>
  <c r="C83" i="62"/>
  <c r="I82" i="62"/>
  <c r="G82" i="62"/>
  <c r="D82" i="62"/>
  <c r="C82" i="62"/>
  <c r="I81" i="62"/>
  <c r="G81" i="62"/>
  <c r="D81" i="62"/>
  <c r="F82" i="62" s="1"/>
  <c r="C81" i="62"/>
  <c r="I80" i="62"/>
  <c r="G80" i="62"/>
  <c r="D80" i="62"/>
  <c r="C80" i="62"/>
  <c r="I79" i="62"/>
  <c r="G79" i="62"/>
  <c r="D79" i="62"/>
  <c r="C79" i="62"/>
  <c r="I78" i="62"/>
  <c r="G78" i="62"/>
  <c r="D78" i="62"/>
  <c r="C78" i="62"/>
  <c r="I77" i="62"/>
  <c r="G77" i="62"/>
  <c r="D77" i="62"/>
  <c r="C77" i="62"/>
  <c r="I76" i="62"/>
  <c r="G76" i="62"/>
  <c r="D76" i="62"/>
  <c r="C76" i="62"/>
  <c r="I75" i="62"/>
  <c r="G75" i="62"/>
  <c r="D75" i="62"/>
  <c r="F76" i="62" s="1"/>
  <c r="C75" i="62"/>
  <c r="I74" i="62"/>
  <c r="G74" i="62"/>
  <c r="D74" i="62"/>
  <c r="C74" i="62"/>
  <c r="I73" i="62"/>
  <c r="G73" i="62"/>
  <c r="D73" i="62"/>
  <c r="F74" i="62" s="1"/>
  <c r="C73" i="62"/>
  <c r="I72" i="62"/>
  <c r="G72" i="62"/>
  <c r="D72" i="62"/>
  <c r="C72" i="62"/>
  <c r="I71" i="62"/>
  <c r="G71" i="62"/>
  <c r="D71" i="62"/>
  <c r="F72" i="62" s="1"/>
  <c r="C71" i="62"/>
  <c r="I70" i="62"/>
  <c r="G70" i="62"/>
  <c r="D70" i="62"/>
  <c r="C70" i="62"/>
  <c r="I69" i="62"/>
  <c r="G69" i="62"/>
  <c r="D69" i="62"/>
  <c r="F70" i="62" s="1"/>
  <c r="C69" i="62"/>
  <c r="I68" i="62"/>
  <c r="G68" i="62"/>
  <c r="D68" i="62"/>
  <c r="C68" i="62"/>
  <c r="I67" i="62"/>
  <c r="G67" i="62"/>
  <c r="D67" i="62"/>
  <c r="F68" i="62" s="1"/>
  <c r="C67" i="62"/>
  <c r="I66" i="62"/>
  <c r="G66" i="62"/>
  <c r="D66" i="62"/>
  <c r="C66" i="62"/>
  <c r="I65" i="62"/>
  <c r="G65" i="62"/>
  <c r="D65" i="62"/>
  <c r="F66" i="62" s="1"/>
  <c r="C65" i="62"/>
  <c r="I64" i="62"/>
  <c r="G64" i="62"/>
  <c r="D64" i="62"/>
  <c r="C64" i="62"/>
  <c r="I63" i="62"/>
  <c r="G63" i="62"/>
  <c r="D63" i="62"/>
  <c r="C63" i="62"/>
  <c r="I62" i="62"/>
  <c r="G62" i="62"/>
  <c r="D62" i="62"/>
  <c r="C62" i="62"/>
  <c r="I61" i="62"/>
  <c r="G61" i="62"/>
  <c r="D61" i="62"/>
  <c r="C61" i="62"/>
  <c r="I60" i="62"/>
  <c r="G60" i="62"/>
  <c r="D60" i="62"/>
  <c r="C60" i="62"/>
  <c r="I59" i="62"/>
  <c r="G59" i="62"/>
  <c r="D59" i="62"/>
  <c r="C59" i="62"/>
  <c r="I58" i="62"/>
  <c r="G58" i="62"/>
  <c r="D58" i="62"/>
  <c r="C58" i="62"/>
  <c r="I57" i="62"/>
  <c r="G57" i="62"/>
  <c r="D57" i="62"/>
  <c r="C57" i="62"/>
  <c r="I56" i="62"/>
  <c r="G56" i="62"/>
  <c r="D56" i="62"/>
  <c r="C56" i="62"/>
  <c r="I55" i="62"/>
  <c r="G55" i="62"/>
  <c r="D55" i="62"/>
  <c r="C55" i="62"/>
  <c r="I54" i="62"/>
  <c r="G54" i="62"/>
  <c r="D54" i="62"/>
  <c r="F55" i="62" s="1"/>
  <c r="C54" i="62"/>
  <c r="I53" i="62"/>
  <c r="G53" i="62"/>
  <c r="D53" i="62"/>
  <c r="C53" i="62"/>
  <c r="I52" i="62"/>
  <c r="G52" i="62"/>
  <c r="D52" i="62"/>
  <c r="F53" i="62" s="1"/>
  <c r="C52" i="62"/>
  <c r="I51" i="62"/>
  <c r="G51" i="62"/>
  <c r="D51" i="62"/>
  <c r="C51" i="62"/>
  <c r="I50" i="62"/>
  <c r="G50" i="62"/>
  <c r="D50" i="62"/>
  <c r="F51" i="62" s="1"/>
  <c r="C50" i="62"/>
  <c r="I49" i="62"/>
  <c r="G49" i="62"/>
  <c r="D49" i="62"/>
  <c r="C49" i="62"/>
  <c r="I48" i="62"/>
  <c r="G48" i="62"/>
  <c r="D48" i="62"/>
  <c r="F49" i="62" s="1"/>
  <c r="C48" i="62"/>
  <c r="I47" i="62"/>
  <c r="G47" i="62"/>
  <c r="D47" i="62"/>
  <c r="C47" i="62"/>
  <c r="I46" i="62"/>
  <c r="G46" i="62"/>
  <c r="D46" i="62"/>
  <c r="F47" i="62" s="1"/>
  <c r="C46" i="62"/>
  <c r="I45" i="62"/>
  <c r="G45" i="62"/>
  <c r="D45" i="62"/>
  <c r="C45" i="62"/>
  <c r="I44" i="62"/>
  <c r="G44" i="62"/>
  <c r="D44" i="62"/>
  <c r="F45" i="62" s="1"/>
  <c r="C44" i="62"/>
  <c r="I43" i="62"/>
  <c r="G43" i="62"/>
  <c r="D43" i="62"/>
  <c r="C43" i="62"/>
  <c r="I42" i="62"/>
  <c r="G42" i="62"/>
  <c r="D42" i="62"/>
  <c r="F43" i="62" s="1"/>
  <c r="C42" i="62"/>
  <c r="I41" i="62"/>
  <c r="G41" i="62"/>
  <c r="D41" i="62"/>
  <c r="C41" i="62"/>
  <c r="I40" i="62"/>
  <c r="G40" i="62"/>
  <c r="D40" i="62"/>
  <c r="F41" i="62" s="1"/>
  <c r="C40" i="62"/>
  <c r="I39" i="62"/>
  <c r="G39" i="62"/>
  <c r="D39" i="62"/>
  <c r="C39" i="62"/>
  <c r="I38" i="62"/>
  <c r="G38" i="62"/>
  <c r="D38" i="62"/>
  <c r="C38" i="62"/>
  <c r="I37" i="62"/>
  <c r="G37" i="62"/>
  <c r="D37" i="62"/>
  <c r="C37" i="62"/>
  <c r="I36" i="62"/>
  <c r="G36" i="62"/>
  <c r="D36" i="62"/>
  <c r="C36" i="62"/>
  <c r="I35" i="62"/>
  <c r="G35" i="62"/>
  <c r="D35" i="62"/>
  <c r="C35" i="62"/>
  <c r="I34" i="62"/>
  <c r="G34" i="62"/>
  <c r="D34" i="62"/>
  <c r="C34" i="62"/>
  <c r="I33" i="62"/>
  <c r="G33" i="62"/>
  <c r="D33" i="62"/>
  <c r="C33" i="62"/>
  <c r="I32" i="62"/>
  <c r="G32" i="62"/>
  <c r="D32" i="62"/>
  <c r="C32" i="62"/>
  <c r="I31" i="62"/>
  <c r="G31" i="62"/>
  <c r="D31" i="62"/>
  <c r="C31" i="62"/>
  <c r="I30" i="62"/>
  <c r="G30" i="62"/>
  <c r="D30" i="62"/>
  <c r="F31" i="62" s="1"/>
  <c r="C30" i="62"/>
  <c r="I29" i="62"/>
  <c r="G29" i="62"/>
  <c r="D29" i="62"/>
  <c r="C29" i="62"/>
  <c r="I28" i="62"/>
  <c r="G28" i="62"/>
  <c r="D28" i="62"/>
  <c r="C28" i="62"/>
  <c r="I27" i="62"/>
  <c r="G27" i="62"/>
  <c r="D27" i="62"/>
  <c r="F28" i="62" s="1"/>
  <c r="C27" i="62"/>
  <c r="I26" i="62"/>
  <c r="G26" i="62"/>
  <c r="D26" i="62"/>
  <c r="C26" i="62"/>
  <c r="I25" i="62"/>
  <c r="G25" i="62"/>
  <c r="D25" i="62"/>
  <c r="F26" i="62" s="1"/>
  <c r="C25" i="62"/>
  <c r="I24" i="62"/>
  <c r="G24" i="62"/>
  <c r="D24" i="62"/>
  <c r="C24" i="62"/>
  <c r="I23" i="62"/>
  <c r="G23" i="62"/>
  <c r="D23" i="62"/>
  <c r="F24" i="62" s="1"/>
  <c r="C23" i="62"/>
  <c r="I22" i="62"/>
  <c r="G22" i="62"/>
  <c r="D22" i="62"/>
  <c r="C22" i="62"/>
  <c r="I21" i="62"/>
  <c r="G21" i="62"/>
  <c r="D21" i="62"/>
  <c r="F22" i="62" s="1"/>
  <c r="C21" i="62"/>
  <c r="I20" i="62"/>
  <c r="G20" i="62"/>
  <c r="D20" i="62"/>
  <c r="C20" i="62"/>
  <c r="I19" i="62"/>
  <c r="G19" i="62"/>
  <c r="D19" i="62"/>
  <c r="F20" i="62" s="1"/>
  <c r="C19" i="62"/>
  <c r="I18" i="62"/>
  <c r="G18" i="62"/>
  <c r="D18" i="62"/>
  <c r="C18" i="62"/>
  <c r="I17" i="62"/>
  <c r="G17" i="62"/>
  <c r="D17" i="62"/>
  <c r="F18" i="62" s="1"/>
  <c r="C17" i="62"/>
  <c r="AB16" i="62"/>
  <c r="I16" i="62"/>
  <c r="G16" i="62"/>
  <c r="D16" i="62"/>
  <c r="C16" i="62"/>
  <c r="AB15" i="62"/>
  <c r="I15" i="62"/>
  <c r="G15" i="62"/>
  <c r="D15" i="62"/>
  <c r="C15" i="62"/>
  <c r="AB14" i="62"/>
  <c r="I14" i="62"/>
  <c r="G14" i="62"/>
  <c r="D14" i="62"/>
  <c r="C14" i="62"/>
  <c r="I13" i="62"/>
  <c r="G13" i="62"/>
  <c r="D13" i="62"/>
  <c r="C13" i="62"/>
  <c r="AB12" i="62"/>
  <c r="I12" i="62"/>
  <c r="G12" i="62"/>
  <c r="D12" i="62"/>
  <c r="C12" i="62"/>
  <c r="AB11" i="62"/>
  <c r="I11" i="62"/>
  <c r="G11" i="62"/>
  <c r="D11" i="62"/>
  <c r="C11" i="62"/>
  <c r="AB10" i="62"/>
  <c r="I10" i="62"/>
  <c r="G10" i="62"/>
  <c r="D10" i="62"/>
  <c r="C10" i="62"/>
  <c r="AB9" i="62"/>
  <c r="I9" i="62"/>
  <c r="G9" i="62"/>
  <c r="D9" i="62"/>
  <c r="C9" i="62"/>
  <c r="AB8" i="62"/>
  <c r="I8" i="62"/>
  <c r="G8" i="62"/>
  <c r="D8" i="62"/>
  <c r="C8" i="62"/>
  <c r="I7" i="62"/>
  <c r="G7" i="62"/>
  <c r="D7" i="62"/>
  <c r="C7" i="62"/>
  <c r="X6" i="62"/>
  <c r="I6" i="62"/>
  <c r="G6" i="62"/>
  <c r="D6" i="62"/>
  <c r="C6" i="62"/>
  <c r="X5" i="62"/>
  <c r="I5" i="62"/>
  <c r="G5" i="62"/>
  <c r="D5" i="62"/>
  <c r="C5" i="62"/>
  <c r="G4" i="62"/>
  <c r="D4" i="62"/>
  <c r="C4" i="62"/>
  <c r="I99" i="63" l="1"/>
  <c r="I97" i="63"/>
  <c r="F99" i="63"/>
  <c r="F97" i="63"/>
  <c r="F93" i="62"/>
  <c r="F60" i="62"/>
  <c r="M62" i="62"/>
  <c r="M57" i="62"/>
  <c r="M26" i="62"/>
  <c r="M11" i="62"/>
  <c r="L92" i="62"/>
  <c r="I94" i="62"/>
  <c r="M88" i="62"/>
  <c r="I95" i="62"/>
  <c r="F5" i="62"/>
  <c r="K92" i="62"/>
  <c r="F12" i="62"/>
  <c r="M41" i="62"/>
  <c r="M80" i="62"/>
  <c r="M92" i="62"/>
  <c r="I99" i="62"/>
  <c r="I97" i="62"/>
  <c r="K93" i="63"/>
  <c r="K92" i="63"/>
  <c r="L99" i="63"/>
  <c r="K98" i="63"/>
  <c r="L97" i="63"/>
  <c r="M97" i="63"/>
  <c r="K96" i="63"/>
  <c r="K95" i="63"/>
  <c r="K94" i="63"/>
  <c r="L4" i="63"/>
  <c r="L93" i="63"/>
  <c r="L92" i="63"/>
  <c r="F6" i="63"/>
  <c r="N92" i="63"/>
  <c r="F87" i="63"/>
  <c r="K99" i="63"/>
  <c r="L98" i="63"/>
  <c r="M98" i="63"/>
  <c r="K97" i="63"/>
  <c r="L96" i="63"/>
  <c r="M96" i="63"/>
  <c r="L95" i="63"/>
  <c r="M95" i="63"/>
  <c r="L94" i="63"/>
  <c r="M94" i="63"/>
  <c r="M92" i="63"/>
  <c r="M93" i="63"/>
  <c r="L5" i="63"/>
  <c r="L9" i="63"/>
  <c r="K12" i="63"/>
  <c r="L14" i="63"/>
  <c r="L16" i="63"/>
  <c r="L18" i="63"/>
  <c r="L20" i="63"/>
  <c r="L22" i="63"/>
  <c r="L24" i="63"/>
  <c r="L26" i="63"/>
  <c r="L28" i="63"/>
  <c r="L30" i="63"/>
  <c r="L32" i="63"/>
  <c r="L34" i="63"/>
  <c r="L37" i="63"/>
  <c r="K41" i="63"/>
  <c r="K8" i="63"/>
  <c r="K10" i="63"/>
  <c r="L11" i="63"/>
  <c r="L13" i="63"/>
  <c r="L15" i="63"/>
  <c r="L17" i="63"/>
  <c r="L19" i="63"/>
  <c r="L21" i="63"/>
  <c r="L23" i="63"/>
  <c r="L25" i="63"/>
  <c r="L27" i="63"/>
  <c r="L29" i="63"/>
  <c r="L31" i="63"/>
  <c r="L33" i="63"/>
  <c r="L35" i="63"/>
  <c r="L36" i="63"/>
  <c r="L39" i="63"/>
  <c r="L6" i="63"/>
  <c r="L7" i="63"/>
  <c r="L8" i="63"/>
  <c r="K9" i="63"/>
  <c r="L10" i="63"/>
  <c r="K11" i="63"/>
  <c r="L12" i="63"/>
  <c r="M90" i="63"/>
  <c r="M88" i="63"/>
  <c r="M86" i="63"/>
  <c r="M84" i="63"/>
  <c r="M82" i="63"/>
  <c r="M80" i="63"/>
  <c r="M78" i="63"/>
  <c r="M76" i="63"/>
  <c r="M74" i="63"/>
  <c r="M72" i="63"/>
  <c r="M70" i="63"/>
  <c r="M68" i="63"/>
  <c r="M66" i="63"/>
  <c r="M64" i="63"/>
  <c r="M62" i="63"/>
  <c r="M59" i="63"/>
  <c r="M57" i="63"/>
  <c r="M55" i="63"/>
  <c r="M53" i="63"/>
  <c r="M51" i="63"/>
  <c r="M49" i="63"/>
  <c r="M47" i="63"/>
  <c r="M45" i="63"/>
  <c r="M43" i="63"/>
  <c r="M41" i="63"/>
  <c r="M40" i="63"/>
  <c r="M38" i="63"/>
  <c r="M36" i="63"/>
  <c r="M34" i="63"/>
  <c r="M32" i="63"/>
  <c r="M30" i="63"/>
  <c r="M28" i="63"/>
  <c r="M26" i="63"/>
  <c r="M24" i="63"/>
  <c r="M22" i="63"/>
  <c r="M20" i="63"/>
  <c r="M18" i="63"/>
  <c r="M16" i="63"/>
  <c r="M14" i="63"/>
  <c r="M7" i="63"/>
  <c r="M10" i="63"/>
  <c r="M8" i="63"/>
  <c r="M6" i="63"/>
  <c r="M89" i="63"/>
  <c r="M87" i="63"/>
  <c r="M85" i="63"/>
  <c r="M83" i="63"/>
  <c r="M81" i="63"/>
  <c r="M79" i="63"/>
  <c r="M77" i="63"/>
  <c r="M75" i="63"/>
  <c r="M73" i="63"/>
  <c r="M71" i="63"/>
  <c r="M69" i="63"/>
  <c r="M67" i="63"/>
  <c r="M65" i="63"/>
  <c r="M63" i="63"/>
  <c r="M61" i="63"/>
  <c r="M60" i="63"/>
  <c r="M58" i="63"/>
  <c r="M56" i="63"/>
  <c r="M54" i="63"/>
  <c r="M52" i="63"/>
  <c r="M50" i="63"/>
  <c r="M48" i="63"/>
  <c r="M46" i="63"/>
  <c r="M44" i="63"/>
  <c r="M42" i="63"/>
  <c r="M39" i="63"/>
  <c r="M37" i="63"/>
  <c r="M35" i="63"/>
  <c r="M33" i="63"/>
  <c r="M31" i="63"/>
  <c r="M29" i="63"/>
  <c r="M27" i="63"/>
  <c r="M25" i="63"/>
  <c r="M23" i="63"/>
  <c r="M21" i="63"/>
  <c r="M19" i="63"/>
  <c r="M17" i="63"/>
  <c r="M15" i="63"/>
  <c r="M13" i="63"/>
  <c r="M12" i="63"/>
  <c r="M11" i="63"/>
  <c r="M9" i="63"/>
  <c r="M5" i="63"/>
  <c r="M5" i="62"/>
  <c r="M6" i="62"/>
  <c r="M7" i="62"/>
  <c r="M9" i="62"/>
  <c r="M13" i="62"/>
  <c r="M18" i="62"/>
  <c r="M32" i="62"/>
  <c r="M49" i="62"/>
  <c r="M70" i="62"/>
  <c r="M84" i="62"/>
  <c r="L38" i="63"/>
  <c r="L40" i="63"/>
  <c r="M22" i="62"/>
  <c r="M29" i="62"/>
  <c r="M37" i="62"/>
  <c r="M45" i="62"/>
  <c r="M53" i="62"/>
  <c r="M66" i="62"/>
  <c r="M74" i="62"/>
  <c r="F9" i="62"/>
  <c r="F35" i="62"/>
  <c r="F91" i="62"/>
  <c r="F5" i="63"/>
  <c r="K5" i="63"/>
  <c r="F8" i="63"/>
  <c r="F9" i="63"/>
  <c r="F10" i="63"/>
  <c r="F11" i="63"/>
  <c r="F12" i="63"/>
  <c r="F13" i="63"/>
  <c r="K13" i="63"/>
  <c r="F18" i="63"/>
  <c r="K18" i="63"/>
  <c r="F20" i="63"/>
  <c r="K20" i="63"/>
  <c r="F22" i="63"/>
  <c r="K22" i="63"/>
  <c r="F24" i="63"/>
  <c r="K24" i="63"/>
  <c r="F26" i="63"/>
  <c r="K26" i="63"/>
  <c r="F28" i="63"/>
  <c r="K28" i="63"/>
  <c r="F30" i="63"/>
  <c r="K30" i="63"/>
  <c r="F32" i="63"/>
  <c r="K32" i="63"/>
  <c r="F34" i="63"/>
  <c r="K34" i="63"/>
  <c r="F36" i="63"/>
  <c r="K36" i="63"/>
  <c r="F38" i="63"/>
  <c r="K38" i="63"/>
  <c r="K40" i="63"/>
  <c r="F40" i="63"/>
  <c r="L41" i="63"/>
  <c r="K42" i="63"/>
  <c r="F42" i="63"/>
  <c r="F43" i="63"/>
  <c r="L44" i="63"/>
  <c r="L46" i="63"/>
  <c r="L48" i="63"/>
  <c r="L50" i="63"/>
  <c r="L52" i="63"/>
  <c r="L54" i="63"/>
  <c r="L56" i="63"/>
  <c r="L58" i="63"/>
  <c r="K59" i="63"/>
  <c r="L60" i="63"/>
  <c r="F78" i="62"/>
  <c r="K100" i="63"/>
  <c r="K89" i="63"/>
  <c r="K87" i="63"/>
  <c r="K85" i="63"/>
  <c r="K83" i="63"/>
  <c r="K90" i="63"/>
  <c r="K79" i="63"/>
  <c r="K77" i="63"/>
  <c r="K75" i="63"/>
  <c r="K73" i="63"/>
  <c r="K71" i="63"/>
  <c r="K69" i="63"/>
  <c r="K67" i="63"/>
  <c r="K65" i="63"/>
  <c r="K63" i="63"/>
  <c r="K61" i="63"/>
  <c r="K57" i="63"/>
  <c r="K55" i="63"/>
  <c r="K53" i="63"/>
  <c r="K51" i="63"/>
  <c r="K49" i="63"/>
  <c r="K47" i="63"/>
  <c r="K45" i="63"/>
  <c r="K43" i="63"/>
  <c r="K4" i="63"/>
  <c r="K6" i="63"/>
  <c r="K7" i="63"/>
  <c r="K14" i="63"/>
  <c r="K15" i="63"/>
  <c r="K16" i="63"/>
  <c r="K17" i="63"/>
  <c r="K19" i="63"/>
  <c r="K21" i="63"/>
  <c r="K23" i="63"/>
  <c r="K25" i="63"/>
  <c r="K27" i="63"/>
  <c r="K29" i="63"/>
  <c r="K31" i="63"/>
  <c r="K33" i="63"/>
  <c r="K35" i="63"/>
  <c r="K37" i="63"/>
  <c r="K39" i="63"/>
  <c r="L42" i="63"/>
  <c r="L43" i="63"/>
  <c r="K44" i="63"/>
  <c r="L45" i="63"/>
  <c r="K46" i="63"/>
  <c r="L47" i="63"/>
  <c r="K48" i="63"/>
  <c r="L49" i="63"/>
  <c r="K50" i="63"/>
  <c r="L51" i="63"/>
  <c r="K52" i="63"/>
  <c r="L53" i="63"/>
  <c r="K54" i="63"/>
  <c r="L55" i="63"/>
  <c r="K56" i="63"/>
  <c r="L57" i="63"/>
  <c r="K58" i="63"/>
  <c r="L62" i="63"/>
  <c r="F45" i="63"/>
  <c r="F47" i="63"/>
  <c r="F49" i="63"/>
  <c r="F51" i="63"/>
  <c r="F53" i="63"/>
  <c r="F55" i="63"/>
  <c r="F57" i="63"/>
  <c r="F59" i="63"/>
  <c r="L63" i="63"/>
  <c r="K64" i="63"/>
  <c r="L65" i="63"/>
  <c r="K66" i="63"/>
  <c r="L67" i="63"/>
  <c r="K68" i="63"/>
  <c r="L69" i="63"/>
  <c r="K70" i="63"/>
  <c r="L71" i="63"/>
  <c r="K72" i="63"/>
  <c r="L73" i="63"/>
  <c r="K74" i="63"/>
  <c r="L75" i="63"/>
  <c r="K76" i="63"/>
  <c r="L77" i="63"/>
  <c r="K78" i="63"/>
  <c r="L79" i="63"/>
  <c r="K80" i="63"/>
  <c r="F44" i="63"/>
  <c r="F46" i="63"/>
  <c r="F48" i="63"/>
  <c r="F50" i="63"/>
  <c r="F52" i="63"/>
  <c r="F54" i="63"/>
  <c r="F56" i="63"/>
  <c r="F58" i="63"/>
  <c r="L59" i="63"/>
  <c r="K60" i="63"/>
  <c r="F60" i="63"/>
  <c r="L61" i="63"/>
  <c r="K62" i="63"/>
  <c r="F62" i="63"/>
  <c r="F63" i="63"/>
  <c r="L64" i="63"/>
  <c r="L66" i="63"/>
  <c r="L68" i="63"/>
  <c r="L70" i="63"/>
  <c r="L72" i="63"/>
  <c r="L74" i="63"/>
  <c r="L76" i="63"/>
  <c r="L78" i="63"/>
  <c r="L80" i="63"/>
  <c r="K81" i="63"/>
  <c r="F65" i="63"/>
  <c r="F67" i="63"/>
  <c r="F69" i="63"/>
  <c r="F71" i="63"/>
  <c r="F73" i="63"/>
  <c r="F75" i="63"/>
  <c r="F77" i="63"/>
  <c r="F79" i="63"/>
  <c r="F81" i="63"/>
  <c r="L83" i="63"/>
  <c r="L85" i="63"/>
  <c r="L87" i="63"/>
  <c r="L89" i="63"/>
  <c r="L91" i="63"/>
  <c r="F64" i="63"/>
  <c r="F66" i="63"/>
  <c r="F68" i="63"/>
  <c r="F70" i="63"/>
  <c r="F72" i="63"/>
  <c r="F74" i="63"/>
  <c r="F76" i="63"/>
  <c r="F78" i="63"/>
  <c r="F80" i="63"/>
  <c r="L81" i="63"/>
  <c r="L82" i="63"/>
  <c r="L84" i="63"/>
  <c r="L86" i="63"/>
  <c r="L88" i="63"/>
  <c r="F82" i="63"/>
  <c r="K82" i="63"/>
  <c r="F84" i="63"/>
  <c r="K84" i="63"/>
  <c r="F86" i="63"/>
  <c r="K86" i="63"/>
  <c r="F88" i="63"/>
  <c r="K88" i="63"/>
  <c r="L90" i="63"/>
  <c r="K91" i="63"/>
  <c r="F91" i="63"/>
  <c r="M91" i="63"/>
  <c r="M100" i="63"/>
  <c r="N7" i="63"/>
  <c r="L100" i="63"/>
  <c r="F11" i="62"/>
  <c r="F13" i="62"/>
  <c r="F37" i="62"/>
  <c r="F58" i="62"/>
  <c r="F80" i="62"/>
  <c r="F99" i="62"/>
  <c r="F97" i="62"/>
  <c r="K5" i="62"/>
  <c r="F29" i="62"/>
  <c r="F33" i="62"/>
  <c r="F62" i="62"/>
  <c r="L6" i="62"/>
  <c r="L7" i="62"/>
  <c r="L9" i="62"/>
  <c r="F10" i="62"/>
  <c r="L11" i="62"/>
  <c r="L13" i="62"/>
  <c r="K14" i="62"/>
  <c r="K16" i="62"/>
  <c r="L18" i="62"/>
  <c r="L22" i="62"/>
  <c r="L26" i="62"/>
  <c r="L32" i="62"/>
  <c r="M94" i="62"/>
  <c r="M91" i="62"/>
  <c r="M89" i="62"/>
  <c r="M87" i="62"/>
  <c r="M85" i="62"/>
  <c r="M83" i="62"/>
  <c r="M81" i="62"/>
  <c r="M78" i="62"/>
  <c r="M77" i="62"/>
  <c r="M75" i="62"/>
  <c r="M73" i="62"/>
  <c r="M71" i="62"/>
  <c r="M69" i="62"/>
  <c r="M67" i="62"/>
  <c r="M65" i="62"/>
  <c r="M63" i="62"/>
  <c r="M60" i="62"/>
  <c r="M59" i="62"/>
  <c r="M56" i="62"/>
  <c r="M54" i="62"/>
  <c r="M52" i="62"/>
  <c r="M50" i="62"/>
  <c r="M48" i="62"/>
  <c r="M46" i="62"/>
  <c r="M44" i="62"/>
  <c r="M42" i="62"/>
  <c r="M40" i="62"/>
  <c r="M38" i="62"/>
  <c r="M35" i="62"/>
  <c r="M34" i="62"/>
  <c r="M31" i="62"/>
  <c r="M30" i="62"/>
  <c r="M27" i="62"/>
  <c r="M25" i="62"/>
  <c r="M23" i="62"/>
  <c r="M21" i="62"/>
  <c r="M19" i="62"/>
  <c r="M17" i="62"/>
  <c r="M16" i="62"/>
  <c r="M15" i="62"/>
  <c r="M14" i="62"/>
  <c r="M12" i="62"/>
  <c r="M10" i="62"/>
  <c r="M100" i="62"/>
  <c r="M98" i="62"/>
  <c r="M96" i="62"/>
  <c r="L95" i="62"/>
  <c r="L5" i="62"/>
  <c r="K13" i="62"/>
  <c r="F8" i="62"/>
  <c r="L8" i="62"/>
  <c r="M8" i="62"/>
  <c r="K15" i="62"/>
  <c r="L20" i="62"/>
  <c r="M20" i="62"/>
  <c r="L24" i="62"/>
  <c r="M24" i="62"/>
  <c r="L28" i="62"/>
  <c r="M28" i="62"/>
  <c r="M33" i="62"/>
  <c r="L36" i="62"/>
  <c r="M36" i="62"/>
  <c r="M39" i="62"/>
  <c r="M43" i="62"/>
  <c r="M47" i="62"/>
  <c r="M51" i="62"/>
  <c r="M55" i="62"/>
  <c r="M58" i="62"/>
  <c r="M61" i="62"/>
  <c r="M64" i="62"/>
  <c r="M68" i="62"/>
  <c r="M72" i="62"/>
  <c r="M76" i="62"/>
  <c r="M79" i="62"/>
  <c r="M82" i="62"/>
  <c r="M86" i="62"/>
  <c r="M95" i="62"/>
  <c r="M97" i="62"/>
  <c r="M99" i="62"/>
  <c r="L10" i="62"/>
  <c r="L12" i="62"/>
  <c r="L14" i="62"/>
  <c r="L15" i="62"/>
  <c r="L16" i="62"/>
  <c r="L17" i="62"/>
  <c r="L19" i="62"/>
  <c r="L21" i="62"/>
  <c r="L23" i="62"/>
  <c r="L25" i="62"/>
  <c r="L27" i="62"/>
  <c r="L30" i="62"/>
  <c r="L34" i="62"/>
  <c r="L4" i="62"/>
  <c r="N52" i="62"/>
  <c r="K9" i="62"/>
  <c r="K11" i="62"/>
  <c r="K88" i="62"/>
  <c r="K86" i="62"/>
  <c r="K84" i="62"/>
  <c r="K82" i="62"/>
  <c r="K91" i="62"/>
  <c r="K74" i="62"/>
  <c r="K72" i="62"/>
  <c r="K70" i="62"/>
  <c r="K68" i="62"/>
  <c r="K66" i="62"/>
  <c r="K64" i="62"/>
  <c r="K80" i="62"/>
  <c r="K78" i="62"/>
  <c r="K76" i="62"/>
  <c r="K55" i="62"/>
  <c r="K53" i="62"/>
  <c r="K51" i="62"/>
  <c r="K49" i="62"/>
  <c r="K47" i="62"/>
  <c r="K45" i="62"/>
  <c r="K43" i="62"/>
  <c r="K41" i="62"/>
  <c r="K39" i="62"/>
  <c r="K62" i="62"/>
  <c r="K60" i="62"/>
  <c r="K58" i="62"/>
  <c r="K4" i="62"/>
  <c r="N5" i="62"/>
  <c r="F6" i="62"/>
  <c r="K6" i="62"/>
  <c r="F7" i="62"/>
  <c r="K7" i="62"/>
  <c r="F14" i="62"/>
  <c r="F15" i="62"/>
  <c r="F16" i="62"/>
  <c r="F17" i="62"/>
  <c r="K17" i="62"/>
  <c r="F19" i="62"/>
  <c r="K19" i="62"/>
  <c r="F21" i="62"/>
  <c r="K21" i="62"/>
  <c r="F23" i="62"/>
  <c r="K23" i="62"/>
  <c r="F25" i="62"/>
  <c r="K25" i="62"/>
  <c r="F27" i="62"/>
  <c r="K27" i="62"/>
  <c r="L29" i="62"/>
  <c r="K29" i="62"/>
  <c r="K30" i="62"/>
  <c r="F30" i="62"/>
  <c r="N30" i="62"/>
  <c r="L31" i="62"/>
  <c r="K31" i="62"/>
  <c r="K32" i="62"/>
  <c r="F32" i="62"/>
  <c r="L33" i="62"/>
  <c r="K33" i="62"/>
  <c r="K34" i="62"/>
  <c r="F34" i="62"/>
  <c r="L35" i="62"/>
  <c r="K35" i="62"/>
  <c r="K36" i="62"/>
  <c r="F36" i="62"/>
  <c r="L37" i="62"/>
  <c r="K37" i="62"/>
  <c r="F39" i="62"/>
  <c r="K38" i="62"/>
  <c r="F38" i="62"/>
  <c r="L39" i="62"/>
  <c r="L41" i="62"/>
  <c r="L43" i="62"/>
  <c r="L45" i="62"/>
  <c r="L47" i="62"/>
  <c r="L49" i="62"/>
  <c r="L51" i="62"/>
  <c r="L53" i="62"/>
  <c r="L55" i="62"/>
  <c r="K56" i="62"/>
  <c r="L57" i="62"/>
  <c r="L61" i="62"/>
  <c r="K8" i="62"/>
  <c r="K10" i="62"/>
  <c r="K12" i="62"/>
  <c r="K18" i="62"/>
  <c r="N19" i="62"/>
  <c r="K20" i="62"/>
  <c r="K22" i="62"/>
  <c r="K24" i="62"/>
  <c r="K26" i="62"/>
  <c r="K28" i="62"/>
  <c r="L38" i="62"/>
  <c r="L40" i="62"/>
  <c r="L42" i="62"/>
  <c r="L44" i="62"/>
  <c r="L46" i="62"/>
  <c r="L48" i="62"/>
  <c r="L50" i="62"/>
  <c r="L52" i="62"/>
  <c r="L54" i="62"/>
  <c r="L56" i="62"/>
  <c r="L59" i="62"/>
  <c r="L63" i="62"/>
  <c r="F40" i="62"/>
  <c r="K40" i="62"/>
  <c r="F42" i="62"/>
  <c r="K42" i="62"/>
  <c r="F44" i="62"/>
  <c r="K44" i="62"/>
  <c r="F46" i="62"/>
  <c r="K46" i="62"/>
  <c r="F48" i="62"/>
  <c r="K48" i="62"/>
  <c r="F50" i="62"/>
  <c r="K50" i="62"/>
  <c r="F52" i="62"/>
  <c r="K52" i="62"/>
  <c r="F54" i="62"/>
  <c r="K54" i="62"/>
  <c r="F56" i="62"/>
  <c r="K57" i="62"/>
  <c r="F57" i="62"/>
  <c r="L58" i="62"/>
  <c r="K59" i="62"/>
  <c r="F59" i="62"/>
  <c r="L60" i="62"/>
  <c r="K61" i="62"/>
  <c r="F61" i="62"/>
  <c r="L62" i="62"/>
  <c r="F64" i="62"/>
  <c r="K63" i="62"/>
  <c r="F63" i="62"/>
  <c r="L64" i="62"/>
  <c r="L66" i="62"/>
  <c r="L68" i="62"/>
  <c r="L70" i="62"/>
  <c r="L72" i="62"/>
  <c r="L74" i="62"/>
  <c r="L79" i="62"/>
  <c r="N58" i="62"/>
  <c r="N62" i="62"/>
  <c r="L65" i="62"/>
  <c r="L67" i="62"/>
  <c r="L69" i="62"/>
  <c r="L71" i="62"/>
  <c r="L73" i="62"/>
  <c r="L75" i="62"/>
  <c r="L77" i="62"/>
  <c r="F65" i="62"/>
  <c r="K65" i="62"/>
  <c r="F67" i="62"/>
  <c r="K67" i="62"/>
  <c r="F69" i="62"/>
  <c r="K69" i="62"/>
  <c r="F71" i="62"/>
  <c r="K71" i="62"/>
  <c r="F73" i="62"/>
  <c r="K73" i="62"/>
  <c r="F75" i="62"/>
  <c r="K75" i="62"/>
  <c r="L76" i="62"/>
  <c r="K77" i="62"/>
  <c r="F77" i="62"/>
  <c r="L78" i="62"/>
  <c r="K79" i="62"/>
  <c r="F79" i="62"/>
  <c r="L80" i="62"/>
  <c r="L82" i="62"/>
  <c r="L84" i="62"/>
  <c r="L86" i="62"/>
  <c r="L88" i="62"/>
  <c r="K89" i="62"/>
  <c r="L90" i="62"/>
  <c r="N78" i="62"/>
  <c r="L81" i="62"/>
  <c r="L83" i="62"/>
  <c r="L85" i="62"/>
  <c r="L87" i="62"/>
  <c r="F81" i="62"/>
  <c r="K81" i="62"/>
  <c r="F83" i="62"/>
  <c r="K83" i="62"/>
  <c r="F85" i="62"/>
  <c r="K85" i="62"/>
  <c r="F87" i="62"/>
  <c r="K87" i="62"/>
  <c r="F89" i="62"/>
  <c r="K90" i="62"/>
  <c r="F90" i="62"/>
  <c r="L91" i="62"/>
  <c r="L93" i="62"/>
  <c r="L94" i="62"/>
  <c r="K96" i="62"/>
  <c r="L96" i="62"/>
  <c r="K98" i="62"/>
  <c r="L98" i="62"/>
  <c r="K100" i="62"/>
  <c r="L100" i="62"/>
  <c r="L89" i="62"/>
  <c r="K93" i="62"/>
  <c r="K94" i="62"/>
  <c r="F94" i="62"/>
  <c r="F95" i="62"/>
  <c r="L97" i="62"/>
  <c r="L99" i="62"/>
  <c r="M90" i="62"/>
  <c r="M93" i="62"/>
  <c r="K95" i="62"/>
  <c r="F96" i="62"/>
  <c r="K97" i="62"/>
  <c r="F98" i="62"/>
  <c r="K99" i="62"/>
  <c r="F100" i="62"/>
  <c r="I87" i="59"/>
  <c r="I88" i="59"/>
  <c r="I89" i="59"/>
  <c r="I90" i="59"/>
  <c r="I91" i="59"/>
  <c r="G86" i="59"/>
  <c r="G87" i="59"/>
  <c r="G88" i="59"/>
  <c r="G89" i="59"/>
  <c r="G90" i="59"/>
  <c r="G91" i="59"/>
  <c r="N27" i="62" l="1"/>
  <c r="N96" i="62"/>
  <c r="N88" i="62"/>
  <c r="N86" i="62"/>
  <c r="N84" i="62"/>
  <c r="N82" i="62"/>
  <c r="N80" i="62"/>
  <c r="N76" i="62"/>
  <c r="N60" i="62"/>
  <c r="N35" i="62"/>
  <c r="N92" i="62"/>
  <c r="N97" i="63"/>
  <c r="N99" i="63"/>
  <c r="N93" i="63"/>
  <c r="N95" i="63"/>
  <c r="N94" i="63"/>
  <c r="N96" i="63"/>
  <c r="N98" i="63"/>
  <c r="N73" i="62"/>
  <c r="N61" i="62"/>
  <c r="N79" i="62"/>
  <c r="N7" i="62"/>
  <c r="N44" i="62"/>
  <c r="N90" i="62"/>
  <c r="N85" i="62"/>
  <c r="AD5" i="63"/>
  <c r="N87" i="63"/>
  <c r="N79" i="63"/>
  <c r="N75" i="63"/>
  <c r="N71" i="63"/>
  <c r="N67" i="63"/>
  <c r="N63" i="63"/>
  <c r="N59" i="63"/>
  <c r="N100" i="62"/>
  <c r="N91" i="62"/>
  <c r="N31" i="62"/>
  <c r="N23" i="62"/>
  <c r="N34" i="62"/>
  <c r="N57" i="62"/>
  <c r="N40" i="62"/>
  <c r="N48" i="62"/>
  <c r="N56" i="62"/>
  <c r="N65" i="62"/>
  <c r="AF4" i="63"/>
  <c r="N90" i="63"/>
  <c r="N100" i="63"/>
  <c r="N89" i="63"/>
  <c r="N85" i="63"/>
  <c r="N83" i="63"/>
  <c r="N88" i="63"/>
  <c r="N86" i="63"/>
  <c r="N84" i="63"/>
  <c r="N82" i="63"/>
  <c r="N81" i="63"/>
  <c r="N61" i="63"/>
  <c r="N39" i="63"/>
  <c r="N36" i="63"/>
  <c r="N32" i="63"/>
  <c r="N28" i="63"/>
  <c r="N24" i="63"/>
  <c r="N20" i="63"/>
  <c r="N40" i="63"/>
  <c r="N6" i="63"/>
  <c r="N42" i="63"/>
  <c r="N46" i="63"/>
  <c r="N50" i="63"/>
  <c r="N54" i="63"/>
  <c r="N58" i="63"/>
  <c r="N62" i="63"/>
  <c r="N66" i="63"/>
  <c r="N70" i="63"/>
  <c r="N74" i="63"/>
  <c r="N78" i="63"/>
  <c r="N91" i="63"/>
  <c r="N5" i="63"/>
  <c r="N77" i="63"/>
  <c r="N73" i="63"/>
  <c r="N69" i="63"/>
  <c r="N65" i="63"/>
  <c r="N41" i="63"/>
  <c r="N38" i="63"/>
  <c r="N34" i="63"/>
  <c r="N30" i="63"/>
  <c r="N26" i="63"/>
  <c r="N22" i="63"/>
  <c r="N18" i="63"/>
  <c r="N13" i="63"/>
  <c r="N11" i="63"/>
  <c r="N10" i="63"/>
  <c r="N9" i="63"/>
  <c r="N8" i="63"/>
  <c r="AC5" i="63"/>
  <c r="P5" i="63" s="1"/>
  <c r="AC4" i="63"/>
  <c r="N57" i="63"/>
  <c r="N55" i="63"/>
  <c r="N53" i="63"/>
  <c r="N51" i="63"/>
  <c r="N49" i="63"/>
  <c r="N47" i="63"/>
  <c r="N45" i="63"/>
  <c r="N43" i="63"/>
  <c r="P28" i="63"/>
  <c r="N44" i="63"/>
  <c r="N48" i="63"/>
  <c r="N52" i="63"/>
  <c r="N56" i="63"/>
  <c r="N60" i="63"/>
  <c r="N64" i="63"/>
  <c r="N68" i="63"/>
  <c r="N72" i="63"/>
  <c r="N76" i="63"/>
  <c r="N80" i="63"/>
  <c r="N37" i="63"/>
  <c r="N35" i="63"/>
  <c r="N33" i="63"/>
  <c r="N31" i="63"/>
  <c r="N29" i="63"/>
  <c r="N27" i="63"/>
  <c r="N25" i="63"/>
  <c r="N23" i="63"/>
  <c r="N21" i="63"/>
  <c r="N19" i="63"/>
  <c r="N17" i="63"/>
  <c r="N15" i="63"/>
  <c r="N12" i="63"/>
  <c r="N16" i="63"/>
  <c r="N14" i="63"/>
  <c r="AF5" i="63"/>
  <c r="AD4" i="63"/>
  <c r="Q95" i="63" s="1"/>
  <c r="N69" i="62"/>
  <c r="N81" i="62"/>
  <c r="N9" i="62"/>
  <c r="N8" i="62"/>
  <c r="N13" i="62"/>
  <c r="N12" i="62"/>
  <c r="N98" i="62"/>
  <c r="N94" i="62"/>
  <c r="N99" i="62"/>
  <c r="N97" i="62"/>
  <c r="N95" i="62"/>
  <c r="N93" i="62"/>
  <c r="N89" i="62"/>
  <c r="N74" i="62"/>
  <c r="N72" i="62"/>
  <c r="N70" i="62"/>
  <c r="N68" i="62"/>
  <c r="N66" i="62"/>
  <c r="N64" i="62"/>
  <c r="N55" i="62"/>
  <c r="N53" i="62"/>
  <c r="N51" i="62"/>
  <c r="N49" i="62"/>
  <c r="N47" i="62"/>
  <c r="N45" i="62"/>
  <c r="N43" i="62"/>
  <c r="N41" i="62"/>
  <c r="N39" i="62"/>
  <c r="N37" i="62"/>
  <c r="N33" i="62"/>
  <c r="N29" i="62"/>
  <c r="N25" i="62"/>
  <c r="N21" i="62"/>
  <c r="N17" i="62"/>
  <c r="N16" i="62"/>
  <c r="N15" i="62"/>
  <c r="N14" i="62"/>
  <c r="N36" i="62"/>
  <c r="N32" i="62"/>
  <c r="N6" i="62"/>
  <c r="N59" i="62"/>
  <c r="N38" i="62"/>
  <c r="N42" i="62"/>
  <c r="N46" i="62"/>
  <c r="N50" i="62"/>
  <c r="N54" i="62"/>
  <c r="N77" i="62"/>
  <c r="N63" i="62"/>
  <c r="N67" i="62"/>
  <c r="N71" i="62"/>
  <c r="N75" i="62"/>
  <c r="N83" i="62"/>
  <c r="N87" i="62"/>
  <c r="N28" i="62"/>
  <c r="N26" i="62"/>
  <c r="N24" i="62"/>
  <c r="N22" i="62"/>
  <c r="N20" i="62"/>
  <c r="N18" i="62"/>
  <c r="N11" i="62"/>
  <c r="N10" i="62"/>
  <c r="AC5" i="62"/>
  <c r="AC4" i="62"/>
  <c r="AD4" i="62"/>
  <c r="AD5" i="62"/>
  <c r="AF5" i="62"/>
  <c r="P6" i="62"/>
  <c r="AF4" i="62"/>
  <c r="P58" i="62"/>
  <c r="D87" i="59"/>
  <c r="D88" i="59"/>
  <c r="D89" i="59"/>
  <c r="D90" i="59"/>
  <c r="D91" i="59"/>
  <c r="F92" i="59" s="1"/>
  <c r="C87" i="59"/>
  <c r="C88" i="59"/>
  <c r="C89" i="59"/>
  <c r="C90" i="59"/>
  <c r="C91" i="59"/>
  <c r="D86" i="59"/>
  <c r="Q42" i="62" l="1"/>
  <c r="P99" i="62"/>
  <c r="R94" i="63"/>
  <c r="P46" i="62"/>
  <c r="R92" i="62"/>
  <c r="P20" i="62"/>
  <c r="P73" i="62"/>
  <c r="P92" i="62"/>
  <c r="Q92" i="62"/>
  <c r="P67" i="63"/>
  <c r="Q99" i="63"/>
  <c r="P96" i="63"/>
  <c r="P95" i="63"/>
  <c r="R98" i="63"/>
  <c r="R96" i="63"/>
  <c r="P92" i="63"/>
  <c r="Q98" i="63"/>
  <c r="Q96" i="63"/>
  <c r="Q94" i="63"/>
  <c r="R99" i="63"/>
  <c r="P93" i="63"/>
  <c r="P98" i="63"/>
  <c r="Q97" i="63"/>
  <c r="P94" i="63"/>
  <c r="Q93" i="63"/>
  <c r="P99" i="63"/>
  <c r="P97" i="63"/>
  <c r="R95" i="63"/>
  <c r="R93" i="63"/>
  <c r="R97" i="63"/>
  <c r="Q92" i="63"/>
  <c r="R92" i="63"/>
  <c r="P20" i="63"/>
  <c r="P36" i="63"/>
  <c r="P66" i="62"/>
  <c r="Q43" i="62"/>
  <c r="P63" i="62"/>
  <c r="Q63" i="62"/>
  <c r="P47" i="62"/>
  <c r="P83" i="63"/>
  <c r="P13" i="63"/>
  <c r="P24" i="63"/>
  <c r="P32" i="63"/>
  <c r="P86" i="62"/>
  <c r="P49" i="62"/>
  <c r="Q33" i="62"/>
  <c r="P56" i="62"/>
  <c r="P28" i="62"/>
  <c r="P54" i="62"/>
  <c r="P65" i="62"/>
  <c r="P83" i="62"/>
  <c r="Q50" i="62"/>
  <c r="Q98" i="62"/>
  <c r="P84" i="62"/>
  <c r="P60" i="63"/>
  <c r="P59" i="63"/>
  <c r="P75" i="63"/>
  <c r="P53" i="63"/>
  <c r="P18" i="63"/>
  <c r="P22" i="63"/>
  <c r="P26" i="63"/>
  <c r="P30" i="63"/>
  <c r="P34" i="63"/>
  <c r="P38" i="63"/>
  <c r="P87" i="63"/>
  <c r="P79" i="63"/>
  <c r="P71" i="63"/>
  <c r="P63" i="63"/>
  <c r="P45" i="63"/>
  <c r="P49" i="63"/>
  <c r="Q6" i="63"/>
  <c r="Q8" i="63"/>
  <c r="Q10" i="63"/>
  <c r="Q12" i="63"/>
  <c r="Q19" i="63"/>
  <c r="Q23" i="63"/>
  <c r="Q27" i="63"/>
  <c r="Q31" i="63"/>
  <c r="Q35" i="63"/>
  <c r="Q39" i="63"/>
  <c r="Q5" i="63"/>
  <c r="Q40" i="63"/>
  <c r="Q9" i="63"/>
  <c r="Q11" i="63"/>
  <c r="Q13" i="63"/>
  <c r="Q15" i="63"/>
  <c r="Q17" i="63"/>
  <c r="Q21" i="63"/>
  <c r="Q25" i="63"/>
  <c r="Q29" i="63"/>
  <c r="Q33" i="63"/>
  <c r="Q37" i="63"/>
  <c r="Q7" i="63"/>
  <c r="Q14" i="63"/>
  <c r="Q16" i="63"/>
  <c r="Q18" i="63"/>
  <c r="Q20" i="63"/>
  <c r="Q22" i="63"/>
  <c r="Q24" i="63"/>
  <c r="Q26" i="63"/>
  <c r="Q28" i="63"/>
  <c r="Q30" i="63"/>
  <c r="Q32" i="63"/>
  <c r="Q34" i="63"/>
  <c r="Q36" i="63"/>
  <c r="Q38" i="63"/>
  <c r="Q41" i="63"/>
  <c r="P17" i="63"/>
  <c r="P25" i="63"/>
  <c r="P33" i="63"/>
  <c r="Q42" i="63"/>
  <c r="Q62" i="63"/>
  <c r="P64" i="63"/>
  <c r="Q67" i="63"/>
  <c r="P72" i="63"/>
  <c r="P76" i="63"/>
  <c r="P80" i="63"/>
  <c r="P81" i="63"/>
  <c r="R100" i="63"/>
  <c r="Q44" i="63"/>
  <c r="Q48" i="63"/>
  <c r="Q52" i="63"/>
  <c r="Q56" i="63"/>
  <c r="Q60" i="63"/>
  <c r="P85" i="63"/>
  <c r="P77" i="63"/>
  <c r="P69" i="63"/>
  <c r="P61" i="63"/>
  <c r="P51" i="63"/>
  <c r="P43" i="63"/>
  <c r="P16" i="63"/>
  <c r="P19" i="63"/>
  <c r="P27" i="63"/>
  <c r="P35" i="63"/>
  <c r="Q43" i="63"/>
  <c r="Q45" i="63"/>
  <c r="Q47" i="63"/>
  <c r="Q49" i="63"/>
  <c r="Q51" i="63"/>
  <c r="Q53" i="63"/>
  <c r="Q55" i="63"/>
  <c r="Q57" i="63"/>
  <c r="Q59" i="63"/>
  <c r="Q64" i="63"/>
  <c r="Q68" i="63"/>
  <c r="Q72" i="63"/>
  <c r="Q76" i="63"/>
  <c r="Q80" i="63"/>
  <c r="Q83" i="63"/>
  <c r="Q85" i="63"/>
  <c r="Q87" i="63"/>
  <c r="Q89" i="63"/>
  <c r="Q82" i="63"/>
  <c r="Q84" i="63"/>
  <c r="Q86" i="63"/>
  <c r="P84" i="63"/>
  <c r="P88" i="63"/>
  <c r="P91" i="63"/>
  <c r="R91" i="63"/>
  <c r="P66" i="63"/>
  <c r="Q69" i="63"/>
  <c r="Q73" i="63"/>
  <c r="Q77" i="63"/>
  <c r="P64" i="62"/>
  <c r="P57" i="63"/>
  <c r="P9" i="63"/>
  <c r="P11" i="63"/>
  <c r="P41" i="63"/>
  <c r="P8" i="63"/>
  <c r="P10" i="63"/>
  <c r="P12" i="63"/>
  <c r="P7" i="63"/>
  <c r="P15" i="63"/>
  <c r="P21" i="63"/>
  <c r="P29" i="63"/>
  <c r="P37" i="63"/>
  <c r="P39" i="63"/>
  <c r="Q65" i="63"/>
  <c r="P70" i="63"/>
  <c r="P74" i="63"/>
  <c r="P78" i="63"/>
  <c r="Q61" i="63"/>
  <c r="Q88" i="63"/>
  <c r="AE5" i="63"/>
  <c r="S71" i="63" s="1"/>
  <c r="AE4" i="63"/>
  <c r="P40" i="63"/>
  <c r="P42" i="63"/>
  <c r="Q46" i="63"/>
  <c r="Q50" i="63"/>
  <c r="Q54" i="63"/>
  <c r="Q58" i="63"/>
  <c r="P100" i="63"/>
  <c r="P89" i="63"/>
  <c r="P90" i="63"/>
  <c r="P73" i="63"/>
  <c r="P65" i="63"/>
  <c r="P55" i="63"/>
  <c r="P47" i="63"/>
  <c r="P6" i="63"/>
  <c r="P14" i="63"/>
  <c r="P23" i="63"/>
  <c r="P31" i="63"/>
  <c r="P44" i="63"/>
  <c r="P46" i="63"/>
  <c r="P48" i="63"/>
  <c r="P50" i="63"/>
  <c r="P52" i="63"/>
  <c r="P54" i="63"/>
  <c r="P56" i="63"/>
  <c r="P58" i="63"/>
  <c r="P62" i="63"/>
  <c r="Q66" i="63"/>
  <c r="Q70" i="63"/>
  <c r="Q74" i="63"/>
  <c r="Q78" i="63"/>
  <c r="Q91" i="63"/>
  <c r="Q81" i="63"/>
  <c r="S85" i="63"/>
  <c r="P82" i="63"/>
  <c r="P86" i="63"/>
  <c r="R88" i="63"/>
  <c r="R86" i="63"/>
  <c r="R80" i="63"/>
  <c r="R78" i="63"/>
  <c r="R76" i="63"/>
  <c r="R74" i="63"/>
  <c r="R72" i="63"/>
  <c r="R70" i="63"/>
  <c r="R68" i="63"/>
  <c r="R66" i="63"/>
  <c r="R64" i="63"/>
  <c r="R62" i="63"/>
  <c r="R60" i="63"/>
  <c r="R58" i="63"/>
  <c r="R56" i="63"/>
  <c r="R54" i="63"/>
  <c r="R52" i="63"/>
  <c r="R50" i="63"/>
  <c r="R48" i="63"/>
  <c r="R46" i="63"/>
  <c r="R44" i="63"/>
  <c r="R42" i="63"/>
  <c r="R38" i="63"/>
  <c r="R36" i="63"/>
  <c r="R34" i="63"/>
  <c r="R32" i="63"/>
  <c r="R30" i="63"/>
  <c r="R28" i="63"/>
  <c r="R26" i="63"/>
  <c r="R24" i="63"/>
  <c r="R22" i="63"/>
  <c r="R20" i="63"/>
  <c r="R18" i="63"/>
  <c r="R13" i="63"/>
  <c r="R12" i="63"/>
  <c r="R11" i="63"/>
  <c r="R10" i="63"/>
  <c r="R9" i="63"/>
  <c r="R8" i="63"/>
  <c r="R5" i="63"/>
  <c r="R40" i="63"/>
  <c r="R15" i="63"/>
  <c r="R17" i="63"/>
  <c r="R21" i="63"/>
  <c r="R25" i="63"/>
  <c r="R29" i="63"/>
  <c r="R33" i="63"/>
  <c r="R37" i="63"/>
  <c r="R7" i="63"/>
  <c r="R14" i="63"/>
  <c r="R16" i="63"/>
  <c r="R57" i="63"/>
  <c r="R83" i="63"/>
  <c r="R87" i="63"/>
  <c r="R84" i="63"/>
  <c r="R6" i="63"/>
  <c r="R19" i="63"/>
  <c r="R23" i="63"/>
  <c r="R27" i="63"/>
  <c r="R31" i="63"/>
  <c r="R35" i="63"/>
  <c r="R39" i="63"/>
  <c r="R41" i="63"/>
  <c r="R59" i="63"/>
  <c r="R63" i="63"/>
  <c r="R65" i="63"/>
  <c r="R67" i="63"/>
  <c r="R69" i="63"/>
  <c r="R71" i="63"/>
  <c r="R73" i="63"/>
  <c r="R75" i="63"/>
  <c r="R77" i="63"/>
  <c r="R79" i="63"/>
  <c r="R43" i="63"/>
  <c r="R45" i="63"/>
  <c r="R47" i="63"/>
  <c r="R49" i="63"/>
  <c r="R51" i="63"/>
  <c r="R53" i="63"/>
  <c r="R55" i="63"/>
  <c r="R61" i="63"/>
  <c r="R81" i="63"/>
  <c r="R85" i="63"/>
  <c r="R89" i="63"/>
  <c r="R82" i="63"/>
  <c r="R90" i="63"/>
  <c r="Q100" i="63"/>
  <c r="Q63" i="63"/>
  <c r="P68" i="63"/>
  <c r="Q71" i="63"/>
  <c r="Q75" i="63"/>
  <c r="Q79" i="63"/>
  <c r="Q90" i="63"/>
  <c r="P74" i="62"/>
  <c r="P76" i="62"/>
  <c r="P41" i="62"/>
  <c r="Q29" i="62"/>
  <c r="Q37" i="62"/>
  <c r="Q51" i="62"/>
  <c r="P8" i="62"/>
  <c r="P24" i="62"/>
  <c r="Q38" i="62"/>
  <c r="Q46" i="62"/>
  <c r="Q54" i="62"/>
  <c r="P42" i="62"/>
  <c r="P50" i="62"/>
  <c r="Q58" i="62"/>
  <c r="Q70" i="62"/>
  <c r="P69" i="62"/>
  <c r="P77" i="62"/>
  <c r="P96" i="62"/>
  <c r="P39" i="62"/>
  <c r="AE5" i="62"/>
  <c r="AE4" i="62"/>
  <c r="S18" i="62" s="1"/>
  <c r="P11" i="62"/>
  <c r="P82" i="62"/>
  <c r="P70" i="62"/>
  <c r="P80" i="62"/>
  <c r="P53" i="62"/>
  <c r="P45" i="62"/>
  <c r="P62" i="62"/>
  <c r="P7" i="62"/>
  <c r="P30" i="62"/>
  <c r="P31" i="62"/>
  <c r="P34" i="62"/>
  <c r="P35" i="62"/>
  <c r="Q39" i="62"/>
  <c r="Q47" i="62"/>
  <c r="Q55" i="62"/>
  <c r="Q61" i="62"/>
  <c r="P12" i="62"/>
  <c r="Q40" i="62"/>
  <c r="Q44" i="62"/>
  <c r="Q48" i="62"/>
  <c r="Q52" i="62"/>
  <c r="Q56" i="62"/>
  <c r="P40" i="62"/>
  <c r="P44" i="62"/>
  <c r="P48" i="62"/>
  <c r="P52" i="62"/>
  <c r="P57" i="62"/>
  <c r="P61" i="62"/>
  <c r="Q66" i="62"/>
  <c r="Q74" i="62"/>
  <c r="P67" i="62"/>
  <c r="P71" i="62"/>
  <c r="P75" i="62"/>
  <c r="P89" i="62"/>
  <c r="P81" i="62"/>
  <c r="P87" i="62"/>
  <c r="P100" i="62"/>
  <c r="Q97" i="62"/>
  <c r="P9" i="62"/>
  <c r="P72" i="62"/>
  <c r="P55" i="62"/>
  <c r="R87" i="62"/>
  <c r="R85" i="62"/>
  <c r="R83" i="62"/>
  <c r="R81" i="62"/>
  <c r="R75" i="62"/>
  <c r="R73" i="62"/>
  <c r="R71" i="62"/>
  <c r="R69" i="62"/>
  <c r="R67" i="62"/>
  <c r="R65" i="62"/>
  <c r="R63" i="62"/>
  <c r="R79" i="62"/>
  <c r="R77" i="62"/>
  <c r="R56" i="62"/>
  <c r="R54" i="62"/>
  <c r="R52" i="62"/>
  <c r="R50" i="62"/>
  <c r="R48" i="62"/>
  <c r="R46" i="62"/>
  <c r="R44" i="62"/>
  <c r="R42" i="62"/>
  <c r="R40" i="62"/>
  <c r="R38" i="62"/>
  <c r="R61" i="62"/>
  <c r="R59" i="62"/>
  <c r="R57" i="62"/>
  <c r="R27" i="62"/>
  <c r="R25" i="62"/>
  <c r="R23" i="62"/>
  <c r="R21" i="62"/>
  <c r="R19" i="62"/>
  <c r="R17" i="62"/>
  <c r="R16" i="62"/>
  <c r="R15" i="62"/>
  <c r="R14" i="62"/>
  <c r="R7" i="62"/>
  <c r="R6" i="62"/>
  <c r="R36" i="62"/>
  <c r="R34" i="62"/>
  <c r="R32" i="62"/>
  <c r="R30" i="62"/>
  <c r="R28" i="62"/>
  <c r="R9" i="62"/>
  <c r="R11" i="62"/>
  <c r="R13" i="62"/>
  <c r="R18" i="62"/>
  <c r="R22" i="62"/>
  <c r="R26" i="62"/>
  <c r="R8" i="62"/>
  <c r="R10" i="62"/>
  <c r="R12" i="62"/>
  <c r="R5" i="62"/>
  <c r="R41" i="62"/>
  <c r="R45" i="62"/>
  <c r="R49" i="62"/>
  <c r="R53" i="62"/>
  <c r="R64" i="62"/>
  <c r="R68" i="62"/>
  <c r="R72" i="62"/>
  <c r="R60" i="62"/>
  <c r="R82" i="62"/>
  <c r="R86" i="62"/>
  <c r="R76" i="62"/>
  <c r="R80" i="62"/>
  <c r="R97" i="62"/>
  <c r="R20" i="62"/>
  <c r="R24" i="62"/>
  <c r="R39" i="62"/>
  <c r="R43" i="62"/>
  <c r="R47" i="62"/>
  <c r="R51" i="62"/>
  <c r="R55" i="62"/>
  <c r="R29" i="62"/>
  <c r="R31" i="62"/>
  <c r="R33" i="62"/>
  <c r="R35" i="62"/>
  <c r="R37" i="62"/>
  <c r="R66" i="62"/>
  <c r="R70" i="62"/>
  <c r="R74" i="62"/>
  <c r="R58" i="62"/>
  <c r="R62" i="62"/>
  <c r="R84" i="62"/>
  <c r="R88" i="62"/>
  <c r="R78" i="62"/>
  <c r="R95" i="62"/>
  <c r="R99" i="62"/>
  <c r="R91" i="62"/>
  <c r="R96" i="62"/>
  <c r="R98" i="62"/>
  <c r="R100" i="62"/>
  <c r="R89" i="62"/>
  <c r="R94" i="62"/>
  <c r="P15" i="62"/>
  <c r="P5" i="62"/>
  <c r="P14" i="62"/>
  <c r="P16" i="62"/>
  <c r="P13" i="62"/>
  <c r="S12" i="62"/>
  <c r="S26" i="62"/>
  <c r="P19" i="62"/>
  <c r="P23" i="62"/>
  <c r="P27" i="62"/>
  <c r="Q31" i="62"/>
  <c r="Q35" i="62"/>
  <c r="P38" i="62"/>
  <c r="Q41" i="62"/>
  <c r="Q45" i="62"/>
  <c r="Q49" i="62"/>
  <c r="Q53" i="62"/>
  <c r="Q57" i="62"/>
  <c r="P18" i="62"/>
  <c r="P26" i="62"/>
  <c r="S49" i="62"/>
  <c r="Q59" i="62"/>
  <c r="Q60" i="62"/>
  <c r="Q65" i="62"/>
  <c r="Q69" i="62"/>
  <c r="Q73" i="62"/>
  <c r="Q76" i="62"/>
  <c r="Q80" i="62"/>
  <c r="Q83" i="62"/>
  <c r="Q87" i="62"/>
  <c r="S89" i="62"/>
  <c r="Q91" i="62"/>
  <c r="Q94" i="62"/>
  <c r="R93" i="62"/>
  <c r="Q89" i="62"/>
  <c r="R90" i="62"/>
  <c r="Q62" i="62"/>
  <c r="Q79" i="62"/>
  <c r="Q77" i="62"/>
  <c r="Q78" i="62"/>
  <c r="Q84" i="62"/>
  <c r="Q88" i="62"/>
  <c r="P95" i="62"/>
  <c r="Q5" i="62"/>
  <c r="Q6" i="62"/>
  <c r="Q20" i="62"/>
  <c r="Q24" i="62"/>
  <c r="Q28" i="62"/>
  <c r="Q36" i="62"/>
  <c r="Q15" i="62"/>
  <c r="Q17" i="62"/>
  <c r="Q19" i="62"/>
  <c r="Q21" i="62"/>
  <c r="Q23" i="62"/>
  <c r="Q25" i="62"/>
  <c r="Q27" i="62"/>
  <c r="Q30" i="62"/>
  <c r="Q95" i="62"/>
  <c r="Q7" i="62"/>
  <c r="Q9" i="62"/>
  <c r="Q11" i="62"/>
  <c r="Q13" i="62"/>
  <c r="Q18" i="62"/>
  <c r="Q22" i="62"/>
  <c r="Q26" i="62"/>
  <c r="Q32" i="62"/>
  <c r="Q8" i="62"/>
  <c r="Q10" i="62"/>
  <c r="Q12" i="62"/>
  <c r="Q14" i="62"/>
  <c r="Q16" i="62"/>
  <c r="Q34" i="62"/>
  <c r="S71" i="62"/>
  <c r="S38" i="62"/>
  <c r="P88" i="62"/>
  <c r="P91" i="62"/>
  <c r="P68" i="62"/>
  <c r="P78" i="62"/>
  <c r="P51" i="62"/>
  <c r="P43" i="62"/>
  <c r="P60" i="62"/>
  <c r="P17" i="62"/>
  <c r="P21" i="62"/>
  <c r="P25" i="62"/>
  <c r="P29" i="62"/>
  <c r="P32" i="62"/>
  <c r="P33" i="62"/>
  <c r="P36" i="62"/>
  <c r="P37" i="62"/>
  <c r="P10" i="62"/>
  <c r="P22" i="62"/>
  <c r="S39" i="62"/>
  <c r="S55" i="62"/>
  <c r="P59" i="62"/>
  <c r="Q64" i="62"/>
  <c r="Q68" i="62"/>
  <c r="Q72" i="62"/>
  <c r="Q67" i="62"/>
  <c r="Q71" i="62"/>
  <c r="Q75" i="62"/>
  <c r="P79" i="62"/>
  <c r="Q82" i="62"/>
  <c r="Q86" i="62"/>
  <c r="Q90" i="62"/>
  <c r="Q81" i="62"/>
  <c r="Q85" i="62"/>
  <c r="P90" i="62"/>
  <c r="Q93" i="62"/>
  <c r="Q96" i="62"/>
  <c r="P98" i="62"/>
  <c r="Q100" i="62"/>
  <c r="P93" i="62"/>
  <c r="P85" i="62"/>
  <c r="P94" i="62"/>
  <c r="Q99" i="62"/>
  <c r="P97" i="62"/>
  <c r="F90" i="59"/>
  <c r="F88" i="59"/>
  <c r="F87" i="59"/>
  <c r="F91" i="59"/>
  <c r="F89" i="59"/>
  <c r="C86" i="59"/>
  <c r="G85" i="59"/>
  <c r="D85" i="59"/>
  <c r="F86" i="59" s="1"/>
  <c r="C85" i="59"/>
  <c r="G84" i="59"/>
  <c r="D84" i="59"/>
  <c r="C84" i="59"/>
  <c r="G83" i="59"/>
  <c r="D83" i="59"/>
  <c r="C83" i="59"/>
  <c r="G82" i="59"/>
  <c r="D82" i="59"/>
  <c r="C82" i="59"/>
  <c r="G81" i="59"/>
  <c r="D81" i="59"/>
  <c r="C81" i="59"/>
  <c r="G80" i="59"/>
  <c r="D80" i="59"/>
  <c r="C80" i="59"/>
  <c r="G79" i="59"/>
  <c r="D79" i="59"/>
  <c r="C79" i="59"/>
  <c r="G78" i="59"/>
  <c r="D78" i="59"/>
  <c r="C78" i="59"/>
  <c r="G77" i="59"/>
  <c r="D77" i="59"/>
  <c r="C77" i="59"/>
  <c r="G76" i="59"/>
  <c r="D76" i="59"/>
  <c r="C76" i="59"/>
  <c r="G75" i="59"/>
  <c r="D75" i="59"/>
  <c r="C75" i="59"/>
  <c r="G74" i="59"/>
  <c r="D74" i="59"/>
  <c r="C74" i="59"/>
  <c r="G73" i="59"/>
  <c r="D73" i="59"/>
  <c r="C73" i="59"/>
  <c r="G72" i="59"/>
  <c r="D72" i="59"/>
  <c r="C72" i="59"/>
  <c r="G71" i="59"/>
  <c r="D71" i="59"/>
  <c r="C71" i="59"/>
  <c r="G70" i="59"/>
  <c r="D70" i="59"/>
  <c r="C70" i="59"/>
  <c r="G69" i="59"/>
  <c r="D69" i="59"/>
  <c r="C69" i="59"/>
  <c r="G68" i="59"/>
  <c r="D68" i="59"/>
  <c r="C68" i="59"/>
  <c r="G67" i="59"/>
  <c r="D67" i="59"/>
  <c r="C67" i="59"/>
  <c r="G66" i="59"/>
  <c r="D66" i="59"/>
  <c r="C66" i="59"/>
  <c r="G65" i="59"/>
  <c r="D65" i="59"/>
  <c r="C65" i="59"/>
  <c r="G64" i="59"/>
  <c r="D64" i="59"/>
  <c r="C64" i="59"/>
  <c r="G63" i="59"/>
  <c r="D63" i="59"/>
  <c r="C63" i="59"/>
  <c r="G62" i="59"/>
  <c r="D62" i="59"/>
  <c r="C62" i="59"/>
  <c r="G61" i="59"/>
  <c r="D61" i="59"/>
  <c r="C61" i="59"/>
  <c r="G60" i="59"/>
  <c r="D60" i="59"/>
  <c r="C60" i="59"/>
  <c r="G59" i="59"/>
  <c r="D59" i="59"/>
  <c r="C59" i="59"/>
  <c r="G58" i="59"/>
  <c r="D58" i="59"/>
  <c r="C58" i="59"/>
  <c r="G57" i="59"/>
  <c r="D57" i="59"/>
  <c r="C57" i="59"/>
  <c r="G56" i="59"/>
  <c r="D56" i="59"/>
  <c r="C56" i="59"/>
  <c r="G55" i="59"/>
  <c r="D55" i="59"/>
  <c r="C55" i="59"/>
  <c r="G54" i="59"/>
  <c r="D54" i="59"/>
  <c r="C54" i="59"/>
  <c r="G53" i="59"/>
  <c r="D53" i="59"/>
  <c r="C53" i="59"/>
  <c r="G52" i="59"/>
  <c r="D52" i="59"/>
  <c r="C52" i="59"/>
  <c r="G51" i="59"/>
  <c r="D51" i="59"/>
  <c r="C51" i="59"/>
  <c r="G50" i="59"/>
  <c r="D50" i="59"/>
  <c r="C50" i="59"/>
  <c r="G49" i="59"/>
  <c r="D49" i="59"/>
  <c r="C49" i="59"/>
  <c r="G48" i="59"/>
  <c r="D48" i="59"/>
  <c r="C48" i="59"/>
  <c r="G47" i="59"/>
  <c r="D47" i="59"/>
  <c r="F48" i="59" s="1"/>
  <c r="C47" i="59"/>
  <c r="G46" i="59"/>
  <c r="D46" i="59"/>
  <c r="C46" i="59"/>
  <c r="G45" i="59"/>
  <c r="D45" i="59"/>
  <c r="C45" i="59"/>
  <c r="G44" i="59"/>
  <c r="D44" i="59"/>
  <c r="C44" i="59"/>
  <c r="G43" i="59"/>
  <c r="D43" i="59"/>
  <c r="F44" i="59" s="1"/>
  <c r="C43" i="59"/>
  <c r="G42" i="59"/>
  <c r="D42" i="59"/>
  <c r="C42" i="59"/>
  <c r="G41" i="59"/>
  <c r="D41" i="59"/>
  <c r="C41" i="59"/>
  <c r="G40" i="59"/>
  <c r="D40" i="59"/>
  <c r="C40" i="59"/>
  <c r="G39" i="59"/>
  <c r="D39" i="59"/>
  <c r="C39" i="59"/>
  <c r="G38" i="59"/>
  <c r="D38" i="59"/>
  <c r="C38" i="59"/>
  <c r="G37" i="59"/>
  <c r="D37" i="59"/>
  <c r="C37" i="59"/>
  <c r="G36" i="59"/>
  <c r="D36" i="59"/>
  <c r="C36" i="59"/>
  <c r="G35" i="59"/>
  <c r="D35" i="59"/>
  <c r="C35" i="59"/>
  <c r="G34" i="59"/>
  <c r="D34" i="59"/>
  <c r="C34" i="59"/>
  <c r="G33" i="59"/>
  <c r="D33" i="59"/>
  <c r="C33" i="59"/>
  <c r="G32" i="59"/>
  <c r="D32" i="59"/>
  <c r="C32" i="59"/>
  <c r="G31" i="59"/>
  <c r="D31" i="59"/>
  <c r="C31" i="59"/>
  <c r="G30" i="59"/>
  <c r="D30" i="59"/>
  <c r="C30" i="59"/>
  <c r="G29" i="59"/>
  <c r="D29" i="59"/>
  <c r="C29" i="59"/>
  <c r="G28" i="59"/>
  <c r="D28" i="59"/>
  <c r="C28" i="59"/>
  <c r="G27" i="59"/>
  <c r="D27" i="59"/>
  <c r="F28" i="59" s="1"/>
  <c r="C27" i="59"/>
  <c r="G26" i="59"/>
  <c r="D26" i="59"/>
  <c r="C26" i="59"/>
  <c r="G25" i="59"/>
  <c r="D25" i="59"/>
  <c r="F26" i="59" s="1"/>
  <c r="C25" i="59"/>
  <c r="G24" i="59"/>
  <c r="D24" i="59"/>
  <c r="C24" i="59"/>
  <c r="G23" i="59"/>
  <c r="D23" i="59"/>
  <c r="C23" i="59"/>
  <c r="G22" i="59"/>
  <c r="D22" i="59"/>
  <c r="C22" i="59"/>
  <c r="G21" i="59"/>
  <c r="D21" i="59"/>
  <c r="C21" i="59"/>
  <c r="G20" i="59"/>
  <c r="D20" i="59"/>
  <c r="C20" i="59"/>
  <c r="G19" i="59"/>
  <c r="D19" i="59"/>
  <c r="C19" i="59"/>
  <c r="G18" i="59"/>
  <c r="D18" i="59"/>
  <c r="C18" i="59"/>
  <c r="G17" i="59"/>
  <c r="D17" i="59"/>
  <c r="C17" i="59"/>
  <c r="AB16" i="59"/>
  <c r="G16" i="59"/>
  <c r="D16" i="59"/>
  <c r="C16" i="59"/>
  <c r="AB15" i="59"/>
  <c r="G15" i="59"/>
  <c r="D15" i="59"/>
  <c r="C15" i="59"/>
  <c r="AB14" i="59"/>
  <c r="G14" i="59"/>
  <c r="D14" i="59"/>
  <c r="C14" i="59"/>
  <c r="G13" i="59"/>
  <c r="D13" i="59"/>
  <c r="C13" i="59"/>
  <c r="AB12" i="59"/>
  <c r="G12" i="59"/>
  <c r="D12" i="59"/>
  <c r="C12" i="59"/>
  <c r="AB11" i="59"/>
  <c r="G11" i="59"/>
  <c r="D11" i="59"/>
  <c r="C11" i="59"/>
  <c r="AB10" i="59"/>
  <c r="G10" i="59"/>
  <c r="D10" i="59"/>
  <c r="C10" i="59"/>
  <c r="AB9" i="59"/>
  <c r="G9" i="59"/>
  <c r="D9" i="59"/>
  <c r="C9" i="59"/>
  <c r="AB8" i="59"/>
  <c r="G8" i="59"/>
  <c r="D8" i="59"/>
  <c r="C8" i="59"/>
  <c r="G7" i="59"/>
  <c r="D7" i="59"/>
  <c r="C7" i="59"/>
  <c r="G6" i="59"/>
  <c r="D6" i="59"/>
  <c r="C6" i="59"/>
  <c r="G5" i="59"/>
  <c r="D5" i="59"/>
  <c r="C5" i="59"/>
  <c r="G4" i="59"/>
  <c r="D4" i="59"/>
  <c r="C4" i="59"/>
  <c r="I86" i="59"/>
  <c r="I85" i="59"/>
  <c r="I84" i="59"/>
  <c r="I83" i="59"/>
  <c r="I82" i="59"/>
  <c r="I81" i="59"/>
  <c r="I80" i="59"/>
  <c r="I79" i="59"/>
  <c r="I78" i="59"/>
  <c r="I77" i="59"/>
  <c r="I76" i="59"/>
  <c r="I75" i="59"/>
  <c r="I74" i="59"/>
  <c r="I73" i="59"/>
  <c r="I72" i="59"/>
  <c r="I71" i="59"/>
  <c r="I70" i="59"/>
  <c r="I69" i="59"/>
  <c r="I68" i="59"/>
  <c r="I67" i="59"/>
  <c r="I66" i="59"/>
  <c r="I65" i="59"/>
  <c r="I64" i="59"/>
  <c r="I63" i="59"/>
  <c r="I62" i="59"/>
  <c r="I61" i="59"/>
  <c r="I60" i="59"/>
  <c r="I59" i="59"/>
  <c r="I58" i="59"/>
  <c r="I57" i="59"/>
  <c r="I56" i="59"/>
  <c r="I55" i="59"/>
  <c r="I54" i="59"/>
  <c r="I53" i="59"/>
  <c r="I52" i="59"/>
  <c r="I51" i="59"/>
  <c r="I50" i="59"/>
  <c r="I49" i="59"/>
  <c r="I48" i="59"/>
  <c r="I47" i="59"/>
  <c r="I46" i="59"/>
  <c r="I45" i="59"/>
  <c r="I44" i="59"/>
  <c r="I43" i="59"/>
  <c r="I42" i="59"/>
  <c r="I41" i="59"/>
  <c r="I40" i="59"/>
  <c r="I39" i="59"/>
  <c r="I38" i="59"/>
  <c r="I37" i="59"/>
  <c r="I36" i="59"/>
  <c r="I35" i="59"/>
  <c r="I34" i="59"/>
  <c r="I33" i="59"/>
  <c r="I32" i="59"/>
  <c r="I31" i="59"/>
  <c r="I30" i="59"/>
  <c r="I29" i="59"/>
  <c r="I28" i="59"/>
  <c r="I27" i="59"/>
  <c r="I26" i="59"/>
  <c r="I25" i="59"/>
  <c r="I24" i="59"/>
  <c r="I23" i="59"/>
  <c r="I22" i="59"/>
  <c r="I21" i="59"/>
  <c r="I20" i="59"/>
  <c r="I19" i="59"/>
  <c r="I18" i="59"/>
  <c r="I17" i="59"/>
  <c r="I16" i="59"/>
  <c r="I15" i="59"/>
  <c r="I14" i="59"/>
  <c r="I13" i="59"/>
  <c r="F13" i="59"/>
  <c r="I12" i="59"/>
  <c r="F12" i="59"/>
  <c r="I11" i="59"/>
  <c r="I10" i="59"/>
  <c r="I9" i="59"/>
  <c r="I8" i="59"/>
  <c r="I7" i="59"/>
  <c r="X6" i="59"/>
  <c r="I6" i="59"/>
  <c r="X5" i="59"/>
  <c r="I5" i="59"/>
  <c r="R3" i="16" l="1"/>
  <c r="R5" i="16"/>
  <c r="R7" i="16"/>
  <c r="R9" i="16"/>
  <c r="R4" i="16"/>
  <c r="R6" i="16"/>
  <c r="R8" i="16"/>
  <c r="R2" i="16"/>
  <c r="N92" i="59"/>
  <c r="N99" i="59"/>
  <c r="N97" i="59"/>
  <c r="N95" i="59"/>
  <c r="N93" i="59"/>
  <c r="N100" i="59"/>
  <c r="N98" i="59"/>
  <c r="N96" i="59"/>
  <c r="N94" i="59"/>
  <c r="J92" i="59"/>
  <c r="J100" i="59"/>
  <c r="J99" i="59"/>
  <c r="J97" i="59"/>
  <c r="J95" i="59"/>
  <c r="J98" i="59"/>
  <c r="J96" i="59"/>
  <c r="J94" i="59"/>
  <c r="J93" i="59"/>
  <c r="L92" i="59"/>
  <c r="L97" i="59"/>
  <c r="L99" i="59"/>
  <c r="L98" i="59"/>
  <c r="L96" i="59"/>
  <c r="L95" i="59"/>
  <c r="L94" i="59"/>
  <c r="L93" i="59"/>
  <c r="L100" i="59"/>
  <c r="K93" i="59"/>
  <c r="K94" i="59"/>
  <c r="K95" i="59"/>
  <c r="K96" i="59"/>
  <c r="K97" i="59"/>
  <c r="K98" i="59"/>
  <c r="K99" i="59"/>
  <c r="K100" i="59"/>
  <c r="K92" i="59"/>
  <c r="L4" i="59"/>
  <c r="S8" i="62"/>
  <c r="S99" i="62"/>
  <c r="S47" i="62"/>
  <c r="S54" i="62"/>
  <c r="S93" i="62"/>
  <c r="S94" i="62"/>
  <c r="S76" i="62"/>
  <c r="S60" i="62"/>
  <c r="S41" i="62"/>
  <c r="S23" i="62"/>
  <c r="S36" i="62"/>
  <c r="S32" i="62"/>
  <c r="S22" i="62"/>
  <c r="S11" i="62"/>
  <c r="S92" i="63"/>
  <c r="S10" i="62"/>
  <c r="S92" i="62"/>
  <c r="S58" i="63"/>
  <c r="S99" i="63"/>
  <c r="S95" i="63"/>
  <c r="S94" i="63"/>
  <c r="S97" i="63"/>
  <c r="S96" i="63"/>
  <c r="S93" i="63"/>
  <c r="S98" i="63"/>
  <c r="F25" i="59"/>
  <c r="F27" i="59"/>
  <c r="F43" i="59"/>
  <c r="F47" i="59"/>
  <c r="F15" i="59"/>
  <c r="F16" i="59"/>
  <c r="F17" i="59"/>
  <c r="F7" i="59"/>
  <c r="F14" i="59"/>
  <c r="F19" i="59"/>
  <c r="F21" i="59"/>
  <c r="F23" i="59"/>
  <c r="F24" i="59"/>
  <c r="F31" i="59"/>
  <c r="F32" i="59"/>
  <c r="F35" i="59"/>
  <c r="F36" i="59"/>
  <c r="F39" i="59"/>
  <c r="F40" i="59"/>
  <c r="F51" i="59"/>
  <c r="F52" i="59"/>
  <c r="F55" i="59"/>
  <c r="F56" i="59"/>
  <c r="F59" i="59"/>
  <c r="F61" i="59"/>
  <c r="F63" i="59"/>
  <c r="F65" i="59"/>
  <c r="F69" i="59"/>
  <c r="F73" i="59"/>
  <c r="F71" i="59"/>
  <c r="F77" i="59"/>
  <c r="F79" i="59"/>
  <c r="F81" i="59"/>
  <c r="F83" i="59"/>
  <c r="F85" i="59"/>
  <c r="K4" i="59"/>
  <c r="S88" i="63"/>
  <c r="S84" i="63"/>
  <c r="S95" i="62"/>
  <c r="S51" i="62"/>
  <c r="S43" i="62"/>
  <c r="S27" i="62"/>
  <c r="S19" i="62"/>
  <c r="S5" i="62"/>
  <c r="S6" i="62"/>
  <c r="S46" i="62"/>
  <c r="S63" i="62"/>
  <c r="S83" i="62"/>
  <c r="S97" i="62"/>
  <c r="S80" i="62"/>
  <c r="S53" i="62"/>
  <c r="S45" i="62"/>
  <c r="S28" i="62"/>
  <c r="S24" i="62"/>
  <c r="S20" i="62"/>
  <c r="S13" i="62"/>
  <c r="S9" i="62"/>
  <c r="S79" i="63"/>
  <c r="S63" i="63"/>
  <c r="S90" i="63"/>
  <c r="S83" i="63"/>
  <c r="S86" i="63"/>
  <c r="S82" i="63"/>
  <c r="S36" i="63"/>
  <c r="S74" i="63"/>
  <c r="M7" i="59"/>
  <c r="M9" i="59"/>
  <c r="M11" i="59"/>
  <c r="M13" i="59"/>
  <c r="M15" i="59"/>
  <c r="M17" i="59"/>
  <c r="M19" i="59"/>
  <c r="M21" i="59"/>
  <c r="M23" i="59"/>
  <c r="M6" i="59"/>
  <c r="M8" i="59"/>
  <c r="M10" i="59"/>
  <c r="M12" i="59"/>
  <c r="M14" i="59"/>
  <c r="M16" i="59"/>
  <c r="M18" i="59"/>
  <c r="M20" i="59"/>
  <c r="M22" i="59"/>
  <c r="M24" i="59"/>
  <c r="M26" i="59"/>
  <c r="M28" i="59"/>
  <c r="M30" i="59"/>
  <c r="M27" i="59"/>
  <c r="M31" i="59"/>
  <c r="M33" i="59"/>
  <c r="M35" i="59"/>
  <c r="M37" i="59"/>
  <c r="M39" i="59"/>
  <c r="M41" i="59"/>
  <c r="M43" i="59"/>
  <c r="M45" i="59"/>
  <c r="M47" i="59"/>
  <c r="M49" i="59"/>
  <c r="M51" i="59"/>
  <c r="M53" i="59"/>
  <c r="M55" i="59"/>
  <c r="M57" i="59"/>
  <c r="M59" i="59"/>
  <c r="M61" i="59"/>
  <c r="M25" i="59"/>
  <c r="M29" i="59"/>
  <c r="M32" i="59"/>
  <c r="M34" i="59"/>
  <c r="M36" i="59"/>
  <c r="M38" i="59"/>
  <c r="M40" i="59"/>
  <c r="M42" i="59"/>
  <c r="M44" i="59"/>
  <c r="M46" i="59"/>
  <c r="M48" i="59"/>
  <c r="M50" i="59"/>
  <c r="M52" i="59"/>
  <c r="M54" i="59"/>
  <c r="M56" i="59"/>
  <c r="M58" i="59"/>
  <c r="M60" i="59"/>
  <c r="M62" i="59"/>
  <c r="M65" i="59"/>
  <c r="M67" i="59"/>
  <c r="M69" i="59"/>
  <c r="M71" i="59"/>
  <c r="M73" i="59"/>
  <c r="M75" i="59"/>
  <c r="M77" i="59"/>
  <c r="M79" i="59"/>
  <c r="M81" i="59"/>
  <c r="M83" i="59"/>
  <c r="M85" i="59"/>
  <c r="M87" i="59"/>
  <c r="M89" i="59"/>
  <c r="M91" i="59"/>
  <c r="M63" i="59"/>
  <c r="M64" i="59"/>
  <c r="M66" i="59"/>
  <c r="M68" i="59"/>
  <c r="M70" i="59"/>
  <c r="M72" i="59"/>
  <c r="M74" i="59"/>
  <c r="M76" i="59"/>
  <c r="M78" i="59"/>
  <c r="M80" i="59"/>
  <c r="M82" i="59"/>
  <c r="M84" i="59"/>
  <c r="M86" i="59"/>
  <c r="M88" i="59"/>
  <c r="M90" i="59"/>
  <c r="M5" i="59"/>
  <c r="L6" i="59"/>
  <c r="L8" i="59"/>
  <c r="L10" i="59"/>
  <c r="L12" i="59"/>
  <c r="L14" i="59"/>
  <c r="L16" i="59"/>
  <c r="L18" i="59"/>
  <c r="L20" i="59"/>
  <c r="L22" i="59"/>
  <c r="L7" i="59"/>
  <c r="L9" i="59"/>
  <c r="L11" i="59"/>
  <c r="L13" i="59"/>
  <c r="L15" i="59"/>
  <c r="L17" i="59"/>
  <c r="L19" i="59"/>
  <c r="L21" i="59"/>
  <c r="L23" i="59"/>
  <c r="L25" i="59"/>
  <c r="L27" i="59"/>
  <c r="L29" i="59"/>
  <c r="L31" i="59"/>
  <c r="L24" i="59"/>
  <c r="L28" i="59"/>
  <c r="L32" i="59"/>
  <c r="L34" i="59"/>
  <c r="L36" i="59"/>
  <c r="L38" i="59"/>
  <c r="L40" i="59"/>
  <c r="L42" i="59"/>
  <c r="L44" i="59"/>
  <c r="L46" i="59"/>
  <c r="L48" i="59"/>
  <c r="L50" i="59"/>
  <c r="L52" i="59"/>
  <c r="L54" i="59"/>
  <c r="L56" i="59"/>
  <c r="L58" i="59"/>
  <c r="L60" i="59"/>
  <c r="L26" i="59"/>
  <c r="L30" i="59"/>
  <c r="L33" i="59"/>
  <c r="L35" i="59"/>
  <c r="L37" i="59"/>
  <c r="L39" i="59"/>
  <c r="L41" i="59"/>
  <c r="L43" i="59"/>
  <c r="L45" i="59"/>
  <c r="L47" i="59"/>
  <c r="L49" i="59"/>
  <c r="L51" i="59"/>
  <c r="L53" i="59"/>
  <c r="L55" i="59"/>
  <c r="L57" i="59"/>
  <c r="L59" i="59"/>
  <c r="L61" i="59"/>
  <c r="L63" i="59"/>
  <c r="L62" i="59"/>
  <c r="L64" i="59"/>
  <c r="L66" i="59"/>
  <c r="L68" i="59"/>
  <c r="L70" i="59"/>
  <c r="L72" i="59"/>
  <c r="L74" i="59"/>
  <c r="L76" i="59"/>
  <c r="L78" i="59"/>
  <c r="L80" i="59"/>
  <c r="L82" i="59"/>
  <c r="L84" i="59"/>
  <c r="L86" i="59"/>
  <c r="L88" i="59"/>
  <c r="L90" i="59"/>
  <c r="L5" i="59"/>
  <c r="L65" i="59"/>
  <c r="L67" i="59"/>
  <c r="L69" i="59"/>
  <c r="L71" i="59"/>
  <c r="L73" i="59"/>
  <c r="L75" i="59"/>
  <c r="L77" i="59"/>
  <c r="L79" i="59"/>
  <c r="L81" i="59"/>
  <c r="L83" i="59"/>
  <c r="L85" i="59"/>
  <c r="L87" i="59"/>
  <c r="L89" i="59"/>
  <c r="L91" i="59"/>
  <c r="K7" i="59"/>
  <c r="K11" i="59"/>
  <c r="K15" i="59"/>
  <c r="K19" i="59"/>
  <c r="K23" i="59"/>
  <c r="K8" i="59"/>
  <c r="K12" i="59"/>
  <c r="K16" i="59"/>
  <c r="K20" i="59"/>
  <c r="K24" i="59"/>
  <c r="K28" i="59"/>
  <c r="K32" i="59"/>
  <c r="K29" i="59"/>
  <c r="K35" i="59"/>
  <c r="K39" i="59"/>
  <c r="K43" i="59"/>
  <c r="K47" i="59"/>
  <c r="K51" i="59"/>
  <c r="K55" i="59"/>
  <c r="K59" i="59"/>
  <c r="K27" i="59"/>
  <c r="K34" i="59"/>
  <c r="K38" i="59"/>
  <c r="K42" i="59"/>
  <c r="K46" i="59"/>
  <c r="K50" i="59"/>
  <c r="K54" i="59"/>
  <c r="K58" i="59"/>
  <c r="K62" i="59"/>
  <c r="K65" i="59"/>
  <c r="K69" i="59"/>
  <c r="K73" i="59"/>
  <c r="K77" i="59"/>
  <c r="K81" i="59"/>
  <c r="K85" i="59"/>
  <c r="K89" i="59"/>
  <c r="K64" i="59"/>
  <c r="K68" i="59"/>
  <c r="K72" i="59"/>
  <c r="K76" i="59"/>
  <c r="K80" i="59"/>
  <c r="K84" i="59"/>
  <c r="K88" i="59"/>
  <c r="K5" i="59"/>
  <c r="S39" i="63"/>
  <c r="S20" i="63"/>
  <c r="S42" i="63"/>
  <c r="S28" i="63"/>
  <c r="S7" i="63"/>
  <c r="S77" i="63"/>
  <c r="S34" i="63"/>
  <c r="S18" i="63"/>
  <c r="S11" i="63"/>
  <c r="S55" i="63"/>
  <c r="S47" i="63"/>
  <c r="S56" i="63"/>
  <c r="S72" i="63"/>
  <c r="S31" i="63"/>
  <c r="S23" i="63"/>
  <c r="S15" i="63"/>
  <c r="S75" i="63"/>
  <c r="S59" i="63"/>
  <c r="S100" i="63"/>
  <c r="S89" i="63"/>
  <c r="S61" i="63"/>
  <c r="S32" i="63"/>
  <c r="S6" i="63"/>
  <c r="S54" i="63"/>
  <c r="S70" i="63"/>
  <c r="S65" i="63"/>
  <c r="S30" i="63"/>
  <c r="S13" i="63"/>
  <c r="S8" i="63"/>
  <c r="S53" i="63"/>
  <c r="S45" i="63"/>
  <c r="S44" i="63"/>
  <c r="S60" i="63"/>
  <c r="S76" i="63"/>
  <c r="S37" i="63"/>
  <c r="S29" i="63"/>
  <c r="S21" i="63"/>
  <c r="S12" i="63"/>
  <c r="S77" i="62"/>
  <c r="S50" i="63"/>
  <c r="S66" i="63"/>
  <c r="S91" i="63"/>
  <c r="S5" i="63"/>
  <c r="S69" i="63"/>
  <c r="S41" i="63"/>
  <c r="S26" i="63"/>
  <c r="S9" i="63"/>
  <c r="S51" i="63"/>
  <c r="S43" i="63"/>
  <c r="S48" i="63"/>
  <c r="S64" i="63"/>
  <c r="S80" i="63"/>
  <c r="S35" i="63"/>
  <c r="S27" i="63"/>
  <c r="S19" i="63"/>
  <c r="S16" i="63"/>
  <c r="S87" i="63"/>
  <c r="S67" i="63"/>
  <c r="S81" i="63"/>
  <c r="S24" i="63"/>
  <c r="S40" i="63"/>
  <c r="S46" i="63"/>
  <c r="S62" i="63"/>
  <c r="S78" i="63"/>
  <c r="S73" i="63"/>
  <c r="S38" i="63"/>
  <c r="S22" i="63"/>
  <c r="S10" i="63"/>
  <c r="S57" i="63"/>
  <c r="S49" i="63"/>
  <c r="S52" i="63"/>
  <c r="S68" i="63"/>
  <c r="S33" i="63"/>
  <c r="S25" i="63"/>
  <c r="S17" i="63"/>
  <c r="S14" i="63"/>
  <c r="S70" i="62"/>
  <c r="S15" i="62"/>
  <c r="S17" i="62"/>
  <c r="S33" i="62"/>
  <c r="S100" i="62"/>
  <c r="S96" i="62"/>
  <c r="S86" i="62"/>
  <c r="S82" i="62"/>
  <c r="S62" i="62"/>
  <c r="S37" i="62"/>
  <c r="S29" i="62"/>
  <c r="S21" i="62"/>
  <c r="S57" i="62"/>
  <c r="S40" i="62"/>
  <c r="S48" i="62"/>
  <c r="S56" i="62"/>
  <c r="S65" i="62"/>
  <c r="S73" i="62"/>
  <c r="S85" i="62"/>
  <c r="S59" i="62"/>
  <c r="S50" i="62"/>
  <c r="S67" i="62"/>
  <c r="S87" i="62"/>
  <c r="S98" i="62"/>
  <c r="S91" i="62"/>
  <c r="S88" i="62"/>
  <c r="S84" i="62"/>
  <c r="S78" i="62"/>
  <c r="S72" i="62"/>
  <c r="S68" i="62"/>
  <c r="S64" i="62"/>
  <c r="S58" i="62"/>
  <c r="S35" i="62"/>
  <c r="S31" i="62"/>
  <c r="S16" i="62"/>
  <c r="S14" i="62"/>
  <c r="S34" i="62"/>
  <c r="S30" i="62"/>
  <c r="S7" i="62"/>
  <c r="S61" i="62"/>
  <c r="S44" i="62"/>
  <c r="S52" i="62"/>
  <c r="S79" i="62"/>
  <c r="S69" i="62"/>
  <c r="S81" i="62"/>
  <c r="S90" i="62"/>
  <c r="S74" i="62"/>
  <c r="S66" i="62"/>
  <c r="S25" i="62"/>
  <c r="S42" i="62"/>
  <c r="S75" i="62"/>
  <c r="F11" i="59"/>
  <c r="F6" i="59"/>
  <c r="F8" i="59"/>
  <c r="F9" i="59"/>
  <c r="F18" i="59"/>
  <c r="F20" i="59"/>
  <c r="F60" i="59"/>
  <c r="F62" i="59"/>
  <c r="F64" i="59"/>
  <c r="F84" i="59"/>
  <c r="F5" i="59"/>
  <c r="F10" i="59"/>
  <c r="F22" i="59"/>
  <c r="F70" i="59"/>
  <c r="F72" i="59"/>
  <c r="F78" i="59"/>
  <c r="F80" i="59"/>
  <c r="F82" i="59"/>
  <c r="F30" i="59"/>
  <c r="F29" i="59"/>
  <c r="F34" i="59"/>
  <c r="F33" i="59"/>
  <c r="F38" i="59"/>
  <c r="F37" i="59"/>
  <c r="F42" i="59"/>
  <c r="F41" i="59"/>
  <c r="F46" i="59"/>
  <c r="F45" i="59"/>
  <c r="F50" i="59"/>
  <c r="F49" i="59"/>
  <c r="F54" i="59"/>
  <c r="F53" i="59"/>
  <c r="F58" i="59"/>
  <c r="F57" i="59"/>
  <c r="F66" i="59"/>
  <c r="F68" i="59"/>
  <c r="F67" i="59"/>
  <c r="F74" i="59"/>
  <c r="F76" i="59"/>
  <c r="F75" i="59"/>
  <c r="AF5" i="59" l="1"/>
  <c r="AF4" i="59"/>
  <c r="K90" i="59"/>
  <c r="K86" i="59"/>
  <c r="K82" i="59"/>
  <c r="K78" i="59"/>
  <c r="K74" i="59"/>
  <c r="K70" i="59"/>
  <c r="K66" i="59"/>
  <c r="K91" i="59"/>
  <c r="K87" i="59"/>
  <c r="K83" i="59"/>
  <c r="K79" i="59"/>
  <c r="K75" i="59"/>
  <c r="K71" i="59"/>
  <c r="K67" i="59"/>
  <c r="K63" i="59"/>
  <c r="K60" i="59"/>
  <c r="K56" i="59"/>
  <c r="K52" i="59"/>
  <c r="K48" i="59"/>
  <c r="K44" i="59"/>
  <c r="K40" i="59"/>
  <c r="K36" i="59"/>
  <c r="K31" i="59"/>
  <c r="K61" i="59"/>
  <c r="K57" i="59"/>
  <c r="K53" i="59"/>
  <c r="K49" i="59"/>
  <c r="K45" i="59"/>
  <c r="K41" i="59"/>
  <c r="K37" i="59"/>
  <c r="K33" i="59"/>
  <c r="K25" i="59"/>
  <c r="K30" i="59"/>
  <c r="K26" i="59"/>
  <c r="K22" i="59"/>
  <c r="K18" i="59"/>
  <c r="K14" i="59"/>
  <c r="K10" i="59"/>
  <c r="K6" i="59"/>
  <c r="K21" i="59"/>
  <c r="K17" i="59"/>
  <c r="K13" i="59"/>
  <c r="K9" i="59"/>
  <c r="AD4" i="59"/>
  <c r="Q95" i="59" s="1"/>
  <c r="N6" i="59"/>
  <c r="AD5" i="59"/>
  <c r="Q6" i="59" s="1"/>
  <c r="N91" i="59"/>
  <c r="N87" i="59"/>
  <c r="N83" i="59"/>
  <c r="N79" i="59"/>
  <c r="N75" i="59"/>
  <c r="N71" i="59"/>
  <c r="N67" i="59"/>
  <c r="N62" i="59"/>
  <c r="N90" i="59"/>
  <c r="N86" i="59"/>
  <c r="N82" i="59"/>
  <c r="N78" i="59"/>
  <c r="N74" i="59"/>
  <c r="N70" i="59"/>
  <c r="N66" i="59"/>
  <c r="N63" i="59"/>
  <c r="N59" i="59"/>
  <c r="N55" i="59"/>
  <c r="N51" i="59"/>
  <c r="N47" i="59"/>
  <c r="N43" i="59"/>
  <c r="N39" i="59"/>
  <c r="N35" i="59"/>
  <c r="N28" i="59"/>
  <c r="N60" i="59"/>
  <c r="N56" i="59"/>
  <c r="N52" i="59"/>
  <c r="N48" i="59"/>
  <c r="N44" i="59"/>
  <c r="N40" i="59"/>
  <c r="N36" i="59"/>
  <c r="N32" i="59"/>
  <c r="N26" i="59"/>
  <c r="N29" i="59"/>
  <c r="N25" i="59"/>
  <c r="N21" i="59"/>
  <c r="N17" i="59"/>
  <c r="N13" i="59"/>
  <c r="N9" i="59"/>
  <c r="N22" i="59"/>
  <c r="N18" i="59"/>
  <c r="N14" i="59"/>
  <c r="N10" i="59"/>
  <c r="N5" i="59"/>
  <c r="N89" i="59"/>
  <c r="N85" i="59"/>
  <c r="N81" i="59"/>
  <c r="N77" i="59"/>
  <c r="N73" i="59"/>
  <c r="N69" i="59"/>
  <c r="N65" i="59"/>
  <c r="N88" i="59"/>
  <c r="N84" i="59"/>
  <c r="N80" i="59"/>
  <c r="N76" i="59"/>
  <c r="N72" i="59"/>
  <c r="N68" i="59"/>
  <c r="N64" i="59"/>
  <c r="N61" i="59"/>
  <c r="N57" i="59"/>
  <c r="N53" i="59"/>
  <c r="N49" i="59"/>
  <c r="N45" i="59"/>
  <c r="N41" i="59"/>
  <c r="N37" i="59"/>
  <c r="N33" i="59"/>
  <c r="N24" i="59"/>
  <c r="N58" i="59"/>
  <c r="N54" i="59"/>
  <c r="N50" i="59"/>
  <c r="N46" i="59"/>
  <c r="N42" i="59"/>
  <c r="N38" i="59"/>
  <c r="N34" i="59"/>
  <c r="N30" i="59"/>
  <c r="N31" i="59"/>
  <c r="N27" i="59"/>
  <c r="N23" i="59"/>
  <c r="N19" i="59"/>
  <c r="N15" i="59"/>
  <c r="N11" i="59"/>
  <c r="N7" i="59"/>
  <c r="N20" i="59"/>
  <c r="N16" i="59"/>
  <c r="N12" i="59"/>
  <c r="N8" i="59"/>
  <c r="Q35" i="59"/>
  <c r="Q76" i="59"/>
  <c r="Q71" i="59"/>
  <c r="Q7" i="59"/>
  <c r="Q16" i="59"/>
  <c r="Q73" i="59"/>
  <c r="Q9" i="59"/>
  <c r="Q14" i="59"/>
  <c r="Q12" i="59"/>
  <c r="Q69" i="59"/>
  <c r="Q86" i="59"/>
  <c r="Q70" i="59"/>
  <c r="Q31" i="59"/>
  <c r="Q24" i="59"/>
  <c r="Q65" i="59"/>
  <c r="Q60" i="59"/>
  <c r="Q56" i="59"/>
  <c r="Q77" i="59"/>
  <c r="Q13" i="59"/>
  <c r="Q10" i="59"/>
  <c r="R6" i="59"/>
  <c r="R10" i="59"/>
  <c r="R14" i="59"/>
  <c r="R18" i="59"/>
  <c r="R22" i="59"/>
  <c r="R26" i="59"/>
  <c r="R30" i="59"/>
  <c r="R34" i="59"/>
  <c r="R38" i="59"/>
  <c r="R42" i="59"/>
  <c r="R46" i="59"/>
  <c r="R50" i="59"/>
  <c r="R54" i="59"/>
  <c r="R58" i="59"/>
  <c r="R62" i="59"/>
  <c r="R9" i="59"/>
  <c r="R13" i="59"/>
  <c r="R17" i="59"/>
  <c r="R21" i="59"/>
  <c r="R25" i="59"/>
  <c r="R29" i="59"/>
  <c r="R33" i="59"/>
  <c r="R37" i="59"/>
  <c r="R41" i="59"/>
  <c r="R45" i="59"/>
  <c r="R49" i="59"/>
  <c r="R53" i="59"/>
  <c r="R57" i="59"/>
  <c r="R61" i="59"/>
  <c r="R66" i="59"/>
  <c r="R70" i="59"/>
  <c r="R74" i="59"/>
  <c r="R78" i="59"/>
  <c r="R82" i="59"/>
  <c r="R86" i="59"/>
  <c r="R90" i="59"/>
  <c r="R65" i="59"/>
  <c r="R69" i="59"/>
  <c r="R73" i="59"/>
  <c r="R77" i="59"/>
  <c r="R81" i="59"/>
  <c r="R85" i="59"/>
  <c r="R89" i="59"/>
  <c r="R100" i="59" l="1"/>
  <c r="R99" i="59"/>
  <c r="R97" i="59"/>
  <c r="R96" i="59"/>
  <c r="R95" i="59"/>
  <c r="R94" i="59"/>
  <c r="R98" i="59"/>
  <c r="R93" i="59"/>
  <c r="R92" i="59"/>
  <c r="Q99" i="59"/>
  <c r="Q94" i="59"/>
  <c r="Q98" i="59"/>
  <c r="Q93" i="59"/>
  <c r="Q92" i="59"/>
  <c r="Q96" i="59"/>
  <c r="Q100" i="59"/>
  <c r="Q97" i="59"/>
  <c r="Q43" i="59"/>
  <c r="Q75" i="59"/>
  <c r="Q11" i="59"/>
  <c r="Q42" i="59"/>
  <c r="Q45" i="59"/>
  <c r="Q20" i="59"/>
  <c r="Q22" i="59"/>
  <c r="Q33" i="59"/>
  <c r="Q74" i="59"/>
  <c r="Q64" i="59"/>
  <c r="Q63" i="59"/>
  <c r="Q34" i="59"/>
  <c r="Q37" i="59"/>
  <c r="Q50" i="59"/>
  <c r="Q44" i="59"/>
  <c r="Q46" i="59"/>
  <c r="Q41" i="59"/>
  <c r="Q58" i="59"/>
  <c r="Q48" i="59"/>
  <c r="Q39" i="59"/>
  <c r="Q54" i="59"/>
  <c r="Q67" i="59"/>
  <c r="Q62" i="59"/>
  <c r="AC5" i="59"/>
  <c r="AC4" i="59"/>
  <c r="Q26" i="59"/>
  <c r="Q68" i="59"/>
  <c r="Q29" i="59"/>
  <c r="Q61" i="59"/>
  <c r="Q66" i="59"/>
  <c r="Q36" i="59"/>
  <c r="Q88" i="59"/>
  <c r="Q38" i="59"/>
  <c r="Q17" i="59"/>
  <c r="Q49" i="59"/>
  <c r="Q81" i="59"/>
  <c r="Q8" i="59"/>
  <c r="Q40" i="59"/>
  <c r="Q15" i="59"/>
  <c r="Q47" i="59"/>
  <c r="Q79" i="59"/>
  <c r="Q18" i="59"/>
  <c r="Q52" i="59"/>
  <c r="Q21" i="59"/>
  <c r="Q53" i="59"/>
  <c r="Q85" i="59"/>
  <c r="Q80" i="59"/>
  <c r="Q28" i="59"/>
  <c r="Q72" i="59"/>
  <c r="Q30" i="59"/>
  <c r="Q78" i="59"/>
  <c r="Q25" i="59"/>
  <c r="Q57" i="59"/>
  <c r="Q89" i="59"/>
  <c r="Q90" i="59"/>
  <c r="Q32" i="59"/>
  <c r="Q82" i="59"/>
  <c r="Q23" i="59"/>
  <c r="Q55" i="59"/>
  <c r="Q87" i="59"/>
  <c r="Q84" i="59"/>
  <c r="Q83" i="59"/>
  <c r="Q51" i="59"/>
  <c r="Q19" i="59"/>
  <c r="Q91" i="59"/>
  <c r="Q59" i="59"/>
  <c r="Q27" i="59"/>
  <c r="P37" i="59"/>
  <c r="P77" i="59"/>
  <c r="P66" i="59"/>
  <c r="P43" i="59"/>
  <c r="P89" i="59"/>
  <c r="P60" i="59"/>
  <c r="P78" i="59"/>
  <c r="P40" i="59"/>
  <c r="P69" i="59"/>
  <c r="P17" i="59"/>
  <c r="P49" i="59"/>
  <c r="P79" i="59"/>
  <c r="R5" i="59"/>
  <c r="P75" i="59"/>
  <c r="P65" i="59"/>
  <c r="P34" i="59"/>
  <c r="P28" i="59"/>
  <c r="R91" i="59"/>
  <c r="R87" i="59"/>
  <c r="R83" i="59"/>
  <c r="R79" i="59"/>
  <c r="R75" i="59"/>
  <c r="R71" i="59"/>
  <c r="R67" i="59"/>
  <c r="R63" i="59"/>
  <c r="R88" i="59"/>
  <c r="R84" i="59"/>
  <c r="R80" i="59"/>
  <c r="R76" i="59"/>
  <c r="R72" i="59"/>
  <c r="R68" i="59"/>
  <c r="R64" i="59"/>
  <c r="R59" i="59"/>
  <c r="R55" i="59"/>
  <c r="R51" i="59"/>
  <c r="R47" i="59"/>
  <c r="R43" i="59"/>
  <c r="R39" i="59"/>
  <c r="R35" i="59"/>
  <c r="R31" i="59"/>
  <c r="R27" i="59"/>
  <c r="R23" i="59"/>
  <c r="R19" i="59"/>
  <c r="R15" i="59"/>
  <c r="R11" i="59"/>
  <c r="R7" i="59"/>
  <c r="R60" i="59"/>
  <c r="R56" i="59"/>
  <c r="R52" i="59"/>
  <c r="R48" i="59"/>
  <c r="R44" i="59"/>
  <c r="R40" i="59"/>
  <c r="R36" i="59"/>
  <c r="R32" i="59"/>
  <c r="R28" i="59"/>
  <c r="R24" i="59"/>
  <c r="R20" i="59"/>
  <c r="R16" i="59"/>
  <c r="R12" i="59"/>
  <c r="R8" i="59"/>
  <c r="P5" i="59"/>
  <c r="P62" i="59"/>
  <c r="P27" i="59"/>
  <c r="P24" i="59"/>
  <c r="P68" i="59"/>
  <c r="P18" i="59"/>
  <c r="P15" i="59"/>
  <c r="P44" i="59"/>
  <c r="P45" i="59"/>
  <c r="P74" i="59"/>
  <c r="P38" i="59"/>
  <c r="P6" i="59"/>
  <c r="P67" i="59"/>
  <c r="P35" i="59"/>
  <c r="P88" i="59"/>
  <c r="P64" i="59"/>
  <c r="P32" i="59"/>
  <c r="P90" i="59"/>
  <c r="P57" i="59"/>
  <c r="P25" i="59"/>
  <c r="P84" i="59"/>
  <c r="P58" i="59"/>
  <c r="P26" i="59"/>
  <c r="P87" i="59"/>
  <c r="P55" i="59"/>
  <c r="P23" i="59"/>
  <c r="P72" i="59"/>
  <c r="P52" i="59"/>
  <c r="P20" i="59"/>
  <c r="P61" i="59"/>
  <c r="P53" i="59"/>
  <c r="AE5" i="59"/>
  <c r="S71" i="59" s="1"/>
  <c r="AE4" i="59"/>
  <c r="S88" i="59" l="1"/>
  <c r="S87" i="59"/>
  <c r="S54" i="59"/>
  <c r="P92" i="59"/>
  <c r="P97" i="59"/>
  <c r="P93" i="59"/>
  <c r="P100" i="59"/>
  <c r="P96" i="59"/>
  <c r="P99" i="59"/>
  <c r="P95" i="59"/>
  <c r="P98" i="59"/>
  <c r="P94" i="59"/>
  <c r="S72" i="59"/>
  <c r="S96" i="59"/>
  <c r="S95" i="59"/>
  <c r="S98" i="59"/>
  <c r="S97" i="59"/>
  <c r="S100" i="59"/>
  <c r="S99" i="59"/>
  <c r="S94" i="59"/>
  <c r="S93" i="59"/>
  <c r="S92" i="59"/>
  <c r="S80" i="59"/>
  <c r="S64" i="59"/>
  <c r="S79" i="59"/>
  <c r="S63" i="59"/>
  <c r="S44" i="59"/>
  <c r="S37" i="59"/>
  <c r="S53" i="59"/>
  <c r="S12" i="59"/>
  <c r="P33" i="59"/>
  <c r="P29" i="59"/>
  <c r="P36" i="59"/>
  <c r="P70" i="59"/>
  <c r="P7" i="59"/>
  <c r="P39" i="59"/>
  <c r="P71" i="59"/>
  <c r="P10" i="59"/>
  <c r="P42" i="59"/>
  <c r="P82" i="59"/>
  <c r="P9" i="59"/>
  <c r="P41" i="59"/>
  <c r="P73" i="59"/>
  <c r="P16" i="59"/>
  <c r="P48" i="59"/>
  <c r="P19" i="59"/>
  <c r="P51" i="59"/>
  <c r="P83" i="59"/>
  <c r="P22" i="59"/>
  <c r="P54" i="59"/>
  <c r="P76" i="59"/>
  <c r="P12" i="59"/>
  <c r="P86" i="59"/>
  <c r="P47" i="59"/>
  <c r="P50" i="59"/>
  <c r="P81" i="59"/>
  <c r="P80" i="59"/>
  <c r="P59" i="59"/>
  <c r="P13" i="59"/>
  <c r="P91" i="59"/>
  <c r="P11" i="59"/>
  <c r="P46" i="59"/>
  <c r="P56" i="59"/>
  <c r="P30" i="59"/>
  <c r="P63" i="59"/>
  <c r="P14" i="59"/>
  <c r="P85" i="59"/>
  <c r="P8" i="59"/>
  <c r="P31" i="59"/>
  <c r="P21" i="59"/>
  <c r="S28" i="59"/>
  <c r="S25" i="59"/>
  <c r="S84" i="59"/>
  <c r="S76" i="59"/>
  <c r="S68" i="59"/>
  <c r="S91" i="59"/>
  <c r="S83" i="59"/>
  <c r="S75" i="59"/>
  <c r="S67" i="59"/>
  <c r="S58" i="59"/>
  <c r="S50" i="59"/>
  <c r="S36" i="59"/>
  <c r="S20" i="59"/>
  <c r="S61" i="59"/>
  <c r="S45" i="59"/>
  <c r="S33" i="59"/>
  <c r="S5" i="59"/>
  <c r="S90" i="59"/>
  <c r="S86" i="59"/>
  <c r="S82" i="59"/>
  <c r="S78" i="59"/>
  <c r="S74" i="59"/>
  <c r="S70" i="59"/>
  <c r="S66" i="59"/>
  <c r="S62" i="59"/>
  <c r="S89" i="59"/>
  <c r="S85" i="59"/>
  <c r="S81" i="59"/>
  <c r="S77" i="59"/>
  <c r="S73" i="59"/>
  <c r="S69" i="59"/>
  <c r="S65" i="59"/>
  <c r="S60" i="59"/>
  <c r="S56" i="59"/>
  <c r="S52" i="59"/>
  <c r="S48" i="59"/>
  <c r="S40" i="59"/>
  <c r="S32" i="59"/>
  <c r="S24" i="59"/>
  <c r="S16" i="59"/>
  <c r="S8" i="59"/>
  <c r="S57" i="59"/>
  <c r="S49" i="59"/>
  <c r="S41" i="59"/>
  <c r="S11" i="59"/>
  <c r="S29" i="59"/>
  <c r="S17" i="59"/>
  <c r="S46" i="59"/>
  <c r="S42" i="59"/>
  <c r="S38" i="59"/>
  <c r="S34" i="59"/>
  <c r="S30" i="59"/>
  <c r="S26" i="59"/>
  <c r="S22" i="59"/>
  <c r="S18" i="59"/>
  <c r="S14" i="59"/>
  <c r="S10" i="59"/>
  <c r="S6" i="59"/>
  <c r="S59" i="59"/>
  <c r="S55" i="59"/>
  <c r="S51" i="59"/>
  <c r="S47" i="59"/>
  <c r="S43" i="59"/>
  <c r="S39" i="59"/>
  <c r="S35" i="59"/>
  <c r="S31" i="59"/>
  <c r="S27" i="59"/>
  <c r="S21" i="59"/>
  <c r="S23" i="59"/>
  <c r="S19" i="59"/>
  <c r="S15" i="59"/>
  <c r="S13" i="59"/>
  <c r="S9" i="59"/>
  <c r="S7" i="59"/>
  <c r="Q5" i="59"/>
  <c r="F2" i="4"/>
  <c r="F2" i="39"/>
  <c r="G2" i="39" s="1"/>
  <c r="E3" i="65" l="1"/>
  <c r="E4" i="65"/>
  <c r="E5" i="65"/>
  <c r="E6" i="65"/>
  <c r="E7" i="65"/>
  <c r="E8" i="65"/>
  <c r="E9" i="65"/>
  <c r="E10" i="65"/>
  <c r="E11" i="65"/>
  <c r="E12" i="65"/>
  <c r="E13" i="65"/>
  <c r="E14" i="65"/>
  <c r="E15" i="65"/>
  <c r="E16" i="65"/>
  <c r="E17" i="65"/>
  <c r="E18" i="65"/>
  <c r="E19" i="65"/>
  <c r="E20" i="65"/>
  <c r="E21" i="65"/>
  <c r="E22" i="65"/>
  <c r="E23" i="65"/>
  <c r="E24" i="65"/>
  <c r="E25" i="65"/>
  <c r="E26" i="65"/>
  <c r="E27" i="65"/>
  <c r="E28" i="65"/>
  <c r="E29" i="65"/>
  <c r="E30" i="65"/>
  <c r="E31" i="65"/>
  <c r="E32" i="65"/>
  <c r="E33" i="65"/>
  <c r="E34" i="65"/>
  <c r="E35" i="65"/>
  <c r="E36" i="65"/>
  <c r="E37" i="65"/>
  <c r="E38" i="65"/>
  <c r="E39" i="65"/>
  <c r="E40" i="65"/>
  <c r="E41" i="65"/>
  <c r="E42" i="65"/>
  <c r="E43" i="65"/>
  <c r="E44" i="65"/>
  <c r="E45" i="65"/>
  <c r="E46" i="65"/>
  <c r="E47" i="65"/>
  <c r="E48" i="65"/>
  <c r="E49" i="65"/>
  <c r="E50" i="65"/>
  <c r="E51" i="65"/>
  <c r="E52" i="65"/>
  <c r="E53" i="65"/>
  <c r="E54" i="65"/>
  <c r="E55" i="65"/>
  <c r="E56" i="65"/>
  <c r="E57" i="65"/>
  <c r="E58" i="65"/>
  <c r="E59" i="65"/>
  <c r="E60" i="65"/>
  <c r="E61" i="65"/>
  <c r="E62" i="65"/>
  <c r="E63" i="65"/>
  <c r="E64" i="65"/>
  <c r="E65" i="65"/>
  <c r="E66" i="65"/>
  <c r="E67" i="65"/>
  <c r="E68" i="65"/>
  <c r="E69" i="65"/>
  <c r="E70" i="65"/>
  <c r="E71" i="65"/>
  <c r="E2" i="65"/>
  <c r="R4" i="23" l="1"/>
  <c r="S4" i="23"/>
  <c r="T4" i="23"/>
  <c r="U4" i="23"/>
  <c r="R5" i="23"/>
  <c r="S5" i="23"/>
  <c r="T5" i="23"/>
  <c r="U5" i="23"/>
  <c r="R6" i="23"/>
  <c r="S6" i="23"/>
  <c r="T6" i="23"/>
  <c r="U6" i="23"/>
  <c r="R7" i="23"/>
  <c r="S7" i="23"/>
  <c r="T7" i="23"/>
  <c r="U7" i="23"/>
  <c r="R8" i="23"/>
  <c r="S8" i="23"/>
  <c r="T8" i="23"/>
  <c r="U8" i="23"/>
  <c r="R9" i="23"/>
  <c r="S9" i="23"/>
  <c r="T9" i="23"/>
  <c r="U9" i="23"/>
  <c r="R10" i="23"/>
  <c r="S10" i="23"/>
  <c r="T10" i="23"/>
  <c r="U10" i="23"/>
  <c r="R11" i="23"/>
  <c r="S11" i="23"/>
  <c r="T11" i="23"/>
  <c r="U11" i="23"/>
  <c r="R12" i="23"/>
  <c r="S12" i="23"/>
  <c r="T12" i="23"/>
  <c r="U12" i="23"/>
  <c r="R13" i="23"/>
  <c r="S13" i="23"/>
  <c r="T13" i="23"/>
  <c r="U13" i="23"/>
  <c r="R14" i="23"/>
  <c r="S14" i="23"/>
  <c r="T14" i="23"/>
  <c r="U14" i="23"/>
  <c r="R15" i="23"/>
  <c r="S15" i="23"/>
  <c r="T15" i="23"/>
  <c r="U15" i="23"/>
  <c r="R16" i="23"/>
  <c r="S16" i="23"/>
  <c r="T16" i="23"/>
  <c r="U16" i="23"/>
  <c r="R17" i="23"/>
  <c r="S17" i="23"/>
  <c r="T17" i="23"/>
  <c r="U17" i="23"/>
  <c r="R18" i="23"/>
  <c r="S18" i="23"/>
  <c r="T18" i="23"/>
  <c r="U18" i="23"/>
  <c r="R19" i="23"/>
  <c r="S19" i="23"/>
  <c r="T19" i="23"/>
  <c r="U19" i="23"/>
  <c r="R20" i="23"/>
  <c r="S20" i="23"/>
  <c r="T20" i="23"/>
  <c r="U20" i="23"/>
  <c r="R21" i="23"/>
  <c r="S21" i="23"/>
  <c r="T21" i="23"/>
  <c r="U21" i="23"/>
  <c r="R22" i="23"/>
  <c r="S22" i="23"/>
  <c r="T22" i="23"/>
  <c r="U22" i="23"/>
  <c r="R23" i="23"/>
  <c r="S23" i="23"/>
  <c r="T23" i="23"/>
  <c r="U23" i="23"/>
  <c r="R24" i="23"/>
  <c r="S24" i="23"/>
  <c r="T24" i="23"/>
  <c r="U24" i="23"/>
  <c r="R25" i="23"/>
  <c r="S25" i="23"/>
  <c r="T25" i="23"/>
  <c r="U25" i="23"/>
  <c r="R26" i="23"/>
  <c r="S26" i="23"/>
  <c r="T26" i="23"/>
  <c r="U26" i="23"/>
  <c r="R27" i="23"/>
  <c r="S27" i="23"/>
  <c r="T27" i="23"/>
  <c r="U27" i="23"/>
  <c r="R28" i="23"/>
  <c r="S28" i="23"/>
  <c r="T28" i="23"/>
  <c r="U28" i="23"/>
  <c r="R29" i="23"/>
  <c r="S29" i="23"/>
  <c r="T29" i="23"/>
  <c r="U29" i="23"/>
  <c r="R30" i="23"/>
  <c r="S30" i="23"/>
  <c r="T30" i="23"/>
  <c r="U30" i="23"/>
  <c r="R31" i="23"/>
  <c r="S31" i="23"/>
  <c r="T31" i="23"/>
  <c r="U31" i="23"/>
  <c r="R32" i="23"/>
  <c r="S32" i="23"/>
  <c r="T32" i="23"/>
  <c r="U32" i="23"/>
  <c r="R33" i="23"/>
  <c r="S33" i="23"/>
  <c r="T33" i="23"/>
  <c r="U33" i="23"/>
  <c r="R34" i="23"/>
  <c r="S34" i="23"/>
  <c r="T34" i="23"/>
  <c r="U34" i="23"/>
  <c r="R3" i="23"/>
  <c r="S3" i="23"/>
  <c r="T3" i="23"/>
  <c r="U3" i="23"/>
  <c r="Q4" i="23"/>
  <c r="Q5" i="23"/>
  <c r="Q6" i="23"/>
  <c r="Q7" i="23"/>
  <c r="Q8" i="23"/>
  <c r="Q9" i="23"/>
  <c r="Q10" i="23"/>
  <c r="Q11" i="23"/>
  <c r="Q12" i="23"/>
  <c r="Q13" i="23"/>
  <c r="Q14" i="23"/>
  <c r="Q15" i="23"/>
  <c r="Q16" i="23"/>
  <c r="Q17" i="23"/>
  <c r="Q18" i="23"/>
  <c r="Q19" i="23"/>
  <c r="Q20" i="23"/>
  <c r="Q21" i="23"/>
  <c r="Q22" i="23"/>
  <c r="Q23" i="23"/>
  <c r="Q24" i="23"/>
  <c r="Q25" i="23"/>
  <c r="Q26" i="23"/>
  <c r="Q27" i="23"/>
  <c r="Q28" i="23"/>
  <c r="Q29" i="23"/>
  <c r="Q30" i="23"/>
  <c r="Q31" i="23"/>
  <c r="Q32" i="23"/>
  <c r="Q33" i="23"/>
  <c r="Q34" i="23"/>
  <c r="Q3" i="23"/>
  <c r="M4" i="23"/>
  <c r="N4" i="23"/>
  <c r="O4" i="23"/>
  <c r="P4" i="23"/>
  <c r="M5" i="23"/>
  <c r="N5" i="23"/>
  <c r="O5" i="23"/>
  <c r="P5" i="23"/>
  <c r="M6" i="23"/>
  <c r="N6" i="23"/>
  <c r="O6" i="23"/>
  <c r="P6" i="23"/>
  <c r="M7" i="23"/>
  <c r="N7" i="23"/>
  <c r="O7" i="23"/>
  <c r="P7" i="23"/>
  <c r="M8" i="23"/>
  <c r="N8" i="23"/>
  <c r="O8" i="23"/>
  <c r="P8" i="23"/>
  <c r="M9" i="23"/>
  <c r="N9" i="23"/>
  <c r="O9" i="23"/>
  <c r="P9" i="23"/>
  <c r="M10" i="23"/>
  <c r="N10" i="23"/>
  <c r="O10" i="23"/>
  <c r="P10" i="23"/>
  <c r="M11" i="23"/>
  <c r="N11" i="23"/>
  <c r="O11" i="23"/>
  <c r="P11" i="23"/>
  <c r="M12" i="23"/>
  <c r="N12" i="23"/>
  <c r="O12" i="23"/>
  <c r="P12" i="23"/>
  <c r="M13" i="23"/>
  <c r="N13" i="23"/>
  <c r="O13" i="23"/>
  <c r="P13" i="23"/>
  <c r="M14" i="23"/>
  <c r="N14" i="23"/>
  <c r="O14" i="23"/>
  <c r="P14" i="23"/>
  <c r="M15" i="23"/>
  <c r="N15" i="23"/>
  <c r="O15" i="23"/>
  <c r="P15" i="23"/>
  <c r="M16" i="23"/>
  <c r="N16" i="23"/>
  <c r="O16" i="23"/>
  <c r="P16" i="23"/>
  <c r="M17" i="23"/>
  <c r="N17" i="23"/>
  <c r="O17" i="23"/>
  <c r="P17" i="23"/>
  <c r="M18" i="23"/>
  <c r="N18" i="23"/>
  <c r="O18" i="23"/>
  <c r="P18" i="23"/>
  <c r="M19" i="23"/>
  <c r="N19" i="23"/>
  <c r="O19" i="23"/>
  <c r="P19" i="23"/>
  <c r="M20" i="23"/>
  <c r="N20" i="23"/>
  <c r="O20" i="23"/>
  <c r="P20" i="23"/>
  <c r="M21" i="23"/>
  <c r="N21" i="23"/>
  <c r="O21" i="23"/>
  <c r="P21" i="23"/>
  <c r="M22" i="23"/>
  <c r="N22" i="23"/>
  <c r="O22" i="23"/>
  <c r="P22" i="23"/>
  <c r="M23" i="23"/>
  <c r="N23" i="23"/>
  <c r="O23" i="23"/>
  <c r="P23" i="23"/>
  <c r="M24" i="23"/>
  <c r="N24" i="23"/>
  <c r="O24" i="23"/>
  <c r="P24" i="23"/>
  <c r="M25" i="23"/>
  <c r="N25" i="23"/>
  <c r="O25" i="23"/>
  <c r="P25" i="23"/>
  <c r="M26" i="23"/>
  <c r="N26" i="23"/>
  <c r="O26" i="23"/>
  <c r="P26" i="23"/>
  <c r="M27" i="23"/>
  <c r="N27" i="23"/>
  <c r="O27" i="23"/>
  <c r="P27" i="23"/>
  <c r="M28" i="23"/>
  <c r="N28" i="23"/>
  <c r="O28" i="23"/>
  <c r="P28" i="23"/>
  <c r="M29" i="23"/>
  <c r="N29" i="23"/>
  <c r="O29" i="23"/>
  <c r="P29" i="23"/>
  <c r="M30" i="23"/>
  <c r="N30" i="23"/>
  <c r="O30" i="23"/>
  <c r="P30" i="23"/>
  <c r="M31" i="23"/>
  <c r="N31" i="23"/>
  <c r="O31" i="23"/>
  <c r="P31" i="23"/>
  <c r="M32" i="23"/>
  <c r="N32" i="23"/>
  <c r="O32" i="23"/>
  <c r="P32" i="23"/>
  <c r="M33" i="23"/>
  <c r="N33" i="23"/>
  <c r="O33" i="23"/>
  <c r="P33" i="23"/>
  <c r="M34" i="23"/>
  <c r="N34" i="23"/>
  <c r="O34" i="23"/>
  <c r="P34" i="23"/>
  <c r="M3" i="23"/>
  <c r="N3" i="23"/>
  <c r="O3" i="23"/>
  <c r="P3" i="23"/>
  <c r="L4" i="23"/>
  <c r="L5" i="23"/>
  <c r="L6" i="23"/>
  <c r="L7" i="23"/>
  <c r="L8" i="23"/>
  <c r="L9" i="23"/>
  <c r="L10" i="23"/>
  <c r="L11" i="23"/>
  <c r="L12" i="23"/>
  <c r="L13" i="23"/>
  <c r="L14" i="23"/>
  <c r="L15" i="23"/>
  <c r="L16" i="23"/>
  <c r="L17" i="23"/>
  <c r="L18" i="23"/>
  <c r="L19" i="23"/>
  <c r="L20" i="23"/>
  <c r="L21" i="23"/>
  <c r="L22" i="23"/>
  <c r="L23" i="23"/>
  <c r="L24" i="23"/>
  <c r="L25" i="23"/>
  <c r="L26" i="23"/>
  <c r="L27" i="23"/>
  <c r="L28" i="23"/>
  <c r="L29" i="23"/>
  <c r="L30" i="23"/>
  <c r="L31" i="23"/>
  <c r="L32" i="23"/>
  <c r="L33" i="23"/>
  <c r="L34" i="23"/>
  <c r="L3" i="23"/>
  <c r="H4" i="23"/>
  <c r="I4" i="23"/>
  <c r="D4" i="23" s="1"/>
  <c r="J4" i="23"/>
  <c r="K4" i="23"/>
  <c r="F4" i="23" s="1"/>
  <c r="H5" i="23"/>
  <c r="I5" i="23"/>
  <c r="D5" i="23" s="1"/>
  <c r="J5" i="23"/>
  <c r="K5" i="23"/>
  <c r="F5" i="23" s="1"/>
  <c r="H6" i="23"/>
  <c r="I6" i="23"/>
  <c r="D6" i="23" s="1"/>
  <c r="J6" i="23"/>
  <c r="K6" i="23"/>
  <c r="F6" i="23" s="1"/>
  <c r="H7" i="23"/>
  <c r="I7" i="23"/>
  <c r="D7" i="23" s="1"/>
  <c r="J7" i="23"/>
  <c r="K7" i="23"/>
  <c r="F7" i="23" s="1"/>
  <c r="H8" i="23"/>
  <c r="I8" i="23"/>
  <c r="D8" i="23" s="1"/>
  <c r="J8" i="23"/>
  <c r="K8" i="23"/>
  <c r="F8" i="23" s="1"/>
  <c r="H9" i="23"/>
  <c r="I9" i="23"/>
  <c r="D9" i="23" s="1"/>
  <c r="J9" i="23"/>
  <c r="K9" i="23"/>
  <c r="F9" i="23" s="1"/>
  <c r="H10" i="23"/>
  <c r="I10" i="23"/>
  <c r="D10" i="23" s="1"/>
  <c r="J10" i="23"/>
  <c r="K10" i="23"/>
  <c r="F10" i="23" s="1"/>
  <c r="H11" i="23"/>
  <c r="I11" i="23"/>
  <c r="D11" i="23" s="1"/>
  <c r="J11" i="23"/>
  <c r="K11" i="23"/>
  <c r="F11" i="23" s="1"/>
  <c r="H12" i="23"/>
  <c r="I12" i="23"/>
  <c r="D12" i="23" s="1"/>
  <c r="J12" i="23"/>
  <c r="K12" i="23"/>
  <c r="F12" i="23" s="1"/>
  <c r="H13" i="23"/>
  <c r="I13" i="23"/>
  <c r="D13" i="23" s="1"/>
  <c r="J13" i="23"/>
  <c r="K13" i="23"/>
  <c r="F13" i="23" s="1"/>
  <c r="H14" i="23"/>
  <c r="I14" i="23"/>
  <c r="D14" i="23" s="1"/>
  <c r="J14" i="23"/>
  <c r="K14" i="23"/>
  <c r="F14" i="23" s="1"/>
  <c r="H15" i="23"/>
  <c r="I15" i="23"/>
  <c r="D15" i="23" s="1"/>
  <c r="W80" i="16" s="1"/>
  <c r="AC80" i="16" s="1"/>
  <c r="J15" i="23"/>
  <c r="K15" i="23"/>
  <c r="F15" i="23" s="1"/>
  <c r="Y80" i="16" s="1"/>
  <c r="AE80" i="16" s="1"/>
  <c r="H16" i="23"/>
  <c r="I16" i="23"/>
  <c r="D16" i="23" s="1"/>
  <c r="J16" i="23"/>
  <c r="K16" i="23"/>
  <c r="F16" i="23" s="1"/>
  <c r="H17" i="23"/>
  <c r="I17" i="23"/>
  <c r="D17" i="23" s="1"/>
  <c r="W36" i="16" s="1"/>
  <c r="J17" i="23"/>
  <c r="K17" i="23"/>
  <c r="F17" i="23" s="1"/>
  <c r="Y36" i="16" s="1"/>
  <c r="H18" i="23"/>
  <c r="I18" i="23"/>
  <c r="D18" i="23" s="1"/>
  <c r="J18" i="23"/>
  <c r="K18" i="23"/>
  <c r="F18" i="23" s="1"/>
  <c r="H19" i="23"/>
  <c r="I19" i="23"/>
  <c r="D19" i="23" s="1"/>
  <c r="J19" i="23"/>
  <c r="K19" i="23"/>
  <c r="F19" i="23" s="1"/>
  <c r="H20" i="23"/>
  <c r="I20" i="23"/>
  <c r="D20" i="23" s="1"/>
  <c r="J20" i="23"/>
  <c r="K20" i="23"/>
  <c r="F20" i="23" s="1"/>
  <c r="H21" i="23"/>
  <c r="I21" i="23"/>
  <c r="D21" i="23" s="1"/>
  <c r="J21" i="23"/>
  <c r="K21" i="23"/>
  <c r="F21" i="23" s="1"/>
  <c r="H22" i="23"/>
  <c r="I22" i="23"/>
  <c r="D22" i="23" s="1"/>
  <c r="W84" i="16" s="1"/>
  <c r="AC84" i="16" s="1"/>
  <c r="J22" i="23"/>
  <c r="K22" i="23"/>
  <c r="F22" i="23" s="1"/>
  <c r="Y84" i="16" s="1"/>
  <c r="AE84" i="16" s="1"/>
  <c r="H23" i="23"/>
  <c r="I23" i="23"/>
  <c r="D23" i="23" s="1"/>
  <c r="W85" i="16" s="1"/>
  <c r="AC85" i="16" s="1"/>
  <c r="J23" i="23"/>
  <c r="K23" i="23"/>
  <c r="F23" i="23" s="1"/>
  <c r="Y85" i="16" s="1"/>
  <c r="AE85" i="16" s="1"/>
  <c r="H24" i="23"/>
  <c r="I24" i="23"/>
  <c r="D24" i="23" s="1"/>
  <c r="W86" i="16" s="1"/>
  <c r="AC86" i="16" s="1"/>
  <c r="J24" i="23"/>
  <c r="K24" i="23"/>
  <c r="F24" i="23" s="1"/>
  <c r="Y86" i="16" s="1"/>
  <c r="AE86" i="16" s="1"/>
  <c r="H25" i="23"/>
  <c r="I25" i="23"/>
  <c r="D25" i="23" s="1"/>
  <c r="W87" i="16" s="1"/>
  <c r="AC87" i="16" s="1"/>
  <c r="J25" i="23"/>
  <c r="K25" i="23"/>
  <c r="F25" i="23" s="1"/>
  <c r="Y87" i="16" s="1"/>
  <c r="AE87" i="16" s="1"/>
  <c r="H26" i="23"/>
  <c r="I26" i="23"/>
  <c r="D26" i="23" s="1"/>
  <c r="W88" i="16" s="1"/>
  <c r="AC88" i="16" s="1"/>
  <c r="J26" i="23"/>
  <c r="K26" i="23"/>
  <c r="F26" i="23" s="1"/>
  <c r="Y88" i="16" s="1"/>
  <c r="AE88" i="16" s="1"/>
  <c r="H27" i="23"/>
  <c r="I27" i="23"/>
  <c r="J27" i="23"/>
  <c r="K27" i="23"/>
  <c r="H28" i="23"/>
  <c r="I28" i="23"/>
  <c r="J28" i="23"/>
  <c r="K28" i="23"/>
  <c r="H29" i="23"/>
  <c r="I29" i="23"/>
  <c r="J29" i="23"/>
  <c r="K29" i="23"/>
  <c r="H30" i="23"/>
  <c r="I30" i="23"/>
  <c r="J30" i="23"/>
  <c r="K30" i="23"/>
  <c r="H31" i="23"/>
  <c r="I31" i="23"/>
  <c r="J31" i="23"/>
  <c r="K31" i="23"/>
  <c r="H32" i="23"/>
  <c r="I32" i="23"/>
  <c r="J32" i="23"/>
  <c r="K32" i="23"/>
  <c r="H33" i="23"/>
  <c r="I33" i="23"/>
  <c r="J33" i="23"/>
  <c r="K33" i="23"/>
  <c r="H34" i="23"/>
  <c r="I34" i="23"/>
  <c r="J34" i="23"/>
  <c r="K34" i="23"/>
  <c r="H3" i="23"/>
  <c r="I3" i="23"/>
  <c r="J3" i="23"/>
  <c r="K3" i="23"/>
  <c r="G4" i="23"/>
  <c r="G5" i="23"/>
  <c r="G6" i="23"/>
  <c r="G7" i="23"/>
  <c r="G8" i="23"/>
  <c r="G9" i="23"/>
  <c r="G10" i="23"/>
  <c r="G11" i="23"/>
  <c r="G12" i="23"/>
  <c r="G13" i="23"/>
  <c r="G14" i="23"/>
  <c r="G15" i="23"/>
  <c r="G16" i="23"/>
  <c r="G17" i="23"/>
  <c r="G18" i="23"/>
  <c r="G19" i="23"/>
  <c r="G20" i="23"/>
  <c r="G21" i="23"/>
  <c r="G22" i="23"/>
  <c r="G23" i="23"/>
  <c r="G24" i="23"/>
  <c r="G25" i="23"/>
  <c r="G26" i="23"/>
  <c r="G27" i="23"/>
  <c r="G28" i="23"/>
  <c r="G29" i="23"/>
  <c r="G30" i="23"/>
  <c r="G31" i="23"/>
  <c r="G32" i="23"/>
  <c r="G33" i="23"/>
  <c r="G34" i="23"/>
  <c r="G3" i="23"/>
  <c r="Y111" i="16" l="1"/>
  <c r="AE111" i="16" s="1"/>
  <c r="Y77" i="16"/>
  <c r="AE77" i="16" s="1"/>
  <c r="W111" i="16"/>
  <c r="AC111" i="16" s="1"/>
  <c r="W77" i="16"/>
  <c r="AC77" i="16" s="1"/>
  <c r="Y74" i="16"/>
  <c r="AE74" i="16" s="1"/>
  <c r="Y92" i="16"/>
  <c r="AE92" i="16" s="1"/>
  <c r="Y90" i="16"/>
  <c r="AE90" i="16" s="1"/>
  <c r="Y97" i="16"/>
  <c r="AE97" i="16" s="1"/>
  <c r="Y93" i="16"/>
  <c r="AE93" i="16" s="1"/>
  <c r="Y95" i="16"/>
  <c r="AE95" i="16" s="1"/>
  <c r="Y100" i="16"/>
  <c r="AE100" i="16" s="1"/>
  <c r="Y94" i="16"/>
  <c r="AE94" i="16" s="1"/>
  <c r="Y89" i="16"/>
  <c r="AE89" i="16" s="1"/>
  <c r="Y91" i="16"/>
  <c r="AE91" i="16" s="1"/>
  <c r="Y98" i="16"/>
  <c r="AE98" i="16" s="1"/>
  <c r="Y96" i="16"/>
  <c r="AE96" i="16" s="1"/>
  <c r="Y99" i="16"/>
  <c r="AE99" i="16" s="1"/>
  <c r="W74" i="16"/>
  <c r="AC74" i="16" s="1"/>
  <c r="W94" i="16"/>
  <c r="AC94" i="16" s="1"/>
  <c r="W90" i="16"/>
  <c r="AC90" i="16" s="1"/>
  <c r="W89" i="16"/>
  <c r="AC89" i="16" s="1"/>
  <c r="W96" i="16"/>
  <c r="AC96" i="16" s="1"/>
  <c r="W98" i="16"/>
  <c r="AC98" i="16" s="1"/>
  <c r="W100" i="16"/>
  <c r="AC100" i="16" s="1"/>
  <c r="W92" i="16"/>
  <c r="AC92" i="16" s="1"/>
  <c r="W93" i="16"/>
  <c r="AC93" i="16" s="1"/>
  <c r="W97" i="16"/>
  <c r="AC97" i="16" s="1"/>
  <c r="W99" i="16"/>
  <c r="AC99" i="16" s="1"/>
  <c r="W91" i="16"/>
  <c r="AC91" i="16" s="1"/>
  <c r="W95" i="16"/>
  <c r="AC95" i="16" s="1"/>
  <c r="Y78" i="16"/>
  <c r="AE78" i="16" s="1"/>
  <c r="Y79" i="16"/>
  <c r="AE79" i="16" s="1"/>
  <c r="W78" i="16"/>
  <c r="AC78" i="16" s="1"/>
  <c r="W79" i="16"/>
  <c r="AC79" i="16" s="1"/>
  <c r="Y17" i="16"/>
  <c r="W17" i="16"/>
  <c r="Y54" i="16"/>
  <c r="W54" i="16"/>
  <c r="Y20" i="16"/>
  <c r="W20" i="16"/>
  <c r="Y53" i="16"/>
  <c r="W53" i="16"/>
  <c r="Y8" i="16"/>
  <c r="W8" i="16"/>
  <c r="Y10" i="16"/>
  <c r="W10" i="16"/>
  <c r="Y12" i="16"/>
  <c r="Y23" i="16"/>
  <c r="W23" i="16"/>
  <c r="W12" i="16"/>
  <c r="Y16" i="16"/>
  <c r="Y15" i="16"/>
  <c r="W15" i="16"/>
  <c r="W16" i="16"/>
  <c r="Y35" i="16"/>
  <c r="W35" i="16"/>
  <c r="Y18" i="16"/>
  <c r="W18" i="16"/>
  <c r="Y40" i="16"/>
  <c r="W40" i="16"/>
  <c r="Y24" i="16"/>
  <c r="Y25" i="16"/>
  <c r="W25" i="16"/>
  <c r="W24" i="16"/>
  <c r="B3" i="23"/>
  <c r="B34" i="23"/>
  <c r="B32" i="23"/>
  <c r="B30" i="23"/>
  <c r="B28" i="23"/>
  <c r="B26" i="23"/>
  <c r="B24" i="23"/>
  <c r="B22" i="23"/>
  <c r="B20" i="23"/>
  <c r="B18" i="23"/>
  <c r="B16" i="23"/>
  <c r="B14" i="23"/>
  <c r="B12" i="23"/>
  <c r="B10" i="23"/>
  <c r="B8" i="23"/>
  <c r="B6" i="23"/>
  <c r="B4" i="23"/>
  <c r="E3" i="23"/>
  <c r="C3" i="23"/>
  <c r="E34" i="23"/>
  <c r="C34" i="23"/>
  <c r="E33" i="23"/>
  <c r="X72" i="16" s="1"/>
  <c r="AD72" i="16" s="1"/>
  <c r="C33" i="23"/>
  <c r="V72" i="16" s="1"/>
  <c r="AB72" i="16" s="1"/>
  <c r="E32" i="23"/>
  <c r="X110" i="16" s="1"/>
  <c r="AD110" i="16" s="1"/>
  <c r="C32" i="23"/>
  <c r="V110" i="16" s="1"/>
  <c r="AB110" i="16" s="1"/>
  <c r="E31" i="23"/>
  <c r="C31" i="23"/>
  <c r="E30" i="23"/>
  <c r="C30" i="23"/>
  <c r="E29" i="23"/>
  <c r="C29" i="23"/>
  <c r="E28" i="23"/>
  <c r="C28" i="23"/>
  <c r="E27" i="23"/>
  <c r="C27" i="23"/>
  <c r="E26" i="23"/>
  <c r="X88" i="16" s="1"/>
  <c r="AD88" i="16" s="1"/>
  <c r="C26" i="23"/>
  <c r="V88" i="16" s="1"/>
  <c r="AB88" i="16" s="1"/>
  <c r="E25" i="23"/>
  <c r="C25" i="23"/>
  <c r="E24" i="23"/>
  <c r="X86" i="16" s="1"/>
  <c r="AD86" i="16" s="1"/>
  <c r="C24" i="23"/>
  <c r="V86" i="16" s="1"/>
  <c r="AB86" i="16" s="1"/>
  <c r="E23" i="23"/>
  <c r="C23" i="23"/>
  <c r="E22" i="23"/>
  <c r="X84" i="16" s="1"/>
  <c r="AD84" i="16" s="1"/>
  <c r="C22" i="23"/>
  <c r="V84" i="16" s="1"/>
  <c r="AB84" i="16" s="1"/>
  <c r="E21" i="23"/>
  <c r="C21" i="23"/>
  <c r="E20" i="23"/>
  <c r="C20" i="23"/>
  <c r="E19" i="23"/>
  <c r="C19" i="23"/>
  <c r="E18" i="23"/>
  <c r="C18" i="23"/>
  <c r="E17" i="23"/>
  <c r="C17" i="23"/>
  <c r="E16" i="23"/>
  <c r="C16" i="23"/>
  <c r="E15" i="23"/>
  <c r="C15" i="23"/>
  <c r="E14" i="23"/>
  <c r="X54" i="16" s="1"/>
  <c r="C14" i="23"/>
  <c r="V54" i="16" s="1"/>
  <c r="E13" i="23"/>
  <c r="C13" i="23"/>
  <c r="E12" i="23"/>
  <c r="C12" i="23"/>
  <c r="E11" i="23"/>
  <c r="C11" i="23"/>
  <c r="E10" i="23"/>
  <c r="C10" i="23"/>
  <c r="E9" i="23"/>
  <c r="C9" i="23"/>
  <c r="E8" i="23"/>
  <c r="C8" i="23"/>
  <c r="E7" i="23"/>
  <c r="X53" i="16" s="1"/>
  <c r="C7" i="23"/>
  <c r="V53" i="16" s="1"/>
  <c r="E6" i="23"/>
  <c r="C6" i="23"/>
  <c r="E5" i="23"/>
  <c r="X8" i="16" s="1"/>
  <c r="C5" i="23"/>
  <c r="V8" i="16" s="1"/>
  <c r="E4" i="23"/>
  <c r="X45" i="16" s="1"/>
  <c r="C4" i="23"/>
  <c r="V45" i="16" s="1"/>
  <c r="B33" i="23"/>
  <c r="B31" i="23"/>
  <c r="B29" i="23"/>
  <c r="B27" i="23"/>
  <c r="B25" i="23"/>
  <c r="B23" i="23"/>
  <c r="B21" i="23"/>
  <c r="B19" i="23"/>
  <c r="B17" i="23"/>
  <c r="B15" i="23"/>
  <c r="B13" i="23"/>
  <c r="B11" i="23"/>
  <c r="B9" i="23"/>
  <c r="B7" i="23"/>
  <c r="B5" i="23"/>
  <c r="F3" i="23"/>
  <c r="D3" i="23"/>
  <c r="F34" i="23"/>
  <c r="Y13" i="16" s="1"/>
  <c r="D34" i="23"/>
  <c r="W19" i="16" s="1"/>
  <c r="F33" i="23"/>
  <c r="D33" i="23"/>
  <c r="F32" i="23"/>
  <c r="D32" i="23"/>
  <c r="F31" i="23"/>
  <c r="Y49" i="16" s="1"/>
  <c r="D31" i="23"/>
  <c r="W49" i="16" s="1"/>
  <c r="F30" i="23"/>
  <c r="D30" i="23"/>
  <c r="F29" i="23"/>
  <c r="D29" i="23"/>
  <c r="W43" i="16" s="1"/>
  <c r="F28" i="23"/>
  <c r="Y34" i="16" s="1"/>
  <c r="D28" i="23"/>
  <c r="W34" i="16" s="1"/>
  <c r="F27" i="23"/>
  <c r="Y30" i="16" s="1"/>
  <c r="D27" i="23"/>
  <c r="W29" i="16" s="1"/>
  <c r="W37" i="16" l="1"/>
  <c r="W46" i="16"/>
  <c r="X93" i="16"/>
  <c r="AD93" i="16" s="1"/>
  <c r="X91" i="16"/>
  <c r="AD91" i="16" s="1"/>
  <c r="X97" i="16"/>
  <c r="AD97" i="16" s="1"/>
  <c r="X95" i="16"/>
  <c r="AD95" i="16" s="1"/>
  <c r="X96" i="16"/>
  <c r="AD96" i="16" s="1"/>
  <c r="X92" i="16"/>
  <c r="AD92" i="16" s="1"/>
  <c r="X89" i="16"/>
  <c r="AD89" i="16" s="1"/>
  <c r="X100" i="16"/>
  <c r="AD100" i="16" s="1"/>
  <c r="X99" i="16"/>
  <c r="AD99" i="16" s="1"/>
  <c r="X98" i="16"/>
  <c r="AD98" i="16" s="1"/>
  <c r="X94" i="16"/>
  <c r="AD94" i="16" s="1"/>
  <c r="X90" i="16"/>
  <c r="AD90" i="16" s="1"/>
  <c r="X111" i="16"/>
  <c r="AD111" i="16" s="1"/>
  <c r="X77" i="16"/>
  <c r="AD77" i="16" s="1"/>
  <c r="X9" i="16"/>
  <c r="X49" i="16"/>
  <c r="W41" i="16"/>
  <c r="W71" i="16"/>
  <c r="Y71" i="16"/>
  <c r="Y37" i="16"/>
  <c r="Y46" i="16"/>
  <c r="V99" i="16"/>
  <c r="AB99" i="16" s="1"/>
  <c r="V97" i="16"/>
  <c r="AB97" i="16" s="1"/>
  <c r="V94" i="16"/>
  <c r="AB94" i="16" s="1"/>
  <c r="V100" i="16"/>
  <c r="AB100" i="16" s="1"/>
  <c r="V93" i="16"/>
  <c r="AB93" i="16" s="1"/>
  <c r="V90" i="16"/>
  <c r="AB90" i="16" s="1"/>
  <c r="V95" i="16"/>
  <c r="AB95" i="16" s="1"/>
  <c r="V98" i="16"/>
  <c r="AB98" i="16" s="1"/>
  <c r="V91" i="16"/>
  <c r="AB91" i="16" s="1"/>
  <c r="V89" i="16"/>
  <c r="AB89" i="16" s="1"/>
  <c r="V96" i="16"/>
  <c r="AB96" i="16" s="1"/>
  <c r="V92" i="16"/>
  <c r="AB92" i="16" s="1"/>
  <c r="V111" i="16"/>
  <c r="AB111" i="16" s="1"/>
  <c r="V77" i="16"/>
  <c r="AB77" i="16" s="1"/>
  <c r="V9" i="16"/>
  <c r="V49" i="16"/>
  <c r="U97" i="16"/>
  <c r="AA97" i="16" s="1"/>
  <c r="U89" i="16"/>
  <c r="AA89" i="16" s="1"/>
  <c r="T89" i="16"/>
  <c r="T93" i="16"/>
  <c r="U98" i="16"/>
  <c r="AA98" i="16" s="1"/>
  <c r="U99" i="16"/>
  <c r="AA99" i="16" s="1"/>
  <c r="T95" i="16"/>
  <c r="T91" i="16"/>
  <c r="T96" i="16"/>
  <c r="T94" i="16"/>
  <c r="T99" i="16"/>
  <c r="T92" i="16"/>
  <c r="T90" i="16"/>
  <c r="U94" i="16"/>
  <c r="AA94" i="16" s="1"/>
  <c r="U92" i="16"/>
  <c r="AA92" i="16" s="1"/>
  <c r="U90" i="16"/>
  <c r="AA90" i="16" s="1"/>
  <c r="T100" i="16"/>
  <c r="U96" i="16"/>
  <c r="AA96" i="16" s="1"/>
  <c r="U93" i="16"/>
  <c r="AA93" i="16" s="1"/>
  <c r="U91" i="16"/>
  <c r="AA91" i="16" s="1"/>
  <c r="U95" i="16"/>
  <c r="AA95" i="16" s="1"/>
  <c r="U100" i="16"/>
  <c r="AA100" i="16" s="1"/>
  <c r="T98" i="16"/>
  <c r="T97" i="16"/>
  <c r="T77" i="16"/>
  <c r="U77" i="16"/>
  <c r="AA77" i="16" s="1"/>
  <c r="W42" i="16"/>
  <c r="Y41" i="16"/>
  <c r="W38" i="16"/>
  <c r="Y38" i="16"/>
  <c r="W39" i="16"/>
  <c r="W81" i="16"/>
  <c r="AC81" i="16" s="1"/>
  <c r="W83" i="16"/>
  <c r="AC83" i="16" s="1"/>
  <c r="W82" i="16"/>
  <c r="AC82" i="16" s="1"/>
  <c r="W70" i="16"/>
  <c r="W110" i="16"/>
  <c r="AC110" i="16" s="1"/>
  <c r="W44" i="16"/>
  <c r="W72" i="16"/>
  <c r="AC72" i="16" s="1"/>
  <c r="U78" i="16"/>
  <c r="AA78" i="16" s="1"/>
  <c r="T78" i="16"/>
  <c r="U79" i="16"/>
  <c r="AA79" i="16" s="1"/>
  <c r="T79" i="16"/>
  <c r="U87" i="16"/>
  <c r="AA87" i="16" s="1"/>
  <c r="T87" i="16"/>
  <c r="U81" i="16"/>
  <c r="AA81" i="16" s="1"/>
  <c r="U83" i="16"/>
  <c r="AA83" i="16" s="1"/>
  <c r="T83" i="16"/>
  <c r="T82" i="16"/>
  <c r="T81" i="16"/>
  <c r="U82" i="16"/>
  <c r="AA82" i="16" s="1"/>
  <c r="U72" i="16"/>
  <c r="AA72" i="16" s="1"/>
  <c r="T72" i="16"/>
  <c r="X20" i="16"/>
  <c r="X74" i="16"/>
  <c r="AD74" i="16" s="1"/>
  <c r="X78" i="16"/>
  <c r="AD78" i="16" s="1"/>
  <c r="X79" i="16"/>
  <c r="AD79" i="16" s="1"/>
  <c r="X17" i="16"/>
  <c r="X80" i="16"/>
  <c r="AD80" i="16" s="1"/>
  <c r="X36" i="16"/>
  <c r="X37" i="16"/>
  <c r="X85" i="16"/>
  <c r="AD85" i="16" s="1"/>
  <c r="X70" i="16"/>
  <c r="X87" i="16"/>
  <c r="AD87" i="16" s="1"/>
  <c r="X34" i="16"/>
  <c r="X39" i="16"/>
  <c r="X82" i="16"/>
  <c r="AD82" i="16" s="1"/>
  <c r="X83" i="16"/>
  <c r="AD83" i="16" s="1"/>
  <c r="X81" i="16"/>
  <c r="AD81" i="16" s="1"/>
  <c r="U84" i="16"/>
  <c r="AA84" i="16" s="1"/>
  <c r="T84" i="16"/>
  <c r="U88" i="16"/>
  <c r="AA88" i="16" s="1"/>
  <c r="T88" i="16"/>
  <c r="Y19" i="16"/>
  <c r="W13" i="16"/>
  <c r="W31" i="16"/>
  <c r="Y32" i="16"/>
  <c r="Y11" i="16"/>
  <c r="W45" i="16"/>
  <c r="Y39" i="16"/>
  <c r="Y81" i="16"/>
  <c r="AE81" i="16" s="1"/>
  <c r="Y83" i="16"/>
  <c r="AE83" i="16" s="1"/>
  <c r="Y82" i="16"/>
  <c r="AE82" i="16" s="1"/>
  <c r="Y70" i="16"/>
  <c r="Y110" i="16"/>
  <c r="AE110" i="16" s="1"/>
  <c r="Y43" i="16"/>
  <c r="Y72" i="16"/>
  <c r="AE72" i="16" s="1"/>
  <c r="U80" i="16"/>
  <c r="AA80" i="16" s="1"/>
  <c r="T80" i="16"/>
  <c r="U85" i="16"/>
  <c r="AA85" i="16" s="1"/>
  <c r="T85" i="16"/>
  <c r="V20" i="16"/>
  <c r="V74" i="16"/>
  <c r="AB74" i="16" s="1"/>
  <c r="V78" i="16"/>
  <c r="AB78" i="16" s="1"/>
  <c r="V79" i="16"/>
  <c r="AB79" i="16" s="1"/>
  <c r="V17" i="16"/>
  <c r="V80" i="16"/>
  <c r="AB80" i="16" s="1"/>
  <c r="V36" i="16"/>
  <c r="V37" i="16"/>
  <c r="V85" i="16"/>
  <c r="AB85" i="16" s="1"/>
  <c r="V70" i="16"/>
  <c r="V87" i="16"/>
  <c r="AB87" i="16" s="1"/>
  <c r="V34" i="16"/>
  <c r="V39" i="16"/>
  <c r="V83" i="16"/>
  <c r="AB83" i="16" s="1"/>
  <c r="V81" i="16"/>
  <c r="AB81" i="16" s="1"/>
  <c r="V82" i="16"/>
  <c r="AB82" i="16" s="1"/>
  <c r="U74" i="16"/>
  <c r="AA74" i="16" s="1"/>
  <c r="T74" i="16"/>
  <c r="U111" i="16"/>
  <c r="AA111" i="16" s="1"/>
  <c r="T111" i="16"/>
  <c r="U86" i="16"/>
  <c r="AA86" i="16" s="1"/>
  <c r="T86" i="16"/>
  <c r="T110" i="16"/>
  <c r="U110" i="16"/>
  <c r="AA110" i="16" s="1"/>
  <c r="W4" i="16"/>
  <c r="Y4" i="16"/>
  <c r="W5" i="16"/>
  <c r="Y5" i="16"/>
  <c r="W32" i="16"/>
  <c r="Y31" i="16"/>
  <c r="W11" i="16"/>
  <c r="Y45" i="16"/>
  <c r="V46" i="16"/>
  <c r="X46" i="16"/>
  <c r="W52" i="16"/>
  <c r="W30" i="16"/>
  <c r="Y29" i="16"/>
  <c r="W56" i="16"/>
  <c r="W55" i="16"/>
  <c r="Y55" i="16"/>
  <c r="W33" i="16"/>
  <c r="W3" i="16"/>
  <c r="Y2" i="16"/>
  <c r="Y52" i="16"/>
  <c r="Y42" i="16"/>
  <c r="W9" i="16"/>
  <c r="W57" i="16"/>
  <c r="Y57" i="16"/>
  <c r="Y56" i="16"/>
  <c r="W2" i="16"/>
  <c r="Y3" i="16"/>
  <c r="Y33" i="16"/>
  <c r="Y44" i="16"/>
  <c r="Y9" i="16"/>
  <c r="W14" i="16"/>
  <c r="W22" i="16"/>
  <c r="W21" i="16"/>
  <c r="W6" i="16"/>
  <c r="W59" i="16"/>
  <c r="W61" i="16"/>
  <c r="W63" i="16"/>
  <c r="W65" i="16"/>
  <c r="W67" i="16"/>
  <c r="W69" i="16"/>
  <c r="W58" i="16"/>
  <c r="W60" i="16"/>
  <c r="W62" i="16"/>
  <c r="W64" i="16"/>
  <c r="W66" i="16"/>
  <c r="W68" i="16"/>
  <c r="W27" i="16"/>
  <c r="W28" i="16"/>
  <c r="W51" i="16"/>
  <c r="W7" i="16"/>
  <c r="W26" i="16"/>
  <c r="W50" i="16"/>
  <c r="W47" i="16"/>
  <c r="W48" i="16"/>
  <c r="T8" i="16"/>
  <c r="U8" i="16"/>
  <c r="T40" i="16"/>
  <c r="T41" i="16"/>
  <c r="U41" i="16"/>
  <c r="U40" i="16"/>
  <c r="T31" i="16"/>
  <c r="T32" i="16"/>
  <c r="U31" i="16"/>
  <c r="U32" i="16"/>
  <c r="T36" i="16"/>
  <c r="U36" i="16"/>
  <c r="T9" i="16"/>
  <c r="U9" i="16"/>
  <c r="T70" i="16"/>
  <c r="U70" i="16"/>
  <c r="T39" i="16"/>
  <c r="U39" i="16"/>
  <c r="T7" i="16"/>
  <c r="T26" i="16"/>
  <c r="U26" i="16"/>
  <c r="U7" i="16"/>
  <c r="T50" i="16"/>
  <c r="U50" i="16"/>
  <c r="X4" i="16"/>
  <c r="X24" i="16"/>
  <c r="X25" i="16"/>
  <c r="X40" i="16"/>
  <c r="X41" i="16"/>
  <c r="X18" i="16"/>
  <c r="X19" i="16"/>
  <c r="X13" i="16"/>
  <c r="X38" i="16"/>
  <c r="X71" i="16"/>
  <c r="X5" i="16"/>
  <c r="X35" i="16"/>
  <c r="X31" i="16"/>
  <c r="X32" i="16"/>
  <c r="X15" i="16"/>
  <c r="X16" i="16"/>
  <c r="X12" i="16"/>
  <c r="X23" i="16"/>
  <c r="X10" i="16"/>
  <c r="X11" i="16"/>
  <c r="X29" i="16"/>
  <c r="X30" i="16"/>
  <c r="X55" i="16"/>
  <c r="X56" i="16"/>
  <c r="X57" i="16"/>
  <c r="X3" i="16"/>
  <c r="X33" i="16"/>
  <c r="X2" i="16"/>
  <c r="X42" i="16"/>
  <c r="X43" i="16"/>
  <c r="X44" i="16"/>
  <c r="X52" i="16"/>
  <c r="X14" i="16"/>
  <c r="X22" i="16"/>
  <c r="X6" i="16"/>
  <c r="X21" i="16"/>
  <c r="X58" i="16"/>
  <c r="X59" i="16"/>
  <c r="X60" i="16"/>
  <c r="X61" i="16"/>
  <c r="X62" i="16"/>
  <c r="X63" i="16"/>
  <c r="X64" i="16"/>
  <c r="X65" i="16"/>
  <c r="X66" i="16"/>
  <c r="X67" i="16"/>
  <c r="X68" i="16"/>
  <c r="X69" i="16"/>
  <c r="X27" i="16"/>
  <c r="X28" i="16"/>
  <c r="X51" i="16"/>
  <c r="X7" i="16"/>
  <c r="X26" i="16"/>
  <c r="X50" i="16"/>
  <c r="X47" i="16"/>
  <c r="X48" i="16"/>
  <c r="T4" i="16"/>
  <c r="T24" i="16"/>
  <c r="T25" i="16"/>
  <c r="U4" i="16"/>
  <c r="U24" i="16"/>
  <c r="U25" i="16"/>
  <c r="T18" i="16"/>
  <c r="T19" i="16"/>
  <c r="U18" i="16"/>
  <c r="U19" i="16"/>
  <c r="T54" i="16"/>
  <c r="U54" i="16"/>
  <c r="T12" i="16"/>
  <c r="T23" i="16"/>
  <c r="U12" i="16"/>
  <c r="U23" i="16"/>
  <c r="T55" i="16"/>
  <c r="T56" i="16"/>
  <c r="T57" i="16"/>
  <c r="U56" i="16"/>
  <c r="U55" i="16"/>
  <c r="U57" i="16"/>
  <c r="T42" i="16"/>
  <c r="T43" i="16"/>
  <c r="T44" i="16"/>
  <c r="U43" i="16"/>
  <c r="T52" i="16"/>
  <c r="U42" i="16"/>
  <c r="U44" i="16"/>
  <c r="U52" i="16"/>
  <c r="T6" i="16"/>
  <c r="T21" i="16"/>
  <c r="U6" i="16"/>
  <c r="T58" i="16"/>
  <c r="T59" i="16"/>
  <c r="T60" i="16"/>
  <c r="T61" i="16"/>
  <c r="T62" i="16"/>
  <c r="T63" i="16"/>
  <c r="T64" i="16"/>
  <c r="T65" i="16"/>
  <c r="T66" i="16"/>
  <c r="T67" i="16"/>
  <c r="T68" i="16"/>
  <c r="T69" i="16"/>
  <c r="U21" i="16"/>
  <c r="U58" i="16"/>
  <c r="U60" i="16"/>
  <c r="U62" i="16"/>
  <c r="U64" i="16"/>
  <c r="U66" i="16"/>
  <c r="U68" i="16"/>
  <c r="U59" i="16"/>
  <c r="U61" i="16"/>
  <c r="U63" i="16"/>
  <c r="U65" i="16"/>
  <c r="U67" i="16"/>
  <c r="U69" i="16"/>
  <c r="T47" i="16"/>
  <c r="T48" i="16"/>
  <c r="U48" i="16"/>
  <c r="U47" i="16"/>
  <c r="Y14" i="16"/>
  <c r="Y22" i="16"/>
  <c r="Y6" i="16"/>
  <c r="Y21" i="16"/>
  <c r="Y58" i="16"/>
  <c r="Y60" i="16"/>
  <c r="Y62" i="16"/>
  <c r="Y64" i="16"/>
  <c r="Y66" i="16"/>
  <c r="Y68" i="16"/>
  <c r="Y59" i="16"/>
  <c r="Y61" i="16"/>
  <c r="Y63" i="16"/>
  <c r="Y65" i="16"/>
  <c r="Y67" i="16"/>
  <c r="Y69" i="16"/>
  <c r="Y28" i="16"/>
  <c r="Y27" i="16"/>
  <c r="Y51" i="16"/>
  <c r="Y26" i="16"/>
  <c r="Y7" i="16"/>
  <c r="Y50" i="16"/>
  <c r="Y48" i="16"/>
  <c r="Y47" i="16"/>
  <c r="T53" i="16"/>
  <c r="U53" i="16"/>
  <c r="T13" i="16"/>
  <c r="T38" i="16"/>
  <c r="T71" i="16"/>
  <c r="U13" i="16"/>
  <c r="U38" i="16"/>
  <c r="U71" i="16"/>
  <c r="T17" i="16"/>
  <c r="U17" i="16"/>
  <c r="T10" i="16"/>
  <c r="T11" i="16"/>
  <c r="U10" i="16"/>
  <c r="U11" i="16"/>
  <c r="T37" i="16"/>
  <c r="U37" i="16"/>
  <c r="T14" i="16"/>
  <c r="T22" i="16"/>
  <c r="U14" i="16"/>
  <c r="U22" i="16"/>
  <c r="T49" i="16"/>
  <c r="U49" i="16"/>
  <c r="V4" i="16"/>
  <c r="V24" i="16"/>
  <c r="V25" i="16"/>
  <c r="V40" i="16"/>
  <c r="V41" i="16"/>
  <c r="V18" i="16"/>
  <c r="V19" i="16"/>
  <c r="V13" i="16"/>
  <c r="V38" i="16"/>
  <c r="V71" i="16"/>
  <c r="V5" i="16"/>
  <c r="V35" i="16"/>
  <c r="V31" i="16"/>
  <c r="V32" i="16"/>
  <c r="V15" i="16"/>
  <c r="V16" i="16"/>
  <c r="V12" i="16"/>
  <c r="V23" i="16"/>
  <c r="V10" i="16"/>
  <c r="V11" i="16"/>
  <c r="V29" i="16"/>
  <c r="V30" i="16"/>
  <c r="V55" i="16"/>
  <c r="V56" i="16"/>
  <c r="V57" i="16"/>
  <c r="V3" i="16"/>
  <c r="V33" i="16"/>
  <c r="V2" i="16"/>
  <c r="V42" i="16"/>
  <c r="V43" i="16"/>
  <c r="V44" i="16"/>
  <c r="V52" i="16"/>
  <c r="V14" i="16"/>
  <c r="V22" i="16"/>
  <c r="V6" i="16"/>
  <c r="V21" i="16"/>
  <c r="V58" i="16"/>
  <c r="V59" i="16"/>
  <c r="V60" i="16"/>
  <c r="V61" i="16"/>
  <c r="V62" i="16"/>
  <c r="V63" i="16"/>
  <c r="V64" i="16"/>
  <c r="V65" i="16"/>
  <c r="V66" i="16"/>
  <c r="V67" i="16"/>
  <c r="V68" i="16"/>
  <c r="V69" i="16"/>
  <c r="V27" i="16"/>
  <c r="V28" i="16"/>
  <c r="V51" i="16"/>
  <c r="V7" i="16"/>
  <c r="V26" i="16"/>
  <c r="V50" i="16"/>
  <c r="V47" i="16"/>
  <c r="V48" i="16"/>
  <c r="T45" i="16"/>
  <c r="U45" i="16"/>
  <c r="T20" i="16"/>
  <c r="U20" i="16"/>
  <c r="T5" i="16"/>
  <c r="T35" i="16"/>
  <c r="U35" i="16"/>
  <c r="U5" i="16"/>
  <c r="T15" i="16"/>
  <c r="T16" i="16"/>
  <c r="U16" i="16"/>
  <c r="U15" i="16"/>
  <c r="T29" i="16"/>
  <c r="T30" i="16"/>
  <c r="U30" i="16"/>
  <c r="U29" i="16"/>
  <c r="T3" i="16"/>
  <c r="T33" i="16"/>
  <c r="U3" i="16"/>
  <c r="U33" i="16"/>
  <c r="U2" i="16"/>
  <c r="T2" i="16"/>
  <c r="T34" i="16"/>
  <c r="U34" i="16"/>
  <c r="T27" i="16"/>
  <c r="T28" i="16"/>
  <c r="U28" i="16"/>
  <c r="U27" i="16"/>
  <c r="T51" i="16"/>
  <c r="U51" i="16"/>
  <c r="T46" i="16"/>
  <c r="U46" i="16"/>
  <c r="D3" i="38"/>
  <c r="M10" i="44" l="1"/>
  <c r="M11" i="44"/>
  <c r="M12" i="44"/>
  <c r="M13" i="44"/>
  <c r="M14" i="44"/>
  <c r="M15" i="44"/>
  <c r="M16" i="44"/>
  <c r="M17" i="44"/>
  <c r="M18" i="44"/>
  <c r="M19" i="44"/>
  <c r="M20" i="44"/>
  <c r="M21" i="44"/>
  <c r="M22" i="44"/>
  <c r="M23" i="44"/>
  <c r="M24" i="44"/>
  <c r="N24" i="21" l="1"/>
  <c r="AB94" i="63" s="1"/>
  <c r="C94" i="63" s="1"/>
  <c r="N25" i="21"/>
  <c r="AB95" i="63" s="1"/>
  <c r="C95" i="63" s="1"/>
  <c r="J95" i="63" s="1"/>
  <c r="N26" i="21"/>
  <c r="AB96" i="63" s="1"/>
  <c r="C96" i="63" s="1"/>
  <c r="J96" i="63" s="1"/>
  <c r="N23" i="21"/>
  <c r="M24" i="21"/>
  <c r="AB94" i="62" s="1"/>
  <c r="C94" i="62" s="1"/>
  <c r="M25" i="21"/>
  <c r="AB95" i="62" s="1"/>
  <c r="C95" i="62" s="1"/>
  <c r="M26" i="21"/>
  <c r="AB96" i="62" s="1"/>
  <c r="C96" i="62" s="1"/>
  <c r="M23" i="21"/>
  <c r="AB93" i="62" s="1"/>
  <c r="C93" i="62" s="1"/>
  <c r="J92" i="62" s="1"/>
  <c r="L24" i="21"/>
  <c r="L25" i="21"/>
  <c r="L26" i="21"/>
  <c r="L23" i="21"/>
  <c r="J94" i="63" l="1"/>
  <c r="J92" i="63"/>
  <c r="J99" i="63"/>
  <c r="J97" i="63"/>
  <c r="J98" i="63"/>
  <c r="J93" i="63"/>
  <c r="J96" i="62"/>
  <c r="J6" i="59"/>
  <c r="J8" i="59"/>
  <c r="J10" i="59"/>
  <c r="J12" i="59"/>
  <c r="J14" i="59"/>
  <c r="J16" i="59"/>
  <c r="J18" i="59"/>
  <c r="J20" i="59"/>
  <c r="J22" i="59"/>
  <c r="J24" i="59"/>
  <c r="J7" i="59"/>
  <c r="J9" i="59"/>
  <c r="J11" i="59"/>
  <c r="J13" i="59"/>
  <c r="J15" i="59"/>
  <c r="J17" i="59"/>
  <c r="J19" i="59"/>
  <c r="J21" i="59"/>
  <c r="J23" i="59"/>
  <c r="J25" i="59"/>
  <c r="J27" i="59"/>
  <c r="J29" i="59"/>
  <c r="J31" i="59"/>
  <c r="J26" i="59"/>
  <c r="J30" i="59"/>
  <c r="J34" i="59"/>
  <c r="J36" i="59"/>
  <c r="J38" i="59"/>
  <c r="J40" i="59"/>
  <c r="J42" i="59"/>
  <c r="J44" i="59"/>
  <c r="J46" i="59"/>
  <c r="J48" i="59"/>
  <c r="J50" i="59"/>
  <c r="J52" i="59"/>
  <c r="J54" i="59"/>
  <c r="J56" i="59"/>
  <c r="J58" i="59"/>
  <c r="J60" i="59"/>
  <c r="J62" i="59"/>
  <c r="J28" i="59"/>
  <c r="J32" i="59"/>
  <c r="J33" i="59"/>
  <c r="J35" i="59"/>
  <c r="J37" i="59"/>
  <c r="J39" i="59"/>
  <c r="J41" i="59"/>
  <c r="J43" i="59"/>
  <c r="J45" i="59"/>
  <c r="J47" i="59"/>
  <c r="J49" i="59"/>
  <c r="J51" i="59"/>
  <c r="J53" i="59"/>
  <c r="J55" i="59"/>
  <c r="J57" i="59"/>
  <c r="J59" i="59"/>
  <c r="J61" i="59"/>
  <c r="J63" i="59"/>
  <c r="J64" i="59"/>
  <c r="J66" i="59"/>
  <c r="J68" i="59"/>
  <c r="J70" i="59"/>
  <c r="J72" i="59"/>
  <c r="J74" i="59"/>
  <c r="J76" i="59"/>
  <c r="J78" i="59"/>
  <c r="J80" i="59"/>
  <c r="J82" i="59"/>
  <c r="J84" i="59"/>
  <c r="J86" i="59"/>
  <c r="J88" i="59"/>
  <c r="J90" i="59"/>
  <c r="J65" i="59"/>
  <c r="J67" i="59"/>
  <c r="J69" i="59"/>
  <c r="J71" i="59"/>
  <c r="J73" i="59"/>
  <c r="J75" i="59"/>
  <c r="J77" i="59"/>
  <c r="J79" i="59"/>
  <c r="J81" i="59"/>
  <c r="J83" i="59"/>
  <c r="J85" i="59"/>
  <c r="J87" i="59"/>
  <c r="J89" i="59"/>
  <c r="J91" i="59"/>
  <c r="J5" i="59"/>
  <c r="J5" i="62"/>
  <c r="J10" i="62"/>
  <c r="J8" i="62"/>
  <c r="J24" i="62"/>
  <c r="J11" i="62"/>
  <c r="J13" i="62"/>
  <c r="J90" i="62"/>
  <c r="J85" i="62"/>
  <c r="J81" i="62"/>
  <c r="J77" i="62"/>
  <c r="J73" i="62"/>
  <c r="J69" i="62"/>
  <c r="J65" i="62"/>
  <c r="J61" i="62"/>
  <c r="J57" i="62"/>
  <c r="J54" i="62"/>
  <c r="J50" i="62"/>
  <c r="J46" i="62"/>
  <c r="J42" i="62"/>
  <c r="J38" i="62"/>
  <c r="J7" i="62"/>
  <c r="J14" i="62"/>
  <c r="J16" i="62"/>
  <c r="J21" i="62"/>
  <c r="J23" i="62"/>
  <c r="J25" i="62"/>
  <c r="J27" i="62"/>
  <c r="J30" i="62"/>
  <c r="J32" i="62"/>
  <c r="J34" i="62"/>
  <c r="J37" i="62"/>
  <c r="J64" i="62"/>
  <c r="J66" i="62"/>
  <c r="J68" i="62"/>
  <c r="J70" i="62"/>
  <c r="J72" i="62"/>
  <c r="J74" i="62"/>
  <c r="J12" i="62"/>
  <c r="J18" i="62"/>
  <c r="J22" i="62"/>
  <c r="J26" i="62"/>
  <c r="J9" i="62"/>
  <c r="J20" i="62"/>
  <c r="J28" i="62"/>
  <c r="J39" i="62"/>
  <c r="J41" i="62"/>
  <c r="J43" i="62"/>
  <c r="J45" i="62"/>
  <c r="J47" i="62"/>
  <c r="J49" i="62"/>
  <c r="J51" i="62"/>
  <c r="J53" i="62"/>
  <c r="J55" i="62"/>
  <c r="J93" i="62"/>
  <c r="J87" i="62"/>
  <c r="J83" i="62"/>
  <c r="J79" i="62"/>
  <c r="J75" i="62"/>
  <c r="J71" i="62"/>
  <c r="J67" i="62"/>
  <c r="J63" i="62"/>
  <c r="J59" i="62"/>
  <c r="J56" i="62"/>
  <c r="J52" i="62"/>
  <c r="J48" i="62"/>
  <c r="J44" i="62"/>
  <c r="J40" i="62"/>
  <c r="J6" i="62"/>
  <c r="J15" i="62"/>
  <c r="J17" i="62"/>
  <c r="J19" i="62"/>
  <c r="J29" i="62"/>
  <c r="J31" i="62"/>
  <c r="J33" i="62"/>
  <c r="J35" i="62"/>
  <c r="J36" i="62"/>
  <c r="J58" i="62"/>
  <c r="J60" i="62"/>
  <c r="J62" i="62"/>
  <c r="J82" i="62"/>
  <c r="J84" i="62"/>
  <c r="J86" i="62"/>
  <c r="J88" i="62"/>
  <c r="J76" i="62"/>
  <c r="J78" i="62"/>
  <c r="J80" i="62"/>
  <c r="J89" i="62"/>
  <c r="J97" i="62"/>
  <c r="J98" i="62"/>
  <c r="J100" i="62"/>
  <c r="J99" i="62"/>
  <c r="J91" i="62"/>
  <c r="J95" i="62"/>
  <c r="J5" i="63"/>
  <c r="J15" i="63"/>
  <c r="J7" i="63"/>
  <c r="J19" i="63"/>
  <c r="J23" i="63"/>
  <c r="J27" i="63"/>
  <c r="J31" i="63"/>
  <c r="J35" i="63"/>
  <c r="J39" i="63"/>
  <c r="J80" i="63"/>
  <c r="J76" i="63"/>
  <c r="J72" i="63"/>
  <c r="J68" i="63"/>
  <c r="J64" i="63"/>
  <c r="J60" i="63"/>
  <c r="J56" i="63"/>
  <c r="J52" i="63"/>
  <c r="J48" i="63"/>
  <c r="J44" i="63"/>
  <c r="J8" i="63"/>
  <c r="J10" i="63"/>
  <c r="J13" i="63"/>
  <c r="J41" i="63"/>
  <c r="J42" i="63"/>
  <c r="J45" i="63"/>
  <c r="J49" i="63"/>
  <c r="J53" i="63"/>
  <c r="J57" i="63"/>
  <c r="J63" i="63"/>
  <c r="J67" i="63"/>
  <c r="J71" i="63"/>
  <c r="J75" i="63"/>
  <c r="J79" i="63"/>
  <c r="J81" i="63"/>
  <c r="J83" i="63"/>
  <c r="J85" i="63"/>
  <c r="J87" i="63"/>
  <c r="J89" i="63"/>
  <c r="J100" i="63"/>
  <c r="J14" i="63"/>
  <c r="J17" i="63"/>
  <c r="J12" i="63"/>
  <c r="J16" i="63"/>
  <c r="J21" i="63"/>
  <c r="J25" i="63"/>
  <c r="J29" i="63"/>
  <c r="J33" i="63"/>
  <c r="J37" i="63"/>
  <c r="J91" i="63"/>
  <c r="J78" i="63"/>
  <c r="J74" i="63"/>
  <c r="J70" i="63"/>
  <c r="J66" i="63"/>
  <c r="J62" i="63"/>
  <c r="J58" i="63"/>
  <c r="J54" i="63"/>
  <c r="J50" i="63"/>
  <c r="J46" i="63"/>
  <c r="J6" i="63"/>
  <c r="J9" i="63"/>
  <c r="J11" i="63"/>
  <c r="J18" i="63"/>
  <c r="J20" i="63"/>
  <c r="J22" i="63"/>
  <c r="J24" i="63"/>
  <c r="J26" i="63"/>
  <c r="J28" i="63"/>
  <c r="J30" i="63"/>
  <c r="J32" i="63"/>
  <c r="J34" i="63"/>
  <c r="J36" i="63"/>
  <c r="J38" i="63"/>
  <c r="J40" i="63"/>
  <c r="J43" i="63"/>
  <c r="J47" i="63"/>
  <c r="J51" i="63"/>
  <c r="J55" i="63"/>
  <c r="J59" i="63"/>
  <c r="J61" i="63"/>
  <c r="J65" i="63"/>
  <c r="J69" i="63"/>
  <c r="J73" i="63"/>
  <c r="J77" i="63"/>
  <c r="J82" i="63"/>
  <c r="J84" i="63"/>
  <c r="J86" i="63"/>
  <c r="J88" i="63"/>
  <c r="J90" i="63"/>
  <c r="J94" i="62"/>
  <c r="AB4" i="59" l="1"/>
  <c r="AB5" i="59"/>
  <c r="O54" i="59" s="1"/>
  <c r="T54" i="59" s="1"/>
  <c r="V54" i="59" s="1"/>
  <c r="AB5" i="62"/>
  <c r="AB4" i="62"/>
  <c r="O92" i="62" s="1"/>
  <c r="T92" i="62" s="1"/>
  <c r="V92" i="62" s="1"/>
  <c r="AB5" i="63"/>
  <c r="AB4" i="63"/>
  <c r="O36" i="62"/>
  <c r="T36" i="62" s="1"/>
  <c r="V36" i="62" s="1"/>
  <c r="O67" i="62"/>
  <c r="T67" i="62" s="1"/>
  <c r="V67" i="62" s="1"/>
  <c r="O53" i="62"/>
  <c r="T53" i="62" s="1"/>
  <c r="V53" i="62" s="1"/>
  <c r="O28" i="62"/>
  <c r="T28" i="62" s="1"/>
  <c r="V28" i="62" s="1"/>
  <c r="O72" i="62"/>
  <c r="T72" i="62" s="1"/>
  <c r="V72" i="62" s="1"/>
  <c r="O30" i="62"/>
  <c r="T30" i="62" s="1"/>
  <c r="V30" i="62" s="1"/>
  <c r="O38" i="62"/>
  <c r="T38" i="62" s="1"/>
  <c r="V38" i="62" s="1"/>
  <c r="O69" i="62"/>
  <c r="T69" i="62" s="1"/>
  <c r="V69" i="62" s="1"/>
  <c r="O24" i="62"/>
  <c r="T24" i="62" s="1"/>
  <c r="V24" i="62" s="1"/>
  <c r="N3" i="4"/>
  <c r="N4" i="4"/>
  <c r="N6" i="4"/>
  <c r="N8" i="4"/>
  <c r="N9" i="4"/>
  <c r="N11" i="4"/>
  <c r="N12" i="4"/>
  <c r="N14" i="4"/>
  <c r="N19" i="4"/>
  <c r="N20" i="4"/>
  <c r="N21" i="4"/>
  <c r="N23" i="4"/>
  <c r="N25" i="4"/>
  <c r="N26" i="4"/>
  <c r="N28" i="4"/>
  <c r="N31" i="4"/>
  <c r="N32" i="4"/>
  <c r="N35" i="4"/>
  <c r="N37" i="4"/>
  <c r="N43" i="4"/>
  <c r="N51" i="4"/>
  <c r="N53" i="4"/>
  <c r="N54" i="4"/>
  <c r="N63" i="4"/>
  <c r="N64" i="4"/>
  <c r="N65" i="4"/>
  <c r="N66" i="4"/>
  <c r="N67" i="4"/>
  <c r="N68" i="4"/>
  <c r="G71" i="38" s="1"/>
  <c r="Q71" i="38" s="1"/>
  <c r="N69" i="4"/>
  <c r="G72" i="38" s="1"/>
  <c r="Q72" i="38" s="1"/>
  <c r="N2" i="4"/>
  <c r="N5" i="4"/>
  <c r="N7" i="4"/>
  <c r="N10" i="4"/>
  <c r="N13" i="4"/>
  <c r="N15" i="4"/>
  <c r="N16" i="4"/>
  <c r="N17" i="4"/>
  <c r="N18" i="4"/>
  <c r="N22" i="4"/>
  <c r="N24" i="4"/>
  <c r="N27" i="4"/>
  <c r="N29" i="4"/>
  <c r="N30" i="4"/>
  <c r="N33" i="4"/>
  <c r="G36" i="38"/>
  <c r="Q36" i="38" s="1"/>
  <c r="N34" i="4"/>
  <c r="N36" i="4"/>
  <c r="N38" i="4"/>
  <c r="N39" i="4"/>
  <c r="N40" i="4"/>
  <c r="N41" i="4"/>
  <c r="G44" i="38" s="1"/>
  <c r="Q44" i="38" s="1"/>
  <c r="N42" i="4"/>
  <c r="N44" i="4"/>
  <c r="N45" i="4"/>
  <c r="N46" i="4"/>
  <c r="N47" i="4"/>
  <c r="N48" i="4"/>
  <c r="N49" i="4"/>
  <c r="G52" i="38" s="1"/>
  <c r="Q52" i="38" s="1"/>
  <c r="N50" i="4"/>
  <c r="N52" i="4"/>
  <c r="N55" i="4"/>
  <c r="N56" i="4"/>
  <c r="N57" i="4"/>
  <c r="N58" i="4"/>
  <c r="N59" i="4"/>
  <c r="N60" i="4"/>
  <c r="N61" i="4"/>
  <c r="G64" i="38" s="1"/>
  <c r="Q64" i="38" s="1"/>
  <c r="N62" i="4"/>
  <c r="G65" i="38" s="1"/>
  <c r="Q65" i="38" s="1"/>
  <c r="G6" i="38"/>
  <c r="Q6" i="38" s="1"/>
  <c r="U7" i="6" l="1"/>
  <c r="U8" i="6"/>
  <c r="G55" i="38"/>
  <c r="Q55" i="38" s="1"/>
  <c r="U10" i="6"/>
  <c r="U12" i="6"/>
  <c r="U14" i="6"/>
  <c r="U16" i="6"/>
  <c r="U18" i="6"/>
  <c r="U20" i="6"/>
  <c r="U22" i="6"/>
  <c r="U24" i="6"/>
  <c r="U26" i="6"/>
  <c r="U28" i="6"/>
  <c r="U30" i="6"/>
  <c r="U32" i="6"/>
  <c r="U34" i="6"/>
  <c r="U36" i="6"/>
  <c r="U38" i="6"/>
  <c r="U40" i="6"/>
  <c r="U42" i="6"/>
  <c r="U44" i="6"/>
  <c r="U46" i="6"/>
  <c r="U48" i="6"/>
  <c r="U9" i="6"/>
  <c r="U11" i="6"/>
  <c r="U13" i="6"/>
  <c r="U15" i="6"/>
  <c r="U17" i="6"/>
  <c r="U19" i="6"/>
  <c r="U21" i="6"/>
  <c r="U23" i="6"/>
  <c r="U25" i="6"/>
  <c r="U27" i="6"/>
  <c r="U29" i="6"/>
  <c r="U31" i="6"/>
  <c r="U33" i="6"/>
  <c r="U35" i="6"/>
  <c r="U37" i="6"/>
  <c r="U39" i="6"/>
  <c r="U41" i="6"/>
  <c r="U43" i="6"/>
  <c r="U45" i="6"/>
  <c r="U47" i="6"/>
  <c r="U49" i="6"/>
  <c r="U4" i="6"/>
  <c r="U3" i="6"/>
  <c r="V3" i="6" s="1"/>
  <c r="O96" i="59"/>
  <c r="T96" i="59" s="1"/>
  <c r="V96" i="59" s="1"/>
  <c r="O99" i="59"/>
  <c r="T99" i="59" s="1"/>
  <c r="V99" i="59" s="1"/>
  <c r="O98" i="59"/>
  <c r="T98" i="59" s="1"/>
  <c r="V98" i="59" s="1"/>
  <c r="O100" i="59"/>
  <c r="T100" i="59" s="1"/>
  <c r="V100" i="59" s="1"/>
  <c r="Y100" i="59" s="1"/>
  <c r="X100" i="59" s="1"/>
  <c r="O93" i="59"/>
  <c r="T93" i="59" s="1"/>
  <c r="V93" i="59" s="1"/>
  <c r="O95" i="59"/>
  <c r="T95" i="59" s="1"/>
  <c r="V95" i="59" s="1"/>
  <c r="O92" i="59"/>
  <c r="T92" i="59" s="1"/>
  <c r="V92" i="59" s="1"/>
  <c r="O94" i="59"/>
  <c r="T94" i="59" s="1"/>
  <c r="V94" i="59" s="1"/>
  <c r="Y94" i="59" s="1"/>
  <c r="X94" i="59" s="1"/>
  <c r="O97" i="59"/>
  <c r="T97" i="59" s="1"/>
  <c r="V97" i="59" s="1"/>
  <c r="O72" i="59"/>
  <c r="T72" i="59" s="1"/>
  <c r="V72" i="59" s="1"/>
  <c r="O69" i="59"/>
  <c r="T69" i="59" s="1"/>
  <c r="V69" i="59" s="1"/>
  <c r="O8" i="59"/>
  <c r="T8" i="59" s="1"/>
  <c r="V8" i="59" s="1"/>
  <c r="O88" i="59"/>
  <c r="T88" i="59" s="1"/>
  <c r="V88" i="59" s="1"/>
  <c r="O85" i="59"/>
  <c r="T85" i="59" s="1"/>
  <c r="V85" i="59" s="1"/>
  <c r="G7" i="38"/>
  <c r="Q7" i="38" s="1"/>
  <c r="G58" i="38"/>
  <c r="Q58" i="38" s="1"/>
  <c r="G53" i="38"/>
  <c r="Q53" i="38" s="1"/>
  <c r="G51" i="38"/>
  <c r="Q51" i="38" s="1"/>
  <c r="G39" i="38"/>
  <c r="Q39" i="38" s="1"/>
  <c r="G19" i="38"/>
  <c r="Q19" i="38" s="1"/>
  <c r="G68" i="38"/>
  <c r="Q68" i="38" s="1"/>
  <c r="G60" i="38"/>
  <c r="Q60" i="38" s="1"/>
  <c r="G70" i="38"/>
  <c r="Q70" i="38" s="1"/>
  <c r="G63" i="38"/>
  <c r="Q63" i="38" s="1"/>
  <c r="G61" i="38"/>
  <c r="Q61" i="38" s="1"/>
  <c r="G59" i="38"/>
  <c r="Q59" i="38" s="1"/>
  <c r="G50" i="38"/>
  <c r="Q50" i="38" s="1"/>
  <c r="G43" i="38"/>
  <c r="Q43" i="38" s="1"/>
  <c r="G37" i="38"/>
  <c r="Q37" i="38" s="1"/>
  <c r="G18" i="38"/>
  <c r="Q18" i="38" s="1"/>
  <c r="G69" i="38"/>
  <c r="Q69" i="38" s="1"/>
  <c r="G67" i="38"/>
  <c r="Q67" i="38" s="1"/>
  <c r="G57" i="38"/>
  <c r="Q57" i="38" s="1"/>
  <c r="G54" i="38"/>
  <c r="Q54" i="38" s="1"/>
  <c r="G62" i="38"/>
  <c r="Q62" i="38" s="1"/>
  <c r="G66" i="38"/>
  <c r="Q66" i="38" s="1"/>
  <c r="G56" i="38"/>
  <c r="Q56" i="38" s="1"/>
  <c r="G48" i="38"/>
  <c r="Q48" i="38" s="1"/>
  <c r="G45" i="38"/>
  <c r="Q45" i="38" s="1"/>
  <c r="G41" i="38"/>
  <c r="Q41" i="38" s="1"/>
  <c r="G35" i="38"/>
  <c r="Q35" i="38" s="1"/>
  <c r="G31" i="38"/>
  <c r="Q31" i="38" s="1"/>
  <c r="G26" i="38"/>
  <c r="Q26" i="38" s="1"/>
  <c r="G20" i="38"/>
  <c r="Q20" i="38" s="1"/>
  <c r="G15" i="38"/>
  <c r="Q15" i="38" s="1"/>
  <c r="G9" i="38"/>
  <c r="Q9" i="38" s="1"/>
  <c r="G40" i="38"/>
  <c r="Q40" i="38" s="1"/>
  <c r="G34" i="38"/>
  <c r="Q34" i="38" s="1"/>
  <c r="G30" i="38"/>
  <c r="Q30" i="38" s="1"/>
  <c r="G27" i="38"/>
  <c r="Q27" i="38" s="1"/>
  <c r="G23" i="38"/>
  <c r="Q23" i="38" s="1"/>
  <c r="G21" i="38"/>
  <c r="Q21" i="38" s="1"/>
  <c r="G14" i="38"/>
  <c r="Q14" i="38" s="1"/>
  <c r="G11" i="38"/>
  <c r="Q11" i="38" s="1"/>
  <c r="G8" i="38"/>
  <c r="Q8" i="38" s="1"/>
  <c r="G4" i="38"/>
  <c r="Q4" i="38" s="1"/>
  <c r="G49" i="38"/>
  <c r="Q49" i="38" s="1"/>
  <c r="G47" i="38"/>
  <c r="Q47" i="38" s="1"/>
  <c r="G42" i="38"/>
  <c r="Q42" i="38" s="1"/>
  <c r="G32" i="38"/>
  <c r="Q32" i="38" s="1"/>
  <c r="G29" i="38"/>
  <c r="Q29" i="38" s="1"/>
  <c r="G24" i="38"/>
  <c r="Q24" i="38" s="1"/>
  <c r="G17" i="38"/>
  <c r="Q17" i="38" s="1"/>
  <c r="G12" i="38"/>
  <c r="Q12" i="38" s="1"/>
  <c r="G46" i="38"/>
  <c r="Q46" i="38" s="1"/>
  <c r="G38" i="38"/>
  <c r="Q38" i="38" s="1"/>
  <c r="G33" i="38"/>
  <c r="Q33" i="38" s="1"/>
  <c r="G28" i="38"/>
  <c r="Q28" i="38" s="1"/>
  <c r="G25" i="38"/>
  <c r="Q25" i="38" s="1"/>
  <c r="G22" i="38"/>
  <c r="Q22" i="38" s="1"/>
  <c r="G16" i="38"/>
  <c r="Q16" i="38" s="1"/>
  <c r="G13" i="38"/>
  <c r="Q13" i="38" s="1"/>
  <c r="G10" i="38"/>
  <c r="Q10" i="38" s="1"/>
  <c r="G5" i="38"/>
  <c r="Q5" i="38" s="1"/>
  <c r="O46" i="59"/>
  <c r="T46" i="59" s="1"/>
  <c r="V46" i="59" s="1"/>
  <c r="O85" i="62"/>
  <c r="T85" i="62" s="1"/>
  <c r="V85" i="62" s="1"/>
  <c r="O54" i="62"/>
  <c r="T54" i="62" s="1"/>
  <c r="V54" i="62" s="1"/>
  <c r="O21" i="62"/>
  <c r="T21" i="62" s="1"/>
  <c r="V21" i="62" s="1"/>
  <c r="O64" i="62"/>
  <c r="T64" i="62" s="1"/>
  <c r="V64" i="62" s="1"/>
  <c r="O22" i="62"/>
  <c r="T22" i="62" s="1"/>
  <c r="V22" i="62" s="1"/>
  <c r="O45" i="62"/>
  <c r="T45" i="62" s="1"/>
  <c r="V45" i="62" s="1"/>
  <c r="O83" i="62"/>
  <c r="T83" i="62" s="1"/>
  <c r="V83" i="62" s="1"/>
  <c r="O6" i="62"/>
  <c r="T6" i="62" s="1"/>
  <c r="V6" i="62" s="1"/>
  <c r="O76" i="62"/>
  <c r="T76" i="62" s="1"/>
  <c r="V76" i="62" s="1"/>
  <c r="O52" i="62"/>
  <c r="T52" i="62" s="1"/>
  <c r="V52" i="62" s="1"/>
  <c r="Y54" i="62" s="1"/>
  <c r="X54" i="62" s="1"/>
  <c r="O29" i="62"/>
  <c r="T29" i="62" s="1"/>
  <c r="V29" i="62" s="1"/>
  <c r="O82" i="62"/>
  <c r="T82" i="62" s="1"/>
  <c r="V82" i="62" s="1"/>
  <c r="O91" i="62"/>
  <c r="T91" i="62" s="1"/>
  <c r="V91" i="62" s="1"/>
  <c r="O97" i="62"/>
  <c r="T97" i="62" s="1"/>
  <c r="V97" i="62" s="1"/>
  <c r="O95" i="63"/>
  <c r="T95" i="63" s="1"/>
  <c r="V95" i="63" s="1"/>
  <c r="O96" i="63"/>
  <c r="T96" i="63" s="1"/>
  <c r="V96" i="63" s="1"/>
  <c r="O94" i="63"/>
  <c r="T94" i="63" s="1"/>
  <c r="V94" i="63" s="1"/>
  <c r="O98" i="63"/>
  <c r="T98" i="63" s="1"/>
  <c r="V98" i="63" s="1"/>
  <c r="O97" i="63"/>
  <c r="T97" i="63" s="1"/>
  <c r="V97" i="63" s="1"/>
  <c r="O99" i="63"/>
  <c r="T99" i="63" s="1"/>
  <c r="V99" i="63" s="1"/>
  <c r="O92" i="63"/>
  <c r="T92" i="63" s="1"/>
  <c r="V92" i="63" s="1"/>
  <c r="O93" i="63"/>
  <c r="T93" i="63" s="1"/>
  <c r="V93" i="63" s="1"/>
  <c r="O80" i="59"/>
  <c r="T80" i="59" s="1"/>
  <c r="V80" i="59" s="1"/>
  <c r="Y80" i="59" s="1"/>
  <c r="X80" i="59" s="1"/>
  <c r="O64" i="59"/>
  <c r="T64" i="59" s="1"/>
  <c r="V64" i="59" s="1"/>
  <c r="O77" i="59"/>
  <c r="T77" i="59" s="1"/>
  <c r="V77" i="59" s="1"/>
  <c r="O62" i="59"/>
  <c r="T62" i="59" s="1"/>
  <c r="V62" i="59" s="1"/>
  <c r="O38" i="59"/>
  <c r="T38" i="59" s="1"/>
  <c r="V38" i="59" s="1"/>
  <c r="O33" i="59"/>
  <c r="T33" i="59" s="1"/>
  <c r="V33" i="59" s="1"/>
  <c r="O24" i="59"/>
  <c r="T24" i="59" s="1"/>
  <c r="V24" i="59" s="1"/>
  <c r="O49" i="59"/>
  <c r="T49" i="59" s="1"/>
  <c r="V49" i="59" s="1"/>
  <c r="O17" i="59"/>
  <c r="T17" i="59" s="1"/>
  <c r="V17" i="59" s="1"/>
  <c r="O5" i="59"/>
  <c r="T5" i="59" s="1"/>
  <c r="V5" i="59" s="1"/>
  <c r="O84" i="59"/>
  <c r="T84" i="59" s="1"/>
  <c r="V84" i="59" s="1"/>
  <c r="O76" i="59"/>
  <c r="T76" i="59" s="1"/>
  <c r="V76" i="59" s="1"/>
  <c r="O68" i="59"/>
  <c r="T68" i="59" s="1"/>
  <c r="V68" i="59" s="1"/>
  <c r="O89" i="59"/>
  <c r="T89" i="59" s="1"/>
  <c r="V89" i="59" s="1"/>
  <c r="O81" i="59"/>
  <c r="T81" i="59" s="1"/>
  <c r="V81" i="59" s="1"/>
  <c r="O73" i="59"/>
  <c r="T73" i="59" s="1"/>
  <c r="V73" i="59" s="1"/>
  <c r="O65" i="59"/>
  <c r="T65" i="59" s="1"/>
  <c r="V65" i="59" s="1"/>
  <c r="O58" i="59"/>
  <c r="T58" i="59" s="1"/>
  <c r="V58" i="59" s="1"/>
  <c r="O50" i="59"/>
  <c r="T50" i="59" s="1"/>
  <c r="V50" i="59" s="1"/>
  <c r="O42" i="59"/>
  <c r="T42" i="59" s="1"/>
  <c r="V42" i="59" s="1"/>
  <c r="O32" i="59"/>
  <c r="T32" i="59" s="1"/>
  <c r="V32" i="59" s="1"/>
  <c r="O16" i="59"/>
  <c r="T16" i="59" s="1"/>
  <c r="V16" i="59" s="1"/>
  <c r="O57" i="59"/>
  <c r="T57" i="59" s="1"/>
  <c r="V57" i="59" s="1"/>
  <c r="O41" i="59"/>
  <c r="T41" i="59" s="1"/>
  <c r="V41" i="59" s="1"/>
  <c r="O25" i="59"/>
  <c r="T25" i="59" s="1"/>
  <c r="V25" i="59" s="1"/>
  <c r="O9" i="59"/>
  <c r="T9" i="59" s="1"/>
  <c r="V9" i="59" s="1"/>
  <c r="O90" i="59"/>
  <c r="T90" i="59" s="1"/>
  <c r="V90" i="59" s="1"/>
  <c r="O86" i="59"/>
  <c r="T86" i="59" s="1"/>
  <c r="V86" i="59" s="1"/>
  <c r="O82" i="59"/>
  <c r="T82" i="59" s="1"/>
  <c r="V82" i="59" s="1"/>
  <c r="O78" i="59"/>
  <c r="T78" i="59" s="1"/>
  <c r="V78" i="59" s="1"/>
  <c r="O74" i="59"/>
  <c r="T74" i="59" s="1"/>
  <c r="V74" i="59" s="1"/>
  <c r="Y74" i="59" s="1"/>
  <c r="X74" i="59" s="1"/>
  <c r="O70" i="59"/>
  <c r="T70" i="59" s="1"/>
  <c r="V70" i="59" s="1"/>
  <c r="O66" i="59"/>
  <c r="T66" i="59" s="1"/>
  <c r="V66" i="59" s="1"/>
  <c r="O91" i="59"/>
  <c r="T91" i="59" s="1"/>
  <c r="V91" i="59" s="1"/>
  <c r="O87" i="59"/>
  <c r="T87" i="59" s="1"/>
  <c r="V87" i="59" s="1"/>
  <c r="O83" i="59"/>
  <c r="T83" i="59" s="1"/>
  <c r="V83" i="59" s="1"/>
  <c r="O79" i="59"/>
  <c r="T79" i="59" s="1"/>
  <c r="V79" i="59" s="1"/>
  <c r="O75" i="59"/>
  <c r="T75" i="59" s="1"/>
  <c r="V75" i="59" s="1"/>
  <c r="O71" i="59"/>
  <c r="T71" i="59" s="1"/>
  <c r="V71" i="59" s="1"/>
  <c r="O67" i="59"/>
  <c r="T67" i="59" s="1"/>
  <c r="V67" i="59" s="1"/>
  <c r="O63" i="59"/>
  <c r="T63" i="59" s="1"/>
  <c r="V63" i="59" s="1"/>
  <c r="Y64" i="59" s="1"/>
  <c r="X64" i="59" s="1"/>
  <c r="O60" i="59"/>
  <c r="T60" i="59" s="1"/>
  <c r="V60" i="59" s="1"/>
  <c r="O56" i="59"/>
  <c r="T56" i="59" s="1"/>
  <c r="V56" i="59" s="1"/>
  <c r="O52" i="59"/>
  <c r="T52" i="59" s="1"/>
  <c r="V52" i="59" s="1"/>
  <c r="O48" i="59"/>
  <c r="T48" i="59" s="1"/>
  <c r="V48" i="59" s="1"/>
  <c r="O44" i="59"/>
  <c r="T44" i="59" s="1"/>
  <c r="V44" i="59" s="1"/>
  <c r="O40" i="59"/>
  <c r="T40" i="59" s="1"/>
  <c r="V40" i="59" s="1"/>
  <c r="O36" i="59"/>
  <c r="T36" i="59" s="1"/>
  <c r="V36" i="59" s="1"/>
  <c r="O28" i="59"/>
  <c r="T28" i="59" s="1"/>
  <c r="V28" i="59" s="1"/>
  <c r="O20" i="59"/>
  <c r="T20" i="59" s="1"/>
  <c r="V20" i="59" s="1"/>
  <c r="O12" i="59"/>
  <c r="T12" i="59" s="1"/>
  <c r="V12" i="59" s="1"/>
  <c r="O61" i="59"/>
  <c r="T61" i="59" s="1"/>
  <c r="V61" i="59" s="1"/>
  <c r="O53" i="59"/>
  <c r="T53" i="59" s="1"/>
  <c r="V53" i="59" s="1"/>
  <c r="O45" i="59"/>
  <c r="T45" i="59" s="1"/>
  <c r="V45" i="59" s="1"/>
  <c r="O37" i="59"/>
  <c r="T37" i="59" s="1"/>
  <c r="V37" i="59" s="1"/>
  <c r="Y38" i="59" s="1"/>
  <c r="X38" i="59" s="1"/>
  <c r="O29" i="59"/>
  <c r="T29" i="59" s="1"/>
  <c r="V29" i="59" s="1"/>
  <c r="O21" i="59"/>
  <c r="T21" i="59" s="1"/>
  <c r="V21" i="59" s="1"/>
  <c r="O13" i="59"/>
  <c r="T13" i="59" s="1"/>
  <c r="V13" i="59" s="1"/>
  <c r="O34" i="59"/>
  <c r="T34" i="59" s="1"/>
  <c r="V34" i="59" s="1"/>
  <c r="O30" i="59"/>
  <c r="T30" i="59" s="1"/>
  <c r="V30" i="59" s="1"/>
  <c r="O26" i="59"/>
  <c r="T26" i="59" s="1"/>
  <c r="V26" i="59" s="1"/>
  <c r="O22" i="59"/>
  <c r="T22" i="59" s="1"/>
  <c r="V22" i="59" s="1"/>
  <c r="O18" i="59"/>
  <c r="T18" i="59" s="1"/>
  <c r="V18" i="59" s="1"/>
  <c r="O14" i="59"/>
  <c r="T14" i="59" s="1"/>
  <c r="V14" i="59" s="1"/>
  <c r="O10" i="59"/>
  <c r="T10" i="59" s="1"/>
  <c r="V10" i="59" s="1"/>
  <c r="O6" i="59"/>
  <c r="T6" i="59" s="1"/>
  <c r="V6" i="59" s="1"/>
  <c r="O59" i="59"/>
  <c r="T59" i="59" s="1"/>
  <c r="V59" i="59" s="1"/>
  <c r="Y60" i="59" s="1"/>
  <c r="X60" i="59" s="1"/>
  <c r="O55" i="59"/>
  <c r="T55" i="59" s="1"/>
  <c r="V55" i="59" s="1"/>
  <c r="Y56" i="59" s="1"/>
  <c r="X56" i="59" s="1"/>
  <c r="O51" i="59"/>
  <c r="T51" i="59" s="1"/>
  <c r="V51" i="59" s="1"/>
  <c r="O47" i="59"/>
  <c r="T47" i="59" s="1"/>
  <c r="V47" i="59" s="1"/>
  <c r="O43" i="59"/>
  <c r="T43" i="59" s="1"/>
  <c r="V43" i="59" s="1"/>
  <c r="Y44" i="59" s="1"/>
  <c r="X44" i="59" s="1"/>
  <c r="O39" i="59"/>
  <c r="T39" i="59" s="1"/>
  <c r="V39" i="59" s="1"/>
  <c r="O35" i="59"/>
  <c r="T35" i="59" s="1"/>
  <c r="V35" i="59" s="1"/>
  <c r="O31" i="59"/>
  <c r="T31" i="59" s="1"/>
  <c r="V31" i="59" s="1"/>
  <c r="Y33" i="59" s="1"/>
  <c r="X33" i="59" s="1"/>
  <c r="O27" i="59"/>
  <c r="T27" i="59" s="1"/>
  <c r="V27" i="59" s="1"/>
  <c r="O23" i="59"/>
  <c r="T23" i="59" s="1"/>
  <c r="V23" i="59" s="1"/>
  <c r="O19" i="59"/>
  <c r="T19" i="59" s="1"/>
  <c r="V19" i="59" s="1"/>
  <c r="O15" i="59"/>
  <c r="T15" i="59" s="1"/>
  <c r="V15" i="59" s="1"/>
  <c r="O11" i="59"/>
  <c r="T11" i="59" s="1"/>
  <c r="V11" i="59" s="1"/>
  <c r="O7" i="59"/>
  <c r="T7" i="59" s="1"/>
  <c r="V7" i="59" s="1"/>
  <c r="O10" i="62"/>
  <c r="T10" i="62" s="1"/>
  <c r="V10" i="62" s="1"/>
  <c r="O13" i="62"/>
  <c r="T13" i="62" s="1"/>
  <c r="V13" i="62" s="1"/>
  <c r="O77" i="62"/>
  <c r="T77" i="62" s="1"/>
  <c r="V77" i="62" s="1"/>
  <c r="O61" i="62"/>
  <c r="T61" i="62" s="1"/>
  <c r="V61" i="62" s="1"/>
  <c r="O46" i="62"/>
  <c r="T46" i="62" s="1"/>
  <c r="V46" i="62" s="1"/>
  <c r="O14" i="62"/>
  <c r="T14" i="62" s="1"/>
  <c r="V14" i="62" s="1"/>
  <c r="O25" i="62"/>
  <c r="T25" i="62" s="1"/>
  <c r="V25" i="62" s="1"/>
  <c r="O34" i="62"/>
  <c r="T34" i="62" s="1"/>
  <c r="V34" i="62" s="1"/>
  <c r="O68" i="62"/>
  <c r="T68" i="62" s="1"/>
  <c r="V68" i="62" s="1"/>
  <c r="Y69" i="62" s="1"/>
  <c r="X69" i="62" s="1"/>
  <c r="O12" i="62"/>
  <c r="T12" i="62" s="1"/>
  <c r="V12" i="62" s="1"/>
  <c r="O9" i="62"/>
  <c r="T9" i="62" s="1"/>
  <c r="V9" i="62" s="1"/>
  <c r="O41" i="62"/>
  <c r="T41" i="62" s="1"/>
  <c r="V41" i="62" s="1"/>
  <c r="O49" i="62"/>
  <c r="T49" i="62" s="1"/>
  <c r="V49" i="62" s="1"/>
  <c r="O93" i="62"/>
  <c r="T93" i="62" s="1"/>
  <c r="O75" i="62"/>
  <c r="T75" i="62" s="1"/>
  <c r="V75" i="62" s="1"/>
  <c r="Y77" i="62" s="1"/>
  <c r="X77" i="62" s="1"/>
  <c r="O59" i="62"/>
  <c r="T59" i="62" s="1"/>
  <c r="V59" i="62" s="1"/>
  <c r="O44" i="62"/>
  <c r="T44" i="62" s="1"/>
  <c r="V44" i="62" s="1"/>
  <c r="Y46" i="62" s="1"/>
  <c r="X46" i="62" s="1"/>
  <c r="O17" i="62"/>
  <c r="T17" i="62" s="1"/>
  <c r="V17" i="62" s="1"/>
  <c r="O33" i="62"/>
  <c r="T33" i="62" s="1"/>
  <c r="V33" i="62" s="1"/>
  <c r="O60" i="62"/>
  <c r="T60" i="62" s="1"/>
  <c r="V60" i="62" s="1"/>
  <c r="O86" i="62"/>
  <c r="T86" i="62" s="1"/>
  <c r="V86" i="62" s="1"/>
  <c r="Y92" i="62" s="1"/>
  <c r="X92" i="62" s="1"/>
  <c r="O5" i="63"/>
  <c r="T5" i="63" s="1"/>
  <c r="V5" i="63" s="1"/>
  <c r="O100" i="62"/>
  <c r="T100" i="62" s="1"/>
  <c r="BF9" i="16" s="1"/>
  <c r="V100" i="62"/>
  <c r="V93" i="62"/>
  <c r="BF2" i="16"/>
  <c r="O80" i="62"/>
  <c r="T80" i="62" s="1"/>
  <c r="V80" i="62" s="1"/>
  <c r="Y80" i="62" s="1"/>
  <c r="X80" i="62" s="1"/>
  <c r="O59" i="63"/>
  <c r="T59" i="63" s="1"/>
  <c r="V59" i="63" s="1"/>
  <c r="O88" i="63"/>
  <c r="T88" i="63" s="1"/>
  <c r="V88" i="63" s="1"/>
  <c r="O96" i="62"/>
  <c r="T96" i="62" s="1"/>
  <c r="Y14" i="62"/>
  <c r="X14" i="62" s="1"/>
  <c r="Y61" i="62"/>
  <c r="X61" i="62" s="1"/>
  <c r="O23" i="63"/>
  <c r="T23" i="63" s="1"/>
  <c r="V23" i="63" s="1"/>
  <c r="O39" i="63"/>
  <c r="T39" i="63" s="1"/>
  <c r="V39" i="63" s="1"/>
  <c r="O68" i="63"/>
  <c r="T68" i="63" s="1"/>
  <c r="V68" i="63" s="1"/>
  <c r="O52" i="63"/>
  <c r="T52" i="63" s="1"/>
  <c r="V52" i="63" s="1"/>
  <c r="O10" i="63"/>
  <c r="T10" i="63" s="1"/>
  <c r="V10" i="63" s="1"/>
  <c r="O45" i="63"/>
  <c r="T45" i="63" s="1"/>
  <c r="V45" i="63" s="1"/>
  <c r="O63" i="63"/>
  <c r="T63" i="63" s="1"/>
  <c r="V63" i="63" s="1"/>
  <c r="O79" i="63"/>
  <c r="T79" i="63" s="1"/>
  <c r="V79" i="63" s="1"/>
  <c r="O87" i="63"/>
  <c r="T87" i="63" s="1"/>
  <c r="V87" i="63" s="1"/>
  <c r="O12" i="63"/>
  <c r="T12" i="63" s="1"/>
  <c r="V12" i="63" s="1"/>
  <c r="O29" i="63"/>
  <c r="T29" i="63" s="1"/>
  <c r="V29" i="63" s="1"/>
  <c r="O78" i="63"/>
  <c r="T78" i="63" s="1"/>
  <c r="V78" i="63" s="1"/>
  <c r="O62" i="63"/>
  <c r="T62" i="63" s="1"/>
  <c r="V62" i="63" s="1"/>
  <c r="O46" i="63"/>
  <c r="T46" i="63" s="1"/>
  <c r="V46" i="63" s="1"/>
  <c r="O18" i="63"/>
  <c r="T18" i="63" s="1"/>
  <c r="V18" i="63" s="1"/>
  <c r="O26" i="63"/>
  <c r="T26" i="63" s="1"/>
  <c r="V26" i="63" s="1"/>
  <c r="O34" i="63"/>
  <c r="T34" i="63" s="1"/>
  <c r="V34" i="63" s="1"/>
  <c r="O43" i="63"/>
  <c r="T43" i="63" s="1"/>
  <c r="V43" i="63" s="1"/>
  <c r="O73" i="63"/>
  <c r="T73" i="63" s="1"/>
  <c r="V73" i="63" s="1"/>
  <c r="O86" i="63"/>
  <c r="T86" i="63" s="1"/>
  <c r="V86" i="63" s="1"/>
  <c r="O8" i="62"/>
  <c r="T8" i="62" s="1"/>
  <c r="V8" i="62" s="1"/>
  <c r="O90" i="62"/>
  <c r="T90" i="62" s="1"/>
  <c r="V90" i="62" s="1"/>
  <c r="O73" i="62"/>
  <c r="T73" i="62" s="1"/>
  <c r="V73" i="62" s="1"/>
  <c r="O57" i="62"/>
  <c r="T57" i="62" s="1"/>
  <c r="V57" i="62" s="1"/>
  <c r="O42" i="62"/>
  <c r="T42" i="62" s="1"/>
  <c r="V42" i="62" s="1"/>
  <c r="O16" i="62"/>
  <c r="T16" i="62" s="1"/>
  <c r="V16" i="62" s="1"/>
  <c r="O27" i="62"/>
  <c r="T27" i="62" s="1"/>
  <c r="V27" i="62" s="1"/>
  <c r="Y29" i="62" s="1"/>
  <c r="X29" i="62" s="1"/>
  <c r="O37" i="62"/>
  <c r="T37" i="62" s="1"/>
  <c r="V37" i="62" s="1"/>
  <c r="O70" i="62"/>
  <c r="T70" i="62" s="1"/>
  <c r="V70" i="62" s="1"/>
  <c r="Y71" i="62" s="1"/>
  <c r="X71" i="62" s="1"/>
  <c r="O18" i="62"/>
  <c r="T18" i="62" s="1"/>
  <c r="V18" i="62" s="1"/>
  <c r="O20" i="62"/>
  <c r="T20" i="62" s="1"/>
  <c r="V20" i="62" s="1"/>
  <c r="Y22" i="62" s="1"/>
  <c r="X22" i="62" s="1"/>
  <c r="O43" i="62"/>
  <c r="T43" i="62" s="1"/>
  <c r="V43" i="62" s="1"/>
  <c r="O51" i="62"/>
  <c r="T51" i="62" s="1"/>
  <c r="V51" i="62" s="1"/>
  <c r="O87" i="62"/>
  <c r="T87" i="62" s="1"/>
  <c r="V87" i="62" s="1"/>
  <c r="O71" i="62"/>
  <c r="T71" i="62" s="1"/>
  <c r="V71" i="62" s="1"/>
  <c r="Y73" i="62" s="1"/>
  <c r="X73" i="62" s="1"/>
  <c r="O56" i="62"/>
  <c r="T56" i="62" s="1"/>
  <c r="V56" i="62" s="1"/>
  <c r="O40" i="62"/>
  <c r="T40" i="62" s="1"/>
  <c r="V40" i="62" s="1"/>
  <c r="Y42" i="62" s="1"/>
  <c r="X42" i="62" s="1"/>
  <c r="O19" i="62"/>
  <c r="T19" i="62" s="1"/>
  <c r="V19" i="62" s="1"/>
  <c r="O35" i="62"/>
  <c r="T35" i="62" s="1"/>
  <c r="V35" i="62" s="1"/>
  <c r="O62" i="62"/>
  <c r="T62" i="62" s="1"/>
  <c r="V62" i="62" s="1"/>
  <c r="O88" i="62"/>
  <c r="T88" i="62" s="1"/>
  <c r="V88" i="62" s="1"/>
  <c r="O89" i="62"/>
  <c r="T89" i="62" s="1"/>
  <c r="V89" i="62" s="1"/>
  <c r="O99" i="62"/>
  <c r="T99" i="62" s="1"/>
  <c r="O15" i="63"/>
  <c r="T15" i="63" s="1"/>
  <c r="V15" i="63" s="1"/>
  <c r="O27" i="63"/>
  <c r="T27" i="63" s="1"/>
  <c r="V27" i="63" s="1"/>
  <c r="O80" i="63"/>
  <c r="T80" i="63" s="1"/>
  <c r="V80" i="63" s="1"/>
  <c r="Y80" i="63" s="1"/>
  <c r="X80" i="63" s="1"/>
  <c r="O64" i="63"/>
  <c r="T64" i="63" s="1"/>
  <c r="V64" i="63" s="1"/>
  <c r="O48" i="63"/>
  <c r="T48" i="63" s="1"/>
  <c r="V48" i="63" s="1"/>
  <c r="O13" i="63"/>
  <c r="T13" i="63" s="1"/>
  <c r="V13" i="63" s="1"/>
  <c r="O49" i="63"/>
  <c r="T49" i="63" s="1"/>
  <c r="V49" i="63" s="1"/>
  <c r="O67" i="63"/>
  <c r="T67" i="63" s="1"/>
  <c r="V67" i="63" s="1"/>
  <c r="O81" i="63"/>
  <c r="T81" i="63" s="1"/>
  <c r="V81" i="63" s="1"/>
  <c r="Y81" i="63" s="1"/>
  <c r="X81" i="63" s="1"/>
  <c r="O89" i="63"/>
  <c r="T89" i="63" s="1"/>
  <c r="V89" i="63" s="1"/>
  <c r="O16" i="63"/>
  <c r="T16" i="63" s="1"/>
  <c r="V16" i="63" s="1"/>
  <c r="O33" i="63"/>
  <c r="T33" i="63" s="1"/>
  <c r="V33" i="63" s="1"/>
  <c r="O74" i="63"/>
  <c r="T74" i="63" s="1"/>
  <c r="V74" i="63" s="1"/>
  <c r="O58" i="63"/>
  <c r="T58" i="63" s="1"/>
  <c r="V58" i="63" s="1"/>
  <c r="O6" i="63"/>
  <c r="T6" i="63" s="1"/>
  <c r="V6" i="63" s="1"/>
  <c r="O20" i="63"/>
  <c r="T20" i="63" s="1"/>
  <c r="V20" i="63" s="1"/>
  <c r="O28" i="63"/>
  <c r="T28" i="63" s="1"/>
  <c r="V28" i="63" s="1"/>
  <c r="O36" i="63"/>
  <c r="T36" i="63" s="1"/>
  <c r="V36" i="63" s="1"/>
  <c r="O47" i="63"/>
  <c r="T47" i="63" s="1"/>
  <c r="V47" i="63" s="1"/>
  <c r="Y49" i="63" s="1"/>
  <c r="X49" i="63" s="1"/>
  <c r="O61" i="63"/>
  <c r="T61" i="63" s="1"/>
  <c r="V61" i="63" s="1"/>
  <c r="Y63" i="63" s="1"/>
  <c r="X63" i="63" s="1"/>
  <c r="O77" i="63"/>
  <c r="T77" i="63" s="1"/>
  <c r="V77" i="63" s="1"/>
  <c r="Y79" i="63" s="1"/>
  <c r="X79" i="63" s="1"/>
  <c r="O94" i="62"/>
  <c r="T94" i="62" s="1"/>
  <c r="Y30" i="62"/>
  <c r="X30" i="62" s="1"/>
  <c r="Y38" i="62"/>
  <c r="X38" i="62" s="1"/>
  <c r="O7" i="63"/>
  <c r="T7" i="63" s="1"/>
  <c r="V7" i="63" s="1"/>
  <c r="O31" i="63"/>
  <c r="T31" i="63" s="1"/>
  <c r="V31" i="63" s="1"/>
  <c r="O76" i="63"/>
  <c r="T76" i="63" s="1"/>
  <c r="V76" i="63" s="1"/>
  <c r="O60" i="63"/>
  <c r="T60" i="63" s="1"/>
  <c r="V60" i="63" s="1"/>
  <c r="Y62" i="63" s="1"/>
  <c r="X62" i="63" s="1"/>
  <c r="O44" i="63"/>
  <c r="T44" i="63" s="1"/>
  <c r="V44" i="63" s="1"/>
  <c r="Y46" i="63" s="1"/>
  <c r="X46" i="63" s="1"/>
  <c r="O41" i="63"/>
  <c r="T41" i="63" s="1"/>
  <c r="V41" i="63" s="1"/>
  <c r="O53" i="63"/>
  <c r="T53" i="63" s="1"/>
  <c r="V53" i="63" s="1"/>
  <c r="O71" i="63"/>
  <c r="T71" i="63" s="1"/>
  <c r="V71" i="63" s="1"/>
  <c r="O83" i="63"/>
  <c r="T83" i="63" s="1"/>
  <c r="V83" i="63" s="1"/>
  <c r="O14" i="63"/>
  <c r="T14" i="63" s="1"/>
  <c r="V14" i="63" s="1"/>
  <c r="Y16" i="63" s="1"/>
  <c r="X16" i="63" s="1"/>
  <c r="O21" i="63"/>
  <c r="T21" i="63" s="1"/>
  <c r="V21" i="63" s="1"/>
  <c r="O37" i="63"/>
  <c r="T37" i="63" s="1"/>
  <c r="V37" i="63" s="1"/>
  <c r="O70" i="63"/>
  <c r="T70" i="63" s="1"/>
  <c r="V70" i="63" s="1"/>
  <c r="O54" i="63"/>
  <c r="T54" i="63" s="1"/>
  <c r="V54" i="63" s="1"/>
  <c r="O9" i="63"/>
  <c r="T9" i="63" s="1"/>
  <c r="V9" i="63" s="1"/>
  <c r="O22" i="63"/>
  <c r="T22" i="63" s="1"/>
  <c r="V22" i="63" s="1"/>
  <c r="O30" i="63"/>
  <c r="T30" i="63" s="1"/>
  <c r="V30" i="63" s="1"/>
  <c r="O38" i="63"/>
  <c r="T38" i="63" s="1"/>
  <c r="V38" i="63" s="1"/>
  <c r="O51" i="63"/>
  <c r="T51" i="63" s="1"/>
  <c r="V51" i="63" s="1"/>
  <c r="O65" i="63"/>
  <c r="T65" i="63" s="1"/>
  <c r="V65" i="63" s="1"/>
  <c r="O82" i="63"/>
  <c r="T82" i="63" s="1"/>
  <c r="V82" i="63" s="1"/>
  <c r="Y82" i="63" s="1"/>
  <c r="X82" i="63" s="1"/>
  <c r="O5" i="62"/>
  <c r="T5" i="62" s="1"/>
  <c r="V5" i="62" s="1"/>
  <c r="O11" i="62"/>
  <c r="T11" i="62" s="1"/>
  <c r="V11" i="62" s="1"/>
  <c r="Y13" i="62" s="1"/>
  <c r="X13" i="62" s="1"/>
  <c r="O81" i="62"/>
  <c r="T81" i="62" s="1"/>
  <c r="V81" i="62" s="1"/>
  <c r="Y81" i="62" s="1"/>
  <c r="X81" i="62" s="1"/>
  <c r="O65" i="62"/>
  <c r="T65" i="62" s="1"/>
  <c r="V65" i="62" s="1"/>
  <c r="O50" i="62"/>
  <c r="T50" i="62" s="1"/>
  <c r="V50" i="62" s="1"/>
  <c r="Y52" i="62" s="1"/>
  <c r="X52" i="62" s="1"/>
  <c r="O7" i="62"/>
  <c r="T7" i="62" s="1"/>
  <c r="V7" i="62" s="1"/>
  <c r="O23" i="62"/>
  <c r="T23" i="62" s="1"/>
  <c r="V23" i="62" s="1"/>
  <c r="Y25" i="62" s="1"/>
  <c r="X25" i="62" s="1"/>
  <c r="O32" i="62"/>
  <c r="T32" i="62" s="1"/>
  <c r="V32" i="62" s="1"/>
  <c r="O66" i="62"/>
  <c r="T66" i="62" s="1"/>
  <c r="V66" i="62" s="1"/>
  <c r="Y68" i="62" s="1"/>
  <c r="X68" i="62" s="1"/>
  <c r="O74" i="62"/>
  <c r="T74" i="62" s="1"/>
  <c r="V74" i="62" s="1"/>
  <c r="O26" i="62"/>
  <c r="T26" i="62" s="1"/>
  <c r="V26" i="62" s="1"/>
  <c r="Y28" i="62" s="1"/>
  <c r="X28" i="62" s="1"/>
  <c r="O39" i="62"/>
  <c r="T39" i="62" s="1"/>
  <c r="V39" i="62" s="1"/>
  <c r="O47" i="62"/>
  <c r="T47" i="62" s="1"/>
  <c r="V47" i="62" s="1"/>
  <c r="Y47" i="62" s="1"/>
  <c r="X47" i="62" s="1"/>
  <c r="O55" i="62"/>
  <c r="T55" i="62" s="1"/>
  <c r="V55" i="62" s="1"/>
  <c r="O79" i="62"/>
  <c r="T79" i="62" s="1"/>
  <c r="V79" i="62" s="1"/>
  <c r="O63" i="62"/>
  <c r="T63" i="62" s="1"/>
  <c r="V63" i="62" s="1"/>
  <c r="O48" i="62"/>
  <c r="T48" i="62" s="1"/>
  <c r="V48" i="62" s="1"/>
  <c r="Y50" i="62" s="1"/>
  <c r="X50" i="62" s="1"/>
  <c r="O15" i="62"/>
  <c r="T15" i="62" s="1"/>
  <c r="V15" i="62" s="1"/>
  <c r="O31" i="62"/>
  <c r="T31" i="62" s="1"/>
  <c r="V31" i="62" s="1"/>
  <c r="O58" i="62"/>
  <c r="T58" i="62" s="1"/>
  <c r="V58" i="62" s="1"/>
  <c r="Y60" i="62" s="1"/>
  <c r="X60" i="62" s="1"/>
  <c r="O84" i="62"/>
  <c r="T84" i="62" s="1"/>
  <c r="V84" i="62" s="1"/>
  <c r="Y84" i="62" s="1"/>
  <c r="X84" i="62" s="1"/>
  <c r="O78" i="62"/>
  <c r="T78" i="62" s="1"/>
  <c r="V78" i="62" s="1"/>
  <c r="O98" i="62"/>
  <c r="T98" i="62" s="1"/>
  <c r="O95" i="62"/>
  <c r="T95" i="62" s="1"/>
  <c r="O19" i="63"/>
  <c r="T19" i="63" s="1"/>
  <c r="V19" i="63" s="1"/>
  <c r="Y21" i="63" s="1"/>
  <c r="X21" i="63" s="1"/>
  <c r="O35" i="63"/>
  <c r="T35" i="63" s="1"/>
  <c r="V35" i="63" s="1"/>
  <c r="O72" i="63"/>
  <c r="T72" i="63" s="1"/>
  <c r="V72" i="63" s="1"/>
  <c r="Y74" i="63" s="1"/>
  <c r="X74" i="63" s="1"/>
  <c r="O56" i="63"/>
  <c r="T56" i="63" s="1"/>
  <c r="V56" i="63" s="1"/>
  <c r="O8" i="63"/>
  <c r="T8" i="63" s="1"/>
  <c r="V8" i="63" s="1"/>
  <c r="Y10" i="63" s="1"/>
  <c r="X10" i="63" s="1"/>
  <c r="O42" i="63"/>
  <c r="T42" i="63" s="1"/>
  <c r="V42" i="63" s="1"/>
  <c r="Y44" i="63" s="1"/>
  <c r="X44" i="63" s="1"/>
  <c r="O57" i="63"/>
  <c r="T57" i="63" s="1"/>
  <c r="V57" i="63" s="1"/>
  <c r="Y59" i="63" s="1"/>
  <c r="X59" i="63" s="1"/>
  <c r="O75" i="63"/>
  <c r="T75" i="63" s="1"/>
  <c r="V75" i="63" s="1"/>
  <c r="Y77" i="63" s="1"/>
  <c r="X77" i="63" s="1"/>
  <c r="O85" i="63"/>
  <c r="T85" i="63" s="1"/>
  <c r="V85" i="63" s="1"/>
  <c r="O100" i="63"/>
  <c r="T100" i="63" s="1"/>
  <c r="O17" i="63"/>
  <c r="T17" i="63" s="1"/>
  <c r="V17" i="63" s="1"/>
  <c r="Y19" i="63" s="1"/>
  <c r="X19" i="63" s="1"/>
  <c r="O25" i="63"/>
  <c r="T25" i="63" s="1"/>
  <c r="V25" i="63" s="1"/>
  <c r="O91" i="63"/>
  <c r="T91" i="63" s="1"/>
  <c r="V91" i="63" s="1"/>
  <c r="O66" i="63"/>
  <c r="T66" i="63" s="1"/>
  <c r="V66" i="63" s="1"/>
  <c r="O50" i="63"/>
  <c r="T50" i="63" s="1"/>
  <c r="V50" i="63" s="1"/>
  <c r="Y52" i="63" s="1"/>
  <c r="X52" i="63" s="1"/>
  <c r="O11" i="63"/>
  <c r="T11" i="63" s="1"/>
  <c r="V11" i="63" s="1"/>
  <c r="O24" i="63"/>
  <c r="T24" i="63" s="1"/>
  <c r="V24" i="63" s="1"/>
  <c r="O32" i="63"/>
  <c r="T32" i="63" s="1"/>
  <c r="V32" i="63" s="1"/>
  <c r="O40" i="63"/>
  <c r="T40" i="63" s="1"/>
  <c r="V40" i="63" s="1"/>
  <c r="O55" i="63"/>
  <c r="T55" i="63" s="1"/>
  <c r="V55" i="63" s="1"/>
  <c r="O69" i="63"/>
  <c r="T69" i="63" s="1"/>
  <c r="V69" i="63" s="1"/>
  <c r="Y71" i="63" s="1"/>
  <c r="X71" i="63" s="1"/>
  <c r="O84" i="63"/>
  <c r="T84" i="63" s="1"/>
  <c r="V84" i="63" s="1"/>
  <c r="Y84" i="63" s="1"/>
  <c r="X84" i="63" s="1"/>
  <c r="O90" i="63"/>
  <c r="T90" i="63" s="1"/>
  <c r="V90" i="63" s="1"/>
  <c r="Y75" i="59"/>
  <c r="X75" i="59" s="1"/>
  <c r="Y48" i="59"/>
  <c r="X48" i="59" s="1"/>
  <c r="Y8" i="59"/>
  <c r="X8" i="59" s="1"/>
  <c r="Y49" i="59"/>
  <c r="X49" i="59" s="1"/>
  <c r="Y25" i="59"/>
  <c r="X25" i="59" s="1"/>
  <c r="Y82" i="59"/>
  <c r="X82" i="59" s="1"/>
  <c r="Y69" i="59"/>
  <c r="X69" i="59" s="1"/>
  <c r="Y62" i="59"/>
  <c r="X62" i="59" s="1"/>
  <c r="Y50" i="59"/>
  <c r="X50" i="59" s="1"/>
  <c r="Y63" i="59"/>
  <c r="X63" i="59" s="1"/>
  <c r="Y47" i="59"/>
  <c r="X47" i="59" s="1"/>
  <c r="Y23" i="59"/>
  <c r="X23" i="59" s="1"/>
  <c r="Y81" i="59"/>
  <c r="X81" i="59" s="1"/>
  <c r="L11" i="44"/>
  <c r="L13" i="44"/>
  <c r="L15" i="44"/>
  <c r="L17" i="44"/>
  <c r="L19" i="44"/>
  <c r="L21" i="44"/>
  <c r="L23" i="44"/>
  <c r="L10" i="44"/>
  <c r="L12" i="44"/>
  <c r="L14" i="44"/>
  <c r="L16" i="44"/>
  <c r="L18" i="44"/>
  <c r="L20" i="44"/>
  <c r="L22" i="44"/>
  <c r="L24" i="44"/>
  <c r="X3" i="6" l="1"/>
  <c r="X4" i="6"/>
  <c r="Y55" i="59"/>
  <c r="X55" i="59" s="1"/>
  <c r="Y95" i="59"/>
  <c r="X95" i="59" s="1"/>
  <c r="Y99" i="59"/>
  <c r="X99" i="59" s="1"/>
  <c r="Y15" i="59"/>
  <c r="X15" i="59" s="1"/>
  <c r="Y32" i="59"/>
  <c r="X32" i="59" s="1"/>
  <c r="Y97" i="59"/>
  <c r="X97" i="59" s="1"/>
  <c r="Y92" i="59"/>
  <c r="X92" i="59" s="1"/>
  <c r="Y93" i="59"/>
  <c r="X93" i="59" s="1"/>
  <c r="Y98" i="59"/>
  <c r="X98" i="59" s="1"/>
  <c r="Y96" i="59"/>
  <c r="X96" i="59" s="1"/>
  <c r="Y86" i="59"/>
  <c r="X86" i="59" s="1"/>
  <c r="AK120" i="16"/>
  <c r="AK116" i="16"/>
  <c r="AK119" i="16"/>
  <c r="AK118" i="16"/>
  <c r="AK117" i="16"/>
  <c r="AK109" i="16"/>
  <c r="AK104" i="16"/>
  <c r="AK101" i="16"/>
  <c r="AK73" i="16"/>
  <c r="AK114" i="16"/>
  <c r="AK103" i="16"/>
  <c r="AK75" i="16"/>
  <c r="AK108" i="16"/>
  <c r="AK112" i="16"/>
  <c r="AK105" i="16"/>
  <c r="AK107" i="16"/>
  <c r="AK106" i="16"/>
  <c r="AK115" i="16"/>
  <c r="AK102" i="16"/>
  <c r="AK76" i="16"/>
  <c r="AK113" i="16"/>
  <c r="AK84" i="16"/>
  <c r="AK88" i="16"/>
  <c r="AK86" i="16"/>
  <c r="AK87" i="16"/>
  <c r="AK85" i="16"/>
  <c r="AK80" i="16"/>
  <c r="AK99" i="16"/>
  <c r="AK100" i="16"/>
  <c r="AK90" i="16"/>
  <c r="AK77" i="16"/>
  <c r="AK97" i="16"/>
  <c r="AK98" i="16"/>
  <c r="AK94" i="16"/>
  <c r="AK111" i="16"/>
  <c r="AK79" i="16"/>
  <c r="AK95" i="16"/>
  <c r="AK93" i="16"/>
  <c r="AK96" i="16"/>
  <c r="AK74" i="16"/>
  <c r="AK78" i="16"/>
  <c r="AK91" i="16"/>
  <c r="AK92" i="16"/>
  <c r="AK89" i="16"/>
  <c r="AK72" i="16"/>
  <c r="AK82" i="16"/>
  <c r="AK83" i="16"/>
  <c r="AK110" i="16"/>
  <c r="AK81" i="16"/>
  <c r="Y31" i="59"/>
  <c r="X31" i="59" s="1"/>
  <c r="Y76" i="59"/>
  <c r="X76" i="59" s="1"/>
  <c r="Y57" i="59"/>
  <c r="X57" i="59" s="1"/>
  <c r="Y34" i="63"/>
  <c r="X34" i="63" s="1"/>
  <c r="Y13" i="63"/>
  <c r="X13" i="63" s="1"/>
  <c r="Y68" i="63"/>
  <c r="X68" i="63" s="1"/>
  <c r="Y27" i="63"/>
  <c r="X27" i="63" s="1"/>
  <c r="Y37" i="63"/>
  <c r="X37" i="63" s="1"/>
  <c r="Y41" i="62"/>
  <c r="X41" i="62" s="1"/>
  <c r="Y45" i="62"/>
  <c r="X45" i="62" s="1"/>
  <c r="BF6" i="16"/>
  <c r="Y13" i="59"/>
  <c r="X13" i="59" s="1"/>
  <c r="Y21" i="59"/>
  <c r="X21" i="59" s="1"/>
  <c r="Y29" i="59"/>
  <c r="X29" i="59" s="1"/>
  <c r="Y37" i="59"/>
  <c r="X37" i="59" s="1"/>
  <c r="Y52" i="59"/>
  <c r="X52" i="59" s="1"/>
  <c r="Y77" i="59"/>
  <c r="X77" i="59" s="1"/>
  <c r="Y85" i="59"/>
  <c r="X85" i="59" s="1"/>
  <c r="Y70" i="59"/>
  <c r="X70" i="59" s="1"/>
  <c r="Y78" i="59"/>
  <c r="X78" i="59" s="1"/>
  <c r="Y57" i="63"/>
  <c r="X57" i="63" s="1"/>
  <c r="Y67" i="59"/>
  <c r="X67" i="59" s="1"/>
  <c r="Y22" i="59"/>
  <c r="X22" i="59" s="1"/>
  <c r="Y54" i="59"/>
  <c r="X54" i="59" s="1"/>
  <c r="Y97" i="63"/>
  <c r="X97" i="63" s="1"/>
  <c r="Y17" i="62"/>
  <c r="X17" i="62" s="1"/>
  <c r="Y65" i="62"/>
  <c r="X65" i="62" s="1"/>
  <c r="Y57" i="62"/>
  <c r="X57" i="62" s="1"/>
  <c r="Y76" i="62"/>
  <c r="X76" i="62" s="1"/>
  <c r="Y34" i="62"/>
  <c r="X34" i="62" s="1"/>
  <c r="Y9" i="62"/>
  <c r="X9" i="62" s="1"/>
  <c r="Y37" i="62"/>
  <c r="X37" i="62" s="1"/>
  <c r="Y53" i="62"/>
  <c r="X53" i="62" s="1"/>
  <c r="Y10" i="62"/>
  <c r="X10" i="62" s="1"/>
  <c r="Y93" i="62"/>
  <c r="X93" i="62" s="1"/>
  <c r="Y78" i="63"/>
  <c r="X78" i="63" s="1"/>
  <c r="Y93" i="63"/>
  <c r="X93" i="63" s="1"/>
  <c r="Y99" i="63"/>
  <c r="X99" i="63" s="1"/>
  <c r="Y98" i="63"/>
  <c r="X98" i="63" s="1"/>
  <c r="Y96" i="63"/>
  <c r="X96" i="63" s="1"/>
  <c r="Y92" i="63"/>
  <c r="X92" i="63" s="1"/>
  <c r="Y94" i="63"/>
  <c r="X94" i="63" s="1"/>
  <c r="Y95" i="63"/>
  <c r="X95" i="63" s="1"/>
  <c r="Y46" i="59"/>
  <c r="X46" i="59" s="1"/>
  <c r="Y17" i="59"/>
  <c r="X17" i="59" s="1"/>
  <c r="Y24" i="59"/>
  <c r="X24" i="59" s="1"/>
  <c r="Y40" i="59"/>
  <c r="X40" i="59" s="1"/>
  <c r="Y66" i="59"/>
  <c r="X66" i="59" s="1"/>
  <c r="Y39" i="59"/>
  <c r="X39" i="59" s="1"/>
  <c r="Y65" i="59"/>
  <c r="X65" i="59" s="1"/>
  <c r="Y14" i="59"/>
  <c r="X14" i="59" s="1"/>
  <c r="Y30" i="59"/>
  <c r="X30" i="59" s="1"/>
  <c r="Y9" i="59"/>
  <c r="X9" i="59" s="1"/>
  <c r="Y41" i="59"/>
  <c r="X41" i="59" s="1"/>
  <c r="Y16" i="59"/>
  <c r="X16" i="59" s="1"/>
  <c r="Y58" i="59"/>
  <c r="X58" i="59" s="1"/>
  <c r="Y73" i="59"/>
  <c r="X73" i="59" s="1"/>
  <c r="Y12" i="59"/>
  <c r="X12" i="59" s="1"/>
  <c r="Y20" i="59"/>
  <c r="X20" i="59" s="1"/>
  <c r="Y28" i="59"/>
  <c r="X28" i="59" s="1"/>
  <c r="Y36" i="59"/>
  <c r="X36" i="59" s="1"/>
  <c r="Y42" i="59"/>
  <c r="X42" i="59" s="1"/>
  <c r="Y68" i="59"/>
  <c r="X68" i="59" s="1"/>
  <c r="Y84" i="59"/>
  <c r="X84" i="59" s="1"/>
  <c r="Y11" i="59"/>
  <c r="X11" i="59" s="1"/>
  <c r="Y19" i="59"/>
  <c r="X19" i="59" s="1"/>
  <c r="Y27" i="59"/>
  <c r="X27" i="59" s="1"/>
  <c r="Y35" i="59"/>
  <c r="X35" i="59" s="1"/>
  <c r="Y43" i="59"/>
  <c r="X43" i="59" s="1"/>
  <c r="Y51" i="59"/>
  <c r="X51" i="59" s="1"/>
  <c r="Y59" i="59"/>
  <c r="X59" i="59" s="1"/>
  <c r="Y10" i="59"/>
  <c r="X10" i="59" s="1"/>
  <c r="Y18" i="59"/>
  <c r="X18" i="59" s="1"/>
  <c r="Y26" i="59"/>
  <c r="X26" i="59" s="1"/>
  <c r="Y34" i="59"/>
  <c r="X34" i="59" s="1"/>
  <c r="Y83" i="59"/>
  <c r="X83" i="59" s="1"/>
  <c r="Y72" i="59"/>
  <c r="X72" i="59" s="1"/>
  <c r="Y45" i="59"/>
  <c r="X45" i="59" s="1"/>
  <c r="Y53" i="59"/>
  <c r="X53" i="59" s="1"/>
  <c r="Y61" i="59"/>
  <c r="X61" i="59" s="1"/>
  <c r="Y71" i="59"/>
  <c r="X71" i="59" s="1"/>
  <c r="Y79" i="59"/>
  <c r="X79" i="59" s="1"/>
  <c r="Y7" i="59"/>
  <c r="X7" i="59" s="1"/>
  <c r="BU3" i="16"/>
  <c r="V100" i="63"/>
  <c r="BU9" i="16"/>
  <c r="V95" i="62"/>
  <c r="BF4" i="16"/>
  <c r="BU7" i="16"/>
  <c r="V99" i="62"/>
  <c r="BF8" i="16"/>
  <c r="V96" i="62"/>
  <c r="BF5" i="16"/>
  <c r="Y42" i="63"/>
  <c r="X42" i="63" s="1"/>
  <c r="Y26" i="63"/>
  <c r="X26" i="63" s="1"/>
  <c r="V98" i="62"/>
  <c r="Y100" i="62" s="1"/>
  <c r="X100" i="62" s="1"/>
  <c r="BF7" i="16"/>
  <c r="Y33" i="62"/>
  <c r="X33" i="62" s="1"/>
  <c r="Y53" i="63"/>
  <c r="X53" i="63" s="1"/>
  <c r="BU2" i="16"/>
  <c r="BU5" i="16"/>
  <c r="V94" i="62"/>
  <c r="Y94" i="62" s="1"/>
  <c r="X94" i="62" s="1"/>
  <c r="BF3" i="16"/>
  <c r="BU8" i="16"/>
  <c r="Y21" i="62"/>
  <c r="X21" i="62" s="1"/>
  <c r="BU4" i="16"/>
  <c r="BU6" i="16"/>
  <c r="Y58" i="63"/>
  <c r="X58" i="63" s="1"/>
  <c r="Y60" i="63"/>
  <c r="X60" i="63" s="1"/>
  <c r="Y79" i="62"/>
  <c r="X79" i="62" s="1"/>
  <c r="Y43" i="62"/>
  <c r="X43" i="62" s="1"/>
  <c r="Y67" i="62"/>
  <c r="X67" i="62" s="1"/>
  <c r="Y67" i="63"/>
  <c r="X67" i="63" s="1"/>
  <c r="Y40" i="63"/>
  <c r="X40" i="63" s="1"/>
  <c r="Y24" i="63"/>
  <c r="X24" i="63" s="1"/>
  <c r="Y56" i="63"/>
  <c r="X56" i="63" s="1"/>
  <c r="Y39" i="63"/>
  <c r="X39" i="63" s="1"/>
  <c r="Y83" i="63"/>
  <c r="X83" i="63" s="1"/>
  <c r="Y55" i="63"/>
  <c r="X55" i="63" s="1"/>
  <c r="Y9" i="63"/>
  <c r="X9" i="63" s="1"/>
  <c r="Y97" i="62"/>
  <c r="X97" i="62" s="1"/>
  <c r="Y82" i="62"/>
  <c r="X82" i="62" s="1"/>
  <c r="Y31" i="62"/>
  <c r="X31" i="62" s="1"/>
  <c r="Y83" i="62"/>
  <c r="X83" i="62" s="1"/>
  <c r="Y24" i="62"/>
  <c r="X24" i="62" s="1"/>
  <c r="Y66" i="62"/>
  <c r="X66" i="62" s="1"/>
  <c r="Y23" i="62"/>
  <c r="X23" i="62" s="1"/>
  <c r="Y56" i="62"/>
  <c r="X56" i="62" s="1"/>
  <c r="Y85" i="62"/>
  <c r="X85" i="62" s="1"/>
  <c r="Y38" i="63"/>
  <c r="X38" i="63" s="1"/>
  <c r="Y22" i="63"/>
  <c r="X22" i="63" s="1"/>
  <c r="Y35" i="63"/>
  <c r="X35" i="63" s="1"/>
  <c r="Y51" i="63"/>
  <c r="X51" i="63" s="1"/>
  <c r="Y50" i="63"/>
  <c r="X50" i="63" s="1"/>
  <c r="Y17" i="63"/>
  <c r="X17" i="63" s="1"/>
  <c r="Y64" i="62"/>
  <c r="X64" i="62" s="1"/>
  <c r="Y58" i="62"/>
  <c r="X58" i="62" s="1"/>
  <c r="Y20" i="62"/>
  <c r="X20" i="62" s="1"/>
  <c r="Y39" i="62"/>
  <c r="X39" i="62" s="1"/>
  <c r="Y18" i="62"/>
  <c r="X18" i="62" s="1"/>
  <c r="Y59" i="62"/>
  <c r="X59" i="62" s="1"/>
  <c r="Y86" i="63"/>
  <c r="X86" i="63" s="1"/>
  <c r="Y45" i="63"/>
  <c r="X45" i="63" s="1"/>
  <c r="Y28" i="63"/>
  <c r="X28" i="63" s="1"/>
  <c r="Y48" i="63"/>
  <c r="X48" i="63" s="1"/>
  <c r="Y14" i="63"/>
  <c r="X14" i="63" s="1"/>
  <c r="Y65" i="63"/>
  <c r="X65" i="63" s="1"/>
  <c r="Y12" i="63"/>
  <c r="X12" i="63" s="1"/>
  <c r="Y70" i="63"/>
  <c r="X70" i="63" s="1"/>
  <c r="Y25" i="63"/>
  <c r="X25" i="63" s="1"/>
  <c r="Y62" i="62"/>
  <c r="X62" i="62" s="1"/>
  <c r="Y19" i="62"/>
  <c r="X19" i="62" s="1"/>
  <c r="Y36" i="62"/>
  <c r="X36" i="62" s="1"/>
  <c r="Y16" i="62"/>
  <c r="X16" i="62" s="1"/>
  <c r="Y63" i="62"/>
  <c r="X63" i="62" s="1"/>
  <c r="Y15" i="62"/>
  <c r="X15" i="62" s="1"/>
  <c r="Y61" i="63"/>
  <c r="X61" i="63" s="1"/>
  <c r="Y85" i="63"/>
  <c r="X85" i="63" s="1"/>
  <c r="Y49" i="62"/>
  <c r="X49" i="62" s="1"/>
  <c r="Y7" i="62"/>
  <c r="X7" i="62" s="1"/>
  <c r="Y32" i="63"/>
  <c r="X32" i="63" s="1"/>
  <c r="Y11" i="63"/>
  <c r="X11" i="63" s="1"/>
  <c r="Y72" i="63"/>
  <c r="X72" i="63" s="1"/>
  <c r="Y23" i="63"/>
  <c r="X23" i="63" s="1"/>
  <c r="Y73" i="63"/>
  <c r="X73" i="63" s="1"/>
  <c r="Y43" i="63"/>
  <c r="X43" i="63" s="1"/>
  <c r="Y33" i="63"/>
  <c r="X33" i="63" s="1"/>
  <c r="Y78" i="62"/>
  <c r="X78" i="62" s="1"/>
  <c r="Y8" i="62"/>
  <c r="X8" i="62" s="1"/>
  <c r="Y55" i="62"/>
  <c r="X55" i="62" s="1"/>
  <c r="Y74" i="62"/>
  <c r="X74" i="62" s="1"/>
  <c r="Y32" i="62"/>
  <c r="X32" i="62" s="1"/>
  <c r="Y40" i="62"/>
  <c r="X40" i="62" s="1"/>
  <c r="Y26" i="62"/>
  <c r="X26" i="62" s="1"/>
  <c r="Y30" i="63"/>
  <c r="X30" i="63" s="1"/>
  <c r="Y8" i="63"/>
  <c r="X8" i="63" s="1"/>
  <c r="Y76" i="63"/>
  <c r="X76" i="63" s="1"/>
  <c r="Y18" i="63"/>
  <c r="X18" i="63" s="1"/>
  <c r="Y69" i="63"/>
  <c r="X69" i="63" s="1"/>
  <c r="Y15" i="63"/>
  <c r="X15" i="63" s="1"/>
  <c r="Y66" i="63"/>
  <c r="X66" i="63" s="1"/>
  <c r="Y29" i="63"/>
  <c r="X29" i="63" s="1"/>
  <c r="Y72" i="62"/>
  <c r="X72" i="62" s="1"/>
  <c r="Y44" i="62"/>
  <c r="X44" i="62" s="1"/>
  <c r="Y75" i="62"/>
  <c r="X75" i="62" s="1"/>
  <c r="Y75" i="63"/>
  <c r="X75" i="63" s="1"/>
  <c r="Y36" i="63"/>
  <c r="X36" i="63" s="1"/>
  <c r="Y20" i="63"/>
  <c r="X20" i="63" s="1"/>
  <c r="Y64" i="63"/>
  <c r="X64" i="63" s="1"/>
  <c r="Y31" i="63"/>
  <c r="X31" i="63" s="1"/>
  <c r="Y47" i="63"/>
  <c r="X47" i="63" s="1"/>
  <c r="Y54" i="63"/>
  <c r="X54" i="63" s="1"/>
  <c r="Y41" i="63"/>
  <c r="X41" i="63" s="1"/>
  <c r="Y7" i="63"/>
  <c r="X7" i="63" s="1"/>
  <c r="Y86" i="62"/>
  <c r="X86" i="62" s="1"/>
  <c r="Y35" i="62"/>
  <c r="X35" i="62" s="1"/>
  <c r="Y51" i="62"/>
  <c r="X51" i="62" s="1"/>
  <c r="Y11" i="62"/>
  <c r="X11" i="62" s="1"/>
  <c r="Y70" i="62"/>
  <c r="X70" i="62" s="1"/>
  <c r="Y27" i="62"/>
  <c r="X27" i="62" s="1"/>
  <c r="Y48" i="62"/>
  <c r="X48" i="62" s="1"/>
  <c r="Y12" i="62"/>
  <c r="X12" i="62" s="1"/>
  <c r="D3" i="16"/>
  <c r="D4" i="16"/>
  <c r="D5" i="16"/>
  <c r="D9" i="16"/>
  <c r="D14" i="16"/>
  <c r="D16" i="16"/>
  <c r="D17" i="16"/>
  <c r="D29" i="16"/>
  <c r="D32" i="16"/>
  <c r="D36" i="16"/>
  <c r="D38" i="16"/>
  <c r="D39" i="16"/>
  <c r="D41" i="16"/>
  <c r="D44" i="16"/>
  <c r="D52" i="16"/>
  <c r="D54" i="16"/>
  <c r="D57" i="16"/>
  <c r="D67" i="16"/>
  <c r="D69" i="16"/>
  <c r="D70" i="16"/>
  <c r="D71" i="16"/>
  <c r="B3" i="16"/>
  <c r="B4" i="16"/>
  <c r="B5" i="16"/>
  <c r="B6" i="16"/>
  <c r="C6" i="16" s="1"/>
  <c r="B7" i="16"/>
  <c r="C7" i="16" s="1"/>
  <c r="B8" i="16"/>
  <c r="C8" i="16" s="1"/>
  <c r="B9" i="16"/>
  <c r="B10" i="16"/>
  <c r="C10" i="16" s="1"/>
  <c r="B11" i="16"/>
  <c r="C11" i="16" s="1"/>
  <c r="B12" i="16"/>
  <c r="C12" i="16" s="1"/>
  <c r="B13" i="16"/>
  <c r="C13" i="16" s="1"/>
  <c r="B14" i="16"/>
  <c r="B15" i="16"/>
  <c r="C15" i="16" s="1"/>
  <c r="B16" i="16"/>
  <c r="B17" i="16"/>
  <c r="B18" i="16"/>
  <c r="C18" i="16" s="1"/>
  <c r="B19" i="16"/>
  <c r="C19" i="16" s="1"/>
  <c r="B20" i="16"/>
  <c r="C20" i="16" s="1"/>
  <c r="B21" i="16"/>
  <c r="C21" i="16" s="1"/>
  <c r="B22" i="16"/>
  <c r="C22" i="16" s="1"/>
  <c r="B23" i="16"/>
  <c r="C23" i="16" s="1"/>
  <c r="B24" i="16"/>
  <c r="C24" i="16" s="1"/>
  <c r="B25" i="16"/>
  <c r="C25" i="16" s="1"/>
  <c r="B26" i="16"/>
  <c r="B27" i="16"/>
  <c r="C27" i="16" s="1"/>
  <c r="B28" i="16"/>
  <c r="C28" i="16" s="1"/>
  <c r="B29" i="16"/>
  <c r="B30" i="16"/>
  <c r="B31" i="16"/>
  <c r="C31" i="16" s="1"/>
  <c r="B32" i="16"/>
  <c r="B33" i="16"/>
  <c r="C33" i="16" s="1"/>
  <c r="B34" i="16"/>
  <c r="B35" i="16"/>
  <c r="C35" i="16" s="1"/>
  <c r="B36" i="16"/>
  <c r="B37" i="16"/>
  <c r="C37" i="16" s="1"/>
  <c r="B38" i="16"/>
  <c r="B39" i="16"/>
  <c r="B40" i="16"/>
  <c r="B41" i="16"/>
  <c r="B42" i="16"/>
  <c r="B43" i="16"/>
  <c r="B44" i="16"/>
  <c r="B45" i="16"/>
  <c r="C45" i="16" s="1"/>
  <c r="B46" i="16"/>
  <c r="B47" i="16"/>
  <c r="C47" i="16" s="1"/>
  <c r="B48" i="16"/>
  <c r="C48" i="16" s="1"/>
  <c r="B49" i="16"/>
  <c r="C49" i="16" s="1"/>
  <c r="B50" i="16"/>
  <c r="C50" i="16" s="1"/>
  <c r="B51" i="16"/>
  <c r="C51" i="16" s="1"/>
  <c r="B52" i="16"/>
  <c r="B53" i="16"/>
  <c r="C53" i="16" s="1"/>
  <c r="B54" i="16"/>
  <c r="B55" i="16"/>
  <c r="C55" i="16" s="1"/>
  <c r="B56" i="16"/>
  <c r="C56" i="16" s="1"/>
  <c r="B57" i="16"/>
  <c r="B58" i="16"/>
  <c r="C58" i="16" s="1"/>
  <c r="B59" i="16"/>
  <c r="C59" i="16" s="1"/>
  <c r="B60" i="16"/>
  <c r="C60" i="16" s="1"/>
  <c r="B61" i="16"/>
  <c r="C61" i="16" s="1"/>
  <c r="B62" i="16"/>
  <c r="C62" i="16" s="1"/>
  <c r="B63" i="16"/>
  <c r="C63" i="16" s="1"/>
  <c r="B64" i="16"/>
  <c r="C64" i="16" s="1"/>
  <c r="B65" i="16"/>
  <c r="C65" i="16" s="1"/>
  <c r="B66" i="16"/>
  <c r="B67" i="16"/>
  <c r="B68" i="16"/>
  <c r="B69" i="16"/>
  <c r="B70" i="16"/>
  <c r="B71" i="16"/>
  <c r="AG120" i="16" l="1"/>
  <c r="AG118" i="16"/>
  <c r="AG116" i="16"/>
  <c r="AG117" i="16"/>
  <c r="AG119" i="16"/>
  <c r="AG102" i="16"/>
  <c r="AG75" i="16"/>
  <c r="AG115" i="16"/>
  <c r="AG73" i="16"/>
  <c r="AG104" i="16"/>
  <c r="AG113" i="16"/>
  <c r="AG106" i="16"/>
  <c r="AG107" i="16"/>
  <c r="AG108" i="16"/>
  <c r="AG103" i="16"/>
  <c r="AG114" i="16"/>
  <c r="AG76" i="16"/>
  <c r="AG101" i="16"/>
  <c r="AG105" i="16"/>
  <c r="AG112" i="16"/>
  <c r="AG109" i="16"/>
  <c r="AG95" i="16"/>
  <c r="AG93" i="16"/>
  <c r="AG98" i="16"/>
  <c r="AG77" i="16"/>
  <c r="AG100" i="16"/>
  <c r="AG91" i="16"/>
  <c r="AG89" i="16"/>
  <c r="AG110" i="16"/>
  <c r="AG83" i="16"/>
  <c r="AG85" i="16"/>
  <c r="AG72" i="16"/>
  <c r="AG81" i="16"/>
  <c r="AG87" i="16"/>
  <c r="AG79" i="16"/>
  <c r="AG78" i="16"/>
  <c r="AG92" i="16"/>
  <c r="AG97" i="16"/>
  <c r="AG96" i="16"/>
  <c r="AG90" i="16"/>
  <c r="AG94" i="16"/>
  <c r="AG99" i="16"/>
  <c r="AG82" i="16"/>
  <c r="AG86" i="16"/>
  <c r="AG111" i="16"/>
  <c r="AG74" i="16"/>
  <c r="AG80" i="16"/>
  <c r="AG88" i="16"/>
  <c r="AG84" i="16"/>
  <c r="AM120" i="16"/>
  <c r="AM117" i="16"/>
  <c r="AM118" i="16"/>
  <c r="AM119" i="16"/>
  <c r="AM116" i="16"/>
  <c r="AM104" i="16"/>
  <c r="AM115" i="16"/>
  <c r="AM75" i="16"/>
  <c r="AM101" i="16"/>
  <c r="AM105" i="16"/>
  <c r="AM108" i="16"/>
  <c r="AM102" i="16"/>
  <c r="AM73" i="16"/>
  <c r="AM109" i="16"/>
  <c r="AM106" i="16"/>
  <c r="AM113" i="16"/>
  <c r="AM112" i="16"/>
  <c r="AM103" i="16"/>
  <c r="AM107" i="16"/>
  <c r="AM76" i="16"/>
  <c r="AM114" i="16"/>
  <c r="AM88" i="16"/>
  <c r="AM86" i="16"/>
  <c r="AM84" i="16"/>
  <c r="AM87" i="16"/>
  <c r="AM85" i="16"/>
  <c r="AM80" i="16"/>
  <c r="AM79" i="16"/>
  <c r="AM96" i="16"/>
  <c r="AM94" i="16"/>
  <c r="AM97" i="16"/>
  <c r="AM78" i="16"/>
  <c r="AM98" i="16"/>
  <c r="AM100" i="16"/>
  <c r="AM90" i="16"/>
  <c r="AM91" i="16"/>
  <c r="AM95" i="16"/>
  <c r="AM92" i="16"/>
  <c r="AM77" i="16"/>
  <c r="AM99" i="16"/>
  <c r="AM89" i="16"/>
  <c r="AM93" i="16"/>
  <c r="AM74" i="16"/>
  <c r="AM111" i="16"/>
  <c r="AM83" i="16"/>
  <c r="AM110" i="16"/>
  <c r="AM81" i="16"/>
  <c r="AM72" i="16"/>
  <c r="AM82" i="16"/>
  <c r="AI120" i="16"/>
  <c r="AI118" i="16"/>
  <c r="AI116" i="16"/>
  <c r="AI117" i="16"/>
  <c r="AI119" i="16"/>
  <c r="AI115" i="16"/>
  <c r="AI73" i="16"/>
  <c r="AI75" i="16"/>
  <c r="AI76" i="16"/>
  <c r="AI106" i="16"/>
  <c r="AI102" i="16"/>
  <c r="AI107" i="16"/>
  <c r="AI109" i="16"/>
  <c r="AI108" i="16"/>
  <c r="AI101" i="16"/>
  <c r="AI114" i="16"/>
  <c r="AI113" i="16"/>
  <c r="AI104" i="16"/>
  <c r="AI105" i="16"/>
  <c r="AI103" i="16"/>
  <c r="AI112" i="16"/>
  <c r="AI95" i="16"/>
  <c r="AI93" i="16"/>
  <c r="AI98" i="16"/>
  <c r="AI97" i="16"/>
  <c r="AI77" i="16"/>
  <c r="AI100" i="16"/>
  <c r="AI91" i="16"/>
  <c r="AI89" i="16"/>
  <c r="AI110" i="16"/>
  <c r="AI83" i="16"/>
  <c r="AI86" i="16"/>
  <c r="AI74" i="16"/>
  <c r="AI85" i="16"/>
  <c r="AI84" i="16"/>
  <c r="AI72" i="16"/>
  <c r="AI81" i="16"/>
  <c r="AI87" i="16"/>
  <c r="AI79" i="16"/>
  <c r="AI92" i="16"/>
  <c r="AI96" i="16"/>
  <c r="AI90" i="16"/>
  <c r="AI94" i="16"/>
  <c r="AI99" i="16"/>
  <c r="AI82" i="16"/>
  <c r="AI111" i="16"/>
  <c r="AI80" i="16"/>
  <c r="AI88" i="16"/>
  <c r="AI78" i="16"/>
  <c r="AL116" i="16"/>
  <c r="AL120" i="16"/>
  <c r="AL119" i="16"/>
  <c r="AL117" i="16"/>
  <c r="AL118" i="16"/>
  <c r="AL106" i="16"/>
  <c r="AL75" i="16"/>
  <c r="AL103" i="16"/>
  <c r="AL104" i="16"/>
  <c r="AL107" i="16"/>
  <c r="AL108" i="16"/>
  <c r="AL105" i="16"/>
  <c r="AL109" i="16"/>
  <c r="AL113" i="16"/>
  <c r="AL102" i="16"/>
  <c r="AL112" i="16"/>
  <c r="AL114" i="16"/>
  <c r="AL101" i="16"/>
  <c r="AL76" i="16"/>
  <c r="AL115" i="16"/>
  <c r="AL73" i="16"/>
  <c r="AL84" i="16"/>
  <c r="AL88" i="16"/>
  <c r="AL72" i="16"/>
  <c r="AL86" i="16"/>
  <c r="AL110" i="16"/>
  <c r="AL87" i="16"/>
  <c r="AL78" i="16"/>
  <c r="AL90" i="16"/>
  <c r="AL100" i="16"/>
  <c r="AL95" i="16"/>
  <c r="AL82" i="16"/>
  <c r="AL79" i="16"/>
  <c r="AL94" i="16"/>
  <c r="AL89" i="16"/>
  <c r="AL97" i="16"/>
  <c r="AL83" i="16"/>
  <c r="AL85" i="16"/>
  <c r="AL77" i="16"/>
  <c r="AL98" i="16"/>
  <c r="AL92" i="16"/>
  <c r="AL91" i="16"/>
  <c r="AL81" i="16"/>
  <c r="AL80" i="16"/>
  <c r="AL74" i="16"/>
  <c r="AL111" i="16"/>
  <c r="AL99" i="16"/>
  <c r="AL96" i="16"/>
  <c r="AL93" i="16"/>
  <c r="AJ116" i="16"/>
  <c r="AJ120" i="16"/>
  <c r="AJ117" i="16"/>
  <c r="AJ119" i="16"/>
  <c r="AJ118" i="16"/>
  <c r="AJ102" i="16"/>
  <c r="AJ75" i="16"/>
  <c r="AJ101" i="16"/>
  <c r="AJ113" i="16"/>
  <c r="AJ105" i="16"/>
  <c r="AJ108" i="16"/>
  <c r="AJ107" i="16"/>
  <c r="AJ103" i="16"/>
  <c r="AJ112" i="16"/>
  <c r="AJ114" i="16"/>
  <c r="AJ73" i="16"/>
  <c r="AJ104" i="16"/>
  <c r="AJ106" i="16"/>
  <c r="AJ109" i="16"/>
  <c r="AJ76" i="16"/>
  <c r="AJ115" i="16"/>
  <c r="AJ84" i="16"/>
  <c r="AJ88" i="16"/>
  <c r="AJ72" i="16"/>
  <c r="AJ86" i="16"/>
  <c r="AJ110" i="16"/>
  <c r="AJ81" i="16"/>
  <c r="AJ85" i="16"/>
  <c r="AJ111" i="16"/>
  <c r="AJ91" i="16"/>
  <c r="AJ93" i="16"/>
  <c r="AJ99" i="16"/>
  <c r="AJ82" i="16"/>
  <c r="AJ80" i="16"/>
  <c r="AJ74" i="16"/>
  <c r="AJ77" i="16"/>
  <c r="AJ89" i="16"/>
  <c r="AJ90" i="16"/>
  <c r="AJ97" i="16"/>
  <c r="AJ87" i="16"/>
  <c r="AJ78" i="16"/>
  <c r="AJ96" i="16"/>
  <c r="AJ95" i="16"/>
  <c r="AJ94" i="16"/>
  <c r="AJ83" i="16"/>
  <c r="AJ79" i="16"/>
  <c r="AJ92" i="16"/>
  <c r="AJ98" i="16"/>
  <c r="AJ100" i="16"/>
  <c r="AH120" i="16"/>
  <c r="AH117" i="16"/>
  <c r="AH119" i="16"/>
  <c r="AH118" i="16"/>
  <c r="AH116" i="16"/>
  <c r="AH75" i="16"/>
  <c r="AH115" i="16"/>
  <c r="AH73" i="16"/>
  <c r="AH102" i="16"/>
  <c r="AH107" i="16"/>
  <c r="AH104" i="16"/>
  <c r="AH106" i="16"/>
  <c r="AH101" i="16"/>
  <c r="AH105" i="16"/>
  <c r="AH103" i="16"/>
  <c r="AH112" i="16"/>
  <c r="AH113" i="16"/>
  <c r="AH76" i="16"/>
  <c r="AH108" i="16"/>
  <c r="AH114" i="16"/>
  <c r="AH109" i="16"/>
  <c r="AH92" i="16"/>
  <c r="AH96" i="16"/>
  <c r="AH90" i="16"/>
  <c r="AH94" i="16"/>
  <c r="AH99" i="16"/>
  <c r="AH82" i="16"/>
  <c r="AH111" i="16"/>
  <c r="AH80" i="16"/>
  <c r="AH88" i="16"/>
  <c r="AH78" i="16"/>
  <c r="AH95" i="16"/>
  <c r="AH93" i="16"/>
  <c r="AH98" i="16"/>
  <c r="AH97" i="16"/>
  <c r="AH77" i="16"/>
  <c r="AH100" i="16"/>
  <c r="AH91" i="16"/>
  <c r="AH89" i="16"/>
  <c r="AH110" i="16"/>
  <c r="AH83" i="16"/>
  <c r="AH86" i="16"/>
  <c r="AH74" i="16"/>
  <c r="AH85" i="16"/>
  <c r="AH84" i="16"/>
  <c r="AH72" i="16"/>
  <c r="AH81" i="16"/>
  <c r="AH87" i="16"/>
  <c r="AH79" i="16"/>
  <c r="AF120" i="16"/>
  <c r="AF117" i="16"/>
  <c r="AF119" i="16"/>
  <c r="AF118" i="16"/>
  <c r="AF116" i="16"/>
  <c r="AF115" i="16"/>
  <c r="AF73" i="16"/>
  <c r="AF106" i="16"/>
  <c r="AF113" i="16"/>
  <c r="AF105" i="16"/>
  <c r="AF112" i="16"/>
  <c r="AF75" i="16"/>
  <c r="AF109" i="16"/>
  <c r="E109" i="16" s="1"/>
  <c r="AF102" i="16"/>
  <c r="AF76" i="16"/>
  <c r="AF107" i="16"/>
  <c r="AF104" i="16"/>
  <c r="AF108" i="16"/>
  <c r="AF101" i="16"/>
  <c r="AF103" i="16"/>
  <c r="AF114" i="16"/>
  <c r="AF92" i="16"/>
  <c r="AF97" i="16"/>
  <c r="AF96" i="16"/>
  <c r="AF90" i="16"/>
  <c r="AF94" i="16"/>
  <c r="AF99" i="16"/>
  <c r="AF82" i="16"/>
  <c r="AF86" i="16"/>
  <c r="AF111" i="16"/>
  <c r="AF74" i="16"/>
  <c r="AF80" i="16"/>
  <c r="AF88" i="16"/>
  <c r="AF84" i="16"/>
  <c r="AF78" i="16"/>
  <c r="AF87" i="16"/>
  <c r="AF79" i="16"/>
  <c r="AF95" i="16"/>
  <c r="AF93" i="16"/>
  <c r="AF98" i="16"/>
  <c r="AF77" i="16"/>
  <c r="AF100" i="16"/>
  <c r="AF91" i="16"/>
  <c r="AF89" i="16"/>
  <c r="AF110" i="16"/>
  <c r="AF83" i="16"/>
  <c r="AF85" i="16"/>
  <c r="AF72" i="16"/>
  <c r="AF81" i="16"/>
  <c r="Y96" i="62"/>
  <c r="X96" i="62" s="1"/>
  <c r="Y99" i="62"/>
  <c r="X99" i="62" s="1"/>
  <c r="C71" i="16"/>
  <c r="Z71" i="16" s="1"/>
  <c r="AA71" i="16" s="1"/>
  <c r="C69" i="16"/>
  <c r="Z69" i="16" s="1"/>
  <c r="C67" i="16"/>
  <c r="Z67" i="16" s="1"/>
  <c r="AE67" i="16" s="1"/>
  <c r="C57" i="16"/>
  <c r="Z57" i="16" s="1"/>
  <c r="AC57" i="16" s="1"/>
  <c r="C43" i="16"/>
  <c r="Z43" i="16" s="1"/>
  <c r="AC43" i="16" s="1"/>
  <c r="C41" i="16"/>
  <c r="Z41" i="16" s="1"/>
  <c r="AE41" i="16" s="1"/>
  <c r="C39" i="16"/>
  <c r="Z39" i="16" s="1"/>
  <c r="AE39" i="16" s="1"/>
  <c r="C29" i="16"/>
  <c r="Z29" i="16" s="1"/>
  <c r="AA29" i="16" s="1"/>
  <c r="C17" i="16"/>
  <c r="Z17" i="16" s="1"/>
  <c r="AB17" i="16" s="1"/>
  <c r="C9" i="16"/>
  <c r="Z9" i="16" s="1"/>
  <c r="AC9" i="16" s="1"/>
  <c r="C70" i="16"/>
  <c r="Z70" i="16" s="1"/>
  <c r="AC70" i="16" s="1"/>
  <c r="C68" i="16"/>
  <c r="Z68" i="16" s="1"/>
  <c r="AE68" i="16" s="1"/>
  <c r="C66" i="16"/>
  <c r="Z66" i="16" s="1"/>
  <c r="AE66" i="16" s="1"/>
  <c r="C54" i="16"/>
  <c r="Z54" i="16" s="1"/>
  <c r="AB54" i="16" s="1"/>
  <c r="C52" i="16"/>
  <c r="Z52" i="16" s="1"/>
  <c r="AD52" i="16" s="1"/>
  <c r="C46" i="16"/>
  <c r="Z46" i="16" s="1"/>
  <c r="AC46" i="16" s="1"/>
  <c r="C44" i="16"/>
  <c r="Z44" i="16" s="1"/>
  <c r="AA44" i="16" s="1"/>
  <c r="C42" i="16"/>
  <c r="Z42" i="16" s="1"/>
  <c r="AB42" i="16" s="1"/>
  <c r="C40" i="16"/>
  <c r="Z40" i="16" s="1"/>
  <c r="AE40" i="16" s="1"/>
  <c r="C38" i="16"/>
  <c r="Z38" i="16" s="1"/>
  <c r="AD38" i="16" s="1"/>
  <c r="C36" i="16"/>
  <c r="Z36" i="16" s="1"/>
  <c r="AD36" i="16" s="1"/>
  <c r="C34" i="16"/>
  <c r="Z34" i="16" s="1"/>
  <c r="AA34" i="16" s="1"/>
  <c r="C32" i="16"/>
  <c r="Z32" i="16" s="1"/>
  <c r="AB32" i="16" s="1"/>
  <c r="C30" i="16"/>
  <c r="Z30" i="16" s="1"/>
  <c r="AD30" i="16" s="1"/>
  <c r="C26" i="16"/>
  <c r="Z26" i="16" s="1"/>
  <c r="AD26" i="16" s="1"/>
  <c r="C16" i="16"/>
  <c r="Z16" i="16" s="1"/>
  <c r="AA16" i="16" s="1"/>
  <c r="C14" i="16"/>
  <c r="Z14" i="16" s="1"/>
  <c r="AA14" i="16" s="1"/>
  <c r="C4" i="16"/>
  <c r="Z4" i="16" s="1"/>
  <c r="AC4" i="16" s="1"/>
  <c r="C5" i="16"/>
  <c r="Z5" i="16" s="1"/>
  <c r="C3" i="16"/>
  <c r="Z3" i="16" s="1"/>
  <c r="AB3" i="16" s="1"/>
  <c r="Y98" i="62"/>
  <c r="X98" i="62" s="1"/>
  <c r="Y95" i="62"/>
  <c r="X95" i="62" s="1"/>
  <c r="Y100" i="63"/>
  <c r="X100" i="63" s="1"/>
  <c r="AE54" i="16"/>
  <c r="D109" i="44" l="1"/>
  <c r="AE57" i="16"/>
  <c r="CC57" i="16" s="1"/>
  <c r="AD57" i="16"/>
  <c r="CB57" i="16" s="1"/>
  <c r="AD42" i="16"/>
  <c r="CB42" i="16" s="1"/>
  <c r="G81" i="16"/>
  <c r="E81" i="16"/>
  <c r="G110" i="16"/>
  <c r="E110" i="16"/>
  <c r="G77" i="16"/>
  <c r="E77" i="16"/>
  <c r="E72" i="16"/>
  <c r="F72" i="16" s="1"/>
  <c r="G72" i="16"/>
  <c r="E83" i="16"/>
  <c r="F83" i="16" s="1"/>
  <c r="G83" i="16"/>
  <c r="G89" i="16"/>
  <c r="E89" i="16"/>
  <c r="E100" i="16"/>
  <c r="G100" i="16"/>
  <c r="E98" i="16"/>
  <c r="G98" i="16"/>
  <c r="E95" i="16"/>
  <c r="G95" i="16"/>
  <c r="E87" i="16"/>
  <c r="F87" i="16" s="1"/>
  <c r="G87" i="16"/>
  <c r="G84" i="16"/>
  <c r="E84" i="16"/>
  <c r="G80" i="16"/>
  <c r="E80" i="16"/>
  <c r="G111" i="16"/>
  <c r="E111" i="16"/>
  <c r="G82" i="16"/>
  <c r="E82" i="16"/>
  <c r="E94" i="16"/>
  <c r="G94" i="16"/>
  <c r="G96" i="16"/>
  <c r="E96" i="16"/>
  <c r="G92" i="16"/>
  <c r="E92" i="16"/>
  <c r="G103" i="16"/>
  <c r="E103" i="16"/>
  <c r="G108" i="16"/>
  <c r="E108" i="16"/>
  <c r="F108" i="16" s="1"/>
  <c r="E107" i="16"/>
  <c r="G107" i="16"/>
  <c r="E102" i="16"/>
  <c r="G102" i="16"/>
  <c r="E75" i="16"/>
  <c r="G75" i="16"/>
  <c r="G105" i="16"/>
  <c r="E105" i="16"/>
  <c r="G106" i="16"/>
  <c r="E106" i="16"/>
  <c r="G115" i="16"/>
  <c r="E115" i="16"/>
  <c r="F115" i="16" s="1"/>
  <c r="H88" i="16"/>
  <c r="CU88" i="16" s="1"/>
  <c r="H74" i="16"/>
  <c r="CU74" i="16" s="1"/>
  <c r="H86" i="16"/>
  <c r="CU86" i="16" s="1"/>
  <c r="H99" i="16"/>
  <c r="CU99" i="16" s="1"/>
  <c r="H90" i="16"/>
  <c r="CU90" i="16" s="1"/>
  <c r="H97" i="16"/>
  <c r="CU97" i="16" s="1"/>
  <c r="H78" i="16"/>
  <c r="CU78" i="16" s="1"/>
  <c r="H87" i="16"/>
  <c r="CU87" i="16" s="1"/>
  <c r="H72" i="16"/>
  <c r="CU72" i="16" s="1"/>
  <c r="H83" i="16"/>
  <c r="H89" i="16"/>
  <c r="CU89" i="16" s="1"/>
  <c r="H100" i="16"/>
  <c r="CU100" i="16" s="1"/>
  <c r="H98" i="16"/>
  <c r="CU98" i="16" s="1"/>
  <c r="H95" i="16"/>
  <c r="CU95" i="16" s="1"/>
  <c r="H112" i="16"/>
  <c r="CU112" i="16" s="1"/>
  <c r="H101" i="16"/>
  <c r="CU101" i="16" s="1"/>
  <c r="H114" i="16"/>
  <c r="CU114" i="16" s="1"/>
  <c r="H108" i="16"/>
  <c r="CU108" i="16" s="1"/>
  <c r="H106" i="16"/>
  <c r="CU106" i="16" s="1"/>
  <c r="H104" i="16"/>
  <c r="CU104" i="16" s="1"/>
  <c r="H115" i="16"/>
  <c r="CU115" i="16" s="1"/>
  <c r="H102" i="16"/>
  <c r="CU102" i="16" s="1"/>
  <c r="E85" i="16"/>
  <c r="G85" i="16"/>
  <c r="E91" i="16"/>
  <c r="G91" i="16"/>
  <c r="E93" i="16"/>
  <c r="G93" i="16"/>
  <c r="E79" i="16"/>
  <c r="G79" i="16"/>
  <c r="G78" i="16"/>
  <c r="E78" i="16"/>
  <c r="E88" i="16"/>
  <c r="G88" i="16"/>
  <c r="E74" i="16"/>
  <c r="G74" i="16"/>
  <c r="G86" i="16"/>
  <c r="E86" i="16"/>
  <c r="E99" i="16"/>
  <c r="G99" i="16"/>
  <c r="G90" i="16"/>
  <c r="E90" i="16"/>
  <c r="G97" i="16"/>
  <c r="E97" i="16"/>
  <c r="G114" i="16"/>
  <c r="CT114" i="16" s="1"/>
  <c r="E114" i="16"/>
  <c r="E101" i="16"/>
  <c r="G101" i="16"/>
  <c r="CT101" i="16" s="1"/>
  <c r="E104" i="16"/>
  <c r="G104" i="16"/>
  <c r="E76" i="16"/>
  <c r="G76" i="16"/>
  <c r="E112" i="16"/>
  <c r="CR112" i="16" s="1"/>
  <c r="G112" i="16"/>
  <c r="G113" i="16"/>
  <c r="E113" i="16"/>
  <c r="E73" i="16"/>
  <c r="G73" i="16"/>
  <c r="H76" i="16"/>
  <c r="CU76" i="16" s="1"/>
  <c r="H84" i="16"/>
  <c r="CU84" i="16" s="1"/>
  <c r="H80" i="16"/>
  <c r="CU80" i="16" s="1"/>
  <c r="H111" i="16"/>
  <c r="H82" i="16"/>
  <c r="H94" i="16"/>
  <c r="CU94" i="16" s="1"/>
  <c r="H96" i="16"/>
  <c r="CU96" i="16" s="1"/>
  <c r="H92" i="16"/>
  <c r="CU92" i="16" s="1"/>
  <c r="H79" i="16"/>
  <c r="CU79" i="16" s="1"/>
  <c r="H81" i="16"/>
  <c r="H85" i="16"/>
  <c r="CU85" i="16" s="1"/>
  <c r="H110" i="16"/>
  <c r="CU110" i="16" s="1"/>
  <c r="H91" i="16"/>
  <c r="CU91" i="16" s="1"/>
  <c r="H77" i="16"/>
  <c r="CU77" i="16" s="1"/>
  <c r="H93" i="16"/>
  <c r="CU93" i="16" s="1"/>
  <c r="G109" i="16"/>
  <c r="F109" i="16"/>
  <c r="H109" i="16"/>
  <c r="CU109" i="16" s="1"/>
  <c r="H105" i="16"/>
  <c r="CU105" i="16" s="1"/>
  <c r="H103" i="16"/>
  <c r="CU103" i="16" s="1"/>
  <c r="H107" i="16"/>
  <c r="CU107" i="16" s="1"/>
  <c r="H113" i="16"/>
  <c r="CU113" i="16" s="1"/>
  <c r="H73" i="16"/>
  <c r="CU73" i="16" s="1"/>
  <c r="H75" i="16"/>
  <c r="CU75" i="16" s="1"/>
  <c r="AE42" i="16"/>
  <c r="BN42" i="16" s="1"/>
  <c r="AD71" i="16"/>
  <c r="CB71" i="16" s="1"/>
  <c r="AD17" i="16"/>
  <c r="BM17" i="16" s="1"/>
  <c r="AB36" i="16"/>
  <c r="BZ36" i="16" s="1"/>
  <c r="AC26" i="16"/>
  <c r="BL26" i="16" s="1"/>
  <c r="AA17" i="16"/>
  <c r="BG17" i="16" s="1"/>
  <c r="BO17" i="16" s="1"/>
  <c r="AA52" i="16"/>
  <c r="BX52" i="16" s="1"/>
  <c r="AC52" i="16"/>
  <c r="CA52" i="16" s="1"/>
  <c r="AB67" i="16"/>
  <c r="BK67" i="16" s="1"/>
  <c r="AE36" i="16"/>
  <c r="CC36" i="16" s="1"/>
  <c r="AA70" i="16"/>
  <c r="BV70" i="16" s="1"/>
  <c r="CD70" i="16" s="1"/>
  <c r="AB70" i="16"/>
  <c r="BZ70" i="16" s="1"/>
  <c r="AD4" i="16"/>
  <c r="CB4" i="16" s="1"/>
  <c r="AE4" i="16"/>
  <c r="CC4" i="16" s="1"/>
  <c r="AB9" i="16"/>
  <c r="AD29" i="16"/>
  <c r="CB29" i="16" s="1"/>
  <c r="AE3" i="16"/>
  <c r="CC3" i="16" s="1"/>
  <c r="AD3" i="16"/>
  <c r="BM3" i="16" s="1"/>
  <c r="AC3" i="16"/>
  <c r="CA3" i="16" s="1"/>
  <c r="AA3" i="16"/>
  <c r="BV3" i="16" s="1"/>
  <c r="CD3" i="16" s="1"/>
  <c r="AA4" i="16"/>
  <c r="BH4" i="16" s="1"/>
  <c r="AB4" i="16"/>
  <c r="BZ4" i="16" s="1"/>
  <c r="AD16" i="16"/>
  <c r="CB16" i="16" s="1"/>
  <c r="AC16" i="16"/>
  <c r="CA16" i="16" s="1"/>
  <c r="AB16" i="16"/>
  <c r="AJ16" i="16" s="1"/>
  <c r="AE16" i="16"/>
  <c r="AM16" i="16" s="1"/>
  <c r="AA30" i="16"/>
  <c r="BH30" i="16" s="1"/>
  <c r="AE30" i="16"/>
  <c r="AM30" i="16" s="1"/>
  <c r="AC30" i="16"/>
  <c r="AB30" i="16"/>
  <c r="BZ30" i="16" s="1"/>
  <c r="AD34" i="16"/>
  <c r="CB34" i="16" s="1"/>
  <c r="AC34" i="16"/>
  <c r="CA34" i="16" s="1"/>
  <c r="AB34" i="16"/>
  <c r="BZ34" i="16" s="1"/>
  <c r="AE34" i="16"/>
  <c r="AM34" i="16" s="1"/>
  <c r="AA38" i="16"/>
  <c r="BV38" i="16" s="1"/>
  <c r="CD38" i="16" s="1"/>
  <c r="AC38" i="16"/>
  <c r="AK38" i="16" s="1"/>
  <c r="AB38" i="16"/>
  <c r="AU38" i="16" s="1"/>
  <c r="AE38" i="16"/>
  <c r="CC38" i="16" s="1"/>
  <c r="AC42" i="16"/>
  <c r="CA42" i="16" s="1"/>
  <c r="AA42" i="16"/>
  <c r="BH42" i="16" s="1"/>
  <c r="AD46" i="16"/>
  <c r="CB46" i="16" s="1"/>
  <c r="AE46" i="16"/>
  <c r="CC46" i="16" s="1"/>
  <c r="AB46" i="16"/>
  <c r="AU46" i="16" s="1"/>
  <c r="AA46" i="16"/>
  <c r="BV46" i="16" s="1"/>
  <c r="CD46" i="16" s="1"/>
  <c r="AA54" i="16"/>
  <c r="BG54" i="16" s="1"/>
  <c r="BO54" i="16" s="1"/>
  <c r="AD54" i="16"/>
  <c r="BM54" i="16" s="1"/>
  <c r="AC54" i="16"/>
  <c r="CA54" i="16" s="1"/>
  <c r="AC68" i="16"/>
  <c r="BL68" i="16" s="1"/>
  <c r="AB68" i="16"/>
  <c r="AU68" i="16" s="1"/>
  <c r="AA68" i="16"/>
  <c r="BY68" i="16" s="1"/>
  <c r="AD68" i="16"/>
  <c r="AW68" i="16" s="1"/>
  <c r="AC17" i="16"/>
  <c r="CA17" i="16" s="1"/>
  <c r="AE17" i="16"/>
  <c r="CC17" i="16" s="1"/>
  <c r="AA39" i="16"/>
  <c r="BG39" i="16" s="1"/>
  <c r="BO39" i="16" s="1"/>
  <c r="AC39" i="16"/>
  <c r="CA39" i="16" s="1"/>
  <c r="AD39" i="16"/>
  <c r="CB39" i="16" s="1"/>
  <c r="AB39" i="16"/>
  <c r="BZ39" i="16" s="1"/>
  <c r="AA43" i="16"/>
  <c r="BV43" i="16" s="1"/>
  <c r="CD43" i="16" s="1"/>
  <c r="AB43" i="16"/>
  <c r="BZ43" i="16" s="1"/>
  <c r="AE43" i="16"/>
  <c r="BN43" i="16" s="1"/>
  <c r="AD43" i="16"/>
  <c r="CB43" i="16" s="1"/>
  <c r="AC67" i="16"/>
  <c r="CA67" i="16" s="1"/>
  <c r="AA67" i="16"/>
  <c r="BW67" i="16" s="1"/>
  <c r="AD67" i="16"/>
  <c r="CB67" i="16" s="1"/>
  <c r="AB71" i="16"/>
  <c r="BZ71" i="16" s="1"/>
  <c r="AE71" i="16"/>
  <c r="CC71" i="16" s="1"/>
  <c r="AC71" i="16"/>
  <c r="CA71" i="16" s="1"/>
  <c r="AA5" i="16"/>
  <c r="BV5" i="16" s="1"/>
  <c r="CD5" i="16" s="1"/>
  <c r="AC5" i="16"/>
  <c r="AB5" i="16"/>
  <c r="BZ5" i="16" s="1"/>
  <c r="AE5" i="16"/>
  <c r="CC5" i="16" s="1"/>
  <c r="AD5" i="16"/>
  <c r="BM5" i="16" s="1"/>
  <c r="AE14" i="16"/>
  <c r="AX14" i="16" s="1"/>
  <c r="AD14" i="16"/>
  <c r="AW14" i="16" s="1"/>
  <c r="AC14" i="16"/>
  <c r="CA14" i="16" s="1"/>
  <c r="AB14" i="16"/>
  <c r="BK14" i="16" s="1"/>
  <c r="AA26" i="16"/>
  <c r="BH26" i="16" s="1"/>
  <c r="AE26" i="16"/>
  <c r="AM26" i="16" s="1"/>
  <c r="AB26" i="16"/>
  <c r="BZ26" i="16" s="1"/>
  <c r="AC32" i="16"/>
  <c r="CA32" i="16" s="1"/>
  <c r="AD32" i="16"/>
  <c r="CB32" i="16" s="1"/>
  <c r="AA32" i="16"/>
  <c r="BX32" i="16" s="1"/>
  <c r="AE32" i="16"/>
  <c r="CC32" i="16" s="1"/>
  <c r="AA36" i="16"/>
  <c r="BI36" i="16" s="1"/>
  <c r="AC36" i="16"/>
  <c r="CA36" i="16" s="1"/>
  <c r="AC40" i="16"/>
  <c r="CA40" i="16" s="1"/>
  <c r="AD40" i="16"/>
  <c r="CB40" i="16" s="1"/>
  <c r="AA40" i="16"/>
  <c r="BI40" i="16" s="1"/>
  <c r="AB40" i="16"/>
  <c r="BZ40" i="16" s="1"/>
  <c r="AB44" i="16"/>
  <c r="AJ44" i="16" s="1"/>
  <c r="AD44" i="16"/>
  <c r="AW44" i="16" s="1"/>
  <c r="AE44" i="16"/>
  <c r="AM44" i="16" s="1"/>
  <c r="AC44" i="16"/>
  <c r="CA44" i="16" s="1"/>
  <c r="AB52" i="16"/>
  <c r="AJ52" i="16" s="1"/>
  <c r="AE52" i="16"/>
  <c r="AX52" i="16" s="1"/>
  <c r="AC66" i="16"/>
  <c r="CA66" i="16" s="1"/>
  <c r="AB66" i="16"/>
  <c r="AU66" i="16" s="1"/>
  <c r="AA66" i="16"/>
  <c r="BV66" i="16" s="1"/>
  <c r="CD66" i="16" s="1"/>
  <c r="AD66" i="16"/>
  <c r="CB66" i="16" s="1"/>
  <c r="AD70" i="16"/>
  <c r="AL70" i="16" s="1"/>
  <c r="AE70" i="16"/>
  <c r="AX70" i="16" s="1"/>
  <c r="AA9" i="16"/>
  <c r="BV9" i="16" s="1"/>
  <c r="CD9" i="16" s="1"/>
  <c r="AD9" i="16"/>
  <c r="CB9" i="16" s="1"/>
  <c r="AE9" i="16"/>
  <c r="CC9" i="16" s="1"/>
  <c r="AE29" i="16"/>
  <c r="CC29" i="16" s="1"/>
  <c r="AB29" i="16"/>
  <c r="AJ29" i="16" s="1"/>
  <c r="AC29" i="16"/>
  <c r="CA29" i="16" s="1"/>
  <c r="AB41" i="16"/>
  <c r="BK41" i="16" s="1"/>
  <c r="AA41" i="16"/>
  <c r="BG41" i="16" s="1"/>
  <c r="BO41" i="16" s="1"/>
  <c r="AD41" i="16"/>
  <c r="AL41" i="16" s="1"/>
  <c r="AC41" i="16"/>
  <c r="CA41" i="16" s="1"/>
  <c r="AB57" i="16"/>
  <c r="BZ57" i="16" s="1"/>
  <c r="AA57" i="16"/>
  <c r="BW57" i="16" s="1"/>
  <c r="AA69" i="16"/>
  <c r="BX69" i="16" s="1"/>
  <c r="AD69" i="16"/>
  <c r="CB69" i="16" s="1"/>
  <c r="AB69" i="16"/>
  <c r="BZ69" i="16" s="1"/>
  <c r="AC69" i="16"/>
  <c r="AV69" i="16" s="1"/>
  <c r="AE69" i="16"/>
  <c r="CC69" i="16" s="1"/>
  <c r="BZ3" i="16"/>
  <c r="BK3" i="16"/>
  <c r="AJ3" i="16"/>
  <c r="AU3" i="16"/>
  <c r="BZ9" i="16"/>
  <c r="CA9" i="16"/>
  <c r="BL9" i="16"/>
  <c r="AV9" i="16"/>
  <c r="AK9" i="16"/>
  <c r="BV17" i="16"/>
  <c r="CD17" i="16" s="1"/>
  <c r="BV44" i="16"/>
  <c r="CD44" i="16" s="1"/>
  <c r="BX44" i="16"/>
  <c r="BW44" i="16"/>
  <c r="BY44" i="16"/>
  <c r="BH44" i="16"/>
  <c r="BJ44" i="16"/>
  <c r="BG44" i="16"/>
  <c r="BO44" i="16" s="1"/>
  <c r="BI44" i="16"/>
  <c r="AT44" i="16"/>
  <c r="AR44" i="16"/>
  <c r="AS44" i="16"/>
  <c r="AQ44" i="16"/>
  <c r="AY44" i="16" s="1"/>
  <c r="AG44" i="16"/>
  <c r="AI44" i="16"/>
  <c r="AF44" i="16"/>
  <c r="AH44" i="16"/>
  <c r="CC66" i="16"/>
  <c r="BN66" i="16"/>
  <c r="AX66" i="16"/>
  <c r="AM66" i="16"/>
  <c r="CC40" i="16"/>
  <c r="BN40" i="16"/>
  <c r="AX40" i="16"/>
  <c r="AM40" i="16"/>
  <c r="BM57" i="16"/>
  <c r="AL57" i="16"/>
  <c r="CA4" i="16"/>
  <c r="BL4" i="16"/>
  <c r="AV4" i="16"/>
  <c r="AK4" i="16"/>
  <c r="BZ32" i="16"/>
  <c r="BK32" i="16"/>
  <c r="AU32" i="16"/>
  <c r="AJ32" i="16"/>
  <c r="BZ54" i="16"/>
  <c r="BK54" i="16"/>
  <c r="AU54" i="16"/>
  <c r="AJ54" i="16"/>
  <c r="BV14" i="16"/>
  <c r="CD14" i="16" s="1"/>
  <c r="BX14" i="16"/>
  <c r="BW14" i="16"/>
  <c r="BY14" i="16"/>
  <c r="BG14" i="16"/>
  <c r="BO14" i="16" s="1"/>
  <c r="BI14" i="16"/>
  <c r="BH14" i="16"/>
  <c r="BJ14" i="16"/>
  <c r="AT14" i="16"/>
  <c r="AR14" i="16"/>
  <c r="AF14" i="16"/>
  <c r="AH14" i="16"/>
  <c r="AS14" i="16"/>
  <c r="AQ14" i="16"/>
  <c r="AY14" i="16" s="1"/>
  <c r="AI14" i="16"/>
  <c r="AG14" i="16"/>
  <c r="CB36" i="16"/>
  <c r="BM36" i="16"/>
  <c r="AW36" i="16"/>
  <c r="AL36" i="16"/>
  <c r="CC41" i="16"/>
  <c r="BN41" i="16"/>
  <c r="AX41" i="16"/>
  <c r="AM41" i="16"/>
  <c r="CB52" i="16"/>
  <c r="BM52" i="16"/>
  <c r="AW52" i="16"/>
  <c r="AL52" i="16"/>
  <c r="CC67" i="16"/>
  <c r="BN67" i="16"/>
  <c r="AX67" i="16"/>
  <c r="AM67" i="16"/>
  <c r="CC68" i="16"/>
  <c r="BN68" i="16"/>
  <c r="AX68" i="16"/>
  <c r="AM68" i="16"/>
  <c r="BV29" i="16"/>
  <c r="CD29" i="16" s="1"/>
  <c r="BX29" i="16"/>
  <c r="BW29" i="16"/>
  <c r="BY29" i="16"/>
  <c r="BG29" i="16"/>
  <c r="BO29" i="16" s="1"/>
  <c r="BI29" i="16"/>
  <c r="BH29" i="16"/>
  <c r="BJ29" i="16"/>
  <c r="AT29" i="16"/>
  <c r="AR29" i="16"/>
  <c r="AS29" i="16"/>
  <c r="AQ29" i="16"/>
  <c r="AY29" i="16" s="1"/>
  <c r="AG29" i="16"/>
  <c r="AI29" i="16"/>
  <c r="AF29" i="16"/>
  <c r="AH29" i="16"/>
  <c r="CA57" i="16"/>
  <c r="BL57" i="16"/>
  <c r="AV57" i="16"/>
  <c r="AK57" i="16"/>
  <c r="BZ42" i="16"/>
  <c r="BK42" i="16"/>
  <c r="AU42" i="16"/>
  <c r="AJ42" i="16"/>
  <c r="BZ17" i="16"/>
  <c r="BK17" i="16"/>
  <c r="AJ17" i="16"/>
  <c r="AU17" i="16"/>
  <c r="CB26" i="16"/>
  <c r="BM26" i="16"/>
  <c r="AW26" i="16"/>
  <c r="AL26" i="16"/>
  <c r="CB30" i="16"/>
  <c r="BM30" i="16"/>
  <c r="AW30" i="16"/>
  <c r="AL30" i="16"/>
  <c r="CA70" i="16"/>
  <c r="BL70" i="16"/>
  <c r="AV70" i="16"/>
  <c r="AK70" i="16"/>
  <c r="CA46" i="16"/>
  <c r="BL46" i="16"/>
  <c r="AV46" i="16"/>
  <c r="AK46" i="16"/>
  <c r="BV16" i="16"/>
  <c r="CD16" i="16" s="1"/>
  <c r="BX16" i="16"/>
  <c r="BW16" i="16"/>
  <c r="BY16" i="16"/>
  <c r="BG16" i="16"/>
  <c r="BO16" i="16" s="1"/>
  <c r="BI16" i="16"/>
  <c r="BH16" i="16"/>
  <c r="BJ16" i="16"/>
  <c r="AT16" i="16"/>
  <c r="AR16" i="16"/>
  <c r="AF16" i="16"/>
  <c r="AH16" i="16"/>
  <c r="AS16" i="16"/>
  <c r="AQ16" i="16"/>
  <c r="AY16" i="16" s="1"/>
  <c r="AI16" i="16"/>
  <c r="AG16" i="16"/>
  <c r="BV34" i="16"/>
  <c r="CD34" i="16" s="1"/>
  <c r="BX34" i="16"/>
  <c r="BW34" i="16"/>
  <c r="BY34" i="16"/>
  <c r="BG34" i="16"/>
  <c r="BO34" i="16" s="1"/>
  <c r="BI34" i="16"/>
  <c r="BH34" i="16"/>
  <c r="BJ34" i="16"/>
  <c r="AT34" i="16"/>
  <c r="AR34" i="16"/>
  <c r="AS34" i="16"/>
  <c r="AQ34" i="16"/>
  <c r="AY34" i="16" s="1"/>
  <c r="AG34" i="16"/>
  <c r="AI34" i="16"/>
  <c r="AF34" i="16"/>
  <c r="AH34" i="16"/>
  <c r="CB38" i="16"/>
  <c r="BM38" i="16"/>
  <c r="AW38" i="16"/>
  <c r="AL38" i="16"/>
  <c r="CC39" i="16"/>
  <c r="BN39" i="16"/>
  <c r="AX39" i="16"/>
  <c r="AM39" i="16"/>
  <c r="CA43" i="16"/>
  <c r="BL43" i="16"/>
  <c r="AV43" i="16"/>
  <c r="AK43" i="16"/>
  <c r="CC54" i="16"/>
  <c r="BN54" i="16"/>
  <c r="AX54" i="16"/>
  <c r="AM54" i="16"/>
  <c r="BV71" i="16"/>
  <c r="CD71" i="16" s="1"/>
  <c r="BX71" i="16"/>
  <c r="BW71" i="16"/>
  <c r="BY71" i="16"/>
  <c r="BH71" i="16"/>
  <c r="BJ71" i="16"/>
  <c r="BG71" i="16"/>
  <c r="BO71" i="16" s="1"/>
  <c r="BI71" i="16"/>
  <c r="AT71" i="16"/>
  <c r="AR71" i="16"/>
  <c r="AS71" i="16"/>
  <c r="AQ71" i="16"/>
  <c r="AY71" i="16" s="1"/>
  <c r="AG71" i="16"/>
  <c r="AI71" i="16"/>
  <c r="AF71" i="16"/>
  <c r="AH71" i="16"/>
  <c r="AM57" i="16" l="1"/>
  <c r="CR90" i="16"/>
  <c r="CR86" i="16"/>
  <c r="CT88" i="16"/>
  <c r="CR78" i="16"/>
  <c r="L86" i="6"/>
  <c r="R86" i="6" s="1"/>
  <c r="S86" i="6" s="1"/>
  <c r="V86" i="6" s="1"/>
  <c r="L88" i="6"/>
  <c r="L90" i="6"/>
  <c r="L92" i="6"/>
  <c r="L87" i="6"/>
  <c r="L89" i="6"/>
  <c r="L91" i="6"/>
  <c r="L93" i="6"/>
  <c r="L95" i="6"/>
  <c r="L97" i="6"/>
  <c r="L99" i="6"/>
  <c r="L101" i="6"/>
  <c r="L103" i="6"/>
  <c r="L94" i="6"/>
  <c r="L96" i="6"/>
  <c r="L98" i="6"/>
  <c r="L100" i="6"/>
  <c r="L102" i="6"/>
  <c r="CU81" i="16"/>
  <c r="O87" i="6"/>
  <c r="O89" i="6"/>
  <c r="O91" i="6"/>
  <c r="O86" i="6"/>
  <c r="O88" i="6"/>
  <c r="O90" i="6"/>
  <c r="O92" i="6"/>
  <c r="O94" i="6"/>
  <c r="O96" i="6"/>
  <c r="O98" i="6"/>
  <c r="O100" i="6"/>
  <c r="O102" i="6"/>
  <c r="O93" i="6"/>
  <c r="O95" i="6"/>
  <c r="O97" i="6"/>
  <c r="O99" i="6"/>
  <c r="O101" i="6"/>
  <c r="O103" i="6"/>
  <c r="CU111" i="16"/>
  <c r="O5" i="6"/>
  <c r="O6" i="6"/>
  <c r="M69" i="6"/>
  <c r="M68" i="6"/>
  <c r="M70" i="6"/>
  <c r="M71" i="6"/>
  <c r="M73" i="6"/>
  <c r="M75" i="6"/>
  <c r="M77" i="6"/>
  <c r="M79" i="6"/>
  <c r="M81" i="6"/>
  <c r="M83" i="6"/>
  <c r="M85" i="6"/>
  <c r="M72" i="6"/>
  <c r="M74" i="6"/>
  <c r="M76" i="6"/>
  <c r="M78" i="6"/>
  <c r="M80" i="6"/>
  <c r="M82" i="6"/>
  <c r="M84" i="6"/>
  <c r="L50" i="6"/>
  <c r="R50" i="6" s="1"/>
  <c r="S50" i="6" s="1"/>
  <c r="V50" i="6" s="1"/>
  <c r="L52" i="6"/>
  <c r="L54" i="6"/>
  <c r="L56" i="6"/>
  <c r="L58" i="6"/>
  <c r="L60" i="6"/>
  <c r="L62" i="6"/>
  <c r="L64" i="6"/>
  <c r="L66" i="6"/>
  <c r="L51" i="6"/>
  <c r="L53" i="6"/>
  <c r="L55" i="6"/>
  <c r="L57" i="6"/>
  <c r="L59" i="6"/>
  <c r="L61" i="6"/>
  <c r="L63" i="6"/>
  <c r="L65" i="6"/>
  <c r="L67" i="6"/>
  <c r="L6" i="6"/>
  <c r="L5" i="6"/>
  <c r="R5" i="6" s="1"/>
  <c r="S5" i="6" s="1"/>
  <c r="V5" i="6" s="1"/>
  <c r="N68" i="6"/>
  <c r="N70" i="6"/>
  <c r="N69" i="6"/>
  <c r="N72" i="6"/>
  <c r="N74" i="6"/>
  <c r="N76" i="6"/>
  <c r="N78" i="6"/>
  <c r="N80" i="6"/>
  <c r="N82" i="6"/>
  <c r="N84" i="6"/>
  <c r="N71" i="6"/>
  <c r="N73" i="6"/>
  <c r="N75" i="6"/>
  <c r="N77" i="6"/>
  <c r="N79" i="6"/>
  <c r="N81" i="6"/>
  <c r="N83" i="6"/>
  <c r="N85" i="6"/>
  <c r="CU82" i="16"/>
  <c r="O51" i="6"/>
  <c r="O53" i="6"/>
  <c r="O55" i="6"/>
  <c r="O57" i="6"/>
  <c r="O59" i="6"/>
  <c r="O61" i="6"/>
  <c r="O63" i="6"/>
  <c r="O65" i="6"/>
  <c r="O67" i="6"/>
  <c r="O50" i="6"/>
  <c r="O52" i="6"/>
  <c r="O54" i="6"/>
  <c r="O56" i="6"/>
  <c r="O58" i="6"/>
  <c r="O60" i="6"/>
  <c r="O62" i="6"/>
  <c r="O64" i="6"/>
  <c r="O66" i="6"/>
  <c r="CU83" i="16"/>
  <c r="O69" i="6"/>
  <c r="O68" i="6"/>
  <c r="O70" i="6"/>
  <c r="O71" i="6"/>
  <c r="O73" i="6"/>
  <c r="O75" i="6"/>
  <c r="O77" i="6"/>
  <c r="O79" i="6"/>
  <c r="O81" i="6"/>
  <c r="O83" i="6"/>
  <c r="O85" i="6"/>
  <c r="O72" i="6"/>
  <c r="O74" i="6"/>
  <c r="O76" i="6"/>
  <c r="O78" i="6"/>
  <c r="O80" i="6"/>
  <c r="O82" i="6"/>
  <c r="O84" i="6"/>
  <c r="N50" i="6"/>
  <c r="N52" i="6"/>
  <c r="N54" i="6"/>
  <c r="R54" i="6" s="1"/>
  <c r="N56" i="6"/>
  <c r="N58" i="6"/>
  <c r="N60" i="6"/>
  <c r="N62" i="6"/>
  <c r="N64" i="6"/>
  <c r="N66" i="6"/>
  <c r="N51" i="6"/>
  <c r="N53" i="6"/>
  <c r="R53" i="6" s="1"/>
  <c r="N55" i="6"/>
  <c r="N57" i="6"/>
  <c r="N59" i="6"/>
  <c r="N61" i="6"/>
  <c r="N63" i="6"/>
  <c r="N65" i="6"/>
  <c r="N67" i="6"/>
  <c r="N6" i="6"/>
  <c r="N5" i="6"/>
  <c r="L68" i="6"/>
  <c r="R68" i="6" s="1"/>
  <c r="S68" i="6" s="1"/>
  <c r="V68" i="6" s="1"/>
  <c r="L70" i="6"/>
  <c r="L69" i="6"/>
  <c r="R69" i="6" s="1"/>
  <c r="S69" i="6" s="1"/>
  <c r="V69" i="6" s="1"/>
  <c r="L71" i="6"/>
  <c r="L72" i="6"/>
  <c r="L74" i="6"/>
  <c r="L76" i="6"/>
  <c r="L78" i="6"/>
  <c r="L80" i="6"/>
  <c r="L82" i="6"/>
  <c r="L84" i="6"/>
  <c r="L73" i="6"/>
  <c r="L75" i="6"/>
  <c r="L77" i="6"/>
  <c r="L79" i="6"/>
  <c r="L81" i="6"/>
  <c r="L83" i="6"/>
  <c r="L85" i="6"/>
  <c r="N86" i="6"/>
  <c r="N88" i="6"/>
  <c r="N90" i="6"/>
  <c r="R90" i="6" s="1"/>
  <c r="N87" i="6"/>
  <c r="N89" i="6"/>
  <c r="R89" i="6" s="1"/>
  <c r="N91" i="6"/>
  <c r="N92" i="6"/>
  <c r="N93" i="6"/>
  <c r="N95" i="6"/>
  <c r="N97" i="6"/>
  <c r="N99" i="6"/>
  <c r="N101" i="6"/>
  <c r="N103" i="6"/>
  <c r="N94" i="6"/>
  <c r="N96" i="6"/>
  <c r="N98" i="6"/>
  <c r="N100" i="6"/>
  <c r="N102" i="6"/>
  <c r="AL42" i="16"/>
  <c r="BN57" i="16"/>
  <c r="BM42" i="16"/>
  <c r="AX57" i="16"/>
  <c r="AW42" i="16"/>
  <c r="CR104" i="16"/>
  <c r="AJ36" i="16"/>
  <c r="CT97" i="16"/>
  <c r="CR99" i="16"/>
  <c r="CR74" i="16"/>
  <c r="AI5" i="16"/>
  <c r="CT73" i="16"/>
  <c r="CT112" i="16"/>
  <c r="CT76" i="16"/>
  <c r="CT104" i="16"/>
  <c r="CR114" i="16"/>
  <c r="CR97" i="16"/>
  <c r="CT99" i="16"/>
  <c r="CT74" i="16"/>
  <c r="CT79" i="16"/>
  <c r="CT93" i="16"/>
  <c r="CT91" i="16"/>
  <c r="CT85" i="16"/>
  <c r="CS83" i="16"/>
  <c r="CS72" i="16"/>
  <c r="CS87" i="16"/>
  <c r="CT105" i="16"/>
  <c r="CR107" i="16"/>
  <c r="CT96" i="16"/>
  <c r="CT82" i="16"/>
  <c r="CT80" i="16"/>
  <c r="CR87" i="16"/>
  <c r="CR98" i="16"/>
  <c r="CT89" i="16"/>
  <c r="CR83" i="16"/>
  <c r="CR72" i="16"/>
  <c r="CT81" i="16"/>
  <c r="CT109" i="16"/>
  <c r="CR113" i="16"/>
  <c r="CT115" i="16"/>
  <c r="CT106" i="16"/>
  <c r="CR75" i="16"/>
  <c r="CR102" i="16"/>
  <c r="CT108" i="16"/>
  <c r="CT103" i="16"/>
  <c r="CT92" i="16"/>
  <c r="CR94" i="16"/>
  <c r="CT111" i="16"/>
  <c r="CT84" i="16"/>
  <c r="CR95" i="16"/>
  <c r="CR100" i="16"/>
  <c r="CT77" i="16"/>
  <c r="CT110" i="16"/>
  <c r="BY3" i="16"/>
  <c r="AH9" i="16"/>
  <c r="CS109" i="16"/>
  <c r="CR73" i="16"/>
  <c r="CT113" i="16"/>
  <c r="F76" i="16"/>
  <c r="CS76" i="16" s="1"/>
  <c r="CR76" i="16"/>
  <c r="CR101" i="16"/>
  <c r="CT90" i="16"/>
  <c r="CT86" i="16"/>
  <c r="CR88" i="16"/>
  <c r="CT78" i="16"/>
  <c r="CR79" i="16"/>
  <c r="CR93" i="16"/>
  <c r="CR91" i="16"/>
  <c r="CR85" i="16"/>
  <c r="CS115" i="16"/>
  <c r="CS108" i="16"/>
  <c r="CR115" i="16"/>
  <c r="CR106" i="16"/>
  <c r="CR105" i="16"/>
  <c r="CT75" i="16"/>
  <c r="CT102" i="16"/>
  <c r="CT107" i="16"/>
  <c r="CR108" i="16"/>
  <c r="CR103" i="16"/>
  <c r="CR92" i="16"/>
  <c r="CR96" i="16"/>
  <c r="CT94" i="16"/>
  <c r="CR82" i="16"/>
  <c r="CR111" i="16"/>
  <c r="CR80" i="16"/>
  <c r="CR84" i="16"/>
  <c r="CT87" i="16"/>
  <c r="CT95" i="16"/>
  <c r="CT98" i="16"/>
  <c r="CT100" i="16"/>
  <c r="CR89" i="16"/>
  <c r="CT83" i="16"/>
  <c r="CT72" i="16"/>
  <c r="CR77" i="16"/>
  <c r="CR110" i="16"/>
  <c r="CR81" i="16"/>
  <c r="CR109" i="16"/>
  <c r="BV32" i="16"/>
  <c r="CD32" i="16" s="1"/>
  <c r="AL71" i="16"/>
  <c r="AK40" i="16"/>
  <c r="BY39" i="16"/>
  <c r="BY36" i="16"/>
  <c r="AM5" i="16"/>
  <c r="F73" i="16"/>
  <c r="CS73" i="16" s="1"/>
  <c r="F93" i="16"/>
  <c r="CS93" i="16" s="1"/>
  <c r="AH3" i="16"/>
  <c r="BY46" i="16"/>
  <c r="AK52" i="16"/>
  <c r="AL29" i="16"/>
  <c r="AH43" i="16"/>
  <c r="CA68" i="16"/>
  <c r="AM71" i="16"/>
  <c r="BI68" i="16"/>
  <c r="F81" i="44"/>
  <c r="E109" i="44"/>
  <c r="F73" i="44"/>
  <c r="D113" i="44"/>
  <c r="F112" i="44"/>
  <c r="F76" i="44"/>
  <c r="F104" i="44"/>
  <c r="F101" i="44"/>
  <c r="D114" i="44"/>
  <c r="D97" i="44"/>
  <c r="D90" i="44"/>
  <c r="F99" i="44"/>
  <c r="D86" i="44"/>
  <c r="F74" i="44"/>
  <c r="F88" i="44"/>
  <c r="D78" i="44"/>
  <c r="F79" i="44"/>
  <c r="F93" i="44"/>
  <c r="F91" i="44"/>
  <c r="F85" i="44"/>
  <c r="E83" i="44"/>
  <c r="E72" i="44"/>
  <c r="E87" i="44"/>
  <c r="F115" i="44"/>
  <c r="F106" i="44"/>
  <c r="F105" i="44"/>
  <c r="D75" i="44"/>
  <c r="D102" i="44"/>
  <c r="D107" i="44"/>
  <c r="F108" i="44"/>
  <c r="F103" i="44"/>
  <c r="F92" i="44"/>
  <c r="F96" i="44"/>
  <c r="D94" i="44"/>
  <c r="F82" i="44"/>
  <c r="F111" i="44"/>
  <c r="F80" i="44"/>
  <c r="F84" i="44"/>
  <c r="D87" i="44"/>
  <c r="D95" i="44"/>
  <c r="D98" i="44"/>
  <c r="D100" i="44"/>
  <c r="F89" i="44"/>
  <c r="D83" i="44"/>
  <c r="D72" i="44"/>
  <c r="F77" i="44"/>
  <c r="F110" i="44"/>
  <c r="F109" i="44"/>
  <c r="D73" i="44"/>
  <c r="F113" i="44"/>
  <c r="D112" i="44"/>
  <c r="D76" i="44"/>
  <c r="D101" i="44"/>
  <c r="F114" i="44"/>
  <c r="F97" i="44"/>
  <c r="F90" i="44"/>
  <c r="D99" i="44"/>
  <c r="F86" i="44"/>
  <c r="D74" i="44"/>
  <c r="D88" i="44"/>
  <c r="F78" i="44"/>
  <c r="D79" i="44"/>
  <c r="D93" i="44"/>
  <c r="D91" i="44"/>
  <c r="D85" i="44"/>
  <c r="E115" i="44"/>
  <c r="E108" i="44"/>
  <c r="D115" i="44"/>
  <c r="D105" i="44"/>
  <c r="F75" i="44"/>
  <c r="F102" i="44"/>
  <c r="F107" i="44"/>
  <c r="D108" i="44"/>
  <c r="D103" i="44"/>
  <c r="D92" i="44"/>
  <c r="D96" i="44"/>
  <c r="F94" i="44"/>
  <c r="D82" i="44"/>
  <c r="D111" i="44"/>
  <c r="D80" i="44"/>
  <c r="D84" i="44"/>
  <c r="F87" i="44"/>
  <c r="F95" i="44"/>
  <c r="F98" i="44"/>
  <c r="F100" i="44"/>
  <c r="D89" i="44"/>
  <c r="F83" i="44"/>
  <c r="F72" i="44"/>
  <c r="D77" i="44"/>
  <c r="D110" i="44"/>
  <c r="D81" i="44"/>
  <c r="AK71" i="16"/>
  <c r="CC42" i="16"/>
  <c r="BV52" i="16"/>
  <c r="CD52" i="16" s="1"/>
  <c r="AI3" i="16"/>
  <c r="BJ3" i="16"/>
  <c r="AM69" i="16"/>
  <c r="AT32" i="16"/>
  <c r="AQ46" i="16"/>
  <c r="AY46" i="16" s="1"/>
  <c r="AJ30" i="16"/>
  <c r="BK36" i="16"/>
  <c r="BM71" i="16"/>
  <c r="AW57" i="16"/>
  <c r="AG69" i="16"/>
  <c r="BY9" i="16"/>
  <c r="BI43" i="16"/>
  <c r="AK17" i="16"/>
  <c r="AK34" i="16"/>
  <c r="BJ5" i="16"/>
  <c r="AG39" i="16"/>
  <c r="AT42" i="16"/>
  <c r="BH66" i="16"/>
  <c r="BY40" i="16"/>
  <c r="AT17" i="16"/>
  <c r="F107" i="16"/>
  <c r="CS107" i="16" s="1"/>
  <c r="AX42" i="16"/>
  <c r="F105" i="16"/>
  <c r="CS105" i="16" s="1"/>
  <c r="F85" i="16"/>
  <c r="CS85" i="16" s="1"/>
  <c r="AM42" i="16"/>
  <c r="F91" i="16"/>
  <c r="CS91" i="16" s="1"/>
  <c r="F79" i="16"/>
  <c r="CS79" i="16" s="1"/>
  <c r="F102" i="16"/>
  <c r="CS102" i="16" s="1"/>
  <c r="F75" i="16"/>
  <c r="CS75" i="16" s="1"/>
  <c r="F94" i="16"/>
  <c r="CS94" i="16" s="1"/>
  <c r="F95" i="16"/>
  <c r="CS95" i="16" s="1"/>
  <c r="F98" i="16"/>
  <c r="CS98" i="16" s="1"/>
  <c r="F100" i="16"/>
  <c r="CS100" i="16" s="1"/>
  <c r="F113" i="16"/>
  <c r="CS113" i="16" s="1"/>
  <c r="F103" i="16"/>
  <c r="CS103" i="16" s="1"/>
  <c r="F77" i="16"/>
  <c r="CS77" i="16" s="1"/>
  <c r="F110" i="16"/>
  <c r="CS110" i="16" s="1"/>
  <c r="F81" i="16"/>
  <c r="F92" i="16"/>
  <c r="CS92" i="16" s="1"/>
  <c r="F96" i="16"/>
  <c r="CS96" i="16" s="1"/>
  <c r="F82" i="16"/>
  <c r="F111" i="16"/>
  <c r="F80" i="16"/>
  <c r="CS80" i="16" s="1"/>
  <c r="F84" i="16"/>
  <c r="CS84" i="16" s="1"/>
  <c r="F89" i="16"/>
  <c r="CS89" i="16" s="1"/>
  <c r="N73" i="16"/>
  <c r="Q73" i="4" s="1"/>
  <c r="L73" i="4"/>
  <c r="K73" i="16"/>
  <c r="J73" i="44" s="1"/>
  <c r="L73" i="16"/>
  <c r="K73" i="44" s="1"/>
  <c r="I73" i="16"/>
  <c r="H73" i="44" s="1"/>
  <c r="J73" i="16"/>
  <c r="G73" i="44"/>
  <c r="L113" i="4"/>
  <c r="I113" i="16"/>
  <c r="H113" i="44" s="1"/>
  <c r="N113" i="16"/>
  <c r="Q113" i="4" s="1"/>
  <c r="K113" i="16"/>
  <c r="J113" i="44" s="1"/>
  <c r="L113" i="16"/>
  <c r="J113" i="16"/>
  <c r="I113" i="44" s="1"/>
  <c r="G113" i="44"/>
  <c r="N103" i="16"/>
  <c r="Q103" i="4" s="1"/>
  <c r="J103" i="16"/>
  <c r="I103" i="44" s="1"/>
  <c r="L103" i="16"/>
  <c r="I103" i="16"/>
  <c r="H103" i="44" s="1"/>
  <c r="K103" i="16"/>
  <c r="J103" i="44" s="1"/>
  <c r="L103" i="4"/>
  <c r="G103" i="44"/>
  <c r="L109" i="4"/>
  <c r="K109" i="16"/>
  <c r="J109" i="44" s="1"/>
  <c r="N109" i="16"/>
  <c r="Q109" i="4" s="1"/>
  <c r="J109" i="16"/>
  <c r="I109" i="44" s="1"/>
  <c r="I109" i="16"/>
  <c r="H109" i="44" s="1"/>
  <c r="L109" i="16"/>
  <c r="G109" i="44"/>
  <c r="G93" i="44"/>
  <c r="L93" i="16"/>
  <c r="K93" i="44" s="1"/>
  <c r="N93" i="16"/>
  <c r="Q93" i="4" s="1"/>
  <c r="K93" i="16"/>
  <c r="L93" i="4"/>
  <c r="I93" i="16"/>
  <c r="H93" i="44" s="1"/>
  <c r="J93" i="16"/>
  <c r="I93" i="44" s="1"/>
  <c r="G77" i="44"/>
  <c r="J77" i="16"/>
  <c r="I77" i="44" s="1"/>
  <c r="N77" i="16"/>
  <c r="Q77" i="4" s="1"/>
  <c r="L77" i="16"/>
  <c r="K77" i="44" s="1"/>
  <c r="O77" i="16"/>
  <c r="AA78" i="38" s="1"/>
  <c r="L77" i="4"/>
  <c r="I77" i="16"/>
  <c r="H77" i="44" s="1"/>
  <c r="K77" i="16"/>
  <c r="J77" i="44" s="1"/>
  <c r="G91" i="44"/>
  <c r="L91" i="16"/>
  <c r="K91" i="44" s="1"/>
  <c r="N91" i="16"/>
  <c r="Q91" i="4" s="1"/>
  <c r="K91" i="16"/>
  <c r="L91" i="4"/>
  <c r="I91" i="16"/>
  <c r="H91" i="44" s="1"/>
  <c r="J91" i="16"/>
  <c r="I91" i="44" s="1"/>
  <c r="G110" i="44"/>
  <c r="L110" i="4"/>
  <c r="J110" i="16"/>
  <c r="I110" i="44" s="1"/>
  <c r="L110" i="16"/>
  <c r="N110" i="16"/>
  <c r="Q110" i="4" s="1"/>
  <c r="I110" i="16"/>
  <c r="H110" i="44" s="1"/>
  <c r="K110" i="16"/>
  <c r="J110" i="44" s="1"/>
  <c r="G85" i="44"/>
  <c r="L85" i="4"/>
  <c r="J85" i="16"/>
  <c r="I85" i="44" s="1"/>
  <c r="L85" i="16"/>
  <c r="N85" i="16"/>
  <c r="Q85" i="4" s="1"/>
  <c r="K85" i="16"/>
  <c r="J85" i="44" s="1"/>
  <c r="I85" i="16"/>
  <c r="H85" i="44" s="1"/>
  <c r="G81" i="44"/>
  <c r="L81" i="4"/>
  <c r="J81" i="16"/>
  <c r="L81" i="16"/>
  <c r="N81" i="16"/>
  <c r="Q81" i="4" s="1"/>
  <c r="K81" i="16"/>
  <c r="I81" i="16"/>
  <c r="G79" i="44"/>
  <c r="L79" i="4"/>
  <c r="J79" i="16"/>
  <c r="I79" i="44" s="1"/>
  <c r="L79" i="16"/>
  <c r="N79" i="16"/>
  <c r="Q79" i="4" s="1"/>
  <c r="K79" i="16"/>
  <c r="J79" i="44" s="1"/>
  <c r="I79" i="16"/>
  <c r="H79" i="44" s="1"/>
  <c r="G92" i="44"/>
  <c r="K92" i="16"/>
  <c r="N92" i="16"/>
  <c r="Q92" i="4" s="1"/>
  <c r="J92" i="16"/>
  <c r="I92" i="44" s="1"/>
  <c r="L92" i="4"/>
  <c r="L92" i="16"/>
  <c r="K92" i="44" s="1"/>
  <c r="I92" i="16"/>
  <c r="H92" i="44" s="1"/>
  <c r="G96" i="44"/>
  <c r="L96" i="4"/>
  <c r="L96" i="16"/>
  <c r="K96" i="44" s="1"/>
  <c r="I96" i="16"/>
  <c r="H96" i="44" s="1"/>
  <c r="K96" i="16"/>
  <c r="N96" i="16"/>
  <c r="Q96" i="4" s="1"/>
  <c r="J96" i="16"/>
  <c r="I96" i="44" s="1"/>
  <c r="G94" i="44"/>
  <c r="L94" i="4"/>
  <c r="L94" i="16"/>
  <c r="K94" i="44" s="1"/>
  <c r="I94" i="16"/>
  <c r="H94" i="44" s="1"/>
  <c r="K94" i="16"/>
  <c r="N94" i="16"/>
  <c r="Q94" i="4" s="1"/>
  <c r="J94" i="16"/>
  <c r="I94" i="44" s="1"/>
  <c r="G82" i="44"/>
  <c r="L82" i="4"/>
  <c r="I82" i="16"/>
  <c r="K82" i="16"/>
  <c r="N82" i="16"/>
  <c r="Q82" i="4" s="1"/>
  <c r="J82" i="16"/>
  <c r="L82" i="16"/>
  <c r="G111" i="44"/>
  <c r="O111" i="16"/>
  <c r="J111" i="16"/>
  <c r="L111" i="16"/>
  <c r="I111" i="16"/>
  <c r="K111" i="16"/>
  <c r="G80" i="44"/>
  <c r="N80" i="16"/>
  <c r="Q80" i="4" s="1"/>
  <c r="J80" i="16"/>
  <c r="I80" i="44" s="1"/>
  <c r="L80" i="16"/>
  <c r="L80" i="4"/>
  <c r="I80" i="16"/>
  <c r="H80" i="44" s="1"/>
  <c r="K80" i="16"/>
  <c r="J80" i="44" s="1"/>
  <c r="G84" i="44"/>
  <c r="L84" i="4"/>
  <c r="I84" i="16"/>
  <c r="H84" i="44" s="1"/>
  <c r="K84" i="16"/>
  <c r="J84" i="44" s="1"/>
  <c r="N84" i="16"/>
  <c r="Q84" i="4" s="1"/>
  <c r="L84" i="16"/>
  <c r="J84" i="16"/>
  <c r="I84" i="44" s="1"/>
  <c r="N104" i="16"/>
  <c r="Q104" i="4" s="1"/>
  <c r="L104" i="4"/>
  <c r="J104" i="16"/>
  <c r="I104" i="44" s="1"/>
  <c r="L104" i="16"/>
  <c r="I104" i="16"/>
  <c r="H104" i="44" s="1"/>
  <c r="K104" i="16"/>
  <c r="J104" i="44" s="1"/>
  <c r="G104" i="44"/>
  <c r="F114" i="16"/>
  <c r="CS114" i="16" s="1"/>
  <c r="F101" i="16"/>
  <c r="CS101" i="16" s="1"/>
  <c r="F112" i="16"/>
  <c r="CS112" i="16" s="1"/>
  <c r="F78" i="16"/>
  <c r="CS78" i="16" s="1"/>
  <c r="F97" i="16"/>
  <c r="CS97" i="16" s="1"/>
  <c r="F90" i="16"/>
  <c r="CS90" i="16" s="1"/>
  <c r="F99" i="16"/>
  <c r="CS99" i="16" s="1"/>
  <c r="F86" i="16"/>
  <c r="CS86" i="16" s="1"/>
  <c r="F74" i="16"/>
  <c r="CS74" i="16" s="1"/>
  <c r="F88" i="16"/>
  <c r="CS88" i="16" s="1"/>
  <c r="F106" i="16"/>
  <c r="CS106" i="16" s="1"/>
  <c r="D106" i="44"/>
  <c r="N75" i="16"/>
  <c r="Q75" i="4" s="1"/>
  <c r="L75" i="4"/>
  <c r="K75" i="16"/>
  <c r="J75" i="44" s="1"/>
  <c r="I75" i="16"/>
  <c r="H75" i="44" s="1"/>
  <c r="J75" i="16"/>
  <c r="I75" i="44" s="1"/>
  <c r="L75" i="16"/>
  <c r="G75" i="44"/>
  <c r="L107" i="4"/>
  <c r="N107" i="16"/>
  <c r="Q107" i="4" s="1"/>
  <c r="L107" i="16"/>
  <c r="I107" i="16"/>
  <c r="H107" i="44" s="1"/>
  <c r="K107" i="16"/>
  <c r="J107" i="44" s="1"/>
  <c r="J107" i="16"/>
  <c r="I107" i="44" s="1"/>
  <c r="G107" i="44"/>
  <c r="N105" i="16"/>
  <c r="Q105" i="4" s="1"/>
  <c r="L105" i="4"/>
  <c r="K105" i="16"/>
  <c r="J105" i="44" s="1"/>
  <c r="I105" i="16"/>
  <c r="H105" i="44" s="1"/>
  <c r="L105" i="16"/>
  <c r="J105" i="16"/>
  <c r="I105" i="44" s="1"/>
  <c r="G105" i="44"/>
  <c r="L76" i="4"/>
  <c r="N76" i="16"/>
  <c r="Q76" i="4" s="1"/>
  <c r="J76" i="16"/>
  <c r="I76" i="44" s="1"/>
  <c r="O76" i="16"/>
  <c r="AA77" i="38" s="1"/>
  <c r="L76" i="16"/>
  <c r="K76" i="44" s="1"/>
  <c r="K76" i="16"/>
  <c r="J76" i="44" s="1"/>
  <c r="I76" i="16"/>
  <c r="H76" i="44" s="1"/>
  <c r="G76" i="44"/>
  <c r="F104" i="16"/>
  <c r="CS104" i="16" s="1"/>
  <c r="D104" i="44"/>
  <c r="N102" i="16"/>
  <c r="Q102" i="4" s="1"/>
  <c r="J102" i="16"/>
  <c r="I102" i="44" s="1"/>
  <c r="L102" i="4"/>
  <c r="L102" i="16"/>
  <c r="K102" i="16"/>
  <c r="J102" i="44" s="1"/>
  <c r="I102" i="16"/>
  <c r="H102" i="44" s="1"/>
  <c r="G102" i="44"/>
  <c r="L115" i="4"/>
  <c r="I115" i="16"/>
  <c r="H115" i="44" s="1"/>
  <c r="N115" i="16"/>
  <c r="Q115" i="4" s="1"/>
  <c r="K115" i="16"/>
  <c r="J115" i="44" s="1"/>
  <c r="L115" i="16"/>
  <c r="J115" i="16"/>
  <c r="I115" i="44" s="1"/>
  <c r="G115" i="44"/>
  <c r="N106" i="16"/>
  <c r="Q106" i="4" s="1"/>
  <c r="L106" i="4"/>
  <c r="J106" i="16"/>
  <c r="I106" i="44" s="1"/>
  <c r="L106" i="16"/>
  <c r="I106" i="16"/>
  <c r="H106" i="44" s="1"/>
  <c r="K106" i="16"/>
  <c r="J106" i="44" s="1"/>
  <c r="G106" i="44"/>
  <c r="L108" i="16"/>
  <c r="N108" i="16"/>
  <c r="Q108" i="4" s="1"/>
  <c r="I108" i="16"/>
  <c r="H108" i="44" s="1"/>
  <c r="L108" i="4"/>
  <c r="K108" i="16"/>
  <c r="J108" i="44" s="1"/>
  <c r="J108" i="16"/>
  <c r="I108" i="44" s="1"/>
  <c r="G108" i="44"/>
  <c r="L114" i="4"/>
  <c r="N114" i="16"/>
  <c r="Q114" i="4" s="1"/>
  <c r="I114" i="16"/>
  <c r="H114" i="44" s="1"/>
  <c r="K114" i="16"/>
  <c r="J114" i="44" s="1"/>
  <c r="L114" i="16"/>
  <c r="J114" i="16"/>
  <c r="I114" i="44" s="1"/>
  <c r="G114" i="44"/>
  <c r="N101" i="16"/>
  <c r="Q101" i="4" s="1"/>
  <c r="J101" i="16"/>
  <c r="I101" i="44" s="1"/>
  <c r="L101" i="16"/>
  <c r="I101" i="16"/>
  <c r="H101" i="44" s="1"/>
  <c r="L101" i="4"/>
  <c r="K101" i="16"/>
  <c r="J101" i="44" s="1"/>
  <c r="G101" i="44"/>
  <c r="N112" i="16"/>
  <c r="Q112" i="4" s="1"/>
  <c r="I112" i="16"/>
  <c r="H112" i="44" s="1"/>
  <c r="K112" i="16"/>
  <c r="J112" i="44" s="1"/>
  <c r="J112" i="16"/>
  <c r="I112" i="44" s="1"/>
  <c r="L112" i="16"/>
  <c r="L112" i="4"/>
  <c r="G112" i="44"/>
  <c r="G95" i="44"/>
  <c r="L95" i="16"/>
  <c r="K95" i="44" s="1"/>
  <c r="L95" i="4"/>
  <c r="I95" i="16"/>
  <c r="H95" i="44" s="1"/>
  <c r="N95" i="16"/>
  <c r="Q95" i="4" s="1"/>
  <c r="K95" i="16"/>
  <c r="J95" i="16"/>
  <c r="I95" i="44" s="1"/>
  <c r="G98" i="44"/>
  <c r="L98" i="16"/>
  <c r="K98" i="44" s="1"/>
  <c r="N98" i="16"/>
  <c r="Q98" i="4" s="1"/>
  <c r="I98" i="16"/>
  <c r="H98" i="44" s="1"/>
  <c r="L98" i="4"/>
  <c r="K98" i="16"/>
  <c r="J98" i="16"/>
  <c r="I98" i="44" s="1"/>
  <c r="G100" i="44"/>
  <c r="N100" i="16"/>
  <c r="Q100" i="4" s="1"/>
  <c r="K100" i="16"/>
  <c r="J100" i="16"/>
  <c r="I100" i="44" s="1"/>
  <c r="L100" i="16"/>
  <c r="K100" i="44" s="1"/>
  <c r="L100" i="4"/>
  <c r="I100" i="16"/>
  <c r="H100" i="44" s="1"/>
  <c r="G89" i="44"/>
  <c r="L89" i="4"/>
  <c r="I89" i="16"/>
  <c r="H89" i="44" s="1"/>
  <c r="J89" i="16"/>
  <c r="I89" i="44" s="1"/>
  <c r="L89" i="16"/>
  <c r="K89" i="44" s="1"/>
  <c r="N89" i="16"/>
  <c r="Q89" i="4" s="1"/>
  <c r="K89" i="16"/>
  <c r="G83" i="44"/>
  <c r="L83" i="4"/>
  <c r="J83" i="16"/>
  <c r="L83" i="16"/>
  <c r="N83" i="16"/>
  <c r="Q83" i="4" s="1"/>
  <c r="K83" i="16"/>
  <c r="I83" i="16"/>
  <c r="G72" i="44"/>
  <c r="L72" i="4"/>
  <c r="J72" i="16"/>
  <c r="L72" i="16"/>
  <c r="K72" i="44" s="1"/>
  <c r="N72" i="16"/>
  <c r="Q72" i="4" s="1"/>
  <c r="I72" i="16"/>
  <c r="H72" i="44" s="1"/>
  <c r="K72" i="16"/>
  <c r="J72" i="44" s="1"/>
  <c r="G87" i="44"/>
  <c r="L87" i="4"/>
  <c r="J87" i="16"/>
  <c r="I87" i="44" s="1"/>
  <c r="L87" i="16"/>
  <c r="N87" i="16"/>
  <c r="Q87" i="4" s="1"/>
  <c r="K87" i="16"/>
  <c r="J87" i="44" s="1"/>
  <c r="I87" i="16"/>
  <c r="H87" i="44" s="1"/>
  <c r="G78" i="44"/>
  <c r="L78" i="4"/>
  <c r="J78" i="16"/>
  <c r="I78" i="44" s="1"/>
  <c r="L78" i="16"/>
  <c r="N78" i="16"/>
  <c r="Q78" i="4" s="1"/>
  <c r="K78" i="16"/>
  <c r="J78" i="44" s="1"/>
  <c r="I78" i="16"/>
  <c r="H78" i="44" s="1"/>
  <c r="G97" i="44"/>
  <c r="J97" i="16"/>
  <c r="I97" i="44" s="1"/>
  <c r="L97" i="4"/>
  <c r="L97" i="16"/>
  <c r="K97" i="44" s="1"/>
  <c r="I97" i="16"/>
  <c r="H97" i="44" s="1"/>
  <c r="K97" i="16"/>
  <c r="N97" i="16"/>
  <c r="Q97" i="4" s="1"/>
  <c r="G90" i="44"/>
  <c r="K90" i="16"/>
  <c r="N90" i="16"/>
  <c r="Q90" i="4" s="1"/>
  <c r="J90" i="16"/>
  <c r="I90" i="44" s="1"/>
  <c r="L90" i="4"/>
  <c r="L90" i="16"/>
  <c r="K90" i="44" s="1"/>
  <c r="I90" i="16"/>
  <c r="H90" i="44" s="1"/>
  <c r="G99" i="44"/>
  <c r="K99" i="16"/>
  <c r="L99" i="4"/>
  <c r="L99" i="16"/>
  <c r="K99" i="44" s="1"/>
  <c r="N99" i="16"/>
  <c r="Q99" i="4" s="1"/>
  <c r="J99" i="16"/>
  <c r="I99" i="44" s="1"/>
  <c r="I99" i="16"/>
  <c r="H99" i="44" s="1"/>
  <c r="G86" i="44"/>
  <c r="L86" i="4"/>
  <c r="I86" i="16"/>
  <c r="H86" i="44" s="1"/>
  <c r="K86" i="16"/>
  <c r="J86" i="44" s="1"/>
  <c r="N86" i="16"/>
  <c r="Q86" i="4" s="1"/>
  <c r="J86" i="16"/>
  <c r="I86" i="44" s="1"/>
  <c r="L86" i="16"/>
  <c r="G74" i="44"/>
  <c r="L74" i="4"/>
  <c r="J74" i="16"/>
  <c r="I74" i="44" s="1"/>
  <c r="L74" i="16"/>
  <c r="N74" i="16"/>
  <c r="Q74" i="4" s="1"/>
  <c r="I74" i="16"/>
  <c r="H74" i="44" s="1"/>
  <c r="K74" i="16"/>
  <c r="J74" i="44" s="1"/>
  <c r="G88" i="44"/>
  <c r="N88" i="16"/>
  <c r="Q88" i="4" s="1"/>
  <c r="J88" i="16"/>
  <c r="I88" i="44" s="1"/>
  <c r="L88" i="16"/>
  <c r="L88" i="4"/>
  <c r="I88" i="16"/>
  <c r="H88" i="44" s="1"/>
  <c r="K88" i="16"/>
  <c r="J88" i="44" s="1"/>
  <c r="CB17" i="16"/>
  <c r="AJ71" i="16"/>
  <c r="AK36" i="16"/>
  <c r="BX70" i="16"/>
  <c r="CA26" i="16"/>
  <c r="AF57" i="16"/>
  <c r="BW41" i="16"/>
  <c r="AT52" i="16"/>
  <c r="AK41" i="16"/>
  <c r="AK39" i="16"/>
  <c r="AU67" i="16"/>
  <c r="AL17" i="16"/>
  <c r="AR70" i="16"/>
  <c r="AM3" i="16"/>
  <c r="AL46" i="16"/>
  <c r="BY38" i="16"/>
  <c r="BW26" i="16"/>
  <c r="BW4" i="16"/>
  <c r="AG52" i="16"/>
  <c r="BH52" i="16"/>
  <c r="AM9" i="16"/>
  <c r="AQ3" i="16"/>
  <c r="AY3" i="16" s="1"/>
  <c r="AR3" i="16"/>
  <c r="BI3" i="16"/>
  <c r="BX3" i="16"/>
  <c r="CB54" i="16"/>
  <c r="CC43" i="16"/>
  <c r="AM38" i="16"/>
  <c r="AG32" i="16"/>
  <c r="BG32" i="16"/>
  <c r="BO32" i="16" s="1"/>
  <c r="AH46" i="16"/>
  <c r="BI46" i="16"/>
  <c r="AL39" i="16"/>
  <c r="BZ14" i="16"/>
  <c r="CB5" i="16"/>
  <c r="AJ70" i="16"/>
  <c r="AU36" i="16"/>
  <c r="BL52" i="16"/>
  <c r="AW71" i="16"/>
  <c r="AM4" i="16"/>
  <c r="AK67" i="16"/>
  <c r="CB3" i="16"/>
  <c r="BH69" i="16"/>
  <c r="AI9" i="16"/>
  <c r="BJ9" i="16"/>
  <c r="AK66" i="16"/>
  <c r="AQ43" i="16"/>
  <c r="AY43" i="16" s="1"/>
  <c r="BY43" i="16"/>
  <c r="AM46" i="16"/>
  <c r="AK16" i="16"/>
  <c r="AH5" i="16"/>
  <c r="BY5" i="16"/>
  <c r="BZ41" i="16"/>
  <c r="AT39" i="16"/>
  <c r="AH68" i="16"/>
  <c r="BV42" i="16"/>
  <c r="CD42" i="16" s="1"/>
  <c r="AG66" i="16"/>
  <c r="AQ40" i="16"/>
  <c r="AY40" i="16" s="1"/>
  <c r="AQ36" i="16"/>
  <c r="AY36" i="16" s="1"/>
  <c r="AS17" i="16"/>
  <c r="AW9" i="16"/>
  <c r="AK14" i="16"/>
  <c r="BZ67" i="16"/>
  <c r="AW17" i="16"/>
  <c r="AI70" i="16"/>
  <c r="BJ70" i="16"/>
  <c r="AV26" i="16"/>
  <c r="AQ38" i="16"/>
  <c r="AY38" i="16" s="1"/>
  <c r="AL69" i="16"/>
  <c r="AL34" i="16"/>
  <c r="AS54" i="16"/>
  <c r="BW30" i="16"/>
  <c r="AF67" i="16"/>
  <c r="AF52" i="16"/>
  <c r="AS52" i="16"/>
  <c r="BG52" i="16"/>
  <c r="BO52" i="16" s="1"/>
  <c r="BW52" i="16"/>
  <c r="AT69" i="16"/>
  <c r="BV69" i="16"/>
  <c r="CD69" i="16" s="1"/>
  <c r="AJ57" i="16"/>
  <c r="AJ69" i="16"/>
  <c r="AL32" i="16"/>
  <c r="AJ40" i="16"/>
  <c r="AL66" i="16"/>
  <c r="AK54" i="16"/>
  <c r="AJ26" i="16"/>
  <c r="AK44" i="16"/>
  <c r="AM32" i="16"/>
  <c r="AJ39" i="16"/>
  <c r="AL43" i="16"/>
  <c r="AJ67" i="16"/>
  <c r="AW4" i="16"/>
  <c r="AH70" i="16"/>
  <c r="AQ70" i="16"/>
  <c r="AY70" i="16" s="1"/>
  <c r="BI70" i="16"/>
  <c r="BY70" i="16"/>
  <c r="AK26" i="16"/>
  <c r="AH38" i="16"/>
  <c r="BI38" i="16"/>
  <c r="AM29" i="16"/>
  <c r="AL40" i="16"/>
  <c r="AK42" i="16"/>
  <c r="AW16" i="16"/>
  <c r="AJ43" i="16"/>
  <c r="AJ34" i="16"/>
  <c r="BW54" i="16"/>
  <c r="AS30" i="16"/>
  <c r="AS26" i="16"/>
  <c r="BG67" i="16"/>
  <c r="BO67" i="16" s="1"/>
  <c r="BG57" i="16"/>
  <c r="BO57" i="16" s="1"/>
  <c r="AS41" i="16"/>
  <c r="AF4" i="16"/>
  <c r="AH52" i="16"/>
  <c r="AI52" i="16"/>
  <c r="AQ52" i="16"/>
  <c r="AY52" i="16" s="1"/>
  <c r="AR52" i="16"/>
  <c r="BI52" i="16"/>
  <c r="BJ52" i="16"/>
  <c r="BY52" i="16"/>
  <c r="BN9" i="16"/>
  <c r="BN69" i="16"/>
  <c r="AW54" i="16"/>
  <c r="AX43" i="16"/>
  <c r="BN38" i="16"/>
  <c r="AF32" i="16"/>
  <c r="AS32" i="16"/>
  <c r="BH32" i="16"/>
  <c r="BW32" i="16"/>
  <c r="AI46" i="16"/>
  <c r="AR46" i="16"/>
  <c r="BJ46" i="16"/>
  <c r="BX46" i="16"/>
  <c r="BM39" i="16"/>
  <c r="AJ14" i="16"/>
  <c r="BK30" i="16"/>
  <c r="AL5" i="16"/>
  <c r="BK70" i="16"/>
  <c r="BM29" i="16"/>
  <c r="BN4" i="16"/>
  <c r="BL67" i="16"/>
  <c r="AL3" i="16"/>
  <c r="AF69" i="16"/>
  <c r="AS69" i="16"/>
  <c r="BG69" i="16"/>
  <c r="BO69" i="16" s="1"/>
  <c r="BW69" i="16"/>
  <c r="CE69" i="16" s="1"/>
  <c r="AQ9" i="16"/>
  <c r="AY9" i="16" s="1"/>
  <c r="AR9" i="16"/>
  <c r="BI9" i="16"/>
  <c r="BX9" i="16"/>
  <c r="BL66" i="16"/>
  <c r="AI43" i="16"/>
  <c r="AR43" i="16"/>
  <c r="BJ43" i="16"/>
  <c r="BX43" i="16"/>
  <c r="BL40" i="16"/>
  <c r="BL17" i="16"/>
  <c r="BN46" i="16"/>
  <c r="AV68" i="16"/>
  <c r="BL34" i="16"/>
  <c r="BL16" i="16"/>
  <c r="BK57" i="16"/>
  <c r="BK69" i="16"/>
  <c r="AQ5" i="16"/>
  <c r="AY5" i="16" s="1"/>
  <c r="AR5" i="16"/>
  <c r="BI5" i="16"/>
  <c r="BX5" i="16"/>
  <c r="BN71" i="16"/>
  <c r="AU41" i="16"/>
  <c r="AF39" i="16"/>
  <c r="AS39" i="16"/>
  <c r="AQ68" i="16"/>
  <c r="AY68" i="16" s="1"/>
  <c r="AG42" i="16"/>
  <c r="AT66" i="16"/>
  <c r="AH40" i="16"/>
  <c r="AH36" i="16"/>
  <c r="CB41" i="16"/>
  <c r="AW41" i="16"/>
  <c r="BZ29" i="16"/>
  <c r="AU29" i="16"/>
  <c r="CB70" i="16"/>
  <c r="AW70" i="16"/>
  <c r="BX66" i="16"/>
  <c r="BY66" i="16"/>
  <c r="BJ66" i="16"/>
  <c r="BI66" i="16"/>
  <c r="AR66" i="16"/>
  <c r="AQ66" i="16"/>
  <c r="AY66" i="16" s="1"/>
  <c r="AI66" i="16"/>
  <c r="AH66" i="16"/>
  <c r="BZ52" i="16"/>
  <c r="AU52" i="16"/>
  <c r="CC44" i="16"/>
  <c r="AX44" i="16"/>
  <c r="BZ44" i="16"/>
  <c r="AU44" i="16"/>
  <c r="BV40" i="16"/>
  <c r="CD40" i="16" s="1"/>
  <c r="BW40" i="16"/>
  <c r="BH40" i="16"/>
  <c r="BG40" i="16"/>
  <c r="BO40" i="16" s="1"/>
  <c r="AT40" i="16"/>
  <c r="AS40" i="16"/>
  <c r="AG40" i="16"/>
  <c r="AF40" i="16"/>
  <c r="BV36" i="16"/>
  <c r="CD36" i="16" s="1"/>
  <c r="BW36" i="16"/>
  <c r="BH36" i="16"/>
  <c r="BG36" i="16"/>
  <c r="BO36" i="16" s="1"/>
  <c r="AT36" i="16"/>
  <c r="AS36" i="16"/>
  <c r="AG36" i="16"/>
  <c r="AF36" i="16"/>
  <c r="BL32" i="16"/>
  <c r="AK32" i="16"/>
  <c r="CC26" i="16"/>
  <c r="AX26" i="16"/>
  <c r="CB14" i="16"/>
  <c r="AL14" i="16"/>
  <c r="BK5" i="16"/>
  <c r="AU5" i="16"/>
  <c r="BM67" i="16"/>
  <c r="AL67" i="16"/>
  <c r="BV39" i="16"/>
  <c r="CD39" i="16" s="1"/>
  <c r="BW39" i="16"/>
  <c r="BH39" i="16"/>
  <c r="BP39" i="16" s="1"/>
  <c r="BV68" i="16"/>
  <c r="CD68" i="16" s="1"/>
  <c r="BW68" i="16"/>
  <c r="BH68" i="16"/>
  <c r="BG68" i="16"/>
  <c r="BO68" i="16" s="1"/>
  <c r="AT68" i="16"/>
  <c r="AS68" i="16"/>
  <c r="AG68" i="16"/>
  <c r="AF68" i="16"/>
  <c r="BX42" i="16"/>
  <c r="BY42" i="16"/>
  <c r="BJ42" i="16"/>
  <c r="BI42" i="16"/>
  <c r="AR42" i="16"/>
  <c r="AQ42" i="16"/>
  <c r="AY42" i="16" s="1"/>
  <c r="AI42" i="16"/>
  <c r="AH42" i="16"/>
  <c r="CA38" i="16"/>
  <c r="AV38" i="16"/>
  <c r="CC34" i="16"/>
  <c r="AX34" i="16"/>
  <c r="CC30" i="16"/>
  <c r="AX30" i="16"/>
  <c r="CC16" i="16"/>
  <c r="AX16" i="16"/>
  <c r="BK4" i="16"/>
  <c r="AU4" i="16"/>
  <c r="BN36" i="16"/>
  <c r="AM36" i="16"/>
  <c r="BX17" i="16"/>
  <c r="BY17" i="16"/>
  <c r="BI17" i="16"/>
  <c r="BJ17" i="16"/>
  <c r="AR17" i="16"/>
  <c r="AH17" i="16"/>
  <c r="AQ17" i="16"/>
  <c r="AY17" i="16" s="1"/>
  <c r="AG17" i="16"/>
  <c r="AX9" i="16"/>
  <c r="AG3" i="16"/>
  <c r="AS3" i="16"/>
  <c r="AF3" i="16"/>
  <c r="AT3" i="16"/>
  <c r="BH3" i="16"/>
  <c r="BG3" i="16"/>
  <c r="BO3" i="16" s="1"/>
  <c r="BW3" i="16"/>
  <c r="CE3" i="16" s="1"/>
  <c r="AX69" i="16"/>
  <c r="AL54" i="16"/>
  <c r="AM43" i="16"/>
  <c r="AX38" i="16"/>
  <c r="AH32" i="16"/>
  <c r="AI32" i="16"/>
  <c r="AQ32" i="16"/>
  <c r="AY32" i="16" s="1"/>
  <c r="AR32" i="16"/>
  <c r="BJ32" i="16"/>
  <c r="BI32" i="16"/>
  <c r="BY32" i="16"/>
  <c r="AF46" i="16"/>
  <c r="AG46" i="16"/>
  <c r="AS46" i="16"/>
  <c r="AT46" i="16"/>
  <c r="BG46" i="16"/>
  <c r="BO46" i="16" s="1"/>
  <c r="BH46" i="16"/>
  <c r="BW46" i="16"/>
  <c r="CF46" i="16" s="1"/>
  <c r="AW39" i="16"/>
  <c r="AU14" i="16"/>
  <c r="AU30" i="16"/>
  <c r="AW5" i="16"/>
  <c r="AU70" i="16"/>
  <c r="AV52" i="16"/>
  <c r="AW29" i="16"/>
  <c r="AX4" i="16"/>
  <c r="AV67" i="16"/>
  <c r="AW3" i="16"/>
  <c r="AH69" i="16"/>
  <c r="AI69" i="16"/>
  <c r="AQ69" i="16"/>
  <c r="AY69" i="16" s="1"/>
  <c r="AR69" i="16"/>
  <c r="BI69" i="16"/>
  <c r="BJ69" i="16"/>
  <c r="BY69" i="16"/>
  <c r="CG69" i="16" s="1"/>
  <c r="AG9" i="16"/>
  <c r="AS9" i="16"/>
  <c r="AF9" i="16"/>
  <c r="AT9" i="16"/>
  <c r="BH9" i="16"/>
  <c r="BG9" i="16"/>
  <c r="BO9" i="16" s="1"/>
  <c r="BW9" i="16"/>
  <c r="CE9" i="16" s="1"/>
  <c r="AV66" i="16"/>
  <c r="AF43" i="16"/>
  <c r="AG43" i="16"/>
  <c r="AS43" i="16"/>
  <c r="AT43" i="16"/>
  <c r="BG43" i="16"/>
  <c r="BO43" i="16" s="1"/>
  <c r="BH43" i="16"/>
  <c r="BW43" i="16"/>
  <c r="CF43" i="16" s="1"/>
  <c r="AV40" i="16"/>
  <c r="AV17" i="16"/>
  <c r="AX46" i="16"/>
  <c r="AK68" i="16"/>
  <c r="AV34" i="16"/>
  <c r="AV16" i="16"/>
  <c r="AU57" i="16"/>
  <c r="AU69" i="16"/>
  <c r="AG5" i="16"/>
  <c r="AS5" i="16"/>
  <c r="AF5" i="16"/>
  <c r="AT5" i="16"/>
  <c r="BH5" i="16"/>
  <c r="BG5" i="16"/>
  <c r="BO5" i="16" s="1"/>
  <c r="BW5" i="16"/>
  <c r="CE5" i="16" s="1"/>
  <c r="AX71" i="16"/>
  <c r="AJ41" i="16"/>
  <c r="AH39" i="16"/>
  <c r="AI39" i="16"/>
  <c r="AQ39" i="16"/>
  <c r="AY39" i="16" s="1"/>
  <c r="AR39" i="16"/>
  <c r="BI39" i="16"/>
  <c r="BJ39" i="16"/>
  <c r="BX39" i="16"/>
  <c r="BN34" i="16"/>
  <c r="BN16" i="16"/>
  <c r="BL38" i="16"/>
  <c r="BN26" i="16"/>
  <c r="BN30" i="16"/>
  <c r="BK44" i="16"/>
  <c r="BK52" i="16"/>
  <c r="BK29" i="16"/>
  <c r="BM70" i="16"/>
  <c r="AI68" i="16"/>
  <c r="AR68" i="16"/>
  <c r="AZ68" i="16" s="1"/>
  <c r="BJ68" i="16"/>
  <c r="BX68" i="16"/>
  <c r="AF42" i="16"/>
  <c r="AS42" i="16"/>
  <c r="BG42" i="16"/>
  <c r="BO42" i="16" s="1"/>
  <c r="BW42" i="16"/>
  <c r="AV32" i="16"/>
  <c r="AJ4" i="16"/>
  <c r="AW67" i="16"/>
  <c r="AF66" i="16"/>
  <c r="AS66" i="16"/>
  <c r="BG66" i="16"/>
  <c r="BO66" i="16" s="1"/>
  <c r="BW66" i="16"/>
  <c r="CE66" i="16" s="1"/>
  <c r="BN44" i="16"/>
  <c r="BM41" i="16"/>
  <c r="AI40" i="16"/>
  <c r="AR40" i="16"/>
  <c r="AZ40" i="16" s="1"/>
  <c r="BJ40" i="16"/>
  <c r="BX40" i="16"/>
  <c r="AI36" i="16"/>
  <c r="AR36" i="16"/>
  <c r="BJ36" i="16"/>
  <c r="BX36" i="16"/>
  <c r="BM14" i="16"/>
  <c r="AJ5" i="16"/>
  <c r="AX36" i="16"/>
  <c r="AI17" i="16"/>
  <c r="AF17" i="16"/>
  <c r="BH17" i="16"/>
  <c r="BP17" i="16" s="1"/>
  <c r="BW17" i="16"/>
  <c r="CF17" i="16" s="1"/>
  <c r="BL71" i="16"/>
  <c r="BM32" i="16"/>
  <c r="BK40" i="16"/>
  <c r="BN5" i="16"/>
  <c r="BL41" i="16"/>
  <c r="BL36" i="16"/>
  <c r="BM66" i="16"/>
  <c r="BM9" i="16"/>
  <c r="BL54" i="16"/>
  <c r="BK26" i="16"/>
  <c r="BL14" i="16"/>
  <c r="BL44" i="16"/>
  <c r="BL39" i="16"/>
  <c r="BN32" i="16"/>
  <c r="BK39" i="16"/>
  <c r="BM43" i="16"/>
  <c r="BM4" i="16"/>
  <c r="BN3" i="16"/>
  <c r="BM46" i="16"/>
  <c r="AI38" i="16"/>
  <c r="AR38" i="16"/>
  <c r="AZ38" i="16" s="1"/>
  <c r="BJ38" i="16"/>
  <c r="BX38" i="16"/>
  <c r="BN29" i="16"/>
  <c r="BM69" i="16"/>
  <c r="BM40" i="16"/>
  <c r="BL42" i="16"/>
  <c r="BM34" i="16"/>
  <c r="BM16" i="16"/>
  <c r="BK71" i="16"/>
  <c r="BK43" i="16"/>
  <c r="BK34" i="16"/>
  <c r="AF54" i="16"/>
  <c r="AF30" i="16"/>
  <c r="AF26" i="16"/>
  <c r="AS67" i="16"/>
  <c r="AS57" i="16"/>
  <c r="AF41" i="16"/>
  <c r="AG4" i="16"/>
  <c r="BL69" i="16"/>
  <c r="AK69" i="16"/>
  <c r="BX57" i="16"/>
  <c r="BY57" i="16"/>
  <c r="BJ57" i="16"/>
  <c r="BI57" i="16"/>
  <c r="AR57" i="16"/>
  <c r="AQ57" i="16"/>
  <c r="AY57" i="16" s="1"/>
  <c r="AI57" i="16"/>
  <c r="AH57" i="16"/>
  <c r="BX41" i="16"/>
  <c r="BY41" i="16"/>
  <c r="BJ41" i="16"/>
  <c r="BI41" i="16"/>
  <c r="AR41" i="16"/>
  <c r="AQ41" i="16"/>
  <c r="AY41" i="16" s="1"/>
  <c r="AI41" i="16"/>
  <c r="AH41" i="16"/>
  <c r="BL29" i="16"/>
  <c r="AV29" i="16"/>
  <c r="BN70" i="16"/>
  <c r="AM70" i="16"/>
  <c r="BK66" i="16"/>
  <c r="AJ66" i="16"/>
  <c r="BN52" i="16"/>
  <c r="AM52" i="16"/>
  <c r="BM44" i="16"/>
  <c r="AL44" i="16"/>
  <c r="BX26" i="16"/>
  <c r="BY26" i="16"/>
  <c r="BI26" i="16"/>
  <c r="BJ26" i="16"/>
  <c r="AR26" i="16"/>
  <c r="AQ26" i="16"/>
  <c r="AY26" i="16" s="1"/>
  <c r="AI26" i="16"/>
  <c r="AH26" i="16"/>
  <c r="BN14" i="16"/>
  <c r="AM14" i="16"/>
  <c r="BL5" i="16"/>
  <c r="AV5" i="16"/>
  <c r="BX67" i="16"/>
  <c r="BY67" i="16"/>
  <c r="BJ67" i="16"/>
  <c r="BI67" i="16"/>
  <c r="AR67" i="16"/>
  <c r="AQ67" i="16"/>
  <c r="AY67" i="16" s="1"/>
  <c r="AI67" i="16"/>
  <c r="AH67" i="16"/>
  <c r="BN17" i="16"/>
  <c r="AX17" i="16"/>
  <c r="BM68" i="16"/>
  <c r="AL68" i="16"/>
  <c r="BK68" i="16"/>
  <c r="AJ68" i="16"/>
  <c r="BX54" i="16"/>
  <c r="BY54" i="16"/>
  <c r="BJ54" i="16"/>
  <c r="BI54" i="16"/>
  <c r="AR54" i="16"/>
  <c r="AQ54" i="16"/>
  <c r="AY54" i="16" s="1"/>
  <c r="AI54" i="16"/>
  <c r="AH54" i="16"/>
  <c r="BK46" i="16"/>
  <c r="AJ46" i="16"/>
  <c r="BK38" i="16"/>
  <c r="AJ38" i="16"/>
  <c r="BL30" i="16"/>
  <c r="AV30" i="16"/>
  <c r="BX30" i="16"/>
  <c r="BY30" i="16"/>
  <c r="BI30" i="16"/>
  <c r="BJ30" i="16"/>
  <c r="AR30" i="16"/>
  <c r="AQ30" i="16"/>
  <c r="AY30" i="16" s="1"/>
  <c r="AI30" i="16"/>
  <c r="AH30" i="16"/>
  <c r="BK16" i="16"/>
  <c r="AU16" i="16"/>
  <c r="BX4" i="16"/>
  <c r="BY4" i="16"/>
  <c r="BI4" i="16"/>
  <c r="BJ4" i="16"/>
  <c r="AR4" i="16"/>
  <c r="AH4" i="16"/>
  <c r="AQ4" i="16"/>
  <c r="AY4" i="16" s="1"/>
  <c r="AI4" i="16"/>
  <c r="BL3" i="16"/>
  <c r="AV3" i="16"/>
  <c r="BK9" i="16"/>
  <c r="AU9" i="16"/>
  <c r="AV71" i="16"/>
  <c r="AW32" i="16"/>
  <c r="AU40" i="16"/>
  <c r="AX5" i="16"/>
  <c r="AV41" i="16"/>
  <c r="AV36" i="16"/>
  <c r="AW66" i="16"/>
  <c r="AL9" i="16"/>
  <c r="AV54" i="16"/>
  <c r="AU26" i="16"/>
  <c r="AV14" i="16"/>
  <c r="AV44" i="16"/>
  <c r="AV39" i="16"/>
  <c r="AX32" i="16"/>
  <c r="AU39" i="16"/>
  <c r="AW43" i="16"/>
  <c r="AL4" i="16"/>
  <c r="AF70" i="16"/>
  <c r="AG70" i="16"/>
  <c r="AS70" i="16"/>
  <c r="AT70" i="16"/>
  <c r="BG70" i="16"/>
  <c r="BO70" i="16" s="1"/>
  <c r="BH70" i="16"/>
  <c r="BW70" i="16"/>
  <c r="CE70" i="16" s="1"/>
  <c r="AX3" i="16"/>
  <c r="AW46" i="16"/>
  <c r="AF38" i="16"/>
  <c r="AG38" i="16"/>
  <c r="AS38" i="16"/>
  <c r="AT38" i="16"/>
  <c r="BG38" i="16"/>
  <c r="BO38" i="16" s="1"/>
  <c r="BH38" i="16"/>
  <c r="BW38" i="16"/>
  <c r="CE38" i="16" s="1"/>
  <c r="AX29" i="16"/>
  <c r="AW69" i="16"/>
  <c r="AW40" i="16"/>
  <c r="AV42" i="16"/>
  <c r="AW34" i="16"/>
  <c r="AL16" i="16"/>
  <c r="AU71" i="16"/>
  <c r="AU43" i="16"/>
  <c r="AU34" i="16"/>
  <c r="BZ16" i="16"/>
  <c r="CA69" i="16"/>
  <c r="BZ66" i="16"/>
  <c r="AG54" i="16"/>
  <c r="AT54" i="16"/>
  <c r="BH54" i="16"/>
  <c r="BP54" i="16" s="1"/>
  <c r="BV54" i="16"/>
  <c r="CD54" i="16" s="1"/>
  <c r="AG30" i="16"/>
  <c r="AT30" i="16"/>
  <c r="BG30" i="16"/>
  <c r="BO30" i="16" s="1"/>
  <c r="BV30" i="16"/>
  <c r="CD30" i="16" s="1"/>
  <c r="AG26" i="16"/>
  <c r="AT26" i="16"/>
  <c r="BG26" i="16"/>
  <c r="BO26" i="16" s="1"/>
  <c r="BV26" i="16"/>
  <c r="CD26" i="16" s="1"/>
  <c r="BZ68" i="16"/>
  <c r="AG67" i="16"/>
  <c r="AT67" i="16"/>
  <c r="BH67" i="16"/>
  <c r="BV67" i="16"/>
  <c r="CD67" i="16" s="1"/>
  <c r="AG57" i="16"/>
  <c r="AT57" i="16"/>
  <c r="BH57" i="16"/>
  <c r="BV57" i="16"/>
  <c r="CD57" i="16" s="1"/>
  <c r="CB44" i="16"/>
  <c r="AG41" i="16"/>
  <c r="AT41" i="16"/>
  <c r="BH41" i="16"/>
  <c r="BP41" i="16" s="1"/>
  <c r="BV41" i="16"/>
  <c r="CD41" i="16" s="1"/>
  <c r="CC14" i="16"/>
  <c r="CB68" i="16"/>
  <c r="BZ46" i="16"/>
  <c r="BZ38" i="16"/>
  <c r="AS4" i="16"/>
  <c r="AT4" i="16"/>
  <c r="BG4" i="16"/>
  <c r="BO4" i="16" s="1"/>
  <c r="BV4" i="16"/>
  <c r="CD4" i="16" s="1"/>
  <c r="CC70" i="16"/>
  <c r="CC52" i="16"/>
  <c r="CA5" i="16"/>
  <c r="CA30" i="16"/>
  <c r="AJ9" i="16"/>
  <c r="AM17" i="16"/>
  <c r="AK5" i="16"/>
  <c r="AK3" i="16"/>
  <c r="AK30" i="16"/>
  <c r="AK29" i="16"/>
  <c r="CF66" i="16"/>
  <c r="CE71" i="16"/>
  <c r="CF71" i="16"/>
  <c r="CG71" i="16"/>
  <c r="CE16" i="16"/>
  <c r="CF16" i="16"/>
  <c r="CG16" i="16"/>
  <c r="CE29" i="16"/>
  <c r="CF29" i="16"/>
  <c r="CG29" i="16"/>
  <c r="CE44" i="16"/>
  <c r="CF44" i="16"/>
  <c r="CG44" i="16"/>
  <c r="CE34" i="16"/>
  <c r="CF34" i="16"/>
  <c r="CG34" i="16"/>
  <c r="CE14" i="16"/>
  <c r="CF14" i="16"/>
  <c r="CG14" i="16"/>
  <c r="BP44" i="16"/>
  <c r="BQ44" i="16"/>
  <c r="BR44" i="16"/>
  <c r="BP14" i="16"/>
  <c r="BQ14" i="16"/>
  <c r="BR14" i="16"/>
  <c r="BP71" i="16"/>
  <c r="BQ71" i="16"/>
  <c r="BR71" i="16"/>
  <c r="BP34" i="16"/>
  <c r="BQ34" i="16"/>
  <c r="BR34" i="16"/>
  <c r="BP16" i="16"/>
  <c r="BQ16" i="16"/>
  <c r="BR16" i="16"/>
  <c r="BP29" i="16"/>
  <c r="BQ29" i="16"/>
  <c r="BR29" i="16"/>
  <c r="AZ71" i="16"/>
  <c r="BA71" i="16"/>
  <c r="BB71" i="16"/>
  <c r="AZ16" i="16"/>
  <c r="BA16" i="16"/>
  <c r="BB16" i="16"/>
  <c r="AZ29" i="16"/>
  <c r="BA29" i="16"/>
  <c r="BB29" i="16"/>
  <c r="AZ44" i="16"/>
  <c r="BA44" i="16"/>
  <c r="BB44" i="16"/>
  <c r="AZ34" i="16"/>
  <c r="BA34" i="16"/>
  <c r="BB34" i="16"/>
  <c r="AZ14" i="16"/>
  <c r="BA14" i="16"/>
  <c r="BB14" i="16"/>
  <c r="Z65" i="16"/>
  <c r="Z64" i="16"/>
  <c r="Z63" i="16"/>
  <c r="Z62" i="16"/>
  <c r="Z61" i="16"/>
  <c r="Z60" i="16"/>
  <c r="Z59" i="16"/>
  <c r="Z58" i="16"/>
  <c r="Z56" i="16"/>
  <c r="Z55" i="16"/>
  <c r="Z53" i="16"/>
  <c r="Z51" i="16"/>
  <c r="Z50" i="16"/>
  <c r="Z49" i="16"/>
  <c r="Z48" i="16"/>
  <c r="Z47" i="16"/>
  <c r="Z45" i="16"/>
  <c r="Z37" i="16"/>
  <c r="Z35" i="16"/>
  <c r="Z33" i="16"/>
  <c r="Z31" i="16"/>
  <c r="Z28" i="16"/>
  <c r="Z27" i="16"/>
  <c r="Z25" i="16"/>
  <c r="Z24" i="16"/>
  <c r="Z23" i="16"/>
  <c r="Z22" i="16"/>
  <c r="Z21" i="16"/>
  <c r="Z20" i="16"/>
  <c r="Z19" i="16"/>
  <c r="Z18" i="16"/>
  <c r="Z15" i="16"/>
  <c r="Z13" i="16"/>
  <c r="Z12" i="16"/>
  <c r="Z11" i="16"/>
  <c r="Z10" i="16"/>
  <c r="Z8" i="16"/>
  <c r="Z7" i="16"/>
  <c r="Z6" i="16"/>
  <c r="CG43" i="16" l="1"/>
  <c r="CE46" i="16"/>
  <c r="H83" i="44"/>
  <c r="P68" i="6"/>
  <c r="P70" i="6"/>
  <c r="P69" i="6"/>
  <c r="P72" i="6"/>
  <c r="P74" i="6"/>
  <c r="R74" i="6" s="1"/>
  <c r="P76" i="6"/>
  <c r="P78" i="6"/>
  <c r="P80" i="6"/>
  <c r="P82" i="6"/>
  <c r="P84" i="6"/>
  <c r="P71" i="6"/>
  <c r="P73" i="6"/>
  <c r="R73" i="6" s="1"/>
  <c r="P75" i="6"/>
  <c r="R75" i="6" s="1"/>
  <c r="S75" i="6" s="1"/>
  <c r="V75" i="6" s="1"/>
  <c r="P77" i="6"/>
  <c r="P79" i="6"/>
  <c r="P81" i="6"/>
  <c r="P83" i="6"/>
  <c r="P85" i="6"/>
  <c r="I83" i="44"/>
  <c r="Q69" i="6"/>
  <c r="Q68" i="6"/>
  <c r="Q70" i="6"/>
  <c r="Q71" i="6"/>
  <c r="Q73" i="6"/>
  <c r="Q75" i="6"/>
  <c r="Q77" i="6"/>
  <c r="R77" i="6" s="1"/>
  <c r="Q79" i="6"/>
  <c r="R79" i="6" s="1"/>
  <c r="Q81" i="6"/>
  <c r="Q83" i="6"/>
  <c r="Q85" i="6"/>
  <c r="Q72" i="6"/>
  <c r="Q74" i="6"/>
  <c r="Q76" i="6"/>
  <c r="Q78" i="6"/>
  <c r="Q80" i="6"/>
  <c r="Q82" i="6"/>
  <c r="Q84" i="6"/>
  <c r="J111" i="44"/>
  <c r="Y5" i="6"/>
  <c r="Y6" i="6"/>
  <c r="K111" i="44"/>
  <c r="Z6" i="6"/>
  <c r="Z5" i="6"/>
  <c r="Z50" i="6"/>
  <c r="Z52" i="6"/>
  <c r="Z54" i="6"/>
  <c r="Z56" i="6"/>
  <c r="Z58" i="6"/>
  <c r="Z60" i="6"/>
  <c r="Z62" i="6"/>
  <c r="Z64" i="6"/>
  <c r="Z66" i="6"/>
  <c r="Z51" i="6"/>
  <c r="Z53" i="6"/>
  <c r="Z55" i="6"/>
  <c r="Z57" i="6"/>
  <c r="Z59" i="6"/>
  <c r="Z61" i="6"/>
  <c r="Z63" i="6"/>
  <c r="Z65" i="6"/>
  <c r="Z67" i="6"/>
  <c r="H82" i="44"/>
  <c r="P50" i="6"/>
  <c r="P52" i="6"/>
  <c r="P54" i="6"/>
  <c r="P56" i="6"/>
  <c r="R56" i="6" s="1"/>
  <c r="P58" i="6"/>
  <c r="P60" i="6"/>
  <c r="P62" i="6"/>
  <c r="P64" i="6"/>
  <c r="P66" i="6"/>
  <c r="P51" i="6"/>
  <c r="P53" i="6"/>
  <c r="P55" i="6"/>
  <c r="R55" i="6" s="1"/>
  <c r="S55" i="6" s="1"/>
  <c r="V55" i="6" s="1"/>
  <c r="P57" i="6"/>
  <c r="R57" i="6" s="1"/>
  <c r="P59" i="6"/>
  <c r="P61" i="6"/>
  <c r="P63" i="6"/>
  <c r="P65" i="6"/>
  <c r="P67" i="6"/>
  <c r="J81" i="44"/>
  <c r="Y87" i="6"/>
  <c r="Y89" i="6"/>
  <c r="Y91" i="6"/>
  <c r="Y86" i="6"/>
  <c r="Y88" i="6"/>
  <c r="Y90" i="6"/>
  <c r="Y92" i="6"/>
  <c r="Y94" i="6"/>
  <c r="Y96" i="6"/>
  <c r="Y98" i="6"/>
  <c r="Y100" i="6"/>
  <c r="Y102" i="6"/>
  <c r="Y93" i="6"/>
  <c r="Y95" i="6"/>
  <c r="Y97" i="6"/>
  <c r="Y99" i="6"/>
  <c r="Y101" i="6"/>
  <c r="Y103" i="6"/>
  <c r="Z86" i="6"/>
  <c r="Z88" i="6"/>
  <c r="Z90" i="6"/>
  <c r="Z87" i="6"/>
  <c r="Z89" i="6"/>
  <c r="Z91" i="6"/>
  <c r="Z93" i="6"/>
  <c r="Z95" i="6"/>
  <c r="Z97" i="6"/>
  <c r="Z99" i="6"/>
  <c r="Z101" i="6"/>
  <c r="Z103" i="6"/>
  <c r="R103" i="6" s="1"/>
  <c r="Z92" i="6"/>
  <c r="Z94" i="6"/>
  <c r="Z96" i="6"/>
  <c r="Z98" i="6"/>
  <c r="Z100" i="6"/>
  <c r="Z102" i="6"/>
  <c r="R102" i="6" s="1"/>
  <c r="CS82" i="16"/>
  <c r="M51" i="6"/>
  <c r="R51" i="6" s="1"/>
  <c r="S51" i="6" s="1"/>
  <c r="V51" i="6" s="1"/>
  <c r="M53" i="6"/>
  <c r="M55" i="6"/>
  <c r="M57" i="6"/>
  <c r="M59" i="6"/>
  <c r="M61" i="6"/>
  <c r="M63" i="6"/>
  <c r="M65" i="6"/>
  <c r="M67" i="6"/>
  <c r="M50" i="6"/>
  <c r="M52" i="6"/>
  <c r="R52" i="6" s="1"/>
  <c r="M54" i="6"/>
  <c r="M56" i="6"/>
  <c r="M58" i="6"/>
  <c r="M60" i="6"/>
  <c r="M62" i="6"/>
  <c r="M64" i="6"/>
  <c r="M66" i="6"/>
  <c r="R72" i="6"/>
  <c r="J83" i="44"/>
  <c r="Y69" i="6"/>
  <c r="Y68" i="6"/>
  <c r="Y70" i="6"/>
  <c r="Y71" i="6"/>
  <c r="Y73" i="6"/>
  <c r="Y75" i="6"/>
  <c r="Y77" i="6"/>
  <c r="Y79" i="6"/>
  <c r="Y81" i="6"/>
  <c r="Y83" i="6"/>
  <c r="Y85" i="6"/>
  <c r="Y72" i="6"/>
  <c r="Y74" i="6"/>
  <c r="Y76" i="6"/>
  <c r="Y78" i="6"/>
  <c r="Y80" i="6"/>
  <c r="Y82" i="6"/>
  <c r="Y84" i="6"/>
  <c r="Z68" i="6"/>
  <c r="Z69" i="6"/>
  <c r="Z72" i="6"/>
  <c r="Z74" i="6"/>
  <c r="Z76" i="6"/>
  <c r="Z78" i="6"/>
  <c r="Z80" i="6"/>
  <c r="Z82" i="6"/>
  <c r="Z84" i="6"/>
  <c r="Z70" i="6"/>
  <c r="Z71" i="6"/>
  <c r="Z73" i="6"/>
  <c r="Z75" i="6"/>
  <c r="Z77" i="6"/>
  <c r="Z79" i="6"/>
  <c r="Z81" i="6"/>
  <c r="Z83" i="6"/>
  <c r="Z85" i="6"/>
  <c r="H111" i="44"/>
  <c r="P6" i="6"/>
  <c r="P5" i="6"/>
  <c r="I111" i="44"/>
  <c r="Q5" i="6"/>
  <c r="Q6" i="6"/>
  <c r="I82" i="44"/>
  <c r="Q51" i="6"/>
  <c r="Q53" i="6"/>
  <c r="Q55" i="6"/>
  <c r="Q57" i="6"/>
  <c r="Q59" i="6"/>
  <c r="R59" i="6" s="1"/>
  <c r="Q61" i="6"/>
  <c r="R61" i="6" s="1"/>
  <c r="Q63" i="6"/>
  <c r="Q65" i="6"/>
  <c r="Q67" i="6"/>
  <c r="Q50" i="6"/>
  <c r="Q52" i="6"/>
  <c r="Q54" i="6"/>
  <c r="Q56" i="6"/>
  <c r="Q58" i="6"/>
  <c r="R58" i="6" s="1"/>
  <c r="S58" i="6" s="1"/>
  <c r="V58" i="6" s="1"/>
  <c r="Q60" i="6"/>
  <c r="R60" i="6" s="1"/>
  <c r="S60" i="6" s="1"/>
  <c r="V60" i="6" s="1"/>
  <c r="Q62" i="6"/>
  <c r="Q64" i="6"/>
  <c r="Q66" i="6"/>
  <c r="J82" i="44"/>
  <c r="Y51" i="6"/>
  <c r="Y53" i="6"/>
  <c r="Y55" i="6"/>
  <c r="Y57" i="6"/>
  <c r="Y59" i="6"/>
  <c r="Y61" i="6"/>
  <c r="Y63" i="6"/>
  <c r="Y65" i="6"/>
  <c r="Y67" i="6"/>
  <c r="Y50" i="6"/>
  <c r="Y52" i="6"/>
  <c r="Y54" i="6"/>
  <c r="Y56" i="6"/>
  <c r="Y58" i="6"/>
  <c r="Y60" i="6"/>
  <c r="Y62" i="6"/>
  <c r="Y64" i="6"/>
  <c r="Y66" i="6"/>
  <c r="H81" i="44"/>
  <c r="P86" i="6"/>
  <c r="P88" i="6"/>
  <c r="P90" i="6"/>
  <c r="P87" i="6"/>
  <c r="P89" i="6"/>
  <c r="P91" i="6"/>
  <c r="R91" i="6" s="1"/>
  <c r="S91" i="6" s="1"/>
  <c r="V91" i="6" s="1"/>
  <c r="P93" i="6"/>
  <c r="R93" i="6" s="1"/>
  <c r="P95" i="6"/>
  <c r="P97" i="6"/>
  <c r="P99" i="6"/>
  <c r="P101" i="6"/>
  <c r="P103" i="6"/>
  <c r="P92" i="6"/>
  <c r="R92" i="6" s="1"/>
  <c r="P94" i="6"/>
  <c r="P96" i="6"/>
  <c r="P98" i="6"/>
  <c r="P100" i="6"/>
  <c r="P102" i="6"/>
  <c r="I81" i="44"/>
  <c r="Q87" i="6"/>
  <c r="Q89" i="6"/>
  <c r="Q91" i="6"/>
  <c r="Q86" i="6"/>
  <c r="Q88" i="6"/>
  <c r="Q90" i="6"/>
  <c r="Q92" i="6"/>
  <c r="Q94" i="6"/>
  <c r="Q96" i="6"/>
  <c r="Q98" i="6"/>
  <c r="Q100" i="6"/>
  <c r="Q102" i="6"/>
  <c r="Q93" i="6"/>
  <c r="Q95" i="6"/>
  <c r="Q97" i="6"/>
  <c r="Q99" i="6"/>
  <c r="Q101" i="6"/>
  <c r="Q103" i="6"/>
  <c r="CS111" i="16"/>
  <c r="M5" i="6"/>
  <c r="M6" i="6"/>
  <c r="R6" i="6" s="1"/>
  <c r="S6" i="6" s="1"/>
  <c r="V6" i="6" s="1"/>
  <c r="X6" i="6" s="1"/>
  <c r="CS81" i="16"/>
  <c r="M87" i="6"/>
  <c r="R87" i="6" s="1"/>
  <c r="S87" i="6" s="1"/>
  <c r="V87" i="6" s="1"/>
  <c r="M89" i="6"/>
  <c r="M91" i="6"/>
  <c r="M86" i="6"/>
  <c r="M88" i="6"/>
  <c r="R88" i="6" s="1"/>
  <c r="M90" i="6"/>
  <c r="M92" i="6"/>
  <c r="M94" i="6"/>
  <c r="M96" i="6"/>
  <c r="M98" i="6"/>
  <c r="M100" i="6"/>
  <c r="M102" i="6"/>
  <c r="M93" i="6"/>
  <c r="M95" i="6"/>
  <c r="M97" i="6"/>
  <c r="M99" i="6"/>
  <c r="M101" i="6"/>
  <c r="M103" i="6"/>
  <c r="S89" i="6"/>
  <c r="V89" i="6" s="1"/>
  <c r="S90" i="6"/>
  <c r="V90" i="6" s="1"/>
  <c r="S53" i="6"/>
  <c r="V53" i="6" s="1"/>
  <c r="S54" i="6"/>
  <c r="V54" i="6" s="1"/>
  <c r="R71" i="6"/>
  <c r="R70" i="6"/>
  <c r="S70" i="6" s="1"/>
  <c r="V70" i="6" s="1"/>
  <c r="BP26" i="16"/>
  <c r="AZ46" i="16"/>
  <c r="CF32" i="16"/>
  <c r="CF52" i="16"/>
  <c r="CG52" i="16"/>
  <c r="CE52" i="16"/>
  <c r="E76" i="44"/>
  <c r="E93" i="44"/>
  <c r="E73" i="44"/>
  <c r="E106" i="44"/>
  <c r="E74" i="44"/>
  <c r="E99" i="44"/>
  <c r="E97" i="44"/>
  <c r="E112" i="44"/>
  <c r="E114" i="44"/>
  <c r="E89" i="44"/>
  <c r="E80" i="44"/>
  <c r="E82" i="44"/>
  <c r="E92" i="44"/>
  <c r="E110" i="44"/>
  <c r="E103" i="44"/>
  <c r="E100" i="44"/>
  <c r="E95" i="44"/>
  <c r="E75" i="44"/>
  <c r="E79" i="44"/>
  <c r="E105" i="44"/>
  <c r="E107" i="44"/>
  <c r="E104" i="44"/>
  <c r="E88" i="44"/>
  <c r="E86" i="44"/>
  <c r="E90" i="44"/>
  <c r="E78" i="44"/>
  <c r="E101" i="44"/>
  <c r="E84" i="44"/>
  <c r="E111" i="44"/>
  <c r="E96" i="44"/>
  <c r="E81" i="44"/>
  <c r="E77" i="44"/>
  <c r="E113" i="44"/>
  <c r="E98" i="44"/>
  <c r="E94" i="44"/>
  <c r="E102" i="44"/>
  <c r="E91" i="44"/>
  <c r="E85" i="44"/>
  <c r="BR42" i="16"/>
  <c r="K88" i="44"/>
  <c r="O88" i="16"/>
  <c r="AA89" i="38" s="1"/>
  <c r="R86" i="4"/>
  <c r="I87" i="38" s="1"/>
  <c r="J87" i="38" s="1"/>
  <c r="R87" i="38" s="1"/>
  <c r="F87" i="38"/>
  <c r="P87" i="38" s="1"/>
  <c r="R99" i="4"/>
  <c r="I100" i="38" s="1"/>
  <c r="J100" i="38" s="1"/>
  <c r="R100" i="38" s="1"/>
  <c r="F100" i="38"/>
  <c r="P100" i="38" s="1"/>
  <c r="O90" i="16"/>
  <c r="AA91" i="38" s="1"/>
  <c r="J90" i="44"/>
  <c r="F98" i="38"/>
  <c r="P98" i="38" s="1"/>
  <c r="R97" i="4"/>
  <c r="I98" i="38" s="1"/>
  <c r="J98" i="38" s="1"/>
  <c r="R98" i="38" s="1"/>
  <c r="K78" i="44"/>
  <c r="O78" i="16"/>
  <c r="AA79" i="38" s="1"/>
  <c r="F79" i="38"/>
  <c r="P79" i="38" s="1"/>
  <c r="R78" i="4"/>
  <c r="I79" i="38" s="1"/>
  <c r="J79" i="38" s="1"/>
  <c r="R79" i="38" s="1"/>
  <c r="R72" i="4"/>
  <c r="I73" i="38" s="1"/>
  <c r="J73" i="38" s="1"/>
  <c r="R73" i="38" s="1"/>
  <c r="F73" i="38"/>
  <c r="P73" i="38" s="1"/>
  <c r="R89" i="4"/>
  <c r="I90" i="38" s="1"/>
  <c r="J90" i="38" s="1"/>
  <c r="R90" i="38" s="1"/>
  <c r="F90" i="38"/>
  <c r="P90" i="38" s="1"/>
  <c r="J100" i="44"/>
  <c r="O100" i="16"/>
  <c r="AA101" i="38" s="1"/>
  <c r="O98" i="16"/>
  <c r="AA99" i="38" s="1"/>
  <c r="J98" i="44"/>
  <c r="R95" i="4"/>
  <c r="I96" i="38" s="1"/>
  <c r="J96" i="38" s="1"/>
  <c r="R96" i="38" s="1"/>
  <c r="F96" i="38"/>
  <c r="P96" i="38" s="1"/>
  <c r="F113" i="38"/>
  <c r="P113" i="38" s="1"/>
  <c r="R112" i="4"/>
  <c r="I113" i="38" s="1"/>
  <c r="J113" i="38" s="1"/>
  <c r="R113" i="38" s="1"/>
  <c r="F102" i="38"/>
  <c r="P102" i="38" s="1"/>
  <c r="R101" i="4"/>
  <c r="I102" i="38" s="1"/>
  <c r="J102" i="38" s="1"/>
  <c r="R102" i="38" s="1"/>
  <c r="O101" i="16"/>
  <c r="AA102" i="38" s="1"/>
  <c r="K101" i="44"/>
  <c r="O108" i="16"/>
  <c r="AA109" i="38" s="1"/>
  <c r="K108" i="44"/>
  <c r="O106" i="16"/>
  <c r="AA107" i="38" s="1"/>
  <c r="K106" i="44"/>
  <c r="F107" i="38"/>
  <c r="P107" i="38" s="1"/>
  <c r="R106" i="4"/>
  <c r="I107" i="38" s="1"/>
  <c r="J107" i="38" s="1"/>
  <c r="R107" i="38" s="1"/>
  <c r="O115" i="16"/>
  <c r="AA116" i="38" s="1"/>
  <c r="K115" i="44"/>
  <c r="F116" i="38"/>
  <c r="P116" i="38" s="1"/>
  <c r="R115" i="4"/>
  <c r="I116" i="38" s="1"/>
  <c r="J116" i="38" s="1"/>
  <c r="R116" i="38" s="1"/>
  <c r="O102" i="16"/>
  <c r="AA103" i="38" s="1"/>
  <c r="K102" i="44"/>
  <c r="O105" i="16"/>
  <c r="AA106" i="38" s="1"/>
  <c r="K105" i="44"/>
  <c r="O104" i="16"/>
  <c r="AA105" i="38" s="1"/>
  <c r="K104" i="44"/>
  <c r="F105" i="38"/>
  <c r="P105" i="38" s="1"/>
  <c r="R104" i="4"/>
  <c r="I105" i="38" s="1"/>
  <c r="J105" i="38" s="1"/>
  <c r="R105" i="38" s="1"/>
  <c r="K80" i="44"/>
  <c r="O80" i="16"/>
  <c r="AA81" i="38" s="1"/>
  <c r="AA112" i="38"/>
  <c r="L111" i="4"/>
  <c r="N111" i="16"/>
  <c r="Q111" i="4" s="1"/>
  <c r="K82" i="44"/>
  <c r="O82" i="16"/>
  <c r="AA83" i="38" s="1"/>
  <c r="R94" i="4"/>
  <c r="I95" i="38" s="1"/>
  <c r="J95" i="38" s="1"/>
  <c r="R95" i="38" s="1"/>
  <c r="F95" i="38"/>
  <c r="P95" i="38" s="1"/>
  <c r="O96" i="16"/>
  <c r="AA97" i="38" s="1"/>
  <c r="J96" i="44"/>
  <c r="O92" i="16"/>
  <c r="AA93" i="38" s="1"/>
  <c r="J92" i="44"/>
  <c r="O81" i="16"/>
  <c r="AA82" i="38" s="1"/>
  <c r="K81" i="44"/>
  <c r="R81" i="4"/>
  <c r="I82" i="38" s="1"/>
  <c r="J82" i="38" s="1"/>
  <c r="R82" i="38" s="1"/>
  <c r="F82" i="38"/>
  <c r="P82" i="38" s="1"/>
  <c r="O110" i="16"/>
  <c r="AA111" i="38" s="1"/>
  <c r="K110" i="44"/>
  <c r="R110" i="4"/>
  <c r="I111" i="38" s="1"/>
  <c r="J111" i="38" s="1"/>
  <c r="R111" i="38" s="1"/>
  <c r="F111" i="38"/>
  <c r="P111" i="38" s="1"/>
  <c r="R91" i="4"/>
  <c r="I92" i="38" s="1"/>
  <c r="J92" i="38" s="1"/>
  <c r="R92" i="38" s="1"/>
  <c r="F92" i="38"/>
  <c r="P92" i="38" s="1"/>
  <c r="O93" i="16"/>
  <c r="AA94" i="38" s="1"/>
  <c r="J93" i="44"/>
  <c r="F110" i="38"/>
  <c r="P110" i="38" s="1"/>
  <c r="R109" i="4"/>
  <c r="I110" i="38" s="1"/>
  <c r="J110" i="38" s="1"/>
  <c r="R110" i="38" s="1"/>
  <c r="F104" i="38"/>
  <c r="P104" i="38" s="1"/>
  <c r="R103" i="4"/>
  <c r="I104" i="38" s="1"/>
  <c r="J104" i="38" s="1"/>
  <c r="R104" i="38" s="1"/>
  <c r="O113" i="16"/>
  <c r="AA114" i="38" s="1"/>
  <c r="K113" i="44"/>
  <c r="F114" i="38"/>
  <c r="P114" i="38" s="1"/>
  <c r="R113" i="4"/>
  <c r="I114" i="38" s="1"/>
  <c r="J114" i="38" s="1"/>
  <c r="R114" i="38" s="1"/>
  <c r="O73" i="16"/>
  <c r="AA74" i="38" s="1"/>
  <c r="I73" i="44"/>
  <c r="F74" i="38"/>
  <c r="P74" i="38" s="1"/>
  <c r="R73" i="4"/>
  <c r="I74" i="38" s="1"/>
  <c r="J74" i="38" s="1"/>
  <c r="R74" i="38" s="1"/>
  <c r="F89" i="38"/>
  <c r="P89" i="38" s="1"/>
  <c r="R88" i="4"/>
  <c r="I89" i="38" s="1"/>
  <c r="J89" i="38" s="1"/>
  <c r="R89" i="38" s="1"/>
  <c r="O74" i="16"/>
  <c r="AA75" i="38" s="1"/>
  <c r="K74" i="44"/>
  <c r="R74" i="4"/>
  <c r="I75" i="38" s="1"/>
  <c r="J75" i="38" s="1"/>
  <c r="R75" i="38" s="1"/>
  <c r="F75" i="38"/>
  <c r="P75" i="38" s="1"/>
  <c r="O86" i="16"/>
  <c r="AA87" i="38" s="1"/>
  <c r="K86" i="44"/>
  <c r="O99" i="16"/>
  <c r="AA100" i="38" s="1"/>
  <c r="J99" i="44"/>
  <c r="R90" i="4"/>
  <c r="I91" i="38" s="1"/>
  <c r="J91" i="38" s="1"/>
  <c r="R91" i="38" s="1"/>
  <c r="F91" i="38"/>
  <c r="P91" i="38" s="1"/>
  <c r="J97" i="44"/>
  <c r="O97" i="16"/>
  <c r="AA98" i="38" s="1"/>
  <c r="O87" i="16"/>
  <c r="AA88" i="38" s="1"/>
  <c r="K87" i="44"/>
  <c r="R87" i="4"/>
  <c r="I88" i="38" s="1"/>
  <c r="J88" i="38" s="1"/>
  <c r="R88" i="38" s="1"/>
  <c r="F88" i="38"/>
  <c r="P88" i="38" s="1"/>
  <c r="O72" i="16"/>
  <c r="AA73" i="38" s="1"/>
  <c r="I72" i="44"/>
  <c r="O83" i="16"/>
  <c r="AA84" i="38" s="1"/>
  <c r="K83" i="44"/>
  <c r="R83" i="4"/>
  <c r="I84" i="38" s="1"/>
  <c r="J84" i="38" s="1"/>
  <c r="R84" i="38" s="1"/>
  <c r="F84" i="38"/>
  <c r="P84" i="38" s="1"/>
  <c r="O89" i="16"/>
  <c r="AA90" i="38" s="1"/>
  <c r="J89" i="44"/>
  <c r="F101" i="38"/>
  <c r="P101" i="38" s="1"/>
  <c r="R100" i="4"/>
  <c r="I101" i="38" s="1"/>
  <c r="J101" i="38" s="1"/>
  <c r="R101" i="38" s="1"/>
  <c r="R98" i="4"/>
  <c r="I99" i="38" s="1"/>
  <c r="J99" i="38" s="1"/>
  <c r="R99" i="38" s="1"/>
  <c r="F99" i="38"/>
  <c r="P99" i="38" s="1"/>
  <c r="O95" i="16"/>
  <c r="AA96" i="38" s="1"/>
  <c r="J95" i="44"/>
  <c r="O112" i="16"/>
  <c r="AA113" i="38" s="1"/>
  <c r="K112" i="44"/>
  <c r="O114" i="16"/>
  <c r="AA115" i="38" s="1"/>
  <c r="K114" i="44"/>
  <c r="F115" i="38"/>
  <c r="P115" i="38" s="1"/>
  <c r="R114" i="4"/>
  <c r="I115" i="38" s="1"/>
  <c r="J115" i="38" s="1"/>
  <c r="R115" i="38" s="1"/>
  <c r="F109" i="38"/>
  <c r="P109" i="38" s="1"/>
  <c r="R108" i="4"/>
  <c r="I109" i="38" s="1"/>
  <c r="J109" i="38" s="1"/>
  <c r="R109" i="38" s="1"/>
  <c r="F103" i="38"/>
  <c r="P103" i="38" s="1"/>
  <c r="R102" i="4"/>
  <c r="I103" i="38" s="1"/>
  <c r="J103" i="38" s="1"/>
  <c r="R103" i="38" s="1"/>
  <c r="F77" i="38"/>
  <c r="P77" i="38" s="1"/>
  <c r="R76" i="4"/>
  <c r="I77" i="38" s="1"/>
  <c r="J77" i="38" s="1"/>
  <c r="R77" i="38" s="1"/>
  <c r="F106" i="38"/>
  <c r="P106" i="38" s="1"/>
  <c r="R105" i="4"/>
  <c r="I106" i="38" s="1"/>
  <c r="J106" i="38" s="1"/>
  <c r="R106" i="38" s="1"/>
  <c r="O107" i="16"/>
  <c r="AA108" i="38" s="1"/>
  <c r="K107" i="44"/>
  <c r="F108" i="38"/>
  <c r="P108" i="38" s="1"/>
  <c r="R107" i="4"/>
  <c r="I108" i="38" s="1"/>
  <c r="J108" i="38" s="1"/>
  <c r="R108" i="38" s="1"/>
  <c r="O75" i="16"/>
  <c r="AA76" i="38" s="1"/>
  <c r="K75" i="44"/>
  <c r="F76" i="38"/>
  <c r="P76" i="38" s="1"/>
  <c r="R75" i="4"/>
  <c r="I76" i="38" s="1"/>
  <c r="J76" i="38" s="1"/>
  <c r="R76" i="38" s="1"/>
  <c r="O84" i="16"/>
  <c r="AA85" i="38" s="1"/>
  <c r="K84" i="44"/>
  <c r="R84" i="4"/>
  <c r="I85" i="38" s="1"/>
  <c r="J85" i="38" s="1"/>
  <c r="R85" i="38" s="1"/>
  <c r="F85" i="38"/>
  <c r="P85" i="38" s="1"/>
  <c r="F81" i="38"/>
  <c r="P81" i="38" s="1"/>
  <c r="R80" i="4"/>
  <c r="I81" i="38" s="1"/>
  <c r="J81" i="38" s="1"/>
  <c r="R81" i="38" s="1"/>
  <c r="F83" i="38"/>
  <c r="P83" i="38" s="1"/>
  <c r="R82" i="4"/>
  <c r="I83" i="38" s="1"/>
  <c r="J83" i="38" s="1"/>
  <c r="R83" i="38" s="1"/>
  <c r="O94" i="16"/>
  <c r="AA95" i="38" s="1"/>
  <c r="J94" i="44"/>
  <c r="R96" i="4"/>
  <c r="I97" i="38" s="1"/>
  <c r="J97" i="38" s="1"/>
  <c r="R97" i="38" s="1"/>
  <c r="F97" i="38"/>
  <c r="P97" i="38" s="1"/>
  <c r="R92" i="4"/>
  <c r="I93" i="38" s="1"/>
  <c r="J93" i="38" s="1"/>
  <c r="R93" i="38" s="1"/>
  <c r="F93" i="38"/>
  <c r="P93" i="38" s="1"/>
  <c r="O79" i="16"/>
  <c r="AA80" i="38" s="1"/>
  <c r="K79" i="44"/>
  <c r="R79" i="4"/>
  <c r="I80" i="38" s="1"/>
  <c r="J80" i="38" s="1"/>
  <c r="R80" i="38" s="1"/>
  <c r="F80" i="38"/>
  <c r="P80" i="38" s="1"/>
  <c r="O85" i="16"/>
  <c r="AA86" i="38" s="1"/>
  <c r="K85" i="44"/>
  <c r="R85" i="4"/>
  <c r="I86" i="38" s="1"/>
  <c r="J86" i="38" s="1"/>
  <c r="R86" i="38" s="1"/>
  <c r="F86" i="38"/>
  <c r="P86" i="38" s="1"/>
  <c r="O91" i="16"/>
  <c r="AA92" i="38" s="1"/>
  <c r="J91" i="44"/>
  <c r="R77" i="4"/>
  <c r="I78" i="38" s="1"/>
  <c r="J78" i="38" s="1"/>
  <c r="R78" i="38" s="1"/>
  <c r="F78" i="38"/>
  <c r="P78" i="38" s="1"/>
  <c r="R93" i="4"/>
  <c r="I94" i="38" s="1"/>
  <c r="J94" i="38" s="1"/>
  <c r="R94" i="38" s="1"/>
  <c r="F94" i="38"/>
  <c r="P94" i="38" s="1"/>
  <c r="O109" i="16"/>
  <c r="AA110" i="38" s="1"/>
  <c r="K109" i="44"/>
  <c r="O103" i="16"/>
  <c r="AA104" i="38" s="1"/>
  <c r="K103" i="44"/>
  <c r="BA9" i="16"/>
  <c r="AZ3" i="16"/>
  <c r="BA46" i="16"/>
  <c r="CE39" i="16"/>
  <c r="CE32" i="16"/>
  <c r="AZ5" i="16"/>
  <c r="BQ9" i="16"/>
  <c r="BA70" i="16"/>
  <c r="BR36" i="16"/>
  <c r="BA43" i="16"/>
  <c r="AZ70" i="16"/>
  <c r="BP42" i="16"/>
  <c r="BQ68" i="16"/>
  <c r="BP32" i="16"/>
  <c r="CF3" i="16"/>
  <c r="CE43" i="16"/>
  <c r="CG46" i="16"/>
  <c r="CF42" i="16"/>
  <c r="BA3" i="16"/>
  <c r="AZ57" i="16"/>
  <c r="AZ39" i="16"/>
  <c r="BR17" i="16"/>
  <c r="CG9" i="16"/>
  <c r="BR52" i="16"/>
  <c r="BB36" i="16"/>
  <c r="CE42" i="16"/>
  <c r="CF69" i="16"/>
  <c r="AZ36" i="16"/>
  <c r="BB40" i="16"/>
  <c r="AZ43" i="16"/>
  <c r="BR32" i="16"/>
  <c r="BA32" i="16"/>
  <c r="AZ66" i="16"/>
  <c r="BA52" i="16"/>
  <c r="CF68" i="16"/>
  <c r="BQ39" i="16"/>
  <c r="BB5" i="16"/>
  <c r="BB42" i="16"/>
  <c r="BP52" i="16"/>
  <c r="BQ42" i="16"/>
  <c r="BP4" i="16"/>
  <c r="BQ54" i="16"/>
  <c r="BP69" i="16"/>
  <c r="BQ41" i="16"/>
  <c r="CG36" i="16"/>
  <c r="CG3" i="16"/>
  <c r="CG40" i="16"/>
  <c r="CF70" i="16"/>
  <c r="BQ57" i="16"/>
  <c r="BQ67" i="16"/>
  <c r="BA38" i="16"/>
  <c r="BR40" i="16"/>
  <c r="BQ69" i="16"/>
  <c r="CG32" i="16"/>
  <c r="BQ52" i="16"/>
  <c r="CE67" i="16"/>
  <c r="AZ67" i="16"/>
  <c r="AZ26" i="16"/>
  <c r="BQ5" i="16"/>
  <c r="BQ46" i="16"/>
  <c r="CE36" i="16"/>
  <c r="CE40" i="16"/>
  <c r="AZ9" i="16"/>
  <c r="AZ42" i="16"/>
  <c r="BB54" i="16"/>
  <c r="BA17" i="16"/>
  <c r="CG39" i="16"/>
  <c r="CG66" i="16"/>
  <c r="CF9" i="16"/>
  <c r="BQ32" i="16"/>
  <c r="BP67" i="16"/>
  <c r="CF54" i="16"/>
  <c r="BB3" i="16"/>
  <c r="BA5" i="16"/>
  <c r="BB52" i="16"/>
  <c r="AZ52" i="16"/>
  <c r="BB66" i="16"/>
  <c r="BA69" i="16"/>
  <c r="BP40" i="16"/>
  <c r="BP66" i="16"/>
  <c r="BP38" i="16"/>
  <c r="BP36" i="16"/>
  <c r="BQ3" i="16"/>
  <c r="CF38" i="16"/>
  <c r="CG17" i="16"/>
  <c r="CG26" i="16"/>
  <c r="BR70" i="16"/>
  <c r="BB70" i="16"/>
  <c r="BA30" i="16"/>
  <c r="AZ54" i="16"/>
  <c r="BA41" i="16"/>
  <c r="BR39" i="16"/>
  <c r="BA39" i="16"/>
  <c r="BP5" i="16"/>
  <c r="BP43" i="16"/>
  <c r="BB43" i="16"/>
  <c r="BR69" i="16"/>
  <c r="BP46" i="16"/>
  <c r="BB46" i="16"/>
  <c r="BR4" i="16"/>
  <c r="BQ30" i="16"/>
  <c r="BB67" i="16"/>
  <c r="CG67" i="16"/>
  <c r="BR26" i="16"/>
  <c r="BB57" i="16"/>
  <c r="CF57" i="16"/>
  <c r="CE4" i="16"/>
  <c r="BA4" i="16"/>
  <c r="BB26" i="16"/>
  <c r="BB9" i="16"/>
  <c r="AZ17" i="16"/>
  <c r="BQ17" i="16"/>
  <c r="BA42" i="16"/>
  <c r="BP68" i="16"/>
  <c r="CF39" i="16"/>
  <c r="BA36" i="16"/>
  <c r="CF36" i="16"/>
  <c r="BA40" i="16"/>
  <c r="CF40" i="16"/>
  <c r="BB39" i="16"/>
  <c r="AZ4" i="16"/>
  <c r="BA68" i="16"/>
  <c r="BP57" i="16"/>
  <c r="BR66" i="16"/>
  <c r="BP70" i="16"/>
  <c r="BQ43" i="16"/>
  <c r="CG42" i="16"/>
  <c r="CF30" i="16"/>
  <c r="CE17" i="16"/>
  <c r="CF41" i="16"/>
  <c r="CE26" i="16"/>
  <c r="CF5" i="16"/>
  <c r="BB32" i="16"/>
  <c r="AZ32" i="16"/>
  <c r="BB17" i="16"/>
  <c r="BB68" i="16"/>
  <c r="BA66" i="16"/>
  <c r="BB69" i="16"/>
  <c r="AZ69" i="16"/>
  <c r="BR46" i="16"/>
  <c r="BR9" i="16"/>
  <c r="BP9" i="16"/>
  <c r="BQ40" i="16"/>
  <c r="BR5" i="16"/>
  <c r="BR68" i="16"/>
  <c r="BQ66" i="16"/>
  <c r="BR38" i="16"/>
  <c r="BR43" i="16"/>
  <c r="BQ36" i="16"/>
  <c r="BR3" i="16"/>
  <c r="BP3" i="16"/>
  <c r="CG30" i="16"/>
  <c r="CE30" i="16"/>
  <c r="CG38" i="16"/>
  <c r="CE41" i="16"/>
  <c r="CF26" i="16"/>
  <c r="CF4" i="16"/>
  <c r="CG5" i="16"/>
  <c r="CE54" i="16"/>
  <c r="CG68" i="16"/>
  <c r="CE68" i="16"/>
  <c r="BB4" i="16"/>
  <c r="BQ38" i="16"/>
  <c r="BB38" i="16"/>
  <c r="CG4" i="16"/>
  <c r="CG54" i="16"/>
  <c r="BR67" i="16"/>
  <c r="CG41" i="16"/>
  <c r="BR57" i="16"/>
  <c r="BB30" i="16"/>
  <c r="AZ30" i="16"/>
  <c r="BB41" i="16"/>
  <c r="AZ41" i="16"/>
  <c r="BA26" i="16"/>
  <c r="BA57" i="16"/>
  <c r="BA54" i="16"/>
  <c r="BA67" i="16"/>
  <c r="BQ4" i="16"/>
  <c r="BR54" i="16"/>
  <c r="BQ70" i="16"/>
  <c r="BR30" i="16"/>
  <c r="BP30" i="16"/>
  <c r="BR41" i="16"/>
  <c r="BQ26" i="16"/>
  <c r="CG70" i="16"/>
  <c r="CF67" i="16"/>
  <c r="CG57" i="16"/>
  <c r="CE57" i="16"/>
  <c r="R80" i="6" l="1"/>
  <c r="S80" i="6" s="1"/>
  <c r="V80" i="6" s="1"/>
  <c r="R83" i="6"/>
  <c r="R78" i="6"/>
  <c r="S78" i="6" s="1"/>
  <c r="V78" i="6" s="1"/>
  <c r="R82" i="6"/>
  <c r="R81" i="6"/>
  <c r="R95" i="6"/>
  <c r="R94" i="6"/>
  <c r="S94" i="6" s="1"/>
  <c r="V94" i="6" s="1"/>
  <c r="R62" i="6"/>
  <c r="S62" i="6" s="1"/>
  <c r="V62" i="6" s="1"/>
  <c r="R65" i="6"/>
  <c r="R85" i="6"/>
  <c r="S92" i="6"/>
  <c r="V92" i="6" s="1"/>
  <c r="S57" i="6"/>
  <c r="V57" i="6" s="1"/>
  <c r="R76" i="6"/>
  <c r="S76" i="6" s="1"/>
  <c r="V76" i="6" s="1"/>
  <c r="S59" i="6"/>
  <c r="V59" i="6" s="1"/>
  <c r="S93" i="6"/>
  <c r="V93" i="6" s="1"/>
  <c r="W6" i="6"/>
  <c r="W5" i="6"/>
  <c r="S72" i="6"/>
  <c r="V72" i="6" s="1"/>
  <c r="S52" i="6"/>
  <c r="V52" i="6" s="1"/>
  <c r="S103" i="6"/>
  <c r="V103" i="6" s="1"/>
  <c r="R99" i="6"/>
  <c r="R98" i="6"/>
  <c r="R67" i="6"/>
  <c r="S79" i="6"/>
  <c r="V79" i="6" s="1"/>
  <c r="S74" i="6"/>
  <c r="V74" i="6" s="1"/>
  <c r="S71" i="6"/>
  <c r="V71" i="6" s="1"/>
  <c r="W82" i="6" s="1"/>
  <c r="W72" i="6"/>
  <c r="S88" i="6"/>
  <c r="V88" i="6" s="1"/>
  <c r="R97" i="6"/>
  <c r="R96" i="6"/>
  <c r="S96" i="6" s="1"/>
  <c r="V96" i="6" s="1"/>
  <c r="R64" i="6"/>
  <c r="R63" i="6"/>
  <c r="S63" i="6" s="1"/>
  <c r="V63" i="6" s="1"/>
  <c r="S61" i="6"/>
  <c r="V61" i="6" s="1"/>
  <c r="R84" i="6"/>
  <c r="S84" i="6" s="1"/>
  <c r="V84" i="6" s="1"/>
  <c r="S81" i="6"/>
  <c r="V81" i="6" s="1"/>
  <c r="X5" i="6"/>
  <c r="R101" i="6"/>
  <c r="R100" i="6"/>
  <c r="S100" i="6" s="1"/>
  <c r="V100" i="6" s="1"/>
  <c r="S56" i="6"/>
  <c r="V56" i="6" s="1"/>
  <c r="R66" i="6"/>
  <c r="S66" i="6" s="1"/>
  <c r="V66" i="6" s="1"/>
  <c r="S77" i="6"/>
  <c r="V77" i="6" s="1"/>
  <c r="S73" i="6"/>
  <c r="V73" i="6" s="1"/>
  <c r="R111" i="4"/>
  <c r="I112" i="38" s="1"/>
  <c r="J112" i="38" s="1"/>
  <c r="R112" i="38" s="1"/>
  <c r="F112" i="38"/>
  <c r="P112" i="38" s="1"/>
  <c r="D49" i="16"/>
  <c r="D11" i="16"/>
  <c r="D8" i="16"/>
  <c r="D31" i="16"/>
  <c r="D24" i="16"/>
  <c r="D15" i="16"/>
  <c r="D34" i="16"/>
  <c r="D46" i="16"/>
  <c r="D55" i="16"/>
  <c r="D23" i="16"/>
  <c r="D30" i="16"/>
  <c r="D10" i="16"/>
  <c r="D21" i="16"/>
  <c r="D18" i="16"/>
  <c r="D7" i="16"/>
  <c r="D43" i="16"/>
  <c r="D28" i="16"/>
  <c r="D22" i="16"/>
  <c r="D40" i="16"/>
  <c r="D56" i="16"/>
  <c r="D26" i="16"/>
  <c r="D33" i="16"/>
  <c r="D42" i="16"/>
  <c r="D20" i="16"/>
  <c r="D48" i="16"/>
  <c r="D47" i="16"/>
  <c r="D12" i="16"/>
  <c r="D6" i="16"/>
  <c r="D13" i="16"/>
  <c r="D25" i="16"/>
  <c r="D27" i="16"/>
  <c r="D19" i="16"/>
  <c r="D35" i="16"/>
  <c r="D45" i="16"/>
  <c r="D37" i="16"/>
  <c r="D50" i="16"/>
  <c r="D51" i="16"/>
  <c r="D53" i="16"/>
  <c r="D58" i="16"/>
  <c r="D59" i="16"/>
  <c r="D60" i="16"/>
  <c r="D61" i="16"/>
  <c r="D62" i="16"/>
  <c r="D63" i="16"/>
  <c r="D64" i="16"/>
  <c r="D65" i="16"/>
  <c r="D66" i="16"/>
  <c r="D68" i="16"/>
  <c r="F4" i="4"/>
  <c r="F6" i="4"/>
  <c r="F11" i="4"/>
  <c r="F12" i="4"/>
  <c r="F19" i="4"/>
  <c r="F21" i="4"/>
  <c r="F23" i="4"/>
  <c r="F26" i="4"/>
  <c r="F28" i="4"/>
  <c r="F35" i="4"/>
  <c r="F37" i="4"/>
  <c r="F43" i="4"/>
  <c r="F51" i="4"/>
  <c r="F53" i="4"/>
  <c r="F54" i="4"/>
  <c r="F64" i="4"/>
  <c r="F66" i="4"/>
  <c r="F67" i="4"/>
  <c r="F68" i="4"/>
  <c r="Z71" i="38" s="1"/>
  <c r="F69" i="4"/>
  <c r="Z72" i="38" s="1"/>
  <c r="F32" i="4"/>
  <c r="W75" i="6" l="1"/>
  <c r="W73" i="6"/>
  <c r="W83" i="6"/>
  <c r="W80" i="6"/>
  <c r="W81" i="6"/>
  <c r="W70" i="6"/>
  <c r="W78" i="6"/>
  <c r="S82" i="6"/>
  <c r="V82" i="6" s="1"/>
  <c r="S83" i="6"/>
  <c r="V83" i="6" s="1"/>
  <c r="S95" i="6"/>
  <c r="V95" i="6" s="1"/>
  <c r="S99" i="6"/>
  <c r="V99" i="6" s="1"/>
  <c r="S101" i="6"/>
  <c r="V101" i="6" s="1"/>
  <c r="S64" i="6"/>
  <c r="V64" i="6" s="1"/>
  <c r="S97" i="6"/>
  <c r="V97" i="6" s="1"/>
  <c r="W91" i="6"/>
  <c r="W99" i="6"/>
  <c r="W88" i="6"/>
  <c r="W96" i="6"/>
  <c r="W93" i="6"/>
  <c r="W101" i="6"/>
  <c r="W90" i="6"/>
  <c r="W98" i="6"/>
  <c r="W87" i="6"/>
  <c r="W95" i="6"/>
  <c r="W103" i="6"/>
  <c r="W92" i="6"/>
  <c r="W100" i="6"/>
  <c r="W89" i="6"/>
  <c r="W97" i="6"/>
  <c r="W86" i="6"/>
  <c r="W94" i="6"/>
  <c r="W102" i="6"/>
  <c r="S67" i="6"/>
  <c r="V67" i="6" s="1"/>
  <c r="S102" i="6"/>
  <c r="V102" i="6" s="1"/>
  <c r="S65" i="6"/>
  <c r="V65" i="6" s="1"/>
  <c r="X54" i="6" s="1"/>
  <c r="W71" i="6"/>
  <c r="W68" i="6"/>
  <c r="W84" i="6"/>
  <c r="W77" i="6"/>
  <c r="W74" i="6"/>
  <c r="S98" i="6"/>
  <c r="V98" i="6" s="1"/>
  <c r="W56" i="6"/>
  <c r="W64" i="6"/>
  <c r="W55" i="6"/>
  <c r="W53" i="6"/>
  <c r="W50" i="6"/>
  <c r="W58" i="6"/>
  <c r="W66" i="6"/>
  <c r="W59" i="6"/>
  <c r="W57" i="6"/>
  <c r="W52" i="6"/>
  <c r="W60" i="6"/>
  <c r="W63" i="6"/>
  <c r="W61" i="6"/>
  <c r="X53" i="6"/>
  <c r="W54" i="6"/>
  <c r="W62" i="6"/>
  <c r="W51" i="6"/>
  <c r="W67" i="6"/>
  <c r="W65" i="6"/>
  <c r="S85" i="6"/>
  <c r="V85" i="6" s="1"/>
  <c r="W79" i="6"/>
  <c r="W76" i="6"/>
  <c r="W69" i="6"/>
  <c r="W85" i="6"/>
  <c r="Z54" i="38"/>
  <c r="Z69" i="38"/>
  <c r="Z70" i="38"/>
  <c r="Z67" i="38"/>
  <c r="Z5" i="38"/>
  <c r="Z3" i="38"/>
  <c r="F71" i="65"/>
  <c r="Z71" i="65" s="1"/>
  <c r="Y71" i="65" s="1"/>
  <c r="F69" i="65"/>
  <c r="BO69" i="65" s="1"/>
  <c r="F66" i="65"/>
  <c r="AT66" i="65" s="1"/>
  <c r="F70" i="65"/>
  <c r="BP70" i="65" s="1"/>
  <c r="F68" i="65"/>
  <c r="AU68" i="65" s="1"/>
  <c r="F53" i="65"/>
  <c r="F4" i="65"/>
  <c r="AU4" i="65" s="1"/>
  <c r="M70" i="16"/>
  <c r="M71" i="16"/>
  <c r="M69" i="16"/>
  <c r="M4" i="16"/>
  <c r="F56" i="4"/>
  <c r="F7" i="4"/>
  <c r="F18" i="4"/>
  <c r="F42" i="4"/>
  <c r="Z36" i="38"/>
  <c r="F22" i="4"/>
  <c r="F15" i="4"/>
  <c r="F61" i="4"/>
  <c r="F46" i="4"/>
  <c r="F31" i="4"/>
  <c r="F27" i="4"/>
  <c r="Z29" i="38" s="1"/>
  <c r="F50" i="4"/>
  <c r="F36" i="4"/>
  <c r="F60" i="4"/>
  <c r="F48" i="4"/>
  <c r="F34" i="4"/>
  <c r="F14" i="4"/>
  <c r="Z16" i="38" s="1"/>
  <c r="F58" i="4"/>
  <c r="Z61" i="38" s="1"/>
  <c r="F45" i="4"/>
  <c r="F10" i="4"/>
  <c r="Z12" i="38" s="1"/>
  <c r="F41" i="4"/>
  <c r="Z44" i="38" s="1"/>
  <c r="F25" i="4"/>
  <c r="F52" i="4"/>
  <c r="Z55" i="38" s="1"/>
  <c r="F40" i="4"/>
  <c r="Z43" i="38" s="1"/>
  <c r="F30" i="4"/>
  <c r="F17" i="4"/>
  <c r="F63" i="4"/>
  <c r="F59" i="4"/>
  <c r="Z62" i="38" s="1"/>
  <c r="F55" i="4"/>
  <c r="F47" i="4"/>
  <c r="F39" i="4"/>
  <c r="Z42" i="38" s="1"/>
  <c r="F24" i="4"/>
  <c r="Z26" i="38" s="1"/>
  <c r="F16" i="4"/>
  <c r="F13" i="4"/>
  <c r="F9" i="4"/>
  <c r="F5" i="4"/>
  <c r="F62" i="4"/>
  <c r="Z65" i="38" s="1"/>
  <c r="F65" i="4"/>
  <c r="Z68" i="38" s="1"/>
  <c r="F57" i="4"/>
  <c r="F49" i="4"/>
  <c r="Z52" i="38" s="1"/>
  <c r="F44" i="4"/>
  <c r="Z47" i="38" s="1"/>
  <c r="F38" i="4"/>
  <c r="Z41" i="38" s="1"/>
  <c r="F33" i="4"/>
  <c r="F29" i="4"/>
  <c r="F20" i="4"/>
  <c r="Z22" i="38" s="1"/>
  <c r="F3" i="4"/>
  <c r="Z4" i="38" s="1"/>
  <c r="F8" i="4"/>
  <c r="Z10" i="38" s="1"/>
  <c r="Z6" i="38"/>
  <c r="X83" i="6" l="1"/>
  <c r="X56" i="6"/>
  <c r="X59" i="6"/>
  <c r="X62" i="6"/>
  <c r="X61" i="6"/>
  <c r="X64" i="6"/>
  <c r="X51" i="6"/>
  <c r="X99" i="6"/>
  <c r="X78" i="6"/>
  <c r="X50" i="6"/>
  <c r="X70" i="6"/>
  <c r="X98" i="6"/>
  <c r="X84" i="6"/>
  <c r="X65" i="6"/>
  <c r="X57" i="6"/>
  <c r="X67" i="6"/>
  <c r="X60" i="6"/>
  <c r="X52" i="6"/>
  <c r="X63" i="6"/>
  <c r="X55" i="6"/>
  <c r="X66" i="6"/>
  <c r="X58" i="6"/>
  <c r="Z31" i="38"/>
  <c r="Z15" i="38"/>
  <c r="Z19" i="38"/>
  <c r="AU71" i="65"/>
  <c r="X75" i="6"/>
  <c r="X102" i="6"/>
  <c r="X68" i="6"/>
  <c r="X73" i="6"/>
  <c r="X82" i="6"/>
  <c r="X71" i="6"/>
  <c r="X88" i="6"/>
  <c r="X72" i="6"/>
  <c r="X77" i="6"/>
  <c r="X95" i="6"/>
  <c r="X87" i="6"/>
  <c r="X90" i="6"/>
  <c r="X100" i="6"/>
  <c r="X93" i="6"/>
  <c r="X103" i="6"/>
  <c r="X96" i="6"/>
  <c r="X92" i="6"/>
  <c r="X76" i="6"/>
  <c r="X81" i="6"/>
  <c r="X69" i="6"/>
  <c r="X74" i="6"/>
  <c r="X79" i="6"/>
  <c r="X80" i="6"/>
  <c r="X85" i="6"/>
  <c r="X91" i="6"/>
  <c r="X101" i="6"/>
  <c r="X94" i="6"/>
  <c r="X86" i="6"/>
  <c r="X97" i="6"/>
  <c r="X89" i="6"/>
  <c r="Z37" i="38"/>
  <c r="Z35" i="38"/>
  <c r="Z60" i="38"/>
  <c r="Z11" i="38"/>
  <c r="Z18" i="38"/>
  <c r="Z32" i="38"/>
  <c r="Z51" i="38"/>
  <c r="Z68" i="65"/>
  <c r="Z58" i="38"/>
  <c r="Z66" i="38"/>
  <c r="Z48" i="38"/>
  <c r="Z39" i="38"/>
  <c r="Z59" i="38"/>
  <c r="F39" i="65"/>
  <c r="BO39" i="65" s="1"/>
  <c r="F56" i="65"/>
  <c r="BO56" i="65" s="1"/>
  <c r="Z40" i="38"/>
  <c r="Z57" i="38"/>
  <c r="Z50" i="38"/>
  <c r="Z63" i="38"/>
  <c r="Z64" i="38"/>
  <c r="F24" i="65"/>
  <c r="Z24" i="65" s="1"/>
  <c r="F55" i="65"/>
  <c r="BO55" i="65" s="1"/>
  <c r="Z25" i="38"/>
  <c r="Z56" i="38"/>
  <c r="Z49" i="38"/>
  <c r="Z17" i="38"/>
  <c r="Z20" i="38"/>
  <c r="M39" i="16"/>
  <c r="F12" i="65"/>
  <c r="AT12" i="65" s="1"/>
  <c r="F13" i="65"/>
  <c r="BP13" i="65" s="1"/>
  <c r="BO13" i="65" s="1"/>
  <c r="F27" i="65"/>
  <c r="AT27" i="65" s="1"/>
  <c r="F45" i="65"/>
  <c r="AT45" i="65" s="1"/>
  <c r="Z8" i="38"/>
  <c r="Z23" i="38"/>
  <c r="Z38" i="38"/>
  <c r="Z13" i="38"/>
  <c r="Z7" i="38"/>
  <c r="Z27" i="38"/>
  <c r="Z33" i="38"/>
  <c r="Z24" i="38"/>
  <c r="Z9" i="38"/>
  <c r="F20" i="65"/>
  <c r="AT20" i="65" s="1"/>
  <c r="F29" i="65"/>
  <c r="AU29" i="65" s="1"/>
  <c r="F7" i="65"/>
  <c r="Y7" i="65" s="1"/>
  <c r="F22" i="65"/>
  <c r="AT22" i="65" s="1"/>
  <c r="F37" i="65"/>
  <c r="Y37" i="65" s="1"/>
  <c r="F33" i="65"/>
  <c r="BO33" i="65" s="1"/>
  <c r="Z14" i="38"/>
  <c r="Z28" i="38"/>
  <c r="Z46" i="38"/>
  <c r="Z21" i="38"/>
  <c r="Z30" i="38"/>
  <c r="Z34" i="38"/>
  <c r="BP45" i="65"/>
  <c r="Z66" i="65"/>
  <c r="Z53" i="38"/>
  <c r="Z45" i="38"/>
  <c r="AU13" i="65"/>
  <c r="AT13" i="65" s="1"/>
  <c r="BP27" i="65"/>
  <c r="Z37" i="65"/>
  <c r="BP66" i="65"/>
  <c r="AT69" i="65"/>
  <c r="BP24" i="65"/>
  <c r="AT4" i="65"/>
  <c r="Z56" i="65"/>
  <c r="AU55" i="65"/>
  <c r="AU66" i="65"/>
  <c r="AU69" i="65"/>
  <c r="Y69" i="65"/>
  <c r="Z4" i="65"/>
  <c r="BP68" i="65"/>
  <c r="AT70" i="65"/>
  <c r="Y4" i="65"/>
  <c r="Y12" i="65"/>
  <c r="BO24" i="65"/>
  <c r="BP29" i="65"/>
  <c r="Y39" i="65"/>
  <c r="BP53" i="65"/>
  <c r="BO53" i="65" s="1"/>
  <c r="AT56" i="65"/>
  <c r="Y68" i="65"/>
  <c r="Y70" i="65"/>
  <c r="AU70" i="65"/>
  <c r="AT71" i="65"/>
  <c r="Y22" i="65"/>
  <c r="Y27" i="65"/>
  <c r="AU45" i="65"/>
  <c r="BO66" i="65"/>
  <c r="Y66" i="65"/>
  <c r="Z69" i="65"/>
  <c r="BP69" i="65"/>
  <c r="BP71" i="65"/>
  <c r="BO71" i="65" s="1"/>
  <c r="BP4" i="65"/>
  <c r="BO4" i="65"/>
  <c r="AU12" i="65"/>
  <c r="AU24" i="65"/>
  <c r="Z29" i="65"/>
  <c r="AU39" i="65"/>
  <c r="AU53" i="65"/>
  <c r="AT53" i="65" s="1"/>
  <c r="Z53" i="65"/>
  <c r="Y53" i="65" s="1"/>
  <c r="AU56" i="65"/>
  <c r="BO68" i="65"/>
  <c r="AT68" i="65"/>
  <c r="BO70" i="65"/>
  <c r="Z70" i="65"/>
  <c r="AU33" i="65"/>
  <c r="F30" i="65"/>
  <c r="AU30" i="65" s="1"/>
  <c r="F64" i="65"/>
  <c r="F6" i="65"/>
  <c r="Y6" i="65" s="1"/>
  <c r="F61" i="65"/>
  <c r="Y61" i="65" s="1"/>
  <c r="F31" i="65"/>
  <c r="BP31" i="65" s="1"/>
  <c r="F43" i="65"/>
  <c r="BP43" i="65" s="1"/>
  <c r="F47" i="65"/>
  <c r="BP47" i="65" s="1"/>
  <c r="F15" i="65"/>
  <c r="Z15" i="65" s="1"/>
  <c r="F50" i="65"/>
  <c r="BP50" i="65" s="1"/>
  <c r="F23" i="65"/>
  <c r="BO23" i="65" s="1"/>
  <c r="F35" i="65"/>
  <c r="AT35" i="65" s="1"/>
  <c r="F8" i="65"/>
  <c r="BO8" i="65" s="1"/>
  <c r="F21" i="65"/>
  <c r="BO21" i="65" s="1"/>
  <c r="F34" i="65"/>
  <c r="BO34" i="65" s="1"/>
  <c r="F10" i="65"/>
  <c r="Y10" i="65" s="1"/>
  <c r="F17" i="65"/>
  <c r="AT17" i="65" s="1"/>
  <c r="F41" i="65"/>
  <c r="Y41" i="65" s="1"/>
  <c r="F65" i="65"/>
  <c r="AT65" i="65" s="1"/>
  <c r="F18" i="65"/>
  <c r="AU18" i="65" s="1"/>
  <c r="F42" i="65"/>
  <c r="BO42" i="65" s="1"/>
  <c r="F26" i="65"/>
  <c r="Z26" i="65" s="1"/>
  <c r="F60" i="65"/>
  <c r="AT60" i="65" s="1"/>
  <c r="F36" i="65"/>
  <c r="AU36" i="65" s="1"/>
  <c r="F32" i="65"/>
  <c r="BO32" i="65" s="1"/>
  <c r="F63" i="65"/>
  <c r="AT63" i="65" s="1"/>
  <c r="F19" i="65"/>
  <c r="BO19" i="65" s="1"/>
  <c r="F58" i="65"/>
  <c r="AT58" i="65" s="1"/>
  <c r="M34" i="16"/>
  <c r="F9" i="65"/>
  <c r="M19" i="16"/>
  <c r="F46" i="65"/>
  <c r="M60" i="16"/>
  <c r="F59" i="65"/>
  <c r="BO17" i="65"/>
  <c r="M57" i="16"/>
  <c r="F57" i="65"/>
  <c r="M11" i="16"/>
  <c r="M55" i="16"/>
  <c r="F11" i="65"/>
  <c r="M63" i="16"/>
  <c r="F62" i="65"/>
  <c r="M52" i="16"/>
  <c r="F52" i="65"/>
  <c r="M56" i="16"/>
  <c r="F28" i="65"/>
  <c r="M5" i="16"/>
  <c r="F5" i="65"/>
  <c r="M29" i="16"/>
  <c r="F3" i="65"/>
  <c r="M12" i="16"/>
  <c r="F40" i="65"/>
  <c r="M50" i="16"/>
  <c r="F51" i="65"/>
  <c r="M68" i="16"/>
  <c r="F67" i="65"/>
  <c r="Y64" i="65"/>
  <c r="M23" i="16"/>
  <c r="F14" i="65"/>
  <c r="M22" i="16"/>
  <c r="F25" i="65"/>
  <c r="M37" i="16"/>
  <c r="F49" i="65"/>
  <c r="M53" i="16"/>
  <c r="F54" i="65"/>
  <c r="M38" i="16"/>
  <c r="F38" i="65"/>
  <c r="M45" i="16"/>
  <c r="F48" i="65"/>
  <c r="M16" i="16"/>
  <c r="F16" i="65"/>
  <c r="M27" i="16"/>
  <c r="F44" i="65"/>
  <c r="Z8" i="65"/>
  <c r="M26" i="16"/>
  <c r="M62" i="16"/>
  <c r="M8" i="16"/>
  <c r="M48" i="16"/>
  <c r="M46" i="16"/>
  <c r="M21" i="16"/>
  <c r="M6" i="16"/>
  <c r="M40" i="16"/>
  <c r="M61" i="16"/>
  <c r="M30" i="16"/>
  <c r="M42" i="16"/>
  <c r="M64" i="16"/>
  <c r="M41" i="16"/>
  <c r="M44" i="16"/>
  <c r="M3" i="16"/>
  <c r="M54" i="16"/>
  <c r="M25" i="16"/>
  <c r="M15" i="16"/>
  <c r="M17" i="16"/>
  <c r="M14" i="16"/>
  <c r="M9" i="16"/>
  <c r="M32" i="16"/>
  <c r="M67" i="16"/>
  <c r="M36" i="16"/>
  <c r="M13" i="16"/>
  <c r="M49" i="16"/>
  <c r="M65" i="16"/>
  <c r="M24" i="16"/>
  <c r="M33" i="16"/>
  <c r="M35" i="16"/>
  <c r="M47" i="16"/>
  <c r="M10" i="16"/>
  <c r="M28" i="16"/>
  <c r="M20" i="16"/>
  <c r="M59" i="16"/>
  <c r="M31" i="16"/>
  <c r="M43" i="16"/>
  <c r="M66" i="16"/>
  <c r="M18" i="16"/>
  <c r="M51" i="16"/>
  <c r="M7" i="16"/>
  <c r="AU20" i="65" l="1"/>
  <c r="Z7" i="65"/>
  <c r="BP20" i="65"/>
  <c r="CD68" i="65"/>
  <c r="BO22" i="65"/>
  <c r="BO6" i="65"/>
  <c r="BP55" i="65"/>
  <c r="BO37" i="65"/>
  <c r="Y20" i="65"/>
  <c r="AU37" i="65"/>
  <c r="BP7" i="65"/>
  <c r="BO20" i="65"/>
  <c r="Z47" i="65"/>
  <c r="BO26" i="65"/>
  <c r="BP39" i="65"/>
  <c r="Z20" i="65"/>
  <c r="CD20" i="65" s="1"/>
  <c r="Y55" i="65"/>
  <c r="Z45" i="65"/>
  <c r="CD45" i="65" s="1"/>
  <c r="BP37" i="65"/>
  <c r="Z13" i="65"/>
  <c r="Y13" i="65" s="1"/>
  <c r="CC13" i="65" s="1"/>
  <c r="AT7" i="65"/>
  <c r="AT39" i="65"/>
  <c r="CC39" i="65" s="1"/>
  <c r="Z39" i="65"/>
  <c r="Y45" i="65"/>
  <c r="AT37" i="65"/>
  <c r="BO45" i="65"/>
  <c r="CC45" i="65" s="1"/>
  <c r="BO35" i="65"/>
  <c r="Z50" i="65"/>
  <c r="Z31" i="65"/>
  <c r="AU21" i="65"/>
  <c r="Z33" i="65"/>
  <c r="BP56" i="65"/>
  <c r="CD56" i="65" s="1"/>
  <c r="AT29" i="65"/>
  <c r="Y24" i="65"/>
  <c r="Z12" i="65"/>
  <c r="BO27" i="65"/>
  <c r="CC27" i="65" s="1"/>
  <c r="BP22" i="65"/>
  <c r="Y56" i="65"/>
  <c r="CC56" i="65" s="1"/>
  <c r="AT24" i="65"/>
  <c r="BO12" i="65"/>
  <c r="BP33" i="65"/>
  <c r="CD33" i="65" s="1"/>
  <c r="BO29" i="65"/>
  <c r="BP12" i="65"/>
  <c r="CD12" i="65" s="1"/>
  <c r="Y29" i="65"/>
  <c r="Z55" i="65"/>
  <c r="CD55" i="65" s="1"/>
  <c r="AT55" i="65"/>
  <c r="CD70" i="65"/>
  <c r="CC53" i="65"/>
  <c r="CC69" i="65"/>
  <c r="AU7" i="65"/>
  <c r="BO7" i="65"/>
  <c r="AT33" i="65"/>
  <c r="Y33" i="65"/>
  <c r="Z22" i="65"/>
  <c r="AU22" i="65"/>
  <c r="Z27" i="65"/>
  <c r="AU27" i="65"/>
  <c r="CC71" i="65"/>
  <c r="BP8" i="65"/>
  <c r="CD29" i="65"/>
  <c r="CC22" i="65"/>
  <c r="CD71" i="65"/>
  <c r="CC68" i="65"/>
  <c r="CD4" i="65"/>
  <c r="CD69" i="65"/>
  <c r="CC66" i="65"/>
  <c r="CC12" i="65"/>
  <c r="Z58" i="65"/>
  <c r="BP65" i="65"/>
  <c r="CC4" i="65"/>
  <c r="CC70" i="65"/>
  <c r="BO63" i="65"/>
  <c r="AT36" i="65"/>
  <c r="Y8" i="65"/>
  <c r="CD66" i="65"/>
  <c r="BO58" i="65"/>
  <c r="BP58" i="65"/>
  <c r="AU58" i="65"/>
  <c r="Z19" i="65"/>
  <c r="Y19" i="65"/>
  <c r="AU19" i="65"/>
  <c r="BP63" i="65"/>
  <c r="Y63" i="65"/>
  <c r="Z63" i="65"/>
  <c r="Z32" i="65"/>
  <c r="AT32" i="65"/>
  <c r="Y32" i="65"/>
  <c r="Y36" i="65"/>
  <c r="BP36" i="65"/>
  <c r="BO36" i="65"/>
  <c r="Z60" i="65"/>
  <c r="Y60" i="65"/>
  <c r="BP60" i="65"/>
  <c r="AT26" i="65"/>
  <c r="BP26" i="65"/>
  <c r="AU26" i="65"/>
  <c r="Z42" i="65"/>
  <c r="Y42" i="65"/>
  <c r="AT42" i="65"/>
  <c r="Z18" i="65"/>
  <c r="Y18" i="65" s="1"/>
  <c r="BP18" i="65"/>
  <c r="Y65" i="65"/>
  <c r="Z65" i="65"/>
  <c r="BO65" i="65"/>
  <c r="BO41" i="65"/>
  <c r="AT41" i="65"/>
  <c r="AU41" i="65"/>
  <c r="Y17" i="65"/>
  <c r="CC17" i="65" s="1"/>
  <c r="Z17" i="65"/>
  <c r="AU17" i="65"/>
  <c r="BO10" i="65"/>
  <c r="AT10" i="65"/>
  <c r="AU10" i="65"/>
  <c r="AT34" i="65"/>
  <c r="Y34" i="65"/>
  <c r="Z34" i="65"/>
  <c r="Z21" i="65"/>
  <c r="Y21" i="65"/>
  <c r="BP21" i="65"/>
  <c r="Z35" i="65"/>
  <c r="BP35" i="65"/>
  <c r="AU35" i="65"/>
  <c r="AT23" i="65"/>
  <c r="Z23" i="65"/>
  <c r="BP23" i="65"/>
  <c r="BO50" i="65"/>
  <c r="AU50" i="65"/>
  <c r="AT50" i="65"/>
  <c r="BO15" i="65"/>
  <c r="BP15" i="65"/>
  <c r="AT15" i="65"/>
  <c r="Y47" i="65"/>
  <c r="AT47" i="65"/>
  <c r="AU47" i="65"/>
  <c r="AT43" i="65"/>
  <c r="Z43" i="65"/>
  <c r="AU43" i="65"/>
  <c r="BO31" i="65"/>
  <c r="AT31" i="65"/>
  <c r="AU31" i="65"/>
  <c r="BP61" i="65"/>
  <c r="BO61" i="65"/>
  <c r="AT61" i="65"/>
  <c r="AT6" i="65"/>
  <c r="Z6" i="65"/>
  <c r="AU6" i="65"/>
  <c r="AU64" i="65"/>
  <c r="AT64" i="65"/>
  <c r="BO64" i="65"/>
  <c r="Y30" i="65"/>
  <c r="Z30" i="65"/>
  <c r="BP30" i="65"/>
  <c r="CD53" i="65"/>
  <c r="CD24" i="65"/>
  <c r="AU8" i="65"/>
  <c r="AT8" i="65"/>
  <c r="Y35" i="65"/>
  <c r="AU23" i="65"/>
  <c r="Y23" i="65"/>
  <c r="Y50" i="65"/>
  <c r="AU15" i="65"/>
  <c r="Y15" i="65"/>
  <c r="BO47" i="65"/>
  <c r="BO43" i="65"/>
  <c r="Y43" i="65"/>
  <c r="Y31" i="65"/>
  <c r="AU61" i="65"/>
  <c r="Z61" i="65"/>
  <c r="BP6" i="65"/>
  <c r="BP64" i="65"/>
  <c r="Z64" i="65"/>
  <c r="BO30" i="65"/>
  <c r="AT30" i="65"/>
  <c r="Y58" i="65"/>
  <c r="AT19" i="65"/>
  <c r="BP19" i="65"/>
  <c r="AU63" i="65"/>
  <c r="AU32" i="65"/>
  <c r="BP32" i="65"/>
  <c r="Z36" i="65"/>
  <c r="AU60" i="65"/>
  <c r="BO60" i="65"/>
  <c r="Y26" i="65"/>
  <c r="AU42" i="65"/>
  <c r="BP42" i="65"/>
  <c r="AT18" i="65"/>
  <c r="AU65" i="65"/>
  <c r="BP41" i="65"/>
  <c r="Z41" i="65"/>
  <c r="BP17" i="65"/>
  <c r="BP10" i="65"/>
  <c r="Z10" i="65"/>
  <c r="BP34" i="65"/>
  <c r="AU34" i="65"/>
  <c r="AT21" i="65"/>
  <c r="CC65" i="65"/>
  <c r="Z28" i="65"/>
  <c r="AU28" i="65"/>
  <c r="Y28" i="65"/>
  <c r="AT28" i="65"/>
  <c r="BO28" i="65"/>
  <c r="BP28" i="65"/>
  <c r="Y52" i="65"/>
  <c r="BO52" i="65"/>
  <c r="Z52" i="65"/>
  <c r="BP52" i="65"/>
  <c r="AT52" i="65"/>
  <c r="AU52" i="65"/>
  <c r="Y62" i="65"/>
  <c r="AU62" i="65"/>
  <c r="BP62" i="65"/>
  <c r="AT62" i="65"/>
  <c r="BO62" i="65"/>
  <c r="Z62" i="65"/>
  <c r="Y11" i="65"/>
  <c r="BO11" i="65"/>
  <c r="Z11" i="65"/>
  <c r="BP11" i="65"/>
  <c r="AU11" i="65"/>
  <c r="AT11" i="65"/>
  <c r="Y57" i="65"/>
  <c r="AT57" i="65"/>
  <c r="BP57" i="65"/>
  <c r="Z57" i="65"/>
  <c r="BO57" i="65"/>
  <c r="AU57" i="65"/>
  <c r="Y59" i="65"/>
  <c r="BO59" i="65"/>
  <c r="AT59" i="65"/>
  <c r="Z59" i="65"/>
  <c r="BP59" i="65"/>
  <c r="AU59" i="65"/>
  <c r="BO46" i="65"/>
  <c r="AU46" i="65"/>
  <c r="Z46" i="65"/>
  <c r="BP46" i="65"/>
  <c r="Y46" i="65"/>
  <c r="AT46" i="65"/>
  <c r="BO9" i="65"/>
  <c r="Y9" i="65"/>
  <c r="BP9" i="65"/>
  <c r="Z9" i="65"/>
  <c r="AT9" i="65"/>
  <c r="AU9" i="65"/>
  <c r="BP44" i="65"/>
  <c r="Z44" i="65"/>
  <c r="Y44" i="65"/>
  <c r="AT44" i="65"/>
  <c r="AU44" i="65"/>
  <c r="BO44" i="65"/>
  <c r="Y16" i="65"/>
  <c r="AT16" i="65"/>
  <c r="BP16" i="65"/>
  <c r="Z16" i="65"/>
  <c r="BO16" i="65"/>
  <c r="AU16" i="65"/>
  <c r="Y48" i="65"/>
  <c r="BP48" i="65"/>
  <c r="AU48" i="65"/>
  <c r="Z48" i="65"/>
  <c r="BO48" i="65"/>
  <c r="AT48" i="65"/>
  <c r="AU38" i="65"/>
  <c r="Z38" i="65"/>
  <c r="Y38" i="65" s="1"/>
  <c r="BP38" i="65"/>
  <c r="BO38" i="65" s="1"/>
  <c r="Z54" i="65"/>
  <c r="BP54" i="65"/>
  <c r="BO54" i="65"/>
  <c r="AU54" i="65"/>
  <c r="AT54" i="65"/>
  <c r="Y54" i="65"/>
  <c r="Y49" i="65"/>
  <c r="AT49" i="65"/>
  <c r="BP49" i="65"/>
  <c r="Z49" i="65"/>
  <c r="BO49" i="65"/>
  <c r="AU49" i="65"/>
  <c r="Z25" i="65"/>
  <c r="BP25" i="65"/>
  <c r="AT25" i="65"/>
  <c r="AU25" i="65"/>
  <c r="Y25" i="65"/>
  <c r="BO25" i="65"/>
  <c r="Z14" i="65"/>
  <c r="BO14" i="65"/>
  <c r="Y14" i="65"/>
  <c r="AT14" i="65"/>
  <c r="BP14" i="65"/>
  <c r="AU14" i="65"/>
  <c r="Y67" i="65"/>
  <c r="AT67" i="65"/>
  <c r="BO67" i="65"/>
  <c r="Z67" i="65"/>
  <c r="AU67" i="65"/>
  <c r="BP67" i="65"/>
  <c r="Z51" i="65"/>
  <c r="BO51" i="65"/>
  <c r="Y51" i="65"/>
  <c r="AT51" i="65"/>
  <c r="BP51" i="65"/>
  <c r="AU51" i="65"/>
  <c r="Z40" i="65"/>
  <c r="BP40" i="65"/>
  <c r="Y40" i="65"/>
  <c r="BO40" i="65"/>
  <c r="AT40" i="65"/>
  <c r="AU40" i="65"/>
  <c r="Z3" i="65"/>
  <c r="BP3" i="65"/>
  <c r="BO3" i="65"/>
  <c r="Y3" i="65"/>
  <c r="AU3" i="65"/>
  <c r="AT3" i="65"/>
  <c r="Y5" i="65"/>
  <c r="BO5" i="65"/>
  <c r="Z5" i="65"/>
  <c r="BP5" i="65"/>
  <c r="AU5" i="65"/>
  <c r="AT5" i="65"/>
  <c r="M45" i="44"/>
  <c r="M30" i="44"/>
  <c r="M31" i="44"/>
  <c r="CD39" i="65" l="1"/>
  <c r="CD37" i="65"/>
  <c r="CC8" i="65"/>
  <c r="CD7" i="65"/>
  <c r="CC55" i="65"/>
  <c r="CC24" i="65"/>
  <c r="CC20" i="65"/>
  <c r="CC35" i="65"/>
  <c r="CC6" i="65"/>
  <c r="CD13" i="65"/>
  <c r="CC37" i="65"/>
  <c r="CC7" i="65"/>
  <c r="CD21" i="65"/>
  <c r="CC29" i="65"/>
  <c r="CC26" i="65"/>
  <c r="CC19" i="65"/>
  <c r="CD18" i="65"/>
  <c r="BO18" i="65"/>
  <c r="CC18" i="65" s="1"/>
  <c r="CC33" i="65"/>
  <c r="CD27" i="65"/>
  <c r="CD22" i="65"/>
  <c r="CC47" i="65"/>
  <c r="CD26" i="65"/>
  <c r="CD6" i="65"/>
  <c r="CC63" i="65"/>
  <c r="CD31" i="65"/>
  <c r="CD41" i="65"/>
  <c r="CC30" i="65"/>
  <c r="CD64" i="65"/>
  <c r="CC23" i="65"/>
  <c r="CC36" i="65"/>
  <c r="CC64" i="65"/>
  <c r="CC15" i="65"/>
  <c r="CC10" i="65"/>
  <c r="CD65" i="65"/>
  <c r="CD63" i="65"/>
  <c r="CC60" i="65"/>
  <c r="CC43" i="65"/>
  <c r="CC31" i="65"/>
  <c r="CD15" i="65"/>
  <c r="CC50" i="65"/>
  <c r="CC34" i="65"/>
  <c r="CD36" i="65"/>
  <c r="CD19" i="65"/>
  <c r="CD47" i="65"/>
  <c r="CD34" i="65"/>
  <c r="CD17" i="65"/>
  <c r="CC21" i="65"/>
  <c r="CD42" i="65"/>
  <c r="CD32" i="65"/>
  <c r="CD30" i="65"/>
  <c r="CC61" i="65"/>
  <c r="CD35" i="65"/>
  <c r="CC41" i="65"/>
  <c r="CC42" i="65"/>
  <c r="CC32" i="65"/>
  <c r="AT38" i="65"/>
  <c r="CC38" i="65" s="1"/>
  <c r="CD23" i="65"/>
  <c r="CC58" i="65"/>
  <c r="CD58" i="65"/>
  <c r="CD43" i="65"/>
  <c r="CD50" i="65"/>
  <c r="CD8" i="65"/>
  <c r="CD10" i="65"/>
  <c r="CD61" i="65"/>
  <c r="CD60" i="65"/>
  <c r="CC5" i="65"/>
  <c r="CC3" i="65"/>
  <c r="CC40" i="65"/>
  <c r="CD14" i="65"/>
  <c r="CD25" i="65"/>
  <c r="CD49" i="65"/>
  <c r="CD59" i="65"/>
  <c r="CD57" i="65"/>
  <c r="CD62" i="65"/>
  <c r="CC14" i="65"/>
  <c r="CD54" i="65"/>
  <c r="CD48" i="65"/>
  <c r="CC9" i="65"/>
  <c r="CC46" i="65"/>
  <c r="CC57" i="65"/>
  <c r="CC11" i="65"/>
  <c r="CD52" i="65"/>
  <c r="CC49" i="65"/>
  <c r="CC62" i="65"/>
  <c r="CD28" i="65"/>
  <c r="CC28" i="65"/>
  <c r="CC44" i="65"/>
  <c r="CD46" i="65"/>
  <c r="CD5" i="65"/>
  <c r="CD3" i="65"/>
  <c r="CD40" i="65"/>
  <c r="CD51" i="65"/>
  <c r="CC51" i="65"/>
  <c r="CD67" i="65"/>
  <c r="CC67" i="65"/>
  <c r="CC25" i="65"/>
  <c r="CC54" i="65"/>
  <c r="CD38" i="65"/>
  <c r="CC48" i="65"/>
  <c r="CD16" i="65"/>
  <c r="CC16" i="65"/>
  <c r="CD44" i="65"/>
  <c r="CD9" i="65"/>
  <c r="CC59" i="65"/>
  <c r="CD11" i="65"/>
  <c r="CC52" i="65"/>
  <c r="M3" i="44"/>
  <c r="M4" i="44"/>
  <c r="M5" i="44"/>
  <c r="M6" i="44"/>
  <c r="M7" i="44"/>
  <c r="M8" i="44"/>
  <c r="M9" i="44"/>
  <c r="M25" i="44"/>
  <c r="M26" i="44"/>
  <c r="M27" i="44"/>
  <c r="M28" i="44"/>
  <c r="M29" i="44"/>
  <c r="M32" i="44"/>
  <c r="M33" i="44"/>
  <c r="M34" i="44"/>
  <c r="M35" i="44"/>
  <c r="M36" i="44"/>
  <c r="M37" i="44"/>
  <c r="M38" i="44"/>
  <c r="M39" i="44"/>
  <c r="M40" i="44"/>
  <c r="M41" i="44"/>
  <c r="M42" i="44"/>
  <c r="M43" i="44"/>
  <c r="M44" i="44"/>
  <c r="M46" i="44"/>
  <c r="M47" i="44"/>
  <c r="M48" i="44"/>
  <c r="M49" i="44"/>
  <c r="M50" i="44"/>
  <c r="M51" i="44"/>
  <c r="M52" i="44"/>
  <c r="M53" i="44"/>
  <c r="M54" i="44"/>
  <c r="M55" i="44"/>
  <c r="M56" i="44"/>
  <c r="M57" i="44"/>
  <c r="M58" i="44"/>
  <c r="M59" i="44"/>
  <c r="M60" i="44"/>
  <c r="M61" i="44"/>
  <c r="M62" i="44"/>
  <c r="M63" i="44"/>
  <c r="M64" i="44"/>
  <c r="M65" i="44"/>
  <c r="M66" i="44"/>
  <c r="M67" i="44"/>
  <c r="M68" i="44"/>
  <c r="M69" i="44"/>
  <c r="M70" i="44"/>
  <c r="M71" i="44"/>
  <c r="M2" i="44"/>
  <c r="L38" i="44"/>
  <c r="L34" i="44"/>
  <c r="L50" i="44"/>
  <c r="L6" i="44"/>
  <c r="L26" i="44"/>
  <c r="L3" i="44"/>
  <c r="L37" i="44"/>
  <c r="L51" i="44"/>
  <c r="L42" i="44"/>
  <c r="L41" i="44"/>
  <c r="L2" i="44"/>
  <c r="L9" i="44"/>
  <c r="L35" i="44"/>
  <c r="L36" i="44"/>
  <c r="L39" i="44"/>
  <c r="L40" i="44"/>
  <c r="L43" i="44"/>
  <c r="L49" i="44"/>
  <c r="L52" i="44"/>
  <c r="L53" i="44"/>
  <c r="L59" i="44"/>
  <c r="L62" i="44"/>
  <c r="L63" i="44"/>
  <c r="L65" i="44"/>
  <c r="L68" i="44"/>
  <c r="L69" i="44"/>
  <c r="L31" i="44" l="1"/>
  <c r="L30" i="44"/>
  <c r="L44" i="44"/>
  <c r="L45" i="44"/>
  <c r="L4" i="44"/>
  <c r="L5" i="44"/>
  <c r="L46" i="44"/>
  <c r="L47" i="44"/>
  <c r="L48" i="44"/>
  <c r="L67" i="44"/>
  <c r="L66" i="44"/>
  <c r="L8" i="44"/>
  <c r="L7" i="44"/>
  <c r="L71" i="44"/>
  <c r="L70" i="44"/>
  <c r="L57" i="44"/>
  <c r="L54" i="44"/>
  <c r="L58" i="44"/>
  <c r="L55" i="44"/>
  <c r="L56" i="44"/>
  <c r="L64" i="44"/>
  <c r="L25" i="44"/>
  <c r="L61" i="44"/>
  <c r="L60" i="44"/>
  <c r="L29" i="44"/>
  <c r="L27" i="44"/>
  <c r="L28" i="44"/>
  <c r="L32" i="44"/>
  <c r="L33" i="44"/>
  <c r="E3" i="38" l="1"/>
  <c r="D19" i="37"/>
  <c r="D40" i="37"/>
  <c r="D56" i="37"/>
  <c r="D16" i="37"/>
  <c r="D61" i="37"/>
  <c r="D54" i="37"/>
  <c r="D78" i="37"/>
  <c r="D18" i="37"/>
  <c r="D67" i="37"/>
  <c r="H52" i="8"/>
  <c r="H51" i="8"/>
  <c r="H50" i="8"/>
  <c r="H49" i="8"/>
  <c r="H48" i="8"/>
  <c r="H47" i="8"/>
  <c r="H46" i="8"/>
  <c r="H45" i="8"/>
  <c r="H44" i="8"/>
  <c r="H43" i="8"/>
  <c r="H42" i="8"/>
  <c r="H41" i="8"/>
  <c r="H40" i="8"/>
  <c r="H39" i="8"/>
  <c r="H38" i="8"/>
  <c r="H37" i="8"/>
  <c r="H36" i="8"/>
  <c r="H35" i="8"/>
  <c r="H34" i="8"/>
  <c r="H33" i="8"/>
  <c r="H32" i="8"/>
  <c r="H31" i="8"/>
  <c r="H30" i="8"/>
  <c r="H29" i="8"/>
  <c r="H28" i="8"/>
  <c r="H27" i="8"/>
  <c r="H26" i="8"/>
  <c r="H25" i="8"/>
  <c r="H24" i="8"/>
  <c r="H23" i="8"/>
  <c r="H22" i="8"/>
  <c r="H21" i="8"/>
  <c r="H20" i="8"/>
  <c r="H19" i="8"/>
  <c r="H18" i="8"/>
  <c r="H17" i="8"/>
  <c r="H16" i="8"/>
  <c r="H15" i="8"/>
  <c r="H14" i="8"/>
  <c r="H13" i="8"/>
  <c r="H12" i="8"/>
  <c r="H11" i="8"/>
  <c r="H10" i="8"/>
  <c r="H9" i="8"/>
  <c r="H8" i="8"/>
  <c r="H7" i="8"/>
  <c r="H6" i="8"/>
  <c r="H5" i="8"/>
  <c r="H4" i="8"/>
  <c r="D65" i="12"/>
  <c r="C65" i="12"/>
  <c r="T64" i="12"/>
  <c r="S64" i="12"/>
  <c r="R64" i="12"/>
  <c r="O64" i="12"/>
  <c r="T63" i="12"/>
  <c r="S63" i="12"/>
  <c r="R63" i="12"/>
  <c r="O63" i="12"/>
  <c r="T62" i="12"/>
  <c r="S62" i="12"/>
  <c r="R62" i="12"/>
  <c r="O62" i="12"/>
  <c r="T61" i="12"/>
  <c r="S61" i="12"/>
  <c r="R61" i="12"/>
  <c r="O61" i="12"/>
  <c r="T60" i="12"/>
  <c r="S60" i="12"/>
  <c r="R60" i="12"/>
  <c r="O60" i="12"/>
  <c r="T59" i="12"/>
  <c r="S59" i="12"/>
  <c r="R59" i="12"/>
  <c r="O59" i="12"/>
  <c r="T58" i="12"/>
  <c r="S58" i="12"/>
  <c r="R58" i="12"/>
  <c r="O58" i="12"/>
  <c r="T57" i="12"/>
  <c r="S57" i="12"/>
  <c r="R57" i="12"/>
  <c r="O57" i="12"/>
  <c r="T56" i="12"/>
  <c r="S56" i="12"/>
  <c r="R56" i="12"/>
  <c r="O56" i="12"/>
  <c r="T55" i="12"/>
  <c r="S55" i="12"/>
  <c r="R55" i="12"/>
  <c r="O55" i="12"/>
  <c r="T54" i="12"/>
  <c r="S54" i="12"/>
  <c r="R54" i="12"/>
  <c r="O54" i="12"/>
  <c r="T53" i="12"/>
  <c r="S53" i="12"/>
  <c r="R53" i="12"/>
  <c r="O53" i="12"/>
  <c r="T52" i="12"/>
  <c r="S52" i="12"/>
  <c r="R52" i="12"/>
  <c r="O52" i="12"/>
  <c r="T51" i="12"/>
  <c r="S51" i="12"/>
  <c r="R51" i="12"/>
  <c r="O51" i="12"/>
  <c r="T50" i="12"/>
  <c r="S50" i="12"/>
  <c r="R50" i="12"/>
  <c r="O50" i="12"/>
  <c r="T49" i="12"/>
  <c r="S49" i="12"/>
  <c r="R49" i="12"/>
  <c r="O49" i="12"/>
  <c r="T48" i="12"/>
  <c r="S48" i="12"/>
  <c r="R48" i="12"/>
  <c r="O48" i="12"/>
  <c r="T47" i="12"/>
  <c r="S47" i="12"/>
  <c r="R47" i="12"/>
  <c r="O47" i="12"/>
  <c r="T46" i="12"/>
  <c r="S46" i="12"/>
  <c r="R46" i="12"/>
  <c r="O46" i="12"/>
  <c r="T45" i="12"/>
  <c r="S45" i="12"/>
  <c r="R45" i="12"/>
  <c r="O45" i="12"/>
  <c r="T44" i="12"/>
  <c r="S44" i="12"/>
  <c r="R44" i="12"/>
  <c r="O44" i="12"/>
  <c r="T43" i="12"/>
  <c r="S43" i="12"/>
  <c r="R43" i="12"/>
  <c r="O43" i="12"/>
  <c r="T42" i="12"/>
  <c r="S42" i="12"/>
  <c r="R42" i="12"/>
  <c r="O42" i="12"/>
  <c r="T41" i="12"/>
  <c r="S41" i="12"/>
  <c r="R41" i="12"/>
  <c r="O41" i="12"/>
  <c r="T40" i="12"/>
  <c r="S40" i="12"/>
  <c r="R40" i="12"/>
  <c r="O40" i="12"/>
  <c r="T39" i="12"/>
  <c r="S39" i="12"/>
  <c r="R39" i="12"/>
  <c r="O39" i="12"/>
  <c r="T38" i="12"/>
  <c r="S38" i="12"/>
  <c r="R38" i="12"/>
  <c r="O38" i="12"/>
  <c r="T37" i="12"/>
  <c r="S37" i="12"/>
  <c r="R37" i="12"/>
  <c r="O37" i="12"/>
  <c r="T36" i="12"/>
  <c r="S36" i="12"/>
  <c r="R36" i="12"/>
  <c r="O36" i="12"/>
  <c r="T35" i="12"/>
  <c r="S35" i="12"/>
  <c r="R35" i="12"/>
  <c r="O35" i="12"/>
  <c r="T34" i="12"/>
  <c r="S34" i="12"/>
  <c r="R34" i="12"/>
  <c r="O34" i="12"/>
  <c r="T33" i="12"/>
  <c r="S33" i="12"/>
  <c r="R33" i="12"/>
  <c r="O33" i="12"/>
  <c r="T32" i="12"/>
  <c r="S32" i="12"/>
  <c r="R32" i="12"/>
  <c r="O32" i="12"/>
  <c r="T31" i="12"/>
  <c r="S31" i="12"/>
  <c r="R31" i="12"/>
  <c r="O31" i="12"/>
  <c r="T30" i="12"/>
  <c r="S30" i="12"/>
  <c r="R30" i="12"/>
  <c r="O30" i="12"/>
  <c r="T29" i="12"/>
  <c r="S29" i="12"/>
  <c r="R29" i="12"/>
  <c r="O29" i="12"/>
  <c r="T28" i="12"/>
  <c r="S28" i="12"/>
  <c r="R28" i="12"/>
  <c r="O28" i="12"/>
  <c r="T27" i="12"/>
  <c r="S27" i="12"/>
  <c r="R27" i="12"/>
  <c r="O27" i="12"/>
  <c r="T26" i="12"/>
  <c r="S26" i="12"/>
  <c r="R26" i="12"/>
  <c r="O26" i="12"/>
  <c r="T25" i="12"/>
  <c r="S25" i="12"/>
  <c r="R25" i="12"/>
  <c r="O25" i="12"/>
  <c r="T24" i="12"/>
  <c r="S24" i="12"/>
  <c r="R24" i="12"/>
  <c r="O24" i="12"/>
  <c r="T23" i="12"/>
  <c r="S23" i="12"/>
  <c r="R23" i="12"/>
  <c r="O23" i="12"/>
  <c r="T22" i="12"/>
  <c r="S22" i="12"/>
  <c r="R22" i="12"/>
  <c r="O22" i="12"/>
  <c r="T21" i="12"/>
  <c r="S21" i="12"/>
  <c r="R21" i="12"/>
  <c r="O21" i="12"/>
  <c r="T20" i="12"/>
  <c r="S20" i="12"/>
  <c r="R20" i="12"/>
  <c r="O20" i="12"/>
  <c r="T19" i="12"/>
  <c r="S19" i="12"/>
  <c r="R19" i="12"/>
  <c r="O19" i="12"/>
  <c r="T18" i="12"/>
  <c r="S18" i="12"/>
  <c r="R18" i="12"/>
  <c r="O18" i="12"/>
  <c r="T17" i="12"/>
  <c r="S17" i="12"/>
  <c r="R17" i="12"/>
  <c r="O17" i="12"/>
  <c r="T16" i="12"/>
  <c r="S16" i="12"/>
  <c r="R16" i="12"/>
  <c r="O16" i="12"/>
  <c r="T15" i="12"/>
  <c r="S15" i="12"/>
  <c r="R15" i="12"/>
  <c r="O15" i="12"/>
  <c r="T14" i="12"/>
  <c r="S14" i="12"/>
  <c r="R14" i="12"/>
  <c r="O14" i="12"/>
  <c r="T13" i="12"/>
  <c r="S13" i="12"/>
  <c r="R13" i="12"/>
  <c r="O13" i="12"/>
  <c r="T12" i="12"/>
  <c r="S12" i="12"/>
  <c r="R12" i="12"/>
  <c r="O12" i="12"/>
  <c r="T11" i="12"/>
  <c r="S11" i="12"/>
  <c r="R11" i="12"/>
  <c r="O11" i="12"/>
  <c r="T10" i="12"/>
  <c r="S10" i="12"/>
  <c r="R10" i="12"/>
  <c r="O10" i="12"/>
  <c r="T9" i="12"/>
  <c r="S9" i="12"/>
  <c r="R9" i="12"/>
  <c r="O9" i="12"/>
  <c r="T8" i="12"/>
  <c r="S8" i="12"/>
  <c r="R8" i="12"/>
  <c r="O8" i="12"/>
  <c r="T7" i="12"/>
  <c r="S7" i="12"/>
  <c r="R7" i="12"/>
  <c r="O7" i="12"/>
  <c r="T6" i="12"/>
  <c r="S6" i="12"/>
  <c r="R6" i="12"/>
  <c r="O6" i="12"/>
  <c r="T5" i="12"/>
  <c r="S5" i="12"/>
  <c r="R5" i="12"/>
  <c r="O5" i="12"/>
  <c r="T4" i="12"/>
  <c r="S4" i="12"/>
  <c r="R4" i="12"/>
  <c r="O4" i="12"/>
  <c r="T3" i="12"/>
  <c r="S3" i="12"/>
  <c r="R3" i="12"/>
  <c r="O3" i="12"/>
  <c r="T2" i="12"/>
  <c r="S2" i="12"/>
  <c r="R2" i="12"/>
  <c r="O2" i="12"/>
  <c r="E236" i="2"/>
  <c r="C236" i="2"/>
  <c r="E235" i="2"/>
  <c r="D235" i="2"/>
  <c r="C235" i="2"/>
  <c r="E234" i="2"/>
  <c r="C234" i="2"/>
  <c r="E233" i="2"/>
  <c r="D233" i="2"/>
  <c r="C233" i="2"/>
  <c r="E232" i="2"/>
  <c r="C232" i="2"/>
  <c r="E231" i="2"/>
  <c r="D231" i="2"/>
  <c r="C231" i="2"/>
  <c r="E230" i="2"/>
  <c r="C230" i="2"/>
  <c r="E229" i="2"/>
  <c r="C229" i="2"/>
  <c r="E228" i="2"/>
  <c r="C228" i="2"/>
  <c r="E227" i="2"/>
  <c r="C227" i="2"/>
  <c r="E226" i="2"/>
  <c r="C226" i="2"/>
  <c r="E225" i="2"/>
  <c r="C225" i="2"/>
  <c r="E224" i="2"/>
  <c r="C224" i="2"/>
  <c r="E223" i="2"/>
  <c r="C223" i="2"/>
  <c r="E222" i="2"/>
  <c r="C222" i="2"/>
  <c r="E221" i="2"/>
  <c r="D221" i="2"/>
  <c r="C221" i="2"/>
  <c r="E220" i="2"/>
  <c r="C220" i="2"/>
  <c r="E219" i="2"/>
  <c r="D219" i="2"/>
  <c r="C219" i="2"/>
  <c r="E218" i="2"/>
  <c r="C218" i="2"/>
  <c r="E217" i="2"/>
  <c r="C217" i="2"/>
  <c r="E211" i="2"/>
  <c r="D211" i="2"/>
  <c r="C211" i="2"/>
  <c r="E210" i="2"/>
  <c r="D210" i="2"/>
  <c r="C210" i="2"/>
  <c r="E209" i="2"/>
  <c r="D209" i="2"/>
  <c r="C209" i="2"/>
  <c r="E208" i="2"/>
  <c r="D208" i="2"/>
  <c r="C208" i="2"/>
  <c r="E207" i="2"/>
  <c r="D207" i="2"/>
  <c r="C207" i="2"/>
  <c r="E206" i="2"/>
  <c r="D206" i="2"/>
  <c r="C206" i="2"/>
  <c r="E205" i="2"/>
  <c r="D205" i="2"/>
  <c r="C205" i="2"/>
  <c r="E200" i="2"/>
  <c r="D200" i="2"/>
  <c r="C200" i="2"/>
  <c r="E199" i="2"/>
  <c r="D199" i="2"/>
  <c r="C199" i="2"/>
  <c r="E198" i="2"/>
  <c r="D198" i="2"/>
  <c r="C198" i="2"/>
  <c r="E197" i="2"/>
  <c r="D197" i="2"/>
  <c r="C197" i="2"/>
  <c r="E196" i="2"/>
  <c r="D196" i="2"/>
  <c r="C196" i="2"/>
  <c r="E195" i="2"/>
  <c r="D195" i="2"/>
  <c r="C195" i="2"/>
  <c r="E194" i="2"/>
  <c r="D194" i="2"/>
  <c r="C194" i="2"/>
  <c r="E193" i="2"/>
  <c r="D193" i="2"/>
  <c r="C193" i="2"/>
  <c r="E192" i="2"/>
  <c r="D192" i="2"/>
  <c r="C192" i="2"/>
  <c r="E191" i="2"/>
  <c r="D191" i="2"/>
  <c r="C191" i="2"/>
  <c r="J172" i="2"/>
  <c r="I172" i="2"/>
  <c r="H172" i="2"/>
  <c r="G172" i="2"/>
  <c r="F172" i="2"/>
  <c r="E172" i="2"/>
  <c r="D172" i="2"/>
  <c r="J171" i="2"/>
  <c r="I171" i="2"/>
  <c r="H171" i="2"/>
  <c r="G171" i="2"/>
  <c r="F171" i="2"/>
  <c r="E171" i="2"/>
  <c r="D171" i="2"/>
  <c r="J170" i="2"/>
  <c r="I170" i="2"/>
  <c r="H170" i="2"/>
  <c r="G170" i="2"/>
  <c r="F170" i="2"/>
  <c r="E170" i="2"/>
  <c r="D170" i="2"/>
  <c r="J169" i="2"/>
  <c r="I169" i="2"/>
  <c r="H169" i="2"/>
  <c r="G169" i="2"/>
  <c r="F169" i="2"/>
  <c r="E169" i="2"/>
  <c r="D169" i="2"/>
  <c r="J168" i="2"/>
  <c r="I168" i="2"/>
  <c r="H168" i="2"/>
  <c r="G168" i="2"/>
  <c r="F168" i="2"/>
  <c r="E168" i="2"/>
  <c r="D168" i="2"/>
  <c r="J167" i="2"/>
  <c r="I167" i="2"/>
  <c r="H167" i="2"/>
  <c r="G167" i="2"/>
  <c r="F167" i="2"/>
  <c r="E167" i="2"/>
  <c r="D167" i="2"/>
  <c r="J166" i="2"/>
  <c r="I166" i="2"/>
  <c r="H166" i="2"/>
  <c r="G166" i="2"/>
  <c r="F166" i="2"/>
  <c r="E166" i="2"/>
  <c r="D166" i="2"/>
  <c r="J165" i="2"/>
  <c r="I165" i="2"/>
  <c r="H165" i="2"/>
  <c r="G165" i="2"/>
  <c r="F165" i="2"/>
  <c r="E165" i="2"/>
  <c r="D165" i="2"/>
  <c r="J164" i="2"/>
  <c r="I164" i="2"/>
  <c r="H164" i="2"/>
  <c r="G164" i="2"/>
  <c r="F164" i="2"/>
  <c r="E164" i="2"/>
  <c r="D164" i="2"/>
  <c r="J163" i="2"/>
  <c r="I163" i="2"/>
  <c r="H163" i="2"/>
  <c r="G163" i="2"/>
  <c r="F163" i="2"/>
  <c r="E163" i="2"/>
  <c r="D163" i="2"/>
  <c r="J162" i="2"/>
  <c r="I162" i="2"/>
  <c r="H162" i="2"/>
  <c r="G162" i="2"/>
  <c r="F162" i="2"/>
  <c r="E162" i="2"/>
  <c r="D162" i="2"/>
  <c r="J161" i="2"/>
  <c r="I161" i="2"/>
  <c r="H161" i="2"/>
  <c r="G161" i="2"/>
  <c r="F161" i="2"/>
  <c r="E161" i="2"/>
  <c r="D161" i="2"/>
  <c r="J160" i="2"/>
  <c r="I160" i="2"/>
  <c r="H160" i="2"/>
  <c r="G160" i="2"/>
  <c r="F160" i="2"/>
  <c r="E160" i="2"/>
  <c r="D160" i="2"/>
  <c r="J159" i="2"/>
  <c r="I159" i="2"/>
  <c r="H159" i="2"/>
  <c r="G159" i="2"/>
  <c r="F159" i="2"/>
  <c r="E159" i="2"/>
  <c r="D159" i="2"/>
  <c r="J158" i="2"/>
  <c r="I158" i="2"/>
  <c r="H158" i="2"/>
  <c r="G158" i="2"/>
  <c r="F158" i="2"/>
  <c r="E158" i="2"/>
  <c r="D158" i="2"/>
  <c r="J157" i="2"/>
  <c r="I157" i="2"/>
  <c r="H157" i="2"/>
  <c r="G157" i="2"/>
  <c r="F157" i="2"/>
  <c r="E157" i="2"/>
  <c r="D157" i="2"/>
  <c r="J156" i="2"/>
  <c r="I156" i="2"/>
  <c r="H156" i="2"/>
  <c r="G156" i="2"/>
  <c r="F156" i="2"/>
  <c r="E156" i="2"/>
  <c r="D156" i="2"/>
  <c r="J155" i="2"/>
  <c r="I155" i="2"/>
  <c r="H155" i="2"/>
  <c r="G155" i="2"/>
  <c r="F155" i="2"/>
  <c r="E155" i="2"/>
  <c r="D155" i="2"/>
  <c r="J154" i="2"/>
  <c r="I154" i="2"/>
  <c r="H154" i="2"/>
  <c r="G154" i="2"/>
  <c r="F154" i="2"/>
  <c r="E154" i="2"/>
  <c r="D154" i="2"/>
  <c r="J153" i="2"/>
  <c r="I153" i="2"/>
  <c r="H153" i="2"/>
  <c r="G153" i="2"/>
  <c r="F153" i="2"/>
  <c r="E153" i="2"/>
  <c r="D153" i="2"/>
  <c r="J152" i="2"/>
  <c r="I152" i="2"/>
  <c r="H152" i="2"/>
  <c r="G152" i="2"/>
  <c r="F152" i="2"/>
  <c r="E152" i="2"/>
  <c r="D152" i="2"/>
  <c r="J151" i="2"/>
  <c r="I151" i="2"/>
  <c r="H151" i="2"/>
  <c r="G151" i="2"/>
  <c r="F151" i="2"/>
  <c r="E151" i="2"/>
  <c r="D151" i="2"/>
  <c r="J150" i="2"/>
  <c r="I150" i="2"/>
  <c r="H150" i="2"/>
  <c r="G150" i="2"/>
  <c r="F150" i="2"/>
  <c r="E150" i="2"/>
  <c r="D150" i="2"/>
  <c r="J149" i="2"/>
  <c r="I149" i="2"/>
  <c r="H149" i="2"/>
  <c r="G149" i="2"/>
  <c r="F149" i="2"/>
  <c r="E149" i="2"/>
  <c r="D149" i="2"/>
  <c r="J148" i="2"/>
  <c r="I148" i="2"/>
  <c r="H148" i="2"/>
  <c r="G148" i="2"/>
  <c r="F148" i="2"/>
  <c r="E148" i="2"/>
  <c r="D148" i="2"/>
  <c r="J147" i="2"/>
  <c r="I147" i="2"/>
  <c r="H147" i="2"/>
  <c r="G147" i="2"/>
  <c r="F147" i="2"/>
  <c r="E147" i="2"/>
  <c r="D147" i="2"/>
  <c r="J146" i="2"/>
  <c r="I146" i="2"/>
  <c r="H146" i="2"/>
  <c r="G146" i="2"/>
  <c r="F146" i="2"/>
  <c r="E146" i="2"/>
  <c r="D146" i="2"/>
  <c r="K141" i="2"/>
  <c r="J141" i="2"/>
  <c r="I141" i="2"/>
  <c r="H141" i="2"/>
  <c r="F141" i="2"/>
  <c r="E141" i="2"/>
  <c r="D141" i="2"/>
  <c r="C141" i="2"/>
  <c r="K140" i="2"/>
  <c r="J140" i="2"/>
  <c r="I140" i="2"/>
  <c r="H140" i="2"/>
  <c r="F140" i="2"/>
  <c r="E140" i="2"/>
  <c r="D140" i="2"/>
  <c r="C140" i="2"/>
  <c r="K139" i="2"/>
  <c r="J139" i="2"/>
  <c r="I139" i="2"/>
  <c r="H139" i="2"/>
  <c r="F139" i="2"/>
  <c r="E139" i="2"/>
  <c r="D139" i="2"/>
  <c r="C139" i="2"/>
  <c r="K138" i="2"/>
  <c r="J138" i="2"/>
  <c r="I138" i="2"/>
  <c r="H138" i="2"/>
  <c r="F138" i="2"/>
  <c r="E138" i="2"/>
  <c r="D138" i="2"/>
  <c r="C138" i="2"/>
  <c r="K137" i="2"/>
  <c r="J137" i="2"/>
  <c r="I137" i="2"/>
  <c r="H137" i="2"/>
  <c r="F137" i="2"/>
  <c r="E137" i="2"/>
  <c r="D137" i="2"/>
  <c r="C137" i="2"/>
  <c r="K127" i="2"/>
  <c r="J127" i="2"/>
  <c r="I127" i="2"/>
  <c r="H127" i="2"/>
  <c r="F127" i="2"/>
  <c r="E127" i="2"/>
  <c r="D127" i="2"/>
  <c r="C127" i="2"/>
  <c r="K126" i="2"/>
  <c r="J126" i="2"/>
  <c r="I126" i="2"/>
  <c r="H126" i="2"/>
  <c r="G126" i="2"/>
  <c r="F126" i="2"/>
  <c r="E126" i="2"/>
  <c r="D126" i="2"/>
  <c r="C126" i="2"/>
  <c r="K125" i="2"/>
  <c r="J125" i="2"/>
  <c r="I125" i="2"/>
  <c r="H125" i="2"/>
  <c r="F125" i="2"/>
  <c r="E125" i="2"/>
  <c r="D125" i="2"/>
  <c r="C125" i="2"/>
  <c r="K113" i="2"/>
  <c r="J113" i="2"/>
  <c r="I113" i="2"/>
  <c r="H113" i="2"/>
  <c r="F113" i="2"/>
  <c r="E113" i="2"/>
  <c r="D113" i="2"/>
  <c r="C113" i="2"/>
  <c r="K112" i="2"/>
  <c r="J112" i="2"/>
  <c r="I112" i="2"/>
  <c r="H112" i="2"/>
  <c r="F112" i="2"/>
  <c r="E112" i="2"/>
  <c r="D112" i="2"/>
  <c r="C112" i="2"/>
  <c r="K111" i="2"/>
  <c r="J111" i="2"/>
  <c r="I111" i="2"/>
  <c r="H111" i="2"/>
  <c r="F111" i="2"/>
  <c r="E111" i="2"/>
  <c r="D111" i="2"/>
  <c r="C111" i="2"/>
  <c r="K110" i="2"/>
  <c r="J110" i="2"/>
  <c r="I110" i="2"/>
  <c r="H110" i="2"/>
  <c r="F110" i="2"/>
  <c r="E110" i="2"/>
  <c r="D110" i="2"/>
  <c r="C110" i="2"/>
  <c r="K109" i="2"/>
  <c r="J109" i="2"/>
  <c r="I109" i="2"/>
  <c r="H109" i="2"/>
  <c r="F109" i="2"/>
  <c r="E109" i="2"/>
  <c r="D109" i="2"/>
  <c r="C109" i="2"/>
  <c r="E99" i="2"/>
  <c r="D99" i="2"/>
  <c r="C99" i="2"/>
  <c r="D93" i="2"/>
  <c r="G92" i="2"/>
  <c r="F92" i="2"/>
  <c r="E92" i="2"/>
  <c r="D92" i="2"/>
  <c r="C92" i="2"/>
  <c r="K81" i="2"/>
  <c r="J81" i="2"/>
  <c r="I81" i="2"/>
  <c r="H81" i="2"/>
  <c r="F81" i="2"/>
  <c r="E81" i="2"/>
  <c r="D81" i="2"/>
  <c r="C81" i="2"/>
  <c r="K80" i="2"/>
  <c r="J80" i="2"/>
  <c r="I80" i="2"/>
  <c r="H80" i="2"/>
  <c r="F80" i="2"/>
  <c r="E80" i="2"/>
  <c r="D80" i="2"/>
  <c r="C80" i="2"/>
  <c r="K79" i="2"/>
  <c r="J79" i="2"/>
  <c r="I79" i="2"/>
  <c r="H79" i="2"/>
  <c r="F79" i="2"/>
  <c r="E79" i="2"/>
  <c r="D79" i="2"/>
  <c r="C79" i="2"/>
  <c r="K78" i="2"/>
  <c r="J78" i="2"/>
  <c r="I78" i="2"/>
  <c r="H78" i="2"/>
  <c r="F78" i="2"/>
  <c r="E78" i="2"/>
  <c r="D78" i="2"/>
  <c r="C78" i="2"/>
  <c r="K77" i="2"/>
  <c r="J77" i="2"/>
  <c r="I77" i="2"/>
  <c r="H77" i="2"/>
  <c r="F77" i="2"/>
  <c r="E77" i="2"/>
  <c r="D77" i="2"/>
  <c r="C77" i="2"/>
  <c r="K76" i="2"/>
  <c r="J76" i="2"/>
  <c r="I76" i="2"/>
  <c r="H76" i="2"/>
  <c r="F76" i="2"/>
  <c r="E76" i="2"/>
  <c r="D76" i="2"/>
  <c r="C76" i="2"/>
  <c r="K67" i="2"/>
  <c r="J67" i="2"/>
  <c r="I67" i="2"/>
  <c r="H67" i="2"/>
  <c r="F67" i="2"/>
  <c r="E67" i="2"/>
  <c r="D67" i="2"/>
  <c r="C67" i="2"/>
  <c r="K66" i="2"/>
  <c r="J66" i="2"/>
  <c r="I66" i="2"/>
  <c r="H66" i="2"/>
  <c r="F66" i="2"/>
  <c r="E66" i="2"/>
  <c r="D66" i="2"/>
  <c r="C66" i="2"/>
  <c r="K65" i="2"/>
  <c r="J65" i="2"/>
  <c r="I65" i="2"/>
  <c r="H65" i="2"/>
  <c r="F65" i="2"/>
  <c r="E65" i="2"/>
  <c r="D65" i="2"/>
  <c r="C65" i="2"/>
  <c r="K64" i="2"/>
  <c r="J64" i="2"/>
  <c r="I64" i="2"/>
  <c r="H64" i="2"/>
  <c r="F64" i="2"/>
  <c r="E64" i="2"/>
  <c r="D64" i="2"/>
  <c r="C64" i="2"/>
  <c r="C57" i="2"/>
  <c r="C56" i="2"/>
  <c r="L48" i="2"/>
  <c r="K48" i="2"/>
  <c r="J48" i="2"/>
  <c r="I48" i="2"/>
  <c r="H48" i="2"/>
  <c r="F48" i="2"/>
  <c r="E48" i="2"/>
  <c r="D48" i="2"/>
  <c r="C48" i="2"/>
  <c r="L47" i="2"/>
  <c r="K47" i="2"/>
  <c r="J47" i="2"/>
  <c r="I47" i="2"/>
  <c r="H47" i="2"/>
  <c r="G47" i="2"/>
  <c r="F47" i="2"/>
  <c r="E47" i="2"/>
  <c r="D47" i="2"/>
  <c r="C47" i="2"/>
  <c r="L46" i="2"/>
  <c r="K46" i="2"/>
  <c r="L41" i="2" s="1"/>
  <c r="J46" i="2"/>
  <c r="K41" i="2" s="1"/>
  <c r="I46" i="2"/>
  <c r="H46" i="2"/>
  <c r="F46" i="2"/>
  <c r="E46" i="2"/>
  <c r="D46" i="2"/>
  <c r="C46" i="2"/>
  <c r="M41" i="2"/>
  <c r="I41" i="2"/>
  <c r="G41" i="2"/>
  <c r="E41" i="2"/>
  <c r="D41" i="2"/>
  <c r="C41" i="2"/>
  <c r="M40" i="2"/>
  <c r="L40" i="2"/>
  <c r="K40" i="2"/>
  <c r="L35" i="2" s="1"/>
  <c r="I40" i="2"/>
  <c r="G40" i="2"/>
  <c r="F40" i="2"/>
  <c r="E40" i="2"/>
  <c r="D40" i="2"/>
  <c r="C40" i="2"/>
  <c r="AE38" i="2"/>
  <c r="AD38" i="2"/>
  <c r="AC38" i="2"/>
  <c r="AB38" i="2"/>
  <c r="AA38" i="2"/>
  <c r="M35" i="2"/>
  <c r="O33" i="2"/>
  <c r="F28" i="2"/>
  <c r="E28" i="2"/>
  <c r="D28" i="2"/>
  <c r="W23" i="2"/>
  <c r="D23" i="2"/>
  <c r="G22" i="2"/>
  <c r="E22" i="2"/>
  <c r="D22" i="2"/>
  <c r="C22" i="2"/>
  <c r="C12" i="2"/>
  <c r="H2" i="2"/>
  <c r="G2" i="2"/>
  <c r="J2" i="2" s="1"/>
  <c r="F3" i="2" s="1"/>
  <c r="J3" i="2" s="1"/>
  <c r="J4" i="2" s="1"/>
  <c r="I5" i="2" s="1"/>
  <c r="G255" i="26"/>
  <c r="D255" i="26"/>
  <c r="C255" i="26"/>
  <c r="G254" i="26"/>
  <c r="D254" i="26"/>
  <c r="C254" i="26"/>
  <c r="G253" i="26"/>
  <c r="D253" i="26"/>
  <c r="C253" i="26"/>
  <c r="G252" i="26"/>
  <c r="D252" i="26"/>
  <c r="C252" i="26"/>
  <c r="G251" i="26"/>
  <c r="D251" i="26"/>
  <c r="C251" i="26"/>
  <c r="G250" i="26"/>
  <c r="D250" i="26"/>
  <c r="C250" i="26"/>
  <c r="G249" i="26"/>
  <c r="D249" i="26"/>
  <c r="C249" i="26"/>
  <c r="G248" i="26"/>
  <c r="D248" i="26"/>
  <c r="C248" i="26"/>
  <c r="G247" i="26"/>
  <c r="D247" i="26"/>
  <c r="C247" i="26"/>
  <c r="G246" i="26"/>
  <c r="D246" i="26"/>
  <c r="C246" i="26"/>
  <c r="G245" i="26"/>
  <c r="D245" i="26"/>
  <c r="C245" i="26"/>
  <c r="G244" i="26"/>
  <c r="D244" i="26"/>
  <c r="C244" i="26"/>
  <c r="G243" i="26"/>
  <c r="D243" i="26"/>
  <c r="C243" i="26"/>
  <c r="G242" i="26"/>
  <c r="D242" i="26"/>
  <c r="C242" i="26"/>
  <c r="G241" i="26"/>
  <c r="D241" i="26"/>
  <c r="C241" i="26"/>
  <c r="G240" i="26"/>
  <c r="D240" i="26"/>
  <c r="C240" i="26"/>
  <c r="G239" i="26"/>
  <c r="D239" i="26"/>
  <c r="C239" i="26"/>
  <c r="G238" i="26"/>
  <c r="D238" i="26"/>
  <c r="C238" i="26"/>
  <c r="G237" i="26"/>
  <c r="D237" i="26"/>
  <c r="C237" i="26"/>
  <c r="G236" i="26"/>
  <c r="D236" i="26"/>
  <c r="C236" i="26"/>
  <c r="G235" i="26"/>
  <c r="D235" i="26"/>
  <c r="C235" i="26"/>
  <c r="G234" i="26"/>
  <c r="D234" i="26"/>
  <c r="C234" i="26"/>
  <c r="G233" i="26"/>
  <c r="D233" i="26"/>
  <c r="C233" i="26"/>
  <c r="G232" i="26"/>
  <c r="D232" i="26"/>
  <c r="C232" i="26"/>
  <c r="G231" i="26"/>
  <c r="D231" i="26"/>
  <c r="C231" i="26"/>
  <c r="G230" i="26"/>
  <c r="D230" i="26"/>
  <c r="C230" i="26"/>
  <c r="G229" i="26"/>
  <c r="D229" i="26"/>
  <c r="C229" i="26"/>
  <c r="G228" i="26"/>
  <c r="D228" i="26"/>
  <c r="C228" i="26"/>
  <c r="G227" i="26"/>
  <c r="D227" i="26"/>
  <c r="C227" i="26"/>
  <c r="G226" i="26"/>
  <c r="D226" i="26"/>
  <c r="C226" i="26"/>
  <c r="G225" i="26"/>
  <c r="D225" i="26"/>
  <c r="C225" i="26"/>
  <c r="G224" i="26"/>
  <c r="D224" i="26"/>
  <c r="C224" i="26"/>
  <c r="G223" i="26"/>
  <c r="D223" i="26"/>
  <c r="C223" i="26"/>
  <c r="G222" i="26"/>
  <c r="D222" i="26"/>
  <c r="C222" i="26"/>
  <c r="G221" i="26"/>
  <c r="D221" i="26"/>
  <c r="C221" i="26"/>
  <c r="G220" i="26"/>
  <c r="D220" i="26"/>
  <c r="C220" i="26"/>
  <c r="G219" i="26"/>
  <c r="D219" i="26"/>
  <c r="C219" i="26"/>
  <c r="G218" i="26"/>
  <c r="D218" i="26"/>
  <c r="C218" i="26"/>
  <c r="G217" i="26"/>
  <c r="D217" i="26"/>
  <c r="C217" i="26"/>
  <c r="G216" i="26"/>
  <c r="D216" i="26"/>
  <c r="C216" i="26"/>
  <c r="G215" i="26"/>
  <c r="D215" i="26"/>
  <c r="C215" i="26"/>
  <c r="G214" i="26"/>
  <c r="D214" i="26"/>
  <c r="C214" i="26"/>
  <c r="G213" i="26"/>
  <c r="D213" i="26"/>
  <c r="C213" i="26"/>
  <c r="G212" i="26"/>
  <c r="D212" i="26"/>
  <c r="C212" i="26"/>
  <c r="G211" i="26"/>
  <c r="D211" i="26"/>
  <c r="C211" i="26"/>
  <c r="G210" i="26"/>
  <c r="D210" i="26"/>
  <c r="C210" i="26"/>
  <c r="G209" i="26"/>
  <c r="D209" i="26"/>
  <c r="C209" i="26"/>
  <c r="G208" i="26"/>
  <c r="D208" i="26"/>
  <c r="C208" i="26"/>
  <c r="G207" i="26"/>
  <c r="D207" i="26"/>
  <c r="C207" i="26"/>
  <c r="G206" i="26"/>
  <c r="D206" i="26"/>
  <c r="C206" i="26"/>
  <c r="G205" i="26"/>
  <c r="D205" i="26"/>
  <c r="C205" i="26"/>
  <c r="G204" i="26"/>
  <c r="D204" i="26"/>
  <c r="C204" i="26"/>
  <c r="G203" i="26"/>
  <c r="D203" i="26"/>
  <c r="C203" i="26"/>
  <c r="G202" i="26"/>
  <c r="D202" i="26"/>
  <c r="C202" i="26"/>
  <c r="G201" i="26"/>
  <c r="D201" i="26"/>
  <c r="C201" i="26"/>
  <c r="G200" i="26"/>
  <c r="D200" i="26"/>
  <c r="C200" i="26"/>
  <c r="G199" i="26"/>
  <c r="D199" i="26"/>
  <c r="C199" i="26"/>
  <c r="G198" i="26"/>
  <c r="D198" i="26"/>
  <c r="C198" i="26"/>
  <c r="G197" i="26"/>
  <c r="D197" i="26"/>
  <c r="C197" i="26"/>
  <c r="G196" i="26"/>
  <c r="D196" i="26"/>
  <c r="C196" i="26"/>
  <c r="G195" i="26"/>
  <c r="D195" i="26"/>
  <c r="C195" i="26"/>
  <c r="G194" i="26"/>
  <c r="D194" i="26"/>
  <c r="C194" i="26"/>
  <c r="G193" i="26"/>
  <c r="D193" i="26"/>
  <c r="C193" i="26"/>
  <c r="G192" i="26"/>
  <c r="D192" i="26"/>
  <c r="C192" i="26"/>
  <c r="G191" i="26"/>
  <c r="D191" i="26"/>
  <c r="C191" i="26"/>
  <c r="G190" i="26"/>
  <c r="D190" i="26"/>
  <c r="C190" i="26"/>
  <c r="G189" i="26"/>
  <c r="D189" i="26"/>
  <c r="C189" i="26"/>
  <c r="G188" i="26"/>
  <c r="D188" i="26"/>
  <c r="C188" i="26"/>
  <c r="G187" i="26"/>
  <c r="D187" i="26"/>
  <c r="C187" i="26"/>
  <c r="G186" i="26"/>
  <c r="D186" i="26"/>
  <c r="C186" i="26"/>
  <c r="G185" i="26"/>
  <c r="D185" i="26"/>
  <c r="C185" i="26"/>
  <c r="G184" i="26"/>
  <c r="D184" i="26"/>
  <c r="C184" i="26"/>
  <c r="G183" i="26"/>
  <c r="D183" i="26"/>
  <c r="C183" i="26"/>
  <c r="G182" i="26"/>
  <c r="D182" i="26"/>
  <c r="C182" i="26"/>
  <c r="G181" i="26"/>
  <c r="D181" i="26"/>
  <c r="C181" i="26"/>
  <c r="G180" i="26"/>
  <c r="D180" i="26"/>
  <c r="C180" i="26"/>
  <c r="G179" i="26"/>
  <c r="D179" i="26"/>
  <c r="C179" i="26"/>
  <c r="G178" i="26"/>
  <c r="D178" i="26"/>
  <c r="C178" i="26"/>
  <c r="G177" i="26"/>
  <c r="D177" i="26"/>
  <c r="C177" i="26"/>
  <c r="G176" i="26"/>
  <c r="D176" i="26"/>
  <c r="C176" i="26"/>
  <c r="G175" i="26"/>
  <c r="D175" i="26"/>
  <c r="C175" i="26"/>
  <c r="G174" i="26"/>
  <c r="D174" i="26"/>
  <c r="C174" i="26"/>
  <c r="G173" i="26"/>
  <c r="D173" i="26"/>
  <c r="C173" i="26"/>
  <c r="G172" i="26"/>
  <c r="D172" i="26"/>
  <c r="C172" i="26"/>
  <c r="G171" i="26"/>
  <c r="D171" i="26"/>
  <c r="C171" i="26"/>
  <c r="G170" i="26"/>
  <c r="D170" i="26"/>
  <c r="C170" i="26"/>
  <c r="G169" i="26"/>
  <c r="D169" i="26"/>
  <c r="C169" i="26"/>
  <c r="G168" i="26"/>
  <c r="D168" i="26"/>
  <c r="C168" i="26"/>
  <c r="G167" i="26"/>
  <c r="D167" i="26"/>
  <c r="C167" i="26"/>
  <c r="G166" i="26"/>
  <c r="D166" i="26"/>
  <c r="C166" i="26"/>
  <c r="G165" i="26"/>
  <c r="D165" i="26"/>
  <c r="C165" i="26"/>
  <c r="G164" i="26"/>
  <c r="D164" i="26"/>
  <c r="C164" i="26"/>
  <c r="G163" i="26"/>
  <c r="D163" i="26"/>
  <c r="C163" i="26"/>
  <c r="G162" i="26"/>
  <c r="D162" i="26"/>
  <c r="C162" i="26"/>
  <c r="G161" i="26"/>
  <c r="D161" i="26"/>
  <c r="C161" i="26"/>
  <c r="G160" i="26"/>
  <c r="D160" i="26"/>
  <c r="C160" i="26"/>
  <c r="G159" i="26"/>
  <c r="D159" i="26"/>
  <c r="C159" i="26"/>
  <c r="G158" i="26"/>
  <c r="D158" i="26"/>
  <c r="C158" i="26"/>
  <c r="G157" i="26"/>
  <c r="D157" i="26"/>
  <c r="C157" i="26"/>
  <c r="G156" i="26"/>
  <c r="D156" i="26"/>
  <c r="C156" i="26"/>
  <c r="G155" i="26"/>
  <c r="D155" i="26"/>
  <c r="C155" i="26"/>
  <c r="G154" i="26"/>
  <c r="D154" i="26"/>
  <c r="C154" i="26"/>
  <c r="G153" i="26"/>
  <c r="D153" i="26"/>
  <c r="C153" i="26"/>
  <c r="G152" i="26"/>
  <c r="D152" i="26"/>
  <c r="C152" i="26"/>
  <c r="G151" i="26"/>
  <c r="D151" i="26"/>
  <c r="C151" i="26"/>
  <c r="G150" i="26"/>
  <c r="D150" i="26"/>
  <c r="C150" i="26"/>
  <c r="G149" i="26"/>
  <c r="D149" i="26"/>
  <c r="C149" i="26"/>
  <c r="G148" i="26"/>
  <c r="D148" i="26"/>
  <c r="C148" i="26"/>
  <c r="G147" i="26"/>
  <c r="D147" i="26"/>
  <c r="C147" i="26"/>
  <c r="G146" i="26"/>
  <c r="D146" i="26"/>
  <c r="C146" i="26"/>
  <c r="G145" i="26"/>
  <c r="D145" i="26"/>
  <c r="C145" i="26"/>
  <c r="G144" i="26"/>
  <c r="D144" i="26"/>
  <c r="C144" i="26"/>
  <c r="G143" i="26"/>
  <c r="D143" i="26"/>
  <c r="C143" i="26"/>
  <c r="G142" i="26"/>
  <c r="D142" i="26"/>
  <c r="C142" i="26"/>
  <c r="G141" i="26"/>
  <c r="D141" i="26"/>
  <c r="C141" i="26"/>
  <c r="G140" i="26"/>
  <c r="D140" i="26"/>
  <c r="C140" i="26"/>
  <c r="G139" i="26"/>
  <c r="D139" i="26"/>
  <c r="C139" i="26"/>
  <c r="G138" i="26"/>
  <c r="D138" i="26"/>
  <c r="C138" i="26"/>
  <c r="G137" i="26"/>
  <c r="D137" i="26"/>
  <c r="C137" i="26"/>
  <c r="G136" i="26"/>
  <c r="D136" i="26"/>
  <c r="C136" i="26"/>
  <c r="G135" i="26"/>
  <c r="D135" i="26"/>
  <c r="C135" i="26"/>
  <c r="G134" i="26"/>
  <c r="D134" i="26"/>
  <c r="C134" i="26"/>
  <c r="G133" i="26"/>
  <c r="D133" i="26"/>
  <c r="C133" i="26"/>
  <c r="G132" i="26"/>
  <c r="D132" i="26"/>
  <c r="C132" i="26"/>
  <c r="G131" i="26"/>
  <c r="D131" i="26"/>
  <c r="C131" i="26"/>
  <c r="G130" i="26"/>
  <c r="D130" i="26"/>
  <c r="C130" i="26"/>
  <c r="G129" i="26"/>
  <c r="D129" i="26"/>
  <c r="C129" i="26"/>
  <c r="G128" i="26"/>
  <c r="D128" i="26"/>
  <c r="C128" i="26"/>
  <c r="G127" i="26"/>
  <c r="D127" i="26"/>
  <c r="C127" i="26"/>
  <c r="G126" i="26"/>
  <c r="D126" i="26"/>
  <c r="C126" i="26"/>
  <c r="G125" i="26"/>
  <c r="D125" i="26"/>
  <c r="C125" i="26"/>
  <c r="G124" i="26"/>
  <c r="D124" i="26"/>
  <c r="C124" i="26"/>
  <c r="G123" i="26"/>
  <c r="D123" i="26"/>
  <c r="C123" i="26"/>
  <c r="G122" i="26"/>
  <c r="D122" i="26"/>
  <c r="C122" i="26"/>
  <c r="G121" i="26"/>
  <c r="D121" i="26"/>
  <c r="C121" i="26"/>
  <c r="G120" i="26"/>
  <c r="D120" i="26"/>
  <c r="C120" i="26"/>
  <c r="G119" i="26"/>
  <c r="D119" i="26"/>
  <c r="C119" i="26"/>
  <c r="G118" i="26"/>
  <c r="D118" i="26"/>
  <c r="C118" i="26"/>
  <c r="G117" i="26"/>
  <c r="D117" i="26"/>
  <c r="C117" i="26"/>
  <c r="G116" i="26"/>
  <c r="D116" i="26"/>
  <c r="C116" i="26"/>
  <c r="G115" i="26"/>
  <c r="D115" i="26"/>
  <c r="C115" i="26"/>
  <c r="G114" i="26"/>
  <c r="D114" i="26"/>
  <c r="C114" i="26"/>
  <c r="G113" i="26"/>
  <c r="D113" i="26"/>
  <c r="C113" i="26"/>
  <c r="G112" i="26"/>
  <c r="D112" i="26"/>
  <c r="C112" i="26"/>
  <c r="G111" i="26"/>
  <c r="D111" i="26"/>
  <c r="C111" i="26"/>
  <c r="G110" i="26"/>
  <c r="D110" i="26"/>
  <c r="C110" i="26"/>
  <c r="G109" i="26"/>
  <c r="D109" i="26"/>
  <c r="C109" i="26"/>
  <c r="G108" i="26"/>
  <c r="D108" i="26"/>
  <c r="C108" i="26"/>
  <c r="G107" i="26"/>
  <c r="D107" i="26"/>
  <c r="C107" i="26"/>
  <c r="G106" i="26"/>
  <c r="D106" i="26"/>
  <c r="C106" i="26"/>
  <c r="G105" i="26"/>
  <c r="D105" i="26"/>
  <c r="C105" i="26"/>
  <c r="G104" i="26"/>
  <c r="D104" i="26"/>
  <c r="C104" i="26"/>
  <c r="G103" i="26"/>
  <c r="D103" i="26"/>
  <c r="C103" i="26"/>
  <c r="G102" i="26"/>
  <c r="D102" i="26"/>
  <c r="C102" i="26"/>
  <c r="G101" i="26"/>
  <c r="D101" i="26"/>
  <c r="C101" i="26"/>
  <c r="G100" i="26"/>
  <c r="D100" i="26"/>
  <c r="C100" i="26"/>
  <c r="G99" i="26"/>
  <c r="D99" i="26"/>
  <c r="C99" i="26"/>
  <c r="G98" i="26"/>
  <c r="D98" i="26"/>
  <c r="C98" i="26"/>
  <c r="G97" i="26"/>
  <c r="D97" i="26"/>
  <c r="C97" i="26"/>
  <c r="G96" i="26"/>
  <c r="D96" i="26"/>
  <c r="C96" i="26"/>
  <c r="G95" i="26"/>
  <c r="D95" i="26"/>
  <c r="C95" i="26"/>
  <c r="G94" i="26"/>
  <c r="D94" i="26"/>
  <c r="C94" i="26"/>
  <c r="G93" i="26"/>
  <c r="D93" i="26"/>
  <c r="C93" i="26"/>
  <c r="G92" i="26"/>
  <c r="D92" i="26"/>
  <c r="C92" i="26"/>
  <c r="G91" i="26"/>
  <c r="D91" i="26"/>
  <c r="C91" i="26"/>
  <c r="G90" i="26"/>
  <c r="D90" i="26"/>
  <c r="C90" i="26"/>
  <c r="G89" i="26"/>
  <c r="D89" i="26"/>
  <c r="C89" i="26"/>
  <c r="G88" i="26"/>
  <c r="D88" i="26"/>
  <c r="C88" i="26"/>
  <c r="G87" i="26"/>
  <c r="D87" i="26"/>
  <c r="C87" i="26"/>
  <c r="G86" i="26"/>
  <c r="D86" i="26"/>
  <c r="C86" i="26"/>
  <c r="G85" i="26"/>
  <c r="D85" i="26"/>
  <c r="C85" i="26"/>
  <c r="G84" i="26"/>
  <c r="D84" i="26"/>
  <c r="C84" i="26"/>
  <c r="G83" i="26"/>
  <c r="D83" i="26"/>
  <c r="C83" i="26"/>
  <c r="G82" i="26"/>
  <c r="D82" i="26"/>
  <c r="C82" i="26"/>
  <c r="G81" i="26"/>
  <c r="D81" i="26"/>
  <c r="C81" i="26"/>
  <c r="G80" i="26"/>
  <c r="D80" i="26"/>
  <c r="C80" i="26"/>
  <c r="G79" i="26"/>
  <c r="D79" i="26"/>
  <c r="C79" i="26"/>
  <c r="G78" i="26"/>
  <c r="D78" i="26"/>
  <c r="C78" i="26"/>
  <c r="G77" i="26"/>
  <c r="D77" i="26"/>
  <c r="C77" i="26"/>
  <c r="G76" i="26"/>
  <c r="D76" i="26"/>
  <c r="C76" i="26"/>
  <c r="G75" i="26"/>
  <c r="D75" i="26"/>
  <c r="C75" i="26"/>
  <c r="G74" i="26"/>
  <c r="D74" i="26"/>
  <c r="C74" i="26"/>
  <c r="G73" i="26"/>
  <c r="D73" i="26"/>
  <c r="C73" i="26"/>
  <c r="G72" i="26"/>
  <c r="D72" i="26"/>
  <c r="C72" i="26"/>
  <c r="G71" i="26"/>
  <c r="D71" i="26"/>
  <c r="C71" i="26"/>
  <c r="G70" i="26"/>
  <c r="D70" i="26"/>
  <c r="C70" i="26"/>
  <c r="G69" i="26"/>
  <c r="D69" i="26"/>
  <c r="C69" i="26"/>
  <c r="G68" i="26"/>
  <c r="D68" i="26"/>
  <c r="C68" i="26"/>
  <c r="G67" i="26"/>
  <c r="D67" i="26"/>
  <c r="C67" i="26"/>
  <c r="G66" i="26"/>
  <c r="D66" i="26"/>
  <c r="C66" i="26"/>
  <c r="G65" i="26"/>
  <c r="D65" i="26"/>
  <c r="C65" i="26"/>
  <c r="G64" i="26"/>
  <c r="D64" i="26"/>
  <c r="C64" i="26"/>
  <c r="G63" i="26"/>
  <c r="D63" i="26"/>
  <c r="C63" i="26"/>
  <c r="G62" i="26"/>
  <c r="D62" i="26"/>
  <c r="C62" i="26"/>
  <c r="G61" i="26"/>
  <c r="D61" i="26"/>
  <c r="C61" i="26"/>
  <c r="G60" i="26"/>
  <c r="D60" i="26"/>
  <c r="C60" i="26"/>
  <c r="G59" i="26"/>
  <c r="D59" i="26"/>
  <c r="C59" i="26"/>
  <c r="G58" i="26"/>
  <c r="D58" i="26"/>
  <c r="C58" i="26"/>
  <c r="G57" i="26"/>
  <c r="D57" i="26"/>
  <c r="C57" i="26"/>
  <c r="G56" i="26"/>
  <c r="D56" i="26"/>
  <c r="C56" i="26"/>
  <c r="G55" i="26"/>
  <c r="D55" i="26"/>
  <c r="C55" i="26"/>
  <c r="G54" i="26"/>
  <c r="D54" i="26"/>
  <c r="C54" i="26"/>
  <c r="G53" i="26"/>
  <c r="D53" i="26"/>
  <c r="C53" i="26"/>
  <c r="G52" i="26"/>
  <c r="D52" i="26"/>
  <c r="C52" i="26"/>
  <c r="G51" i="26"/>
  <c r="D51" i="26"/>
  <c r="C51" i="26"/>
  <c r="G50" i="26"/>
  <c r="D50" i="26"/>
  <c r="C50" i="26"/>
  <c r="G49" i="26"/>
  <c r="D49" i="26"/>
  <c r="C49" i="26"/>
  <c r="G48" i="26"/>
  <c r="D48" i="26"/>
  <c r="C48" i="26"/>
  <c r="G47" i="26"/>
  <c r="D47" i="26"/>
  <c r="C47" i="26"/>
  <c r="G46" i="26"/>
  <c r="D46" i="26"/>
  <c r="C46" i="26"/>
  <c r="G45" i="26"/>
  <c r="D45" i="26"/>
  <c r="C45" i="26"/>
  <c r="G44" i="26"/>
  <c r="D44" i="26"/>
  <c r="C44" i="26"/>
  <c r="G43" i="26"/>
  <c r="D43" i="26"/>
  <c r="C43" i="26"/>
  <c r="G42" i="26"/>
  <c r="D42" i="26"/>
  <c r="C42" i="26"/>
  <c r="G41" i="26"/>
  <c r="D41" i="26"/>
  <c r="C41" i="26"/>
  <c r="G40" i="26"/>
  <c r="D40" i="26"/>
  <c r="C40" i="26"/>
  <c r="G39" i="26"/>
  <c r="D39" i="26"/>
  <c r="C39" i="26"/>
  <c r="G38" i="26"/>
  <c r="D38" i="26"/>
  <c r="C38" i="26"/>
  <c r="G37" i="26"/>
  <c r="D37" i="26"/>
  <c r="C37" i="26"/>
  <c r="G36" i="26"/>
  <c r="D36" i="26"/>
  <c r="C36" i="26"/>
  <c r="G35" i="26"/>
  <c r="D35" i="26"/>
  <c r="C35" i="26"/>
  <c r="G34" i="26"/>
  <c r="D34" i="26"/>
  <c r="C34" i="26"/>
  <c r="G33" i="26"/>
  <c r="D33" i="26"/>
  <c r="C33" i="26"/>
  <c r="G32" i="26"/>
  <c r="D32" i="26"/>
  <c r="C32" i="26"/>
  <c r="G31" i="26"/>
  <c r="D31" i="26"/>
  <c r="C31" i="26"/>
  <c r="G30" i="26"/>
  <c r="D30" i="26"/>
  <c r="C30" i="26"/>
  <c r="G29" i="26"/>
  <c r="D29" i="26"/>
  <c r="C29" i="26"/>
  <c r="G28" i="26"/>
  <c r="D28" i="26"/>
  <c r="C28" i="26"/>
  <c r="G27" i="26"/>
  <c r="D27" i="26"/>
  <c r="C27" i="26"/>
  <c r="G26" i="26"/>
  <c r="D26" i="26"/>
  <c r="C26" i="26"/>
  <c r="G25" i="26"/>
  <c r="D25" i="26"/>
  <c r="C25" i="26"/>
  <c r="G24" i="26"/>
  <c r="D24" i="26"/>
  <c r="C24" i="26"/>
  <c r="G23" i="26"/>
  <c r="D23" i="26"/>
  <c r="C23" i="26"/>
  <c r="G22" i="26"/>
  <c r="D22" i="26"/>
  <c r="C22" i="26"/>
  <c r="G21" i="26"/>
  <c r="D21" i="26"/>
  <c r="C21" i="26"/>
  <c r="G20" i="26"/>
  <c r="D20" i="26"/>
  <c r="C20" i="26"/>
  <c r="G19" i="26"/>
  <c r="D19" i="26"/>
  <c r="C19" i="26"/>
  <c r="G18" i="26"/>
  <c r="D18" i="26"/>
  <c r="C18" i="26"/>
  <c r="G17" i="26"/>
  <c r="D17" i="26"/>
  <c r="C17" i="26"/>
  <c r="G16" i="26"/>
  <c r="D16" i="26"/>
  <c r="C16" i="26"/>
  <c r="G15" i="26"/>
  <c r="D15" i="26"/>
  <c r="C15" i="26"/>
  <c r="G14" i="26"/>
  <c r="D14" i="26"/>
  <c r="C14" i="26"/>
  <c r="D13" i="26"/>
  <c r="C13" i="26"/>
  <c r="D12" i="26"/>
  <c r="C12" i="26"/>
  <c r="D11" i="26"/>
  <c r="C11" i="26"/>
  <c r="D10" i="26"/>
  <c r="C10" i="26"/>
  <c r="D9" i="26"/>
  <c r="C9" i="26"/>
  <c r="D8" i="26"/>
  <c r="C8" i="26"/>
  <c r="D7" i="26"/>
  <c r="C7" i="26"/>
  <c r="D6" i="26"/>
  <c r="C6" i="26"/>
  <c r="D5" i="26"/>
  <c r="C5" i="26"/>
  <c r="D4" i="26"/>
  <c r="C4" i="26"/>
  <c r="D3" i="26"/>
  <c r="C3" i="26"/>
  <c r="D2" i="26"/>
  <c r="C2" i="26"/>
  <c r="C89" i="37"/>
  <c r="B89" i="37"/>
  <c r="A89" i="37"/>
  <c r="C88" i="37"/>
  <c r="B88" i="37"/>
  <c r="A88" i="37"/>
  <c r="C87" i="37"/>
  <c r="B87" i="37"/>
  <c r="A87" i="37"/>
  <c r="C86" i="37"/>
  <c r="B86" i="37"/>
  <c r="A86" i="37"/>
  <c r="C85" i="37"/>
  <c r="B85" i="37"/>
  <c r="A85" i="37"/>
  <c r="C84" i="37"/>
  <c r="B84" i="37"/>
  <c r="A84" i="37"/>
  <c r="C83" i="37"/>
  <c r="B83" i="37"/>
  <c r="A83" i="37"/>
  <c r="C82" i="37"/>
  <c r="B82" i="37"/>
  <c r="A82" i="37"/>
  <c r="C81" i="37"/>
  <c r="B81" i="37"/>
  <c r="A81" i="37"/>
  <c r="C80" i="37"/>
  <c r="B80" i="37"/>
  <c r="A80" i="37"/>
  <c r="C79" i="37"/>
  <c r="B79" i="37"/>
  <c r="A79" i="37"/>
  <c r="C78" i="37"/>
  <c r="B78" i="37"/>
  <c r="A78" i="37"/>
  <c r="C77" i="37"/>
  <c r="B77" i="37"/>
  <c r="A77" i="37"/>
  <c r="C76" i="37"/>
  <c r="B76" i="37"/>
  <c r="A76" i="37"/>
  <c r="C75" i="37"/>
  <c r="B75" i="37"/>
  <c r="A75" i="37"/>
  <c r="C74" i="37"/>
  <c r="B74" i="37"/>
  <c r="A74" i="37"/>
  <c r="C73" i="37"/>
  <c r="B73" i="37"/>
  <c r="A73" i="37"/>
  <c r="C72" i="37"/>
  <c r="B72" i="37"/>
  <c r="A72" i="37"/>
  <c r="C71" i="37"/>
  <c r="B71" i="37"/>
  <c r="A71" i="37"/>
  <c r="C70" i="37"/>
  <c r="B70" i="37"/>
  <c r="A70" i="37"/>
  <c r="C69" i="37"/>
  <c r="B69" i="37"/>
  <c r="A69" i="37"/>
  <c r="C68" i="37"/>
  <c r="B68" i="37"/>
  <c r="A68" i="37"/>
  <c r="C67" i="37"/>
  <c r="B67" i="37"/>
  <c r="A67" i="37"/>
  <c r="C66" i="37"/>
  <c r="B66" i="37"/>
  <c r="A66" i="37"/>
  <c r="C65" i="37"/>
  <c r="B65" i="37"/>
  <c r="A65" i="37"/>
  <c r="C64" i="37"/>
  <c r="B64" i="37"/>
  <c r="A64" i="37"/>
  <c r="C63" i="37"/>
  <c r="B63" i="37"/>
  <c r="A63" i="37"/>
  <c r="C62" i="37"/>
  <c r="B62" i="37"/>
  <c r="A62" i="37"/>
  <c r="C61" i="37"/>
  <c r="B61" i="37"/>
  <c r="A61" i="37"/>
  <c r="C60" i="37"/>
  <c r="B60" i="37"/>
  <c r="A60" i="37"/>
  <c r="C59" i="37"/>
  <c r="B59" i="37"/>
  <c r="A59" i="37"/>
  <c r="C58" i="37"/>
  <c r="B58" i="37"/>
  <c r="A58" i="37"/>
  <c r="C57" i="37"/>
  <c r="B57" i="37"/>
  <c r="A57" i="37"/>
  <c r="C56" i="37"/>
  <c r="B56" i="37"/>
  <c r="A56" i="37"/>
  <c r="C55" i="37"/>
  <c r="B55" i="37"/>
  <c r="A55" i="37"/>
  <c r="C54" i="37"/>
  <c r="B54" i="37"/>
  <c r="A54" i="37"/>
  <c r="C53" i="37"/>
  <c r="B53" i="37"/>
  <c r="A53" i="37"/>
  <c r="C52" i="37"/>
  <c r="B52" i="37"/>
  <c r="A52" i="37"/>
  <c r="C51" i="37"/>
  <c r="B51" i="37"/>
  <c r="A51" i="37"/>
  <c r="C50" i="37"/>
  <c r="B50" i="37"/>
  <c r="A50" i="37"/>
  <c r="C49" i="37"/>
  <c r="B49" i="37"/>
  <c r="A49" i="37"/>
  <c r="C48" i="37"/>
  <c r="B48" i="37"/>
  <c r="A48" i="37"/>
  <c r="C47" i="37"/>
  <c r="B47" i="37"/>
  <c r="A47" i="37"/>
  <c r="C46" i="37"/>
  <c r="B46" i="37"/>
  <c r="A46" i="37"/>
  <c r="C45" i="37"/>
  <c r="B45" i="37"/>
  <c r="A45" i="37"/>
  <c r="C44" i="37"/>
  <c r="B44" i="37"/>
  <c r="A44" i="37"/>
  <c r="C43" i="37"/>
  <c r="B43" i="37"/>
  <c r="A43" i="37"/>
  <c r="C42" i="37"/>
  <c r="B42" i="37"/>
  <c r="A42" i="37"/>
  <c r="C41" i="37"/>
  <c r="B41" i="37"/>
  <c r="A41" i="37"/>
  <c r="C40" i="37"/>
  <c r="B40" i="37"/>
  <c r="A40" i="37"/>
  <c r="C39" i="37"/>
  <c r="B39" i="37"/>
  <c r="A39" i="37"/>
  <c r="C38" i="37"/>
  <c r="B38" i="37"/>
  <c r="A38" i="37"/>
  <c r="C37" i="37"/>
  <c r="B37" i="37"/>
  <c r="A37" i="37"/>
  <c r="C36" i="37"/>
  <c r="B36" i="37"/>
  <c r="A36" i="37"/>
  <c r="E35" i="37"/>
  <c r="D35" i="37"/>
  <c r="C35" i="37"/>
  <c r="B35" i="37"/>
  <c r="F35" i="37" s="1" a="1"/>
  <c r="F35" i="37" s="1"/>
  <c r="A35" i="37"/>
  <c r="C34" i="37"/>
  <c r="B34" i="37"/>
  <c r="A34" i="37"/>
  <c r="C33" i="37"/>
  <c r="B33" i="37"/>
  <c r="A33" i="37"/>
  <c r="C32" i="37"/>
  <c r="B32" i="37"/>
  <c r="A32" i="37"/>
  <c r="C31" i="37"/>
  <c r="B31" i="37"/>
  <c r="A31" i="37"/>
  <c r="C30" i="37"/>
  <c r="B30" i="37"/>
  <c r="A30" i="37"/>
  <c r="C29" i="37"/>
  <c r="B29" i="37"/>
  <c r="A29" i="37"/>
  <c r="C28" i="37"/>
  <c r="B28" i="37"/>
  <c r="A28" i="37"/>
  <c r="C27" i="37"/>
  <c r="B27" i="37"/>
  <c r="A27" i="37"/>
  <c r="C26" i="37"/>
  <c r="B26" i="37"/>
  <c r="A26" i="37"/>
  <c r="C25" i="37"/>
  <c r="B25" i="37"/>
  <c r="A25" i="37"/>
  <c r="C24" i="37"/>
  <c r="B24" i="37"/>
  <c r="A24" i="37"/>
  <c r="C23" i="37"/>
  <c r="B23" i="37"/>
  <c r="A23" i="37"/>
  <c r="C22" i="37"/>
  <c r="B22" i="37"/>
  <c r="A22" i="37"/>
  <c r="C21" i="37"/>
  <c r="B21" i="37"/>
  <c r="A21" i="37"/>
  <c r="C20" i="37"/>
  <c r="B20" i="37"/>
  <c r="A20" i="37"/>
  <c r="C19" i="37"/>
  <c r="B19" i="37"/>
  <c r="A19" i="37"/>
  <c r="C18" i="37"/>
  <c r="B18" i="37"/>
  <c r="A18" i="37"/>
  <c r="C17" i="37"/>
  <c r="B17" i="37"/>
  <c r="A17" i="37"/>
  <c r="C16" i="37"/>
  <c r="B16" i="37"/>
  <c r="A16" i="37"/>
  <c r="C15" i="37"/>
  <c r="B15" i="37"/>
  <c r="A15" i="37"/>
  <c r="C14" i="37"/>
  <c r="B14" i="37"/>
  <c r="A14" i="37"/>
  <c r="C13" i="37"/>
  <c r="B13" i="37"/>
  <c r="A13" i="37"/>
  <c r="C12" i="37"/>
  <c r="B12" i="37"/>
  <c r="A12" i="37"/>
  <c r="C11" i="37"/>
  <c r="B11" i="37"/>
  <c r="A11" i="37"/>
  <c r="C10" i="37"/>
  <c r="B10" i="37"/>
  <c r="A10" i="37"/>
  <c r="C9" i="37"/>
  <c r="B9" i="37"/>
  <c r="A9" i="37"/>
  <c r="C8" i="37"/>
  <c r="B8" i="37"/>
  <c r="A8" i="37"/>
  <c r="C7" i="37"/>
  <c r="B7" i="37"/>
  <c r="A7" i="37"/>
  <c r="C6" i="37"/>
  <c r="B6" i="37"/>
  <c r="A6" i="37"/>
  <c r="C5" i="37"/>
  <c r="B5" i="37"/>
  <c r="A5" i="37"/>
  <c r="C4" i="37"/>
  <c r="B4" i="37"/>
  <c r="A4" i="37"/>
  <c r="C3" i="37"/>
  <c r="B3" i="37"/>
  <c r="A3" i="37"/>
  <c r="C2" i="37"/>
  <c r="B2" i="37"/>
  <c r="A2" i="37"/>
  <c r="B2" i="16"/>
  <c r="D89" i="37"/>
  <c r="D88" i="37"/>
  <c r="D86" i="37"/>
  <c r="D85" i="37"/>
  <c r="D82" i="37"/>
  <c r="D77" i="37"/>
  <c r="D76" i="37"/>
  <c r="D75" i="37"/>
  <c r="S69" i="4"/>
  <c r="D73" i="37"/>
  <c r="S68" i="4"/>
  <c r="D72" i="37"/>
  <c r="S67" i="4"/>
  <c r="D71" i="37"/>
  <c r="S66" i="4"/>
  <c r="S65" i="4"/>
  <c r="D69" i="37"/>
  <c r="S64" i="4"/>
  <c r="D68" i="37"/>
  <c r="S62" i="4"/>
  <c r="D66" i="37"/>
  <c r="S61" i="4"/>
  <c r="D65" i="37"/>
  <c r="S60" i="4"/>
  <c r="D64" i="37"/>
  <c r="S59" i="4"/>
  <c r="D63" i="37"/>
  <c r="S58" i="4"/>
  <c r="S56" i="4"/>
  <c r="D60" i="37"/>
  <c r="S55" i="4"/>
  <c r="D59" i="37"/>
  <c r="S54" i="4"/>
  <c r="D58" i="37"/>
  <c r="S53" i="4"/>
  <c r="D57" i="37"/>
  <c r="S52" i="4"/>
  <c r="S51" i="4"/>
  <c r="D55" i="37"/>
  <c r="S50" i="4"/>
  <c r="S49" i="4"/>
  <c r="D52" i="37"/>
  <c r="S47" i="4"/>
  <c r="D51" i="37"/>
  <c r="S46" i="4"/>
  <c r="D50" i="37"/>
  <c r="S45" i="4"/>
  <c r="D49" i="37"/>
  <c r="D48" i="37"/>
  <c r="S43" i="4"/>
  <c r="G67" i="2"/>
  <c r="D47" i="37"/>
  <c r="D46" i="37"/>
  <c r="S41" i="4"/>
  <c r="D45" i="37"/>
  <c r="S40" i="4"/>
  <c r="D44" i="37"/>
  <c r="S39" i="4"/>
  <c r="G64" i="2"/>
  <c r="S38" i="4"/>
  <c r="D42" i="37"/>
  <c r="S37" i="4"/>
  <c r="D41" i="37"/>
  <c r="S36" i="4"/>
  <c r="S35" i="4"/>
  <c r="G111" i="2"/>
  <c r="S34" i="4"/>
  <c r="S33" i="4"/>
  <c r="D234" i="2"/>
  <c r="D36" i="37"/>
  <c r="S32" i="4"/>
  <c r="D34" i="37"/>
  <c r="S31" i="4"/>
  <c r="G81" i="2"/>
  <c r="D33" i="37"/>
  <c r="S30" i="4"/>
  <c r="D32" i="37"/>
  <c r="S29" i="4"/>
  <c r="S28" i="4"/>
  <c r="D30" i="37"/>
  <c r="S27" i="4"/>
  <c r="D29" i="37"/>
  <c r="S26" i="4"/>
  <c r="D28" i="37"/>
  <c r="S25" i="4"/>
  <c r="D27" i="37"/>
  <c r="S24" i="4"/>
  <c r="D26" i="37"/>
  <c r="S23" i="4"/>
  <c r="D25" i="37"/>
  <c r="S22" i="4"/>
  <c r="D24" i="37"/>
  <c r="S21" i="4"/>
  <c r="D23" i="37"/>
  <c r="S20" i="4"/>
  <c r="G78" i="2"/>
  <c r="D22" i="37"/>
  <c r="S19" i="4"/>
  <c r="D21" i="37"/>
  <c r="S18" i="4"/>
  <c r="D20" i="37"/>
  <c r="S17" i="4"/>
  <c r="D17" i="37"/>
  <c r="S15" i="4"/>
  <c r="S14" i="4"/>
  <c r="S13" i="4"/>
  <c r="D226" i="2"/>
  <c r="D14" i="37"/>
  <c r="S12" i="4"/>
  <c r="S11" i="4"/>
  <c r="S9" i="4"/>
  <c r="S8" i="4"/>
  <c r="S7" i="4"/>
  <c r="S6" i="4"/>
  <c r="S5" i="4"/>
  <c r="S4" i="4"/>
  <c r="S3" i="4"/>
  <c r="S2" i="4"/>
  <c r="F2" i="65"/>
  <c r="H82" i="36"/>
  <c r="H81" i="36"/>
  <c r="G125" i="2"/>
  <c r="D225" i="2"/>
  <c r="D236" i="2"/>
  <c r="P9" i="36"/>
  <c r="P8" i="36"/>
  <c r="G113" i="2"/>
  <c r="P7" i="36"/>
  <c r="P6" i="36"/>
  <c r="P5" i="36"/>
  <c r="P4" i="36"/>
  <c r="P3" i="36"/>
  <c r="D218" i="2"/>
  <c r="S2" i="36"/>
  <c r="P2" i="36"/>
  <c r="C2" i="16" l="1"/>
  <c r="Z2" i="16" s="1"/>
  <c r="Y2" i="65"/>
  <c r="AT2" i="65"/>
  <c r="BP2" i="65"/>
  <c r="Z2" i="65"/>
  <c r="BO2" i="65"/>
  <c r="AU2" i="65"/>
  <c r="M2" i="16"/>
  <c r="M58" i="16"/>
  <c r="F118" i="26"/>
  <c r="E126" i="26"/>
  <c r="F134" i="26"/>
  <c r="F158" i="26"/>
  <c r="E166" i="26"/>
  <c r="F190" i="26"/>
  <c r="E194" i="26"/>
  <c r="F247" i="26"/>
  <c r="E27" i="26"/>
  <c r="F254" i="26"/>
  <c r="E17" i="26"/>
  <c r="E29" i="26"/>
  <c r="F32" i="26"/>
  <c r="F40" i="26"/>
  <c r="F44" i="26"/>
  <c r="F48" i="26"/>
  <c r="F52" i="26"/>
  <c r="F60" i="26"/>
  <c r="E164" i="26"/>
  <c r="F202" i="26"/>
  <c r="E206" i="26"/>
  <c r="F221" i="26"/>
  <c r="E229" i="26"/>
  <c r="F233" i="26"/>
  <c r="E237" i="26"/>
  <c r="F238" i="26"/>
  <c r="F237" i="26"/>
  <c r="E238" i="26"/>
  <c r="E242" i="26"/>
  <c r="E245" i="26"/>
  <c r="E7" i="26"/>
  <c r="E11" i="26"/>
  <c r="F15" i="26"/>
  <c r="F19" i="26"/>
  <c r="F23" i="26"/>
  <c r="F163" i="26"/>
  <c r="F201" i="26"/>
  <c r="F217" i="26"/>
  <c r="E58" i="26"/>
  <c r="E61" i="26"/>
  <c r="F73" i="26"/>
  <c r="F109" i="26"/>
  <c r="E113" i="26"/>
  <c r="E133" i="26"/>
  <c r="F165" i="26"/>
  <c r="E222" i="26"/>
  <c r="F223" i="26"/>
  <c r="F230" i="26"/>
  <c r="F231" i="26"/>
  <c r="E234" i="26"/>
  <c r="F241" i="26"/>
  <c r="F242" i="26"/>
  <c r="F249" i="26"/>
  <c r="E253" i="26"/>
  <c r="F194" i="26"/>
  <c r="F16" i="26"/>
  <c r="F250" i="26"/>
  <c r="E57" i="26"/>
  <c r="F142" i="26"/>
  <c r="E158" i="26"/>
  <c r="E171" i="26"/>
  <c r="F183" i="26"/>
  <c r="F226" i="26"/>
  <c r="E4" i="26"/>
  <c r="E8" i="26"/>
  <c r="F14" i="26"/>
  <c r="E23" i="26"/>
  <c r="F31" i="26"/>
  <c r="F55" i="26"/>
  <c r="F63" i="26"/>
  <c r="F77" i="26"/>
  <c r="F81" i="26"/>
  <c r="F85" i="26"/>
  <c r="F89" i="26"/>
  <c r="F93" i="26"/>
  <c r="F97" i="26"/>
  <c r="F101" i="26"/>
  <c r="F105" i="26"/>
  <c r="E108" i="26"/>
  <c r="F132" i="26"/>
  <c r="F141" i="26"/>
  <c r="F148" i="26"/>
  <c r="F157" i="26"/>
  <c r="F173" i="26"/>
  <c r="F174" i="26"/>
  <c r="E181" i="26"/>
  <c r="F186" i="26"/>
  <c r="E189" i="26"/>
  <c r="F207" i="26"/>
  <c r="E210" i="26"/>
  <c r="F214" i="26"/>
  <c r="F30" i="26"/>
  <c r="E62" i="26"/>
  <c r="E66" i="26"/>
  <c r="F123" i="26"/>
  <c r="F131" i="26"/>
  <c r="F147" i="26"/>
  <c r="F155" i="26"/>
  <c r="E172" i="26"/>
  <c r="F180" i="26"/>
  <c r="E12" i="26"/>
  <c r="E19" i="26"/>
  <c r="F24" i="26"/>
  <c r="E25" i="26"/>
  <c r="F38" i="26"/>
  <c r="F42" i="26"/>
  <c r="F46" i="26"/>
  <c r="F50" i="26"/>
  <c r="E54" i="26"/>
  <c r="F61" i="26"/>
  <c r="E73" i="26"/>
  <c r="F79" i="26"/>
  <c r="F83" i="26"/>
  <c r="F87" i="26"/>
  <c r="F91" i="26"/>
  <c r="F95" i="26"/>
  <c r="F99" i="26"/>
  <c r="F103" i="26"/>
  <c r="F108" i="26"/>
  <c r="E109" i="26"/>
  <c r="E117" i="26"/>
  <c r="E139" i="26"/>
  <c r="F150" i="26"/>
  <c r="E155" i="26"/>
  <c r="F164" i="26"/>
  <c r="E165" i="26"/>
  <c r="F166" i="26"/>
  <c r="F171" i="26"/>
  <c r="F179" i="26"/>
  <c r="F189" i="26"/>
  <c r="E190" i="26"/>
  <c r="F198" i="26"/>
  <c r="F199" i="26"/>
  <c r="F210" i="26"/>
  <c r="E213" i="26"/>
  <c r="F218" i="26"/>
  <c r="E221" i="26"/>
  <c r="F222" i="26"/>
  <c r="F239" i="26"/>
  <c r="F253" i="26"/>
  <c r="E254" i="26"/>
  <c r="E13" i="26"/>
  <c r="F22" i="26"/>
  <c r="F57" i="26"/>
  <c r="F68" i="26"/>
  <c r="F72" i="26"/>
  <c r="F113" i="26"/>
  <c r="E116" i="26"/>
  <c r="F126" i="26"/>
  <c r="E132" i="26"/>
  <c r="F133" i="26"/>
  <c r="E134" i="26"/>
  <c r="E149" i="26"/>
  <c r="E174" i="26"/>
  <c r="F182" i="26"/>
  <c r="E197" i="26"/>
  <c r="E205" i="26"/>
  <c r="F206" i="26"/>
  <c r="E226" i="26"/>
  <c r="F246" i="26"/>
  <c r="E250" i="26"/>
  <c r="E15" i="26"/>
  <c r="E21" i="26"/>
  <c r="F27" i="26"/>
  <c r="E31" i="26"/>
  <c r="E123" i="26"/>
  <c r="E140" i="26"/>
  <c r="F185" i="26"/>
  <c r="F191" i="26"/>
  <c r="F205" i="26"/>
  <c r="F215" i="26"/>
  <c r="F234" i="26"/>
  <c r="F255" i="26"/>
  <c r="S42" i="4"/>
  <c r="S10" i="4"/>
  <c r="S16" i="4"/>
  <c r="S44" i="4"/>
  <c r="S48" i="4"/>
  <c r="S57" i="4"/>
  <c r="S63" i="4"/>
  <c r="D81" i="37"/>
  <c r="D83" i="37"/>
  <c r="D224" i="2"/>
  <c r="G3" i="2"/>
  <c r="H3" i="2" s="1"/>
  <c r="F35" i="26"/>
  <c r="E35" i="26"/>
  <c r="F39" i="26"/>
  <c r="E39" i="26"/>
  <c r="F43" i="26"/>
  <c r="E43" i="26"/>
  <c r="F47" i="26"/>
  <c r="E47" i="26"/>
  <c r="F51" i="26"/>
  <c r="E51" i="26"/>
  <c r="F65" i="26"/>
  <c r="E65" i="26"/>
  <c r="E6" i="26"/>
  <c r="E9" i="26"/>
  <c r="F21" i="26"/>
  <c r="F29" i="26"/>
  <c r="F69" i="26"/>
  <c r="E69" i="26"/>
  <c r="F33" i="26"/>
  <c r="E33" i="26"/>
  <c r="F37" i="26"/>
  <c r="E37" i="26"/>
  <c r="F41" i="26"/>
  <c r="E41" i="26"/>
  <c r="F45" i="26"/>
  <c r="E45" i="26"/>
  <c r="F49" i="26"/>
  <c r="E49" i="26"/>
  <c r="F53" i="26"/>
  <c r="E53" i="26"/>
  <c r="E3" i="26"/>
  <c r="F17" i="26"/>
  <c r="F25" i="26"/>
  <c r="F64" i="26"/>
  <c r="F67" i="26"/>
  <c r="E70" i="26"/>
  <c r="F75" i="26"/>
  <c r="E77" i="26"/>
  <c r="E79" i="26"/>
  <c r="E81" i="26"/>
  <c r="E83" i="26"/>
  <c r="E85" i="26"/>
  <c r="E87" i="26"/>
  <c r="E89" i="26"/>
  <c r="E91" i="26"/>
  <c r="E93" i="26"/>
  <c r="E95" i="26"/>
  <c r="E97" i="26"/>
  <c r="E99" i="26"/>
  <c r="E101" i="26"/>
  <c r="E103" i="26"/>
  <c r="E105" i="26"/>
  <c r="E112" i="26"/>
  <c r="F124" i="26"/>
  <c r="E125" i="26"/>
  <c r="F139" i="26"/>
  <c r="E142" i="26"/>
  <c r="E147" i="26"/>
  <c r="F156" i="26"/>
  <c r="E157" i="26"/>
  <c r="E179" i="26"/>
  <c r="E186" i="26"/>
  <c r="F187" i="26"/>
  <c r="E193" i="26"/>
  <c r="E202" i="26"/>
  <c r="F203" i="26"/>
  <c r="E209" i="26"/>
  <c r="E218" i="26"/>
  <c r="F219" i="26"/>
  <c r="E225" i="26"/>
  <c r="F235" i="26"/>
  <c r="E241" i="26"/>
  <c r="F251" i="26"/>
  <c r="F116" i="26"/>
  <c r="F117" i="26"/>
  <c r="E118" i="26"/>
  <c r="E148" i="26"/>
  <c r="F149" i="26"/>
  <c r="E150" i="26"/>
  <c r="E180" i="26"/>
  <c r="F181" i="26"/>
  <c r="E182" i="26"/>
  <c r="F197" i="26"/>
  <c r="E198" i="26"/>
  <c r="F213" i="26"/>
  <c r="E214" i="26"/>
  <c r="F229" i="26"/>
  <c r="E230" i="26"/>
  <c r="F245" i="26"/>
  <c r="E246" i="26"/>
  <c r="E5" i="26"/>
  <c r="F56" i="26"/>
  <c r="F59" i="26"/>
  <c r="F71" i="26"/>
  <c r="E74" i="26"/>
  <c r="F112" i="26"/>
  <c r="E124" i="26"/>
  <c r="F125" i="26"/>
  <c r="E131" i="26"/>
  <c r="F140" i="26"/>
  <c r="E141" i="26"/>
  <c r="E156" i="26"/>
  <c r="E163" i="26"/>
  <c r="F172" i="26"/>
  <c r="E173" i="26"/>
  <c r="E185" i="26"/>
  <c r="F193" i="26"/>
  <c r="F195" i="26"/>
  <c r="E201" i="26"/>
  <c r="F209" i="26"/>
  <c r="F211" i="26"/>
  <c r="E217" i="26"/>
  <c r="F225" i="26"/>
  <c r="F227" i="26"/>
  <c r="E233" i="26"/>
  <c r="F243" i="26"/>
  <c r="E249" i="26"/>
  <c r="L3" i="38"/>
  <c r="C3" i="38"/>
  <c r="G3" i="38"/>
  <c r="Q3" i="38" s="1"/>
  <c r="D37" i="37"/>
  <c r="D38" i="37"/>
  <c r="D15" i="37"/>
  <c r="D31" i="37"/>
  <c r="D39" i="37"/>
  <c r="D43" i="37"/>
  <c r="D79" i="37"/>
  <c r="D53" i="37"/>
  <c r="D62" i="37"/>
  <c r="G76" i="2"/>
  <c r="D5" i="37"/>
  <c r="D6" i="37"/>
  <c r="D7" i="37"/>
  <c r="D8" i="37"/>
  <c r="D9" i="37"/>
  <c r="D10" i="37"/>
  <c r="D11" i="37"/>
  <c r="C100" i="2"/>
  <c r="F29" i="2"/>
  <c r="D2" i="37"/>
  <c r="D2" i="16"/>
  <c r="D3" i="37"/>
  <c r="F3" i="37" s="1" a="1"/>
  <c r="F3" i="37" s="1"/>
  <c r="D4" i="37"/>
  <c r="F4" i="37" s="1" a="1"/>
  <c r="F4" i="37" s="1"/>
  <c r="D13" i="37"/>
  <c r="D228" i="2"/>
  <c r="G66" i="2"/>
  <c r="D217" i="2"/>
  <c r="F22" i="2"/>
  <c r="H40" i="2"/>
  <c r="D220" i="2"/>
  <c r="G141" i="2"/>
  <c r="D222" i="2"/>
  <c r="G137" i="2"/>
  <c r="D223" i="2"/>
  <c r="H41" i="2"/>
  <c r="G48" i="2"/>
  <c r="D227" i="2"/>
  <c r="G140" i="2"/>
  <c r="G112" i="2"/>
  <c r="D229" i="2"/>
  <c r="D12" i="37"/>
  <c r="F12" i="37" s="1" a="1"/>
  <c r="F12" i="37" s="1"/>
  <c r="G46" i="2"/>
  <c r="G138" i="2"/>
  <c r="G109" i="2"/>
  <c r="D232" i="2"/>
  <c r="G80" i="2"/>
  <c r="G65" i="2"/>
  <c r="G139" i="2"/>
  <c r="G110" i="2"/>
  <c r="F2" i="37" a="1"/>
  <c r="F2" i="37" s="1"/>
  <c r="G127" i="2"/>
  <c r="G77" i="2"/>
  <c r="D230" i="2"/>
  <c r="G79" i="2"/>
  <c r="D70" i="37"/>
  <c r="D74" i="37"/>
  <c r="F74" i="37" s="1" a="1"/>
  <c r="F74" i="37" s="1"/>
  <c r="D80" i="37"/>
  <c r="D84" i="37"/>
  <c r="F42" i="37" s="1" a="1"/>
  <c r="F42" i="37" s="1"/>
  <c r="D87" i="37"/>
  <c r="F7" i="37" a="1"/>
  <c r="F7" i="37" s="1"/>
  <c r="F6" i="37" a="1"/>
  <c r="F6" i="37" s="1"/>
  <c r="F8" i="37" a="1"/>
  <c r="F8" i="37" s="1"/>
  <c r="F16" i="37" a="1"/>
  <c r="F16" i="37" s="1"/>
  <c r="F20" i="37" a="1"/>
  <c r="F20" i="37" s="1"/>
  <c r="F24" i="37" a="1"/>
  <c r="F24" i="37" s="1"/>
  <c r="F28" i="37" a="1"/>
  <c r="F28" i="37" s="1"/>
  <c r="F32" i="37" a="1"/>
  <c r="F32" i="37" s="1"/>
  <c r="F38" i="37" a="1"/>
  <c r="F38" i="37" s="1"/>
  <c r="F46" i="37" a="1"/>
  <c r="F46" i="37" s="1"/>
  <c r="F50" i="37" a="1"/>
  <c r="F50" i="37" s="1"/>
  <c r="F54" i="37" a="1"/>
  <c r="F54" i="37" s="1"/>
  <c r="F58" i="37" a="1"/>
  <c r="F58" i="37" s="1"/>
  <c r="F62" i="37" a="1"/>
  <c r="F62" i="37" s="1"/>
  <c r="F66" i="37" a="1"/>
  <c r="F66" i="37" s="1"/>
  <c r="F70" i="37" a="1"/>
  <c r="F70" i="37" s="1"/>
  <c r="F78" i="37" a="1"/>
  <c r="F78" i="37" s="1"/>
  <c r="F82" i="37" a="1"/>
  <c r="F82" i="37" s="1"/>
  <c r="F86" i="37" a="1"/>
  <c r="F86" i="37" s="1"/>
  <c r="F11" i="37" a="1"/>
  <c r="F11" i="37" s="1"/>
  <c r="F15" i="37" a="1"/>
  <c r="F15" i="37" s="1"/>
  <c r="F19" i="37" a="1"/>
  <c r="F19" i="37" s="1"/>
  <c r="F23" i="37" a="1"/>
  <c r="F23" i="37" s="1"/>
  <c r="F27" i="37" a="1"/>
  <c r="F27" i="37" s="1"/>
  <c r="F31" i="37" a="1"/>
  <c r="F31" i="37" s="1"/>
  <c r="F37" i="37" a="1"/>
  <c r="F37" i="37" s="1"/>
  <c r="F41" i="37" a="1"/>
  <c r="F41" i="37" s="1"/>
  <c r="F45" i="37" a="1"/>
  <c r="F45" i="37" s="1"/>
  <c r="F49" i="37" a="1"/>
  <c r="F49" i="37" s="1"/>
  <c r="F53" i="37" a="1"/>
  <c r="F53" i="37" s="1"/>
  <c r="F57" i="37" a="1"/>
  <c r="F57" i="37" s="1"/>
  <c r="F61" i="37" a="1"/>
  <c r="F61" i="37" s="1"/>
  <c r="F65" i="37" a="1"/>
  <c r="F65" i="37" s="1"/>
  <c r="F69" i="37" a="1"/>
  <c r="F69" i="37" s="1"/>
  <c r="F73" i="37" a="1"/>
  <c r="F73" i="37" s="1"/>
  <c r="F77" i="37" a="1"/>
  <c r="F77" i="37" s="1"/>
  <c r="F81" i="37" a="1"/>
  <c r="F81" i="37" s="1"/>
  <c r="F85" i="37" a="1"/>
  <c r="F85" i="37" s="1"/>
  <c r="F89" i="37" a="1"/>
  <c r="F89" i="37" s="1"/>
  <c r="F10" i="37" a="1"/>
  <c r="F10" i="37" s="1"/>
  <c r="F14" i="37" a="1"/>
  <c r="F14" i="37" s="1"/>
  <c r="F18" i="37" a="1"/>
  <c r="F18" i="37" s="1"/>
  <c r="F22" i="37" a="1"/>
  <c r="F22" i="37" s="1"/>
  <c r="F26" i="37" a="1"/>
  <c r="F26" i="37" s="1"/>
  <c r="F30" i="37" a="1"/>
  <c r="F30" i="37" s="1"/>
  <c r="F34" i="37" a="1"/>
  <c r="F34" i="37" s="1"/>
  <c r="F36" i="37" a="1"/>
  <c r="F36" i="37" s="1"/>
  <c r="F40" i="37" a="1"/>
  <c r="F40" i="37" s="1"/>
  <c r="F44" i="37" a="1"/>
  <c r="F44" i="37" s="1"/>
  <c r="F48" i="37" a="1"/>
  <c r="F48" i="37" s="1"/>
  <c r="F52" i="37" a="1"/>
  <c r="F52" i="37" s="1"/>
  <c r="F56" i="37" a="1"/>
  <c r="F56" i="37" s="1"/>
  <c r="F60" i="37" a="1"/>
  <c r="F60" i="37" s="1"/>
  <c r="F64" i="37" a="1"/>
  <c r="F64" i="37" s="1"/>
  <c r="F68" i="37" a="1"/>
  <c r="F68" i="37" s="1"/>
  <c r="F72" i="37" a="1"/>
  <c r="F72" i="37" s="1"/>
  <c r="F76" i="37" a="1"/>
  <c r="F76" i="37" s="1"/>
  <c r="F80" i="37" a="1"/>
  <c r="F80" i="37" s="1"/>
  <c r="F84" i="37" a="1"/>
  <c r="F84" i="37" s="1"/>
  <c r="F88" i="37" a="1"/>
  <c r="F88" i="37" s="1"/>
  <c r="F5" i="37" a="1"/>
  <c r="F5" i="37" s="1"/>
  <c r="F9" i="37" a="1"/>
  <c r="F9" i="37" s="1"/>
  <c r="F13" i="37" a="1"/>
  <c r="F13" i="37" s="1"/>
  <c r="F17" i="37" a="1"/>
  <c r="F17" i="37" s="1"/>
  <c r="F21" i="37" a="1"/>
  <c r="F21" i="37" s="1"/>
  <c r="F25" i="37" a="1"/>
  <c r="F25" i="37" s="1"/>
  <c r="F29" i="37" a="1"/>
  <c r="F29" i="37" s="1"/>
  <c r="F33" i="37" a="1"/>
  <c r="F33" i="37" s="1"/>
  <c r="F39" i="37" a="1"/>
  <c r="F39" i="37" s="1"/>
  <c r="F43" i="37" a="1"/>
  <c r="F43" i="37" s="1"/>
  <c r="F47" i="37" a="1"/>
  <c r="F47" i="37" s="1"/>
  <c r="F51" i="37" a="1"/>
  <c r="F51" i="37" s="1"/>
  <c r="F55" i="37" a="1"/>
  <c r="F55" i="37" s="1"/>
  <c r="F59" i="37" a="1"/>
  <c r="F59" i="37" s="1"/>
  <c r="F63" i="37" a="1"/>
  <c r="F63" i="37" s="1"/>
  <c r="F67" i="37" a="1"/>
  <c r="F67" i="37" s="1"/>
  <c r="F71" i="37" a="1"/>
  <c r="F71" i="37" s="1"/>
  <c r="F75" i="37" a="1"/>
  <c r="F75" i="37" s="1"/>
  <c r="F79" i="37" a="1"/>
  <c r="F79" i="37" s="1"/>
  <c r="F83" i="37" a="1"/>
  <c r="F83" i="37" s="1"/>
  <c r="F87" i="37" a="1"/>
  <c r="F87" i="37" s="1"/>
  <c r="E2" i="26"/>
  <c r="E10" i="26"/>
  <c r="F18" i="26"/>
  <c r="F26" i="26"/>
  <c r="F34" i="26"/>
  <c r="L14" i="26"/>
  <c r="F20" i="26"/>
  <c r="F28" i="26"/>
  <c r="F36" i="26"/>
  <c r="F76" i="26"/>
  <c r="E76" i="26"/>
  <c r="F84" i="26"/>
  <c r="E84" i="26"/>
  <c r="F92" i="26"/>
  <c r="E92" i="26"/>
  <c r="F100" i="26"/>
  <c r="E100" i="26"/>
  <c r="F111" i="26"/>
  <c r="E111" i="26"/>
  <c r="F119" i="26"/>
  <c r="E119" i="26"/>
  <c r="F122" i="26"/>
  <c r="E122" i="26"/>
  <c r="F136" i="26"/>
  <c r="E136" i="26"/>
  <c r="E145" i="26"/>
  <c r="F145" i="26"/>
  <c r="F151" i="26"/>
  <c r="E151" i="26"/>
  <c r="F154" i="26"/>
  <c r="E154" i="26"/>
  <c r="F168" i="26"/>
  <c r="E168" i="26"/>
  <c r="E177" i="26"/>
  <c r="F177" i="26"/>
  <c r="E14" i="26"/>
  <c r="E16" i="26"/>
  <c r="E18" i="26"/>
  <c r="E20" i="26"/>
  <c r="E22" i="26"/>
  <c r="E24" i="26"/>
  <c r="E26" i="26"/>
  <c r="E28" i="26"/>
  <c r="E30" i="26"/>
  <c r="E32" i="26"/>
  <c r="E34" i="26"/>
  <c r="E36" i="26"/>
  <c r="E38" i="26"/>
  <c r="E40" i="26"/>
  <c r="E42" i="26"/>
  <c r="E44" i="26"/>
  <c r="E46" i="26"/>
  <c r="E48" i="26"/>
  <c r="E50" i="26"/>
  <c r="E52" i="26"/>
  <c r="E55" i="26"/>
  <c r="E59" i="26"/>
  <c r="E63" i="26"/>
  <c r="E67" i="26"/>
  <c r="E71" i="26"/>
  <c r="E75" i="26"/>
  <c r="F78" i="26"/>
  <c r="E78" i="26"/>
  <c r="F86" i="26"/>
  <c r="E86" i="26"/>
  <c r="F94" i="26"/>
  <c r="E94" i="26"/>
  <c r="F102" i="26"/>
  <c r="E102" i="26"/>
  <c r="F107" i="26"/>
  <c r="E107" i="26"/>
  <c r="F114" i="26"/>
  <c r="E114" i="26"/>
  <c r="E121" i="26"/>
  <c r="F121" i="26"/>
  <c r="F127" i="26"/>
  <c r="E127" i="26"/>
  <c r="F130" i="26"/>
  <c r="E130" i="26"/>
  <c r="F144" i="26"/>
  <c r="E144" i="26"/>
  <c r="E153" i="26"/>
  <c r="F153" i="26"/>
  <c r="F159" i="26"/>
  <c r="E159" i="26"/>
  <c r="F162" i="26"/>
  <c r="E162" i="26"/>
  <c r="F176" i="26"/>
  <c r="E176" i="26"/>
  <c r="F54" i="26"/>
  <c r="E56" i="26"/>
  <c r="F58" i="26"/>
  <c r="E60" i="26"/>
  <c r="F62" i="26"/>
  <c r="E64" i="26"/>
  <c r="F66" i="26"/>
  <c r="E68" i="26"/>
  <c r="F70" i="26"/>
  <c r="E72" i="26"/>
  <c r="F74" i="26"/>
  <c r="F80" i="26"/>
  <c r="E80" i="26"/>
  <c r="F88" i="26"/>
  <c r="E88" i="26"/>
  <c r="F96" i="26"/>
  <c r="E96" i="26"/>
  <c r="F104" i="26"/>
  <c r="E104" i="26"/>
  <c r="F110" i="26"/>
  <c r="E110" i="26"/>
  <c r="F120" i="26"/>
  <c r="E120" i="26"/>
  <c r="E129" i="26"/>
  <c r="F129" i="26"/>
  <c r="F135" i="26"/>
  <c r="E135" i="26"/>
  <c r="F138" i="26"/>
  <c r="E138" i="26"/>
  <c r="F152" i="26"/>
  <c r="E152" i="26"/>
  <c r="E161" i="26"/>
  <c r="F161" i="26"/>
  <c r="F167" i="26"/>
  <c r="E167" i="26"/>
  <c r="F170" i="26"/>
  <c r="E170" i="26"/>
  <c r="F82" i="26"/>
  <c r="E82" i="26"/>
  <c r="F90" i="26"/>
  <c r="E90" i="26"/>
  <c r="F98" i="26"/>
  <c r="E98" i="26"/>
  <c r="F106" i="26"/>
  <c r="E106" i="26"/>
  <c r="F115" i="26"/>
  <c r="E115" i="26"/>
  <c r="F128" i="26"/>
  <c r="E128" i="26"/>
  <c r="E137" i="26"/>
  <c r="F137" i="26"/>
  <c r="F143" i="26"/>
  <c r="E143" i="26"/>
  <c r="F146" i="26"/>
  <c r="E146" i="26"/>
  <c r="F160" i="26"/>
  <c r="E160" i="26"/>
  <c r="E169" i="26"/>
  <c r="F169" i="26"/>
  <c r="F175" i="26"/>
  <c r="E175" i="26"/>
  <c r="F178" i="26"/>
  <c r="E178" i="26"/>
  <c r="E183" i="26"/>
  <c r="E187" i="26"/>
  <c r="E191" i="26"/>
  <c r="E195" i="26"/>
  <c r="E199" i="26"/>
  <c r="E203" i="26"/>
  <c r="E207" i="26"/>
  <c r="E211" i="26"/>
  <c r="E215" i="26"/>
  <c r="E219" i="26"/>
  <c r="E223" i="26"/>
  <c r="E227" i="26"/>
  <c r="E231" i="26"/>
  <c r="E235" i="26"/>
  <c r="E239" i="26"/>
  <c r="E243" i="26"/>
  <c r="E247" i="26"/>
  <c r="E251" i="26"/>
  <c r="E255" i="26"/>
  <c r="D29" i="2"/>
  <c r="E100" i="2"/>
  <c r="E29" i="2"/>
  <c r="F184" i="26"/>
  <c r="E184" i="26"/>
  <c r="F188" i="26"/>
  <c r="E188" i="26"/>
  <c r="F192" i="26"/>
  <c r="E192" i="26"/>
  <c r="F196" i="26"/>
  <c r="E196" i="26"/>
  <c r="F200" i="26"/>
  <c r="E200" i="26"/>
  <c r="F204" i="26"/>
  <c r="E204" i="26"/>
  <c r="F208" i="26"/>
  <c r="E208" i="26"/>
  <c r="F212" i="26"/>
  <c r="E212" i="26"/>
  <c r="F216" i="26"/>
  <c r="E216" i="26"/>
  <c r="F220" i="26"/>
  <c r="E220" i="26"/>
  <c r="F224" i="26"/>
  <c r="E224" i="26"/>
  <c r="F228" i="26"/>
  <c r="E228" i="26"/>
  <c r="F232" i="26"/>
  <c r="E232" i="26"/>
  <c r="F236" i="26"/>
  <c r="E236" i="26"/>
  <c r="F240" i="26"/>
  <c r="E240" i="26"/>
  <c r="F244" i="26"/>
  <c r="E244" i="26"/>
  <c r="F248" i="26"/>
  <c r="E248" i="26"/>
  <c r="F252" i="26"/>
  <c r="E252" i="26"/>
  <c r="D100" i="2"/>
  <c r="AB2" i="16" l="1"/>
  <c r="AA2" i="16"/>
  <c r="AE2" i="16"/>
  <c r="AD2" i="16"/>
  <c r="AC2" i="16"/>
  <c r="H7" i="29" a="1"/>
  <c r="H7" i="29" s="1"/>
  <c r="H6" i="29" a="1"/>
  <c r="H6" i="29" s="1"/>
  <c r="CD2" i="65"/>
  <c r="CC2" i="65"/>
  <c r="CA2" i="16"/>
  <c r="BL2" i="16"/>
  <c r="AV2" i="16"/>
  <c r="AK2" i="16"/>
  <c r="CB2" i="16"/>
  <c r="BM2" i="16"/>
  <c r="AW2" i="16"/>
  <c r="AL2" i="16"/>
  <c r="BZ2" i="16"/>
  <c r="BK2" i="16"/>
  <c r="AU2" i="16"/>
  <c r="AJ2" i="16"/>
  <c r="BY2" i="16"/>
  <c r="BW2" i="16"/>
  <c r="BX2" i="16"/>
  <c r="BV2" i="16"/>
  <c r="CD2" i="16" s="1"/>
  <c r="BI2" i="16"/>
  <c r="BG2" i="16"/>
  <c r="BO2" i="16" s="1"/>
  <c r="BJ2" i="16"/>
  <c r="BH2" i="16"/>
  <c r="AT2" i="16"/>
  <c r="AR2" i="16"/>
  <c r="AS2" i="16"/>
  <c r="AQ2" i="16"/>
  <c r="AY2" i="16" s="1"/>
  <c r="AH2" i="16"/>
  <c r="AF2" i="16"/>
  <c r="AG2" i="16"/>
  <c r="AI2" i="16"/>
  <c r="CC2" i="16"/>
  <c r="BN2" i="16"/>
  <c r="AX2" i="16"/>
  <c r="AM2" i="16"/>
  <c r="L25" i="26"/>
  <c r="L36" i="26"/>
  <c r="L93" i="26"/>
  <c r="L40" i="26"/>
  <c r="L60" i="26"/>
  <c r="L80" i="26"/>
  <c r="L41" i="26"/>
  <c r="L62" i="26"/>
  <c r="L84" i="26"/>
  <c r="L61" i="26"/>
  <c r="L77" i="26"/>
  <c r="L97" i="26"/>
  <c r="L89" i="26"/>
  <c r="L81" i="26"/>
  <c r="L73" i="26"/>
  <c r="L65" i="26"/>
  <c r="L57" i="26"/>
  <c r="L100" i="26"/>
  <c r="L98" i="26"/>
  <c r="L70" i="26"/>
  <c r="L54" i="26"/>
  <c r="L45" i="26"/>
  <c r="L37" i="26"/>
  <c r="L29" i="26"/>
  <c r="L21" i="26"/>
  <c r="L96" i="26"/>
  <c r="L94" i="26"/>
  <c r="L68" i="26"/>
  <c r="L52" i="26"/>
  <c r="L44" i="26"/>
  <c r="L16" i="26"/>
  <c r="L26" i="26"/>
  <c r="L28" i="26"/>
  <c r="L103" i="26"/>
  <c r="L95" i="26"/>
  <c r="L87" i="26"/>
  <c r="L79" i="26"/>
  <c r="L71" i="26"/>
  <c r="L63" i="26"/>
  <c r="L55" i="26"/>
  <c r="L92" i="26"/>
  <c r="L90" i="26"/>
  <c r="L66" i="26"/>
  <c r="L51" i="26"/>
  <c r="L43" i="26"/>
  <c r="L35" i="26"/>
  <c r="L27" i="26"/>
  <c r="L19" i="26"/>
  <c r="L88" i="26"/>
  <c r="L86" i="26"/>
  <c r="L64" i="26"/>
  <c r="L50" i="26"/>
  <c r="L42" i="26"/>
  <c r="L24" i="26"/>
  <c r="L34" i="26"/>
  <c r="L18" i="26"/>
  <c r="L46" i="26"/>
  <c r="L72" i="26"/>
  <c r="L15" i="26"/>
  <c r="L31" i="26"/>
  <c r="L47" i="26"/>
  <c r="L74" i="26"/>
  <c r="L104" i="26"/>
  <c r="L67" i="26"/>
  <c r="L83" i="26"/>
  <c r="L99" i="26"/>
  <c r="L22" i="26"/>
  <c r="L32" i="26"/>
  <c r="L48" i="26"/>
  <c r="L78" i="26"/>
  <c r="L17" i="26"/>
  <c r="L33" i="26"/>
  <c r="L49" i="26"/>
  <c r="L82" i="26"/>
  <c r="L53" i="26"/>
  <c r="L69" i="26"/>
  <c r="L85" i="26"/>
  <c r="L101" i="26"/>
  <c r="L38" i="26"/>
  <c r="L56" i="26"/>
  <c r="L102" i="26"/>
  <c r="L23" i="26"/>
  <c r="L39" i="26"/>
  <c r="L58" i="26"/>
  <c r="L76" i="26"/>
  <c r="L59" i="26"/>
  <c r="L75" i="26"/>
  <c r="L91" i="26"/>
  <c r="L20" i="26"/>
  <c r="L30" i="26"/>
  <c r="G6" i="29" a="1"/>
  <c r="G6" i="29" s="1"/>
  <c r="C6" i="29"/>
  <c r="G7" i="29" a="1"/>
  <c r="G7" i="29" s="1"/>
  <c r="D7" i="29" a="1"/>
  <c r="D7" i="29" s="1"/>
  <c r="C7" i="29"/>
  <c r="C8" i="29" s="1"/>
  <c r="E6" i="29"/>
  <c r="D6" i="29" a="1"/>
  <c r="D6" i="29" s="1"/>
  <c r="E7" i="29"/>
  <c r="CG2" i="16" l="1"/>
  <c r="CF2" i="16"/>
  <c r="CE2" i="16"/>
  <c r="BR2" i="16"/>
  <c r="BQ2" i="16"/>
  <c r="BP2" i="16"/>
  <c r="BB2" i="16"/>
  <c r="BA2" i="16"/>
  <c r="AZ2" i="16"/>
  <c r="D8" i="29"/>
  <c r="E8" i="29"/>
  <c r="J41" i="2"/>
  <c r="G8" i="29"/>
  <c r="J40" i="2"/>
  <c r="C28" i="2"/>
  <c r="C29" i="2" s="1"/>
  <c r="H8" i="29" l="1"/>
  <c r="H39" i="16" l="1"/>
  <c r="CU39" i="16" s="1"/>
  <c r="Q2" i="36"/>
  <c r="Q9" i="36"/>
  <c r="Q3" i="36"/>
  <c r="Q5" i="36"/>
  <c r="Q7" i="36"/>
  <c r="Q4" i="36"/>
  <c r="Q8" i="36"/>
  <c r="G39" i="44" l="1"/>
  <c r="I39" i="16"/>
  <c r="H39" i="44" s="1"/>
  <c r="K39" i="16"/>
  <c r="J39" i="44" s="1"/>
  <c r="J39" i="16"/>
  <c r="I39" i="44" s="1"/>
  <c r="L39" i="16"/>
  <c r="K39" i="44" s="1"/>
  <c r="H44" i="16"/>
  <c r="CU44" i="16" s="1"/>
  <c r="H52" i="16"/>
  <c r="H17" i="16"/>
  <c r="CU17" i="16" s="1"/>
  <c r="H4" i="16"/>
  <c r="CU4" i="16" s="1"/>
  <c r="G3" i="16"/>
  <c r="G29" i="16"/>
  <c r="H38" i="16"/>
  <c r="CU38" i="16" s="1"/>
  <c r="E67" i="16"/>
  <c r="E68" i="16"/>
  <c r="E41" i="16"/>
  <c r="H30" i="16"/>
  <c r="CU30" i="16" s="1"/>
  <c r="G26" i="16"/>
  <c r="E46" i="16"/>
  <c r="G5" i="16"/>
  <c r="G43" i="16"/>
  <c r="G36" i="16"/>
  <c r="G71" i="16"/>
  <c r="G66" i="16"/>
  <c r="G70" i="16"/>
  <c r="H57" i="16"/>
  <c r="CU57" i="16" s="1"/>
  <c r="G16" i="16"/>
  <c r="H32" i="16"/>
  <c r="CU32" i="16" s="1"/>
  <c r="H14" i="16"/>
  <c r="CU14" i="16" s="1"/>
  <c r="E2" i="16"/>
  <c r="G34" i="16"/>
  <c r="G54" i="16"/>
  <c r="H9" i="16"/>
  <c r="CU9" i="16" s="1"/>
  <c r="E42" i="16"/>
  <c r="H69" i="16"/>
  <c r="CU69" i="16" s="1"/>
  <c r="G40" i="16"/>
  <c r="G4" i="16"/>
  <c r="E4" i="16"/>
  <c r="CR4" i="16" s="1"/>
  <c r="G44" i="16"/>
  <c r="CT44" i="16" s="1"/>
  <c r="E44" i="16"/>
  <c r="E38" i="16"/>
  <c r="CR38" i="16" s="1"/>
  <c r="G17" i="16"/>
  <c r="E17" i="16"/>
  <c r="CR17" i="16" s="1"/>
  <c r="G52" i="16"/>
  <c r="E52" i="16"/>
  <c r="G39" i="16"/>
  <c r="CT39" i="16" s="1"/>
  <c r="E39" i="16"/>
  <c r="CR39" i="16" s="1"/>
  <c r="Q6" i="36"/>
  <c r="S5" i="36"/>
  <c r="S4" i="36"/>
  <c r="L10" i="6" l="1"/>
  <c r="R10" i="6" s="1"/>
  <c r="L12" i="6"/>
  <c r="L14" i="6"/>
  <c r="L16" i="6"/>
  <c r="L18" i="6"/>
  <c r="L20" i="6"/>
  <c r="L22" i="6"/>
  <c r="L24" i="6"/>
  <c r="L26" i="6"/>
  <c r="L28" i="6"/>
  <c r="L30" i="6"/>
  <c r="L32" i="6"/>
  <c r="L34" i="6"/>
  <c r="L36" i="6"/>
  <c r="L38" i="6"/>
  <c r="L9" i="6"/>
  <c r="R9" i="6" s="1"/>
  <c r="S9" i="6" s="1"/>
  <c r="V9" i="6" s="1"/>
  <c r="L11" i="6"/>
  <c r="R11" i="6" s="1"/>
  <c r="S11" i="6" s="1"/>
  <c r="V11" i="6" s="1"/>
  <c r="L13" i="6"/>
  <c r="L15" i="6"/>
  <c r="L17" i="6"/>
  <c r="L19" i="6"/>
  <c r="L21" i="6"/>
  <c r="L23" i="6"/>
  <c r="L25" i="6"/>
  <c r="L27" i="6"/>
  <c r="L29" i="6"/>
  <c r="L31" i="6"/>
  <c r="L33" i="6"/>
  <c r="L35" i="6"/>
  <c r="L37" i="6"/>
  <c r="L39" i="6"/>
  <c r="L40" i="6"/>
  <c r="L42" i="6"/>
  <c r="L44" i="6"/>
  <c r="L46" i="6"/>
  <c r="L48" i="6"/>
  <c r="L41" i="6"/>
  <c r="L43" i="6"/>
  <c r="L45" i="6"/>
  <c r="L47" i="6"/>
  <c r="L49" i="6"/>
  <c r="CT52" i="16"/>
  <c r="N10" i="6"/>
  <c r="N12" i="6"/>
  <c r="N14" i="6"/>
  <c r="N16" i="6"/>
  <c r="N18" i="6"/>
  <c r="N20" i="6"/>
  <c r="N22" i="6"/>
  <c r="N24" i="6"/>
  <c r="N26" i="6"/>
  <c r="N28" i="6"/>
  <c r="N30" i="6"/>
  <c r="N32" i="6"/>
  <c r="N34" i="6"/>
  <c r="N36" i="6"/>
  <c r="N38" i="6"/>
  <c r="N9" i="6"/>
  <c r="N11" i="6"/>
  <c r="N13" i="6"/>
  <c r="N15" i="6"/>
  <c r="N17" i="6"/>
  <c r="N19" i="6"/>
  <c r="N21" i="6"/>
  <c r="N23" i="6"/>
  <c r="N25" i="6"/>
  <c r="N27" i="6"/>
  <c r="N29" i="6"/>
  <c r="N31" i="6"/>
  <c r="N33" i="6"/>
  <c r="N35" i="6"/>
  <c r="N37" i="6"/>
  <c r="N39" i="6"/>
  <c r="N40" i="6"/>
  <c r="N42" i="6"/>
  <c r="N44" i="6"/>
  <c r="N46" i="6"/>
  <c r="N48" i="6"/>
  <c r="N41" i="6"/>
  <c r="N43" i="6"/>
  <c r="N45" i="6"/>
  <c r="N47" i="6"/>
  <c r="N49" i="6"/>
  <c r="CU52" i="16"/>
  <c r="O9" i="6"/>
  <c r="O11" i="6"/>
  <c r="O13" i="6"/>
  <c r="O15" i="6"/>
  <c r="O17" i="6"/>
  <c r="O19" i="6"/>
  <c r="O21" i="6"/>
  <c r="O23" i="6"/>
  <c r="O25" i="6"/>
  <c r="O27" i="6"/>
  <c r="O29" i="6"/>
  <c r="O31" i="6"/>
  <c r="O33" i="6"/>
  <c r="O35" i="6"/>
  <c r="O37" i="6"/>
  <c r="O39" i="6"/>
  <c r="O10" i="6"/>
  <c r="O12" i="6"/>
  <c r="O14" i="6"/>
  <c r="O16" i="6"/>
  <c r="O18" i="6"/>
  <c r="O20" i="6"/>
  <c r="O22" i="6"/>
  <c r="O24" i="6"/>
  <c r="O26" i="6"/>
  <c r="O28" i="6"/>
  <c r="O30" i="6"/>
  <c r="O32" i="6"/>
  <c r="O34" i="6"/>
  <c r="O36" i="6"/>
  <c r="O38" i="6"/>
  <c r="O41" i="6"/>
  <c r="O43" i="6"/>
  <c r="O45" i="6"/>
  <c r="O47" i="6"/>
  <c r="O49" i="6"/>
  <c r="O40" i="6"/>
  <c r="O42" i="6"/>
  <c r="O44" i="6"/>
  <c r="O46" i="6"/>
  <c r="O48" i="6"/>
  <c r="CR52" i="16"/>
  <c r="CT4" i="16"/>
  <c r="CT17" i="16"/>
  <c r="CR44" i="16"/>
  <c r="F44" i="44"/>
  <c r="F4" i="44"/>
  <c r="G69" i="44"/>
  <c r="G9" i="44"/>
  <c r="F34" i="44"/>
  <c r="G14" i="44"/>
  <c r="F16" i="44"/>
  <c r="F70" i="44"/>
  <c r="F71" i="44"/>
  <c r="F43" i="44"/>
  <c r="G30" i="44"/>
  <c r="D68" i="44"/>
  <c r="G38" i="44"/>
  <c r="F3" i="44"/>
  <c r="G17" i="44"/>
  <c r="G44" i="44"/>
  <c r="F39" i="44"/>
  <c r="F52" i="44"/>
  <c r="F17" i="44"/>
  <c r="F40" i="44"/>
  <c r="F54" i="44"/>
  <c r="G32" i="44"/>
  <c r="G57" i="44"/>
  <c r="F66" i="44"/>
  <c r="F36" i="44"/>
  <c r="F5" i="44"/>
  <c r="F26" i="44"/>
  <c r="D67" i="44"/>
  <c r="F29" i="44"/>
  <c r="G4" i="44"/>
  <c r="G52" i="44"/>
  <c r="F44" i="16"/>
  <c r="CS44" i="16" s="1"/>
  <c r="D44" i="44"/>
  <c r="F4" i="16"/>
  <c r="CS4" i="16" s="1"/>
  <c r="D4" i="44"/>
  <c r="F42" i="16"/>
  <c r="D42" i="44"/>
  <c r="F2" i="16"/>
  <c r="D2" i="44"/>
  <c r="F39" i="16"/>
  <c r="CS39" i="16" s="1"/>
  <c r="D39" i="44"/>
  <c r="F52" i="16"/>
  <c r="D52" i="44"/>
  <c r="F17" i="16"/>
  <c r="CS17" i="16" s="1"/>
  <c r="D17" i="44"/>
  <c r="F38" i="16"/>
  <c r="CS38" i="16" s="1"/>
  <c r="D38" i="44"/>
  <c r="F46" i="16"/>
  <c r="D46" i="44"/>
  <c r="F41" i="16"/>
  <c r="D41" i="44"/>
  <c r="I30" i="16"/>
  <c r="H30" i="44" s="1"/>
  <c r="K30" i="16"/>
  <c r="J30" i="44" s="1"/>
  <c r="J30" i="16"/>
  <c r="I30" i="44" s="1"/>
  <c r="L30" i="16"/>
  <c r="K30" i="44" s="1"/>
  <c r="I38" i="16"/>
  <c r="H38" i="44" s="1"/>
  <c r="K38" i="16"/>
  <c r="J38" i="44" s="1"/>
  <c r="J38" i="16"/>
  <c r="I38" i="44" s="1"/>
  <c r="L38" i="16"/>
  <c r="K38" i="44" s="1"/>
  <c r="I17" i="16"/>
  <c r="H17" i="44" s="1"/>
  <c r="K17" i="16"/>
  <c r="J17" i="44" s="1"/>
  <c r="J17" i="16"/>
  <c r="I17" i="44" s="1"/>
  <c r="L17" i="16"/>
  <c r="K17" i="44" s="1"/>
  <c r="I44" i="16"/>
  <c r="H44" i="44" s="1"/>
  <c r="K44" i="16"/>
  <c r="J44" i="44" s="1"/>
  <c r="J44" i="16"/>
  <c r="I44" i="44" s="1"/>
  <c r="L44" i="16"/>
  <c r="K44" i="44" s="1"/>
  <c r="J69" i="16"/>
  <c r="I69" i="44" s="1"/>
  <c r="L69" i="16"/>
  <c r="K69" i="44" s="1"/>
  <c r="K69" i="16"/>
  <c r="J69" i="44" s="1"/>
  <c r="I69" i="16"/>
  <c r="H69" i="44" s="1"/>
  <c r="I9" i="16"/>
  <c r="H9" i="44" s="1"/>
  <c r="K9" i="16"/>
  <c r="J9" i="44" s="1"/>
  <c r="J9" i="16"/>
  <c r="I9" i="44" s="1"/>
  <c r="L9" i="16"/>
  <c r="K9" i="44" s="1"/>
  <c r="I14" i="16"/>
  <c r="H14" i="44" s="1"/>
  <c r="K14" i="16"/>
  <c r="J14" i="44" s="1"/>
  <c r="J14" i="16"/>
  <c r="I14" i="44" s="1"/>
  <c r="L14" i="16"/>
  <c r="K14" i="44" s="1"/>
  <c r="I32" i="16"/>
  <c r="H32" i="44" s="1"/>
  <c r="K32" i="16"/>
  <c r="J32" i="44" s="1"/>
  <c r="J32" i="16"/>
  <c r="I32" i="44" s="1"/>
  <c r="L32" i="16"/>
  <c r="K32" i="44" s="1"/>
  <c r="J57" i="16"/>
  <c r="I57" i="44" s="1"/>
  <c r="L57" i="16"/>
  <c r="K57" i="44" s="1"/>
  <c r="I57" i="16"/>
  <c r="H57" i="44" s="1"/>
  <c r="K57" i="16"/>
  <c r="J57" i="44" s="1"/>
  <c r="L4" i="4"/>
  <c r="I4" i="16"/>
  <c r="H4" i="44" s="1"/>
  <c r="K4" i="16"/>
  <c r="J4" i="44" s="1"/>
  <c r="J4" i="16"/>
  <c r="I4" i="44" s="1"/>
  <c r="L4" i="16"/>
  <c r="K4" i="44" s="1"/>
  <c r="J52" i="16"/>
  <c r="L52" i="16"/>
  <c r="I52" i="16"/>
  <c r="K52" i="16"/>
  <c r="E43" i="16"/>
  <c r="E34" i="16"/>
  <c r="E3" i="16"/>
  <c r="G14" i="16"/>
  <c r="CT14" i="16" s="1"/>
  <c r="H54" i="16"/>
  <c r="CU54" i="16" s="1"/>
  <c r="H34" i="16"/>
  <c r="CU34" i="16" s="1"/>
  <c r="H71" i="16"/>
  <c r="CU71" i="16" s="1"/>
  <c r="H40" i="16"/>
  <c r="CU40" i="16" s="1"/>
  <c r="H46" i="16"/>
  <c r="CU46" i="16" s="1"/>
  <c r="H68" i="16"/>
  <c r="CU68" i="16" s="1"/>
  <c r="H26" i="16"/>
  <c r="CU26" i="16" s="1"/>
  <c r="H42" i="16"/>
  <c r="CU42" i="16" s="1"/>
  <c r="H16" i="16"/>
  <c r="CU16" i="16" s="1"/>
  <c r="H41" i="16"/>
  <c r="CU41" i="16" s="1"/>
  <c r="H70" i="16"/>
  <c r="CU70" i="16" s="1"/>
  <c r="H66" i="16"/>
  <c r="CU66" i="16" s="1"/>
  <c r="H36" i="16"/>
  <c r="CU36" i="16" s="1"/>
  <c r="H43" i="16"/>
  <c r="CU43" i="16" s="1"/>
  <c r="H29" i="16"/>
  <c r="CU29" i="16" s="1"/>
  <c r="H67" i="16"/>
  <c r="CU67" i="16" s="1"/>
  <c r="H3" i="16"/>
  <c r="CU3" i="16" s="1"/>
  <c r="H5" i="16"/>
  <c r="CU5" i="16" s="1"/>
  <c r="F67" i="16"/>
  <c r="F68" i="16"/>
  <c r="CS68" i="16" s="1"/>
  <c r="G32" i="16"/>
  <c r="CT32" i="16" s="1"/>
  <c r="E36" i="16"/>
  <c r="E54" i="16"/>
  <c r="CR54" i="16" s="1"/>
  <c r="E26" i="16"/>
  <c r="E29" i="16"/>
  <c r="CR29" i="16" s="1"/>
  <c r="E14" i="16"/>
  <c r="CR14" i="16" s="1"/>
  <c r="G38" i="16"/>
  <c r="CT38" i="16" s="1"/>
  <c r="E32" i="16"/>
  <c r="CR32" i="16" s="1"/>
  <c r="G67" i="16"/>
  <c r="G69" i="16"/>
  <c r="CT69" i="16" s="1"/>
  <c r="E69" i="16"/>
  <c r="CR69" i="16" s="1"/>
  <c r="E9" i="16"/>
  <c r="CR9" i="16" s="1"/>
  <c r="G41" i="16"/>
  <c r="H2" i="16"/>
  <c r="CU2" i="16" s="1"/>
  <c r="E57" i="16"/>
  <c r="CR57" i="16" s="1"/>
  <c r="G9" i="16"/>
  <c r="CT9" i="16" s="1"/>
  <c r="G2" i="16"/>
  <c r="E5" i="16"/>
  <c r="CR5" i="16" s="1"/>
  <c r="E66" i="16"/>
  <c r="G57" i="16"/>
  <c r="CT57" i="16" s="1"/>
  <c r="G42" i="16"/>
  <c r="E30" i="16"/>
  <c r="CR30" i="16" s="1"/>
  <c r="G68" i="16"/>
  <c r="G46" i="16"/>
  <c r="E16" i="16"/>
  <c r="CR16" i="16" s="1"/>
  <c r="E40" i="16"/>
  <c r="CR40" i="16" s="1"/>
  <c r="E70" i="16"/>
  <c r="CR70" i="16" s="1"/>
  <c r="E71" i="16"/>
  <c r="G30" i="16"/>
  <c r="CT30" i="16" s="1"/>
  <c r="O39" i="16"/>
  <c r="R21" i="6" l="1"/>
  <c r="I52" i="44"/>
  <c r="Q9" i="6"/>
  <c r="Q11" i="6"/>
  <c r="Q13" i="6"/>
  <c r="Q15" i="6"/>
  <c r="Q17" i="6"/>
  <c r="Q19" i="6"/>
  <c r="Q21" i="6"/>
  <c r="Q23" i="6"/>
  <c r="Q25" i="6"/>
  <c r="Q27" i="6"/>
  <c r="Q29" i="6"/>
  <c r="Q31" i="6"/>
  <c r="Q33" i="6"/>
  <c r="Q35" i="6"/>
  <c r="Q37" i="6"/>
  <c r="Q39" i="6"/>
  <c r="Q10" i="6"/>
  <c r="Q12" i="6"/>
  <c r="Q14" i="6"/>
  <c r="Q16" i="6"/>
  <c r="Q18" i="6"/>
  <c r="Q20" i="6"/>
  <c r="Q22" i="6"/>
  <c r="Q24" i="6"/>
  <c r="Q26" i="6"/>
  <c r="Q28" i="6"/>
  <c r="Q30" i="6"/>
  <c r="Q32" i="6"/>
  <c r="Q34" i="6"/>
  <c r="Q36" i="6"/>
  <c r="Q38" i="6"/>
  <c r="Q41" i="6"/>
  <c r="Q43" i="6"/>
  <c r="Q45" i="6"/>
  <c r="Q47" i="6"/>
  <c r="Q49" i="6"/>
  <c r="Q40" i="6"/>
  <c r="Q42" i="6"/>
  <c r="Q44" i="6"/>
  <c r="Q46" i="6"/>
  <c r="Q48" i="6"/>
  <c r="H52" i="44"/>
  <c r="P10" i="6"/>
  <c r="P12" i="6"/>
  <c r="P14" i="6"/>
  <c r="P16" i="6"/>
  <c r="P18" i="6"/>
  <c r="P20" i="6"/>
  <c r="P22" i="6"/>
  <c r="R22" i="6" s="1"/>
  <c r="S22" i="6" s="1"/>
  <c r="V22" i="6" s="1"/>
  <c r="P24" i="6"/>
  <c r="R24" i="6" s="1"/>
  <c r="P26" i="6"/>
  <c r="R26" i="6" s="1"/>
  <c r="P28" i="6"/>
  <c r="R28" i="6" s="1"/>
  <c r="P30" i="6"/>
  <c r="R30" i="6" s="1"/>
  <c r="P32" i="6"/>
  <c r="R32" i="6" s="1"/>
  <c r="P34" i="6"/>
  <c r="P36" i="6"/>
  <c r="P38" i="6"/>
  <c r="P9" i="6"/>
  <c r="P11" i="6"/>
  <c r="P13" i="6"/>
  <c r="P15" i="6"/>
  <c r="P17" i="6"/>
  <c r="P19" i="6"/>
  <c r="P21" i="6"/>
  <c r="P23" i="6"/>
  <c r="R23" i="6" s="1"/>
  <c r="S23" i="6" s="1"/>
  <c r="V23" i="6" s="1"/>
  <c r="P25" i="6"/>
  <c r="R25" i="6" s="1"/>
  <c r="S25" i="6" s="1"/>
  <c r="V25" i="6" s="1"/>
  <c r="P27" i="6"/>
  <c r="R27" i="6" s="1"/>
  <c r="S27" i="6" s="1"/>
  <c r="V27" i="6" s="1"/>
  <c r="P29" i="6"/>
  <c r="R29" i="6" s="1"/>
  <c r="S29" i="6" s="1"/>
  <c r="V29" i="6" s="1"/>
  <c r="P31" i="6"/>
  <c r="R31" i="6" s="1"/>
  <c r="S31" i="6" s="1"/>
  <c r="V31" i="6" s="1"/>
  <c r="P33" i="6"/>
  <c r="P35" i="6"/>
  <c r="P37" i="6"/>
  <c r="P39" i="6"/>
  <c r="P40" i="6"/>
  <c r="P42" i="6"/>
  <c r="P44" i="6"/>
  <c r="P46" i="6"/>
  <c r="P48" i="6"/>
  <c r="P41" i="6"/>
  <c r="P43" i="6"/>
  <c r="P45" i="6"/>
  <c r="P47" i="6"/>
  <c r="P49" i="6"/>
  <c r="R20" i="6"/>
  <c r="J52" i="44"/>
  <c r="Y9" i="6"/>
  <c r="Y11" i="6"/>
  <c r="Y13" i="6"/>
  <c r="Y15" i="6"/>
  <c r="Y17" i="6"/>
  <c r="Y19" i="6"/>
  <c r="Y21" i="6"/>
  <c r="Y23" i="6"/>
  <c r="Y25" i="6"/>
  <c r="Y27" i="6"/>
  <c r="Y29" i="6"/>
  <c r="Y31" i="6"/>
  <c r="Y33" i="6"/>
  <c r="Y35" i="6"/>
  <c r="Y37" i="6"/>
  <c r="Y10" i="6"/>
  <c r="Y12" i="6"/>
  <c r="Y14" i="6"/>
  <c r="Y16" i="6"/>
  <c r="Y18" i="6"/>
  <c r="Y20" i="6"/>
  <c r="Y22" i="6"/>
  <c r="Y24" i="6"/>
  <c r="Y26" i="6"/>
  <c r="Y28" i="6"/>
  <c r="Y30" i="6"/>
  <c r="Y32" i="6"/>
  <c r="Y34" i="6"/>
  <c r="Y36" i="6"/>
  <c r="Y38" i="6"/>
  <c r="Y41" i="6"/>
  <c r="Y43" i="6"/>
  <c r="Y45" i="6"/>
  <c r="R45" i="6" s="1"/>
  <c r="Y47" i="6"/>
  <c r="R47" i="6" s="1"/>
  <c r="Y49" i="6"/>
  <c r="R49" i="6" s="1"/>
  <c r="Y39" i="6"/>
  <c r="Y40" i="6"/>
  <c r="Y42" i="6"/>
  <c r="Y44" i="6"/>
  <c r="Y46" i="6"/>
  <c r="Y48" i="6"/>
  <c r="K52" i="44"/>
  <c r="Z10" i="6"/>
  <c r="Z12" i="6"/>
  <c r="Z14" i="6"/>
  <c r="Z16" i="6"/>
  <c r="Z18" i="6"/>
  <c r="Z20" i="6"/>
  <c r="Z22" i="6"/>
  <c r="Z24" i="6"/>
  <c r="Z26" i="6"/>
  <c r="Z28" i="6"/>
  <c r="Z30" i="6"/>
  <c r="Z32" i="6"/>
  <c r="Z34" i="6"/>
  <c r="Z36" i="6"/>
  <c r="Z38" i="6"/>
  <c r="Z9" i="6"/>
  <c r="Z11" i="6"/>
  <c r="Z13" i="6"/>
  <c r="Z15" i="6"/>
  <c r="Z17" i="6"/>
  <c r="Z19" i="6"/>
  <c r="Z21" i="6"/>
  <c r="Z23" i="6"/>
  <c r="Z25" i="6"/>
  <c r="Z27" i="6"/>
  <c r="Z29" i="6"/>
  <c r="Z31" i="6"/>
  <c r="Z33" i="6"/>
  <c r="Z35" i="6"/>
  <c r="Z37" i="6"/>
  <c r="Z39" i="6"/>
  <c r="Z40" i="6"/>
  <c r="Z42" i="6"/>
  <c r="Z44" i="6"/>
  <c r="Z46" i="6"/>
  <c r="Z48" i="6"/>
  <c r="Z41" i="6"/>
  <c r="Z43" i="6"/>
  <c r="Z45" i="6"/>
  <c r="Z47" i="6"/>
  <c r="Z49" i="6"/>
  <c r="CS52" i="16"/>
  <c r="M9" i="6"/>
  <c r="M11" i="6"/>
  <c r="M13" i="6"/>
  <c r="R13" i="6" s="1"/>
  <c r="M15" i="6"/>
  <c r="R15" i="6" s="1"/>
  <c r="M17" i="6"/>
  <c r="R17" i="6" s="1"/>
  <c r="M19" i="6"/>
  <c r="M21" i="6"/>
  <c r="M23" i="6"/>
  <c r="M25" i="6"/>
  <c r="M27" i="6"/>
  <c r="M29" i="6"/>
  <c r="M31" i="6"/>
  <c r="M33" i="6"/>
  <c r="M35" i="6"/>
  <c r="M37" i="6"/>
  <c r="M39" i="6"/>
  <c r="M10" i="6"/>
  <c r="M12" i="6"/>
  <c r="R12" i="6" s="1"/>
  <c r="S12" i="6" s="1"/>
  <c r="V12" i="6" s="1"/>
  <c r="M14" i="6"/>
  <c r="R14" i="6" s="1"/>
  <c r="M16" i="6"/>
  <c r="R16" i="6" s="1"/>
  <c r="S16" i="6" s="1"/>
  <c r="V16" i="6" s="1"/>
  <c r="M18" i="6"/>
  <c r="M20" i="6"/>
  <c r="M22" i="6"/>
  <c r="M24" i="6"/>
  <c r="M26" i="6"/>
  <c r="M28" i="6"/>
  <c r="M30" i="6"/>
  <c r="M32" i="6"/>
  <c r="M34" i="6"/>
  <c r="M36" i="6"/>
  <c r="M38" i="6"/>
  <c r="M41" i="6"/>
  <c r="M43" i="6"/>
  <c r="M45" i="6"/>
  <c r="M47" i="6"/>
  <c r="M49" i="6"/>
  <c r="M40" i="6"/>
  <c r="M42" i="6"/>
  <c r="M44" i="6"/>
  <c r="M46" i="6"/>
  <c r="M48" i="6"/>
  <c r="R19" i="6"/>
  <c r="R18" i="6"/>
  <c r="S18" i="6" s="1"/>
  <c r="V18" i="6" s="1"/>
  <c r="S10" i="6"/>
  <c r="V10" i="6" s="1"/>
  <c r="CT68" i="16"/>
  <c r="CT42" i="16"/>
  <c r="CR66" i="16"/>
  <c r="CT2" i="16"/>
  <c r="CT41" i="16"/>
  <c r="CT67" i="16"/>
  <c r="CS67" i="16"/>
  <c r="CR43" i="16"/>
  <c r="CR2" i="16"/>
  <c r="CR67" i="16"/>
  <c r="CR42" i="16"/>
  <c r="CR3" i="16"/>
  <c r="CT26" i="16"/>
  <c r="CT36" i="16"/>
  <c r="CT3" i="16"/>
  <c r="CR46" i="16"/>
  <c r="CT71" i="16"/>
  <c r="CT16" i="16"/>
  <c r="CR71" i="16"/>
  <c r="CT46" i="16"/>
  <c r="CR26" i="16"/>
  <c r="CR36" i="16"/>
  <c r="CR34" i="16"/>
  <c r="CS41" i="16"/>
  <c r="CS46" i="16"/>
  <c r="CS2" i="16"/>
  <c r="CS42" i="16"/>
  <c r="CT29" i="16"/>
  <c r="CR41" i="16"/>
  <c r="CT5" i="16"/>
  <c r="CT66" i="16"/>
  <c r="CT54" i="16"/>
  <c r="CT40" i="16"/>
  <c r="CR68" i="16"/>
  <c r="CT43" i="16"/>
  <c r="CT70" i="16"/>
  <c r="CT34" i="16"/>
  <c r="F46" i="44"/>
  <c r="F57" i="44"/>
  <c r="F9" i="44"/>
  <c r="G2" i="44"/>
  <c r="F69" i="44"/>
  <c r="E68" i="44"/>
  <c r="G5" i="44"/>
  <c r="G67" i="44"/>
  <c r="G43" i="44"/>
  <c r="G66" i="44"/>
  <c r="G41" i="44"/>
  <c r="G42" i="44"/>
  <c r="G68" i="44"/>
  <c r="G40" i="44"/>
  <c r="G34" i="44"/>
  <c r="F14" i="44"/>
  <c r="E41" i="44"/>
  <c r="E46" i="44"/>
  <c r="E38" i="44"/>
  <c r="E17" i="44"/>
  <c r="E52" i="44"/>
  <c r="E39" i="44"/>
  <c r="E2" i="44"/>
  <c r="E42" i="44"/>
  <c r="E4" i="44"/>
  <c r="E44" i="44"/>
  <c r="F30" i="44"/>
  <c r="F68" i="44"/>
  <c r="F42" i="44"/>
  <c r="D66" i="44"/>
  <c r="F2" i="44"/>
  <c r="F41" i="44"/>
  <c r="F67" i="44"/>
  <c r="F38" i="44"/>
  <c r="F32" i="44"/>
  <c r="E67" i="44"/>
  <c r="G3" i="44"/>
  <c r="G29" i="44"/>
  <c r="G36" i="44"/>
  <c r="G16" i="44"/>
  <c r="G26" i="44"/>
  <c r="G46" i="44"/>
  <c r="G54" i="44"/>
  <c r="O9" i="16"/>
  <c r="O52" i="16"/>
  <c r="O3" i="16"/>
  <c r="L67" i="4"/>
  <c r="R67" i="4" s="1"/>
  <c r="I68" i="38" s="1"/>
  <c r="L16" i="4"/>
  <c r="G70" i="44"/>
  <c r="L70" i="4"/>
  <c r="R70" i="4" s="1"/>
  <c r="I71" i="38" s="1"/>
  <c r="G71" i="44"/>
  <c r="L71" i="4"/>
  <c r="R71" i="4" s="1"/>
  <c r="I72" i="38" s="1"/>
  <c r="L42" i="4"/>
  <c r="L29" i="4"/>
  <c r="N9" i="16"/>
  <c r="N52" i="16"/>
  <c r="AA53" i="38"/>
  <c r="N39" i="16"/>
  <c r="O57" i="16"/>
  <c r="F71" i="16"/>
  <c r="CS71" i="16" s="1"/>
  <c r="D71" i="44"/>
  <c r="F40" i="16"/>
  <c r="CS40" i="16" s="1"/>
  <c r="D40" i="44"/>
  <c r="F30" i="16"/>
  <c r="CS30" i="16" s="1"/>
  <c r="D30" i="44"/>
  <c r="F5" i="16"/>
  <c r="CS5" i="16" s="1"/>
  <c r="D5" i="44"/>
  <c r="F9" i="16"/>
  <c r="CS9" i="16" s="1"/>
  <c r="D9" i="44"/>
  <c r="F32" i="16"/>
  <c r="CS32" i="16" s="1"/>
  <c r="D32" i="44"/>
  <c r="F14" i="16"/>
  <c r="CS14" i="16" s="1"/>
  <c r="D14" i="44"/>
  <c r="F26" i="16"/>
  <c r="CS26" i="16" s="1"/>
  <c r="D26" i="44"/>
  <c r="F36" i="16"/>
  <c r="CS36" i="16" s="1"/>
  <c r="D36" i="44"/>
  <c r="D34" i="44"/>
  <c r="F70" i="16"/>
  <c r="CS70" i="16" s="1"/>
  <c r="D70" i="44"/>
  <c r="F16" i="16"/>
  <c r="CS16" i="16" s="1"/>
  <c r="D16" i="44"/>
  <c r="F57" i="16"/>
  <c r="CS57" i="16" s="1"/>
  <c r="D57" i="44"/>
  <c r="F69" i="16"/>
  <c r="CS69" i="16" s="1"/>
  <c r="D69" i="44"/>
  <c r="F29" i="16"/>
  <c r="CS29" i="16" s="1"/>
  <c r="D29" i="44"/>
  <c r="F54" i="16"/>
  <c r="CS54" i="16" s="1"/>
  <c r="D54" i="44"/>
  <c r="F3" i="16"/>
  <c r="CS3" i="16" s="1"/>
  <c r="D3" i="44"/>
  <c r="F43" i="16"/>
  <c r="CS43" i="16" s="1"/>
  <c r="D43" i="44"/>
  <c r="L2" i="4"/>
  <c r="K2" i="16"/>
  <c r="J2" i="44" s="1"/>
  <c r="I2" i="16"/>
  <c r="H2" i="44" s="1"/>
  <c r="J2" i="16"/>
  <c r="I2" i="44" s="1"/>
  <c r="L2" i="16"/>
  <c r="K2" i="44" s="1"/>
  <c r="I5" i="16"/>
  <c r="H5" i="44" s="1"/>
  <c r="K5" i="16"/>
  <c r="J5" i="44" s="1"/>
  <c r="J5" i="16"/>
  <c r="I5" i="44" s="1"/>
  <c r="L5" i="16"/>
  <c r="K5" i="44" s="1"/>
  <c r="J67" i="16"/>
  <c r="I67" i="44" s="1"/>
  <c r="L67" i="16"/>
  <c r="K67" i="44" s="1"/>
  <c r="K67" i="16"/>
  <c r="J67" i="44" s="1"/>
  <c r="I67" i="16"/>
  <c r="H67" i="44" s="1"/>
  <c r="L41" i="4"/>
  <c r="I43" i="16"/>
  <c r="H43" i="44" s="1"/>
  <c r="K43" i="16"/>
  <c r="J43" i="44" s="1"/>
  <c r="J43" i="16"/>
  <c r="I43" i="44" s="1"/>
  <c r="L43" i="16"/>
  <c r="K43" i="44" s="1"/>
  <c r="J66" i="16"/>
  <c r="I66" i="44" s="1"/>
  <c r="L66" i="16"/>
  <c r="K66" i="44" s="1"/>
  <c r="K66" i="16"/>
  <c r="J66" i="44" s="1"/>
  <c r="I66" i="16"/>
  <c r="H66" i="44" s="1"/>
  <c r="L39" i="4"/>
  <c r="I41" i="16"/>
  <c r="H41" i="44" s="1"/>
  <c r="K41" i="16"/>
  <c r="J41" i="44" s="1"/>
  <c r="J41" i="16"/>
  <c r="I41" i="44" s="1"/>
  <c r="L41" i="16"/>
  <c r="L40" i="4"/>
  <c r="I42" i="16"/>
  <c r="H42" i="44" s="1"/>
  <c r="K42" i="16"/>
  <c r="J42" i="44" s="1"/>
  <c r="J42" i="16"/>
  <c r="I42" i="44" s="1"/>
  <c r="L42" i="16"/>
  <c r="K42" i="44" s="1"/>
  <c r="L66" i="4"/>
  <c r="J68" i="16"/>
  <c r="I68" i="44" s="1"/>
  <c r="L68" i="16"/>
  <c r="K68" i="44" s="1"/>
  <c r="K68" i="16"/>
  <c r="J68" i="44" s="1"/>
  <c r="I68" i="16"/>
  <c r="H68" i="44" s="1"/>
  <c r="L38" i="4"/>
  <c r="I40" i="16"/>
  <c r="H40" i="44" s="1"/>
  <c r="K40" i="16"/>
  <c r="J40" i="44" s="1"/>
  <c r="J40" i="16"/>
  <c r="I40" i="44" s="1"/>
  <c r="L40" i="16"/>
  <c r="K40" i="44" s="1"/>
  <c r="I34" i="16"/>
  <c r="H34" i="44" s="1"/>
  <c r="K34" i="16"/>
  <c r="J34" i="44" s="1"/>
  <c r="J34" i="16"/>
  <c r="I34" i="44" s="1"/>
  <c r="L34" i="16"/>
  <c r="K34" i="44" s="1"/>
  <c r="L3" i="4"/>
  <c r="I3" i="16"/>
  <c r="H3" i="44" s="1"/>
  <c r="K3" i="16"/>
  <c r="J3" i="44" s="1"/>
  <c r="J3" i="16"/>
  <c r="I3" i="44" s="1"/>
  <c r="L3" i="16"/>
  <c r="K3" i="44" s="1"/>
  <c r="I29" i="16"/>
  <c r="H29" i="44" s="1"/>
  <c r="K29" i="16"/>
  <c r="J29" i="44" s="1"/>
  <c r="J29" i="16"/>
  <c r="I29" i="44" s="1"/>
  <c r="L29" i="16"/>
  <c r="K29" i="44" s="1"/>
  <c r="L34" i="4"/>
  <c r="I36" i="16"/>
  <c r="H36" i="44" s="1"/>
  <c r="K36" i="16"/>
  <c r="J36" i="16"/>
  <c r="I36" i="44" s="1"/>
  <c r="L36" i="16"/>
  <c r="K36" i="44" s="1"/>
  <c r="L68" i="4"/>
  <c r="J70" i="16"/>
  <c r="I70" i="44" s="1"/>
  <c r="L70" i="16"/>
  <c r="K70" i="16"/>
  <c r="J70" i="44" s="1"/>
  <c r="I70" i="16"/>
  <c r="H70" i="44" s="1"/>
  <c r="I16" i="16"/>
  <c r="H16" i="44" s="1"/>
  <c r="K16" i="16"/>
  <c r="J16" i="44" s="1"/>
  <c r="J16" i="16"/>
  <c r="I16" i="44" s="1"/>
  <c r="L16" i="16"/>
  <c r="K16" i="44" s="1"/>
  <c r="I26" i="16"/>
  <c r="H26" i="44" s="1"/>
  <c r="K26" i="16"/>
  <c r="J26" i="44" s="1"/>
  <c r="J26" i="16"/>
  <c r="I26" i="44" s="1"/>
  <c r="L26" i="16"/>
  <c r="L44" i="4"/>
  <c r="J46" i="16"/>
  <c r="I46" i="44" s="1"/>
  <c r="L46" i="16"/>
  <c r="K46" i="44" s="1"/>
  <c r="I46" i="16"/>
  <c r="H46" i="44" s="1"/>
  <c r="K46" i="16"/>
  <c r="J46" i="44" s="1"/>
  <c r="J71" i="16"/>
  <c r="I71" i="44" s="1"/>
  <c r="L71" i="16"/>
  <c r="K71" i="44" s="1"/>
  <c r="K71" i="16"/>
  <c r="J71" i="44" s="1"/>
  <c r="I71" i="16"/>
  <c r="H71" i="44" s="1"/>
  <c r="L52" i="4"/>
  <c r="J54" i="16"/>
  <c r="I54" i="44" s="1"/>
  <c r="L54" i="16"/>
  <c r="K54" i="44" s="1"/>
  <c r="I54" i="16"/>
  <c r="H54" i="44" s="1"/>
  <c r="K54" i="16"/>
  <c r="J54" i="44" s="1"/>
  <c r="O30" i="16"/>
  <c r="O44" i="16"/>
  <c r="O14" i="16"/>
  <c r="O32" i="16"/>
  <c r="O5" i="16"/>
  <c r="AA6" i="38" s="1"/>
  <c r="N3" i="16"/>
  <c r="F34" i="16"/>
  <c r="CS34" i="16" s="1"/>
  <c r="N34" i="16"/>
  <c r="N16" i="16"/>
  <c r="N40" i="16"/>
  <c r="O2" i="16"/>
  <c r="N70" i="16"/>
  <c r="Q70" i="4" s="1"/>
  <c r="N43" i="16"/>
  <c r="N5" i="16"/>
  <c r="F66" i="16"/>
  <c r="CS66" i="16" s="1"/>
  <c r="N36" i="16"/>
  <c r="N26" i="16"/>
  <c r="N41" i="16"/>
  <c r="N42" i="16"/>
  <c r="O4" i="16"/>
  <c r="O69" i="16"/>
  <c r="O38" i="16"/>
  <c r="N66" i="16"/>
  <c r="O17" i="16"/>
  <c r="E83" i="37"/>
  <c r="E82" i="37"/>
  <c r="E80" i="37"/>
  <c r="E17" i="37"/>
  <c r="E87" i="37"/>
  <c r="F43" i="38" l="1"/>
  <c r="P43" i="38" s="1"/>
  <c r="R48" i="6"/>
  <c r="S49" i="6" s="1"/>
  <c r="V49" i="6" s="1"/>
  <c r="O34" i="16"/>
  <c r="O42" i="16"/>
  <c r="AA43" i="38" s="1"/>
  <c r="F71" i="38"/>
  <c r="P71" i="38" s="1"/>
  <c r="R46" i="6"/>
  <c r="S46" i="6" s="1"/>
  <c r="V46" i="6" s="1"/>
  <c r="S19" i="6"/>
  <c r="V19" i="6" s="1"/>
  <c r="S13" i="6"/>
  <c r="V13" i="6" s="1"/>
  <c r="S17" i="6"/>
  <c r="V17" i="6" s="1"/>
  <c r="S48" i="6"/>
  <c r="V48" i="6" s="1"/>
  <c r="S30" i="6"/>
  <c r="V30" i="6" s="1"/>
  <c r="S26" i="6"/>
  <c r="V26" i="6" s="1"/>
  <c r="R44" i="6"/>
  <c r="R40" i="6"/>
  <c r="R43" i="6"/>
  <c r="R38" i="6"/>
  <c r="R34" i="6"/>
  <c r="R37" i="6"/>
  <c r="R33" i="6"/>
  <c r="S33" i="6" s="1"/>
  <c r="V33" i="6" s="1"/>
  <c r="S14" i="6"/>
  <c r="V14" i="6" s="1"/>
  <c r="S15" i="6"/>
  <c r="V15" i="6" s="1"/>
  <c r="S20" i="6"/>
  <c r="V20" i="6" s="1"/>
  <c r="S32" i="6"/>
  <c r="V32" i="6" s="1"/>
  <c r="S28" i="6"/>
  <c r="V28" i="6" s="1"/>
  <c r="S24" i="6"/>
  <c r="V24" i="6" s="1"/>
  <c r="S21" i="6"/>
  <c r="V21" i="6" s="1"/>
  <c r="R42" i="6"/>
  <c r="R41" i="6"/>
  <c r="R36" i="6"/>
  <c r="R39" i="6"/>
  <c r="R35" i="6"/>
  <c r="E66" i="44"/>
  <c r="E43" i="44"/>
  <c r="E3" i="44"/>
  <c r="E54" i="44"/>
  <c r="E29" i="44"/>
  <c r="E69" i="44"/>
  <c r="E57" i="44"/>
  <c r="E16" i="44"/>
  <c r="E70" i="44"/>
  <c r="E36" i="44"/>
  <c r="E26" i="44"/>
  <c r="E14" i="44"/>
  <c r="E32" i="44"/>
  <c r="E9" i="44"/>
  <c r="E5" i="44"/>
  <c r="E30" i="44"/>
  <c r="E40" i="44"/>
  <c r="E71" i="44"/>
  <c r="E71" i="37"/>
  <c r="O71" i="16"/>
  <c r="AA72" i="38" s="1"/>
  <c r="F69" i="38"/>
  <c r="P69" i="38" s="1"/>
  <c r="AA4" i="38"/>
  <c r="K41" i="44"/>
  <c r="O41" i="16"/>
  <c r="O40" i="16"/>
  <c r="O29" i="16"/>
  <c r="AA30" i="38" s="1"/>
  <c r="O66" i="16"/>
  <c r="AA67" i="38" s="1"/>
  <c r="O68" i="16"/>
  <c r="AA69" i="38" s="1"/>
  <c r="O46" i="16"/>
  <c r="F53" i="38"/>
  <c r="P53" i="38" s="1"/>
  <c r="N69" i="16"/>
  <c r="AA70" i="38"/>
  <c r="N68" i="16"/>
  <c r="N2" i="16"/>
  <c r="AA3" i="38"/>
  <c r="N29" i="16"/>
  <c r="N17" i="16"/>
  <c r="N4" i="16"/>
  <c r="N14" i="16"/>
  <c r="N30" i="16"/>
  <c r="N57" i="16"/>
  <c r="AA58" i="38"/>
  <c r="N46" i="16"/>
  <c r="N32" i="16"/>
  <c r="N44" i="16"/>
  <c r="AA45" i="38"/>
  <c r="O67" i="16"/>
  <c r="O43" i="16"/>
  <c r="AA44" i="38" s="1"/>
  <c r="E34" i="44"/>
  <c r="O54" i="16"/>
  <c r="AA40" i="38" s="1"/>
  <c r="O16" i="16"/>
  <c r="O36" i="16"/>
  <c r="J36" i="44"/>
  <c r="O26" i="16"/>
  <c r="AA27" i="38" s="1"/>
  <c r="K26" i="44"/>
  <c r="O70" i="16"/>
  <c r="AA71" i="38" s="1"/>
  <c r="K70" i="44"/>
  <c r="N71" i="16"/>
  <c r="Q71" i="4" s="1"/>
  <c r="L69" i="4"/>
  <c r="F72" i="38" s="1"/>
  <c r="P72" i="38" s="1"/>
  <c r="N38" i="16"/>
  <c r="L36" i="4"/>
  <c r="S47" i="6" l="1"/>
  <c r="V47" i="6" s="1"/>
  <c r="S39" i="6"/>
  <c r="V39" i="6" s="1"/>
  <c r="S41" i="6"/>
  <c r="V41" i="6" s="1"/>
  <c r="S43" i="6"/>
  <c r="V43" i="6" s="1"/>
  <c r="W30" i="6"/>
  <c r="W26" i="6"/>
  <c r="W32" i="6"/>
  <c r="W13" i="6"/>
  <c r="S34" i="6"/>
  <c r="V34" i="6" s="1"/>
  <c r="S44" i="6"/>
  <c r="V44" i="6" s="1"/>
  <c r="W20" i="6"/>
  <c r="W34" i="6"/>
  <c r="W25" i="6"/>
  <c r="W41" i="6"/>
  <c r="W9" i="6"/>
  <c r="W22" i="6"/>
  <c r="W37" i="6"/>
  <c r="W44" i="6"/>
  <c r="W14" i="6"/>
  <c r="S45" i="6"/>
  <c r="V45" i="6" s="1"/>
  <c r="W17" i="6"/>
  <c r="W11" i="6"/>
  <c r="W21" i="6"/>
  <c r="W28" i="6"/>
  <c r="W38" i="6"/>
  <c r="S35" i="6"/>
  <c r="V35" i="6" s="1"/>
  <c r="S36" i="6"/>
  <c r="V36" i="6" s="1"/>
  <c r="S42" i="6"/>
  <c r="V42" i="6" s="1"/>
  <c r="W15" i="6"/>
  <c r="W40" i="6"/>
  <c r="W31" i="6"/>
  <c r="W10" i="6"/>
  <c r="W43" i="6"/>
  <c r="W27" i="6"/>
  <c r="W33" i="6"/>
  <c r="W48" i="6"/>
  <c r="W19" i="6"/>
  <c r="W29" i="6"/>
  <c r="W39" i="6"/>
  <c r="W12" i="6"/>
  <c r="S37" i="6"/>
  <c r="V37" i="6" s="1"/>
  <c r="S38" i="6"/>
  <c r="V38" i="6" s="1"/>
  <c r="S40" i="6"/>
  <c r="V40" i="6" s="1"/>
  <c r="W18" i="6"/>
  <c r="W42" i="6"/>
  <c r="W45" i="6"/>
  <c r="W23" i="6"/>
  <c r="W46" i="6"/>
  <c r="W35" i="6"/>
  <c r="W24" i="6"/>
  <c r="W47" i="6"/>
  <c r="W49" i="6"/>
  <c r="W16" i="6"/>
  <c r="W36" i="6"/>
  <c r="F70" i="38"/>
  <c r="P70" i="38" s="1"/>
  <c r="N54" i="16"/>
  <c r="AA55" i="38"/>
  <c r="N67" i="16"/>
  <c r="Q67" i="4" s="1"/>
  <c r="AA68" i="38"/>
  <c r="X18" i="6" l="1"/>
  <c r="X39" i="6"/>
  <c r="X32" i="6"/>
  <c r="X48" i="6"/>
  <c r="X29" i="6"/>
  <c r="X25" i="6"/>
  <c r="X33" i="6"/>
  <c r="X13" i="6"/>
  <c r="X35" i="6"/>
  <c r="X15" i="6"/>
  <c r="X17" i="6"/>
  <c r="X14" i="6"/>
  <c r="X43" i="6"/>
  <c r="X45" i="6"/>
  <c r="X24" i="6"/>
  <c r="X42" i="6"/>
  <c r="X31" i="6"/>
  <c r="X49" i="6"/>
  <c r="X12" i="6"/>
  <c r="X11" i="6"/>
  <c r="X37" i="6"/>
  <c r="X36" i="6"/>
  <c r="X22" i="6"/>
  <c r="X16" i="6"/>
  <c r="X34" i="6"/>
  <c r="X23" i="6"/>
  <c r="X41" i="6"/>
  <c r="X9" i="6"/>
  <c r="X20" i="6"/>
  <c r="X38" i="6"/>
  <c r="X19" i="6"/>
  <c r="X21" i="6"/>
  <c r="X47" i="6"/>
  <c r="X46" i="6"/>
  <c r="X40" i="6"/>
  <c r="X26" i="6"/>
  <c r="X44" i="6"/>
  <c r="X30" i="6"/>
  <c r="X10" i="6"/>
  <c r="X27" i="6"/>
  <c r="X28" i="6"/>
  <c r="E70" i="37"/>
  <c r="R66" i="4"/>
  <c r="I67" i="38" s="1"/>
  <c r="Q66" i="4"/>
  <c r="AB24" i="16" l="1"/>
  <c r="AC24" i="16"/>
  <c r="AB15" i="16"/>
  <c r="AC15" i="16"/>
  <c r="AB55" i="16"/>
  <c r="AC55" i="16"/>
  <c r="AB23" i="16"/>
  <c r="AC23" i="16"/>
  <c r="AB10" i="16"/>
  <c r="AC10" i="16"/>
  <c r="AB62" i="16"/>
  <c r="AC62" i="16"/>
  <c r="AB21" i="16"/>
  <c r="AC21" i="16"/>
  <c r="AB18" i="16"/>
  <c r="AC18" i="16"/>
  <c r="AB65" i="16"/>
  <c r="AC65" i="16"/>
  <c r="AB7" i="16"/>
  <c r="AC7" i="16"/>
  <c r="AB28" i="16"/>
  <c r="AC28" i="16"/>
  <c r="AB22" i="16"/>
  <c r="AC22" i="16"/>
  <c r="AB64" i="16"/>
  <c r="AC64" i="16"/>
  <c r="AB56" i="16"/>
  <c r="AC56" i="16"/>
  <c r="AB33" i="16"/>
  <c r="AC33" i="16"/>
  <c r="AB47" i="16"/>
  <c r="AC47" i="16"/>
  <c r="AB8" i="16"/>
  <c r="AC8" i="16"/>
  <c r="AB20" i="16"/>
  <c r="AC20" i="16"/>
  <c r="AB48" i="16"/>
  <c r="AC48" i="16"/>
  <c r="AB12" i="16"/>
  <c r="AC12" i="16"/>
  <c r="AB6" i="16"/>
  <c r="AC6" i="16"/>
  <c r="AB61" i="16"/>
  <c r="AC61" i="16"/>
  <c r="AB13" i="16"/>
  <c r="AC13" i="16"/>
  <c r="AB25" i="16"/>
  <c r="AC25" i="16"/>
  <c r="AB27" i="16"/>
  <c r="AC27" i="16"/>
  <c r="AB63" i="16"/>
  <c r="AC63" i="16"/>
  <c r="AB19" i="16"/>
  <c r="AC19" i="16"/>
  <c r="AB35" i="16"/>
  <c r="AC35" i="16"/>
  <c r="AB45" i="16"/>
  <c r="AC45" i="16"/>
  <c r="AB37" i="16"/>
  <c r="AC37" i="16"/>
  <c r="AB49" i="16"/>
  <c r="AC49" i="16"/>
  <c r="AB50" i="16"/>
  <c r="AC50" i="16"/>
  <c r="AB51" i="16"/>
  <c r="AC51" i="16"/>
  <c r="AB53" i="16"/>
  <c r="AC53" i="16"/>
  <c r="AB58" i="16"/>
  <c r="AC58" i="16"/>
  <c r="AB59" i="16"/>
  <c r="AC59" i="16"/>
  <c r="AB60" i="16"/>
  <c r="AC60" i="16"/>
  <c r="AB11" i="16"/>
  <c r="AC11" i="16"/>
  <c r="AC31" i="16"/>
  <c r="AB31" i="16"/>
  <c r="BZ31" i="16" l="1"/>
  <c r="BK31" i="16"/>
  <c r="AU31" i="16"/>
  <c r="AJ31" i="16"/>
  <c r="CA11" i="16"/>
  <c r="BL11" i="16"/>
  <c r="AV11" i="16"/>
  <c r="AK11" i="16"/>
  <c r="CA60" i="16"/>
  <c r="BL60" i="16"/>
  <c r="AV60" i="16"/>
  <c r="AK60" i="16"/>
  <c r="CA59" i="16"/>
  <c r="BL59" i="16"/>
  <c r="AV59" i="16"/>
  <c r="AK59" i="16"/>
  <c r="CA58" i="16"/>
  <c r="BL58" i="16"/>
  <c r="AV58" i="16"/>
  <c r="AK58" i="16"/>
  <c r="CA53" i="16"/>
  <c r="BL53" i="16"/>
  <c r="AV53" i="16"/>
  <c r="AK53" i="16"/>
  <c r="CA51" i="16"/>
  <c r="BL51" i="16"/>
  <c r="AV51" i="16"/>
  <c r="AK51" i="16"/>
  <c r="CA50" i="16"/>
  <c r="BL50" i="16"/>
  <c r="AV50" i="16"/>
  <c r="AK50" i="16"/>
  <c r="CA49" i="16"/>
  <c r="BL49" i="16"/>
  <c r="AV49" i="16"/>
  <c r="AK49" i="16"/>
  <c r="CA37" i="16"/>
  <c r="BL37" i="16"/>
  <c r="AV37" i="16"/>
  <c r="AK37" i="16"/>
  <c r="CA45" i="16"/>
  <c r="BL45" i="16"/>
  <c r="AV45" i="16"/>
  <c r="AK45" i="16"/>
  <c r="CA35" i="16"/>
  <c r="BL35" i="16"/>
  <c r="AV35" i="16"/>
  <c r="AK35" i="16"/>
  <c r="CA19" i="16"/>
  <c r="BL19" i="16"/>
  <c r="AV19" i="16"/>
  <c r="AK19" i="16"/>
  <c r="CA63" i="16"/>
  <c r="BL63" i="16"/>
  <c r="AV63" i="16"/>
  <c r="AK63" i="16"/>
  <c r="CA27" i="16"/>
  <c r="BL27" i="16"/>
  <c r="AV27" i="16"/>
  <c r="AK27" i="16"/>
  <c r="CA25" i="16"/>
  <c r="BL25" i="16"/>
  <c r="AV25" i="16"/>
  <c r="AK25" i="16"/>
  <c r="CA13" i="16"/>
  <c r="BL13" i="16"/>
  <c r="AV13" i="16"/>
  <c r="AK13" i="16"/>
  <c r="CA61" i="16"/>
  <c r="BL61" i="16"/>
  <c r="AV61" i="16"/>
  <c r="AK61" i="16"/>
  <c r="CA6" i="16"/>
  <c r="BL6" i="16"/>
  <c r="AV6" i="16"/>
  <c r="AK6" i="16"/>
  <c r="CA12" i="16"/>
  <c r="BL12" i="16"/>
  <c r="AV12" i="16"/>
  <c r="AK12" i="16"/>
  <c r="CA48" i="16"/>
  <c r="BL48" i="16"/>
  <c r="AV48" i="16"/>
  <c r="AK48" i="16"/>
  <c r="CA20" i="16"/>
  <c r="BL20" i="16"/>
  <c r="AV20" i="16"/>
  <c r="AK20" i="16"/>
  <c r="CA8" i="16"/>
  <c r="BL8" i="16"/>
  <c r="AV8" i="16"/>
  <c r="AK8" i="16"/>
  <c r="CA47" i="16"/>
  <c r="BL47" i="16"/>
  <c r="AV47" i="16"/>
  <c r="AK47" i="16"/>
  <c r="CA33" i="16"/>
  <c r="BL33" i="16"/>
  <c r="AV33" i="16"/>
  <c r="AK33" i="16"/>
  <c r="CA56" i="16"/>
  <c r="BL56" i="16"/>
  <c r="AV56" i="16"/>
  <c r="AK56" i="16"/>
  <c r="CA64" i="16"/>
  <c r="BL64" i="16"/>
  <c r="AV64" i="16"/>
  <c r="AK64" i="16"/>
  <c r="CA22" i="16"/>
  <c r="BL22" i="16"/>
  <c r="AV22" i="16"/>
  <c r="AK22" i="16"/>
  <c r="CA28" i="16"/>
  <c r="BL28" i="16"/>
  <c r="AV28" i="16"/>
  <c r="AK28" i="16"/>
  <c r="CA7" i="16"/>
  <c r="BL7" i="16"/>
  <c r="AV7" i="16"/>
  <c r="AK7" i="16"/>
  <c r="CA65" i="16"/>
  <c r="BL65" i="16"/>
  <c r="AV65" i="16"/>
  <c r="AK65" i="16"/>
  <c r="CA18" i="16"/>
  <c r="BL18" i="16"/>
  <c r="AV18" i="16"/>
  <c r="AK18" i="16"/>
  <c r="CA21" i="16"/>
  <c r="BL21" i="16"/>
  <c r="AV21" i="16"/>
  <c r="AK21" i="16"/>
  <c r="CA62" i="16"/>
  <c r="BL62" i="16"/>
  <c r="AV62" i="16"/>
  <c r="AK62" i="16"/>
  <c r="CA10" i="16"/>
  <c r="BL10" i="16"/>
  <c r="AV10" i="16"/>
  <c r="AK10" i="16"/>
  <c r="CA23" i="16"/>
  <c r="BL23" i="16"/>
  <c r="AV23" i="16"/>
  <c r="AK23" i="16"/>
  <c r="CA55" i="16"/>
  <c r="BL55" i="16"/>
  <c r="AV55" i="16"/>
  <c r="AK55" i="16"/>
  <c r="CA15" i="16"/>
  <c r="BL15" i="16"/>
  <c r="AV15" i="16"/>
  <c r="AK15" i="16"/>
  <c r="CA24" i="16"/>
  <c r="BL24" i="16"/>
  <c r="AV24" i="16"/>
  <c r="AK24" i="16"/>
  <c r="CA31" i="16"/>
  <c r="BL31" i="16"/>
  <c r="AV31" i="16"/>
  <c r="AK31" i="16"/>
  <c r="BZ11" i="16"/>
  <c r="BK11" i="16"/>
  <c r="AJ11" i="16"/>
  <c r="AU11" i="16"/>
  <c r="BZ60" i="16"/>
  <c r="BK60" i="16"/>
  <c r="AU60" i="16"/>
  <c r="AJ60" i="16"/>
  <c r="BZ59" i="16"/>
  <c r="BK59" i="16"/>
  <c r="AU59" i="16"/>
  <c r="AJ59" i="16"/>
  <c r="BZ58" i="16"/>
  <c r="BK58" i="16"/>
  <c r="AU58" i="16"/>
  <c r="AJ58" i="16"/>
  <c r="BZ53" i="16"/>
  <c r="BK53" i="16"/>
  <c r="AU53" i="16"/>
  <c r="AJ53" i="16"/>
  <c r="BZ51" i="16"/>
  <c r="BK51" i="16"/>
  <c r="AU51" i="16"/>
  <c r="AJ51" i="16"/>
  <c r="BZ50" i="16"/>
  <c r="BK50" i="16"/>
  <c r="AU50" i="16"/>
  <c r="AJ50" i="16"/>
  <c r="BZ49" i="16"/>
  <c r="BK49" i="16"/>
  <c r="AU49" i="16"/>
  <c r="AJ49" i="16"/>
  <c r="BZ37" i="16"/>
  <c r="BK37" i="16"/>
  <c r="AU37" i="16"/>
  <c r="AJ37" i="16"/>
  <c r="BZ45" i="16"/>
  <c r="BK45" i="16"/>
  <c r="AU45" i="16"/>
  <c r="AJ45" i="16"/>
  <c r="BZ35" i="16"/>
  <c r="BK35" i="16"/>
  <c r="AU35" i="16"/>
  <c r="AJ35" i="16"/>
  <c r="BZ19" i="16"/>
  <c r="BK19" i="16"/>
  <c r="AU19" i="16"/>
  <c r="AJ19" i="16"/>
  <c r="BZ63" i="16"/>
  <c r="BK63" i="16"/>
  <c r="AU63" i="16"/>
  <c r="AJ63" i="16"/>
  <c r="BZ27" i="16"/>
  <c r="BK27" i="16"/>
  <c r="AU27" i="16"/>
  <c r="AJ27" i="16"/>
  <c r="BZ25" i="16"/>
  <c r="BK25" i="16"/>
  <c r="AU25" i="16"/>
  <c r="AJ25" i="16"/>
  <c r="BZ13" i="16"/>
  <c r="BK13" i="16"/>
  <c r="AJ13" i="16"/>
  <c r="AU13" i="16"/>
  <c r="BZ61" i="16"/>
  <c r="BK61" i="16"/>
  <c r="AU61" i="16"/>
  <c r="AJ61" i="16"/>
  <c r="BZ6" i="16"/>
  <c r="BK6" i="16"/>
  <c r="AJ6" i="16"/>
  <c r="AU6" i="16"/>
  <c r="BZ12" i="16"/>
  <c r="BK12" i="16"/>
  <c r="AJ12" i="16"/>
  <c r="AU12" i="16"/>
  <c r="BZ48" i="16"/>
  <c r="BK48" i="16"/>
  <c r="AU48" i="16"/>
  <c r="AJ48" i="16"/>
  <c r="BZ20" i="16"/>
  <c r="BK20" i="16"/>
  <c r="AU20" i="16"/>
  <c r="AJ20" i="16"/>
  <c r="BZ8" i="16"/>
  <c r="BK8" i="16"/>
  <c r="AJ8" i="16"/>
  <c r="AU8" i="16"/>
  <c r="BZ47" i="16"/>
  <c r="BK47" i="16"/>
  <c r="AU47" i="16"/>
  <c r="AJ47" i="16"/>
  <c r="BZ33" i="16"/>
  <c r="BK33" i="16"/>
  <c r="AU33" i="16"/>
  <c r="AJ33" i="16"/>
  <c r="BZ56" i="16"/>
  <c r="BK56" i="16"/>
  <c r="AU56" i="16"/>
  <c r="AJ56" i="16"/>
  <c r="BZ64" i="16"/>
  <c r="BK64" i="16"/>
  <c r="AU64" i="16"/>
  <c r="AJ64" i="16"/>
  <c r="BZ22" i="16"/>
  <c r="BK22" i="16"/>
  <c r="AU22" i="16"/>
  <c r="AJ22" i="16"/>
  <c r="BZ28" i="16"/>
  <c r="BK28" i="16"/>
  <c r="AU28" i="16"/>
  <c r="AJ28" i="16"/>
  <c r="BZ7" i="16"/>
  <c r="BK7" i="16"/>
  <c r="AJ7" i="16"/>
  <c r="AU7" i="16"/>
  <c r="BZ65" i="16"/>
  <c r="BK65" i="16"/>
  <c r="AU65" i="16"/>
  <c r="AJ65" i="16"/>
  <c r="BZ18" i="16"/>
  <c r="BK18" i="16"/>
  <c r="AJ18" i="16"/>
  <c r="AU18" i="16"/>
  <c r="BZ21" i="16"/>
  <c r="BK21" i="16"/>
  <c r="AU21" i="16"/>
  <c r="AJ21" i="16"/>
  <c r="BZ62" i="16"/>
  <c r="BK62" i="16"/>
  <c r="AU62" i="16"/>
  <c r="AJ62" i="16"/>
  <c r="BZ10" i="16"/>
  <c r="BK10" i="16"/>
  <c r="AJ10" i="16"/>
  <c r="AU10" i="16"/>
  <c r="BZ23" i="16"/>
  <c r="BK23" i="16"/>
  <c r="AU23" i="16"/>
  <c r="AJ23" i="16"/>
  <c r="BZ55" i="16"/>
  <c r="BK55" i="16"/>
  <c r="AU55" i="16"/>
  <c r="AJ55" i="16"/>
  <c r="BZ15" i="16"/>
  <c r="BK15" i="16"/>
  <c r="AJ15" i="16"/>
  <c r="AU15" i="16"/>
  <c r="BZ24" i="16"/>
  <c r="BK24" i="16"/>
  <c r="AU24" i="16"/>
  <c r="AJ24" i="16"/>
  <c r="AD60" i="16"/>
  <c r="AE60" i="16"/>
  <c r="AD51" i="16"/>
  <c r="AE51" i="16"/>
  <c r="AD45" i="16"/>
  <c r="AE45" i="16"/>
  <c r="AD63" i="16"/>
  <c r="AE63" i="16"/>
  <c r="AD61" i="16"/>
  <c r="AE61" i="16"/>
  <c r="AD48" i="16"/>
  <c r="AE48" i="16"/>
  <c r="AD33" i="16"/>
  <c r="AE33" i="16"/>
  <c r="AD22" i="16"/>
  <c r="AE22" i="16"/>
  <c r="AD18" i="16"/>
  <c r="AE18" i="16"/>
  <c r="AD59" i="16"/>
  <c r="AE59" i="16"/>
  <c r="AD50" i="16"/>
  <c r="AE50" i="16"/>
  <c r="AD35" i="16"/>
  <c r="AE35" i="16"/>
  <c r="AD27" i="16"/>
  <c r="AE27" i="16"/>
  <c r="AD6" i="16"/>
  <c r="AE6" i="16"/>
  <c r="AD20" i="16"/>
  <c r="AE20" i="16"/>
  <c r="AD28" i="16"/>
  <c r="AE28" i="16"/>
  <c r="AD21" i="16"/>
  <c r="AE21" i="16"/>
  <c r="AD23" i="16"/>
  <c r="AE23" i="16"/>
  <c r="AD15" i="16"/>
  <c r="AE15" i="16"/>
  <c r="AE31" i="16"/>
  <c r="AD31" i="16"/>
  <c r="AD58" i="16"/>
  <c r="AE58" i="16"/>
  <c r="AD49" i="16"/>
  <c r="AE49" i="16"/>
  <c r="AD19" i="16"/>
  <c r="AE19" i="16"/>
  <c r="AD25" i="16"/>
  <c r="AE25" i="16"/>
  <c r="AD8" i="16"/>
  <c r="AE8" i="16"/>
  <c r="AD56" i="16"/>
  <c r="AE56" i="16"/>
  <c r="AD7" i="16"/>
  <c r="AE7" i="16"/>
  <c r="AD62" i="16"/>
  <c r="AE62" i="16"/>
  <c r="AD55" i="16"/>
  <c r="AE55" i="16"/>
  <c r="AD24" i="16"/>
  <c r="AE24" i="16"/>
  <c r="AE11" i="16"/>
  <c r="AD11" i="16"/>
  <c r="AD53" i="16"/>
  <c r="AE53" i="16"/>
  <c r="AE37" i="16"/>
  <c r="AD37" i="16"/>
  <c r="AE13" i="16"/>
  <c r="AD13" i="16"/>
  <c r="AD12" i="16"/>
  <c r="AE12" i="16"/>
  <c r="AE47" i="16"/>
  <c r="AD47" i="16"/>
  <c r="AE64" i="16"/>
  <c r="AD64" i="16"/>
  <c r="AE65" i="16"/>
  <c r="AD65" i="16"/>
  <c r="AD10" i="16"/>
  <c r="AE10" i="16"/>
  <c r="CB10" i="16" l="1"/>
  <c r="BM10" i="16"/>
  <c r="AL10" i="16"/>
  <c r="AW10" i="16"/>
  <c r="CC65" i="16"/>
  <c r="BN65" i="16"/>
  <c r="AX65" i="16"/>
  <c r="AM65" i="16"/>
  <c r="CC47" i="16"/>
  <c r="BN47" i="16"/>
  <c r="AX47" i="16"/>
  <c r="AM47" i="16"/>
  <c r="CB12" i="16"/>
  <c r="BM12" i="16"/>
  <c r="AL12" i="16"/>
  <c r="AW12" i="16"/>
  <c r="CC37" i="16"/>
  <c r="BN37" i="16"/>
  <c r="AX37" i="16"/>
  <c r="AM37" i="16"/>
  <c r="CB53" i="16"/>
  <c r="BM53" i="16"/>
  <c r="AW53" i="16"/>
  <c r="AL53" i="16"/>
  <c r="CB24" i="16"/>
  <c r="BM24" i="16"/>
  <c r="AW24" i="16"/>
  <c r="AL24" i="16"/>
  <c r="CB55" i="16"/>
  <c r="BM55" i="16"/>
  <c r="AW55" i="16"/>
  <c r="AL55" i="16"/>
  <c r="CB7" i="16"/>
  <c r="BM7" i="16"/>
  <c r="AL7" i="16"/>
  <c r="AW7" i="16"/>
  <c r="CB8" i="16"/>
  <c r="BM8" i="16"/>
  <c r="AL8" i="16"/>
  <c r="AW8" i="16"/>
  <c r="CB25" i="16"/>
  <c r="BM25" i="16"/>
  <c r="AW25" i="16"/>
  <c r="AL25" i="16"/>
  <c r="CB19" i="16"/>
  <c r="BM19" i="16"/>
  <c r="AW19" i="16"/>
  <c r="AL19" i="16"/>
  <c r="CB58" i="16"/>
  <c r="BM58" i="16"/>
  <c r="AW58" i="16"/>
  <c r="AL58" i="16"/>
  <c r="CB15" i="16"/>
  <c r="BM15" i="16"/>
  <c r="AL15" i="16"/>
  <c r="AW15" i="16"/>
  <c r="CB21" i="16"/>
  <c r="BM21" i="16"/>
  <c r="AW21" i="16"/>
  <c r="AL21" i="16"/>
  <c r="CB28" i="16"/>
  <c r="BM28" i="16"/>
  <c r="AW28" i="16"/>
  <c r="AL28" i="16"/>
  <c r="CB6" i="16"/>
  <c r="BM6" i="16"/>
  <c r="AL6" i="16"/>
  <c r="AW6" i="16"/>
  <c r="CB27" i="16"/>
  <c r="BM27" i="16"/>
  <c r="AW27" i="16"/>
  <c r="AL27" i="16"/>
  <c r="CB50" i="16"/>
  <c r="BM50" i="16"/>
  <c r="AW50" i="16"/>
  <c r="AL50" i="16"/>
  <c r="CB18" i="16"/>
  <c r="BM18" i="16"/>
  <c r="AL18" i="16"/>
  <c r="AW18" i="16"/>
  <c r="CB22" i="16"/>
  <c r="BM22" i="16"/>
  <c r="AW22" i="16"/>
  <c r="AL22" i="16"/>
  <c r="CB48" i="16"/>
  <c r="BM48" i="16"/>
  <c r="AW48" i="16"/>
  <c r="AL48" i="16"/>
  <c r="CB63" i="16"/>
  <c r="BM63" i="16"/>
  <c r="AW63" i="16"/>
  <c r="AL63" i="16"/>
  <c r="CB45" i="16"/>
  <c r="BM45" i="16"/>
  <c r="AW45" i="16"/>
  <c r="AL45" i="16"/>
  <c r="CB60" i="16"/>
  <c r="BM60" i="16"/>
  <c r="AW60" i="16"/>
  <c r="AL60" i="16"/>
  <c r="CC10" i="16"/>
  <c r="BN10" i="16"/>
  <c r="AX10" i="16"/>
  <c r="AM10" i="16"/>
  <c r="CB65" i="16"/>
  <c r="BM65" i="16"/>
  <c r="AW65" i="16"/>
  <c r="AL65" i="16"/>
  <c r="CB64" i="16"/>
  <c r="BM64" i="16"/>
  <c r="AW64" i="16"/>
  <c r="AL64" i="16"/>
  <c r="CB47" i="16"/>
  <c r="BM47" i="16"/>
  <c r="AW47" i="16"/>
  <c r="AL47" i="16"/>
  <c r="CC12" i="16"/>
  <c r="BN12" i="16"/>
  <c r="AX12" i="16"/>
  <c r="AM12" i="16"/>
  <c r="CB13" i="16"/>
  <c r="BM13" i="16"/>
  <c r="AL13" i="16"/>
  <c r="AW13" i="16"/>
  <c r="CB37" i="16"/>
  <c r="BM37" i="16"/>
  <c r="AW37" i="16"/>
  <c r="AL37" i="16"/>
  <c r="CC53" i="16"/>
  <c r="BN53" i="16"/>
  <c r="AX53" i="16"/>
  <c r="AM53" i="16"/>
  <c r="CB11" i="16"/>
  <c r="BM11" i="16"/>
  <c r="AL11" i="16"/>
  <c r="AW11" i="16"/>
  <c r="CC24" i="16"/>
  <c r="BN24" i="16"/>
  <c r="AX24" i="16"/>
  <c r="AM24" i="16"/>
  <c r="CC55" i="16"/>
  <c r="BN55" i="16"/>
  <c r="AX55" i="16"/>
  <c r="AM55" i="16"/>
  <c r="CC62" i="16"/>
  <c r="BN62" i="16"/>
  <c r="AX62" i="16"/>
  <c r="AM62" i="16"/>
  <c r="CC7" i="16"/>
  <c r="BN7" i="16"/>
  <c r="AX7" i="16"/>
  <c r="AM7" i="16"/>
  <c r="CC56" i="16"/>
  <c r="BN56" i="16"/>
  <c r="AX56" i="16"/>
  <c r="AM56" i="16"/>
  <c r="CC8" i="16"/>
  <c r="BN8" i="16"/>
  <c r="AX8" i="16"/>
  <c r="AM8" i="16"/>
  <c r="CC25" i="16"/>
  <c r="BN25" i="16"/>
  <c r="AX25" i="16"/>
  <c r="AM25" i="16"/>
  <c r="CC19" i="16"/>
  <c r="BN19" i="16"/>
  <c r="AX19" i="16"/>
  <c r="AM19" i="16"/>
  <c r="CC49" i="16"/>
  <c r="BN49" i="16"/>
  <c r="AX49" i="16"/>
  <c r="AM49" i="16"/>
  <c r="CC58" i="16"/>
  <c r="BN58" i="16"/>
  <c r="AX58" i="16"/>
  <c r="AM58" i="16"/>
  <c r="CB31" i="16"/>
  <c r="BM31" i="16"/>
  <c r="AW31" i="16"/>
  <c r="AL31" i="16"/>
  <c r="CC15" i="16"/>
  <c r="BN15" i="16"/>
  <c r="AX15" i="16"/>
  <c r="AM15" i="16"/>
  <c r="CC23" i="16"/>
  <c r="BN23" i="16"/>
  <c r="AX23" i="16"/>
  <c r="AM23" i="16"/>
  <c r="CC21" i="16"/>
  <c r="BN21" i="16"/>
  <c r="AX21" i="16"/>
  <c r="AM21" i="16"/>
  <c r="CC28" i="16"/>
  <c r="BN28" i="16"/>
  <c r="AX28" i="16"/>
  <c r="AM28" i="16"/>
  <c r="CC20" i="16"/>
  <c r="BN20" i="16"/>
  <c r="AX20" i="16"/>
  <c r="AM20" i="16"/>
  <c r="CC6" i="16"/>
  <c r="BN6" i="16"/>
  <c r="AX6" i="16"/>
  <c r="AM6" i="16"/>
  <c r="CC27" i="16"/>
  <c r="BN27" i="16"/>
  <c r="AX27" i="16"/>
  <c r="AM27" i="16"/>
  <c r="CC35" i="16"/>
  <c r="BN35" i="16"/>
  <c r="AX35" i="16"/>
  <c r="AM35" i="16"/>
  <c r="CC50" i="16"/>
  <c r="BN50" i="16"/>
  <c r="AX50" i="16"/>
  <c r="AM50" i="16"/>
  <c r="CC59" i="16"/>
  <c r="BN59" i="16"/>
  <c r="AX59" i="16"/>
  <c r="AM59" i="16"/>
  <c r="CC18" i="16"/>
  <c r="BN18" i="16"/>
  <c r="AX18" i="16"/>
  <c r="AM18" i="16"/>
  <c r="CC22" i="16"/>
  <c r="BN22" i="16"/>
  <c r="AX22" i="16"/>
  <c r="AM22" i="16"/>
  <c r="CC33" i="16"/>
  <c r="BN33" i="16"/>
  <c r="AX33" i="16"/>
  <c r="AM33" i="16"/>
  <c r="CC48" i="16"/>
  <c r="BN48" i="16"/>
  <c r="AX48" i="16"/>
  <c r="AM48" i="16"/>
  <c r="CC61" i="16"/>
  <c r="BN61" i="16"/>
  <c r="AX61" i="16"/>
  <c r="AM61" i="16"/>
  <c r="CC63" i="16"/>
  <c r="BN63" i="16"/>
  <c r="AX63" i="16"/>
  <c r="AM63" i="16"/>
  <c r="CC45" i="16"/>
  <c r="BN45" i="16"/>
  <c r="AX45" i="16"/>
  <c r="AM45" i="16"/>
  <c r="CC51" i="16"/>
  <c r="BN51" i="16"/>
  <c r="AX51" i="16"/>
  <c r="AM51" i="16"/>
  <c r="CC60" i="16"/>
  <c r="BN60" i="16"/>
  <c r="AX60" i="16"/>
  <c r="AM60" i="16"/>
  <c r="CC64" i="16"/>
  <c r="BN64" i="16"/>
  <c r="AX64" i="16"/>
  <c r="AM64" i="16"/>
  <c r="CC13" i="16"/>
  <c r="BN13" i="16"/>
  <c r="AX13" i="16"/>
  <c r="AM13" i="16"/>
  <c r="CC11" i="16"/>
  <c r="BN11" i="16"/>
  <c r="AX11" i="16"/>
  <c r="AM11" i="16"/>
  <c r="CB62" i="16"/>
  <c r="BM62" i="16"/>
  <c r="AW62" i="16"/>
  <c r="AL62" i="16"/>
  <c r="CB56" i="16"/>
  <c r="BM56" i="16"/>
  <c r="AW56" i="16"/>
  <c r="AL56" i="16"/>
  <c r="CB49" i="16"/>
  <c r="BM49" i="16"/>
  <c r="AW49" i="16"/>
  <c r="AL49" i="16"/>
  <c r="CC31" i="16"/>
  <c r="BN31" i="16"/>
  <c r="AX31" i="16"/>
  <c r="AM31" i="16"/>
  <c r="CB23" i="16"/>
  <c r="BM23" i="16"/>
  <c r="AW23" i="16"/>
  <c r="AL23" i="16"/>
  <c r="CB20" i="16"/>
  <c r="BM20" i="16"/>
  <c r="AW20" i="16"/>
  <c r="AL20" i="16"/>
  <c r="CB35" i="16"/>
  <c r="BM35" i="16"/>
  <c r="AW35" i="16"/>
  <c r="AL35" i="16"/>
  <c r="CB59" i="16"/>
  <c r="BM59" i="16"/>
  <c r="AW59" i="16"/>
  <c r="AL59" i="16"/>
  <c r="CB33" i="16"/>
  <c r="BM33" i="16"/>
  <c r="AW33" i="16"/>
  <c r="AL33" i="16"/>
  <c r="CB61" i="16"/>
  <c r="BM61" i="16"/>
  <c r="AW61" i="16"/>
  <c r="AL61" i="16"/>
  <c r="CB51" i="16"/>
  <c r="BM51" i="16"/>
  <c r="AW51" i="16"/>
  <c r="AL51" i="16"/>
  <c r="AA60" i="16" l="1"/>
  <c r="AA18" i="16"/>
  <c r="AA15" i="16"/>
  <c r="AA56" i="16"/>
  <c r="AA24" i="16"/>
  <c r="AA50" i="16"/>
  <c r="AA23" i="16"/>
  <c r="AA8" i="16"/>
  <c r="AA58" i="16"/>
  <c r="AA62" i="16"/>
  <c r="AA53" i="16"/>
  <c r="AA12" i="16"/>
  <c r="AA10" i="16"/>
  <c r="AA61" i="16"/>
  <c r="AA19" i="16"/>
  <c r="AA20" i="16"/>
  <c r="AA49" i="16"/>
  <c r="AA33" i="16"/>
  <c r="AA27" i="16"/>
  <c r="AA31" i="16"/>
  <c r="AA64" i="16"/>
  <c r="AA51" i="16"/>
  <c r="AA55" i="16"/>
  <c r="AA11" i="16"/>
  <c r="AA37" i="16"/>
  <c r="AA47" i="16"/>
  <c r="AA63" i="16"/>
  <c r="AA59" i="16"/>
  <c r="AA21" i="16"/>
  <c r="AA28" i="16"/>
  <c r="AA25" i="16"/>
  <c r="AA7" i="16"/>
  <c r="AA48" i="16"/>
  <c r="AA35" i="16"/>
  <c r="AA45" i="16"/>
  <c r="AA22" i="16"/>
  <c r="AA6" i="16"/>
  <c r="AA13" i="16"/>
  <c r="AA65" i="16"/>
  <c r="BV65" i="16" l="1"/>
  <c r="BX65" i="16"/>
  <c r="BW65" i="16"/>
  <c r="BY65" i="16"/>
  <c r="BH65" i="16"/>
  <c r="BJ65" i="16"/>
  <c r="BG65" i="16"/>
  <c r="BO65" i="16" s="1"/>
  <c r="BI65" i="16"/>
  <c r="AT65" i="16"/>
  <c r="AR65" i="16"/>
  <c r="AS65" i="16"/>
  <c r="AQ65" i="16"/>
  <c r="AY65" i="16" s="1"/>
  <c r="AG65" i="16"/>
  <c r="AI65" i="16"/>
  <c r="AF65" i="16"/>
  <c r="AH65" i="16"/>
  <c r="BV13" i="16"/>
  <c r="CD13" i="16" s="1"/>
  <c r="BX13" i="16"/>
  <c r="BW13" i="16"/>
  <c r="BY13" i="16"/>
  <c r="BG13" i="16"/>
  <c r="BO13" i="16" s="1"/>
  <c r="BI13" i="16"/>
  <c r="BH13" i="16"/>
  <c r="BJ13" i="16"/>
  <c r="AT13" i="16"/>
  <c r="AR13" i="16"/>
  <c r="AF13" i="16"/>
  <c r="AH13" i="16"/>
  <c r="AS13" i="16"/>
  <c r="AQ13" i="16"/>
  <c r="AY13" i="16" s="1"/>
  <c r="AG13" i="16"/>
  <c r="AI13" i="16"/>
  <c r="BV6" i="16"/>
  <c r="CD6" i="16" s="1"/>
  <c r="BX6" i="16"/>
  <c r="BW6" i="16"/>
  <c r="BY6" i="16"/>
  <c r="BG6" i="16"/>
  <c r="BO6" i="16" s="1"/>
  <c r="BI6" i="16"/>
  <c r="BH6" i="16"/>
  <c r="BJ6" i="16"/>
  <c r="AT6" i="16"/>
  <c r="AR6" i="16"/>
  <c r="AF6" i="16"/>
  <c r="AH6" i="16"/>
  <c r="AS6" i="16"/>
  <c r="AQ6" i="16"/>
  <c r="AY6" i="16" s="1"/>
  <c r="AG6" i="16"/>
  <c r="AI6" i="16"/>
  <c r="BV22" i="16"/>
  <c r="CD22" i="16" s="1"/>
  <c r="BX22" i="16"/>
  <c r="BW22" i="16"/>
  <c r="BY22" i="16"/>
  <c r="BG22" i="16"/>
  <c r="BO22" i="16" s="1"/>
  <c r="BI22" i="16"/>
  <c r="BH22" i="16"/>
  <c r="BJ22" i="16"/>
  <c r="AT22" i="16"/>
  <c r="AR22" i="16"/>
  <c r="AS22" i="16"/>
  <c r="AQ22" i="16"/>
  <c r="AY22" i="16" s="1"/>
  <c r="AG22" i="16"/>
  <c r="AI22" i="16"/>
  <c r="AF22" i="16"/>
  <c r="AH22" i="16"/>
  <c r="BV45" i="16"/>
  <c r="CD45" i="16" s="1"/>
  <c r="BX45" i="16"/>
  <c r="BW45" i="16"/>
  <c r="BY45" i="16"/>
  <c r="BH45" i="16"/>
  <c r="BJ45" i="16"/>
  <c r="BG45" i="16"/>
  <c r="BO45" i="16" s="1"/>
  <c r="BI45" i="16"/>
  <c r="AT45" i="16"/>
  <c r="AR45" i="16"/>
  <c r="AS45" i="16"/>
  <c r="AQ45" i="16"/>
  <c r="AY45" i="16" s="1"/>
  <c r="AG45" i="16"/>
  <c r="AI45" i="16"/>
  <c r="AF45" i="16"/>
  <c r="AH45" i="16"/>
  <c r="BV35" i="16"/>
  <c r="CD35" i="16" s="1"/>
  <c r="BX35" i="16"/>
  <c r="BW35" i="16"/>
  <c r="BY35" i="16"/>
  <c r="BG35" i="16"/>
  <c r="BO35" i="16" s="1"/>
  <c r="BI35" i="16"/>
  <c r="BH35" i="16"/>
  <c r="BJ35" i="16"/>
  <c r="AT35" i="16"/>
  <c r="AR35" i="16"/>
  <c r="AS35" i="16"/>
  <c r="AQ35" i="16"/>
  <c r="AY35" i="16" s="1"/>
  <c r="AG35" i="16"/>
  <c r="AI35" i="16"/>
  <c r="AF35" i="16"/>
  <c r="AH35" i="16"/>
  <c r="BV48" i="16"/>
  <c r="CD48" i="16" s="1"/>
  <c r="BX48" i="16"/>
  <c r="BW48" i="16"/>
  <c r="BY48" i="16"/>
  <c r="BH48" i="16"/>
  <c r="BJ48" i="16"/>
  <c r="BG48" i="16"/>
  <c r="BO48" i="16" s="1"/>
  <c r="BI48" i="16"/>
  <c r="AT48" i="16"/>
  <c r="AR48" i="16"/>
  <c r="AS48" i="16"/>
  <c r="AQ48" i="16"/>
  <c r="AY48" i="16" s="1"/>
  <c r="AG48" i="16"/>
  <c r="AI48" i="16"/>
  <c r="AF48" i="16"/>
  <c r="AH48" i="16"/>
  <c r="BV7" i="16"/>
  <c r="CD7" i="16" s="1"/>
  <c r="BX7" i="16"/>
  <c r="BW7" i="16"/>
  <c r="BY7" i="16"/>
  <c r="BG7" i="16"/>
  <c r="BO7" i="16" s="1"/>
  <c r="BI7" i="16"/>
  <c r="BH7" i="16"/>
  <c r="BJ7" i="16"/>
  <c r="AT7" i="16"/>
  <c r="AR7" i="16"/>
  <c r="AF7" i="16"/>
  <c r="AH7" i="16"/>
  <c r="AS7" i="16"/>
  <c r="AQ7" i="16"/>
  <c r="AY7" i="16" s="1"/>
  <c r="AG7" i="16"/>
  <c r="AI7" i="16"/>
  <c r="BV25" i="16"/>
  <c r="CD25" i="16" s="1"/>
  <c r="BX25" i="16"/>
  <c r="BW25" i="16"/>
  <c r="BY25" i="16"/>
  <c r="BG25" i="16"/>
  <c r="BO25" i="16" s="1"/>
  <c r="BI25" i="16"/>
  <c r="BH25" i="16"/>
  <c r="BJ25" i="16"/>
  <c r="AT25" i="16"/>
  <c r="AR25" i="16"/>
  <c r="AS25" i="16"/>
  <c r="AQ25" i="16"/>
  <c r="AY25" i="16" s="1"/>
  <c r="AG25" i="16"/>
  <c r="AI25" i="16"/>
  <c r="AF25" i="16"/>
  <c r="AH25" i="16"/>
  <c r="BV28" i="16"/>
  <c r="CD28" i="16" s="1"/>
  <c r="BX28" i="16"/>
  <c r="BW28" i="16"/>
  <c r="BY28" i="16"/>
  <c r="BG28" i="16"/>
  <c r="BO28" i="16" s="1"/>
  <c r="BI28" i="16"/>
  <c r="BH28" i="16"/>
  <c r="BJ28" i="16"/>
  <c r="AT28" i="16"/>
  <c r="AR28" i="16"/>
  <c r="AS28" i="16"/>
  <c r="AQ28" i="16"/>
  <c r="AY28" i="16" s="1"/>
  <c r="AG28" i="16"/>
  <c r="AI28" i="16"/>
  <c r="AF28" i="16"/>
  <c r="AH28" i="16"/>
  <c r="BV21" i="16"/>
  <c r="CD21" i="16" s="1"/>
  <c r="BX21" i="16"/>
  <c r="BW21" i="16"/>
  <c r="BY21" i="16"/>
  <c r="BG21" i="16"/>
  <c r="BO21" i="16" s="1"/>
  <c r="BI21" i="16"/>
  <c r="BH21" i="16"/>
  <c r="BJ21" i="16"/>
  <c r="AT21" i="16"/>
  <c r="AR21" i="16"/>
  <c r="AS21" i="16"/>
  <c r="AQ21" i="16"/>
  <c r="AY21" i="16" s="1"/>
  <c r="AG21" i="16"/>
  <c r="AI21" i="16"/>
  <c r="AF21" i="16"/>
  <c r="AH21" i="16"/>
  <c r="BV59" i="16"/>
  <c r="CD59" i="16" s="1"/>
  <c r="BX59" i="16"/>
  <c r="BW59" i="16"/>
  <c r="BY59" i="16"/>
  <c r="BH59" i="16"/>
  <c r="BJ59" i="16"/>
  <c r="BG59" i="16"/>
  <c r="BO59" i="16" s="1"/>
  <c r="BI59" i="16"/>
  <c r="AT59" i="16"/>
  <c r="AR59" i="16"/>
  <c r="AS59" i="16"/>
  <c r="AQ59" i="16"/>
  <c r="AY59" i="16" s="1"/>
  <c r="AG59" i="16"/>
  <c r="AI59" i="16"/>
  <c r="AF59" i="16"/>
  <c r="AH59" i="16"/>
  <c r="BV63" i="16"/>
  <c r="CD63" i="16" s="1"/>
  <c r="BX63" i="16"/>
  <c r="BW63" i="16"/>
  <c r="BY63" i="16"/>
  <c r="BH63" i="16"/>
  <c r="BJ63" i="16"/>
  <c r="BG63" i="16"/>
  <c r="BO63" i="16" s="1"/>
  <c r="BI63" i="16"/>
  <c r="AT63" i="16"/>
  <c r="AR63" i="16"/>
  <c r="AS63" i="16"/>
  <c r="AQ63" i="16"/>
  <c r="AY63" i="16" s="1"/>
  <c r="AG63" i="16"/>
  <c r="AI63" i="16"/>
  <c r="AF63" i="16"/>
  <c r="AH63" i="16"/>
  <c r="BV47" i="16"/>
  <c r="CD47" i="16" s="1"/>
  <c r="BX47" i="16"/>
  <c r="BW47" i="16"/>
  <c r="BY47" i="16"/>
  <c r="BH47" i="16"/>
  <c r="BJ47" i="16"/>
  <c r="BG47" i="16"/>
  <c r="BO47" i="16" s="1"/>
  <c r="BI47" i="16"/>
  <c r="AT47" i="16"/>
  <c r="AR47" i="16"/>
  <c r="AS47" i="16"/>
  <c r="AQ47" i="16"/>
  <c r="AY47" i="16" s="1"/>
  <c r="AG47" i="16"/>
  <c r="AI47" i="16"/>
  <c r="AF47" i="16"/>
  <c r="AH47" i="16"/>
  <c r="BV37" i="16"/>
  <c r="CD37" i="16" s="1"/>
  <c r="BX37" i="16"/>
  <c r="BW37" i="16"/>
  <c r="BY37" i="16"/>
  <c r="BH37" i="16"/>
  <c r="BJ37" i="16"/>
  <c r="BG37" i="16"/>
  <c r="BO37" i="16" s="1"/>
  <c r="BI37" i="16"/>
  <c r="AT37" i="16"/>
  <c r="AR37" i="16"/>
  <c r="AS37" i="16"/>
  <c r="AQ37" i="16"/>
  <c r="AY37" i="16" s="1"/>
  <c r="AG37" i="16"/>
  <c r="AI37" i="16"/>
  <c r="AF37" i="16"/>
  <c r="AH37" i="16"/>
  <c r="BV11" i="16"/>
  <c r="CD11" i="16" s="1"/>
  <c r="BX11" i="16"/>
  <c r="BW11" i="16"/>
  <c r="BY11" i="16"/>
  <c r="BG11" i="16"/>
  <c r="BO11" i="16" s="1"/>
  <c r="BI11" i="16"/>
  <c r="BH11" i="16"/>
  <c r="BJ11" i="16"/>
  <c r="AT11" i="16"/>
  <c r="AR11" i="16"/>
  <c r="AF11" i="16"/>
  <c r="AH11" i="16"/>
  <c r="AS11" i="16"/>
  <c r="AQ11" i="16"/>
  <c r="AY11" i="16" s="1"/>
  <c r="AG11" i="16"/>
  <c r="AI11" i="16"/>
  <c r="BV55" i="16"/>
  <c r="CD55" i="16" s="1"/>
  <c r="BX55" i="16"/>
  <c r="BW55" i="16"/>
  <c r="BY55" i="16"/>
  <c r="BH55" i="16"/>
  <c r="BJ55" i="16"/>
  <c r="BG55" i="16"/>
  <c r="BO55" i="16" s="1"/>
  <c r="BI55" i="16"/>
  <c r="AT55" i="16"/>
  <c r="AR55" i="16"/>
  <c r="AS55" i="16"/>
  <c r="AQ55" i="16"/>
  <c r="AY55" i="16" s="1"/>
  <c r="AG55" i="16"/>
  <c r="AI55" i="16"/>
  <c r="AF55" i="16"/>
  <c r="AH55" i="16"/>
  <c r="BV51" i="16"/>
  <c r="CD51" i="16" s="1"/>
  <c r="BX51" i="16"/>
  <c r="BW51" i="16"/>
  <c r="BY51" i="16"/>
  <c r="BH51" i="16"/>
  <c r="BJ51" i="16"/>
  <c r="BG51" i="16"/>
  <c r="BO51" i="16" s="1"/>
  <c r="BI51" i="16"/>
  <c r="AT51" i="16"/>
  <c r="AR51" i="16"/>
  <c r="AS51" i="16"/>
  <c r="AQ51" i="16"/>
  <c r="AY51" i="16" s="1"/>
  <c r="AG51" i="16"/>
  <c r="AI51" i="16"/>
  <c r="AF51" i="16"/>
  <c r="AH51" i="16"/>
  <c r="BV64" i="16"/>
  <c r="CD64" i="16" s="1"/>
  <c r="BX64" i="16"/>
  <c r="BW64" i="16"/>
  <c r="BY64" i="16"/>
  <c r="BH64" i="16"/>
  <c r="BJ64" i="16"/>
  <c r="BG64" i="16"/>
  <c r="BO64" i="16" s="1"/>
  <c r="BI64" i="16"/>
  <c r="AT64" i="16"/>
  <c r="AR64" i="16"/>
  <c r="AS64" i="16"/>
  <c r="AQ64" i="16"/>
  <c r="AY64" i="16" s="1"/>
  <c r="AG64" i="16"/>
  <c r="AI64" i="16"/>
  <c r="AF64" i="16"/>
  <c r="AH64" i="16"/>
  <c r="BV31" i="16"/>
  <c r="CD31" i="16" s="1"/>
  <c r="BX31" i="16"/>
  <c r="BW31" i="16"/>
  <c r="BY31" i="16"/>
  <c r="BG31" i="16"/>
  <c r="BO31" i="16" s="1"/>
  <c r="BI31" i="16"/>
  <c r="BH31" i="16"/>
  <c r="BJ31" i="16"/>
  <c r="AT31" i="16"/>
  <c r="AR31" i="16"/>
  <c r="AS31" i="16"/>
  <c r="AQ31" i="16"/>
  <c r="AY31" i="16" s="1"/>
  <c r="AG31" i="16"/>
  <c r="AI31" i="16"/>
  <c r="AF31" i="16"/>
  <c r="AH31" i="16"/>
  <c r="BV27" i="16"/>
  <c r="CD27" i="16" s="1"/>
  <c r="BX27" i="16"/>
  <c r="BW27" i="16"/>
  <c r="BY27" i="16"/>
  <c r="BG27" i="16"/>
  <c r="BO27" i="16" s="1"/>
  <c r="BI27" i="16"/>
  <c r="BH27" i="16"/>
  <c r="BJ27" i="16"/>
  <c r="AT27" i="16"/>
  <c r="AR27" i="16"/>
  <c r="AS27" i="16"/>
  <c r="AQ27" i="16"/>
  <c r="AY27" i="16" s="1"/>
  <c r="AG27" i="16"/>
  <c r="AI27" i="16"/>
  <c r="AF27" i="16"/>
  <c r="AH27" i="16"/>
  <c r="BV33" i="16"/>
  <c r="CD33" i="16" s="1"/>
  <c r="BX33" i="16"/>
  <c r="BW33" i="16"/>
  <c r="BY33" i="16"/>
  <c r="BG33" i="16"/>
  <c r="BO33" i="16" s="1"/>
  <c r="BI33" i="16"/>
  <c r="BH33" i="16"/>
  <c r="BJ33" i="16"/>
  <c r="AT33" i="16"/>
  <c r="AR33" i="16"/>
  <c r="AS33" i="16"/>
  <c r="AQ33" i="16"/>
  <c r="AY33" i="16" s="1"/>
  <c r="AG33" i="16"/>
  <c r="AI33" i="16"/>
  <c r="AF33" i="16"/>
  <c r="AH33" i="16"/>
  <c r="BV49" i="16"/>
  <c r="CD49" i="16" s="1"/>
  <c r="BX49" i="16"/>
  <c r="BW49" i="16"/>
  <c r="BY49" i="16"/>
  <c r="BH49" i="16"/>
  <c r="BJ49" i="16"/>
  <c r="BG49" i="16"/>
  <c r="BO49" i="16" s="1"/>
  <c r="BI49" i="16"/>
  <c r="AT49" i="16"/>
  <c r="AR49" i="16"/>
  <c r="AS49" i="16"/>
  <c r="AQ49" i="16"/>
  <c r="AY49" i="16" s="1"/>
  <c r="AG49" i="16"/>
  <c r="AI49" i="16"/>
  <c r="AF49" i="16"/>
  <c r="AH49" i="16"/>
  <c r="BV20" i="16"/>
  <c r="CD20" i="16" s="1"/>
  <c r="BX20" i="16"/>
  <c r="BW20" i="16"/>
  <c r="BY20" i="16"/>
  <c r="BG20" i="16"/>
  <c r="BO20" i="16" s="1"/>
  <c r="BI20" i="16"/>
  <c r="BH20" i="16"/>
  <c r="BJ20" i="16"/>
  <c r="AT20" i="16"/>
  <c r="AR20" i="16"/>
  <c r="AS20" i="16"/>
  <c r="AQ20" i="16"/>
  <c r="AY20" i="16" s="1"/>
  <c r="AG20" i="16"/>
  <c r="AI20" i="16"/>
  <c r="AF20" i="16"/>
  <c r="AH20" i="16"/>
  <c r="BV19" i="16"/>
  <c r="CD19" i="16" s="1"/>
  <c r="BX19" i="16"/>
  <c r="BW19" i="16"/>
  <c r="BY19" i="16"/>
  <c r="BG19" i="16"/>
  <c r="BO19" i="16" s="1"/>
  <c r="BI19" i="16"/>
  <c r="BH19" i="16"/>
  <c r="BJ19" i="16"/>
  <c r="AT19" i="16"/>
  <c r="AR19" i="16"/>
  <c r="AS19" i="16"/>
  <c r="AQ19" i="16"/>
  <c r="AY19" i="16" s="1"/>
  <c r="AG19" i="16"/>
  <c r="AI19" i="16"/>
  <c r="AF19" i="16"/>
  <c r="AH19" i="16"/>
  <c r="BV61" i="16"/>
  <c r="CD61" i="16" s="1"/>
  <c r="BX61" i="16"/>
  <c r="BW61" i="16"/>
  <c r="BY61" i="16"/>
  <c r="BH61" i="16"/>
  <c r="BJ61" i="16"/>
  <c r="BG61" i="16"/>
  <c r="BO61" i="16" s="1"/>
  <c r="BI61" i="16"/>
  <c r="AT61" i="16"/>
  <c r="AR61" i="16"/>
  <c r="AS61" i="16"/>
  <c r="AQ61" i="16"/>
  <c r="AY61" i="16" s="1"/>
  <c r="AG61" i="16"/>
  <c r="AI61" i="16"/>
  <c r="AF61" i="16"/>
  <c r="AH61" i="16"/>
  <c r="BV10" i="16"/>
  <c r="CD10" i="16" s="1"/>
  <c r="BX10" i="16"/>
  <c r="BW10" i="16"/>
  <c r="BY10" i="16"/>
  <c r="BG10" i="16"/>
  <c r="BO10" i="16" s="1"/>
  <c r="BI10" i="16"/>
  <c r="BH10" i="16"/>
  <c r="BJ10" i="16"/>
  <c r="AT10" i="16"/>
  <c r="AR10" i="16"/>
  <c r="AF10" i="16"/>
  <c r="AH10" i="16"/>
  <c r="AS10" i="16"/>
  <c r="AQ10" i="16"/>
  <c r="AY10" i="16" s="1"/>
  <c r="AG10" i="16"/>
  <c r="AI10" i="16"/>
  <c r="BV12" i="16"/>
  <c r="CD12" i="16" s="1"/>
  <c r="BX12" i="16"/>
  <c r="BW12" i="16"/>
  <c r="BY12" i="16"/>
  <c r="BG12" i="16"/>
  <c r="BO12" i="16" s="1"/>
  <c r="BI12" i="16"/>
  <c r="BH12" i="16"/>
  <c r="BJ12" i="16"/>
  <c r="AT12" i="16"/>
  <c r="AR12" i="16"/>
  <c r="AF12" i="16"/>
  <c r="AH12" i="16"/>
  <c r="AS12" i="16"/>
  <c r="AQ12" i="16"/>
  <c r="AY12" i="16" s="1"/>
  <c r="AG12" i="16"/>
  <c r="AI12" i="16"/>
  <c r="BV53" i="16"/>
  <c r="CD53" i="16" s="1"/>
  <c r="BX53" i="16"/>
  <c r="BW53" i="16"/>
  <c r="BY53" i="16"/>
  <c r="BH53" i="16"/>
  <c r="BJ53" i="16"/>
  <c r="BG53" i="16"/>
  <c r="BO53" i="16" s="1"/>
  <c r="BI53" i="16"/>
  <c r="AT53" i="16"/>
  <c r="AR53" i="16"/>
  <c r="AS53" i="16"/>
  <c r="AQ53" i="16"/>
  <c r="AY53" i="16" s="1"/>
  <c r="AG53" i="16"/>
  <c r="AI53" i="16"/>
  <c r="AF53" i="16"/>
  <c r="AH53" i="16"/>
  <c r="BV62" i="16"/>
  <c r="CD62" i="16" s="1"/>
  <c r="BX62" i="16"/>
  <c r="BW62" i="16"/>
  <c r="BY62" i="16"/>
  <c r="BH62" i="16"/>
  <c r="BJ62" i="16"/>
  <c r="BG62" i="16"/>
  <c r="BO62" i="16" s="1"/>
  <c r="BI62" i="16"/>
  <c r="AT62" i="16"/>
  <c r="AR62" i="16"/>
  <c r="AS62" i="16"/>
  <c r="AQ62" i="16"/>
  <c r="AY62" i="16" s="1"/>
  <c r="AG62" i="16"/>
  <c r="AI62" i="16"/>
  <c r="AF62" i="16"/>
  <c r="AH62" i="16"/>
  <c r="BV58" i="16"/>
  <c r="CD58" i="16" s="1"/>
  <c r="BX58" i="16"/>
  <c r="BW58" i="16"/>
  <c r="BY58" i="16"/>
  <c r="BH58" i="16"/>
  <c r="BJ58" i="16"/>
  <c r="BG58" i="16"/>
  <c r="BO58" i="16" s="1"/>
  <c r="BI58" i="16"/>
  <c r="AT58" i="16"/>
  <c r="AR58" i="16"/>
  <c r="AS58" i="16"/>
  <c r="AQ58" i="16"/>
  <c r="AY58" i="16" s="1"/>
  <c r="AG58" i="16"/>
  <c r="AI58" i="16"/>
  <c r="AF58" i="16"/>
  <c r="AH58" i="16"/>
  <c r="BV8" i="16"/>
  <c r="CD8" i="16" s="1"/>
  <c r="BX8" i="16"/>
  <c r="BW8" i="16"/>
  <c r="BY8" i="16"/>
  <c r="BG8" i="16"/>
  <c r="BO8" i="16" s="1"/>
  <c r="BI8" i="16"/>
  <c r="BH8" i="16"/>
  <c r="BJ8" i="16"/>
  <c r="AT8" i="16"/>
  <c r="AR8" i="16"/>
  <c r="AF8" i="16"/>
  <c r="AH8" i="16"/>
  <c r="AS8" i="16"/>
  <c r="AQ8" i="16"/>
  <c r="AY8" i="16" s="1"/>
  <c r="AG8" i="16"/>
  <c r="AI8" i="16"/>
  <c r="BV23" i="16"/>
  <c r="CD23" i="16" s="1"/>
  <c r="BX23" i="16"/>
  <c r="BW23" i="16"/>
  <c r="BY23" i="16"/>
  <c r="BG23" i="16"/>
  <c r="BO23" i="16" s="1"/>
  <c r="BI23" i="16"/>
  <c r="BH23" i="16"/>
  <c r="BJ23" i="16"/>
  <c r="AT23" i="16"/>
  <c r="AR23" i="16"/>
  <c r="AS23" i="16"/>
  <c r="AQ23" i="16"/>
  <c r="AY23" i="16" s="1"/>
  <c r="AG23" i="16"/>
  <c r="AI23" i="16"/>
  <c r="AF23" i="16"/>
  <c r="AH23" i="16"/>
  <c r="BV50" i="16"/>
  <c r="CD50" i="16" s="1"/>
  <c r="BX50" i="16"/>
  <c r="BW50" i="16"/>
  <c r="BY50" i="16"/>
  <c r="BH50" i="16"/>
  <c r="BJ50" i="16"/>
  <c r="BG50" i="16"/>
  <c r="BO50" i="16" s="1"/>
  <c r="BI50" i="16"/>
  <c r="AT50" i="16"/>
  <c r="AR50" i="16"/>
  <c r="AS50" i="16"/>
  <c r="AQ50" i="16"/>
  <c r="AY50" i="16" s="1"/>
  <c r="AG50" i="16"/>
  <c r="AI50" i="16"/>
  <c r="AF50" i="16"/>
  <c r="AH50" i="16"/>
  <c r="BV24" i="16"/>
  <c r="CD24" i="16" s="1"/>
  <c r="BW24" i="16"/>
  <c r="BX24" i="16"/>
  <c r="BY24" i="16"/>
  <c r="BG24" i="16"/>
  <c r="BO24" i="16" s="1"/>
  <c r="BI24" i="16"/>
  <c r="BH24" i="16"/>
  <c r="BJ24" i="16"/>
  <c r="AT24" i="16"/>
  <c r="AR24" i="16"/>
  <c r="AS24" i="16"/>
  <c r="AQ24" i="16"/>
  <c r="AY24" i="16" s="1"/>
  <c r="AG24" i="16"/>
  <c r="AI24" i="16"/>
  <c r="AF24" i="16"/>
  <c r="AH24" i="16"/>
  <c r="BV56" i="16"/>
  <c r="CD56" i="16" s="1"/>
  <c r="BX56" i="16"/>
  <c r="BW56" i="16"/>
  <c r="BY56" i="16"/>
  <c r="BH56" i="16"/>
  <c r="BJ56" i="16"/>
  <c r="BG56" i="16"/>
  <c r="BO56" i="16" s="1"/>
  <c r="BI56" i="16"/>
  <c r="AT56" i="16"/>
  <c r="AR56" i="16"/>
  <c r="AS56" i="16"/>
  <c r="AQ56" i="16"/>
  <c r="AY56" i="16" s="1"/>
  <c r="AG56" i="16"/>
  <c r="AI56" i="16"/>
  <c r="AF56" i="16"/>
  <c r="AH56" i="16"/>
  <c r="BV15" i="16"/>
  <c r="CD15" i="16" s="1"/>
  <c r="BX15" i="16"/>
  <c r="BW15" i="16"/>
  <c r="BY15" i="16"/>
  <c r="BG15" i="16"/>
  <c r="BO15" i="16" s="1"/>
  <c r="BI15" i="16"/>
  <c r="BH15" i="16"/>
  <c r="BJ15" i="16"/>
  <c r="AT15" i="16"/>
  <c r="AR15" i="16"/>
  <c r="AF15" i="16"/>
  <c r="AH15" i="16"/>
  <c r="AS15" i="16"/>
  <c r="AQ15" i="16"/>
  <c r="AY15" i="16" s="1"/>
  <c r="AI15" i="16"/>
  <c r="AG15" i="16"/>
  <c r="BV18" i="16"/>
  <c r="CD18" i="16" s="1"/>
  <c r="BX18" i="16"/>
  <c r="BW18" i="16"/>
  <c r="BY18" i="16"/>
  <c r="BG18" i="16"/>
  <c r="BO18" i="16" s="1"/>
  <c r="BI18" i="16"/>
  <c r="BH18" i="16"/>
  <c r="BJ18" i="16"/>
  <c r="AT18" i="16"/>
  <c r="AR18" i="16"/>
  <c r="AF18" i="16"/>
  <c r="AH18" i="16"/>
  <c r="AS18" i="16"/>
  <c r="AQ18" i="16"/>
  <c r="AY18" i="16" s="1"/>
  <c r="AI18" i="16"/>
  <c r="AG18" i="16"/>
  <c r="BV60" i="16"/>
  <c r="CD60" i="16" s="1"/>
  <c r="BX60" i="16"/>
  <c r="BW60" i="16"/>
  <c r="BY60" i="16"/>
  <c r="BH60" i="16"/>
  <c r="BJ60" i="16"/>
  <c r="BG60" i="16"/>
  <c r="BO60" i="16" s="1"/>
  <c r="BI60" i="16"/>
  <c r="AT60" i="16"/>
  <c r="AR60" i="16"/>
  <c r="AS60" i="16"/>
  <c r="AQ60" i="16"/>
  <c r="AY60" i="16" s="1"/>
  <c r="AG60" i="16"/>
  <c r="AI60" i="16"/>
  <c r="AF60" i="16"/>
  <c r="AH60" i="16"/>
  <c r="CD65" i="16"/>
  <c r="H56" i="16" l="1"/>
  <c r="CU56" i="16" s="1"/>
  <c r="H58" i="16"/>
  <c r="CU58" i="16" s="1"/>
  <c r="H23" i="16"/>
  <c r="CU23" i="16" s="1"/>
  <c r="H8" i="16"/>
  <c r="CU8" i="16" s="1"/>
  <c r="H55" i="16"/>
  <c r="CU55" i="16" s="1"/>
  <c r="H11" i="16"/>
  <c r="CU11" i="16" s="1"/>
  <c r="H45" i="16"/>
  <c r="CU45" i="16" s="1"/>
  <c r="H15" i="16"/>
  <c r="CU15" i="16" s="1"/>
  <c r="H24" i="16"/>
  <c r="CU24" i="16" s="1"/>
  <c r="H64" i="16"/>
  <c r="CU64" i="16" s="1"/>
  <c r="H18" i="16"/>
  <c r="H62" i="16"/>
  <c r="CU62" i="16" s="1"/>
  <c r="H10" i="16"/>
  <c r="CU10" i="16" s="1"/>
  <c r="H61" i="16"/>
  <c r="CU61" i="16" s="1"/>
  <c r="H19" i="16"/>
  <c r="CU19" i="16" s="1"/>
  <c r="H28" i="16"/>
  <c r="CU28" i="16" s="1"/>
  <c r="H7" i="16"/>
  <c r="CU7" i="16" s="1"/>
  <c r="H35" i="16"/>
  <c r="CU35" i="16" s="1"/>
  <c r="H13" i="16"/>
  <c r="CU13" i="16" s="1"/>
  <c r="H47" i="16"/>
  <c r="CU47" i="16" s="1"/>
  <c r="H21" i="16"/>
  <c r="CU21" i="16" s="1"/>
  <c r="H22" i="16"/>
  <c r="CU22" i="16" s="1"/>
  <c r="H50" i="16"/>
  <c r="CU50" i="16" s="1"/>
  <c r="H33" i="16"/>
  <c r="CU33" i="16" s="1"/>
  <c r="H37" i="16"/>
  <c r="CU37" i="16" s="1"/>
  <c r="H63" i="16"/>
  <c r="CU63" i="16" s="1"/>
  <c r="H20" i="16"/>
  <c r="CU20" i="16" s="1"/>
  <c r="H59" i="16"/>
  <c r="CU59" i="16" s="1"/>
  <c r="H60" i="16"/>
  <c r="CU60" i="16" s="1"/>
  <c r="H12" i="16"/>
  <c r="CU12" i="16" s="1"/>
  <c r="H31" i="16"/>
  <c r="CU31" i="16" s="1"/>
  <c r="H65" i="16"/>
  <c r="CU65" i="16" s="1"/>
  <c r="H53" i="16"/>
  <c r="H27" i="16"/>
  <c r="CU27" i="16" s="1"/>
  <c r="H49" i="16"/>
  <c r="CU49" i="16" s="1"/>
  <c r="H6" i="16"/>
  <c r="CU6" i="16" s="1"/>
  <c r="H25" i="16"/>
  <c r="CU25" i="16" s="1"/>
  <c r="H48" i="16"/>
  <c r="CU48" i="16" s="1"/>
  <c r="BQ18" i="16"/>
  <c r="BR18" i="16"/>
  <c r="BP18" i="16"/>
  <c r="CG56" i="16"/>
  <c r="CF56" i="16"/>
  <c r="CE56" i="16"/>
  <c r="BR58" i="16"/>
  <c r="BP58" i="16"/>
  <c r="BQ58" i="16"/>
  <c r="CF62" i="16"/>
  <c r="CG62" i="16"/>
  <c r="CE62" i="16"/>
  <c r="G62" i="16"/>
  <c r="E62" i="16"/>
  <c r="CR62" i="16" s="1"/>
  <c r="CE53" i="16"/>
  <c r="CF53" i="16"/>
  <c r="CG53" i="16"/>
  <c r="G53" i="16"/>
  <c r="E53" i="16"/>
  <c r="CF10" i="16"/>
  <c r="CE10" i="16"/>
  <c r="CG10" i="16"/>
  <c r="E10" i="16"/>
  <c r="CR10" i="16" s="1"/>
  <c r="G10" i="16"/>
  <c r="CF61" i="16"/>
  <c r="CG61" i="16"/>
  <c r="CE61" i="16"/>
  <c r="G61" i="16"/>
  <c r="CT61" i="16" s="1"/>
  <c r="E61" i="16"/>
  <c r="BP19" i="16"/>
  <c r="BQ19" i="16"/>
  <c r="BR19" i="16"/>
  <c r="AZ19" i="16"/>
  <c r="BA19" i="16"/>
  <c r="BB19" i="16"/>
  <c r="E19" i="16"/>
  <c r="G19" i="16"/>
  <c r="CT19" i="16" s="1"/>
  <c r="AZ27" i="16"/>
  <c r="BA27" i="16"/>
  <c r="BB27" i="16"/>
  <c r="G27" i="16"/>
  <c r="E27" i="16"/>
  <c r="CR27" i="16" s="1"/>
  <c r="AZ28" i="16"/>
  <c r="BB28" i="16"/>
  <c r="BA28" i="16"/>
  <c r="E28" i="16"/>
  <c r="CR28" i="16" s="1"/>
  <c r="G28" i="16"/>
  <c r="G7" i="16"/>
  <c r="E7" i="16"/>
  <c r="CR7" i="16" s="1"/>
  <c r="BP35" i="16"/>
  <c r="BQ35" i="16"/>
  <c r="BR35" i="16"/>
  <c r="G35" i="16"/>
  <c r="E35" i="16"/>
  <c r="CR35" i="16" s="1"/>
  <c r="BR13" i="16"/>
  <c r="BQ13" i="16"/>
  <c r="BP13" i="16"/>
  <c r="E13" i="16"/>
  <c r="G13" i="16"/>
  <c r="CT13" i="16" s="1"/>
  <c r="BQ23" i="16"/>
  <c r="BR23" i="16"/>
  <c r="BP23" i="16"/>
  <c r="BB8" i="16"/>
  <c r="BA8" i="16"/>
  <c r="AZ8" i="16"/>
  <c r="E8" i="16"/>
  <c r="CR8" i="16" s="1"/>
  <c r="G8" i="16"/>
  <c r="CG55" i="16"/>
  <c r="CE55" i="16"/>
  <c r="CF55" i="16"/>
  <c r="E55" i="16"/>
  <c r="CR55" i="16" s="1"/>
  <c r="G55" i="16"/>
  <c r="E11" i="16"/>
  <c r="G11" i="16"/>
  <c r="CT11" i="16" s="1"/>
  <c r="BA47" i="16"/>
  <c r="BB47" i="16"/>
  <c r="AZ47" i="16"/>
  <c r="G47" i="16"/>
  <c r="CT47" i="16" s="1"/>
  <c r="E47" i="16"/>
  <c r="AZ21" i="16"/>
  <c r="BA21" i="16"/>
  <c r="BB21" i="16"/>
  <c r="BR21" i="16"/>
  <c r="BP21" i="16"/>
  <c r="BQ21" i="16"/>
  <c r="CG21" i="16"/>
  <c r="CF21" i="16"/>
  <c r="CE21" i="16"/>
  <c r="G21" i="16"/>
  <c r="CT21" i="16" s="1"/>
  <c r="E21" i="16"/>
  <c r="BP22" i="16"/>
  <c r="BQ22" i="16"/>
  <c r="BR22" i="16"/>
  <c r="CG50" i="16"/>
  <c r="CE50" i="16"/>
  <c r="CF50" i="16"/>
  <c r="BR50" i="16"/>
  <c r="BP50" i="16"/>
  <c r="BQ50" i="16"/>
  <c r="E50" i="16"/>
  <c r="G50" i="16"/>
  <c r="CT50" i="16" s="1"/>
  <c r="BP49" i="16"/>
  <c r="BR49" i="16"/>
  <c r="BQ49" i="16"/>
  <c r="E49" i="16"/>
  <c r="CR49" i="16" s="1"/>
  <c r="G49" i="16"/>
  <c r="BR33" i="16"/>
  <c r="BQ33" i="16"/>
  <c r="BP33" i="16"/>
  <c r="G33" i="16"/>
  <c r="CT33" i="16" s="1"/>
  <c r="E33" i="16"/>
  <c r="BQ37" i="16"/>
  <c r="BP37" i="16"/>
  <c r="BR37" i="16"/>
  <c r="G37" i="16"/>
  <c r="CT37" i="16" s="1"/>
  <c r="E37" i="16"/>
  <c r="CG63" i="16"/>
  <c r="CF63" i="16"/>
  <c r="CE63" i="16"/>
  <c r="G63" i="16"/>
  <c r="CT63" i="16" s="1"/>
  <c r="E63" i="16"/>
  <c r="BA6" i="16"/>
  <c r="BB6" i="16"/>
  <c r="AZ6" i="16"/>
  <c r="E6" i="16"/>
  <c r="G6" i="16"/>
  <c r="CT6" i="16" s="1"/>
  <c r="BA20" i="16"/>
  <c r="BB20" i="16"/>
  <c r="AZ20" i="16"/>
  <c r="CF20" i="16"/>
  <c r="CE20" i="16"/>
  <c r="CG20" i="16"/>
  <c r="E20" i="16"/>
  <c r="CR20" i="16" s="1"/>
  <c r="G20" i="16"/>
  <c r="AZ59" i="16"/>
  <c r="BA59" i="16"/>
  <c r="BB59" i="16"/>
  <c r="G59" i="16"/>
  <c r="CT59" i="16" s="1"/>
  <c r="E59" i="16"/>
  <c r="CE60" i="16"/>
  <c r="CF60" i="16"/>
  <c r="CG60" i="16"/>
  <c r="E60" i="16"/>
  <c r="CR60" i="16" s="1"/>
  <c r="G60" i="16"/>
  <c r="AZ15" i="16"/>
  <c r="BA15" i="16"/>
  <c r="BB15" i="16"/>
  <c r="BR24" i="16"/>
  <c r="BP24" i="16"/>
  <c r="BQ24" i="16"/>
  <c r="BB12" i="16"/>
  <c r="BA12" i="16"/>
  <c r="AZ12" i="16"/>
  <c r="E12" i="16"/>
  <c r="CR12" i="16" s="1"/>
  <c r="G12" i="16"/>
  <c r="BQ31" i="16"/>
  <c r="BR31" i="16"/>
  <c r="BP31" i="16"/>
  <c r="G31" i="16"/>
  <c r="CT31" i="16" s="1"/>
  <c r="E31" i="16"/>
  <c r="BB64" i="16"/>
  <c r="BA64" i="16"/>
  <c r="AZ64" i="16"/>
  <c r="E64" i="16"/>
  <c r="CR64" i="16" s="1"/>
  <c r="G64" i="16"/>
  <c r="BB25" i="16"/>
  <c r="BA25" i="16"/>
  <c r="AZ25" i="16"/>
  <c r="G25" i="16"/>
  <c r="CT25" i="16" s="1"/>
  <c r="E25" i="16"/>
  <c r="G48" i="16"/>
  <c r="E48" i="16"/>
  <c r="CR48" i="16" s="1"/>
  <c r="CG65" i="16"/>
  <c r="CF65" i="16"/>
  <c r="CE65" i="16"/>
  <c r="G65" i="16"/>
  <c r="CT65" i="16" s="1"/>
  <c r="E65" i="16"/>
  <c r="CE18" i="16"/>
  <c r="CF18" i="16"/>
  <c r="CG18" i="16"/>
  <c r="E18" i="16"/>
  <c r="G18" i="16"/>
  <c r="CE58" i="16"/>
  <c r="CF58" i="16"/>
  <c r="CG58" i="16"/>
  <c r="BA62" i="16"/>
  <c r="BB62" i="16"/>
  <c r="AZ62" i="16"/>
  <c r="BP62" i="16"/>
  <c r="BR62" i="16"/>
  <c r="BQ62" i="16"/>
  <c r="BR10" i="16"/>
  <c r="BP10" i="16"/>
  <c r="BQ10" i="16"/>
  <c r="F10" i="16"/>
  <c r="CS10" i="16" s="1"/>
  <c r="F19" i="16"/>
  <c r="BR27" i="16"/>
  <c r="BP27" i="16"/>
  <c r="BQ27" i="16"/>
  <c r="BQ51" i="16"/>
  <c r="BR51" i="16"/>
  <c r="BP51" i="16"/>
  <c r="CG28" i="16"/>
  <c r="CF28" i="16"/>
  <c r="CE28" i="16"/>
  <c r="CF7" i="16"/>
  <c r="CE7" i="16"/>
  <c r="CG7" i="16"/>
  <c r="BR7" i="16"/>
  <c r="BP7" i="16"/>
  <c r="BQ7" i="16"/>
  <c r="CG35" i="16"/>
  <c r="CE35" i="16"/>
  <c r="CF35" i="16"/>
  <c r="BB13" i="16"/>
  <c r="AZ13" i="16"/>
  <c r="BA13" i="16"/>
  <c r="BB23" i="16"/>
  <c r="BA23" i="16"/>
  <c r="AZ23" i="16"/>
  <c r="CG8" i="16"/>
  <c r="CE8" i="16"/>
  <c r="CF8" i="16"/>
  <c r="BQ8" i="16"/>
  <c r="BP8" i="16"/>
  <c r="BR8" i="16"/>
  <c r="BR55" i="16"/>
  <c r="BP55" i="16"/>
  <c r="BQ55" i="16"/>
  <c r="BA11" i="16"/>
  <c r="BB11" i="16"/>
  <c r="AZ11" i="16"/>
  <c r="BQ47" i="16"/>
  <c r="BP47" i="16"/>
  <c r="BR47" i="16"/>
  <c r="CG22" i="16"/>
  <c r="CE22" i="16"/>
  <c r="CF22" i="16"/>
  <c r="BB50" i="16"/>
  <c r="AZ50" i="16"/>
  <c r="BA50" i="16"/>
  <c r="BB49" i="16"/>
  <c r="AZ49" i="16"/>
  <c r="BA49" i="16"/>
  <c r="AZ63" i="16"/>
  <c r="BA63" i="16"/>
  <c r="BB63" i="16"/>
  <c r="CF6" i="16"/>
  <c r="CG6" i="16"/>
  <c r="CE6" i="16"/>
  <c r="BR60" i="16"/>
  <c r="BQ60" i="16"/>
  <c r="BP60" i="16"/>
  <c r="CE15" i="16"/>
  <c r="CF15" i="16"/>
  <c r="CG15" i="16"/>
  <c r="BR12" i="16"/>
  <c r="BP12" i="16"/>
  <c r="BQ12" i="16"/>
  <c r="CF12" i="16"/>
  <c r="CG12" i="16"/>
  <c r="CE12" i="16"/>
  <c r="BB31" i="16"/>
  <c r="AZ31" i="16"/>
  <c r="BA31" i="16"/>
  <c r="BR25" i="16"/>
  <c r="BQ25" i="16"/>
  <c r="BP25" i="16"/>
  <c r="BQ48" i="16"/>
  <c r="BR48" i="16"/>
  <c r="BP48" i="16"/>
  <c r="CF48" i="16"/>
  <c r="CE48" i="16"/>
  <c r="CG48" i="16"/>
  <c r="AZ18" i="16"/>
  <c r="BA18" i="16"/>
  <c r="BB18" i="16"/>
  <c r="BQ56" i="16"/>
  <c r="BP56" i="16"/>
  <c r="BR56" i="16"/>
  <c r="BB56" i="16"/>
  <c r="AZ56" i="16"/>
  <c r="BA56" i="16"/>
  <c r="E58" i="16"/>
  <c r="CR58" i="16" s="1"/>
  <c r="G58" i="16"/>
  <c r="BP53" i="16"/>
  <c r="BQ53" i="16"/>
  <c r="BR53" i="16"/>
  <c r="BR61" i="16"/>
  <c r="BQ61" i="16"/>
  <c r="BP61" i="16"/>
  <c r="BB51" i="16"/>
  <c r="AZ51" i="16"/>
  <c r="BA51" i="16"/>
  <c r="BR28" i="16"/>
  <c r="BQ28" i="16"/>
  <c r="BP28" i="16"/>
  <c r="BB55" i="16"/>
  <c r="AZ55" i="16"/>
  <c r="BA55" i="16"/>
  <c r="BR11" i="16"/>
  <c r="BP11" i="16"/>
  <c r="BQ11" i="16"/>
  <c r="BA22" i="16"/>
  <c r="BB22" i="16"/>
  <c r="AZ22" i="16"/>
  <c r="BA33" i="16"/>
  <c r="AZ33" i="16"/>
  <c r="BB33" i="16"/>
  <c r="BB37" i="16"/>
  <c r="BA37" i="16"/>
  <c r="AZ37" i="16"/>
  <c r="CG45" i="16"/>
  <c r="CF45" i="16"/>
  <c r="CE45" i="16"/>
  <c r="BA45" i="16"/>
  <c r="AZ45" i="16"/>
  <c r="BB45" i="16"/>
  <c r="BQ45" i="16"/>
  <c r="BP45" i="16"/>
  <c r="BR45" i="16"/>
  <c r="E45" i="16"/>
  <c r="G45" i="16"/>
  <c r="CT45" i="16" s="1"/>
  <c r="BP6" i="16"/>
  <c r="BQ6" i="16"/>
  <c r="BR6" i="16"/>
  <c r="BQ59" i="16"/>
  <c r="BP59" i="16"/>
  <c r="BR59" i="16"/>
  <c r="BR15" i="16"/>
  <c r="BQ15" i="16"/>
  <c r="BP15" i="16"/>
  <c r="G15" i="16"/>
  <c r="E15" i="16"/>
  <c r="CR15" i="16" s="1"/>
  <c r="BA24" i="16"/>
  <c r="BB24" i="16"/>
  <c r="AZ24" i="16"/>
  <c r="CG25" i="16"/>
  <c r="CF25" i="16"/>
  <c r="CE25" i="16"/>
  <c r="AZ48" i="16"/>
  <c r="BA48" i="16"/>
  <c r="BB48" i="16"/>
  <c r="BR65" i="16"/>
  <c r="BQ65" i="16"/>
  <c r="BP65" i="16"/>
  <c r="G56" i="16"/>
  <c r="CT56" i="16" s="1"/>
  <c r="E56" i="16"/>
  <c r="AZ58" i="16"/>
  <c r="BA58" i="16"/>
  <c r="BB58" i="16"/>
  <c r="BA53" i="16"/>
  <c r="AZ53" i="16"/>
  <c r="BB53" i="16"/>
  <c r="BA10" i="16"/>
  <c r="AZ10" i="16"/>
  <c r="BB10" i="16"/>
  <c r="BA61" i="16"/>
  <c r="AZ61" i="16"/>
  <c r="BB61" i="16"/>
  <c r="CE19" i="16"/>
  <c r="CF19" i="16"/>
  <c r="CG19" i="16"/>
  <c r="CF27" i="16"/>
  <c r="CG27" i="16"/>
  <c r="CE27" i="16"/>
  <c r="CE51" i="16"/>
  <c r="CF51" i="16"/>
  <c r="CG51" i="16"/>
  <c r="BB7" i="16"/>
  <c r="AZ7" i="16"/>
  <c r="BA7" i="16"/>
  <c r="AZ35" i="16"/>
  <c r="BA35" i="16"/>
  <c r="BB35" i="16"/>
  <c r="CG13" i="16"/>
  <c r="CF13" i="16"/>
  <c r="CE13" i="16"/>
  <c r="CE23" i="16"/>
  <c r="CF23" i="16"/>
  <c r="CG23" i="16"/>
  <c r="G23" i="16"/>
  <c r="E23" i="16"/>
  <c r="CR23" i="16" s="1"/>
  <c r="CE11" i="16"/>
  <c r="CF11" i="16"/>
  <c r="CG11" i="16"/>
  <c r="CG47" i="16"/>
  <c r="CF47" i="16"/>
  <c r="CE47" i="16"/>
  <c r="G22" i="16"/>
  <c r="CT22" i="16" s="1"/>
  <c r="E22" i="16"/>
  <c r="CG49" i="16"/>
  <c r="CE49" i="16"/>
  <c r="CF49" i="16"/>
  <c r="CE33" i="16"/>
  <c r="CF33" i="16"/>
  <c r="CG33" i="16"/>
  <c r="CF37" i="16"/>
  <c r="CE37" i="16"/>
  <c r="CG37" i="16"/>
  <c r="BQ63" i="16"/>
  <c r="BP63" i="16"/>
  <c r="BR63" i="16"/>
  <c r="BQ20" i="16"/>
  <c r="BP20" i="16"/>
  <c r="BR20" i="16"/>
  <c r="CF59" i="16"/>
  <c r="CE59" i="16"/>
  <c r="CG59" i="16"/>
  <c r="BB60" i="16"/>
  <c r="BA60" i="16"/>
  <c r="AZ60" i="16"/>
  <c r="CF24" i="16"/>
  <c r="CE24" i="16"/>
  <c r="CG24" i="16"/>
  <c r="E24" i="16"/>
  <c r="G24" i="16"/>
  <c r="CT24" i="16" s="1"/>
  <c r="CG31" i="16"/>
  <c r="CF31" i="16"/>
  <c r="CE31" i="16"/>
  <c r="BR64" i="16"/>
  <c r="BQ64" i="16"/>
  <c r="BP64" i="16"/>
  <c r="CF64" i="16"/>
  <c r="CE64" i="16"/>
  <c r="CG64" i="16"/>
  <c r="AZ65" i="16"/>
  <c r="BA65" i="16"/>
  <c r="BB65" i="16"/>
  <c r="N4" i="6" l="1"/>
  <c r="N3" i="6"/>
  <c r="N8" i="6"/>
  <c r="N7" i="6"/>
  <c r="CR18" i="16"/>
  <c r="L4" i="6"/>
  <c r="L3" i="6"/>
  <c r="CR53" i="16"/>
  <c r="L8" i="6"/>
  <c r="L7" i="6"/>
  <c r="R7" i="6" s="1"/>
  <c r="S7" i="6" s="1"/>
  <c r="V7" i="6" s="1"/>
  <c r="CU53" i="16"/>
  <c r="O7" i="6"/>
  <c r="O8" i="6"/>
  <c r="CU18" i="16"/>
  <c r="O3" i="6"/>
  <c r="O4" i="6"/>
  <c r="CR24" i="16"/>
  <c r="CT23" i="16"/>
  <c r="CR56" i="16"/>
  <c r="CR45" i="16"/>
  <c r="CS19" i="16"/>
  <c r="CT18" i="16"/>
  <c r="CR25" i="16"/>
  <c r="CR31" i="16"/>
  <c r="CT60" i="16"/>
  <c r="CT20" i="16"/>
  <c r="CR37" i="16"/>
  <c r="CT49" i="16"/>
  <c r="CR50" i="16"/>
  <c r="CR21" i="16"/>
  <c r="CT55" i="16"/>
  <c r="CR13" i="16"/>
  <c r="CT7" i="16"/>
  <c r="CR19" i="16"/>
  <c r="CT10" i="16"/>
  <c r="CT53" i="16"/>
  <c r="CR22" i="16"/>
  <c r="CT15" i="16"/>
  <c r="CT58" i="16"/>
  <c r="CR65" i="16"/>
  <c r="CT48" i="16"/>
  <c r="CT64" i="16"/>
  <c r="CT12" i="16"/>
  <c r="CR59" i="16"/>
  <c r="CR6" i="16"/>
  <c r="CR63" i="16"/>
  <c r="CR33" i="16"/>
  <c r="CR47" i="16"/>
  <c r="CR11" i="16"/>
  <c r="CT8" i="16"/>
  <c r="CT35" i="16"/>
  <c r="CT28" i="16"/>
  <c r="CT27" i="16"/>
  <c r="CR61" i="16"/>
  <c r="CT62" i="16"/>
  <c r="F22" i="44"/>
  <c r="F23" i="44"/>
  <c r="D56" i="44"/>
  <c r="D15" i="44"/>
  <c r="D45" i="44"/>
  <c r="D58" i="44"/>
  <c r="E19" i="44"/>
  <c r="F18" i="44"/>
  <c r="F65" i="44"/>
  <c r="D48" i="44"/>
  <c r="D25" i="44"/>
  <c r="D64" i="44"/>
  <c r="D12" i="44"/>
  <c r="F60" i="44"/>
  <c r="F59" i="44"/>
  <c r="F20" i="44"/>
  <c r="F6" i="44"/>
  <c r="F63" i="44"/>
  <c r="D37" i="44"/>
  <c r="F33" i="44"/>
  <c r="F49" i="44"/>
  <c r="D50" i="44"/>
  <c r="D21" i="44"/>
  <c r="F47" i="44"/>
  <c r="F11" i="44"/>
  <c r="F55" i="44"/>
  <c r="D13" i="44"/>
  <c r="D35" i="44"/>
  <c r="F7" i="44"/>
  <c r="D28" i="44"/>
  <c r="D27" i="44"/>
  <c r="D19" i="44"/>
  <c r="F61" i="44"/>
  <c r="F10" i="44"/>
  <c r="F53" i="44"/>
  <c r="G48" i="44"/>
  <c r="G6" i="44"/>
  <c r="G27" i="44"/>
  <c r="G12" i="44"/>
  <c r="G59" i="44"/>
  <c r="G63" i="44"/>
  <c r="G22" i="44"/>
  <c r="G47" i="44"/>
  <c r="G35" i="44"/>
  <c r="G61" i="44"/>
  <c r="G62" i="44"/>
  <c r="G11" i="44"/>
  <c r="G58" i="44"/>
  <c r="D24" i="44"/>
  <c r="F24" i="44"/>
  <c r="D22" i="44"/>
  <c r="F56" i="44"/>
  <c r="F15" i="44"/>
  <c r="F45" i="44"/>
  <c r="F58" i="44"/>
  <c r="E10" i="44"/>
  <c r="D65" i="44"/>
  <c r="F48" i="44"/>
  <c r="F25" i="44"/>
  <c r="F64" i="44"/>
  <c r="F31" i="44"/>
  <c r="F12" i="44"/>
  <c r="D60" i="44"/>
  <c r="D59" i="44"/>
  <c r="D20" i="44"/>
  <c r="D6" i="44"/>
  <c r="D63" i="44"/>
  <c r="F37" i="44"/>
  <c r="D33" i="44"/>
  <c r="D49" i="44"/>
  <c r="F50" i="44"/>
  <c r="F21" i="44"/>
  <c r="D47" i="44"/>
  <c r="D11" i="44"/>
  <c r="D55" i="44"/>
  <c r="F8" i="44"/>
  <c r="F13" i="44"/>
  <c r="F35" i="44"/>
  <c r="D7" i="44"/>
  <c r="F28" i="44"/>
  <c r="F27" i="44"/>
  <c r="F19" i="44"/>
  <c r="D61" i="44"/>
  <c r="D10" i="44"/>
  <c r="D53" i="44"/>
  <c r="F62" i="44"/>
  <c r="G49" i="44"/>
  <c r="G53" i="44"/>
  <c r="G60" i="44"/>
  <c r="G20" i="44"/>
  <c r="G21" i="44"/>
  <c r="G7" i="44"/>
  <c r="G19" i="44"/>
  <c r="G10" i="44"/>
  <c r="G18" i="44"/>
  <c r="G24" i="44"/>
  <c r="G45" i="44"/>
  <c r="G23" i="44"/>
  <c r="G56" i="44"/>
  <c r="G25" i="44"/>
  <c r="L25" i="4"/>
  <c r="G31" i="44"/>
  <c r="L31" i="4"/>
  <c r="R31" i="4" s="1"/>
  <c r="I32" i="38" s="1"/>
  <c r="G37" i="44"/>
  <c r="L37" i="4"/>
  <c r="E41" i="37" s="1"/>
  <c r="G50" i="44"/>
  <c r="L50" i="4"/>
  <c r="E54" i="37" s="1"/>
  <c r="G13" i="44"/>
  <c r="L13" i="4"/>
  <c r="G64" i="44"/>
  <c r="L64" i="4"/>
  <c r="G15" i="44"/>
  <c r="L15" i="4"/>
  <c r="G8" i="44"/>
  <c r="L8" i="4"/>
  <c r="G65" i="44"/>
  <c r="L65" i="4"/>
  <c r="G33" i="44"/>
  <c r="L33" i="4"/>
  <c r="F35" i="38" s="1"/>
  <c r="P35" i="38" s="1"/>
  <c r="G28" i="44"/>
  <c r="L28" i="4"/>
  <c r="F30" i="38" s="1"/>
  <c r="P30" i="38" s="1"/>
  <c r="G55" i="44"/>
  <c r="L55" i="4"/>
  <c r="F50" i="16"/>
  <c r="CS50" i="16" s="1"/>
  <c r="F53" i="16"/>
  <c r="F18" i="16"/>
  <c r="D18" i="44"/>
  <c r="F23" i="16"/>
  <c r="CS23" i="16" s="1"/>
  <c r="D23" i="44"/>
  <c r="F31" i="16"/>
  <c r="CS31" i="16" s="1"/>
  <c r="D31" i="44"/>
  <c r="F8" i="16"/>
  <c r="CS8" i="16" s="1"/>
  <c r="D8" i="44"/>
  <c r="F62" i="16"/>
  <c r="CS62" i="16" s="1"/>
  <c r="D62" i="44"/>
  <c r="L24" i="4"/>
  <c r="I25" i="16"/>
  <c r="H25" i="44" s="1"/>
  <c r="K25" i="16"/>
  <c r="J25" i="44" s="1"/>
  <c r="J25" i="16"/>
  <c r="I25" i="44" s="1"/>
  <c r="L25" i="16"/>
  <c r="K25" i="44" s="1"/>
  <c r="L47" i="4"/>
  <c r="J49" i="16"/>
  <c r="I49" i="44" s="1"/>
  <c r="L49" i="16"/>
  <c r="K49" i="44" s="1"/>
  <c r="I49" i="16"/>
  <c r="H49" i="44" s="1"/>
  <c r="K49" i="16"/>
  <c r="J49" i="44" s="1"/>
  <c r="J53" i="16"/>
  <c r="L53" i="16"/>
  <c r="I53" i="16"/>
  <c r="K53" i="16"/>
  <c r="L30" i="4"/>
  <c r="I31" i="16"/>
  <c r="H31" i="44" s="1"/>
  <c r="K31" i="16"/>
  <c r="J31" i="44" s="1"/>
  <c r="J31" i="16"/>
  <c r="I31" i="44" s="1"/>
  <c r="L31" i="16"/>
  <c r="K31" i="44" s="1"/>
  <c r="L58" i="4"/>
  <c r="J60" i="16"/>
  <c r="I60" i="44" s="1"/>
  <c r="L60" i="16"/>
  <c r="K60" i="44" s="1"/>
  <c r="I60" i="16"/>
  <c r="H60" i="44" s="1"/>
  <c r="K60" i="16"/>
  <c r="J60" i="44" s="1"/>
  <c r="L19" i="4"/>
  <c r="R19" i="4" s="1"/>
  <c r="I20" i="38" s="1"/>
  <c r="I20" i="16"/>
  <c r="H20" i="44" s="1"/>
  <c r="K20" i="16"/>
  <c r="J20" i="44" s="1"/>
  <c r="J20" i="16"/>
  <c r="I20" i="44" s="1"/>
  <c r="L20" i="16"/>
  <c r="K20" i="44" s="1"/>
  <c r="L35" i="4"/>
  <c r="F38" i="38" s="1"/>
  <c r="P38" i="38" s="1"/>
  <c r="I37" i="16"/>
  <c r="H37" i="44" s="1"/>
  <c r="K37" i="16"/>
  <c r="J37" i="44" s="1"/>
  <c r="J37" i="16"/>
  <c r="I37" i="44" s="1"/>
  <c r="L37" i="16"/>
  <c r="K37" i="44" s="1"/>
  <c r="L48" i="4"/>
  <c r="J50" i="16"/>
  <c r="I50" i="44" s="1"/>
  <c r="L50" i="16"/>
  <c r="K50" i="44" s="1"/>
  <c r="I50" i="16"/>
  <c r="H50" i="44" s="1"/>
  <c r="K50" i="16"/>
  <c r="J50" i="44" s="1"/>
  <c r="L20" i="4"/>
  <c r="I21" i="16"/>
  <c r="H21" i="44" s="1"/>
  <c r="K21" i="16"/>
  <c r="J21" i="44" s="1"/>
  <c r="J21" i="16"/>
  <c r="I21" i="44" s="1"/>
  <c r="L21" i="16"/>
  <c r="K21" i="44" s="1"/>
  <c r="I13" i="16"/>
  <c r="H13" i="44" s="1"/>
  <c r="K13" i="16"/>
  <c r="J13" i="44" s="1"/>
  <c r="J13" i="16"/>
  <c r="I13" i="44" s="1"/>
  <c r="L13" i="16"/>
  <c r="K13" i="44" s="1"/>
  <c r="L6" i="4"/>
  <c r="I7" i="16"/>
  <c r="H7" i="44" s="1"/>
  <c r="K7" i="16"/>
  <c r="J7" i="44" s="1"/>
  <c r="J7" i="16"/>
  <c r="I7" i="44" s="1"/>
  <c r="L7" i="16"/>
  <c r="K7" i="44" s="1"/>
  <c r="L49" i="4"/>
  <c r="L59" i="4"/>
  <c r="J61" i="16"/>
  <c r="I61" i="44" s="1"/>
  <c r="L61" i="16"/>
  <c r="K61" i="44" s="1"/>
  <c r="K61" i="16"/>
  <c r="J61" i="44" s="1"/>
  <c r="I61" i="16"/>
  <c r="H61" i="44" s="1"/>
  <c r="L60" i="4"/>
  <c r="J62" i="16"/>
  <c r="I62" i="44" s="1"/>
  <c r="L62" i="16"/>
  <c r="K62" i="44" s="1"/>
  <c r="K62" i="16"/>
  <c r="I62" i="16"/>
  <c r="H62" i="44" s="1"/>
  <c r="L62" i="4"/>
  <c r="J64" i="16"/>
  <c r="I64" i="44" s="1"/>
  <c r="L64" i="16"/>
  <c r="K64" i="44" s="1"/>
  <c r="K64" i="16"/>
  <c r="J64" i="44" s="1"/>
  <c r="I64" i="16"/>
  <c r="H64" i="44" s="1"/>
  <c r="L14" i="4"/>
  <c r="I15" i="16"/>
  <c r="H15" i="44" s="1"/>
  <c r="K15" i="16"/>
  <c r="J15" i="44" s="1"/>
  <c r="J15" i="16"/>
  <c r="L15" i="16"/>
  <c r="K15" i="44" s="1"/>
  <c r="L10" i="4"/>
  <c r="E11" i="37" s="1"/>
  <c r="I11" i="16"/>
  <c r="H11" i="44" s="1"/>
  <c r="K11" i="16"/>
  <c r="J11" i="44" s="1"/>
  <c r="J11" i="16"/>
  <c r="I11" i="44" s="1"/>
  <c r="L11" i="16"/>
  <c r="K11" i="44" s="1"/>
  <c r="L7" i="4"/>
  <c r="I8" i="16"/>
  <c r="H8" i="44" s="1"/>
  <c r="K8" i="16"/>
  <c r="J8" i="44" s="1"/>
  <c r="J8" i="16"/>
  <c r="I8" i="44" s="1"/>
  <c r="L8" i="16"/>
  <c r="K8" i="44" s="1"/>
  <c r="L56" i="4"/>
  <c r="J58" i="16"/>
  <c r="I58" i="44" s="1"/>
  <c r="L58" i="16"/>
  <c r="K58" i="44" s="1"/>
  <c r="I58" i="16"/>
  <c r="H58" i="44" s="1"/>
  <c r="K58" i="16"/>
  <c r="L46" i="4"/>
  <c r="J48" i="16"/>
  <c r="I48" i="44" s="1"/>
  <c r="L48" i="16"/>
  <c r="K48" i="44" s="1"/>
  <c r="I48" i="16"/>
  <c r="H48" i="44" s="1"/>
  <c r="K48" i="16"/>
  <c r="J48" i="44" s="1"/>
  <c r="L5" i="4"/>
  <c r="R5" i="4" s="1"/>
  <c r="I6" i="38" s="1"/>
  <c r="I6" i="16"/>
  <c r="H6" i="44" s="1"/>
  <c r="K6" i="16"/>
  <c r="J6" i="44" s="1"/>
  <c r="J6" i="16"/>
  <c r="I6" i="44" s="1"/>
  <c r="L6" i="16"/>
  <c r="K6" i="44" s="1"/>
  <c r="L26" i="4"/>
  <c r="I27" i="16"/>
  <c r="H27" i="44" s="1"/>
  <c r="K27" i="16"/>
  <c r="J27" i="44" s="1"/>
  <c r="J27" i="16"/>
  <c r="I27" i="44" s="1"/>
  <c r="L27" i="16"/>
  <c r="K27" i="44" s="1"/>
  <c r="L63" i="4"/>
  <c r="J65" i="16"/>
  <c r="I65" i="44" s="1"/>
  <c r="L65" i="16"/>
  <c r="K65" i="44" s="1"/>
  <c r="K65" i="16"/>
  <c r="J65" i="44" s="1"/>
  <c r="I65" i="16"/>
  <c r="H65" i="44" s="1"/>
  <c r="L11" i="4"/>
  <c r="I12" i="16"/>
  <c r="H12" i="44" s="1"/>
  <c r="K12" i="16"/>
  <c r="J12" i="44" s="1"/>
  <c r="J12" i="16"/>
  <c r="I12" i="44" s="1"/>
  <c r="L12" i="16"/>
  <c r="K12" i="44" s="1"/>
  <c r="L57" i="4"/>
  <c r="J59" i="16"/>
  <c r="I59" i="44" s="1"/>
  <c r="L59" i="16"/>
  <c r="K59" i="44" s="1"/>
  <c r="I59" i="16"/>
  <c r="H59" i="44" s="1"/>
  <c r="K59" i="16"/>
  <c r="L61" i="4"/>
  <c r="J63" i="16"/>
  <c r="I63" i="44" s="1"/>
  <c r="L63" i="16"/>
  <c r="K63" i="44" s="1"/>
  <c r="K63" i="16"/>
  <c r="I63" i="16"/>
  <c r="H63" i="44" s="1"/>
  <c r="L32" i="4"/>
  <c r="E34" i="37" s="1"/>
  <c r="I33" i="16"/>
  <c r="H33" i="44" s="1"/>
  <c r="K33" i="16"/>
  <c r="J33" i="44" s="1"/>
  <c r="J33" i="16"/>
  <c r="I33" i="44" s="1"/>
  <c r="L33" i="16"/>
  <c r="K33" i="44" s="1"/>
  <c r="L21" i="4"/>
  <c r="I22" i="16"/>
  <c r="H22" i="44" s="1"/>
  <c r="K22" i="16"/>
  <c r="J22" i="44" s="1"/>
  <c r="J22" i="16"/>
  <c r="L22" i="16"/>
  <c r="K22" i="44" s="1"/>
  <c r="L45" i="4"/>
  <c r="J47" i="16"/>
  <c r="I47" i="44" s="1"/>
  <c r="L47" i="16"/>
  <c r="K47" i="44" s="1"/>
  <c r="I47" i="16"/>
  <c r="H47" i="44" s="1"/>
  <c r="K47" i="16"/>
  <c r="J47" i="44" s="1"/>
  <c r="F36" i="38"/>
  <c r="P36" i="38" s="1"/>
  <c r="I35" i="16"/>
  <c r="H35" i="44" s="1"/>
  <c r="K35" i="16"/>
  <c r="J35" i="44" s="1"/>
  <c r="J35" i="16"/>
  <c r="I35" i="44" s="1"/>
  <c r="L35" i="16"/>
  <c r="K35" i="44" s="1"/>
  <c r="L27" i="4"/>
  <c r="I28" i="16"/>
  <c r="H28" i="44" s="1"/>
  <c r="K28" i="16"/>
  <c r="J28" i="44" s="1"/>
  <c r="J28" i="16"/>
  <c r="I28" i="44" s="1"/>
  <c r="L28" i="16"/>
  <c r="I19" i="16"/>
  <c r="H19" i="44" s="1"/>
  <c r="K19" i="16"/>
  <c r="J19" i="44" s="1"/>
  <c r="J19" i="16"/>
  <c r="I19" i="44" s="1"/>
  <c r="L19" i="16"/>
  <c r="K19" i="44" s="1"/>
  <c r="L9" i="4"/>
  <c r="I10" i="16"/>
  <c r="H10" i="44" s="1"/>
  <c r="K10" i="16"/>
  <c r="J10" i="44" s="1"/>
  <c r="J10" i="16"/>
  <c r="I10" i="44" s="1"/>
  <c r="L10" i="16"/>
  <c r="K10" i="44" s="1"/>
  <c r="L17" i="4"/>
  <c r="I18" i="16"/>
  <c r="K18" i="16"/>
  <c r="J18" i="16"/>
  <c r="L18" i="16"/>
  <c r="L23" i="4"/>
  <c r="E25" i="37" s="1"/>
  <c r="I24" i="16"/>
  <c r="H24" i="44" s="1"/>
  <c r="K24" i="16"/>
  <c r="J24" i="44" s="1"/>
  <c r="J24" i="16"/>
  <c r="I24" i="44" s="1"/>
  <c r="L24" i="16"/>
  <c r="L43" i="4"/>
  <c r="I45" i="16"/>
  <c r="J45" i="16"/>
  <c r="I45" i="44" s="1"/>
  <c r="L45" i="16"/>
  <c r="K45" i="44" s="1"/>
  <c r="K45" i="16"/>
  <c r="J45" i="44" s="1"/>
  <c r="J55" i="16"/>
  <c r="I55" i="44" s="1"/>
  <c r="L55" i="16"/>
  <c r="K55" i="44" s="1"/>
  <c r="I55" i="16"/>
  <c r="H55" i="44" s="1"/>
  <c r="K55" i="16"/>
  <c r="J55" i="44" s="1"/>
  <c r="L22" i="4"/>
  <c r="F24" i="38" s="1"/>
  <c r="P24" i="38" s="1"/>
  <c r="I23" i="16"/>
  <c r="H23" i="44" s="1"/>
  <c r="K23" i="16"/>
  <c r="J23" i="44" s="1"/>
  <c r="J23" i="16"/>
  <c r="I23" i="44" s="1"/>
  <c r="L23" i="16"/>
  <c r="K23" i="44" s="1"/>
  <c r="L54" i="4"/>
  <c r="J56" i="16"/>
  <c r="I56" i="44" s="1"/>
  <c r="L56" i="16"/>
  <c r="K56" i="44" s="1"/>
  <c r="I56" i="16"/>
  <c r="H56" i="44" s="1"/>
  <c r="K56" i="16"/>
  <c r="J56" i="44" s="1"/>
  <c r="F47" i="16"/>
  <c r="CS47" i="16" s="1"/>
  <c r="N28" i="16"/>
  <c r="E73" i="37"/>
  <c r="R69" i="4"/>
  <c r="I70" i="38" s="1"/>
  <c r="R35" i="4"/>
  <c r="I36" i="38" s="1"/>
  <c r="E2" i="37"/>
  <c r="R2" i="4"/>
  <c r="E72" i="37"/>
  <c r="R68" i="4"/>
  <c r="I69" i="38" s="1"/>
  <c r="E4" i="37"/>
  <c r="R4" i="4"/>
  <c r="I5" i="38" s="1"/>
  <c r="E31" i="37"/>
  <c r="R29" i="4"/>
  <c r="I30" i="38" s="1"/>
  <c r="F48" i="16"/>
  <c r="CS48" i="16" s="1"/>
  <c r="F20" i="16"/>
  <c r="CS20" i="16" s="1"/>
  <c r="F21" i="16"/>
  <c r="CS21" i="16" s="1"/>
  <c r="F65" i="16"/>
  <c r="CS65" i="16" s="1"/>
  <c r="F15" i="16"/>
  <c r="CS15" i="16" s="1"/>
  <c r="F45" i="16"/>
  <c r="CS45" i="16" s="1"/>
  <c r="N22" i="16"/>
  <c r="F58" i="16"/>
  <c r="CS58" i="16" s="1"/>
  <c r="E77" i="37"/>
  <c r="F25" i="16"/>
  <c r="CS25" i="16" s="1"/>
  <c r="N64" i="16"/>
  <c r="Q64" i="4" s="1"/>
  <c r="F63" i="16"/>
  <c r="CS63" i="16" s="1"/>
  <c r="F33" i="16"/>
  <c r="CS33" i="16" s="1"/>
  <c r="N11" i="16"/>
  <c r="O18" i="16"/>
  <c r="AA19" i="38" s="1"/>
  <c r="E88" i="37"/>
  <c r="E44" i="37"/>
  <c r="R40" i="4"/>
  <c r="I41" i="38" s="1"/>
  <c r="N19" i="16"/>
  <c r="F37" i="16"/>
  <c r="CS37" i="16" s="1"/>
  <c r="F13" i="16"/>
  <c r="CS13" i="16" s="1"/>
  <c r="F35" i="16"/>
  <c r="CS35" i="16" s="1"/>
  <c r="F7" i="16"/>
  <c r="CS7" i="16" s="1"/>
  <c r="N20" i="16"/>
  <c r="O49" i="16"/>
  <c r="F22" i="16"/>
  <c r="CS22" i="16" s="1"/>
  <c r="N65" i="16"/>
  <c r="Q65" i="4" s="1"/>
  <c r="N62" i="16"/>
  <c r="F12" i="16"/>
  <c r="CS12" i="16" s="1"/>
  <c r="F60" i="16"/>
  <c r="CS60" i="16" s="1"/>
  <c r="F49" i="16"/>
  <c r="CS49" i="16" s="1"/>
  <c r="F55" i="16"/>
  <c r="CS55" i="16" s="1"/>
  <c r="F27" i="16"/>
  <c r="CS27" i="16" s="1"/>
  <c r="N48" i="16"/>
  <c r="F56" i="16"/>
  <c r="CS56" i="16" s="1"/>
  <c r="N6" i="16"/>
  <c r="N50" i="16"/>
  <c r="E42" i="37"/>
  <c r="R38" i="4"/>
  <c r="I39" i="38" s="1"/>
  <c r="N10" i="16"/>
  <c r="Q9" i="4" s="1"/>
  <c r="F64" i="16"/>
  <c r="CS64" i="16" s="1"/>
  <c r="F24" i="16"/>
  <c r="CS24" i="16" s="1"/>
  <c r="F59" i="16"/>
  <c r="CS59" i="16" s="1"/>
  <c r="F6" i="16"/>
  <c r="CS6" i="16" s="1"/>
  <c r="N37" i="16"/>
  <c r="F11" i="16"/>
  <c r="CS11" i="16" s="1"/>
  <c r="N23" i="16"/>
  <c r="N7" i="16"/>
  <c r="F28" i="16"/>
  <c r="CS28" i="16" s="1"/>
  <c r="F61" i="16"/>
  <c r="CS61" i="16" s="1"/>
  <c r="N56" i="16"/>
  <c r="Q54" i="4" s="1"/>
  <c r="O20" i="16" l="1"/>
  <c r="AA21" i="38" s="1"/>
  <c r="O19" i="16"/>
  <c r="O33" i="16"/>
  <c r="R37" i="4"/>
  <c r="I38" i="38" s="1"/>
  <c r="I18" i="44"/>
  <c r="Q3" i="6"/>
  <c r="Q4" i="6"/>
  <c r="H18" i="44"/>
  <c r="P4" i="6"/>
  <c r="P3" i="6"/>
  <c r="J53" i="44"/>
  <c r="Y7" i="6"/>
  <c r="Y8" i="6"/>
  <c r="K53" i="44"/>
  <c r="Z8" i="6"/>
  <c r="Z7" i="6"/>
  <c r="CS53" i="16"/>
  <c r="M7" i="6"/>
  <c r="M8" i="6"/>
  <c r="K18" i="44"/>
  <c r="Z4" i="6"/>
  <c r="Z3" i="6"/>
  <c r="J18" i="44"/>
  <c r="Y3" i="6"/>
  <c r="Y4" i="6"/>
  <c r="H53" i="44"/>
  <c r="P8" i="6"/>
  <c r="P7" i="6"/>
  <c r="I53" i="44"/>
  <c r="Q7" i="6"/>
  <c r="Q8" i="6"/>
  <c r="CS18" i="16"/>
  <c r="M3" i="6"/>
  <c r="M4" i="6"/>
  <c r="R4" i="6" s="1"/>
  <c r="S4" i="6" s="1"/>
  <c r="V4" i="6" s="1"/>
  <c r="R8" i="6"/>
  <c r="S8" i="6" s="1"/>
  <c r="V8" i="6" s="1"/>
  <c r="X8" i="6" s="1"/>
  <c r="O21" i="16"/>
  <c r="AA22" i="38" s="1"/>
  <c r="O50" i="16"/>
  <c r="E21" i="37"/>
  <c r="R28" i="4"/>
  <c r="I29" i="38" s="1"/>
  <c r="E33" i="37"/>
  <c r="O47" i="16"/>
  <c r="AA33" i="38" s="1"/>
  <c r="O35" i="16"/>
  <c r="AA36" i="38" s="1"/>
  <c r="E30" i="37"/>
  <c r="F29" i="38"/>
  <c r="P29" i="38" s="1"/>
  <c r="F66" i="38"/>
  <c r="P66" i="38" s="1"/>
  <c r="F65" i="38"/>
  <c r="P65" i="38" s="1"/>
  <c r="F51" i="38"/>
  <c r="P51" i="38" s="1"/>
  <c r="F26" i="38"/>
  <c r="P26" i="38" s="1"/>
  <c r="E11" i="44"/>
  <c r="E55" i="44"/>
  <c r="E63" i="44"/>
  <c r="E25" i="44"/>
  <c r="E15" i="44"/>
  <c r="E65" i="44"/>
  <c r="E20" i="44"/>
  <c r="E48" i="44"/>
  <c r="E47" i="44"/>
  <c r="E53" i="44"/>
  <c r="E61" i="44"/>
  <c r="E6" i="44"/>
  <c r="E24" i="44"/>
  <c r="E56" i="44"/>
  <c r="E60" i="44"/>
  <c r="E22" i="44"/>
  <c r="E7" i="44"/>
  <c r="E13" i="44"/>
  <c r="E28" i="44"/>
  <c r="E59" i="44"/>
  <c r="E64" i="44"/>
  <c r="E27" i="44"/>
  <c r="E49" i="44"/>
  <c r="E12" i="44"/>
  <c r="E35" i="44"/>
  <c r="E37" i="44"/>
  <c r="E33" i="44"/>
  <c r="E58" i="44"/>
  <c r="E45" i="44"/>
  <c r="E21" i="44"/>
  <c r="E62" i="44"/>
  <c r="E8" i="44"/>
  <c r="E31" i="44"/>
  <c r="E23" i="44"/>
  <c r="E18" i="44"/>
  <c r="E50" i="44"/>
  <c r="O13" i="16"/>
  <c r="AA14" i="38" s="1"/>
  <c r="N18" i="16"/>
  <c r="Q18" i="4" s="1"/>
  <c r="O61" i="16"/>
  <c r="AA62" i="38" s="1"/>
  <c r="F11" i="38"/>
  <c r="P11" i="38" s="1"/>
  <c r="F49" i="38"/>
  <c r="P49" i="38" s="1"/>
  <c r="O12" i="16"/>
  <c r="AA13" i="38" s="1"/>
  <c r="F64" i="38"/>
  <c r="P64" i="38" s="1"/>
  <c r="Q6" i="4"/>
  <c r="J72" i="38"/>
  <c r="R72" i="38" s="1"/>
  <c r="J70" i="38"/>
  <c r="R70" i="38" s="1"/>
  <c r="F57" i="38"/>
  <c r="P57" i="38" s="1"/>
  <c r="F55" i="38"/>
  <c r="P55" i="38" s="1"/>
  <c r="F46" i="38"/>
  <c r="P46" i="38" s="1"/>
  <c r="F44" i="38"/>
  <c r="P44" i="38" s="1"/>
  <c r="F4" i="38"/>
  <c r="P4" i="38" s="1"/>
  <c r="F6" i="38"/>
  <c r="P6" i="38" s="1"/>
  <c r="F62" i="38"/>
  <c r="P62" i="38" s="1"/>
  <c r="F21" i="38"/>
  <c r="P21" i="38" s="1"/>
  <c r="F50" i="38"/>
  <c r="P50" i="38" s="1"/>
  <c r="J71" i="38"/>
  <c r="R71" i="38" s="1"/>
  <c r="J69" i="38"/>
  <c r="R69" i="38" s="1"/>
  <c r="F23" i="38"/>
  <c r="P23" i="38" s="1"/>
  <c r="F28" i="38"/>
  <c r="P28" i="38" s="1"/>
  <c r="F22" i="38"/>
  <c r="P22" i="38" s="1"/>
  <c r="F61" i="38"/>
  <c r="P61" i="38" s="1"/>
  <c r="F9" i="38"/>
  <c r="P9" i="38" s="1"/>
  <c r="AA51" i="38"/>
  <c r="AA35" i="38"/>
  <c r="E49" i="37"/>
  <c r="F31" i="38"/>
  <c r="P31" i="38" s="1"/>
  <c r="F60" i="38"/>
  <c r="P60" i="38" s="1"/>
  <c r="F45" i="38"/>
  <c r="P45" i="38" s="1"/>
  <c r="F59" i="38"/>
  <c r="P59" i="38" s="1"/>
  <c r="F42" i="38"/>
  <c r="P42" i="38" s="1"/>
  <c r="F8" i="38"/>
  <c r="P8" i="38" s="1"/>
  <c r="F5" i="38"/>
  <c r="P5" i="38" s="1"/>
  <c r="F32" i="38"/>
  <c r="P32" i="38" s="1"/>
  <c r="F58" i="38"/>
  <c r="P58" i="38" s="1"/>
  <c r="F41" i="38"/>
  <c r="P41" i="38" s="1"/>
  <c r="F68" i="38"/>
  <c r="P68" i="38" s="1"/>
  <c r="R65" i="4"/>
  <c r="E69" i="37"/>
  <c r="F10" i="38"/>
  <c r="P10" i="38" s="1"/>
  <c r="R8" i="4"/>
  <c r="I9" i="38" s="1"/>
  <c r="E9" i="37"/>
  <c r="F17" i="38"/>
  <c r="P17" i="38" s="1"/>
  <c r="F67" i="38"/>
  <c r="P67" i="38" s="1"/>
  <c r="R64" i="4"/>
  <c r="E68" i="37"/>
  <c r="F15" i="38"/>
  <c r="P15" i="38" s="1"/>
  <c r="F40" i="38"/>
  <c r="P40" i="38" s="1"/>
  <c r="F33" i="38"/>
  <c r="P33" i="38" s="1"/>
  <c r="F27" i="38"/>
  <c r="P27" i="38" s="1"/>
  <c r="F18" i="38"/>
  <c r="P18" i="38" s="1"/>
  <c r="L18" i="4"/>
  <c r="F20" i="38" s="1"/>
  <c r="P20" i="38" s="1"/>
  <c r="F16" i="38"/>
  <c r="P16" i="38" s="1"/>
  <c r="F63" i="38"/>
  <c r="P63" i="38" s="1"/>
  <c r="F47" i="38"/>
  <c r="P47" i="38" s="1"/>
  <c r="F37" i="38"/>
  <c r="P37" i="38" s="1"/>
  <c r="O27" i="16"/>
  <c r="AA28" i="38" s="1"/>
  <c r="O60" i="16"/>
  <c r="AA47" i="38" s="1"/>
  <c r="O37" i="16"/>
  <c r="AA38" i="38" s="1"/>
  <c r="E24" i="37"/>
  <c r="O48" i="16"/>
  <c r="R26" i="4"/>
  <c r="I27" i="38" s="1"/>
  <c r="O55" i="16"/>
  <c r="O10" i="16"/>
  <c r="AA11" i="38" s="1"/>
  <c r="R46" i="4"/>
  <c r="I47" i="38" s="1"/>
  <c r="E64" i="37"/>
  <c r="E23" i="37"/>
  <c r="O11" i="16"/>
  <c r="O25" i="16"/>
  <c r="AA18" i="38" s="1"/>
  <c r="O23" i="16"/>
  <c r="AA24" i="38" s="1"/>
  <c r="O31" i="16"/>
  <c r="AA32" i="38" s="1"/>
  <c r="O53" i="16"/>
  <c r="O7" i="16"/>
  <c r="AA8" i="38" s="1"/>
  <c r="O64" i="16"/>
  <c r="AA65" i="38" s="1"/>
  <c r="E28" i="37"/>
  <c r="E50" i="37"/>
  <c r="E39" i="37"/>
  <c r="R60" i="4"/>
  <c r="I61" i="38" s="1"/>
  <c r="R21" i="4"/>
  <c r="I22" i="38" s="1"/>
  <c r="O65" i="16"/>
  <c r="AA66" i="38" s="1"/>
  <c r="O6" i="16"/>
  <c r="O8" i="16"/>
  <c r="AA9" i="38" s="1"/>
  <c r="O56" i="16"/>
  <c r="N27" i="16"/>
  <c r="Q26" i="4" s="1"/>
  <c r="N47" i="16"/>
  <c r="Q36" i="4" s="1"/>
  <c r="N61" i="16"/>
  <c r="N21" i="16"/>
  <c r="Q20" i="4" s="1"/>
  <c r="N25" i="16"/>
  <c r="Q25" i="4" s="1"/>
  <c r="N49" i="16"/>
  <c r="AA50" i="38"/>
  <c r="N60" i="16"/>
  <c r="Q60" i="4" s="1"/>
  <c r="N31" i="16"/>
  <c r="Q30" i="4" s="1"/>
  <c r="N33" i="16"/>
  <c r="Q32" i="4" s="1"/>
  <c r="AA34" i="38"/>
  <c r="N55" i="16"/>
  <c r="Q55" i="4" s="1"/>
  <c r="N12" i="16"/>
  <c r="Q11" i="4" s="1"/>
  <c r="N35" i="16"/>
  <c r="Q35" i="4" s="1"/>
  <c r="L12" i="4"/>
  <c r="F14" i="38" s="1"/>
  <c r="P14" i="38" s="1"/>
  <c r="F56" i="38"/>
  <c r="P56" i="38" s="1"/>
  <c r="R23" i="4"/>
  <c r="I24" i="38" s="1"/>
  <c r="F25" i="38"/>
  <c r="P25" i="38" s="1"/>
  <c r="R45" i="4"/>
  <c r="I46" i="38" s="1"/>
  <c r="F48" i="38"/>
  <c r="P48" i="38" s="1"/>
  <c r="R32" i="4"/>
  <c r="I33" i="38" s="1"/>
  <c r="F34" i="38"/>
  <c r="P34" i="38" s="1"/>
  <c r="E6" i="37"/>
  <c r="F7" i="38"/>
  <c r="P7" i="38" s="1"/>
  <c r="R10" i="4"/>
  <c r="I11" i="38" s="1"/>
  <c r="F12" i="38"/>
  <c r="P12" i="38" s="1"/>
  <c r="N8" i="16"/>
  <c r="Q8" i="4" s="1"/>
  <c r="O45" i="16"/>
  <c r="AA31" i="38" s="1"/>
  <c r="H45" i="44"/>
  <c r="O24" i="16"/>
  <c r="AA17" i="38" s="1"/>
  <c r="K24" i="44"/>
  <c r="O28" i="16"/>
  <c r="AA29" i="38" s="1"/>
  <c r="K28" i="44"/>
  <c r="O22" i="16"/>
  <c r="I22" i="44"/>
  <c r="O63" i="16"/>
  <c r="J63" i="44"/>
  <c r="O59" i="16"/>
  <c r="J59" i="44"/>
  <c r="O58" i="16"/>
  <c r="J58" i="44"/>
  <c r="O15" i="16"/>
  <c r="I15" i="44"/>
  <c r="O62" i="16"/>
  <c r="AA63" i="38" s="1"/>
  <c r="J62" i="44"/>
  <c r="N13" i="16"/>
  <c r="E89" i="37"/>
  <c r="Q39" i="4"/>
  <c r="Q5" i="4"/>
  <c r="Q62" i="4"/>
  <c r="Q48" i="4"/>
  <c r="E12" i="37"/>
  <c r="R11" i="4"/>
  <c r="I12" i="38" s="1"/>
  <c r="R54" i="4"/>
  <c r="I55" i="38" s="1"/>
  <c r="E58" i="37"/>
  <c r="E7" i="37"/>
  <c r="R6" i="4"/>
  <c r="E67" i="37"/>
  <c r="R63" i="4"/>
  <c r="E81" i="37"/>
  <c r="E85" i="37"/>
  <c r="E22" i="37"/>
  <c r="R20" i="4"/>
  <c r="E47" i="37"/>
  <c r="R43" i="4"/>
  <c r="I44" i="38" s="1"/>
  <c r="R9" i="4"/>
  <c r="I10" i="38" s="1"/>
  <c r="E10" i="37"/>
  <c r="Q22" i="4"/>
  <c r="R57" i="4"/>
  <c r="I58" i="38" s="1"/>
  <c r="E61" i="37"/>
  <c r="R56" i="4"/>
  <c r="I57" i="38" s="1"/>
  <c r="E60" i="37"/>
  <c r="Q28" i="4"/>
  <c r="Q2" i="4"/>
  <c r="Q41" i="4"/>
  <c r="Q46" i="4"/>
  <c r="Q37" i="4"/>
  <c r="Q19" i="4"/>
  <c r="Q16" i="4"/>
  <c r="Q69" i="4"/>
  <c r="Q29" i="4"/>
  <c r="Q4" i="4"/>
  <c r="Q52" i="4"/>
  <c r="Q44" i="4"/>
  <c r="Q7" i="4"/>
  <c r="Q68" i="4"/>
  <c r="Q3" i="4"/>
  <c r="Q40" i="4"/>
  <c r="Q38" i="4"/>
  <c r="Q42" i="4"/>
  <c r="R3" i="4"/>
  <c r="E3" i="37"/>
  <c r="R42" i="4"/>
  <c r="I43" i="38" s="1"/>
  <c r="E46" i="37"/>
  <c r="E27" i="37"/>
  <c r="R25" i="4"/>
  <c r="E15" i="37"/>
  <c r="R14" i="4"/>
  <c r="I15" i="38" s="1"/>
  <c r="Q17" i="4"/>
  <c r="Q34" i="4"/>
  <c r="Q10" i="4"/>
  <c r="R50" i="4"/>
  <c r="I51" i="38" s="1"/>
  <c r="R22" i="4"/>
  <c r="I23" i="38" s="1"/>
  <c r="R13" i="4"/>
  <c r="I14" i="38" s="1"/>
  <c r="E14" i="37"/>
  <c r="R15" i="4"/>
  <c r="I16" i="38" s="1"/>
  <c r="E16" i="37"/>
  <c r="E29" i="37"/>
  <c r="R27" i="4"/>
  <c r="I28" i="38" s="1"/>
  <c r="E51" i="37"/>
  <c r="R47" i="4"/>
  <c r="I48" i="38" s="1"/>
  <c r="E43" i="37"/>
  <c r="R39" i="4"/>
  <c r="I40" i="38" s="1"/>
  <c r="E19" i="37"/>
  <c r="R17" i="4"/>
  <c r="I18" i="38" s="1"/>
  <c r="E36" i="37"/>
  <c r="R33" i="4"/>
  <c r="I34" i="38" s="1"/>
  <c r="R16" i="4"/>
  <c r="I17" i="38" s="1"/>
  <c r="E18" i="37"/>
  <c r="E8" i="37"/>
  <c r="R7" i="4"/>
  <c r="F3" i="38"/>
  <c r="E5" i="37"/>
  <c r="J6" i="38"/>
  <c r="R6" i="38" s="1"/>
  <c r="E65" i="37"/>
  <c r="R61" i="4"/>
  <c r="R48" i="4"/>
  <c r="I49" i="38" s="1"/>
  <c r="E52" i="37"/>
  <c r="E78" i="37"/>
  <c r="E84" i="37"/>
  <c r="E75" i="37"/>
  <c r="E59" i="37"/>
  <c r="R55" i="4"/>
  <c r="E86" i="37"/>
  <c r="R62" i="4"/>
  <c r="E66" i="37"/>
  <c r="E48" i="37"/>
  <c r="R44" i="4"/>
  <c r="I45" i="38" s="1"/>
  <c r="E26" i="37"/>
  <c r="R24" i="4"/>
  <c r="I25" i="38" s="1"/>
  <c r="R30" i="4"/>
  <c r="E32" i="37"/>
  <c r="E20" i="37"/>
  <c r="R49" i="4"/>
  <c r="I50" i="38" s="1"/>
  <c r="E53" i="37"/>
  <c r="E63" i="37"/>
  <c r="R59" i="4"/>
  <c r="E79" i="37"/>
  <c r="E56" i="37"/>
  <c r="R52" i="4"/>
  <c r="E37" i="37"/>
  <c r="J36" i="38"/>
  <c r="R36" i="38" s="1"/>
  <c r="E74" i="37"/>
  <c r="R34" i="4"/>
  <c r="I35" i="38" s="1"/>
  <c r="E38" i="37"/>
  <c r="E45" i="37"/>
  <c r="R41" i="4"/>
  <c r="I42" i="38" s="1"/>
  <c r="E76" i="37"/>
  <c r="E40" i="37"/>
  <c r="R36" i="4"/>
  <c r="I37" i="38" s="1"/>
  <c r="R58" i="4"/>
  <c r="I59" i="38" s="1"/>
  <c r="E62" i="37"/>
  <c r="R12" i="4" l="1"/>
  <c r="I13" i="38" s="1"/>
  <c r="Q12" i="4"/>
  <c r="R18" i="4"/>
  <c r="AA48" i="38"/>
  <c r="W7" i="6"/>
  <c r="W4" i="6"/>
  <c r="W3" i="6"/>
  <c r="W8" i="6"/>
  <c r="X7" i="6"/>
  <c r="Q47" i="4"/>
  <c r="Q27" i="4"/>
  <c r="I60" i="38"/>
  <c r="J60" i="38" s="1"/>
  <c r="R60" i="38" s="1"/>
  <c r="J20" i="38"/>
  <c r="R20" i="38" s="1"/>
  <c r="I19" i="38"/>
  <c r="I62" i="38"/>
  <c r="J62" i="38" s="1"/>
  <c r="R62" i="38" s="1"/>
  <c r="J27" i="38"/>
  <c r="R27" i="38" s="1"/>
  <c r="I26" i="38"/>
  <c r="J26" i="38" s="1"/>
  <c r="R26" i="38" s="1"/>
  <c r="I64" i="38"/>
  <c r="J64" i="38" s="1"/>
  <c r="R64" i="38" s="1"/>
  <c r="J5" i="38"/>
  <c r="R5" i="38" s="1"/>
  <c r="I7" i="38"/>
  <c r="J7" i="38" s="1"/>
  <c r="R7" i="38" s="1"/>
  <c r="J67" i="38"/>
  <c r="R67" i="38" s="1"/>
  <c r="I65" i="38"/>
  <c r="J65" i="38" s="1"/>
  <c r="R65" i="38" s="1"/>
  <c r="J55" i="38"/>
  <c r="R55" i="38" s="1"/>
  <c r="I53" i="38"/>
  <c r="J53" i="38" s="1"/>
  <c r="R53" i="38" s="1"/>
  <c r="J32" i="38"/>
  <c r="R32" i="38" s="1"/>
  <c r="I31" i="38"/>
  <c r="J31" i="38" s="1"/>
  <c r="R31" i="38" s="1"/>
  <c r="I63" i="38"/>
  <c r="J63" i="38" s="1"/>
  <c r="R63" i="38" s="1"/>
  <c r="J58" i="38"/>
  <c r="R58" i="38" s="1"/>
  <c r="I56" i="38"/>
  <c r="J9" i="38"/>
  <c r="R9" i="38" s="1"/>
  <c r="I8" i="38"/>
  <c r="J8" i="38" s="1"/>
  <c r="R8" i="38" s="1"/>
  <c r="I4" i="38"/>
  <c r="J4" i="38" s="1"/>
  <c r="R4" i="38" s="1"/>
  <c r="I21" i="38"/>
  <c r="J21" i="38" s="1"/>
  <c r="R21" i="38" s="1"/>
  <c r="J68" i="38"/>
  <c r="R68" i="38" s="1"/>
  <c r="I66" i="38"/>
  <c r="J66" i="38" s="1"/>
  <c r="R66" i="38" s="1"/>
  <c r="AA61" i="38"/>
  <c r="AA26" i="38"/>
  <c r="J61" i="38"/>
  <c r="R61" i="38" s="1"/>
  <c r="J44" i="38"/>
  <c r="R44" i="38" s="1"/>
  <c r="J47" i="38"/>
  <c r="R47" i="38" s="1"/>
  <c r="Q33" i="4"/>
  <c r="Q31" i="4"/>
  <c r="Q21" i="4"/>
  <c r="J51" i="38"/>
  <c r="R51" i="38" s="1"/>
  <c r="J16" i="38"/>
  <c r="R16" i="38" s="1"/>
  <c r="J19" i="38"/>
  <c r="R19" i="38" s="1"/>
  <c r="J50" i="38"/>
  <c r="R50" i="38" s="1"/>
  <c r="J59" i="38"/>
  <c r="R59" i="38" s="1"/>
  <c r="J57" i="38"/>
  <c r="R57" i="38" s="1"/>
  <c r="J25" i="38"/>
  <c r="R25" i="38" s="1"/>
  <c r="F13" i="38"/>
  <c r="P13" i="38" s="1"/>
  <c r="J37" i="38"/>
  <c r="R37" i="38" s="1"/>
  <c r="J18" i="38"/>
  <c r="R18" i="38" s="1"/>
  <c r="J45" i="38"/>
  <c r="R45" i="38" s="1"/>
  <c r="J43" i="38"/>
  <c r="R43" i="38" s="1"/>
  <c r="F19" i="38"/>
  <c r="P19" i="38" s="1"/>
  <c r="J15" i="38"/>
  <c r="R15" i="38" s="1"/>
  <c r="J22" i="38"/>
  <c r="R22" i="38" s="1"/>
  <c r="J17" i="38"/>
  <c r="R17" i="38" s="1"/>
  <c r="J46" i="38"/>
  <c r="R46" i="38" s="1"/>
  <c r="J14" i="38"/>
  <c r="R14" i="38" s="1"/>
  <c r="J12" i="38"/>
  <c r="R12" i="38" s="1"/>
  <c r="J34" i="38"/>
  <c r="R34" i="38" s="1"/>
  <c r="J48" i="38"/>
  <c r="R48" i="38" s="1"/>
  <c r="AA57" i="38"/>
  <c r="AA42" i="38"/>
  <c r="AA7" i="38"/>
  <c r="AA5" i="38"/>
  <c r="J23" i="38"/>
  <c r="R23" i="38" s="1"/>
  <c r="AA12" i="38"/>
  <c r="AA10" i="38"/>
  <c r="J28" i="38"/>
  <c r="R28" i="38" s="1"/>
  <c r="J40" i="38"/>
  <c r="R40" i="38" s="1"/>
  <c r="AA20" i="38"/>
  <c r="J10" i="38"/>
  <c r="R10" i="38" s="1"/>
  <c r="J33" i="38"/>
  <c r="R33" i="38" s="1"/>
  <c r="J35" i="38"/>
  <c r="R35" i="38" s="1"/>
  <c r="J42" i="38"/>
  <c r="R42" i="38" s="1"/>
  <c r="J29" i="38"/>
  <c r="R29" i="38" s="1"/>
  <c r="J24" i="38"/>
  <c r="R24" i="38" s="1"/>
  <c r="J11" i="38"/>
  <c r="R11" i="38" s="1"/>
  <c r="J13" i="38"/>
  <c r="R13" i="38" s="1"/>
  <c r="AA23" i="38"/>
  <c r="AA15" i="38"/>
  <c r="AA54" i="38"/>
  <c r="AA39" i="38"/>
  <c r="L53" i="4"/>
  <c r="F54" i="38" s="1"/>
  <c r="P54" i="38" s="1"/>
  <c r="N53" i="16"/>
  <c r="AA37" i="38"/>
  <c r="J49" i="38"/>
  <c r="R49" i="38" s="1"/>
  <c r="AA56" i="38"/>
  <c r="AA41" i="38"/>
  <c r="AA49" i="38"/>
  <c r="J38" i="38"/>
  <c r="R38" i="38" s="1"/>
  <c r="J30" i="38"/>
  <c r="R30" i="38" s="1"/>
  <c r="J41" i="38"/>
  <c r="R41" i="38" s="1"/>
  <c r="Q13" i="4"/>
  <c r="Q49" i="4"/>
  <c r="E13" i="37"/>
  <c r="N15" i="16"/>
  <c r="AA16" i="38"/>
  <c r="N58" i="16"/>
  <c r="Q56" i="4" s="1"/>
  <c r="AA59" i="38"/>
  <c r="N59" i="16"/>
  <c r="Q57" i="4" s="1"/>
  <c r="AA60" i="38"/>
  <c r="N63" i="16"/>
  <c r="AA64" i="38"/>
  <c r="N24" i="16"/>
  <c r="Q23" i="4" s="1"/>
  <c r="AA25" i="38"/>
  <c r="N45" i="16"/>
  <c r="Q43" i="4" s="1"/>
  <c r="AA46" i="38"/>
  <c r="P3" i="38"/>
  <c r="I3" i="38"/>
  <c r="Q61" i="4" l="1"/>
  <c r="Q63" i="4"/>
  <c r="Q14" i="4"/>
  <c r="Q15" i="4"/>
  <c r="Q45" i="4"/>
  <c r="Q59" i="4"/>
  <c r="Q58" i="4"/>
  <c r="F39" i="38"/>
  <c r="E57" i="37"/>
  <c r="R53" i="4"/>
  <c r="Q24" i="4"/>
  <c r="Q53" i="4"/>
  <c r="J3" i="38"/>
  <c r="I54" i="38" l="1"/>
  <c r="J54" i="38" s="1"/>
  <c r="R54" i="38" s="1"/>
  <c r="P39" i="38"/>
  <c r="J56" i="38"/>
  <c r="R56" i="38" s="1"/>
  <c r="J39" i="38"/>
  <c r="R3" i="38"/>
  <c r="R39" i="38" l="1"/>
  <c r="I7" i="29"/>
  <c r="Q50" i="4"/>
  <c r="M2" i="36"/>
  <c r="E51" i="16"/>
  <c r="G51" i="16"/>
  <c r="F51" i="16"/>
  <c r="H51" i="16"/>
  <c r="CU51" i="16" l="1"/>
  <c r="J51" i="16"/>
  <c r="I51" i="44" s="1"/>
  <c r="I51" i="16"/>
  <c r="H51" i="44" s="1"/>
  <c r="L51" i="16"/>
  <c r="K51" i="44" s="1"/>
  <c r="K51" i="16"/>
  <c r="L51" i="4"/>
  <c r="F52" i="38" s="1"/>
  <c r="CT51" i="16"/>
  <c r="CS51" i="16"/>
  <c r="CR51" i="16"/>
  <c r="CX5" i="16"/>
  <c r="F51" i="44"/>
  <c r="CX4" i="16"/>
  <c r="E51" i="44"/>
  <c r="CX3" i="16"/>
  <c r="D51" i="44"/>
  <c r="CX2" i="16"/>
  <c r="F7" i="29" a="1"/>
  <c r="F7" i="29" s="1"/>
  <c r="P52" i="38"/>
  <c r="F6" i="29" a="1"/>
  <c r="F6" i="29" s="1"/>
  <c r="G51" i="44"/>
  <c r="N51" i="16"/>
  <c r="Q51" i="4" s="1"/>
  <c r="E55" i="37"/>
  <c r="R51" i="4"/>
  <c r="J51" i="44" l="1"/>
  <c r="O51" i="16"/>
  <c r="AA52" i="38" s="1"/>
  <c r="I52" i="38"/>
  <c r="J52" i="38" s="1"/>
  <c r="F8" i="29"/>
  <c r="I6" i="29" l="1"/>
  <c r="I8" i="29" s="1"/>
  <c r="R52" i="3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tc={A8E0E46F-EA1B-4DCE-A21A-43F7E0018088}</author>
    <author>tc={1744C1DB-E677-498D-9451-9006ADE41BF0}</author>
    <author>tc={046C1FAF-A301-4F0E-86A0-F8E344EB5AA7}</author>
  </authors>
  <commentList>
    <comment ref="M1" authorId="0" shapeId="0" xr:uid="{A8E0E46F-EA1B-4DCE-A21A-43F7E0018088}">
      <text>
        <t>[Threaded comment]
Your version of Excel allows you to read this threaded comment; however, any edits to it will get removed if the file is opened in a newer version of Excel. Learn more: https://go.microsoft.com/fwlink/?linkid=870924
Comment:
    UPDATE LGD MAPPING IN LGD DATA TAB</t>
      </text>
    </comment>
    <comment ref="M46" authorId="1" shapeId="0" xr:uid="{1744C1DB-E677-498D-9451-9006ADE41BF0}">
      <text>
        <t>[Threaded comment]
Your version of Excel allows you to read this threaded comment; however, any edits to it will get removed if the file is opened in a newer version of Excel. Learn more: https://go.microsoft.com/fwlink/?linkid=870924
Comment:
    Updated in April 2021</t>
      </text>
    </comment>
    <comment ref="N46" authorId="2" shapeId="0" xr:uid="{046C1FAF-A301-4F0E-86A0-F8E344EB5AA7}">
      <text>
        <t>[Threaded comment]
Your version of Excel allows you to read this threaded comment; however, any edits to it will get removed if the file is opened in a newer version of Excel. Learn more: https://go.microsoft.com/fwlink/?linkid=870924
Comment:
    Updated in April 2021</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tc={61DBC33C-EBA9-4A2A-8271-F98DB52C849E}</author>
    <author>tc={78A20703-EA93-4A54-A101-FBA69AB98944}</author>
    <author>tc={4C0D97A3-426C-4FC1-9036-0422FE83E341}</author>
    <author>tc={1ACBAB9B-12B1-4E39-8B82-6685988EBF32}</author>
    <author>tc={E668FAC3-9E10-4F81-A562-27D829CD65E9}</author>
    <author>tc={1CACA348-157A-4ECD-A68A-399F3B0B8596}</author>
  </authors>
  <commentList>
    <comment ref="I1" authorId="0" shapeId="0" xr:uid="{61DBC33C-EBA9-4A2A-8271-F98DB52C849E}">
      <text>
        <t>[Threaded comment]
Your version of Excel allows you to read this threaded comment; however, any edits to it will get removed if the file is opened in a newer version of Excel. Learn more: https://go.microsoft.com/fwlink/?linkid=870924
Comment:
    Verify cumulative formula</t>
      </text>
    </comment>
    <comment ref="R11" authorId="1" shapeId="0" xr:uid="{78A20703-EA93-4A54-A101-FBA69AB98944}">
      <text>
        <t>[Threaded comment]
Your version of Excel allows you to read this threaded comment; however, any edits to it will get removed if the file is opened in a newer version of Excel. Learn more: https://go.microsoft.com/fwlink/?linkid=870924
Comment:
    To be discussed. also, apply this on column I to M</t>
      </text>
    </comment>
    <comment ref="AP11" authorId="2" shapeId="0" xr:uid="{4C0D97A3-426C-4FC1-9036-0422FE83E341}">
      <text>
        <t>[Threaded comment]
Your version of Excel allows you to read this threaded comment; however, any edits to it will get removed if the file is opened in a newer version of Excel. Learn more: https://go.microsoft.com/fwlink/?linkid=870924
Comment:
    To be discussed. also, apply this on column I to M</t>
      </text>
    </comment>
    <comment ref="BF11" authorId="3" shapeId="0" xr:uid="{1ACBAB9B-12B1-4E39-8B82-6685988EBF32}">
      <text>
        <t>[Threaded comment]
Your version of Excel allows you to read this threaded comment; however, any edits to it will get removed if the file is opened in a newer version of Excel. Learn more: https://go.microsoft.com/fwlink/?linkid=870924
Comment:
    To be discussed. also, apply this on column I to M</t>
      </text>
    </comment>
    <comment ref="BU11" authorId="4" shapeId="0" xr:uid="{E668FAC3-9E10-4F81-A562-27D829CD65E9}">
      <text>
        <t>[Threaded comment]
Your version of Excel allows you to read this threaded comment; however, any edits to it will get removed if the file is opened in a newer version of Excel. Learn more: https://go.microsoft.com/fwlink/?linkid=870924
Comment:
    To be discussed. also, apply this on column I to M</t>
      </text>
    </comment>
    <comment ref="H17" authorId="5" shapeId="0" xr:uid="{1CACA348-157A-4ECD-A68A-399F3B0B8596}">
      <text>
        <t>[Threaded comment]
Your version of Excel allows you to read this threaded comment; however, any edits to it will get removed if the file is opened in a newer version of Excel. Learn more: https://go.microsoft.com/fwlink/?linkid=870924
Comment:
    Updated from NCino as 2.89%</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Chetan Goel</author>
    <author>Sharad Bansal</author>
  </authors>
  <commentList>
    <comment ref="AK54" authorId="0" shapeId="0" xr:uid="{BFBDD5D5-D66B-4C44-8541-760D61BB55DB}">
      <text>
        <r>
          <rPr>
            <b/>
            <sz val="9"/>
            <color indexed="81"/>
            <rFont val="Tahoma"/>
            <family val="2"/>
          </rPr>
          <t>Sharad Bansal:</t>
        </r>
        <r>
          <rPr>
            <sz val="9"/>
            <color indexed="81"/>
            <rFont val="Tahoma"/>
            <family val="2"/>
          </rPr>
          <t xml:space="preserve">
SME Scalar also applies bringing the RWA down to c. 76%</t>
        </r>
      </text>
    </comment>
    <comment ref="AK58" authorId="0" shapeId="0" xr:uid="{19BFE120-959C-43BF-AAE2-B4E591266985}">
      <text>
        <r>
          <rPr>
            <b/>
            <sz val="9"/>
            <color indexed="81"/>
            <rFont val="Tahoma"/>
            <family val="2"/>
          </rPr>
          <t>Sharad Bansal:</t>
        </r>
        <r>
          <rPr>
            <sz val="9"/>
            <color indexed="81"/>
            <rFont val="Tahoma"/>
            <family val="2"/>
          </rPr>
          <t xml:space="preserve">
SME Scalar also applies bringing the RWA down to c. 27%</t>
        </r>
      </text>
    </comment>
    <comment ref="AK63" authorId="0" shapeId="0" xr:uid="{FDE3E862-C0F4-411E-8D46-14A1ECCBD194}">
      <text>
        <r>
          <rPr>
            <b/>
            <sz val="9"/>
            <color indexed="81"/>
            <rFont val="Tahoma"/>
            <family val="2"/>
          </rPr>
          <t>Sharad Bansal:</t>
        </r>
        <r>
          <rPr>
            <sz val="9"/>
            <color indexed="81"/>
            <rFont val="Tahoma"/>
            <family val="2"/>
          </rPr>
          <t xml:space="preserve">
SME Scalar also applies bringing the RWA down to c. 76%</t>
        </r>
      </text>
    </comment>
    <comment ref="AK66" authorId="0" shapeId="0" xr:uid="{31DC8020-C82C-4DD3-8E02-5D7BD5DDC30E}">
      <text>
        <r>
          <rPr>
            <b/>
            <sz val="9"/>
            <color indexed="81"/>
            <rFont val="Tahoma"/>
            <family val="2"/>
          </rPr>
          <t>Sharad Bansal:</t>
        </r>
        <r>
          <rPr>
            <sz val="9"/>
            <color indexed="81"/>
            <rFont val="Tahoma"/>
            <family val="2"/>
          </rPr>
          <t xml:space="preserve">
SME Scalar also applies bringing the RWA down to c. 27%</t>
        </r>
      </text>
    </comment>
    <comment ref="AK67" authorId="0" shapeId="0" xr:uid="{B149F148-BC5A-4069-996F-5460AACECA36}">
      <text>
        <r>
          <rPr>
            <b/>
            <sz val="9"/>
            <color indexed="81"/>
            <rFont val="Tahoma"/>
            <family val="2"/>
          </rPr>
          <t>Sharad Bansal:</t>
        </r>
        <r>
          <rPr>
            <sz val="9"/>
            <color indexed="81"/>
            <rFont val="Tahoma"/>
            <family val="2"/>
          </rPr>
          <t xml:space="preserve">
SME Scalar also applies bringing the RWA down to c. 27%</t>
        </r>
      </text>
    </comment>
    <comment ref="O71" authorId="1" shapeId="0" xr:uid="{35BCC97F-FC67-4D3C-ACD3-4561A5D44642}">
      <text>
        <r>
          <rPr>
            <b/>
            <sz val="9"/>
            <color indexed="81"/>
            <rFont val="Tahoma"/>
            <family val="2"/>
          </rPr>
          <t>Sharad Bansal:</t>
        </r>
        <r>
          <rPr>
            <sz val="9"/>
            <color indexed="81"/>
            <rFont val="Tahoma"/>
            <family val="2"/>
          </rPr>
          <t xml:space="preserve">
Development Tranche: £33.9m is uncommited and on-demand facility
Investment Tranche: £7.5m in commited facility</t>
        </r>
      </text>
    </comment>
    <comment ref="B89" authorId="1" shapeId="0" xr:uid="{DA5FDF25-538B-452A-9C25-219A7132C0B7}">
      <text>
        <r>
          <rPr>
            <b/>
            <sz val="9"/>
            <color indexed="81"/>
            <rFont val="Tahoma"/>
            <family val="2"/>
          </rPr>
          <t>Sharad Bansal:</t>
        </r>
        <r>
          <rPr>
            <sz val="9"/>
            <color indexed="81"/>
            <rFont val="Tahoma"/>
            <family val="2"/>
          </rPr>
          <t xml:space="preserve">
Name changed from "Hilltop Credit Partners Limited" to "HT Holdings S.a.r.l.</t>
        </r>
      </text>
    </comment>
    <comment ref="E89" authorId="1" shapeId="0" xr:uid="{BC86DFC0-0F74-40A6-9DF2-87B0E8776137}">
      <text>
        <r>
          <rPr>
            <b/>
            <sz val="9"/>
            <color indexed="81"/>
            <rFont val="Tahoma"/>
            <family val="2"/>
          </rPr>
          <t>Sharad Bansal:</t>
        </r>
        <r>
          <rPr>
            <sz val="9"/>
            <color indexed="81"/>
            <rFont val="Tahoma"/>
            <family val="2"/>
          </rPr>
          <t xml:space="preserve">
Name changed from "Hilltop Credit Partners Limited" to "HT Holdings S.a.r.l.</t>
        </r>
      </text>
    </comment>
    <comment ref="H89" authorId="1" shapeId="0" xr:uid="{114A5CB7-4058-41D1-B92C-D65003611A44}">
      <text>
        <r>
          <rPr>
            <b/>
            <sz val="9"/>
            <color indexed="81"/>
            <rFont val="Tahoma"/>
            <family val="2"/>
          </rPr>
          <t>Sharad Bansal:</t>
        </r>
        <r>
          <rPr>
            <sz val="9"/>
            <color indexed="81"/>
            <rFont val="Tahoma"/>
            <family val="2"/>
          </rPr>
          <t xml:space="preserve">
Name changed from "Hilltop Credit Partners Limited" to "HT Holdings S.a.r.l.</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Ankur Singh</author>
  </authors>
  <commentList>
    <comment ref="E5" authorId="0" shapeId="0" xr:uid="{EA06F73B-CF3E-4883-9E7D-EDC8F1C06868}">
      <text>
        <r>
          <rPr>
            <b/>
            <sz val="9"/>
            <color indexed="81"/>
            <rFont val="Tahoma"/>
            <family val="2"/>
          </rPr>
          <t>Ankur Singh:</t>
        </r>
        <r>
          <rPr>
            <sz val="9"/>
            <color indexed="81"/>
            <rFont val="Tahoma"/>
            <family val="2"/>
          </rPr>
          <t xml:space="preserve">
HMT</t>
        </r>
      </text>
    </comment>
    <comment ref="F5" authorId="0" shapeId="0" xr:uid="{226E6683-6EC5-4914-ADA3-A519EC4E3C58}">
      <text>
        <r>
          <rPr>
            <b/>
            <sz val="9"/>
            <color indexed="81"/>
            <rFont val="Tahoma"/>
            <family val="2"/>
          </rPr>
          <t>Ankur Singh:</t>
        </r>
        <r>
          <rPr>
            <sz val="9"/>
            <color indexed="81"/>
            <rFont val="Tahoma"/>
            <family val="2"/>
          </rPr>
          <t xml:space="preserve">
HMT</t>
        </r>
      </text>
    </comment>
    <comment ref="H5" authorId="0" shapeId="0" xr:uid="{DD50F320-3C2B-418B-A6B0-39F9BA848FCD}">
      <text>
        <r>
          <rPr>
            <b/>
            <sz val="9"/>
            <color indexed="81"/>
            <rFont val="Tahoma"/>
            <family val="2"/>
          </rPr>
          <t>Ankur Singh:</t>
        </r>
        <r>
          <rPr>
            <sz val="9"/>
            <color indexed="81"/>
            <rFont val="Tahoma"/>
            <family val="2"/>
          </rPr>
          <t xml:space="preserve">
HMT ST AND MED combined</t>
        </r>
      </text>
    </comment>
    <comment ref="I5" authorId="0" shapeId="0" xr:uid="{63DE6953-21DE-4C43-A9A0-FECE4F5200FB}">
      <text>
        <r>
          <rPr>
            <b/>
            <sz val="9"/>
            <color indexed="81"/>
            <rFont val="Tahoma"/>
            <family val="2"/>
          </rPr>
          <t>Ankur Singh:</t>
        </r>
        <r>
          <rPr>
            <sz val="9"/>
            <color indexed="81"/>
            <rFont val="Tahoma"/>
            <family val="2"/>
          </rPr>
          <t xml:space="preserve">
HMT ST AND MT</t>
        </r>
      </text>
    </comment>
    <comment ref="J5" authorId="0" shapeId="0" xr:uid="{8F24F231-0419-4CA3-AFC8-7B75E650B81C}">
      <text>
        <r>
          <rPr>
            <b/>
            <sz val="9"/>
            <color indexed="81"/>
            <rFont val="Tahoma"/>
            <family val="2"/>
          </rPr>
          <t>Ankur Singh:</t>
        </r>
        <r>
          <rPr>
            <sz val="9"/>
            <color indexed="81"/>
            <rFont val="Tahoma"/>
            <family val="2"/>
          </rPr>
          <t xml:space="preserve">
HMT ST AND MT</t>
        </r>
      </text>
    </comment>
    <comment ref="K5" authorId="0" shapeId="0" xr:uid="{F387BEA9-5313-42CB-8EE1-A8571121F257}">
      <text>
        <r>
          <rPr>
            <b/>
            <sz val="9"/>
            <color indexed="81"/>
            <rFont val="Tahoma"/>
            <family val="2"/>
          </rPr>
          <t>Ankur Singh:</t>
        </r>
        <r>
          <rPr>
            <sz val="9"/>
            <color indexed="81"/>
            <rFont val="Tahoma"/>
            <family val="2"/>
          </rPr>
          <t xml:space="preserve">
HMT ST AND MT</t>
        </r>
      </text>
    </comment>
    <comment ref="C6" authorId="0" shapeId="0" xr:uid="{1B234790-5236-4EFC-8452-0BAE18782F61}">
      <text>
        <r>
          <rPr>
            <b/>
            <sz val="9"/>
            <color indexed="81"/>
            <rFont val="Tahoma"/>
            <family val="2"/>
          </rPr>
          <t>Ankur Singh:</t>
        </r>
        <r>
          <rPr>
            <sz val="9"/>
            <color indexed="81"/>
            <rFont val="Tahoma"/>
            <family val="2"/>
          </rPr>
          <t xml:space="preserve">
HMT ST </t>
        </r>
      </text>
    </comment>
    <comment ref="D6" authorId="0" shapeId="0" xr:uid="{398574C6-40D0-42DE-A1B0-E8E7BE6C8B8A}">
      <text>
        <r>
          <rPr>
            <b/>
            <sz val="9"/>
            <color indexed="81"/>
            <rFont val="Tahoma"/>
            <family val="2"/>
          </rPr>
          <t>Ankur Singh:</t>
        </r>
        <r>
          <rPr>
            <sz val="9"/>
            <color indexed="81"/>
            <rFont val="Tahoma"/>
            <family val="2"/>
          </rPr>
          <t xml:space="preserve">
HMT</t>
        </r>
      </text>
    </comment>
    <comment ref="G6" authorId="0" shapeId="0" xr:uid="{E0A738C6-96C2-44D6-B320-46EE671EE4C0}">
      <text>
        <r>
          <rPr>
            <b/>
            <sz val="9"/>
            <color indexed="81"/>
            <rFont val="Tahoma"/>
            <family val="2"/>
          </rPr>
          <t>Ankur Singh:</t>
        </r>
        <r>
          <rPr>
            <sz val="9"/>
            <color indexed="81"/>
            <rFont val="Tahoma"/>
            <family val="2"/>
          </rPr>
          <t xml:space="preserve">
HMT ST</t>
        </r>
      </text>
    </comment>
    <comment ref="C7" authorId="0" shapeId="0" xr:uid="{BC3F0015-D67D-4D5D-835A-548DD4494FC4}">
      <text>
        <r>
          <rPr>
            <b/>
            <sz val="9"/>
            <color indexed="81"/>
            <rFont val="Tahoma"/>
            <family val="2"/>
          </rPr>
          <t>Ankur Singh:</t>
        </r>
        <r>
          <rPr>
            <sz val="9"/>
            <color indexed="81"/>
            <rFont val="Tahoma"/>
            <family val="2"/>
          </rPr>
          <t xml:space="preserve">
INCL HMT PROJ FOR 2021</t>
        </r>
      </text>
    </comment>
    <comment ref="D7" authorId="0" shapeId="0" xr:uid="{F0677133-6C92-47D0-A769-B3E704590A55}">
      <text>
        <r>
          <rPr>
            <b/>
            <sz val="9"/>
            <color indexed="81"/>
            <rFont val="Tahoma"/>
            <family val="2"/>
          </rPr>
          <t>Ankur Singh:</t>
        </r>
        <r>
          <rPr>
            <sz val="9"/>
            <color indexed="81"/>
            <rFont val="Tahoma"/>
            <family val="2"/>
          </rPr>
          <t xml:space="preserve">
HMT</t>
        </r>
      </text>
    </comment>
    <comment ref="G7" authorId="0" shapeId="0" xr:uid="{A985913F-3F33-4AE8-A14B-3EDCC43E80DB}">
      <text>
        <r>
          <rPr>
            <b/>
            <sz val="9"/>
            <color indexed="81"/>
            <rFont val="Tahoma"/>
            <family val="2"/>
          </rPr>
          <t>Ankur Singh:</t>
        </r>
        <r>
          <rPr>
            <sz val="9"/>
            <color indexed="81"/>
            <rFont val="Tahoma"/>
            <family val="2"/>
          </rPr>
          <t xml:space="preserve">
HMT ST</t>
        </r>
      </text>
    </comment>
    <comment ref="C8" authorId="0" shapeId="0" xr:uid="{5F529408-FF9D-4713-8395-8DF59CA4D6BF}">
      <text>
        <r>
          <rPr>
            <b/>
            <sz val="9"/>
            <color indexed="81"/>
            <rFont val="Tahoma"/>
            <family val="2"/>
          </rPr>
          <t>Ankur Singh:</t>
        </r>
        <r>
          <rPr>
            <sz val="9"/>
            <color indexed="81"/>
            <rFont val="Tahoma"/>
            <family val="2"/>
          </rPr>
          <t xml:space="preserve">
INCL HMT PROJ FOR 2021</t>
        </r>
      </text>
    </comment>
    <comment ref="C9" authorId="0" shapeId="0" xr:uid="{C4BFFDFC-D5A3-46A9-AC45-305DF33404A4}">
      <text>
        <r>
          <rPr>
            <b/>
            <sz val="9"/>
            <color indexed="81"/>
            <rFont val="Tahoma"/>
            <family val="2"/>
          </rPr>
          <t>Ankur Singh:</t>
        </r>
        <r>
          <rPr>
            <sz val="9"/>
            <color indexed="81"/>
            <rFont val="Tahoma"/>
            <family val="2"/>
          </rPr>
          <t xml:space="preserve">
INCL HMT PROJ FOR 2021</t>
        </r>
      </text>
    </comment>
    <comment ref="C10" authorId="0" shapeId="0" xr:uid="{F4B87CC6-1129-419D-853C-FF367DC3CDDE}">
      <text>
        <r>
          <rPr>
            <b/>
            <sz val="9"/>
            <color indexed="81"/>
            <rFont val="Tahoma"/>
            <family val="2"/>
          </rPr>
          <t>Ankur Singh:</t>
        </r>
        <r>
          <rPr>
            <sz val="9"/>
            <color indexed="81"/>
            <rFont val="Tahoma"/>
            <family val="2"/>
          </rPr>
          <t xml:space="preserve">
HMT ST</t>
        </r>
      </text>
    </comment>
    <comment ref="C11" authorId="0" shapeId="0" xr:uid="{2ED424AF-CB7F-4B63-BA62-AF7B95875F17}">
      <text>
        <r>
          <rPr>
            <b/>
            <sz val="9"/>
            <color indexed="81"/>
            <rFont val="Tahoma"/>
            <family val="2"/>
          </rPr>
          <t>Ankur Singh:</t>
        </r>
        <r>
          <rPr>
            <sz val="9"/>
            <color indexed="81"/>
            <rFont val="Tahoma"/>
            <family val="2"/>
          </rPr>
          <t xml:space="preserve">
MPC</t>
        </r>
      </text>
    </comment>
    <comment ref="D11" authorId="0" shapeId="0" xr:uid="{4F5EC6DB-D675-4038-861E-CDC963E363CD}">
      <text>
        <r>
          <rPr>
            <b/>
            <sz val="9"/>
            <color indexed="81"/>
            <rFont val="Tahoma"/>
            <family val="2"/>
          </rPr>
          <t>Ankur Singh:</t>
        </r>
        <r>
          <rPr>
            <sz val="9"/>
            <color indexed="81"/>
            <rFont val="Tahoma"/>
            <family val="2"/>
          </rPr>
          <t xml:space="preserve">
HMT MED TERM</t>
        </r>
      </text>
    </comment>
    <comment ref="G11" authorId="0" shapeId="0" xr:uid="{632BCE79-7F0C-482A-8429-0C7D3944D2AD}">
      <text>
        <r>
          <rPr>
            <b/>
            <sz val="9"/>
            <color indexed="81"/>
            <rFont val="Tahoma"/>
            <family val="2"/>
          </rPr>
          <t>Ankur Singh:</t>
        </r>
        <r>
          <rPr>
            <sz val="9"/>
            <color indexed="81"/>
            <rFont val="Tahoma"/>
            <family val="2"/>
          </rPr>
          <t xml:space="preserve">
MPC</t>
        </r>
      </text>
    </comment>
    <comment ref="C12" authorId="0" shapeId="0" xr:uid="{08E01F00-A6B8-48AA-A65D-01304C961DA7}">
      <text>
        <r>
          <rPr>
            <b/>
            <sz val="9"/>
            <color indexed="81"/>
            <rFont val="Tahoma"/>
            <family val="2"/>
          </rPr>
          <t>Ankur Singh:</t>
        </r>
        <r>
          <rPr>
            <sz val="9"/>
            <color indexed="81"/>
            <rFont val="Tahoma"/>
            <family val="2"/>
          </rPr>
          <t xml:space="preserve">
MPC</t>
        </r>
      </text>
    </comment>
    <comment ref="D12" authorId="0" shapeId="0" xr:uid="{6B40B8E6-2548-4A30-8EBE-1886C7FAEFE0}">
      <text>
        <r>
          <rPr>
            <b/>
            <sz val="9"/>
            <color indexed="81"/>
            <rFont val="Tahoma"/>
            <family val="2"/>
          </rPr>
          <t>Ankur Singh:</t>
        </r>
        <r>
          <rPr>
            <sz val="9"/>
            <color indexed="81"/>
            <rFont val="Tahoma"/>
            <family val="2"/>
          </rPr>
          <t xml:space="preserve">
HMT MED TERM</t>
        </r>
      </text>
    </comment>
    <comment ref="G12" authorId="0" shapeId="0" xr:uid="{6502CD1C-62E9-4F6C-968A-72E81887F471}">
      <text>
        <r>
          <rPr>
            <b/>
            <sz val="9"/>
            <color indexed="81"/>
            <rFont val="Tahoma"/>
            <family val="2"/>
          </rPr>
          <t>Ankur Singh:</t>
        </r>
        <r>
          <rPr>
            <sz val="9"/>
            <color indexed="81"/>
            <rFont val="Tahoma"/>
            <family val="2"/>
          </rPr>
          <t xml:space="preserve">
MPC</t>
        </r>
      </text>
    </comment>
    <comment ref="C13" authorId="0" shapeId="0" xr:uid="{2813344C-8159-4D1F-A234-671AFA7A75A7}">
      <text>
        <r>
          <rPr>
            <b/>
            <sz val="9"/>
            <color indexed="81"/>
            <rFont val="Tahoma"/>
            <family val="2"/>
          </rPr>
          <t>Ankur Singh:</t>
        </r>
        <r>
          <rPr>
            <sz val="9"/>
            <color indexed="81"/>
            <rFont val="Tahoma"/>
            <family val="2"/>
          </rPr>
          <t xml:space="preserve">
MPC</t>
        </r>
      </text>
    </comment>
    <comment ref="D13" authorId="0" shapeId="0" xr:uid="{2205C392-18A2-40D5-B98C-4604F905A41F}">
      <text>
        <r>
          <rPr>
            <b/>
            <sz val="9"/>
            <color indexed="81"/>
            <rFont val="Tahoma"/>
            <family val="2"/>
          </rPr>
          <t>Ankur Singh:</t>
        </r>
        <r>
          <rPr>
            <sz val="9"/>
            <color indexed="81"/>
            <rFont val="Tahoma"/>
            <family val="2"/>
          </rPr>
          <t xml:space="preserve">
HMT MED TERM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Ankur Singh</author>
  </authors>
  <commentList>
    <comment ref="H86" authorId="0" shapeId="0" xr:uid="{40A6DBEC-2142-4D27-890F-82B7AF74AC16}">
      <text>
        <r>
          <rPr>
            <b/>
            <sz val="9"/>
            <color indexed="81"/>
            <rFont val="Tahoma"/>
            <family val="2"/>
          </rPr>
          <t>Ankur Singh:</t>
        </r>
        <r>
          <rPr>
            <sz val="9"/>
            <color indexed="81"/>
            <rFont val="Tahoma"/>
            <family val="2"/>
          </rPr>
          <t xml:space="preserve">
nationwide forecast Aug'20</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Ankur Singh</author>
  </authors>
  <commentList>
    <comment ref="H86" authorId="0" shapeId="0" xr:uid="{5CDE1D80-DD36-4F17-ABAC-DAE641B859A3}">
      <text>
        <r>
          <rPr>
            <b/>
            <sz val="9"/>
            <color indexed="81"/>
            <rFont val="Tahoma"/>
            <family val="2"/>
          </rPr>
          <t>Ankur Singh:</t>
        </r>
        <r>
          <rPr>
            <sz val="9"/>
            <color indexed="81"/>
            <rFont val="Tahoma"/>
            <family val="2"/>
          </rPr>
          <t xml:space="preserve">
nationwide forecast Aug'20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Ankur Singh</author>
  </authors>
  <commentList>
    <comment ref="H86" authorId="0" shapeId="0" xr:uid="{3770EDB4-75F4-40D3-B0CB-4D99341AC5ED}">
      <text>
        <r>
          <rPr>
            <b/>
            <sz val="9"/>
            <color indexed="81"/>
            <rFont val="Tahoma"/>
            <family val="2"/>
          </rPr>
          <t>Ankur Singh:</t>
        </r>
        <r>
          <rPr>
            <sz val="9"/>
            <color indexed="81"/>
            <rFont val="Tahoma"/>
            <family val="2"/>
          </rPr>
          <t xml:space="preserve">
nationwide forecast Aug'20</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<sst xmlns="http://schemas.openxmlformats.org/spreadsheetml/2006/main" count="27736" uniqueCount="5431">
  <si>
    <t>Obligor Name</t>
  </si>
  <si>
    <t>Obligor Key</t>
  </si>
  <si>
    <t>Statement Date - Year</t>
  </si>
  <si>
    <t>Statement Date - Month</t>
  </si>
  <si>
    <t>Current Date - Year</t>
  </si>
  <si>
    <t>Current Date - Month</t>
  </si>
  <si>
    <t>Cash at Bank and in Hand</t>
  </si>
  <si>
    <t>Trade Debtors</t>
  </si>
  <si>
    <t>Trade Debtors (Prev. Year)</t>
  </si>
  <si>
    <t>Total Assets  Less Current Liabilities</t>
  </si>
  <si>
    <t>Total Assets  Less Current Liabilities (Prev. Year)</t>
  </si>
  <si>
    <t>Trade Creditors</t>
  </si>
  <si>
    <t>Provisions for Liabilities And Charges</t>
  </si>
  <si>
    <t>Creditors (&lt;1 Yr)</t>
  </si>
  <si>
    <t>Creditors (&lt;1 Yr) (Prev. Year)</t>
  </si>
  <si>
    <t>Creditors (&gt;1 Yr)</t>
  </si>
  <si>
    <t>Turnover</t>
  </si>
  <si>
    <t>Turnover (Prev. Year)</t>
  </si>
  <si>
    <t>Amortization And Depreciation</t>
  </si>
  <si>
    <t>Interest Payable</t>
  </si>
  <si>
    <t>Operating Profit</t>
  </si>
  <si>
    <t>Profit (Loss) For Period</t>
  </si>
  <si>
    <t>Profit (Loss) For Period (Prev. Year)</t>
  </si>
  <si>
    <t>Industry Classification</t>
  </si>
  <si>
    <t>Industry Definition</t>
  </si>
  <si>
    <t>User-Defined Time Period</t>
  </si>
  <si>
    <t>Financial Statement Only EDF</t>
  </si>
  <si>
    <t>1-Year Bond Default Rate Mapping</t>
  </si>
  <si>
    <t>5-Year Bond Default Rate Mapping</t>
  </si>
  <si>
    <t>1-Year Percentile</t>
  </si>
  <si>
    <t>5-Year Percentile</t>
  </si>
  <si>
    <t>Cumulative 1-Yr. EDF</t>
  </si>
  <si>
    <t>Cumulative 2-Yr. EDF</t>
  </si>
  <si>
    <t>Cumulative 3-Yr. EDF</t>
  </si>
  <si>
    <t>Cumulative 4-Yr. EDF</t>
  </si>
  <si>
    <t>Cumulative 5-Yr. EDF</t>
  </si>
  <si>
    <t>Forward 1-Yr. EDF</t>
  </si>
  <si>
    <t>Forward 2-Yr. EDF</t>
  </si>
  <si>
    <t>Forward 3-Yr. EDF</t>
  </si>
  <si>
    <t>Forward 4-Yr. EDF</t>
  </si>
  <si>
    <t>Forward 5-Yr. EDF</t>
  </si>
  <si>
    <t>Annualized 1-Yr. EDF</t>
  </si>
  <si>
    <t>Annualized 2-Yr. EDF</t>
  </si>
  <si>
    <t>Annualized 3-Yr. EDF</t>
  </si>
  <si>
    <t>Annualized 4-Yr. EDF</t>
  </si>
  <si>
    <t>Annualized 5-Yr. EDF</t>
  </si>
  <si>
    <t>User-Defined Time EDF</t>
  </si>
  <si>
    <t>Rel. Contrib. 1 Yr: Trade Creditors / Turnover</t>
  </si>
  <si>
    <t>Rel. Contrib. 1 Yr: Change in AR / Sales</t>
  </si>
  <si>
    <t>Rel. Contrib. 1 Yr: EBITDA / Interest Payable</t>
  </si>
  <si>
    <t>Rel. Contrib. 1 Yr: Sales Growth</t>
  </si>
  <si>
    <t>Rel. Contrib. 1 Yr: Change in ROA</t>
  </si>
  <si>
    <t>Rel. Contrib. 1 Yr: Liabilities and Provisions / Total Assets</t>
  </si>
  <si>
    <t>Rel. Contrib. 1 Yr: Cash At Bank and In Hand / Creditors (&lt;1yr)</t>
  </si>
  <si>
    <t>Rel. Contrib. 1 Yr: Net Profit(Loss) / Turnover</t>
  </si>
  <si>
    <t>Rel. Contrib. 1 Yr: Real Total Assets</t>
  </si>
  <si>
    <t>Rel. Contrib. 5 Yr: Trade Creditors / Turnover</t>
  </si>
  <si>
    <t>Rel. Contrib. 5 Yr: Change in AR / Sales</t>
  </si>
  <si>
    <t>Rel. Contrib. 5 Yr: EBITDA / Interest Payable</t>
  </si>
  <si>
    <t>Rel. Contrib. 5 Yr: Sales Growth</t>
  </si>
  <si>
    <t>Rel. Contrib. 5 Yr: Change in ROA</t>
  </si>
  <si>
    <t>Rel. Contrib. 5 Yr: Liabilities and Provisions / Total Assets</t>
  </si>
  <si>
    <t>Rel. Contrib. 5 Yr: Cash At Bank and In Hand / Creditors (&lt;1yr)</t>
  </si>
  <si>
    <t>Rel. Contrib. 5 Yr: Net Profit(Loss) / Turnover</t>
  </si>
  <si>
    <t>Rel. Contrib. 5 Yr: Real Total Assets</t>
  </si>
  <si>
    <t>Rel. Sens. 1 Yr: Trade Creditors / Turnover</t>
  </si>
  <si>
    <t>Rel. Sens. 1 Yr: Change in AR / Sales</t>
  </si>
  <si>
    <t>Rel. Sens. 1 Yr: EBITDA / Interest Payable</t>
  </si>
  <si>
    <t>Rel. Sens. 1 Yr: Sales Growth</t>
  </si>
  <si>
    <t>Rel. Sens. 1 Yr: Change in ROA</t>
  </si>
  <si>
    <t>Rel. Sens. 1 Yr: Liabilities and Provisions / Total Assets</t>
  </si>
  <si>
    <t>Rel. Sens. 1 Yr: Cash At Bank and In Hand / Creditors (&lt;1yr)</t>
  </si>
  <si>
    <t>Rel. Sens. 1 Yr: Net Profit(Loss) / Turnover</t>
  </si>
  <si>
    <t>Rel. Sens. 1 Yr: Real Total Assets</t>
  </si>
  <si>
    <t>Rel. Sens. 5 Yr: Trade Creditors / Turnover</t>
  </si>
  <si>
    <t>Rel. Sens. 5 Yr: Change in AR / Sales</t>
  </si>
  <si>
    <t>Rel. Sens. 5 Yr: EBITDA / Interest Payable</t>
  </si>
  <si>
    <t>Rel. Sens. 5 Yr: Sales Growth</t>
  </si>
  <si>
    <t>Rel. Sens. 5 Yr: Change in ROA</t>
  </si>
  <si>
    <t>Rel. Sens. 5 Yr: Liabilities and Provisions / Total Assets</t>
  </si>
  <si>
    <t>Rel. Sens. 5 Yr: Cash At Bank and In Hand / Creditors (&lt;1yr)</t>
  </si>
  <si>
    <t>Rel. Sens. 5 Yr: Net Profit(Loss) / Turnover</t>
  </si>
  <si>
    <t>Rel. Sens. 5 Yr: Real Total Assets</t>
  </si>
  <si>
    <t>%-tile: Trade Creditors / Turnover</t>
  </si>
  <si>
    <t>%-tile: Change in AR / Sales</t>
  </si>
  <si>
    <t>%-tile: EBITDA / Interest Payable</t>
  </si>
  <si>
    <t>%-tile: Sales Growth</t>
  </si>
  <si>
    <t>%-tile: Change in ROA</t>
  </si>
  <si>
    <t>%-tile: Liabilities and Provisions / Total Assets</t>
  </si>
  <si>
    <t>%-tile: Cash At Bank and In Hand / Creditors (&lt;1yr)</t>
  </si>
  <si>
    <t>%-tile: Net Profit(Loss) / Turnover</t>
  </si>
  <si>
    <t>%-tile: Real Total Assets</t>
  </si>
  <si>
    <t>Ratio: Trade Creditors / Turnover</t>
  </si>
  <si>
    <t>Ratio: Change in AR / Sales</t>
  </si>
  <si>
    <t>Ratio: EBITDA / Interest Payable</t>
  </si>
  <si>
    <t>Ratio: Sales Growth</t>
  </si>
  <si>
    <t>Ratio: Change in ROA</t>
  </si>
  <si>
    <t>Ratio: Liabilities and Provisions / Total Assets</t>
  </si>
  <si>
    <t>Ratio: Cash At Bank and In Hand / Creditors (&lt;1yr)</t>
  </si>
  <si>
    <t>Ratio: Net Profit(Loss) / Turnover</t>
  </si>
  <si>
    <t>Ratio: Real Total Assets</t>
  </si>
  <si>
    <t>SIC2007</t>
  </si>
  <si>
    <t>B2.edf</t>
  </si>
  <si>
    <t>Lanos Excel Propco Limited</t>
  </si>
  <si>
    <t>Ba3.edf</t>
  </si>
  <si>
    <t>Ba2.edf</t>
  </si>
  <si>
    <t>Cresswell Nurseries Ltd.</t>
  </si>
  <si>
    <t>B1.edf</t>
  </si>
  <si>
    <t>CW Lighting Technology Limited</t>
  </si>
  <si>
    <t>Daisy Green Food Limited</t>
  </si>
  <si>
    <t>Ba1.edf</t>
  </si>
  <si>
    <t>Casa Italian Restaurants Ltd</t>
  </si>
  <si>
    <t>Granite Bidco Limited</t>
  </si>
  <si>
    <t>Chillgro One Limited and Growell Hydroponics and Plant Lighting Ltd</t>
  </si>
  <si>
    <t>Baa3.edf</t>
  </si>
  <si>
    <t>Baa2.edf</t>
  </si>
  <si>
    <t>Havza Limited (L'Oscar)</t>
  </si>
  <si>
    <t>Inception Ventures Group Limited</t>
  </si>
  <si>
    <t>Caa-C.edf</t>
  </si>
  <si>
    <t>B3.edf</t>
  </si>
  <si>
    <t>LAR Group Limited</t>
  </si>
  <si>
    <t>Lincoln Plaza Hotel Co Limited</t>
  </si>
  <si>
    <t>LV Group Limited - Facility A</t>
  </si>
  <si>
    <t>Little Explorers Day Care Nursery Limited</t>
  </si>
  <si>
    <t>Brasserie Bar Co Limited</t>
  </si>
  <si>
    <t>BXTR Ltd</t>
  </si>
  <si>
    <t>Constant Equity Alpha Limited - Facility A</t>
  </si>
  <si>
    <t>Leon Restaurants Ltd.</t>
  </si>
  <si>
    <t>Pontefract Bidco Limited</t>
  </si>
  <si>
    <t>Inn Collection Bidco Limited</t>
  </si>
  <si>
    <t>Neptune 789 Limited</t>
  </si>
  <si>
    <t>Oncoreit Limited - Facility A</t>
  </si>
  <si>
    <t>Z Hotels ZHT Ltd. - Poland Street</t>
  </si>
  <si>
    <t>Primrose Group Limited</t>
  </si>
  <si>
    <t>Baa1.edf</t>
  </si>
  <si>
    <t>Whiskey (Bidco) Limited</t>
  </si>
  <si>
    <t>Z Hotels Covent Garden Limited</t>
  </si>
  <si>
    <t>LV Group Limited - Facility B</t>
  </si>
  <si>
    <t>Regal Holdco Limited</t>
  </si>
  <si>
    <t>The Mill Hotel Ltd. - Prag Shah</t>
  </si>
  <si>
    <t>Pocket Living Limited</t>
  </si>
  <si>
    <t>Bright Minds Daycare Limited</t>
  </si>
  <si>
    <t>Vista Bidco Limited</t>
  </si>
  <si>
    <t xml:space="preserve">Debtor Risk / Accounts Receiveable Risk </t>
  </si>
  <si>
    <t>Pro-forma Interest Coverage</t>
  </si>
  <si>
    <t>Pro-forma Liquidity</t>
  </si>
  <si>
    <t xml:space="preserve">Similar History </t>
  </si>
  <si>
    <t>Based on current ICR</t>
  </si>
  <si>
    <t>Supplier Power</t>
  </si>
  <si>
    <t>Average</t>
  </si>
  <si>
    <t>Count</t>
  </si>
  <si>
    <t>Comments</t>
  </si>
  <si>
    <t>Total loans analyzed</t>
  </si>
  <si>
    <t>Loans with higher PDs than current internal PD</t>
  </si>
  <si>
    <t>Average One year Moody's PD - Quant</t>
  </si>
  <si>
    <t>Negative Profit driving higher PDs</t>
  </si>
  <si>
    <t>Qual factor - Assumptions (For factors not available in Pricing model)</t>
  </si>
  <si>
    <t>Qual factors significantly reducing the PD</t>
  </si>
  <si>
    <t>Loan</t>
  </si>
  <si>
    <t>Moody's 1 Yr PD</t>
  </si>
  <si>
    <t>Internal PD</t>
  </si>
  <si>
    <t>Inception Ventures Group Limited*</t>
  </si>
  <si>
    <t>Moody's 1 Yr PD -Adj</t>
  </si>
  <si>
    <t>The Adventure Bar Company Ltd.</t>
  </si>
  <si>
    <t>Thornrose Limited</t>
  </si>
  <si>
    <t>Parquet House Ltd.</t>
  </si>
  <si>
    <t>Godfrey Construction (London) Ltd</t>
  </si>
  <si>
    <t>HRE Ltd. (Hamburger) / Tellon Capital</t>
  </si>
  <si>
    <t>Notes: Music &amp; Coffee Ltd.</t>
  </si>
  <si>
    <t>The Abbotshurst Group Limited</t>
  </si>
  <si>
    <t>First Belgravia &amp; Knightsbridge 422 / Elandis - Term Loan A</t>
  </si>
  <si>
    <t>Moorlands Healthcare Limited</t>
  </si>
  <si>
    <t>A2.edf</t>
  </si>
  <si>
    <t>Sire Old Raven Limited</t>
  </si>
  <si>
    <t>Stage</t>
  </si>
  <si>
    <t>Care Concern Management OA Limited - Facility A</t>
  </si>
  <si>
    <t xml:space="preserve">Red Oak Taverns Limited &amp; Bath And Stratford Homes (TC) Limited </t>
  </si>
  <si>
    <t xml:space="preserve">Internal </t>
  </si>
  <si>
    <t>Moodys</t>
  </si>
  <si>
    <t>Detailed output</t>
  </si>
  <si>
    <t>Average One year PD</t>
  </si>
  <si>
    <t>Stage 1</t>
  </si>
  <si>
    <t>Stage2</t>
  </si>
  <si>
    <t>By Stage</t>
  </si>
  <si>
    <t>qual</t>
  </si>
  <si>
    <t>quant</t>
  </si>
  <si>
    <t>Customer Power</t>
  </si>
  <si>
    <t>Diversification of Products</t>
  </si>
  <si>
    <t>Years in Relationship</t>
  </si>
  <si>
    <t>Conduct of Account</t>
  </si>
  <si>
    <t>Experience in Industry</t>
  </si>
  <si>
    <t>Financial Reporting and Formal Planning</t>
  </si>
  <si>
    <t>Risk Appetite</t>
  </si>
  <si>
    <t>Audit Method</t>
  </si>
  <si>
    <t>Loans with significant higher PDs (&gt;1.5%) than current internal PD</t>
  </si>
  <si>
    <t>Loans with significant higher PD(&gt;1.5% difference) than internal PD</t>
  </si>
  <si>
    <t>Total Loans marked as "Business Trading" in Credit MI</t>
  </si>
  <si>
    <t>Property Loans</t>
  </si>
  <si>
    <t>SBH Park Holding Limited</t>
  </si>
  <si>
    <t>Ciel Laystall Limited</t>
  </si>
  <si>
    <t>Leisure and Hotel Investments Limited And Bike and Boot Inns Limited</t>
  </si>
  <si>
    <t>Nine Gatwick Hotel Limited - Post Development</t>
  </si>
  <si>
    <t>Heathcock Court Property Limited - Post Development Facility</t>
  </si>
  <si>
    <t>Slatters Development Limited</t>
  </si>
  <si>
    <t>Zeal Hotel (Bridgwater J23) Limited - Tranche A</t>
  </si>
  <si>
    <t>Priory CC3 Limited</t>
  </si>
  <si>
    <t>Henrietta Street Hotel Limited</t>
  </si>
  <si>
    <t>LH Development 1 Limited</t>
  </si>
  <si>
    <t>Raw Alpha PCC Limited</t>
  </si>
  <si>
    <t>Insufficient Data</t>
  </si>
  <si>
    <t>Tuscola (FC109) Limited</t>
  </si>
  <si>
    <t>Z Hotels Holborn Ltd</t>
  </si>
  <si>
    <t>Z Cha Holdco Limited</t>
  </si>
  <si>
    <t>Loan Count Waterfall</t>
  </si>
  <si>
    <t xml:space="preserve">Results Summary </t>
  </si>
  <si>
    <t>As of March End*</t>
  </si>
  <si>
    <t>Loan on Loan</t>
  </si>
  <si>
    <t>DSW Capital Limited</t>
  </si>
  <si>
    <t>AP Bristol Number 3 Limited</t>
  </si>
  <si>
    <t>2  "Loan on Loan" loans</t>
  </si>
  <si>
    <t>The Clay Oven UK Ltd - Facility B</t>
  </si>
  <si>
    <t>WHCO3 Limited And MC&amp;C Media Limited</t>
  </si>
  <si>
    <t>Richard Gordon Story</t>
  </si>
  <si>
    <t>Clivedale Overseas Limited</t>
  </si>
  <si>
    <t>SPT Holdings Limited</t>
  </si>
  <si>
    <t>ICG-Longbow Senior Secured UK Property Debt Investments Limited</t>
  </si>
  <si>
    <t>A3.edf</t>
  </si>
  <si>
    <t>RM Secured Direct Lending plc</t>
  </si>
  <si>
    <t>LH Bridging 1 Limited</t>
  </si>
  <si>
    <t>OSF (UK) II Limited</t>
  </si>
  <si>
    <t>Ortus Secured Finance IV Ltd</t>
  </si>
  <si>
    <t>Stage 2 Loans</t>
  </si>
  <si>
    <t>Loans with significant lower PD(&lt;1.5% difference) than internal PD</t>
  </si>
  <si>
    <t>Qual factors increasing the PD</t>
  </si>
  <si>
    <t>*Financial Loans (Model is not applicable)</t>
  </si>
  <si>
    <t>**Hotels and Rest (Limited data available)</t>
  </si>
  <si>
    <t>**Hotels/Rest - Financials not completely available/Model not applicable</t>
  </si>
  <si>
    <t>*Financial Companies - Model not applicable</t>
  </si>
  <si>
    <t>Mambu Name</t>
  </si>
  <si>
    <t>Group Name</t>
  </si>
  <si>
    <t>Total Facility</t>
  </si>
  <si>
    <t>Current Balance</t>
  </si>
  <si>
    <t>Commitment Date</t>
  </si>
  <si>
    <t>Expiry Date</t>
  </si>
  <si>
    <t>Mat</t>
  </si>
  <si>
    <t>PD %</t>
  </si>
  <si>
    <t>PD Rating</t>
  </si>
  <si>
    <t>LGD %</t>
  </si>
  <si>
    <t>LGD Rating</t>
  </si>
  <si>
    <t>Loan Stage (IFRS)</t>
  </si>
  <si>
    <t>Forecast Provision</t>
  </si>
  <si>
    <t>ICR</t>
  </si>
  <si>
    <t>THE ADVENTURE BAR CO LIMITED</t>
  </si>
  <si>
    <t>Public Houses &amp; Bars</t>
  </si>
  <si>
    <t>PARQUET HOUSE LTD</t>
  </si>
  <si>
    <t>Wholesale of household goods (other than musical instruments) n.e.c.</t>
  </si>
  <si>
    <t>LEON RESTAURANTS LTD</t>
  </si>
  <si>
    <t>Licensed Restaurants</t>
  </si>
  <si>
    <t>PONTEFRACT BIDCO LIMITED</t>
  </si>
  <si>
    <t>Recruitment Consultants</t>
  </si>
  <si>
    <t>NOTES: MUSIC &amp; COFFEE LIMITED</t>
  </si>
  <si>
    <t>HRE LIMITED</t>
  </si>
  <si>
    <t>Activities of Holding Companies</t>
  </si>
  <si>
    <t>CONSTANT EQUITY ALPHA LIMITED</t>
  </si>
  <si>
    <t>Manufacture of Other General Purpose Machinery n.e.c.</t>
  </si>
  <si>
    <t>Constant Equity Alpha Limited - Facility B</t>
  </si>
  <si>
    <t>TUSCOLA (FC109) LIMITED</t>
  </si>
  <si>
    <t>Activities of Real Estate Investment Trusts</t>
  </si>
  <si>
    <t>Z HOTELS COVENT GARDEN LIMITED</t>
  </si>
  <si>
    <t>Hotels &amp; Similar Accommodation</t>
  </si>
  <si>
    <t>HAVZA LIMITED</t>
  </si>
  <si>
    <t>NM</t>
  </si>
  <si>
    <t>BRASSERIE BAR CO LIMITED</t>
  </si>
  <si>
    <t>FIRST BELGRAVIA PROPERTIES LIMITED AND KNIGHTSBRIDGE 422 LIMITED</t>
  </si>
  <si>
    <t>First Belgravia &amp; Knightsbridge 422 / Elandis - RCF</t>
  </si>
  <si>
    <t>Z HOTELS HOLBORN LIMITED</t>
  </si>
  <si>
    <t>RM SECURED DIRECT LENDING PLC</t>
  </si>
  <si>
    <t>Other Credit Granting n.e.c.</t>
  </si>
  <si>
    <t>DAISY GREEN FOOD LIMITED</t>
  </si>
  <si>
    <t>WHISKEY (BIDCO) LIMITED</t>
  </si>
  <si>
    <t>GODFREY CONSTRUCTION (LONDON) LTD</t>
  </si>
  <si>
    <t>Property Development</t>
  </si>
  <si>
    <t>Construction of Domestic Buildings</t>
  </si>
  <si>
    <t>INCEPTION VENTURES GROUP LIMITED</t>
  </si>
  <si>
    <t>CRESSWELL NURSERIES LIMITED</t>
  </si>
  <si>
    <t>Pre-primary education</t>
  </si>
  <si>
    <t>THE MILL HOTEL LIMITED</t>
  </si>
  <si>
    <t>Z HOTELS ZHT LTD</t>
  </si>
  <si>
    <t>INN COLLECTION BIDCO LIMITED</t>
  </si>
  <si>
    <t>GRANITE BIDCO LIMITED</t>
  </si>
  <si>
    <t>Other activities of employment placement agencies</t>
  </si>
  <si>
    <t>WHCO3 LIMITED AND MC&amp;C MEDIA LIMITED</t>
  </si>
  <si>
    <t>Advertising Agencies</t>
  </si>
  <si>
    <t>SPT HOLDINGS LIMITED</t>
  </si>
  <si>
    <t>OSF (UK) II LIMITED</t>
  </si>
  <si>
    <t>CW LIGHTING TECHNOLOGY LIMITED</t>
  </si>
  <si>
    <t>Manufacture of electric lighting equipment</t>
  </si>
  <si>
    <t>THORNROSE LIMITED</t>
  </si>
  <si>
    <t>Retail sale via mail order houses or via Internet</t>
  </si>
  <si>
    <t>ORTUS SECURED FINANCE IV LIMITED</t>
  </si>
  <si>
    <t>PRIMROSE GROUP LIMITED</t>
  </si>
  <si>
    <t xml:space="preserve">RED OAK TAVERNS LIMITED &amp; BATH AND STRATFORD HOMES (TC) LIMITED </t>
  </si>
  <si>
    <t>ICG-LONGBOW SENIOR SECURED UK PROPERTY DEBT INVESTMENTS LIMITED</t>
  </si>
  <si>
    <t>POCKET LIVING LIMITED</t>
  </si>
  <si>
    <t>CLIVEDALE OVERSEAS LIMITED</t>
  </si>
  <si>
    <t>Z CHA HOLDCO LTD</t>
  </si>
  <si>
    <t>LITTLE EXPLORERS DAY CARE NURSERY LIMITED</t>
  </si>
  <si>
    <t>Child Day-care activities</t>
  </si>
  <si>
    <t>REGAL HOLDCO LTD</t>
  </si>
  <si>
    <t>Activities of construction holding companies</t>
  </si>
  <si>
    <t>CARE CONCERN MANAGEMENT OA LIMITED (f.k.a. CARE CONCERN (LEEDS) LIMITED)</t>
  </si>
  <si>
    <t>Residential care activities for the elderly and disabled</t>
  </si>
  <si>
    <t>LH BRIDGING 1 LIMITED</t>
  </si>
  <si>
    <t>Activities of Mortgage Finance Companies</t>
  </si>
  <si>
    <t>SIRE OLD RAVEN LIMITED AND OLD RAVEN LIMITED</t>
  </si>
  <si>
    <t>LAR GROUP LIMITED</t>
  </si>
  <si>
    <t>Treatment and disposal of hazardous waste</t>
  </si>
  <si>
    <t>CHILLGRO ONE LIMITED AND GROWELL HYDROPONICS AND PLANT LIGHTING LTD</t>
  </si>
  <si>
    <t>Retail sale of new goods in specialised stores</t>
  </si>
  <si>
    <t>ONCOREIT LIMITED</t>
  </si>
  <si>
    <t>Computer facilities management activities</t>
  </si>
  <si>
    <t>Oncoreit Limited - RCF</t>
  </si>
  <si>
    <t>BXTR LTD</t>
  </si>
  <si>
    <t>Nine Gatwick Hotel Limited - Development Phase</t>
  </si>
  <si>
    <t>Heathcock Court Property Limited - Development Facility</t>
  </si>
  <si>
    <t>Care Concern Management OA Limited - Facility B</t>
  </si>
  <si>
    <t>LANOS EXCEL PROPCO LIMITED</t>
  </si>
  <si>
    <t>LINCOLN PLAZA HOTEL CO LIMITED</t>
  </si>
  <si>
    <t>CASA ITALIAN RESTAURANTS LTD</t>
  </si>
  <si>
    <t>VISTA BIDCO LIMITED</t>
  </si>
  <si>
    <t>Manufacture of doors and windows of metal</t>
  </si>
  <si>
    <t xml:space="preserve">LV HOLDINGS LIMITED , BONNE NUIT CHEVAL LIMITED, LV SJ HOLDINGS LIMITED &amp; LV (IOM) LIMITED </t>
  </si>
  <si>
    <t>LV Group Limited - Facility D</t>
  </si>
  <si>
    <t>LV Group Limited - Facility E</t>
  </si>
  <si>
    <t>BRIGHT MINDS DAYCARE LIMITED</t>
  </si>
  <si>
    <t>THE ABBOTSHURST GROUP LIMITED</t>
  </si>
  <si>
    <t>Private Security Activities</t>
  </si>
  <si>
    <t>NEPTUNE 789 LIMITED</t>
  </si>
  <si>
    <t>Other construction installation</t>
  </si>
  <si>
    <t>MOORLANDS HEALTHCARE LIMITED</t>
  </si>
  <si>
    <t>Residential nursing care facilities</t>
  </si>
  <si>
    <t>DSW CAPITAL LIMITED</t>
  </si>
  <si>
    <t>Professional, scientific and technical activities</t>
  </si>
  <si>
    <t>AP BRISTOL NUMBER 3 LIMITED</t>
  </si>
  <si>
    <t>RICHARD GORDON STORY</t>
  </si>
  <si>
    <t xml:space="preserve">Reasons : Key drivers - Profits/Turnover, Liabilities and Provisions / Total Assets; </t>
  </si>
  <si>
    <t>Match</t>
  </si>
  <si>
    <t>DUEDATE</t>
  </si>
  <si>
    <t>Days</t>
  </si>
  <si>
    <t>Cashflow</t>
  </si>
  <si>
    <t>Principal</t>
  </si>
  <si>
    <t>Interest</t>
  </si>
  <si>
    <t>Interest rate</t>
  </si>
  <si>
    <t>Time in years</t>
  </si>
  <si>
    <t>Disc fac</t>
  </si>
  <si>
    <t>Total Cashflow</t>
  </si>
  <si>
    <t>Discounted CF</t>
  </si>
  <si>
    <t>LGD</t>
  </si>
  <si>
    <t>GCV</t>
  </si>
  <si>
    <t>ECL - 1 year</t>
  </si>
  <si>
    <t>ECL</t>
  </si>
  <si>
    <t>ECL - lifetime</t>
  </si>
  <si>
    <t>Moodys Provisions</t>
  </si>
  <si>
    <t>CPD_current_period</t>
  </si>
  <si>
    <t>MPD_current_period</t>
  </si>
  <si>
    <t>West End Capital Finance Bridging Limited</t>
  </si>
  <si>
    <t>Cashflow_name</t>
  </si>
  <si>
    <t>Provisions</t>
  </si>
  <si>
    <t>One year Moody's PD - Quant</t>
  </si>
  <si>
    <t>Avg One year</t>
  </si>
  <si>
    <t>Avg Internal PD</t>
  </si>
  <si>
    <t>Avg Moodys PD</t>
  </si>
  <si>
    <t>Internal Provisions</t>
  </si>
  <si>
    <t>Moody's Provisions</t>
  </si>
  <si>
    <t>Moody's Provisions - W/O Discounting</t>
  </si>
  <si>
    <t>PD_Moodys</t>
  </si>
  <si>
    <t>Int_lossRate</t>
  </si>
  <si>
    <t>Moodys_Lossrate</t>
  </si>
  <si>
    <t>Moody's 1 Yr PD-Adj</t>
  </si>
  <si>
    <t>Code</t>
  </si>
  <si>
    <t>Industry definition</t>
  </si>
  <si>
    <t>Market share</t>
  </si>
  <si>
    <t>Range of services</t>
  </si>
  <si>
    <t>End-market diversification</t>
  </si>
  <si>
    <t>Lookup</t>
  </si>
  <si>
    <t>Mapped -Diversification of Products</t>
  </si>
  <si>
    <t>Service lines track record</t>
  </si>
  <si>
    <t>Many Products, Broad Market</t>
  </si>
  <si>
    <t>Stranglehold</t>
  </si>
  <si>
    <t>Well established</t>
  </si>
  <si>
    <t>&gt;20 Years</t>
  </si>
  <si>
    <t>Established</t>
  </si>
  <si>
    <t>11–20 Years</t>
  </si>
  <si>
    <t>Open Communication/Information supply</t>
  </si>
  <si>
    <t>Significant</t>
  </si>
  <si>
    <t>Some track record</t>
  </si>
  <si>
    <t xml:space="preserve">3–10 Years </t>
  </si>
  <si>
    <t>Recent track record</t>
  </si>
  <si>
    <t xml:space="preserve">1–2 Years </t>
  </si>
  <si>
    <t>Strategy/Objectives/Business Plan</t>
  </si>
  <si>
    <t>Few Products, Broad Market</t>
  </si>
  <si>
    <t>Some</t>
  </si>
  <si>
    <t>Limited</t>
  </si>
  <si>
    <t xml:space="preserve">New to Industry—Relevant Experience  </t>
  </si>
  <si>
    <t>Exposure to Economic or Industry Cycle</t>
  </si>
  <si>
    <t>Little track record</t>
  </si>
  <si>
    <t>Governance</t>
  </si>
  <si>
    <t>Weak</t>
  </si>
  <si>
    <t>No track record</t>
  </si>
  <si>
    <t xml:space="preserve">New to Industry—No Experience  </t>
  </si>
  <si>
    <t>Good</t>
  </si>
  <si>
    <t>In place and realistic/detailed</t>
  </si>
  <si>
    <t xml:space="preserve">Exceptional Planning &amp; Reporting </t>
  </si>
  <si>
    <t>Major Breaches</t>
  </si>
  <si>
    <t>Clear objectives. Brief Business plan</t>
  </si>
  <si>
    <t>Appropriate Planning &amp; Reporting</t>
  </si>
  <si>
    <t>Minor Breaches</t>
  </si>
  <si>
    <t>Owner can articulate Not written</t>
  </si>
  <si>
    <t xml:space="preserve">Some Planning and Reporting </t>
  </si>
  <si>
    <t>No Experience</t>
  </si>
  <si>
    <t xml:space="preserve">No Planning but Some Reporting </t>
  </si>
  <si>
    <t>No formal Business Plan/Objectives</t>
  </si>
  <si>
    <t xml:space="preserve">No Planning or Reporting </t>
  </si>
  <si>
    <t>Moderately exposed</t>
  </si>
  <si>
    <t xml:space="preserve">Balanced </t>
  </si>
  <si>
    <t xml:space="preserve">Overly Cautious </t>
  </si>
  <si>
    <t>Less certain</t>
  </si>
  <si>
    <t>Very recent offering</t>
  </si>
  <si>
    <t>Overly Aggressive</t>
  </si>
  <si>
    <t>New offering</t>
  </si>
  <si>
    <t>Many Products, Narrow Market</t>
  </si>
  <si>
    <t>Few Products, Narrow Market</t>
  </si>
  <si>
    <t>Strong Regulatory/Legal approach</t>
  </si>
  <si>
    <t xml:space="preserve">Qualified </t>
  </si>
  <si>
    <t>Some evidence of Good compliance</t>
  </si>
  <si>
    <t>Reviewed</t>
  </si>
  <si>
    <t>Not needed or out-sourced</t>
  </si>
  <si>
    <t>Co. Prepared</t>
  </si>
  <si>
    <t>Limited knowledge of Regs/Legal</t>
  </si>
  <si>
    <t>Unqualified</t>
  </si>
  <si>
    <t xml:space="preserve">Pro-Forma Interest Coverage </t>
  </si>
  <si>
    <t xml:space="preserve">Check </t>
  </si>
  <si>
    <t>Greater than 3</t>
  </si>
  <si>
    <t xml:space="preserve">Improves Credit Risk Significantly </t>
  </si>
  <si>
    <t>1 to 3</t>
  </si>
  <si>
    <t>Similar History</t>
  </si>
  <si>
    <t>Less than 1</t>
  </si>
  <si>
    <t>Increases Credit Risk Significantly</t>
  </si>
  <si>
    <t>Zero</t>
  </si>
  <si>
    <t xml:space="preserve">Increases Credit Risk Very Significantly </t>
  </si>
  <si>
    <t>Pricing calculator</t>
  </si>
  <si>
    <t>Moody's</t>
  </si>
  <si>
    <t>From Credit Mi</t>
  </si>
  <si>
    <t>Average values considered</t>
  </si>
  <si>
    <t>Group me</t>
  </si>
  <si>
    <t>Fincial Reporting and Formal Planning</t>
  </si>
  <si>
    <t>Average Spread / Good Quality</t>
  </si>
  <si>
    <t>Manual Entry</t>
  </si>
  <si>
    <t>&gt;2 Years</t>
  </si>
  <si>
    <t>New Customer</t>
  </si>
  <si>
    <t>1–2 Years</t>
  </si>
  <si>
    <t>LGD-moodys</t>
  </si>
  <si>
    <t>PD</t>
  </si>
  <si>
    <t>Provisions[using ON internal LGD in all cases]</t>
  </si>
  <si>
    <t>Haircuts Difference</t>
  </si>
  <si>
    <t>Category</t>
  </si>
  <si>
    <t>Internal haircuts</t>
  </si>
  <si>
    <t>Cash</t>
  </si>
  <si>
    <t>Debtors</t>
  </si>
  <si>
    <t>Property</t>
  </si>
  <si>
    <t>Stock</t>
  </si>
  <si>
    <t>Debenture – other assets</t>
  </si>
  <si>
    <t>Personal/Company Guarantee</t>
  </si>
  <si>
    <t>Exclusions</t>
  </si>
  <si>
    <t>Loss Rate</t>
  </si>
  <si>
    <t>Inventory</t>
  </si>
  <si>
    <t xml:space="preserve">*Moody's haircuts can be customized </t>
  </si>
  <si>
    <t>Moody's haircuts*</t>
  </si>
  <si>
    <t>Internal LGD</t>
  </si>
  <si>
    <t>Average PD/LGD by Industry</t>
  </si>
  <si>
    <t>*[Godfrey Construction (London) Ltd]</t>
  </si>
  <si>
    <t>Moodys - Use Moody's haircuts</t>
  </si>
  <si>
    <t>Moodys - Use ON haircuts</t>
  </si>
  <si>
    <t>BBB guarantee</t>
  </si>
  <si>
    <t>Methodology difference</t>
  </si>
  <si>
    <t>ON LGD over-ride to 75%</t>
  </si>
  <si>
    <t>ON Debenture haircut over-ride to 96%</t>
  </si>
  <si>
    <t>ON WDV overrides</t>
  </si>
  <si>
    <t>ON WDV overrides - No collateral allocation</t>
  </si>
  <si>
    <t>Methodology difference - Only guarantees</t>
  </si>
  <si>
    <t>Significant LGD differences [&gt;20% between Internal and Moody's ON haircut]</t>
  </si>
  <si>
    <t>5 Loans with insufficient Data</t>
  </si>
  <si>
    <t>LV Tranche D</t>
  </si>
  <si>
    <t>LV Tranche E</t>
  </si>
  <si>
    <t>ON LGD based on previous loan amount - To check</t>
  </si>
  <si>
    <t>No Collateral - Methodology difference</t>
  </si>
  <si>
    <t>ON WDV overrides [Debentures]</t>
  </si>
  <si>
    <t>12 Property loans</t>
  </si>
  <si>
    <t>Moody's Quant</t>
  </si>
  <si>
    <t>Moody's Qual Adj</t>
  </si>
  <si>
    <t>ON PD</t>
  </si>
  <si>
    <t>1. The results are based on pre COVID MI statements</t>
  </si>
  <si>
    <t>2. Although PDs are in similar range; the rating scale od Moody's and ON differ significantly. Refer to the tab "Rating Mapping" for details</t>
  </si>
  <si>
    <t>3. Moody's rating for avg PD of 1.97% would be Ba3 [approx.]</t>
  </si>
  <si>
    <t>4. Provisions calculated based on expected cashflows till maturity and PD applicable for those cashflows</t>
  </si>
  <si>
    <t>Complete Output (58 loans)</t>
  </si>
  <si>
    <t>1. One additional loan - Inception Ventures predicted as Stage 2 by Moody's model</t>
  </si>
  <si>
    <t xml:space="preserve">2. Lower Moody's provisions for Godfrey is due to Less time remaining to maturity - applicable PD is lower </t>
  </si>
  <si>
    <t>3. Difference in LGD for Godfrey - Unsecured loan - Moody's model generates unsecured LGD for the loan as 49% instead of 100%</t>
  </si>
  <si>
    <t>Other Details</t>
  </si>
  <si>
    <t>1. Balance sheet data missing so the results are not completely accurate</t>
  </si>
  <si>
    <t xml:space="preserve">2. 10% LGD considered as floor by Moody's </t>
  </si>
  <si>
    <t>1. High collateral value getting 0% LGD using Moody's model; 5% Internal LGD updated to 14% in RM Secured</t>
  </si>
  <si>
    <t>2. ON haircut for Stock/Debenture - 85% ; Moody's haircut - 28% thus causing significant LGD difference in both cases</t>
  </si>
  <si>
    <t>3. Lower Moody's provisions despite higher PD is due to less remaining time to maturity - hence reducing the applicable PD for the time period e.g., OSF II</t>
  </si>
  <si>
    <t>Output excluding Financial loans/Hotels/Rest with limited information (47 loans)</t>
  </si>
  <si>
    <t>1. Inception Ventures - Limited networth; CBILS loan</t>
  </si>
  <si>
    <t>2. Lincoln Plaza - Operating losses; Time to mat - 0.3 years ; PD applicable - 1.4%</t>
  </si>
  <si>
    <t>3. BXTR - High debt compared to assets; low turnover</t>
  </si>
  <si>
    <t xml:space="preserve">5. LV Group - COVID impact in latest mi </t>
  </si>
  <si>
    <t>4. Inn Collection - Negative Profits; Company in growth mode; Facility amount and collateral amount updated leading to higher LGDs in Moody's case</t>
  </si>
  <si>
    <t xml:space="preserve">1. Red Oak - Financials reflect high assets compared to long term borrowings; higher profits compared to underwriting </t>
  </si>
  <si>
    <t>2. Richard Gordon - High shareholder funds (10m); High assets [Financial company gives mezzanine loan]</t>
  </si>
  <si>
    <t xml:space="preserve">3. SPT - No financials in internal model </t>
  </si>
  <si>
    <t>4. For ICG, exposure includes undrawn uncommitted balance adjusted to 50%</t>
  </si>
  <si>
    <t xml:space="preserve">Moody's LGD doesn’t not get too high due to its underlying methodology </t>
  </si>
  <si>
    <t>Internal - Apr</t>
  </si>
  <si>
    <t>Internal - Mar</t>
  </si>
  <si>
    <t>Internal Provisions - Mar</t>
  </si>
  <si>
    <t>Internal Provisions - Apr</t>
  </si>
  <si>
    <t>Internal Provisions- Apr</t>
  </si>
  <si>
    <t>weighted avg</t>
  </si>
  <si>
    <t>pd</t>
  </si>
  <si>
    <t>lgd - conservative</t>
  </si>
  <si>
    <t>ead projections</t>
  </si>
  <si>
    <t>pwc feedback</t>
  </si>
  <si>
    <t>think of prob weighted scenario</t>
  </si>
  <si>
    <t xml:space="preserve">slide </t>
  </si>
  <si>
    <t>yearly pds</t>
  </si>
  <si>
    <t>step wise calculations - flowchart</t>
  </si>
  <si>
    <t>current modelling vs now</t>
  </si>
  <si>
    <t>variance in pd/lgd - to provisions</t>
  </si>
  <si>
    <t>time pds - to current pds</t>
  </si>
  <si>
    <t>3 methods - one curent method, cashflow method</t>
  </si>
  <si>
    <t>Secured</t>
  </si>
  <si>
    <t>Scenario Name</t>
  </si>
  <si>
    <t>Date</t>
  </si>
  <si>
    <t>U.K. real GDP growth</t>
  </si>
  <si>
    <t>Unemployment rate</t>
  </si>
  <si>
    <t>unemploy rate</t>
  </si>
  <si>
    <t>cpi</t>
  </si>
  <si>
    <t>Z-GDP</t>
  </si>
  <si>
    <t>Z-unemp</t>
  </si>
  <si>
    <t>Z-cpi</t>
  </si>
  <si>
    <t>Stan - GDP</t>
  </si>
  <si>
    <t>Stan-unemp</t>
  </si>
  <si>
    <t>Stan-cpi</t>
  </si>
  <si>
    <t>WTD Shock</t>
  </si>
  <si>
    <t>TTC PD</t>
  </si>
  <si>
    <t>PIT PD</t>
  </si>
  <si>
    <t>RC PIT O/P</t>
  </si>
  <si>
    <t>Final Scen Weighted PDs</t>
  </si>
  <si>
    <t>Smooth PD</t>
  </si>
  <si>
    <t>Actual</t>
  </si>
  <si>
    <t>2000 Q1</t>
  </si>
  <si>
    <t xml:space="preserve">Mean </t>
  </si>
  <si>
    <t>2000 Q2</t>
  </si>
  <si>
    <t>std dev</t>
  </si>
  <si>
    <t>2000 Q3</t>
  </si>
  <si>
    <t>2000 Q4</t>
  </si>
  <si>
    <t>Weights</t>
  </si>
  <si>
    <t>Adv Scenario</t>
  </si>
  <si>
    <t>Base</t>
  </si>
  <si>
    <t>2001 Q1</t>
  </si>
  <si>
    <t>GDP</t>
  </si>
  <si>
    <t xml:space="preserve">Base GDP change </t>
  </si>
  <si>
    <t>2001 Q2</t>
  </si>
  <si>
    <t>unemp</t>
  </si>
  <si>
    <t>2001 Q3</t>
  </si>
  <si>
    <t>inflation</t>
  </si>
  <si>
    <t>2001 Q4</t>
  </si>
  <si>
    <t>RSQ</t>
  </si>
  <si>
    <t>[Basel IRB recommended range 12-24%]</t>
  </si>
  <si>
    <t>2002 Q1</t>
  </si>
  <si>
    <t>2002 Q2</t>
  </si>
  <si>
    <t>2002 Q3</t>
  </si>
  <si>
    <t>2002 Q4</t>
  </si>
  <si>
    <t>Sev Adv/COVID</t>
  </si>
  <si>
    <t>2003 Q1</t>
  </si>
  <si>
    <t>2003 Q2</t>
  </si>
  <si>
    <t>2003 Q3</t>
  </si>
  <si>
    <t>2003 Q4</t>
  </si>
  <si>
    <t>Comparable banks</t>
  </si>
  <si>
    <t>2004 Q1</t>
  </si>
  <si>
    <t>2004 Q2</t>
  </si>
  <si>
    <t>Metro bank</t>
  </si>
  <si>
    <t>2020 - No details</t>
  </si>
  <si>
    <t>2004 Q3</t>
  </si>
  <si>
    <t>Investec UK</t>
  </si>
  <si>
    <t>GDP 2020 base case peak to trough contraction of 9.4%; ECL from 25m to 76m; stage 1 doubled - no sig change in stage 2/3</t>
  </si>
  <si>
    <t>2004 Q4</t>
  </si>
  <si>
    <t>Total</t>
  </si>
  <si>
    <t>Close brothers</t>
  </si>
  <si>
    <t>GDP drop to -8.3% in baseline; -11% in adverse; 40-60 probability weighting</t>
  </si>
  <si>
    <t>2005 Q1</t>
  </si>
  <si>
    <t>United trust bank</t>
  </si>
  <si>
    <t>2005 Q2</t>
  </si>
  <si>
    <t>Aldermore</t>
  </si>
  <si>
    <t>No details on scenarios</t>
  </si>
  <si>
    <t>2005 Q3</t>
  </si>
  <si>
    <t>One savings bank</t>
  </si>
  <si>
    <t>Website issue</t>
  </si>
  <si>
    <t>2005 Q4</t>
  </si>
  <si>
    <t>2006 Q1</t>
  </si>
  <si>
    <t>Others</t>
  </si>
  <si>
    <t>2006 Q2</t>
  </si>
  <si>
    <t>2006 Q3</t>
  </si>
  <si>
    <t>Barclays</t>
  </si>
  <si>
    <t>UK GDP and unemployment ; Unemployemnt peak at 8% ; GDP at -8%</t>
  </si>
  <si>
    <t>2006 Q4</t>
  </si>
  <si>
    <t>2007 Q1</t>
  </si>
  <si>
    <t>2007 Q2</t>
  </si>
  <si>
    <t>No stage migrations accounted</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</si>
  <si>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</si>
  <si>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</si>
  <si>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</si>
  <si>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</si>
  <si>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</si>
  <si>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</si>
  <si>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</si>
  <si>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</si>
  <si>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</si>
  <si>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</si>
  <si>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</si>
  <si>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</si>
  <si>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</si>
  <si>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</si>
  <si>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</si>
  <si>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</si>
  <si>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</si>
  <si>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</si>
  <si>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</si>
  <si>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</si>
  <si>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</si>
  <si>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</si>
  <si>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</si>
  <si>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</si>
  <si>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</si>
  <si>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</si>
  <si>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</si>
  <si>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</si>
  <si>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</si>
  <si>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</si>
  <si>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</si>
  <si>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</si>
  <si>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</si>
  <si>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</si>
  <si>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</si>
  <si>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</si>
  <si>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</si>
  <si>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</si>
  <si>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</si>
  <si>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</si>
  <si>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</si>
  <si>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</si>
  <si>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</si>
  <si>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</si>
  <si>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</si>
  <si>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</si>
  <si>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</si>
  <si>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</si>
  <si>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</si>
  <si>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</si>
  <si>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</si>
  <si>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</si>
  <si>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</si>
  <si>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</si>
  <si>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</si>
  <si>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</si>
  <si>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</si>
  <si>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</si>
  <si>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</si>
  <si>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</si>
  <si>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</si>
  <si>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BOE Sev Adv</t>
  </si>
  <si>
    <t>Adj factor</t>
  </si>
  <si>
    <t>Fac</t>
  </si>
  <si>
    <t>Annual -1</t>
  </si>
  <si>
    <t>Annual -2</t>
  </si>
  <si>
    <t>Annual -3</t>
  </si>
  <si>
    <t>Annual -4</t>
  </si>
  <si>
    <t>Annual -5</t>
  </si>
  <si>
    <t>Shock-1</t>
  </si>
  <si>
    <t>Shock-2</t>
  </si>
  <si>
    <t>Shock-3</t>
  </si>
  <si>
    <t>Shock-4</t>
  </si>
  <si>
    <t>Shock-5</t>
  </si>
  <si>
    <t>Wtd shocks</t>
  </si>
  <si>
    <t>Other Sources</t>
  </si>
  <si>
    <t>Morgan Stanley report</t>
  </si>
  <si>
    <t xml:space="preserve">KPMG report </t>
  </si>
  <si>
    <t>8% max drop in GDP; 7% unemployment rate; 3-4 times ECL increase for big UK banks</t>
  </si>
  <si>
    <t>9.9% drop in GDP ; 7% increase in unemployment rate</t>
  </si>
  <si>
    <t>KPMG - Europe banks</t>
  </si>
  <si>
    <t>Baseline Scen</t>
  </si>
  <si>
    <t>Upside</t>
  </si>
  <si>
    <t>2019 scen</t>
  </si>
  <si>
    <t>Select Scen</t>
  </si>
  <si>
    <t>HPI</t>
  </si>
  <si>
    <t>Base rate</t>
  </si>
  <si>
    <t>base rate change</t>
  </si>
  <si>
    <t>Z-base rate</t>
  </si>
  <si>
    <t>stan-base</t>
  </si>
  <si>
    <t>gdp</t>
  </si>
  <si>
    <t>base</t>
  </si>
  <si>
    <t>hpi</t>
  </si>
  <si>
    <t>base rate</t>
  </si>
  <si>
    <t>Z-hpi</t>
  </si>
  <si>
    <t>stand-hpi</t>
  </si>
  <si>
    <t>CPI</t>
  </si>
  <si>
    <t>Base Rate</t>
  </si>
  <si>
    <t>Baseline</t>
  </si>
  <si>
    <t>GDP - 2021</t>
  </si>
  <si>
    <t>2021Q1</t>
  </si>
  <si>
    <t>2021Q2</t>
  </si>
  <si>
    <t>2021Q3</t>
  </si>
  <si>
    <t>2021Q4</t>
  </si>
  <si>
    <t>OECD</t>
  </si>
  <si>
    <t>NIESR</t>
  </si>
  <si>
    <t>15% 2020Q3</t>
  </si>
  <si>
    <t>1.7% - 2021</t>
  </si>
  <si>
    <t>Natwest</t>
  </si>
  <si>
    <t>MPR</t>
  </si>
  <si>
    <t>8.6% - 2021; 3% - 2022; 1.9% - 2023</t>
  </si>
  <si>
    <t>KPMG</t>
  </si>
  <si>
    <t>2.8% - 2021</t>
  </si>
  <si>
    <t>unemp rate</t>
  </si>
  <si>
    <t>11% - 2021</t>
  </si>
  <si>
    <t>4% - 2021</t>
  </si>
  <si>
    <t>IMF</t>
  </si>
  <si>
    <t>7.1% - 2021</t>
  </si>
  <si>
    <t xml:space="preserve">Metro </t>
  </si>
  <si>
    <t>Investec</t>
  </si>
  <si>
    <t>Loan Name</t>
  </si>
  <si>
    <t>2023 Q3</t>
  </si>
  <si>
    <t>2024 Q3</t>
  </si>
  <si>
    <t>2025 Q3</t>
  </si>
  <si>
    <t>Shock-6</t>
  </si>
  <si>
    <t>Shock-7</t>
  </si>
  <si>
    <t>Shock-8</t>
  </si>
  <si>
    <t>2nd year</t>
  </si>
  <si>
    <t>3rd year</t>
  </si>
  <si>
    <t>4th year</t>
  </si>
  <si>
    <t>5th year</t>
  </si>
  <si>
    <t>CumShockPD-2nd yr</t>
  </si>
  <si>
    <t>CumShockPD-3rd yr</t>
  </si>
  <si>
    <t>CumShockPD-4th yr</t>
  </si>
  <si>
    <t>CumShockPD-5th yr</t>
  </si>
  <si>
    <t>Title</t>
  </si>
  <si>
    <t>Gross Domestic Product: Quarter on Quarter growth: CVM SA %</t>
  </si>
  <si>
    <t>CDID</t>
  </si>
  <si>
    <t>IHYQ</t>
  </si>
  <si>
    <t>Source dataset ID</t>
  </si>
  <si>
    <t>PN2</t>
  </si>
  <si>
    <t>PreUnit</t>
  </si>
  <si>
    <t>Unit</t>
  </si>
  <si>
    <t>%</t>
  </si>
  <si>
    <t>Release date</t>
  </si>
  <si>
    <t>Next release</t>
  </si>
  <si>
    <t>Important notes</t>
  </si>
  <si>
    <t>1955 Q2</t>
  </si>
  <si>
    <t>1955 Q3</t>
  </si>
  <si>
    <t>1955 Q4</t>
  </si>
  <si>
    <t>1956 Q1</t>
  </si>
  <si>
    <t>1956 Q2</t>
  </si>
  <si>
    <t>1956 Q3</t>
  </si>
  <si>
    <t>1956 Q4</t>
  </si>
  <si>
    <t>1957 Q1</t>
  </si>
  <si>
    <t>1957 Q2</t>
  </si>
  <si>
    <t>1957 Q3</t>
  </si>
  <si>
    <t>1957 Q4</t>
  </si>
  <si>
    <t>1958 Q1</t>
  </si>
  <si>
    <t>1958 Q2</t>
  </si>
  <si>
    <t>1958 Q3</t>
  </si>
  <si>
    <t>1958 Q4</t>
  </si>
  <si>
    <t>1959 Q1</t>
  </si>
  <si>
    <t>1959 Q2</t>
  </si>
  <si>
    <t>1959 Q3</t>
  </si>
  <si>
    <t>1959 Q4</t>
  </si>
  <si>
    <t>1960 Q1</t>
  </si>
  <si>
    <t>1960 Q2</t>
  </si>
  <si>
    <t>1960 Q3</t>
  </si>
  <si>
    <t>1960 Q4</t>
  </si>
  <si>
    <t>1961 Q1</t>
  </si>
  <si>
    <t>1961 Q2</t>
  </si>
  <si>
    <t>1961 Q3</t>
  </si>
  <si>
    <t>1961 Q4</t>
  </si>
  <si>
    <t>1962 Q1</t>
  </si>
  <si>
    <t>1962 Q2</t>
  </si>
  <si>
    <t>1962 Q3</t>
  </si>
  <si>
    <t>1962 Q4</t>
  </si>
  <si>
    <t>1963 Q1</t>
  </si>
  <si>
    <t>1963 Q2</t>
  </si>
  <si>
    <t>1963 Q3</t>
  </si>
  <si>
    <t>1963 Q4</t>
  </si>
  <si>
    <t>1964 Q1</t>
  </si>
  <si>
    <t>1964 Q2</t>
  </si>
  <si>
    <t>1964 Q3</t>
  </si>
  <si>
    <t>1964 Q4</t>
  </si>
  <si>
    <t>1965 Q1</t>
  </si>
  <si>
    <t>1965 Q2</t>
  </si>
  <si>
    <t>1965 Q3</t>
  </si>
  <si>
    <t>1965 Q4</t>
  </si>
  <si>
    <t>1966 Q1</t>
  </si>
  <si>
    <t>1966 Q2</t>
  </si>
  <si>
    <t>1966 Q3</t>
  </si>
  <si>
    <t>1966 Q4</t>
  </si>
  <si>
    <t>1967 Q1</t>
  </si>
  <si>
    <t>1967 Q2</t>
  </si>
  <si>
    <t>1967 Q3</t>
  </si>
  <si>
    <t>1967 Q4</t>
  </si>
  <si>
    <t>1968 Q1</t>
  </si>
  <si>
    <t>1968 Q2</t>
  </si>
  <si>
    <t>1968 Q3</t>
  </si>
  <si>
    <t>1968 Q4</t>
  </si>
  <si>
    <t>1969 Q1</t>
  </si>
  <si>
    <t>1969 Q2</t>
  </si>
  <si>
    <t>1969 Q3</t>
  </si>
  <si>
    <t>1969 Q4</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</si>
  <si>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</si>
  <si>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</si>
  <si>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</si>
  <si>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</si>
  <si>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</si>
  <si>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</si>
  <si>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</si>
  <si>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</si>
  <si>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</si>
  <si>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</si>
  <si>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</si>
  <si>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</si>
  <si>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</si>
  <si>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</si>
  <si>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</si>
  <si>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</si>
  <si>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</si>
  <si>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</si>
  <si>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</si>
  <si>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</si>
  <si>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</si>
  <si>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</si>
  <si>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</si>
  <si>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</si>
  <si>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</si>
  <si>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</si>
  <si>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</si>
  <si>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</si>
  <si>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</si>
  <si>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</si>
  <si>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</si>
  <si>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</si>
  <si>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</si>
  <si>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</si>
  <si>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</si>
  <si>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</si>
  <si>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</si>
  <si>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</si>
  <si>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</si>
  <si>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</si>
  <si>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</si>
  <si>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</si>
  <si>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</si>
  <si>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</si>
  <si>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</si>
  <si>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</si>
  <si>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</si>
  <si>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</si>
  <si>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</si>
  <si>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</si>
  <si>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</si>
  <si>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</si>
  <si>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</si>
  <si>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</si>
  <si>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</si>
  <si>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</si>
  <si>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</si>
  <si>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</si>
  <si>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</si>
  <si>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</si>
  <si>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</si>
  <si>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</si>
  <si>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</si>
  <si>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</si>
  <si>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</si>
  <si>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</si>
  <si>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</si>
  <si>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</si>
  <si>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</si>
  <si>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</si>
  <si>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</si>
  <si>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</si>
  <si>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</si>
  <si>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</si>
  <si>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</si>
  <si>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</si>
  <si>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</si>
  <si>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</si>
  <si>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</si>
  <si>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</si>
  <si>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</si>
  <si>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</si>
  <si>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</si>
  <si>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</si>
  <si>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</si>
  <si>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</si>
  <si>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</si>
  <si>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</si>
  <si>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</si>
  <si>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</si>
  <si>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</si>
  <si>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</si>
  <si>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</si>
  <si>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</si>
  <si>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</si>
  <si>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</si>
  <si>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</si>
  <si>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</si>
  <si>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</si>
  <si>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</si>
  <si>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</si>
  <si>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</si>
  <si>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</si>
  <si>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</si>
  <si>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</si>
  <si>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</si>
  <si>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</si>
  <si>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</si>
  <si>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</si>
  <si>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</si>
  <si>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</si>
  <si>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</si>
  <si>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</si>
  <si>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</si>
  <si>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</si>
  <si>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</si>
  <si>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</si>
  <si>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</si>
  <si>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</si>
  <si>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</si>
  <si>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Unemployment rate by country of birth (16+) - UK born: %</t>
  </si>
  <si>
    <t>DT2W</t>
  </si>
  <si>
    <t>LMS</t>
  </si>
  <si>
    <t>CPI ANNUAL RATE: Goods 2015=100</t>
  </si>
  <si>
    <t>D7NM</t>
  </si>
  <si>
    <t>MM23</t>
  </si>
  <si>
    <t>19-08-2020</t>
  </si>
  <si>
    <t>Forecasted</t>
  </si>
  <si>
    <t>Adv</t>
  </si>
  <si>
    <t>Unemp rate</t>
  </si>
  <si>
    <t>Sev Adv</t>
  </si>
  <si>
    <t>Updated Qtrly Assumptions [Linked to reflect PDs and Provisions]</t>
  </si>
  <si>
    <t>Research</t>
  </si>
  <si>
    <t>Lifetime PD</t>
  </si>
  <si>
    <t>year</t>
  </si>
  <si>
    <t>Pontefract Bidco Limited - CBILS</t>
  </si>
  <si>
    <t>Basil Demeroutis</t>
  </si>
  <si>
    <t>Little Explorers Day Care Nursery Limited - CBILS</t>
  </si>
  <si>
    <t>Khalida Khalid</t>
  </si>
  <si>
    <t>+Venture Battersea Limited - Facility A - CBILS</t>
  </si>
  <si>
    <t>+Venture Battersea Limited - Facility B - CBILS</t>
  </si>
  <si>
    <t>Inn Collection Bidco Limited - CBILS Facility</t>
  </si>
  <si>
    <t>Casa Italian Restaurants Ltd - CBILS</t>
  </si>
  <si>
    <t>Inception Ventures Group Limited - CBILS</t>
  </si>
  <si>
    <t>Daisy Green Food Limited - CBILS</t>
  </si>
  <si>
    <t>Red Oak Taverns Limited &amp; Bath And Stratford Homes (TC) Limited  - CBILS</t>
  </si>
  <si>
    <t>Bluegem Secondary LP</t>
  </si>
  <si>
    <t>Bright Minds Daycare Limited - CBILS</t>
  </si>
  <si>
    <t>Ottolenghi Limited - CBILS</t>
  </si>
  <si>
    <t>Staycity Investments Limited - CLBILS</t>
  </si>
  <si>
    <t>WBW City Holdings Ltd</t>
  </si>
  <si>
    <t>NPT Properties Limited</t>
  </si>
  <si>
    <t>Variable weights</t>
  </si>
  <si>
    <t>Yr-2</t>
  </si>
  <si>
    <t>Yr3</t>
  </si>
  <si>
    <t>Fac Amount</t>
  </si>
  <si>
    <t>Scen- Adj PD</t>
  </si>
  <si>
    <t>Final Time adj PD</t>
  </si>
  <si>
    <t xml:space="preserve">Mat </t>
  </si>
  <si>
    <t>M&amp;B Group Care Ltd</t>
  </si>
  <si>
    <t>Qumran Care Limited</t>
  </si>
  <si>
    <t>Evergreen Care Services Ltd</t>
  </si>
  <si>
    <t>Remsons Holdings Ltd</t>
  </si>
  <si>
    <t>Inn Collection BidCo Limited</t>
  </si>
  <si>
    <t>Basil James Demeroutis</t>
  </si>
  <si>
    <t>Ottolenghi Limited</t>
  </si>
  <si>
    <t>The Mill Hotel Limited</t>
  </si>
  <si>
    <t>on</t>
  </si>
  <si>
    <t>Adj-Y1</t>
  </si>
  <si>
    <t>Adj-Y2</t>
  </si>
  <si>
    <t>Adj-Y3</t>
  </si>
  <si>
    <t>Adj-Y4</t>
  </si>
  <si>
    <t>Adj-Y5</t>
  </si>
  <si>
    <t>ShockAdj Q1</t>
  </si>
  <si>
    <t>ShockAdj Q2</t>
  </si>
  <si>
    <t>ShockAdj Q3</t>
  </si>
  <si>
    <t>ShockAdj Q4</t>
  </si>
  <si>
    <t>CumShockPD-Q1</t>
  </si>
  <si>
    <t>CumShockPD-Q2</t>
  </si>
  <si>
    <t>CumShockPD-Q3</t>
  </si>
  <si>
    <t>CumShockPD-Q4</t>
  </si>
  <si>
    <t>Maturity</t>
  </si>
  <si>
    <t>Time adj PD</t>
  </si>
  <si>
    <t>Yr -1 [Qtrly]</t>
  </si>
  <si>
    <t>Annual -Y1</t>
  </si>
  <si>
    <t>Ultimate Bridging Finance No. 2 Limited</t>
  </si>
  <si>
    <t>ON Enhanced</t>
  </si>
  <si>
    <t xml:space="preserve">Yr4 </t>
  </si>
  <si>
    <t xml:space="preserve">Yr5 </t>
  </si>
  <si>
    <t>Whiskey (Bidco) Limited - CBILS</t>
  </si>
  <si>
    <t>Fourteen IP Group Limited - CBILS</t>
  </si>
  <si>
    <t>Macc Care Properties (Blythe Valley) Limited</t>
  </si>
  <si>
    <t>Brasserie Bar Co Limited - CLBILS</t>
  </si>
  <si>
    <t>Brasserie Bar Co Limited - Facility B2</t>
  </si>
  <si>
    <t>Constant Equity Alpha Limited - CBILS</t>
  </si>
  <si>
    <t>The Mill Hotel Limited- CBILS</t>
  </si>
  <si>
    <t>time adj PD</t>
  </si>
  <si>
    <t>S1</t>
  </si>
  <si>
    <t>Springmove Limited</t>
  </si>
  <si>
    <t>orig mat</t>
  </si>
  <si>
    <t>Comm Prov</t>
  </si>
  <si>
    <t>Drawn Prov</t>
  </si>
  <si>
    <t>Committed Undrawn Balance</t>
  </si>
  <si>
    <t>Ashton Yates Limited - Business Trading - HY Hotels - CBILS Facility</t>
  </si>
  <si>
    <t>Floor</t>
  </si>
  <si>
    <t>Ncino Updated PD</t>
  </si>
  <si>
    <t>INCEPTION VENTURES GROUP LIMITED &amp; BEDFORD STREET BAR TRADING LIMITED &amp; NEWMAN STREET BAR TRADING LIMITED &amp; BROADGATE CIRCLE BAR TRADING LIMITED</t>
  </si>
  <si>
    <t>RED OAK TAVERNS LIMITED &amp; BATH AND STRATFORD HOMES (TC) LIMITED</t>
  </si>
  <si>
    <t>BASIL JAMES DEMEROUTIS</t>
  </si>
  <si>
    <t>OTTOLENGHI LIMITED</t>
  </si>
  <si>
    <t>STAYCITY INVESTMENTS LIMITED</t>
  </si>
  <si>
    <t>WBW CITY HOLDINGS LTD</t>
  </si>
  <si>
    <t>KHALIDA KHALID</t>
  </si>
  <si>
    <t>+VENTURE BATTERSEA LIMITED</t>
  </si>
  <si>
    <t>RAW ALPHA PCC LIMITED</t>
  </si>
  <si>
    <t>BLUEGEM SECONDARY LP</t>
  </si>
  <si>
    <t>M&amp;B GROUP CARE LTD</t>
  </si>
  <si>
    <t>QUMRAN CARE LIMITED</t>
  </si>
  <si>
    <t>REMSONS HOLDINGS LTD</t>
  </si>
  <si>
    <t xml:space="preserve">FOURTEEN IP GROUP LIMITED </t>
  </si>
  <si>
    <t xml:space="preserve">BRASSERIE BAR CO LIMITED </t>
  </si>
  <si>
    <t xml:space="preserve">CONSTANT EQUITY ALPHA LIMITED </t>
  </si>
  <si>
    <t>SPRINGMOVE LIMITED</t>
  </si>
  <si>
    <t>Weighted PD</t>
  </si>
  <si>
    <t>-</t>
  </si>
  <si>
    <t>ASHTON YATES LTD</t>
  </si>
  <si>
    <t xml:space="preserve">LANOS HOLDINGS LIMITED </t>
  </si>
  <si>
    <t xml:space="preserve">Cullen Wealth Holdings Limited </t>
  </si>
  <si>
    <t>Ortus Secured Finance IV Limited</t>
  </si>
  <si>
    <t>Matured</t>
  </si>
  <si>
    <t>Relationship ID</t>
  </si>
  <si>
    <t>0014I00001ylZiU</t>
  </si>
  <si>
    <t>0014I00001zbcqS</t>
  </si>
  <si>
    <t>0014I00001yNmOl</t>
  </si>
  <si>
    <t>0014I000022x28i</t>
  </si>
  <si>
    <t>0015800000zoDbA</t>
  </si>
  <si>
    <t>0014I00001opmrL</t>
  </si>
  <si>
    <t>0015800001Aa8CZ</t>
  </si>
  <si>
    <t>00158000007tFZL</t>
  </si>
  <si>
    <t>0015800000YDdtL</t>
  </si>
  <si>
    <t>0015800000Eygrp</t>
  </si>
  <si>
    <t>0015800000blLRK</t>
  </si>
  <si>
    <t>0015800000cUbSY</t>
  </si>
  <si>
    <t>0015800000gK3M1</t>
  </si>
  <si>
    <t>0015800000WRe2v</t>
  </si>
  <si>
    <t>0015800000tHj5a</t>
  </si>
  <si>
    <t>0015800000me5DQ</t>
  </si>
  <si>
    <t>0015800000xkId9</t>
  </si>
  <si>
    <t>00158000010bEcS</t>
  </si>
  <si>
    <t>00158000013gcxO</t>
  </si>
  <si>
    <t>0015800001CcLLR</t>
  </si>
  <si>
    <t>0015800000dRt2K</t>
  </si>
  <si>
    <t>0015800001Eo5rw</t>
  </si>
  <si>
    <t>0015800000z8vOY</t>
  </si>
  <si>
    <t>0015800001Pfprh</t>
  </si>
  <si>
    <t>0015800001GY254</t>
  </si>
  <si>
    <t>0015800001ETMkR</t>
  </si>
  <si>
    <t>0015800001RCD9k</t>
  </si>
  <si>
    <t>0015800000YDm0R</t>
  </si>
  <si>
    <t>0015800001M8mvI</t>
  </si>
  <si>
    <t>00158000007tHga</t>
  </si>
  <si>
    <t>0015800001La8jV</t>
  </si>
  <si>
    <t>0015800000gJuyC</t>
  </si>
  <si>
    <t>0015800001b11sC</t>
  </si>
  <si>
    <t>0015800000zf8DT</t>
  </si>
  <si>
    <t>0015800001ZPawl</t>
  </si>
  <si>
    <t>0015800001fH29a</t>
  </si>
  <si>
    <t>0014I00001hceab</t>
  </si>
  <si>
    <t>0015800001AYjGi</t>
  </si>
  <si>
    <t>0014I00001kSfum</t>
  </si>
  <si>
    <t>0014I00001i941O</t>
  </si>
  <si>
    <t>0015800001cfgV5</t>
  </si>
  <si>
    <t>0014I00001j8PZ3</t>
  </si>
  <si>
    <t>0014I00001oIXfG</t>
  </si>
  <si>
    <t>0014I00001pussv</t>
  </si>
  <si>
    <t>0014I00001r5fd0</t>
  </si>
  <si>
    <t>0014I00001opoBg</t>
  </si>
  <si>
    <t>0014I00001rXgT9</t>
  </si>
  <si>
    <t>0014I00001tNfla</t>
  </si>
  <si>
    <t>0014I00001oqqTN</t>
  </si>
  <si>
    <t>0014I00001tNMtP</t>
  </si>
  <si>
    <t>0014I00001wCsHB</t>
  </si>
  <si>
    <t>0014I00001rYqrM</t>
  </si>
  <si>
    <t>0014I00001zbxX3</t>
  </si>
  <si>
    <t>0014I00001or3M2</t>
  </si>
  <si>
    <t>0015800000ZxOta</t>
  </si>
  <si>
    <t>0015800001cfhIq</t>
  </si>
  <si>
    <t>0014I00001r51hO</t>
  </si>
  <si>
    <t>0014I000023fvfX</t>
  </si>
  <si>
    <t>0014I000024HN8p</t>
  </si>
  <si>
    <t>0015800000bzlGg</t>
  </si>
  <si>
    <t>0014I00001zbzZa</t>
  </si>
  <si>
    <t>0014I00001z3Pij</t>
  </si>
  <si>
    <t>0014I00001r6hl4</t>
  </si>
  <si>
    <t>Cullen Wealth Ltd</t>
  </si>
  <si>
    <t>0014I000024vAPC</t>
  </si>
  <si>
    <t>Step 1a: For old PD and LGD, perform the following steps:
Either use the same information if the particular loan already exists, if not, download the pricing calculator to compute the old LGD and PD</t>
  </si>
  <si>
    <t xml:space="preserve">Step 3: Once step 1 and 2 are completed, add new loans in "MacroPD-Cal" tab in column A and drag and drop formula from column B, D TO AN. For column C, either take the same value as given for the old loan or take a average value of 0.65 </t>
  </si>
  <si>
    <t xml:space="preserve">Steps to update provision data </t>
  </si>
  <si>
    <t>1. Add new loans added in step 1 above in Sheet 3 and sheet 4 of Cashflow Data prep workbook</t>
  </si>
  <si>
    <t>2. Copy and paste exhaustive cashflow data in tab "Exhaustive Cashflows" from column A-T</t>
  </si>
  <si>
    <t>3. Filter non NA data in column V from "Exhaustive Cashflows" tab and paste column A-T in tab "Trading Cashflows"</t>
  </si>
  <si>
    <t>5. Sort data by "Customer Name" and "Due Date". Change the format as short date for "Due Date"</t>
  </si>
  <si>
    <t xml:space="preserve">6. Remove duplicates on the basis of column "Due Date" and "Trading Mapping" </t>
  </si>
  <si>
    <t>7. Add the list of trading loans in column A of tab "Check" and check for differences</t>
  </si>
  <si>
    <t>8. If there comes a difference, check for the mapping again for those cases</t>
  </si>
  <si>
    <t>9.1. Column X to column A</t>
  </si>
  <si>
    <t>9.2. Column B to B</t>
  </si>
  <si>
    <t>9.3. Column U and V to D and E</t>
  </si>
  <si>
    <t>9. Once all the outstanding balances matches for all the loans, copy following columns from tab "Trading Cashflows-remove Dup" to following columns of tab "Cashflow-Provisons" as paste special:</t>
  </si>
  <si>
    <t>Step 5: When the provisions are updated, sort the data by column "Match" and then "Days"</t>
  </si>
  <si>
    <t>Step 6: Once the final file from Charukshi is available, repeat all the above steps to add new loand and delete matured ones</t>
  </si>
  <si>
    <r>
      <t xml:space="preserve">4. Copy and </t>
    </r>
    <r>
      <rPr>
        <b/>
        <i/>
        <sz val="11"/>
        <color theme="1"/>
        <rFont val="Calibri"/>
        <family val="2"/>
        <scheme val="minor"/>
      </rPr>
      <t>paste special</t>
    </r>
    <r>
      <rPr>
        <i/>
        <sz val="11"/>
        <color theme="1"/>
        <rFont val="Calibri"/>
        <family val="2"/>
        <scheme val="minor"/>
      </rPr>
      <t xml:space="preserve"> whole data from A-X from "Trading Cashflows" tab to "Trading Cashflows-remove Dup" </t>
    </r>
  </si>
  <si>
    <t>Step 7: Update the total facility ampount and outstanding balance in "Ref-Data" tab in column B and C for all the loans</t>
  </si>
  <si>
    <t>Step 8: Finally reconsile the total outstanding balances for the whole portfolio with Charuskhi's file</t>
  </si>
  <si>
    <t>Step 1b: For enhanced PD and LGD, refer to the old loan if exists or pricing calculator for the same. If both the sources doesn’t work, use the old PD and LGD for the same. Also, ask the same from PM team for new loans</t>
  </si>
  <si>
    <t xml:space="preserve">Step 1: Update the "Ref-Data" tab with new loans from the file which charukshi shares as an interim file. Update the information from active loan book summary for loan information </t>
  </si>
  <si>
    <t>Step 2: The loans which are matured from "Ref-Data" tab, keep their status as "Matured" in column I</t>
  </si>
  <si>
    <t>Step 4: Drag and drop the formula for rest of the columns for tab "Cashflow-Provisions". Cnhage the date to month end date in cell "AB1"</t>
  </si>
  <si>
    <t xml:space="preserve">Check: Download the Active Loan Book summary from Ncino and compare the Ehanced PD and LGD from Ref-Data tab (column L and M) with Ncino. </t>
  </si>
  <si>
    <t>If there is a difference in PD due to annual review or some other factor, update the Ncino PD in "Updated Ncino PD" tab and LGD in "Ref-Data" tab</t>
  </si>
  <si>
    <t>Undrawn Prov</t>
  </si>
  <si>
    <t>Total Pro</t>
  </si>
  <si>
    <t>Cat</t>
  </si>
  <si>
    <t>Diff-PD</t>
  </si>
  <si>
    <t>Diff-LGD</t>
  </si>
  <si>
    <t>Diff-Prov</t>
  </si>
  <si>
    <t>Trading</t>
  </si>
  <si>
    <t>Step 9: Update the "Data Summary" tab by dragging and dropping all the columns for new loans</t>
  </si>
  <si>
    <t>Step 1c: Update month eend date in cell W1 in "Ref-Data" tab</t>
  </si>
  <si>
    <t>Thai Square Hotels Limited - Business Trading Facility - CBILS</t>
  </si>
  <si>
    <t>Thai Square Hotels Limited - Business Trading Facility - Non CBILS</t>
  </si>
  <si>
    <t>Learning Curve Group Limited/Genius Bidco Limited/Boyd Bidco Limited</t>
  </si>
  <si>
    <t>Wetherby House Estates Limited - RCF</t>
  </si>
  <si>
    <t>Wetherby House Estates Limited</t>
  </si>
  <si>
    <t xml:space="preserve">Farrelly Energy Solutions Limited and FBS Intelligent Engineering (IE) Limited </t>
  </si>
  <si>
    <t>Dumbleton Hall Hotel Property Company Limited</t>
  </si>
  <si>
    <t>Signet Hotels (Hampton Court  Property) Ltd - CBILS</t>
  </si>
  <si>
    <t>Signet Hotels (Hampton Court  Property) Ltd</t>
  </si>
  <si>
    <t>Lyons Davidson Limited - Business Trading - CBILS Term Loan</t>
  </si>
  <si>
    <t>Lyons Davidson Limited - Business Trading - Non-CBILS RCF</t>
  </si>
  <si>
    <t>LHH Investments Limited - Business Trading - CBILS</t>
  </si>
  <si>
    <t>April'21</t>
  </si>
  <si>
    <t>Borrower Name (Mambu/Nucleus Name)</t>
  </si>
  <si>
    <t>BXTR LTD, BXTR MCH LTD, BXTR 3 LTD</t>
  </si>
  <si>
    <t>CULLEN WEALTH HOLDINGS LIMITED</t>
  </si>
  <si>
    <t>DUMBLETON HALL HOTEL PROPERTY COMPANY LIMITED</t>
  </si>
  <si>
    <t>FARRELLY ENERGY SOLUTIONS LIMITED AND FBS INTELLIGENT ENGINEERING (IE) LIMITED</t>
  </si>
  <si>
    <t>LANOS HOLDINGS LIMITED</t>
  </si>
  <si>
    <t>LYONS DAVIDSON LIMITED</t>
  </si>
  <si>
    <t>Last Month</t>
  </si>
  <si>
    <t>Pro</t>
  </si>
  <si>
    <t>Current Month</t>
  </si>
  <si>
    <t>LHH INVESTMENTS LIMITED</t>
  </si>
  <si>
    <t>RM Secured Direct Lending Plc</t>
  </si>
  <si>
    <t>RM Secured Direct Lending Plc - Facility B</t>
  </si>
  <si>
    <t>RM Secured Direct Lending plc - Old</t>
  </si>
  <si>
    <t>Q1</t>
  </si>
  <si>
    <t>Q2</t>
  </si>
  <si>
    <t>Q3</t>
  </si>
  <si>
    <t>Q4</t>
  </si>
  <si>
    <t>Y2</t>
  </si>
  <si>
    <t>Y3</t>
  </si>
  <si>
    <t>Y4</t>
  </si>
  <si>
    <t>Y5</t>
  </si>
  <si>
    <t>Required For Summary &gt;&gt;&gt;&gt;</t>
  </si>
  <si>
    <t>Bright Minds Daycare Limited - CBILS - Facility D</t>
  </si>
  <si>
    <t>Nicol's Worsteds Limited - CBILS</t>
  </si>
  <si>
    <t>NICOL'S WORSTEDS LIMITED</t>
  </si>
  <si>
    <t>Shocks</t>
  </si>
  <si>
    <t>TTC-Y1 [ICAAP]</t>
  </si>
  <si>
    <t>exclude</t>
  </si>
  <si>
    <t>Fac1</t>
  </si>
  <si>
    <t>Fac2</t>
  </si>
  <si>
    <t>Fac3</t>
  </si>
  <si>
    <t>Fac4</t>
  </si>
  <si>
    <t>LGD-Enhanced</t>
  </si>
  <si>
    <t>Ncino LGD to be updated here</t>
  </si>
  <si>
    <t>SIDE BY SIDE SCHOOL LTD</t>
  </si>
  <si>
    <t>Kansas Bidco Limited</t>
  </si>
  <si>
    <t>KANSAS BIDCO LIMITED</t>
  </si>
  <si>
    <t xml:space="preserve">This data is based upon assumption of old model PD and stress testing TTC PD assumption </t>
  </si>
  <si>
    <t>VALARY WARWICK LTD</t>
  </si>
  <si>
    <t>CENTRO HOTELS LIMITED</t>
  </si>
  <si>
    <t>Valary Warwick Ltd</t>
  </si>
  <si>
    <t>Centro Hotels Limited</t>
  </si>
  <si>
    <t>Ocean House Development Limited and Pinboard Limited Partnership - Trading</t>
  </si>
  <si>
    <t>Ncino Updated LGD</t>
  </si>
  <si>
    <t>Updated on 10/06/2021</t>
  </si>
  <si>
    <t>Updated on 29/06/2021</t>
  </si>
  <si>
    <t>Updated on 30/06/2021</t>
  </si>
  <si>
    <t>Updated to old value</t>
  </si>
  <si>
    <t>Drawn Provision</t>
  </si>
  <si>
    <t>S. No.</t>
  </si>
  <si>
    <t>Syndicated Facility (Yes/No)?</t>
  </si>
  <si>
    <t>On Demand Facility?</t>
  </si>
  <si>
    <t>Blended RWA</t>
  </si>
  <si>
    <t>Product Category</t>
  </si>
  <si>
    <t>SIC Sector</t>
  </si>
  <si>
    <t>Exposure Classification</t>
  </si>
  <si>
    <t>Updated Sector</t>
  </si>
  <si>
    <t>No</t>
  </si>
  <si>
    <t>YES</t>
  </si>
  <si>
    <t>NO</t>
  </si>
  <si>
    <t>Property Holding Development Facility</t>
  </si>
  <si>
    <t>Real Estate Activities</t>
  </si>
  <si>
    <t>High risk @ 150% risk weight</t>
  </si>
  <si>
    <t>Hospitality - Hotels</t>
  </si>
  <si>
    <t>Business Trading Facility</t>
  </si>
  <si>
    <t>Wholesale &amp; Retail</t>
  </si>
  <si>
    <t>All other retail SME lending @75% risk weight</t>
  </si>
  <si>
    <t>Exposure secured by commercial mortgages @ 100% risk weight</t>
  </si>
  <si>
    <t>Land</t>
  </si>
  <si>
    <t>Commercial Property Development</t>
  </si>
  <si>
    <t>254 Kilburn HR LLP</t>
  </si>
  <si>
    <t>254 KILBURN HR LLP</t>
  </si>
  <si>
    <t>Property Development Facility</t>
  </si>
  <si>
    <t>Construction</t>
  </si>
  <si>
    <t>Residential Property Development</t>
  </si>
  <si>
    <t>Apartments</t>
  </si>
  <si>
    <t>ALBANY HOMES (BA) LIMITED</t>
  </si>
  <si>
    <t>Property Investment Facility</t>
  </si>
  <si>
    <t>Exposure secured by residential mortgages @ 35% risk weight</t>
  </si>
  <si>
    <t>Residential Property Investment</t>
  </si>
  <si>
    <t>Restaurants &amp; Bars</t>
  </si>
  <si>
    <t>Hospitality - Restaurant</t>
  </si>
  <si>
    <t>TEMPLEFIELDS A RESI LLP &amp; TEMPLEFIELDS B RESI LLP</t>
  </si>
  <si>
    <t>LHA</t>
  </si>
  <si>
    <t>VISIONBELL LIMITED</t>
  </si>
  <si>
    <t>Property Refurbishment Facility</t>
  </si>
  <si>
    <t>Hotels</t>
  </si>
  <si>
    <t>All other corporate lending @100% risk weight</t>
  </si>
  <si>
    <t>FELCON BLACKHEATH LTD</t>
  </si>
  <si>
    <t>4-6 ST EDMUNDS TERRACE LIMITED</t>
  </si>
  <si>
    <t>THE CLAY OVEN UK LIMITED</t>
  </si>
  <si>
    <t>EQUITABLE PROPERTIES LIMITED</t>
  </si>
  <si>
    <t>4-14 SPURSTOWE TERRACE LLP</t>
  </si>
  <si>
    <t>Raycliff Whitechapel LLP</t>
  </si>
  <si>
    <t>RAYCLIFF WHITECHAPEL LLP</t>
  </si>
  <si>
    <t>Warehouse/ Industrial</t>
  </si>
  <si>
    <t>Houses</t>
  </si>
  <si>
    <t>THAME HOUSE LIMITED</t>
  </si>
  <si>
    <t>HERTFORD HOMES RENTALS LIMITED</t>
  </si>
  <si>
    <t>N17 DEVELOPMENTS LIMITED</t>
  </si>
  <si>
    <t>Care Homes</t>
  </si>
  <si>
    <t>ILAN JOSEPH HERSHKOVITZ &amp; YAEL HERSHKOVITZ</t>
  </si>
  <si>
    <t>NHPV (GREATOREX) LIMITED</t>
  </si>
  <si>
    <t>PARKVIEW BATTERSEA LTD</t>
  </si>
  <si>
    <t>CREATEFUTURE LIMITED</t>
  </si>
  <si>
    <t>Exposure secured by residential mortgages @ 100% risk weight</t>
  </si>
  <si>
    <t>Financial Services</t>
  </si>
  <si>
    <t>Financial services</t>
  </si>
  <si>
    <t>RCF</t>
  </si>
  <si>
    <t>KORMA INVESTMENTS LTD</t>
  </si>
  <si>
    <t>HMO</t>
  </si>
  <si>
    <t>MM1 Investments Ltd</t>
  </si>
  <si>
    <t>MM1 INVESTMENTS LTD</t>
  </si>
  <si>
    <t>35 Shore Road Limited</t>
  </si>
  <si>
    <t>35 SHORE ROAD LIMITED</t>
  </si>
  <si>
    <t>Property Holding Investment Facility</t>
  </si>
  <si>
    <t>TUFTON HOUSE RESI LTD</t>
  </si>
  <si>
    <t>MAJESTIC (BELFORD) LIMITED</t>
  </si>
  <si>
    <t>Commercial Property Investment</t>
  </si>
  <si>
    <t>Offices</t>
  </si>
  <si>
    <t>Victor Korman</t>
  </si>
  <si>
    <t>VICTOR KORMAN</t>
  </si>
  <si>
    <t>ZAHRA INVESTMENTS LIMITED</t>
  </si>
  <si>
    <t>£8,968,000 - Exposure secured by residential mortgages @ 35% risk weight; £1,032,000 - Exposure secured by commercial mortgages @ 100% risk weight</t>
  </si>
  <si>
    <t>LANOS (LUTON) LIMITED</t>
  </si>
  <si>
    <t>Student Accommodation</t>
  </si>
  <si>
    <t>KARTIK PROPERTIES LTD</t>
  </si>
  <si>
    <t>WESTFIELD HOLDINGS LIMITED</t>
  </si>
  <si>
    <t>Dalston Property Limited</t>
  </si>
  <si>
    <t>DALSTON PROPERTY LIMITED</t>
  </si>
  <si>
    <t>Hospitality - Pubs</t>
  </si>
  <si>
    <t>Construction Trading</t>
  </si>
  <si>
    <t>Services</t>
  </si>
  <si>
    <t>ROHAN TALWAR</t>
  </si>
  <si>
    <t>Yes</t>
  </si>
  <si>
    <t>NEWCOURT RESIDENTIAL (ORCHARD LEA) LIMITED</t>
  </si>
  <si>
    <t>ANSS DEVELOPMENT LIMITED</t>
  </si>
  <si>
    <t>ZAMAN ENTERPRISES LTD</t>
  </si>
  <si>
    <t>27-33 CAROLINE STREET LLP &amp; DCP CAROLINE LIMITED &amp; DCP CAROLINE 2 LIMITED</t>
  </si>
  <si>
    <t>NEWCOURT RESIDENTIAL (SPV 9) LIMITED</t>
  </si>
  <si>
    <t>Outlook Capital Limited</t>
  </si>
  <si>
    <t>OUTLOOK CAPITAL LTD</t>
  </si>
  <si>
    <t>Swan Homes (Southall) Limited</t>
  </si>
  <si>
    <t>SWAN HOMES (SOUTHALL) LIMITED</t>
  </si>
  <si>
    <t>Retail</t>
  </si>
  <si>
    <t>SBH PARK HOLDING LIMITED</t>
  </si>
  <si>
    <t>Admin. &amp; Support Services</t>
  </si>
  <si>
    <t>MICHAEL PATRICK HUGHES AND CATHERINE PAULA HUGHES</t>
  </si>
  <si>
    <t>Speciality Finance</t>
  </si>
  <si>
    <t>The Fun Pub Company Limited</t>
  </si>
  <si>
    <t>THE FUN PUB COMPANY LIMITED</t>
  </si>
  <si>
    <t>Daleburn Limited</t>
  </si>
  <si>
    <t>DALEBURN LIMITED</t>
  </si>
  <si>
    <t>INVOKE PROPERTIES LTD</t>
  </si>
  <si>
    <t>CIEL LAYSTALL LIMITED</t>
  </si>
  <si>
    <t>DAVID KNOX AND MIMI PUI YUK KNOX</t>
  </si>
  <si>
    <t>SIG DENNINGTON PARK ROAD LIMITED</t>
  </si>
  <si>
    <t>YORK ROAD DEVELOPMENT (LONDON) LIMITED</t>
  </si>
  <si>
    <t>STAVELY LIMITED</t>
  </si>
  <si>
    <t>Clivedale Properties Limited</t>
  </si>
  <si>
    <t>CLIVEDALE PROPERTIES LIMITED</t>
  </si>
  <si>
    <t>ASIA INVESTMENTS ENTERPRISES LIMITED</t>
  </si>
  <si>
    <t>111TW LTD</t>
  </si>
  <si>
    <t>George Michael Georgiou</t>
  </si>
  <si>
    <t>GEORGE MICHAEL GEORGIOU</t>
  </si>
  <si>
    <t>HAPPY LODGE LIMITED</t>
  </si>
  <si>
    <t>MALL PROPERTIES LTD</t>
  </si>
  <si>
    <t>A.S.K. Partners Lendco 3 Limited</t>
  </si>
  <si>
    <t>A.S.K. PARTNERS LENDCO 3 LIMITED</t>
  </si>
  <si>
    <t>Loan-on-Loan</t>
  </si>
  <si>
    <t>Flora Developments Limited</t>
  </si>
  <si>
    <t>FLORA DEVELOPMENTS LIMITED</t>
  </si>
  <si>
    <t>Stondon Capital Limited</t>
  </si>
  <si>
    <t>STONDON CAPITAL LIMITED</t>
  </si>
  <si>
    <t>330 Grays Inn Road Limited</t>
  </si>
  <si>
    <t>330 GRAYS INN ROAD LIMITED</t>
  </si>
  <si>
    <t>Hospital</t>
  </si>
  <si>
    <t>Main Street (Silsoe) Limited</t>
  </si>
  <si>
    <t>MAIN STREET (SILSOE) LIMITED</t>
  </si>
  <si>
    <t>NEWCOURT RESIDENTIAL (SPV 9) LIMITED &amp; NEWCOURT RESIENTIAL (WADHURST ) LTD &amp; NEWCOURT RESIDENTIAL (SPV 3) LIMITED AND NEWCOURT RESIDENTIAL (THE OAKS ) LIMITED</t>
  </si>
  <si>
    <t>GSN Warner LLP</t>
  </si>
  <si>
    <t>GSN WARNER LLP</t>
  </si>
  <si>
    <t>NI (HH) LLP</t>
  </si>
  <si>
    <t>Care Homes - Leasehold</t>
  </si>
  <si>
    <t>Care homes</t>
  </si>
  <si>
    <t>Malory Peter Clifford</t>
  </si>
  <si>
    <t>MALORY PETER CLIFFORD</t>
  </si>
  <si>
    <t>Colston Trustees Limited</t>
  </si>
  <si>
    <t>COLSTON TRUSTEES LIMITED</t>
  </si>
  <si>
    <t>LH DEVELOPMENT 1 LIMITED</t>
  </si>
  <si>
    <t>Care Homes - Freehold</t>
  </si>
  <si>
    <t>BROADWOOD LENDING LIMITED</t>
  </si>
  <si>
    <t>FORE JERSEY IX LIMITED</t>
  </si>
  <si>
    <t>FURNESS QUAY PHASE 4 LIMITED</t>
  </si>
  <si>
    <t>FREP 3 (PRINCE'S SQUARE) LIMITED</t>
  </si>
  <si>
    <t>Godly Properties Limited</t>
  </si>
  <si>
    <t>GODLY PROPERTIES LIMITED</t>
  </si>
  <si>
    <t>HT HOLDINGS SARL</t>
  </si>
  <si>
    <t>MONTREAUX CRICKLEWOOD DEVELOPMENTS LTD</t>
  </si>
  <si>
    <t>GH/AH BEAR LANE LIMITED</t>
  </si>
  <si>
    <t>FRONTIER ESTATES (EG) LTD &amp; FRONTIER ESTATES (LOUGHTON) LTD &amp; FRONTIER ESTATES (SOUTHWARK) LTD &amp; FRONTIER ESTATES (SHREWSBURY) LTD &amp; FRONTIER ESTATES (HH) LTD &amp; FRONTIER ESTATES (RW) LIMITED &amp; FRONTIER ESTATES (FROME) LTD &amp; FRONTIER ESTATES (MERING) LTD</t>
  </si>
  <si>
    <t>BSM SPV 1 LTD</t>
  </si>
  <si>
    <t>BHAVYA SAHNI &amp; DIVYANSH SAHNI &amp; SANDEEP SAHNI &amp; BOBBY SAHNI</t>
  </si>
  <si>
    <t>Information &amp; Communication Services</t>
  </si>
  <si>
    <t>Leopard UK Kensington Propco Limited</t>
  </si>
  <si>
    <t>LEOPARD UK KENSINGTON PROPCO LIMITED</t>
  </si>
  <si>
    <t>Retirement living</t>
  </si>
  <si>
    <t>Ringhurst Limited</t>
  </si>
  <si>
    <t>RINGHURST LIMITED</t>
  </si>
  <si>
    <t>NETHERHALL GARDENS LTD</t>
  </si>
  <si>
    <t>Strathcarron Homes (SGX) Ltd</t>
  </si>
  <si>
    <t>STRATHCARRON HOMES (SGX) LTD</t>
  </si>
  <si>
    <t>Furness House Developments Limited</t>
  </si>
  <si>
    <t>FURNESS HOUSE DEVELOPMENTS LIMITED</t>
  </si>
  <si>
    <t>Hive 1 Limited</t>
  </si>
  <si>
    <t>Nine Gatwick Hotel Limited</t>
  </si>
  <si>
    <t>NINE GATWICK HOTEL LIMITED</t>
  </si>
  <si>
    <t>HORTENSIA PROPERTY DEVELOPMENT LLP AND SPIRE PROPERTY DEVELOPMENT LLP</t>
  </si>
  <si>
    <t>Hunters Court Limited</t>
  </si>
  <si>
    <t>HUNTERS COURT LIMITED</t>
  </si>
  <si>
    <t>HEATHCOCK COURT PROPERTY LIMITED</t>
  </si>
  <si>
    <t>AGATE PROPERTIES LIMITED</t>
  </si>
  <si>
    <t>Dursun Gungor</t>
  </si>
  <si>
    <t>DURSUN GUNGOR</t>
  </si>
  <si>
    <t>SLATTERS DEVELOPMENT LIMITED</t>
  </si>
  <si>
    <t>Zeal Hotel (Bridgwater J23) Limited - Tranche B</t>
  </si>
  <si>
    <t>ZEAL HOTEL (BRIDGWATER J23) LIMITED</t>
  </si>
  <si>
    <t>Clearview Developments (Broadwater Down) Limited</t>
  </si>
  <si>
    <t>CLEARVIEW DEVELOPMENTS (BROADWATER DOWN) LIMITED</t>
  </si>
  <si>
    <t>VERUS INVESTMENTS LTD</t>
  </si>
  <si>
    <t>Ali Has</t>
  </si>
  <si>
    <t>ALI HAS</t>
  </si>
  <si>
    <t>AMA (TOR 1) LTD</t>
  </si>
  <si>
    <t>Gladheath Limited</t>
  </si>
  <si>
    <t>GLADHEATH LIMITED</t>
  </si>
  <si>
    <t>Invordan Wetton Garage Limited</t>
  </si>
  <si>
    <t>INVORDAN WETTON GARAGE LIMITED</t>
  </si>
  <si>
    <t>LONDON PROPERTY VENTURES 100 LTD</t>
  </si>
  <si>
    <t>LONDON PROPERTY VENTURES 250 LTD</t>
  </si>
  <si>
    <t>MENARI UK LIMITED</t>
  </si>
  <si>
    <t>REEVES INVESTMENTS LTD AND EXCETER PROPERTIES LTD</t>
  </si>
  <si>
    <t>A.S.K. Partners Lendco 13 Limited</t>
  </si>
  <si>
    <t>A.S.K. PARTNERS LENDCO 13 LIMITED</t>
  </si>
  <si>
    <t>TDC MANAGEMENT LIMITED</t>
  </si>
  <si>
    <t>A.S.K. Partners Lendco 14 Limited</t>
  </si>
  <si>
    <t>A.S.K. PARTNERS LENDCO 14 LIMITED</t>
  </si>
  <si>
    <t>Child-care &amp; Education</t>
  </si>
  <si>
    <t>Mabec (Nottingham) Limited</t>
  </si>
  <si>
    <t>MABEC (NOTTINGHAM) LIMITED</t>
  </si>
  <si>
    <t>Kolte Patil Greenwich Limited</t>
  </si>
  <si>
    <t>KOLTE PATIL GREENWICH LIMITED</t>
  </si>
  <si>
    <t>Kolte Patil Kenley Limited</t>
  </si>
  <si>
    <t>KOLTE PATIL KENLEY LIMITED</t>
  </si>
  <si>
    <t>Bluecroft - IPE Jubilee Limited</t>
  </si>
  <si>
    <t>BLUECROFT - IPE JUBILEE LIMITED</t>
  </si>
  <si>
    <t>55 Hoxton Property Limited</t>
  </si>
  <si>
    <t>55 HOXTON PROPERTY LIMITED</t>
  </si>
  <si>
    <t>Dacol Limited</t>
  </si>
  <si>
    <t>DACOL LIMITED</t>
  </si>
  <si>
    <t>SEAN RUAIRI CONNEELY AND AGNES MARIE BAMFORD</t>
  </si>
  <si>
    <t>HH Facilities Limited</t>
  </si>
  <si>
    <t>HH FACILITIES LIMITED</t>
  </si>
  <si>
    <t>Northwood Street Limited</t>
  </si>
  <si>
    <t>NORTHWOOD STREET LIMITED &amp; NORTHWOOD STREET 2 LIMITED</t>
  </si>
  <si>
    <t>Citybranch Healthcare Limited</t>
  </si>
  <si>
    <t>CITYBRANCH HEALTHCARE LIMITED</t>
  </si>
  <si>
    <t>Almero Crimscott II Limited</t>
  </si>
  <si>
    <t>ALMERO CRIMSCOTT II LIMITED</t>
  </si>
  <si>
    <t>Co-living</t>
  </si>
  <si>
    <t>Elebro Limited</t>
  </si>
  <si>
    <t>ELEBRO LIMITED</t>
  </si>
  <si>
    <t>Thornsett Partners Limited</t>
  </si>
  <si>
    <t>THORNSETT PARTNERS LIMITED</t>
  </si>
  <si>
    <t>Whitehall Loans Limited</t>
  </si>
  <si>
    <t>WHITEHALL LOANS LIMITED</t>
  </si>
  <si>
    <t>Wembley Empire Development Limited</t>
  </si>
  <si>
    <t>WEMBLEY EMPIRE DEVELOPMENT LIMITED</t>
  </si>
  <si>
    <t>ANDREW BLACK</t>
  </si>
  <si>
    <t>ROSSENDALE HOMES LIMITED AND ROSSENDALE HOMES RESIDENTIAL LIMITED AND LUMINOUS INVESTMENTS LIMITED AND HUNTS WHARF ESTATES LIMITED AND SAG PROPERTY HOLDINGS LIMITED AND HUNTS WHARF INVESTMENTS LIMITED</t>
  </si>
  <si>
    <t>CL2017 Limited</t>
  </si>
  <si>
    <t>CL2017 LIMITED</t>
  </si>
  <si>
    <t>Evolve (Milton Keynes) Limited</t>
  </si>
  <si>
    <t>EVOLVE (MILTON KEYNES) LIMITED</t>
  </si>
  <si>
    <t>Uplift Capital Limited</t>
  </si>
  <si>
    <t>UPLIFT CAPITAL LIMITED</t>
  </si>
  <si>
    <t>LUKE MEAD &amp; WAYNE MEAD</t>
  </si>
  <si>
    <t>Anthea Investments Limited</t>
  </si>
  <si>
    <t>ANTHEA INVESTMENTS LIMITED</t>
  </si>
  <si>
    <t>BIG SUR (SPARKFORD) LIMITED</t>
  </si>
  <si>
    <t>FTH Investments Limited</t>
  </si>
  <si>
    <t>FTH INVESTMENTS LIMITED</t>
  </si>
  <si>
    <t>Streetsbrook Property Developments LLP</t>
  </si>
  <si>
    <t>STREETSBROOK PROPERTY DEVELOPMENTS LLP</t>
  </si>
  <si>
    <t>Bagshot Manor Developments Limited</t>
  </si>
  <si>
    <t>BAGSHOT MANOR DEVELOPMENTS LIMITED</t>
  </si>
  <si>
    <t>My Lane Investments Limited</t>
  </si>
  <si>
    <t>MY LANE INVESTMENTS LIMITED</t>
  </si>
  <si>
    <t>MR KULBIR SINGH KHARABANDA AND MRS HILDEGARD ANNA KHARABANDA</t>
  </si>
  <si>
    <t>A.S.K. Partners Lendco 17 Limited</t>
  </si>
  <si>
    <t>A.S.K. PARTNERS LENDCO 17 LIMITED</t>
  </si>
  <si>
    <t>CBILS / CLBILS</t>
  </si>
  <si>
    <t>FABX2.6 LP</t>
  </si>
  <si>
    <t>THE BAXTER GROUP LIMITED</t>
  </si>
  <si>
    <t>Nine Gatwick Hotel Limited - CBILS</t>
  </si>
  <si>
    <t>SBH Park Holding Limited - CBILS</t>
  </si>
  <si>
    <t>Leisure and Hotel Investments Limited And Bike and Boot Inns Limited - CBILS - Facility A</t>
  </si>
  <si>
    <t>LEISURE AND HOTEL INVESTMENTS LIMITED AND BIKE AND BOOT INNS LIMITED</t>
  </si>
  <si>
    <t>Leisure and Hotel Investments Limited And Bike and Boot Inns Limited - CBILS - Facility B</t>
  </si>
  <si>
    <t>A.S.K. Partners Lendco 19 Limited</t>
  </si>
  <si>
    <t>A.S.K. PARTNERS LENDCO 19 LIMITED</t>
  </si>
  <si>
    <t>26 CAMDEN HIGH STREET LIMITED &amp; CITY TRUSTEES LIMITED</t>
  </si>
  <si>
    <t>WEBER TALMA SUBSIDIARY LTD</t>
  </si>
  <si>
    <t>Retirement Living</t>
  </si>
  <si>
    <t>Carli Jayne Developments Limited</t>
  </si>
  <si>
    <t>N17 H2I Portfolio LLP</t>
  </si>
  <si>
    <t>N17 H2I PORTFOLIO LLP</t>
  </si>
  <si>
    <t>Markovic Property Partnership</t>
  </si>
  <si>
    <t>CHAIRM MARKOVIC &amp; PEREL HIRSCH &amp; ALEX MARKOVIC &amp; MIRIAM SIEMIATYCKI &amp; DEVORAH MARKOVIC &amp; CHAYA MARKOVIC AS (MARKOVIC PROPERTY PARTNERSHIP)</t>
  </si>
  <si>
    <t>Hurstwood Homes 1 Limited</t>
  </si>
  <si>
    <t>HURSTWOOD HOMES 1 LIMITED</t>
  </si>
  <si>
    <t>LINEA UB7 LTD</t>
  </si>
  <si>
    <t>VALE CR LIMITED</t>
  </si>
  <si>
    <t>M4NCHESTER TWO LIMITED</t>
  </si>
  <si>
    <t>PAVILION HP13 LTD</t>
  </si>
  <si>
    <t>KECHTO HOLDINGS LIMITED</t>
  </si>
  <si>
    <t>BROADWING (63 SELCROFT ROAD) LIMITED</t>
  </si>
  <si>
    <t>BROADWING (WARPLE WAY) LIMITED</t>
  </si>
  <si>
    <t>SWANPOOL PROJECT LTD</t>
  </si>
  <si>
    <t>Mumbles Group Limited</t>
  </si>
  <si>
    <t>RAYNERS CLOSE LIMITED</t>
  </si>
  <si>
    <t>PARADIGM WELLINGTON LIMITED</t>
  </si>
  <si>
    <t>HILLVIEW VENTURES LIMITED</t>
  </si>
  <si>
    <t>Manufacturing</t>
  </si>
  <si>
    <t>HAMPSTEAD HOMES SOUTHERN LTD</t>
  </si>
  <si>
    <t>STARVIEW ESTATES LIMITED</t>
  </si>
  <si>
    <t>MR BERNARD JACOB CARL AND MRS JOAN TURNBULL CARL</t>
  </si>
  <si>
    <t>CHALK LANE PROPERTIES LIMITED</t>
  </si>
  <si>
    <t>HYDROGEN FALMOUTH LIMITED</t>
  </si>
  <si>
    <t>NEISA INVESTMENTS LIMITED</t>
  </si>
  <si>
    <t>MARTIN HOMES SLAUGHAM (MANOR) LIMITED</t>
  </si>
  <si>
    <t>Zeal Hotel (Bridgwater J23) Limited - CBILS</t>
  </si>
  <si>
    <t>KINGS CRESCENT LTD</t>
  </si>
  <si>
    <t>MACC CARE PROPERTIES (BLYTHE VALLEY) LIMITED</t>
  </si>
  <si>
    <t>EQT RESPONSIBLE ENTITY SERVICES LTD</t>
  </si>
  <si>
    <t>STRANTON PROPERTIES NUMBER THREE LIMITED &amp; STRANTON PROPERTIES RESIDENTIAL LIMITED</t>
  </si>
  <si>
    <t>ASHFORD PROPERTY GROUP LIMITED</t>
  </si>
  <si>
    <t>MURFET (EUREKA) LTD</t>
  </si>
  <si>
    <t>KILBURN DEVELOPMENTS LIMITED</t>
  </si>
  <si>
    <t>OB Capital Limited</t>
  </si>
  <si>
    <t>OB CAPITAL LIMITED</t>
  </si>
  <si>
    <t>Bridgewater Wharf Limited</t>
  </si>
  <si>
    <t>BRIDGEWATER WHARF LIMITED</t>
  </si>
  <si>
    <t>Elysian Wildernesse House Limited - Facility A</t>
  </si>
  <si>
    <t>ELYSIAN WILDERNESSE HOUSE LIMITED</t>
  </si>
  <si>
    <t>Elysian Wildernesse House Limited - Facility B</t>
  </si>
  <si>
    <t>GR33N GROUP LTD</t>
  </si>
  <si>
    <t>Western Ridge Tri Capital Limited</t>
  </si>
  <si>
    <t>WESTERN RIDGE TRI CAPITAL LIMITED</t>
  </si>
  <si>
    <t>MONET DEVELOPMENTS LIMITED</t>
  </si>
  <si>
    <t>SHERWOOD OAK HOMES LIMITED</t>
  </si>
  <si>
    <t>WOSBERG ESTATES LTD</t>
  </si>
  <si>
    <t>GALLICAN INVESTMENTS LIMITED</t>
  </si>
  <si>
    <t>BEULAH VISTA CARING HOME LIMITED</t>
  </si>
  <si>
    <t>BULSARA PROPERTY LIMITED</t>
  </si>
  <si>
    <t>TABERNACLE HOUSE LIMITED</t>
  </si>
  <si>
    <t>Arklow Astra Limited</t>
  </si>
  <si>
    <t>ARKLOW ASTRA LIMITED</t>
  </si>
  <si>
    <t>LANDSEER DEVELOPMENT COMPANY LTD</t>
  </si>
  <si>
    <t>Ashton Yates Ltd - CBILS</t>
  </si>
  <si>
    <t>Vista Bidco Limited - CBILS</t>
  </si>
  <si>
    <t>TAVISTOCK 1878 CAPITAL LTD</t>
  </si>
  <si>
    <t>BAXTER HOMES LIMITED</t>
  </si>
  <si>
    <t>MACAR DEVELOPMENTS (WR) LIMITED</t>
  </si>
  <si>
    <t>Lincoln Plaza Hotel Co Limited - CBILS</t>
  </si>
  <si>
    <t>FABX2.7 LP and FABX2.8 LP</t>
  </si>
  <si>
    <t>GREAT MINSTER HOUSE LIMITED</t>
  </si>
  <si>
    <t>HTS COMMERCIAL LIMITED</t>
  </si>
  <si>
    <t>WOODCOTE GROVE LIMITED</t>
  </si>
  <si>
    <t>PH ALDERLEY PARK (ALDERLEY HOUSE) LLP</t>
  </si>
  <si>
    <t>Cullen Wealth Holdings Limited</t>
  </si>
  <si>
    <t>LAR Group Limited - CBILS</t>
  </si>
  <si>
    <t>Waste Treatment and Disposal</t>
  </si>
  <si>
    <t>YELLOW TREE CAPITAL PARTNERS LLP</t>
  </si>
  <si>
    <t>BXTR LTD, BXTR MCH LTD, BXTR 3 LTD - Edinburgh - CBILS</t>
  </si>
  <si>
    <t>Deniz N2 Limited</t>
  </si>
  <si>
    <t>DENIZ N2 LIMITED</t>
  </si>
  <si>
    <t>Scarborough B3 Coast Limited</t>
  </si>
  <si>
    <t>SCARBOROUGH B3 COAST LIMITED</t>
  </si>
  <si>
    <t>TARVINDER BIRAN</t>
  </si>
  <si>
    <t>Waterfall Developments Limited</t>
  </si>
  <si>
    <t>WATERFALL DEVELOPMENTS LIMITED</t>
  </si>
  <si>
    <t>WHITEMOUNT PROJECTS LIMITED</t>
  </si>
  <si>
    <t>Evolve (Colchester) Limited</t>
  </si>
  <si>
    <t>EVOLVE (COLCHESTER) LIMITED</t>
  </si>
  <si>
    <t>COLMORE PROPERTIES LTD</t>
  </si>
  <si>
    <t>Farrelly Energy Solutions Limited and FBS Intelligent Engineering (IE) Limited</t>
  </si>
  <si>
    <t>ORKACAP (PROJECT BOSCOMBE) LTD</t>
  </si>
  <si>
    <t>VESTA PARTNERSHIPS LTD</t>
  </si>
  <si>
    <t>ME DEVELOPMENTS (LONG SUTTON) LIMITED</t>
  </si>
  <si>
    <t>Karis Developments Limited</t>
  </si>
  <si>
    <t>KARIS DEVELOPMENTS LIMITED</t>
  </si>
  <si>
    <t>117 AVENUE ROAD LIMITED</t>
  </si>
  <si>
    <t>Mountain Capital Limited</t>
  </si>
  <si>
    <t>MOUNTAIN CAPITAL LIMITED</t>
  </si>
  <si>
    <t>THE TRUSTEES OF THE KYRIACOS JOHN PITTALIS WILL TRUST</t>
  </si>
  <si>
    <t>Savoy Projects LLP</t>
  </si>
  <si>
    <t>SAVOY PROJECTS LLP</t>
  </si>
  <si>
    <t>A.S.K. Partners Lendco 25 Limited</t>
  </si>
  <si>
    <t>A.S.K. PARTNERS LENDCO 25 LIMITED</t>
  </si>
  <si>
    <t>Birmingham Enterprise Wharf Limited</t>
  </si>
  <si>
    <t>BIRMINGHAM ENTERPRISE WHARF LIMITED</t>
  </si>
  <si>
    <t>Birmingham Health Innovation Campus Limited</t>
  </si>
  <si>
    <t>BIRMINGHAM HEALTH INNOVATION CAMPUS LIMITED</t>
  </si>
  <si>
    <t>BREEVA II STUDENT ACCOMMODATION S.A.R.L</t>
  </si>
  <si>
    <t>YIHONG ACTON LTD</t>
  </si>
  <si>
    <t>Brigid Investments Limited</t>
  </si>
  <si>
    <t>BRIGID INVESTMENTS LIMITED</t>
  </si>
  <si>
    <t>Colima Avenue Limited</t>
  </si>
  <si>
    <t>COLIMA AVENUE LIMITED</t>
  </si>
  <si>
    <t>Dandi Three Limited</t>
  </si>
  <si>
    <t>DANDI THREE LIMITED</t>
  </si>
  <si>
    <t>LYRA HOMES (BOREHAMWOOD) LTD</t>
  </si>
  <si>
    <t>Signet Hotels (The Retreat) Ltd</t>
  </si>
  <si>
    <t>SIGNET HOTELS (THE RETREAT) LTD</t>
  </si>
  <si>
    <t>TRUK OWNER LTD</t>
  </si>
  <si>
    <t>1-9 Kings Road LLP</t>
  </si>
  <si>
    <t>1-9 KINGS ROAD LLP</t>
  </si>
  <si>
    <t>Slatters Development Limited - CBILS - Fac A</t>
  </si>
  <si>
    <t>Slatters Development Limited - CBILS - Fac B</t>
  </si>
  <si>
    <t>Lyons Davidson Limited</t>
  </si>
  <si>
    <t>Lyons Davidson Limited - CBILS</t>
  </si>
  <si>
    <t>74 HAMILTON TERRACE FREEHOLD LIMITED</t>
  </si>
  <si>
    <t>ELYSIAN STANMORE SITE LIMITED</t>
  </si>
  <si>
    <t>Glass House Living Limited</t>
  </si>
  <si>
    <t>GLASS HOUSE LIVING LIMITED</t>
  </si>
  <si>
    <t>JRL Property (Sutton) Ltd</t>
  </si>
  <si>
    <t>JRL PROPERTY (SUTTON) LTD</t>
  </si>
  <si>
    <t>Legacy Stadium Limited</t>
  </si>
  <si>
    <t>LEGACY STADIUM LIMITED</t>
  </si>
  <si>
    <t>LHH Investments Limited - CBILS</t>
  </si>
  <si>
    <t>Seven Capital (Grosvenor) Ltd</t>
  </si>
  <si>
    <t>SEVEN CAPITAL (GROSVENOR) LTD</t>
  </si>
  <si>
    <t>NORTH PLACE PROPERTIES LIMITED</t>
  </si>
  <si>
    <t>Car Parking</t>
  </si>
  <si>
    <t>87 ROBINSON RD LIMITED</t>
  </si>
  <si>
    <t>ROSE &amp; CO DEVELOPMENTS LTD</t>
  </si>
  <si>
    <t>Reflex Bridging Limited</t>
  </si>
  <si>
    <t>REFLEX BRIDGING LIMITED</t>
  </si>
  <si>
    <t>ST CHRISTOPHER'S PROPCO LIMITED</t>
  </si>
  <si>
    <t>Belgravia Property Gasworks Limited</t>
  </si>
  <si>
    <t>BELGRAVIA PROPERTY GASWORKS LIMITED</t>
  </si>
  <si>
    <t>JOSAL PROPERTY DEVELOPMENT LIMITED</t>
  </si>
  <si>
    <t>SILVERTON VOTEC LIMITED</t>
  </si>
  <si>
    <t>OPPIDAN (APARTMENTS) LIMITED</t>
  </si>
  <si>
    <t>TURNBULL HOMES (HAREWOOD) LIMITED</t>
  </si>
  <si>
    <t>OCULUS CARE LTD</t>
  </si>
  <si>
    <t>THE OLDHILL STREET PROJECT LTD</t>
  </si>
  <si>
    <t>SWAKELEYS PROPERTY DEVELOPMENTS LIMITED</t>
  </si>
  <si>
    <t>24 MIDDLE ST LTD AND 5 STEINE ST LIMITED</t>
  </si>
  <si>
    <t>Holiday Lets</t>
  </si>
  <si>
    <t>ARCHWAY DEVELOPMENTS (1) LIMITED</t>
  </si>
  <si>
    <t>BLYTHE BUSINESS PARK LTD</t>
  </si>
  <si>
    <t>CLAREMONT GRIMSBY LIMITED</t>
  </si>
  <si>
    <t>Clearhaven Homes Ltd - CBILS</t>
  </si>
  <si>
    <t>CLEARHAVEN HOMES LTD</t>
  </si>
  <si>
    <t>CRIMSON CRESCENT DEVELOPMENTS LTD</t>
  </si>
  <si>
    <t>DAYBROOK PROPERTIES UK LLP</t>
  </si>
  <si>
    <t>FORT ROAD DEVELOPMENT CO LIMITED</t>
  </si>
  <si>
    <t>GRL WORCESTER LTD</t>
  </si>
  <si>
    <t>K.J. DISCOUNT MOTOR SPARES LIMITED</t>
  </si>
  <si>
    <t>LIONCROSS HUNTINGDON LLP</t>
  </si>
  <si>
    <t>LITTLEROCK DEVELOPMENTS (NO. 11) LTD</t>
  </si>
  <si>
    <t>MARLPARK HOMES LTD</t>
  </si>
  <si>
    <t>MARTIN HOMES BUCKINGHAM ROAD LIMITED</t>
  </si>
  <si>
    <t>MATTERHORN CAPITAL S2 BRIDGEFOOT LIMITED</t>
  </si>
  <si>
    <t>PERTWEE PARK LIMITED</t>
  </si>
  <si>
    <t>PETER STREET DEVELOPMENTS LTD</t>
  </si>
  <si>
    <t>School</t>
  </si>
  <si>
    <t>Springfield Healthcare (Beverley) Limited</t>
  </si>
  <si>
    <t>SPRINGFIELD HEALTHCARE (BEVERLEY) LIMITED</t>
  </si>
  <si>
    <t>YTS ESTATES LIMITED</t>
  </si>
  <si>
    <t>ERL (RED HOUSE RIPON) LIMITED</t>
  </si>
  <si>
    <t>Love Loan Limited</t>
  </si>
  <si>
    <t>LOVE LOAN LIMITED</t>
  </si>
  <si>
    <t>The Scores Hospitality Limited</t>
  </si>
  <si>
    <t>THE SCORES HOSPITALITY LIMITED</t>
  </si>
  <si>
    <t>SBH Park Holding Limited - Facility C - CBILS</t>
  </si>
  <si>
    <t>Leisure And Hotel Investments Limited And Bike And Boot Inns Limited - CBILS - Facility C</t>
  </si>
  <si>
    <t>BCC Pine Bidco Limited</t>
  </si>
  <si>
    <t>BCC PINE BIDCO LIMITED</t>
  </si>
  <si>
    <t>Ashfield Land (Rutherglen) Limited</t>
  </si>
  <si>
    <t>ASHFIELD LAND (RUTHERGLEN) LIMITED</t>
  </si>
  <si>
    <t>Golf leisure venue</t>
  </si>
  <si>
    <t>NINE POINTS PROPERTY LTD &amp; NINE POINTS HOLDINGS LIMITED</t>
  </si>
  <si>
    <t>OCEAN HOUSE DEVELOPMENT LIMITED AND PINBOARD LIMITED PARTNERSHIP</t>
  </si>
  <si>
    <t>STRAWBERRY STAR UK PROPERTY FUND SPV 1 LTD</t>
  </si>
  <si>
    <t>Sirius 2021 Limited</t>
  </si>
  <si>
    <t>SIRIUS 2021 LIMITED</t>
  </si>
  <si>
    <t>Berkshire Assets (West London) Ltd</t>
  </si>
  <si>
    <t>Berkshire Assets (West London) Ltd - Facility A</t>
  </si>
  <si>
    <t>Berkshire Assets (West London) Ltd - Facility C</t>
  </si>
  <si>
    <t>DRESDEN LIMITED</t>
  </si>
  <si>
    <t>MR. JUN YANG, MS. LIN MA &amp; MR. YU LUNG YEUNG</t>
  </si>
  <si>
    <t>T14H Guernsey Limited</t>
  </si>
  <si>
    <t>UPPER CLAPTON LIMITED</t>
  </si>
  <si>
    <t>RLS</t>
  </si>
  <si>
    <t>Z CHA HOLDCO LTD - RLS</t>
  </si>
  <si>
    <t>WESTGATE ON SEA 1 LIMITED</t>
  </si>
  <si>
    <t>Exemplar Projects (Truro) Limited</t>
  </si>
  <si>
    <t>Galaxy 51 Limited</t>
  </si>
  <si>
    <t>PRIORY CC3 LIMITED</t>
  </si>
  <si>
    <t>Mumbles 7 Limited</t>
  </si>
  <si>
    <t>MUMBLES 7 LIMITED</t>
  </si>
  <si>
    <t>A.S.K. Partners Lendco 28 Limited</t>
  </si>
  <si>
    <t>A.S.K. PARTNERS LENDCO 28 LIMITED</t>
  </si>
  <si>
    <t>A.S.K. Partners Lendco 30 Limited</t>
  </si>
  <si>
    <t>A.S.K. PARTNERS LENDCO 30 LIMITED</t>
  </si>
  <si>
    <t>M&amp;E Mills Limited - Facility A</t>
  </si>
  <si>
    <t>M&amp;E MILLS LIMITED</t>
  </si>
  <si>
    <t>M&amp;E Mills Limited - RCF</t>
  </si>
  <si>
    <t>Melrose Education Limited</t>
  </si>
  <si>
    <t>MELROSE EDUCATION LIMITED</t>
  </si>
  <si>
    <t>OCM LUXEMBOURG EPF V BOL CULVERT ROAD S.A.R.L</t>
  </si>
  <si>
    <t>S 2 Farringdon Limited</t>
  </si>
  <si>
    <t>S 2 FARRINGDON LIMITED</t>
  </si>
  <si>
    <t>Excel Winner (Phase 1) Limited</t>
  </si>
  <si>
    <t>EXCEL WINNER (PHASE 1) LIMITED</t>
  </si>
  <si>
    <t>Sincere Homes (Willenhall) Limited</t>
  </si>
  <si>
    <t>SINCERE HOMES (WILLENHALL) LIMITED</t>
  </si>
  <si>
    <t>Topham Bidco Limited - Facility A</t>
  </si>
  <si>
    <t>TOPHAM BIDCO LIMITED</t>
  </si>
  <si>
    <t>Topham Bidco Limited - RCF</t>
  </si>
  <si>
    <t>Topham Bidco Limited - Facility B</t>
  </si>
  <si>
    <t>Burney (Ipswich) Limited</t>
  </si>
  <si>
    <t>BURNEY (IPSWICH) LIMITED</t>
  </si>
  <si>
    <t>Hotel / Warehouse</t>
  </si>
  <si>
    <t>MANSION PLACE LIMITED</t>
  </si>
  <si>
    <t>Martin Homes Davigdor Road Ltd</t>
  </si>
  <si>
    <t>MARTIN HOMES DAVIGDOR ROAD LTD</t>
  </si>
  <si>
    <t>Mount Lodge Properties Limited</t>
  </si>
  <si>
    <t>MOUNT LODGE PROPERTIES LIMITED</t>
  </si>
  <si>
    <t>Mumbles LC 1 Limited</t>
  </si>
  <si>
    <t>MUMBLES LC 1 LIMITED</t>
  </si>
  <si>
    <t>Uplift Capital 4 Limited</t>
  </si>
  <si>
    <t>UPLIFT CAPITAL 4 LIMITED</t>
  </si>
  <si>
    <t>Spring House Farm Developments Limited</t>
  </si>
  <si>
    <t>SPRING HOUSE FARM DEVELOPMENTS LIMITED</t>
  </si>
  <si>
    <t>EARLSRIVER LTD</t>
  </si>
  <si>
    <t>Loan ID</t>
  </si>
  <si>
    <t>03/08/2021 16:43</t>
  </si>
  <si>
    <t>30/09/2021 21:12</t>
  </si>
  <si>
    <t>01/09/2021 15:41</t>
  </si>
  <si>
    <t>21/09/2021 17:59</t>
  </si>
  <si>
    <t>03/08/2021 08:33</t>
  </si>
  <si>
    <t>LEARNING CURVE GROUP LIMITED / GENIUS BIDCO LIMITED / BOYD BIDCO LIMITED</t>
  </si>
  <si>
    <t>Park Lane Healthcare Limited - Magnolia</t>
  </si>
  <si>
    <t>Park Lane Healthcare Limited - Manor</t>
  </si>
  <si>
    <t>Park Lane Healthcare Limited - Croston</t>
  </si>
  <si>
    <t>Park Lane Healthcare Limited - Hall</t>
  </si>
  <si>
    <t>Park Lane Healthcare Limited - Moorgate</t>
  </si>
  <si>
    <t>The Wooldridge Partnership</t>
  </si>
  <si>
    <t>THE WOOLDRIDGE PARTNERSHIP</t>
  </si>
  <si>
    <t>Croydon House (Residential) Ltd</t>
  </si>
  <si>
    <t>CROYDON HOUSE (RESIDENTIAL) LTD</t>
  </si>
  <si>
    <t>MUMBLES GROUP LIMITED</t>
  </si>
  <si>
    <t>All Trading loans [30 October 2021]</t>
  </si>
  <si>
    <t>REPORT_DATE</t>
  </si>
  <si>
    <t>ACCOUNT_ID</t>
  </si>
  <si>
    <t>LOAN_NAME</t>
  </si>
  <si>
    <t>LOAN_TYPE</t>
  </si>
  <si>
    <t>ACCOUNT_STATUS</t>
  </si>
  <si>
    <t>LOAN_FINANCING_TYPE</t>
  </si>
  <si>
    <t>PRODUCT_ID</t>
  </si>
  <si>
    <t>PRODUCT_NAME</t>
  </si>
  <si>
    <t>INDEX_RATE_TYPE</t>
  </si>
  <si>
    <t>INDEX_RESET_FREEQUENCY</t>
  </si>
  <si>
    <t>INDEX_RATE_LAST_RESET</t>
  </si>
  <si>
    <t>INDEX_RATE_NEXT_RESET</t>
  </si>
  <si>
    <t>INDEX_RATE</t>
  </si>
  <si>
    <t>INTEREST_SPREAD</t>
  </si>
  <si>
    <t>INTEREST_RATE</t>
  </si>
  <si>
    <t>MIGRATION_FLAG</t>
  </si>
  <si>
    <t>MIGRATION_DATE</t>
  </si>
  <si>
    <t>TERMLOAN</t>
  </si>
  <si>
    <t>ACTIVE</t>
  </si>
  <si>
    <t>NONLF</t>
  </si>
  <si>
    <t>PDCBIL-01</t>
  </si>
  <si>
    <t>Property Development CBILS Facility</t>
  </si>
  <si>
    <t/>
  </si>
  <si>
    <t>FALSE</t>
  </si>
  <si>
    <t>APPROVED</t>
  </si>
  <si>
    <t>PI-01</t>
  </si>
  <si>
    <t>TRUE</t>
  </si>
  <si>
    <t>Libor</t>
  </si>
  <si>
    <t>3 MONTHS</t>
  </si>
  <si>
    <t>PHICBIL-01</t>
  </si>
  <si>
    <t>Property Holding Investment CBILS Facility</t>
  </si>
  <si>
    <t>LF</t>
  </si>
  <si>
    <t>BT-01</t>
  </si>
  <si>
    <t>PLL-01</t>
  </si>
  <si>
    <t>Property Loan on Loan Facility</t>
  </si>
  <si>
    <t>PD-01</t>
  </si>
  <si>
    <t>PHI-01</t>
  </si>
  <si>
    <t>PICBIL-01</t>
  </si>
  <si>
    <t>Property Investment CBILS Facility</t>
  </si>
  <si>
    <t>BTCBIL-01</t>
  </si>
  <si>
    <t>Business Trading CBILS Facility</t>
  </si>
  <si>
    <t>PHD-01</t>
  </si>
  <si>
    <t>6 MONTHS</t>
  </si>
  <si>
    <t>PRCBIL-01</t>
  </si>
  <si>
    <t>Property Refurbishment CBILS Facility</t>
  </si>
  <si>
    <t>PHDCBIL-01</t>
  </si>
  <si>
    <t>Property Holding Development CBILS Facility</t>
  </si>
  <si>
    <t>PR-01</t>
  </si>
  <si>
    <t>Fixed</t>
  </si>
  <si>
    <t>Adj factor_New</t>
  </si>
  <si>
    <t>BTRLS-01</t>
  </si>
  <si>
    <t>Business Trading RLS Facility</t>
  </si>
  <si>
    <t>* Shocks are based on latest forwardlooking macroeconomic scenarios</t>
  </si>
  <si>
    <t xml:space="preserve">Raw - annual gdp nos. from moodys pdf </t>
  </si>
  <si>
    <t>convert to quarterly</t>
  </si>
  <si>
    <t>Baseline Shock &amp; PDs</t>
  </si>
  <si>
    <t>SevAdv Shocks &amp; PDs</t>
  </si>
  <si>
    <t>Adv Shocks &amp; PD</t>
  </si>
  <si>
    <t>A &amp; J Newbould &amp; Sons</t>
  </si>
  <si>
    <t>A &amp; J NEWBOULD &amp; SONS</t>
  </si>
  <si>
    <t>A.S.K. Partners Lendco 31 Limited</t>
  </si>
  <si>
    <t>A.S.K. PARTNERS LENDCO 31 LIMITED</t>
  </si>
  <si>
    <t>Retreat East Limited</t>
  </si>
  <si>
    <t>RETREAT EAST LIMITED</t>
  </si>
  <si>
    <t>Century Capital Partners No. 3 Limited</t>
  </si>
  <si>
    <t>CENTURY CAPITAL PARTNERS NO. 3 LIMITED</t>
  </si>
  <si>
    <t>PROMONTORIA CUBIC LIMITED</t>
  </si>
  <si>
    <t>TARTAN LEISURE LIMITED</t>
  </si>
  <si>
    <t>Lodges</t>
  </si>
  <si>
    <t>Verdant Regeneration Limited</t>
  </si>
  <si>
    <t>VERDANT REGENERATION LIMITED</t>
  </si>
  <si>
    <t>A.S.K. Partners Lendco 32 Limited</t>
  </si>
  <si>
    <t>A.S.K. PARTNERS LENDCO 32 LIMITED</t>
  </si>
  <si>
    <t>AFAS The Core Limited</t>
  </si>
  <si>
    <t>AFAS THE CORE LIMITED</t>
  </si>
  <si>
    <t>ATRI7 2 Limited</t>
  </si>
  <si>
    <t>ATRI7 2 LIMITED</t>
  </si>
  <si>
    <t>Gen Two Oval Ltd</t>
  </si>
  <si>
    <t>GEN TWO OVAL LTD</t>
  </si>
  <si>
    <t>GRAYS PROPERTY HOLDINGS LIMITED</t>
  </si>
  <si>
    <t>Mylor Bridge Project Limited</t>
  </si>
  <si>
    <t>MYLOR BRIDGE PROJECT LIMITED</t>
  </si>
  <si>
    <t>KMKH LIMITED</t>
  </si>
  <si>
    <t>KMKH Limited</t>
  </si>
  <si>
    <t>Sackville Street SL Property Company Limited (Jersey Registered)</t>
  </si>
  <si>
    <t>CLERKENWELL LIFESTYLE (UK) LTD</t>
  </si>
  <si>
    <t>Axis Harrow LP</t>
  </si>
  <si>
    <t>AXIS HARROW LP</t>
  </si>
  <si>
    <t>AHG3 Ltd</t>
  </si>
  <si>
    <t>A.S.K. Partners Lendco 33 Limited</t>
  </si>
  <si>
    <t>A.S.K. PARTNERS LENDCO 33 LIMITED</t>
  </si>
  <si>
    <t>The Mill Robertsbridge Ltd</t>
  </si>
  <si>
    <t>THE MILL ROBERTSBRIDGE LTD</t>
  </si>
  <si>
    <t>Newton Road LLP</t>
  </si>
  <si>
    <t>NEWTON ROAD LLP</t>
  </si>
  <si>
    <t>Quinn Estates Betteshanger Limited</t>
  </si>
  <si>
    <t>QUINN ESTATES BETTESHANGER LIMITED</t>
  </si>
  <si>
    <t>BIG SUR (HIGH STREET) LIMITED</t>
  </si>
  <si>
    <t>Sno.</t>
  </si>
  <si>
    <t>Tab Name</t>
  </si>
  <si>
    <t>Description</t>
  </si>
  <si>
    <t>Data Summary</t>
  </si>
  <si>
    <t>Final summary of calculated PDs, LGDs, Drawn-undrawn provisions etc.</t>
  </si>
  <si>
    <t>Adjustment Factor</t>
  </si>
  <si>
    <t>Tab used to update qualitative adjustment factor to generate qualitative adjusted PDs</t>
  </si>
  <si>
    <t>Ref-Data</t>
  </si>
  <si>
    <t>Contains Loan information (Total facility amount, closing date, maturity date, interest rate, 1 year PD, LGD) , computation of commited undrawn balance provisions</t>
  </si>
  <si>
    <t>Model Output-LoanNameUpdate</t>
  </si>
  <si>
    <t>Scenario weighted PD being computed in this tab (for loans booked before November'21)</t>
  </si>
  <si>
    <t>Updated Ncino PD</t>
  </si>
  <si>
    <t>Tab used to add PD-LGD for new disbursements</t>
  </si>
  <si>
    <t>Input PD LGD</t>
  </si>
  <si>
    <t>Final PD/LGD, Interest Rate tab which is run in R code &amp; used to compute drawn provisions</t>
  </si>
  <si>
    <t>Code Results</t>
  </si>
  <si>
    <t>Provisions code output. Contains drawn provisions and outstanding balances as calculated from cash-flow data</t>
  </si>
  <si>
    <t>Loan Book Summary Dec'21</t>
  </si>
  <si>
    <t>Information on all active loans bookded till date</t>
  </si>
  <si>
    <t>Reference_Rate_Repricing_Report</t>
  </si>
  <si>
    <t>Interest Rate Data</t>
  </si>
  <si>
    <t xml:space="preserve">Financial input used to generate annualized PDs </t>
  </si>
  <si>
    <t>Output RiskCalc</t>
  </si>
  <si>
    <t>Input RiskCalc</t>
  </si>
  <si>
    <t>Annualizaed PD output (Borrower Level)</t>
  </si>
  <si>
    <t>Annualizaed PD output (Facility Level)</t>
  </si>
  <si>
    <t>MacroPD-Cal</t>
  </si>
  <si>
    <t>Apprentify Group Limited - Facility A</t>
  </si>
  <si>
    <t>Apprentify Group Limited - Facility B</t>
  </si>
  <si>
    <t>Chelsea Bidco Limited - RCF</t>
  </si>
  <si>
    <t>Chelsea Bidco Limited - Facility A</t>
  </si>
  <si>
    <t>Chelsea Bidco Limited - Facility B</t>
  </si>
  <si>
    <t>APPRENTIFY GROUP LIMITED</t>
  </si>
  <si>
    <t>CHELSEA BIDCO LIMITED</t>
  </si>
  <si>
    <t>Strawberry Fields Nursery &amp; Preschool Limited - RLS</t>
  </si>
  <si>
    <t>STRAWBERRY FIELDS NURSERY &amp; PRESCHOOL LIMITED</t>
  </si>
  <si>
    <t>Brasserie Bar Co Limited &amp; Abriand Propco Limited - Facility A</t>
  </si>
  <si>
    <t>Brasserie Bar Co Limited &amp; Abriand Propco Limited - Facility B</t>
  </si>
  <si>
    <t>Brasserie Bar Co Limited &amp; Abriand Propco Limited - Facility C</t>
  </si>
  <si>
    <t>Brasserie Bar Co Limited &amp; Abriand Propco Limited - Facility D</t>
  </si>
  <si>
    <t>Brasserie Bar Co Limited &amp; Abriand Propco Limited - RCF</t>
  </si>
  <si>
    <t>Lincoln Plaza Hotel Co Limited - Facility C</t>
  </si>
  <si>
    <t>90% downside</t>
  </si>
  <si>
    <t>96% downside</t>
  </si>
  <si>
    <t>Scenario Weighted PD</t>
  </si>
  <si>
    <t>Scenario Weights</t>
  </si>
  <si>
    <t>Scenario Weights &gt;&gt;&gt;&gt;</t>
  </si>
  <si>
    <t>Adverse (90%ile)</t>
  </si>
  <si>
    <t>Severely Adverse (96%ile)</t>
  </si>
  <si>
    <t>Committed Undrawn</t>
  </si>
  <si>
    <t>Uncommitted Undrawn</t>
  </si>
  <si>
    <t>Specialty Finance</t>
  </si>
  <si>
    <t>NA</t>
  </si>
  <si>
    <t>FIRST BELGRAVIA PROPERTIES LIMITED</t>
  </si>
  <si>
    <t>DPMM ENTERPRISES LIMITED AND HARLEY PROPERTY INVESTMENTS LTD AND DUDDEN HILL DEVELOPMENT LLP</t>
  </si>
  <si>
    <t>PERLONI LIMITED AND DUDDENHILL PROPERTIES LTD</t>
  </si>
  <si>
    <t>LANDMARK WEYBRIDGE LIMITED</t>
  </si>
  <si>
    <t>Landmark Weybridge Limited</t>
  </si>
  <si>
    <t>A.S.K. PARTNERS LENDCO 34 LIMITED</t>
  </si>
  <si>
    <t>A.S.K. Partners Lendco 34 Limited</t>
  </si>
  <si>
    <t>A.S.K. PARTNERS LENDCO 35 LIMITED</t>
  </si>
  <si>
    <t>A.S.K. Partners Lendco 35 Limited</t>
  </si>
  <si>
    <t>STEPHEN VICTOR BYGRAVE &amp; MOIRA ANN BYGRAVE</t>
  </si>
  <si>
    <t>BRASSERIE BAR CO LIMITED &amp; ABRIAND PROPCO LIMITED</t>
  </si>
  <si>
    <t>A.S.K. PARTNERS LENDCO 36 LIMITED</t>
  </si>
  <si>
    <t>A.S.K. Partners Lendco 36 Limited</t>
  </si>
  <si>
    <t>DANDI FIVE LIMITED</t>
  </si>
  <si>
    <t>Dandi Five Limited</t>
  </si>
  <si>
    <t>Co-Living</t>
  </si>
  <si>
    <t>PRINCIPAL_BALANCE</t>
  </si>
  <si>
    <t xml:space="preserve">117 Avenue Road - Property Development - CBILS </t>
  </si>
  <si>
    <t>Great Minster House Limited - CBILS Development Facility</t>
  </si>
  <si>
    <t>PH Alderley Park -  CBILS Development Facility</t>
  </si>
  <si>
    <t>Tarvinder Singh Biran - CBILS Facility A</t>
  </si>
  <si>
    <t>Tarvinder Singh Biran - CBILS Facility B</t>
  </si>
  <si>
    <t>Tavistock 1878 Capital Ltd - Facility B - CBILS Development</t>
  </si>
  <si>
    <t>Vesta Partnerships - CBILS Development Facility</t>
  </si>
  <si>
    <t>Waterfall Developments - Facility A - CBILS Development</t>
  </si>
  <si>
    <t>Yellow Tree Capital - CBILS Development - West House</t>
  </si>
  <si>
    <t>19 Munster Road - Property Development - CBILS</t>
  </si>
  <si>
    <t>Dandi Three Limited - CBILS Facility A</t>
  </si>
  <si>
    <t>Savoy Projects LLP - Facility A - CBILS Development</t>
  </si>
  <si>
    <t>Whitemount Projects Limited - CBILS Facility A</t>
  </si>
  <si>
    <t>Whitemount Projects Limited - CBILS Facility B</t>
  </si>
  <si>
    <t>Deniz N2 Limited - CBILS Development Facility</t>
  </si>
  <si>
    <t>Fabrix Capital - FABX2.7 LP / FABX2.8 LP - Investment Facility</t>
  </si>
  <si>
    <t>Karis Developments - Facility B - Non-CBILS Investment</t>
  </si>
  <si>
    <t>Fun Pub Company - Investment Facility</t>
  </si>
  <si>
    <t>Korma Investments Ltd. - Investment Facility</t>
  </si>
  <si>
    <t>Menari UK Limited - Investment Facility A - 35% RWA</t>
  </si>
  <si>
    <t>Menari UK Limited - Investment Facility B - 100% RWA</t>
  </si>
  <si>
    <t>N 17 Developments Limited - Investment Facility</t>
  </si>
  <si>
    <t>Thame House Limited - Investment Facility</t>
  </si>
  <si>
    <t>Orkacap (Project Boscombe) Ltd - Investment Facility</t>
  </si>
  <si>
    <t>Andrew Black - Investment Facility - Tranche 1 (A)</t>
  </si>
  <si>
    <t>Andrew Black - Investment Facility - Tranche 1 (B)</t>
  </si>
  <si>
    <t>My Lane Investments Limited - Facility A</t>
  </si>
  <si>
    <t>Simcha Green - Lumious Investments - Investment Facility C</t>
  </si>
  <si>
    <t>Simcha Green - SAG Property Holdings (Resi) - Investment Facility E</t>
  </si>
  <si>
    <t>Simcha Green - Hunts Wharf Investments (Comm) - Investment Facility F</t>
  </si>
  <si>
    <t>Simcha Green - Rossendale Homes Residential - Investment Facility A</t>
  </si>
  <si>
    <t>Simcha Green - Rossendale Homes - Investment Facility B</t>
  </si>
  <si>
    <t>Colima Avenue - Investment Facility</t>
  </si>
  <si>
    <t>Colston Trustees - Investment Facility</t>
  </si>
  <si>
    <t>Lanos Luton - Investment Facility</t>
  </si>
  <si>
    <t>Michael Hughes / Catherine Hughes - Investment Facility</t>
  </si>
  <si>
    <t>Asia Investments Enterprises - Property Investment</t>
  </si>
  <si>
    <t>David Knox / Mimi Knox - Investment Facility</t>
  </si>
  <si>
    <t>Equitable Properties - Property Investment - Facility A</t>
  </si>
  <si>
    <t>Equitable Properties - Property Investment - Facility B</t>
  </si>
  <si>
    <t>Tabernacle House Limited - Investment Facility</t>
  </si>
  <si>
    <t>Godly Properties Limited - Investment Facility</t>
  </si>
  <si>
    <t>Reeves Investments / Exceter Properties - Investment Facility</t>
  </si>
  <si>
    <t>Mountain Capital Limited - Investment Facility</t>
  </si>
  <si>
    <t>Fabrix Capital - FABX2.6 LP - Newman Street</t>
  </si>
  <si>
    <t>Simcha Green - Hunts Wharf Estates (Resi) - Investment Facility D</t>
  </si>
  <si>
    <t>Simcha Green - Hunts Wharf Estates (Resi) - Investment Facility G</t>
  </si>
  <si>
    <t>Sean Conneely / Agnes Bamford - Investment Facility</t>
  </si>
  <si>
    <t>Stavely Limited - Investment Facility</t>
  </si>
  <si>
    <t>George Michael Georgiou - Investment Facility</t>
  </si>
  <si>
    <t>FORE Jersey IX Limited - Investment Facility</t>
  </si>
  <si>
    <t>Bhavya Sahni, Divyansh Sahni, Sandeep Sahni and Bobby Sahni</t>
  </si>
  <si>
    <t>Anthea Investments Limited - Property Investment</t>
  </si>
  <si>
    <t>Zaman Enterprises Ltd - Property Investment</t>
  </si>
  <si>
    <t>Daleburn Limited - Investment Facility</t>
  </si>
  <si>
    <t>Invoke Properties Ltd. - Investment Facility</t>
  </si>
  <si>
    <t>Zahra Investments Limited - Property Investment</t>
  </si>
  <si>
    <t>Watermeadow Towcester - Investment - ON Share - Floating Rate</t>
  </si>
  <si>
    <t>Brigid Investments Limited - Investment Facility</t>
  </si>
  <si>
    <t>ME Developments Long Sutton - CBILS Holding Investment</t>
  </si>
  <si>
    <t>Yihong Acton Ltd. - CBILS Holding Investment</t>
  </si>
  <si>
    <t>RM Secured Direct Lending Plc - Revolving Facility A</t>
  </si>
  <si>
    <t>Notes: Music &amp; Coffee Limited - Trading Facility</t>
  </si>
  <si>
    <t>Signet Hotels Hampton Court - Facility A - Non-CBILS Trading</t>
  </si>
  <si>
    <t>RM Secured Direct Lendin Plc - Revolving Facility B</t>
  </si>
  <si>
    <t>Ultimate Bridging Finance - Tranche 2</t>
  </si>
  <si>
    <t>Ultimate Bridging Finance - Tranche 3</t>
  </si>
  <si>
    <t>Z Cha Holdco Ltd - Non-RLS Trading Facility</t>
  </si>
  <si>
    <t>Ultimate Bridging Finance - Tranche 4</t>
  </si>
  <si>
    <t>Ultimate Bridging Finance - Tranche 5</t>
  </si>
  <si>
    <t>Ultimate Bridging Finance - Tranche 6</t>
  </si>
  <si>
    <t>Cullen Wealth Holdings - Business Trading Facility</t>
  </si>
  <si>
    <t>Dumbleton Hall Hotel Property - Trading Facility</t>
  </si>
  <si>
    <t>Ortus Secured Finance IV Limited - Facility F</t>
  </si>
  <si>
    <t>Ortus Secured Finance IV Limited - Facility E</t>
  </si>
  <si>
    <t>Ortus Secured Finance IV Limited - Facility D</t>
  </si>
  <si>
    <t>Ortus Secured Finance IV Limited - Facility C</t>
  </si>
  <si>
    <t>Ortus Secured Finance IV Limited - Facility B</t>
  </si>
  <si>
    <t>Ortus Secured Finance IV Limited - Facility A</t>
  </si>
  <si>
    <t>Farrelly Energy Solutions / FBS Intelligent Engineering - Term Loan</t>
  </si>
  <si>
    <t>Learning Curve Group - Trading Facility</t>
  </si>
  <si>
    <t>Signet Hotels The Retreat - Trading Main Facility</t>
  </si>
  <si>
    <t>Care Concern (Leeds) Limited - Facility B</t>
  </si>
  <si>
    <t>Care Concern (Leeds) Limited - Facility A</t>
  </si>
  <si>
    <t>Thornrose Limited - Trading Facility</t>
  </si>
  <si>
    <t>Z Hotels Holborn - Trading Facility</t>
  </si>
  <si>
    <t>Slatters Development Limited - Non-CBILS Facility</t>
  </si>
  <si>
    <t>Granite Bidco Limited - Business Trading Facility</t>
  </si>
  <si>
    <t>Basil James Demeroutis - Business Trading / FORE Advisors</t>
  </si>
  <si>
    <t>Moorlands Healthcare Limited - Trading Facility</t>
  </si>
  <si>
    <t>A.S.K. Partners Lendco 25 Limited -  CFH Broadwater</t>
  </si>
  <si>
    <t>Kulbir Kharabanda / Hildegard Kharabanda - Development Facility</t>
  </si>
  <si>
    <t>Woodcote Grove Limited - Development Facility</t>
  </si>
  <si>
    <t>Scarborough B3 Coast - Development Facility</t>
  </si>
  <si>
    <t>Kyriacos John Pittalis Will Trust?- Development Facility</t>
  </si>
  <si>
    <t>Birmingham Enterprise Wharf Limited - Development</t>
  </si>
  <si>
    <t>BREEVA II Student Accommodation S.A.R.L  - Bermondsey</t>
  </si>
  <si>
    <t>BREEVA II Student Accommodation S.A.R.L  - Manchester</t>
  </si>
  <si>
    <t>Dandi Three Limited - Non-CBILS Facility B</t>
  </si>
  <si>
    <t>Waterfall Developments - Facility B - Non-CBILS Development</t>
  </si>
  <si>
    <t>Uplift Capital Ltd - Tranche A - Development Facility</t>
  </si>
  <si>
    <t>Uplift Capital Ltd - Tranche B - Development Facility</t>
  </si>
  <si>
    <t>Lyra Homes (Borehamwood) Ltd - Property Development Facility</t>
  </si>
  <si>
    <t>Evolve (Colchester) Limited - Property Development</t>
  </si>
  <si>
    <t>Western Ridge Tri Capital - Facility B - Non-CBILS Development</t>
  </si>
  <si>
    <t>Colmore Properties - Development Facility</t>
  </si>
  <si>
    <t>Savoy Projects LLP - Facility B - Non-CBILS Development</t>
  </si>
  <si>
    <t>Whitemount Projects Limited - Non-CBILS Facility</t>
  </si>
  <si>
    <t>Birmingham Health Innovation Campus - Development</t>
  </si>
  <si>
    <t>Luke Mead &amp; Wayne Mead - Development Facility</t>
  </si>
  <si>
    <t>Wembley Empire Development - Development Facility</t>
  </si>
  <si>
    <t>Deniz N2 Limited - Non-CBILS Development Facility</t>
  </si>
  <si>
    <t>Streetsbrook Property - Development Facility B</t>
  </si>
  <si>
    <t>Streetsbrook Property - Development Facility C</t>
  </si>
  <si>
    <t>Streetsbrook Property - Development Facility D</t>
  </si>
  <si>
    <t>1-9 Kings Road - Property Holding Investment</t>
  </si>
  <si>
    <t>Bernard Carl / Joan Carl - Holding Investment Facility</t>
  </si>
  <si>
    <t>Clivedale Properties - Holding Investment</t>
  </si>
  <si>
    <t>Karis Developments - Facility A - CBILS Investment</t>
  </si>
  <si>
    <t>Casa Italian Restaurants Ltd - Business Trading - CBILS</t>
  </si>
  <si>
    <t>BXTR / BXTR MCH / BXTR 3 - Manchester Hotel - CBILS</t>
  </si>
  <si>
    <t>BXTR / BXTR MCH / BXTR 3 - Glasgow Hotel - CBILS</t>
  </si>
  <si>
    <t>BXTR / BXTR MCH / BXTR 3 - Edinburgh Hotel - CBILS</t>
  </si>
  <si>
    <t>Signet Hotels Hampton Court - Facility B - CBILS Trading</t>
  </si>
  <si>
    <t>Constant Equity Alpha - Facility C</t>
  </si>
  <si>
    <t>LAR Group Limited - Facility B</t>
  </si>
  <si>
    <t>LAR Group Limited - Revolving Credit Facility</t>
  </si>
  <si>
    <t>Flora Developments Limited - Holding Development</t>
  </si>
  <si>
    <t>2022-11-23 00:00:00</t>
  </si>
  <si>
    <t>CL2017 / Cottage Linen - Holding Development - Rhodes Way</t>
  </si>
  <si>
    <t>Northwood Street - Facility C - ON Share</t>
  </si>
  <si>
    <t>Northwood Street - Facility A - ON Share</t>
  </si>
  <si>
    <t>Northwood Street - Facility B - ON Share</t>
  </si>
  <si>
    <t>FTH Investments - CBILS Development Facility A - Refinance</t>
  </si>
  <si>
    <t>FTH Investments - CBILS Development Facility A - New Money</t>
  </si>
  <si>
    <t>Strathcarron Homes  - CBILS Facility - ON Share</t>
  </si>
  <si>
    <t>74 Hamilton Terrace - Development Facility A - CBILS</t>
  </si>
  <si>
    <t>Weber Talma Subsidiary - CBILS Development Facility</t>
  </si>
  <si>
    <t>Rohan Talwar - Investment Facility</t>
  </si>
  <si>
    <t>Verus Investments Limited - Investment Facility</t>
  </si>
  <si>
    <t>BSM SPV 1 Ltd - Property Investment</t>
  </si>
  <si>
    <t>London Property Ventures 100 Ltd - Non-CBILS Investment Facility</t>
  </si>
  <si>
    <t>London Property Ventures 250 Ltd - Non-CBILS Investment Facility</t>
  </si>
  <si>
    <t>55 Hoxton Property Limited - Property Investment</t>
  </si>
  <si>
    <t>Dursun Gungor - Property Investment</t>
  </si>
  <si>
    <t>26 Camden High Street / City Trustees - Property Investment</t>
  </si>
  <si>
    <t>Invordan Wetton Garage Limited - Investment Facility</t>
  </si>
  <si>
    <t>Baxter Group Limited - Investment Facility</t>
  </si>
  <si>
    <t>Albany Homes (BA) - Property Investment - Facility A - Non-CBILS</t>
  </si>
  <si>
    <t>Tufton House Resi - Investment Facility</t>
  </si>
  <si>
    <t>Victor Korman - Investment Facility</t>
  </si>
  <si>
    <t>Hertford Homes Rentals Limited - Investment Facility</t>
  </si>
  <si>
    <t>MM1 Investments Ltd - Investment Facility</t>
  </si>
  <si>
    <t>Ilan Joseph Hershkovitz / Yael Hershkovitz - Investment Facility</t>
  </si>
  <si>
    <t>NHPV Greatorex - Investment Facility A</t>
  </si>
  <si>
    <t>Ali Has - Property Investment</t>
  </si>
  <si>
    <t>NHPV Greatorex - Investment Facility B</t>
  </si>
  <si>
    <t>Glass House Living Limited - CBILS Holding Investment Facility</t>
  </si>
  <si>
    <t>Affordable Housing And Healthcare - CBILS - Marketing Tranche</t>
  </si>
  <si>
    <t>Truk Owners - Trading Facility - Capex</t>
  </si>
  <si>
    <t>Valary Warwick - Trading Facility</t>
  </si>
  <si>
    <t>LH Development / Lendhub - Trading Facility</t>
  </si>
  <si>
    <t>Regal Holdco Ltd. - Revolving Credit Facility</t>
  </si>
  <si>
    <t>Mill Hotel Limited - Facility A - Non-CBILS Trading</t>
  </si>
  <si>
    <t>RAW Alpha PCC Limited - Trading RCF A to D</t>
  </si>
  <si>
    <t>RAW Alpha PCC Limited - Trading RCF E to H</t>
  </si>
  <si>
    <t>Lyons Davidson Limited - Revolving Credit - Non-CBILS Trading</t>
  </si>
  <si>
    <t>Springmove / NPT Properties - Trading RCF</t>
  </si>
  <si>
    <t>SBH Park Holding - Facility A - Non-CBILS Trading Facility</t>
  </si>
  <si>
    <t>Z Hotels ZHT - Trading Facility - Poland Street</t>
  </si>
  <si>
    <t>First Belgravia Properties - Facility A</t>
  </si>
  <si>
    <t>First Belgravia Properties - Facility B</t>
  </si>
  <si>
    <t>Oncore IT Limited - Trading Revolving Facility</t>
  </si>
  <si>
    <t>Oncore IT Limited - Trading Facility A</t>
  </si>
  <si>
    <t>Khalida Khalid - Business Trading Facility</t>
  </si>
  <si>
    <t>Neptune 789 Limited - Facility A</t>
  </si>
  <si>
    <t>Neptune 789 Limited - Revolving Credit Facility</t>
  </si>
  <si>
    <t>Bluegem Secondary LP - Business Trading</t>
  </si>
  <si>
    <t>Whitehall Loans Limited - Loan-on-Loan RCF</t>
  </si>
  <si>
    <t>Hilltop Credit Partners - Talo Homes - South Molton</t>
  </si>
  <si>
    <t>Hilltop Credit Partners - Pug Properties - Taplow</t>
  </si>
  <si>
    <t>Hilltop Credit Partners - Propiteer Fletton Quays - Peterborough</t>
  </si>
  <si>
    <t>Hilltop Credit Partners - Lok Developments - Hexham</t>
  </si>
  <si>
    <t>Hilltop Credit Partners - Willesden Lane</t>
  </si>
  <si>
    <t>Hilltop Credit Partners - Bishops Court Torquay</t>
  </si>
  <si>
    <t>Hilltop Credit Partners - Pascoe Property - Ashford</t>
  </si>
  <si>
    <t>Hilltop Credit Partners - Pars Development Finance - Latton</t>
  </si>
  <si>
    <t>Stondon Capital Limited - RCF - Tranche B</t>
  </si>
  <si>
    <t>Stondon Capital Limited - RCF - Tranche A</t>
  </si>
  <si>
    <t>A.S.K. Partners Lendco 17 Limited - St. Phillips - #2</t>
  </si>
  <si>
    <t>A.S.K. Partners Lendco 17 Limited - St. Phillips - #1</t>
  </si>
  <si>
    <t>A.S.K. Partners Lendco 13 Limited - Maidenhead</t>
  </si>
  <si>
    <t>Stondon Capital Limited - RCF - Undrawn</t>
  </si>
  <si>
    <t>A.S.K. Partners Lendco 3 Limited - Loan on Loan Facility - Ilford</t>
  </si>
  <si>
    <t>Raycliff Whitechapel LLP - Development Facility</t>
  </si>
  <si>
    <t>Wosberg Estates Ltd - Non-CBILS Development Facility B</t>
  </si>
  <si>
    <t>FTH Investments - Non-CBILS Development Facility B</t>
  </si>
  <si>
    <t>Strathcarron Homes - Non-CBILS Facility - ON Share</t>
  </si>
  <si>
    <t>HH Facilities Limited - Parent Loan Only</t>
  </si>
  <si>
    <t>Legacy Stadium Limited - Development Facility</t>
  </si>
  <si>
    <t>74 Hamilton Terrace - Development Facility B - Non-CBILS</t>
  </si>
  <si>
    <t>York Road Developments London - Development Facility</t>
  </si>
  <si>
    <t>Mabec (Nottingham) Limited - Development Facility</t>
  </si>
  <si>
    <t>Main Street (Silsoe) Limited - Development Facility</t>
  </si>
  <si>
    <t>Baxter Homes Limited - Facility D - Non-CBILS</t>
  </si>
  <si>
    <t>Furness Quay Phase 4 Limited - Development Facility</t>
  </si>
  <si>
    <t>Dacol Limited - Development Facility</t>
  </si>
  <si>
    <t>Kolte Patil Greenwich Limited - Property Development</t>
  </si>
  <si>
    <t>ANSS Development Limited - Property Development</t>
  </si>
  <si>
    <t xml:space="preserve">4-14 Spurstowe Terrace - Property Development </t>
  </si>
  <si>
    <t>Citybranch Healthcare - Development Facility - Tranche A</t>
  </si>
  <si>
    <t>Elysian Stanmore Site Limited - Holding Investment</t>
  </si>
  <si>
    <t>Seven Capital Grosvenor - Holding Investment Facility</t>
  </si>
  <si>
    <t>Newcourt Orchard Lea - OakNorth Share - Holding Investment</t>
  </si>
  <si>
    <t>London Property Ventures 250 Ltd - CBILS Investment Facility</t>
  </si>
  <si>
    <t>Ringhurst Limited - Facility B - CBILS Refurbishment</t>
  </si>
  <si>
    <t>Daisy Green Food - CBILS Facility D</t>
  </si>
  <si>
    <t>Daisy Green Food - CBILS Facility B</t>
  </si>
  <si>
    <t>Daisy Green Food - CBILS Facility C</t>
  </si>
  <si>
    <t>Mill Hotel Limited - Facility B - CBILS Trading</t>
  </si>
  <si>
    <t>LHH Investments Limited - CBILS Trading Facility</t>
  </si>
  <si>
    <t>Lyons Davidson Limited - Facility A - CBILS Trading</t>
  </si>
  <si>
    <t>Staycity Investments - Facility A - CLBILS Trading</t>
  </si>
  <si>
    <t>SBH Park Holding - Facility B - CBILS Trading Facility</t>
  </si>
  <si>
    <t>+Venture Battersea - Facility B - CBILS New Money</t>
  </si>
  <si>
    <t>+Venture Battersea - Facility A - CBILS Refinance</t>
  </si>
  <si>
    <t>Slatters Development Limited - CBILS Facility A</t>
  </si>
  <si>
    <t>Slatters Development Limited - CBILS Facility B</t>
  </si>
  <si>
    <t>Leisure and Hotel / Bike and Boot - CBILS Tranche A</t>
  </si>
  <si>
    <t>Leisure and Hotel / Bike and Boot - CBILS Tranche B</t>
  </si>
  <si>
    <t>JRL Property Sutton - Holding Development Facility</t>
  </si>
  <si>
    <t>Leopard UK Kensington - Holding Development Facility</t>
  </si>
  <si>
    <t>Ringhurst Limited - Facility A - Non-CBILS Refurbishment</t>
  </si>
  <si>
    <t>Marlpark Homes Ltd. - CBILS Development Facility</t>
  </si>
  <si>
    <t>Fort Road Development Co Limited - CBILS Development Facility</t>
  </si>
  <si>
    <t>Rose &amp; Co Developments - CBILS Development Facility</t>
  </si>
  <si>
    <t>Clearview Developments - ON Share - Facility A - Tranche B - CBILS</t>
  </si>
  <si>
    <t>Clearview Developments - ON Share - Facility A - Tranche C - CBILS</t>
  </si>
  <si>
    <t>87 Robinson Rd - Property Development - CBILS</t>
  </si>
  <si>
    <t>Oppidan Apartments - CBILS Development Facility</t>
  </si>
  <si>
    <t>K.J. Discount Motor Spares - CBILS Development Facility</t>
  </si>
  <si>
    <t>GRL Worcester Ltd - CBILS Development Facility</t>
  </si>
  <si>
    <t>Frontier Estates - Development TL B - CBILS</t>
  </si>
  <si>
    <t>Strathcarron Homes - New CBILS Facility - ON Share</t>
  </si>
  <si>
    <t>Josal Property - CBILS Development Facility</t>
  </si>
  <si>
    <t>Tarvinder Singh Biran - CBILS Facility C</t>
  </si>
  <si>
    <t>Turnbull Homes - CBILS Facility B - Harewood Gardens</t>
  </si>
  <si>
    <t>Daybrook Properties - Development CBILS</t>
  </si>
  <si>
    <t>Crimson Crescent - CBILS Development Facility</t>
  </si>
  <si>
    <t>Swakeleys Property - CBILS Development Facility</t>
  </si>
  <si>
    <t>Littlerock Developments - CBILS Development Facility - Fac B - (Rear Plots)</t>
  </si>
  <si>
    <t>Belgravia Property Gasworks - CBILS Development Facility</t>
  </si>
  <si>
    <t>Turnbull Homes - CBILS Facility A - Kingswood Lane</t>
  </si>
  <si>
    <t>GSN Warner LLP - CBILS - Property Development</t>
  </si>
  <si>
    <t>Love Loan Limited - CBILS Development Facility - Facility B</t>
  </si>
  <si>
    <t>Clay Oven UK Limited - Investment Facility</t>
  </si>
  <si>
    <t>Outlook Capital Ltd. - Investment Facility A</t>
  </si>
  <si>
    <t>Outlook Capital Ltd. - Investment Facility B</t>
  </si>
  <si>
    <t>Gladheath Limited - Investment Facility</t>
  </si>
  <si>
    <t>Happy Lodge Limited - Investment Facility</t>
  </si>
  <si>
    <t>Hunters Court Limited - Investment Facility</t>
  </si>
  <si>
    <t>SIG Dennington Park - Non-CBILS Investment Facility A</t>
  </si>
  <si>
    <t>Trikomo Limited - Investment Facility</t>
  </si>
  <si>
    <t>NI (HH) LLP - Facility A - Non-CBILS Investment - 35% RWA</t>
  </si>
  <si>
    <t>NI (HH) LLP - Facility B - Non-CBILS Investment - 100% RWA</t>
  </si>
  <si>
    <t>N17 H21 Portfolio LLP - Investment Facility</t>
  </si>
  <si>
    <t>Westfield Holdings - Investment Facility</t>
  </si>
  <si>
    <t>GSN Warner - Non-CBILS Investment Facility</t>
  </si>
  <si>
    <t>Kartik Properties - Facility A - Non-CBILS Investment</t>
  </si>
  <si>
    <t>Lioncross Huntingdon LLP - CBILS Holding Investment</t>
  </si>
  <si>
    <t>Claremont Grimsby - CBILS Holding Investment Facility</t>
  </si>
  <si>
    <t>Archway Developments - Holding Investment - CBILS</t>
  </si>
  <si>
    <t>YTS Estates Limited - CBILS Holding Investment</t>
  </si>
  <si>
    <t>ERL Red House Ripon - CBILS Holding Investment</t>
  </si>
  <si>
    <t>Markovic Property Partnership - Facility A - CBILS</t>
  </si>
  <si>
    <t>Carli Jayne Developments - Holding Investment CBILS</t>
  </si>
  <si>
    <t>Martin Homes Buckingham Road - Facility A - CBILS Holding Investment</t>
  </si>
  <si>
    <t>35 Shore Road - CBILS Facility B - Holding Investment</t>
  </si>
  <si>
    <t>OB Capital Limited - Trading Facility - Facility D</t>
  </si>
  <si>
    <t>Ultimate Bridging Finance - Tranche 1</t>
  </si>
  <si>
    <t>Centro Hotels - Trading Non-CBILS - Facility B</t>
  </si>
  <si>
    <t>Kansas Bidco Limited - Trading Facility</t>
  </si>
  <si>
    <t>Casa Italian Restaurants Ltd - Business Trading - Non-CBILS</t>
  </si>
  <si>
    <t>Zeal Hotel (BridgwaterJ23) Limited - Non-CBILS Facility</t>
  </si>
  <si>
    <t>Scores Hospitality - Tranche A - Trading Facility</t>
  </si>
  <si>
    <t>AP Bristol Number 3 - Business Trading - Facility A</t>
  </si>
  <si>
    <t>AP Bristol Number 3 - Business Trading - Facility B</t>
  </si>
  <si>
    <t>Springfield Healthcare Beverley - Trading Facility</t>
  </si>
  <si>
    <t>Whiskey (Bidco) Limited - Tranche B - Non-CBILS</t>
  </si>
  <si>
    <t>Whiskey (Bidco) Limited - Tranche A - Non-CBILS</t>
  </si>
  <si>
    <t>LH Bridging / Lendhub - Trading Facility</t>
  </si>
  <si>
    <t>Reflex Bridging Limited - RCF Child Loan 1</t>
  </si>
  <si>
    <t>Reflex Bridging Limited - RCF Parent Loan</t>
  </si>
  <si>
    <t>Southwark Homes - Development Facility - Lower Margin</t>
  </si>
  <si>
    <t>Southwark Homes - Development Facility - Higher Margin</t>
  </si>
  <si>
    <t>Wimpole Homes - Development Facility - Lower Margin</t>
  </si>
  <si>
    <t>Wimpole Homes - Development Facility - Higher Margin</t>
  </si>
  <si>
    <t>FREP 3 (Prince's Square) Limited - Property Development</t>
  </si>
  <si>
    <t>Borough House Limited - Development - Higher Margin</t>
  </si>
  <si>
    <t>Borough House Limited - Development - Lower Margin</t>
  </si>
  <si>
    <t>HH Facilities Limited - Great Gransden RCF</t>
  </si>
  <si>
    <t>HH Facilities Limited - Bromham RCF</t>
  </si>
  <si>
    <t>HH Facilities Limited - Clifton RCF</t>
  </si>
  <si>
    <t>HH Facilities Limited - Hanslope RCF</t>
  </si>
  <si>
    <t>HH Facilities Limited - Blunsdon RCF</t>
  </si>
  <si>
    <t>HH Facilities Limited - Woburn RCF</t>
  </si>
  <si>
    <t>Hive 1 Ltd - Development Facility - Goldhurst Terrace</t>
  </si>
  <si>
    <t>Tarvinder Singh Biran - Non-CBILS Facility D</t>
  </si>
  <si>
    <t>Clearview Broadwater - ON Share - Facility A - Tranche A - Non-CBILS</t>
  </si>
  <si>
    <t>Thornsett Partners - ON Share - Development Facility</t>
  </si>
  <si>
    <t>Perloni Limited - Development Facility</t>
  </si>
  <si>
    <t>Elebro Limited - Property Development</t>
  </si>
  <si>
    <t>27-33 Caroline - Property Development - ON Share</t>
  </si>
  <si>
    <t>Kolte Patil Kenley Limited - Property Development</t>
  </si>
  <si>
    <t>4-6 St Edmunds Terrace - Facility A - Margin + Base Rate</t>
  </si>
  <si>
    <t>Belgravia Property Gasworks - Non-CBILS Development Facility</t>
  </si>
  <si>
    <t>GSN Warner LLP - Non-CBILS - Property Development</t>
  </si>
  <si>
    <t>Love Loan Limited - Non-CBILS Development Facility A</t>
  </si>
  <si>
    <t>Malory Peter Clifford - Holding Investment Facility</t>
  </si>
  <si>
    <t>Hortensia Property &amp; Spire Property - Holding Investment Facility</t>
  </si>
  <si>
    <t>Markovic Property Partnership - Facility B - Non-CBILS</t>
  </si>
  <si>
    <t>35 Shore Road - Non-CBILS Facility - Holding Investment</t>
  </si>
  <si>
    <t>35 Shore Road - Non-CBILS Facility A - Holding Investment</t>
  </si>
  <si>
    <t>24 Middle St Ltd and 5 Steine St Ltd - CBILS Facility</t>
  </si>
  <si>
    <t>SIG Dennington Park - CBILS Investment Facility C</t>
  </si>
  <si>
    <t>SIG Dennington Park - CBILS Investment Facility B</t>
  </si>
  <si>
    <t>Blythe Business Park - Property Investment CBILS</t>
  </si>
  <si>
    <t>North Place Properties - CBILS Investment Facility</t>
  </si>
  <si>
    <t>Matterhorn Capital Bridgefoot - CBILS Investment Facility</t>
  </si>
  <si>
    <t>NI (HH) LLP - Facility C - CBILS Investment</t>
  </si>
  <si>
    <t>Pertwee Park Limited - CBILS Investment Facility</t>
  </si>
  <si>
    <t>Kartik Properties - Facility B - CBILS Investment</t>
  </si>
  <si>
    <t xml:space="preserve">Oculus Care Ltd. - CBILS Refurbishment Facility </t>
  </si>
  <si>
    <t>Nicol's Worsteds Limited - CBILS Trading Facility</t>
  </si>
  <si>
    <t>Centro Hotels - Trading CBILS - Facility A</t>
  </si>
  <si>
    <t>Daisy Green Food - CBILS Facility E</t>
  </si>
  <si>
    <t>Daisy Green Food - CBILS Facility F</t>
  </si>
  <si>
    <t>Peter Street Developments - CBILS Trading Facility</t>
  </si>
  <si>
    <t>BXTR / BXTR MCH / BXTR 3 - Edinburgh Hotel - CBILS Liquidity Reserve</t>
  </si>
  <si>
    <t>Zeal Hotel (BridgwaterJ23) Limited - CBILS Facility</t>
  </si>
  <si>
    <t>SBH Park Holding - Facility C - CBILS Trading Facility</t>
  </si>
  <si>
    <t>Whiskey (Bidco) Limited - Tranche D - CBILS</t>
  </si>
  <si>
    <t>Inception Ventures Group - CBILS Facility D</t>
  </si>
  <si>
    <t>Leisure and Hotel / Bike and Boot - CBILS Tranche C</t>
  </si>
  <si>
    <t>Createfuture Limited - CBILS Facility B</t>
  </si>
  <si>
    <t>St Christopher'S Propco - Holding Development Facility</t>
  </si>
  <si>
    <t>GH/AH Bear Lane Limited - Holding Development Facility</t>
  </si>
  <si>
    <t>Createfuture Limited - Non-CBILS Facility A</t>
  </si>
  <si>
    <t>Visionbell Limited - Refurbishment Facility</t>
  </si>
  <si>
    <t>Silverton Votec - Development Facility A - CBILS Refinance</t>
  </si>
  <si>
    <t xml:space="preserve">Bluecroft - IPE Jubilee- CBIL Facility B </t>
  </si>
  <si>
    <t>Swan Homes Southall - Facility B - CBILS Development</t>
  </si>
  <si>
    <t xml:space="preserve"> Silverton Votec - Development Facility A - CBILS New Money</t>
  </si>
  <si>
    <t>Dalston Property Limited - Facility B - CBILS Development</t>
  </si>
  <si>
    <t>AMA (Tor 1) Ltd - Property Development - Facility C</t>
  </si>
  <si>
    <t>Netherhall Gardens - Cogress - Investment Facility</t>
  </si>
  <si>
    <t>Glass House Living Limited - Non-CBILS Investment Facility</t>
  </si>
  <si>
    <t>Dresden Limited -  Investment Facility</t>
  </si>
  <si>
    <t>Upper Clapton Limited - Investment Facility</t>
  </si>
  <si>
    <t>Nine Points Property / Nine Points Holdings - Investment Facility</t>
  </si>
  <si>
    <t xml:space="preserve">Berkshire Assets (West London) Ltd - Facility B </t>
  </si>
  <si>
    <t>Felcon Blackheath Ltd - Property Investment</t>
  </si>
  <si>
    <t>Big Sur (Sparkford) Limited - Investment Non-CBILS</t>
  </si>
  <si>
    <t>Agate Properties Limited - Investment Facility</t>
  </si>
  <si>
    <t>TDC Management - Investment Facility A</t>
  </si>
  <si>
    <t>TDC Management - Investment Facility B</t>
  </si>
  <si>
    <t xml:space="preserve">Mount Lodge Properties Limited - Investment Facility </t>
  </si>
  <si>
    <t>Mansion Place Limited - Investment Facility - Hockley Point, Nottingham</t>
  </si>
  <si>
    <t>Heathcock Court Property Limited - Business Trading Facility</t>
  </si>
  <si>
    <t>BCC Pine Bidco Limited - Business Trading - Hotel</t>
  </si>
  <si>
    <t>Godfrey Construction (London) Ltd. - Business Trading RCF</t>
  </si>
  <si>
    <t>Priory CC3 Limited - Post Development (Investment Facility)</t>
  </si>
  <si>
    <t>Ortus Secured Finance IV Limited - Facility G</t>
  </si>
  <si>
    <t>Priory CC3 Limited - Development Facility</t>
  </si>
  <si>
    <t>T14H Guernsey Limited - Business Trading</t>
  </si>
  <si>
    <t>Scores Hospitality - Tranche B - Trading Facility</t>
  </si>
  <si>
    <t>Staycity Investments - Facility B - Non-CLBILS Trading</t>
  </si>
  <si>
    <t>Inn Collection Bidco - Business Trading - Facility C RCF</t>
  </si>
  <si>
    <t>M&amp;E Mills Limited - Trading Facility A - Term Loan</t>
  </si>
  <si>
    <t>M&amp;E Mills Limited - Trading Revolving Facility</t>
  </si>
  <si>
    <t xml:space="preserve">Topham Bidco Limited - Trading Term Facility A </t>
  </si>
  <si>
    <t>Topham Bidco Limited - Trading Term Facility B</t>
  </si>
  <si>
    <t>Topham Bidco Limited - Trading Revolving Credit Facility</t>
  </si>
  <si>
    <t>Ciel Laystall Limited - Non-CBILS Facility</t>
  </si>
  <si>
    <t>QBH Holdings - Pinboard - Facility B - Business Trading</t>
  </si>
  <si>
    <t>Inception Ventures Group - Non-CBILS Facility A</t>
  </si>
  <si>
    <t>PLHC - Park Lane Healthcare Group - Magnolia House - Trading Facility</t>
  </si>
  <si>
    <t>PLHC - Park Lane Healthcare Group - Manor House - Trading Facility</t>
  </si>
  <si>
    <t>PLHC - Park Lane Healthcare Group - Moorgate - Trading Facility</t>
  </si>
  <si>
    <t>PLHC - Park Lane Healthcare Group - The Hall Thornton Le Dale - Trading Facility</t>
  </si>
  <si>
    <t>Melrose Education Limited - Trading Facility</t>
  </si>
  <si>
    <t>PLHC - Park Lane Healthcare Group - Croston Park - Trading Facility</t>
  </si>
  <si>
    <t>Reflex Bridging Limited - RCF Child Loan 2</t>
  </si>
  <si>
    <t>A.S.K. Partners Lendco 14 Limited - Colney Hatch</t>
  </si>
  <si>
    <t>Reflex Bridging Limited - RCF Child Loan 4</t>
  </si>
  <si>
    <t xml:space="preserve">Hilltop Credit Partners - Pascoe Property - Ashford </t>
  </si>
  <si>
    <t>Reflex Bridging Limited - RCF Child Loan 7</t>
  </si>
  <si>
    <t>Hilltop Credit Partners - Propiteer Fletton Quays Limited</t>
  </si>
  <si>
    <t>Broadwood Lending Limited - Tranche A</t>
  </si>
  <si>
    <t>Broadwood Lending Limited - Tranche B</t>
  </si>
  <si>
    <t>A.S.K. Partners Lendco 30 Limited - Tranche A and B</t>
  </si>
  <si>
    <t>Bluecroft - IPE Jubilee - Facility A - Effective Margin - Non-CBILS</t>
  </si>
  <si>
    <t>HH Facilities Limited - Clophill VAT</t>
  </si>
  <si>
    <t>254 Kilburn HR LLP - Property Development - Facility A</t>
  </si>
  <si>
    <t>Ashfield Land Rutherglen - Property Development</t>
  </si>
  <si>
    <t>Evolve Milton Keynes - OakNorth Share - Property Development</t>
  </si>
  <si>
    <t>HH Facilities Limited - Little Kimble RCF</t>
  </si>
  <si>
    <t>Westgate on Sea 1 - Facility A - Oxted Development Facility</t>
  </si>
  <si>
    <t>Westgate on Sea 1 - Facility B - Kent Development Facility</t>
  </si>
  <si>
    <t>Galaxy 51 Limited - Property Development</t>
  </si>
  <si>
    <t>Excel Winner (Phase 1) Limited - Development Facility</t>
  </si>
  <si>
    <t>OCM Luxembourg Culvert Road - Development Facility</t>
  </si>
  <si>
    <t xml:space="preserve">Uplift Capital 4 Limited - Development Facility - Prestige House, Bushey </t>
  </si>
  <si>
    <t>Featherfoot Rawdon Holdings Limited - Property Development</t>
  </si>
  <si>
    <t>HH Facilities Limited -  Woburn Two RCF</t>
  </si>
  <si>
    <t>Swan Homes Southall - Facility A - Non-CBILS Development</t>
  </si>
  <si>
    <t>Mumbles 7 Limited - Property Development - Chorley</t>
  </si>
  <si>
    <t>Burney (Ipswich) Limited - Development Facility</t>
  </si>
  <si>
    <t>Martin Homes Davigdor / Hove - Facility A - ON Share - Development Loan Facility A ON Share</t>
  </si>
  <si>
    <t>Mall Properties Limited - Facility D - Non-CBILS Development</t>
  </si>
  <si>
    <t>Almero Crimscott II Limited - Property Development</t>
  </si>
  <si>
    <t>Dalston Property Limited - Facility A - Non-CBILS Development</t>
  </si>
  <si>
    <t>Dalston Property Limited - Facility C - Non-CBILS Development</t>
  </si>
  <si>
    <t>AMA (Tor 1) Ltd - Property Development - Facility B</t>
  </si>
  <si>
    <t>Mumbles LC1 Limited - Development Facility - Hele Park</t>
  </si>
  <si>
    <t>Newcourt SPV 9 - Wadhurst - Development Facility B</t>
  </si>
  <si>
    <t>Newcourt SPV 9 - Wadhurst - Development Facility A</t>
  </si>
  <si>
    <t>111TW Ltd - Property Development</t>
  </si>
  <si>
    <t>DPMM Enterprises &amp; Harley Property - Block B Facility</t>
  </si>
  <si>
    <t>Watermeadow / Barry Howard - Towcester Road - Development Facility - ON Share - Variable Rate Parent Loan</t>
  </si>
  <si>
    <t>Colmer 1 Limited - Development Facility</t>
  </si>
  <si>
    <t>S 2 Farringdon Limited - Development Facility A - Main Loan</t>
  </si>
  <si>
    <t>Affordable Housing And Healthcare - Old Manor Development Tranche</t>
  </si>
  <si>
    <t>Affordable Housing And Healthcare - Quantock Development Tranche</t>
  </si>
  <si>
    <t>Affordable Housing And Healthcare - Sherborne (Residency + Hotel)Development Tranche</t>
  </si>
  <si>
    <t>Majestic (Belford) Limited - Development Facility</t>
  </si>
  <si>
    <t>Sincere Homes (Willenhall) Limited - Development Facility</t>
  </si>
  <si>
    <t>Sherwood Oak Homes - Development Facility</t>
  </si>
  <si>
    <t>HH Facilities Limited - Clophill RCF</t>
  </si>
  <si>
    <t>Sirius 2021 Limited - Development Facility</t>
  </si>
  <si>
    <t>Spring House Farm Developments Limited - Development Facility</t>
  </si>
  <si>
    <t>Bagshot Manor Developments - Facility B - ON Share</t>
  </si>
  <si>
    <t>Bagshot Manor Developments - Facility A - ON Share</t>
  </si>
  <si>
    <t>DPMM Enterprises &amp; Harley Property - Original Facility</t>
  </si>
  <si>
    <t>Newcourt 4 SPV's Marketing Facility - ON Share Lower Margin</t>
  </si>
  <si>
    <t>Newcourt 4 SPV's Marketing Facility - ON Share Higher Margin</t>
  </si>
  <si>
    <t>Mr. Jun Yang / Ms. Lin Ma / Mr. Yu Lung Yeung - Holding Investment Facility</t>
  </si>
  <si>
    <t>Earlsriver Limited - Facility B - Holding Investment</t>
  </si>
  <si>
    <t>QBH Holdings - Ocean House - Facility A - Holding Investment</t>
  </si>
  <si>
    <t>Affordable Housing And Healthcare - Keel House / Mount Road - Marketing Tranche</t>
  </si>
  <si>
    <t>Strawberry Star - Holding Investment Facility D</t>
  </si>
  <si>
    <t>The Oldhill Street Project Ltd - Residential - CBILS Tranche A</t>
  </si>
  <si>
    <t>The Oldhill Street Project Ltd - Commercial - CBILS Tranche B</t>
  </si>
  <si>
    <t>Big Sur (Sparkford) Limited - Investment CBILS</t>
  </si>
  <si>
    <t>Side By Side School Ltd - CBILS Trading Facility</t>
  </si>
  <si>
    <t>Inn Collection Bidco - CBILS Facility F Term Loan</t>
  </si>
  <si>
    <t>Ciel Laystall Limited - CBILS Facility B</t>
  </si>
  <si>
    <t>Ciel Laystall Limited - CBILS Facility A</t>
  </si>
  <si>
    <t>Inception Ventures Group - CBILS Facility C</t>
  </si>
  <si>
    <t>Ottolenghi Limited - CBILS Trading Facility</t>
  </si>
  <si>
    <t>Parkview Battersea Limited - Normal Margin</t>
  </si>
  <si>
    <t>Exemplar Projects (Truro) Limited - Holding Development</t>
  </si>
  <si>
    <t>BCC Pine Bidco Limited - Business Trading - Residential</t>
  </si>
  <si>
    <t>Z Cha Holdco Ltd - RLS Trading Facility</t>
  </si>
  <si>
    <t>Swanpool Project - CBILS Development Facility</t>
  </si>
  <si>
    <t>Urban Centric Blackboy - CBILS Development Facility</t>
  </si>
  <si>
    <t>Rayners Close Limited - CBILS Development Facility</t>
  </si>
  <si>
    <t>Mall Properties Limited - Facility C - CBILS Development</t>
  </si>
  <si>
    <t>Mall Properties Limited - Facility A - CBILS Development</t>
  </si>
  <si>
    <t xml:space="preserve">Broadwing 63 Selcroft Road - CBILS Development Facility </t>
  </si>
  <si>
    <t>Broadwing Warple Way - CBILS Development Facility</t>
  </si>
  <si>
    <t>Littlerock Developments - CBILS Development Facility - Fac A (Front Plot)</t>
  </si>
  <si>
    <t>Hampstead Homes Southern Ltd - CBILS Facility A - Development</t>
  </si>
  <si>
    <t>Hillview Ventures Limited - CBILS Development Facility</t>
  </si>
  <si>
    <t>M4nchester Two Limited - CBILS Development Facility</t>
  </si>
  <si>
    <t>My Lane Investments Limited - Facility C</t>
  </si>
  <si>
    <t>My Lane Investments Limited - Facility B</t>
  </si>
  <si>
    <t>A &amp; J Newbould &amp; Sons - Property Investment Facility</t>
  </si>
  <si>
    <t>The Wooldridge Partnership - Graham &amp; Charles Wooldridge - Investment Facility</t>
  </si>
  <si>
    <t>Pavilion HP 13 Limited - Investment Facility</t>
  </si>
  <si>
    <t>Croydon House Residential - Investment Facility</t>
  </si>
  <si>
    <t>Verdant Regeneration Limited - Investment Facility</t>
  </si>
  <si>
    <t>AFAS The Core Limited - Investment Facility</t>
  </si>
  <si>
    <t>Axis Harrow LP - Investment Facility</t>
  </si>
  <si>
    <t>Kechto Holdings Limited - Investment Facility</t>
  </si>
  <si>
    <t>Big Sur (High Street) Limited - Investment Facility A</t>
  </si>
  <si>
    <t>AHG3 Ltd - Investment Facility - Anthony Abrams and Keith Gilbert</t>
  </si>
  <si>
    <t>Landmark Weybridge Limited - Investment Facility</t>
  </si>
  <si>
    <t>Furness House Developments - Investment Facility - Ocea Group</t>
  </si>
  <si>
    <t>2022-06-30 00:00:00</t>
  </si>
  <si>
    <t>Templefields Resi B - Investment Facility</t>
  </si>
  <si>
    <t>Templefields Resi A - Investment Facility</t>
  </si>
  <si>
    <t>Stephen Victor Bygrave &amp; Moira Ann Bygrave - Property Investment Facility</t>
  </si>
  <si>
    <t>Paradigm Wellington Limited - CBILS Holding Investment</t>
  </si>
  <si>
    <t>Martin Homes Slaugham Manor - CBILS Holding Investment</t>
  </si>
  <si>
    <t>Vale CR Limited - CBILS Facility A - Holding Investment</t>
  </si>
  <si>
    <t>Remsons Holdings Ltd. - Trading Facility - RCF</t>
  </si>
  <si>
    <t>Remsons Holdings Ltd. - Trading Facility - Term Loan</t>
  </si>
  <si>
    <t>Retreat East - Business Trading - Facility B - Dev Stage</t>
  </si>
  <si>
    <t>Retreat East - Business Trading - Facility A - Post-dev Stage</t>
  </si>
  <si>
    <t>Inn Collection BidCo Limited - Business Trading - Facility G -  Refinance of Facility A/B/D</t>
  </si>
  <si>
    <t>Promontoria Cubic - Trading Facility - Development Phase</t>
  </si>
  <si>
    <t>Promontoria Cubic - Trading Facility - Post-Development Phase</t>
  </si>
  <si>
    <t>KMKH Limited - Trading Facility - Development Phase</t>
  </si>
  <si>
    <t>Inn Collection Bidco - Business Trading - Facility H11 - Swan IC Site</t>
  </si>
  <si>
    <t>Inn Collection Bidco - Business Trading - Facility H12 - Temperance IC Site</t>
  </si>
  <si>
    <t>Inn Collection Bidco - Business Trading - Facility H6 - Ripon IC Site</t>
  </si>
  <si>
    <t>Inn Collection Bidco - Business Trading - Facility H9 - Pheasant IC Site</t>
  </si>
  <si>
    <t>Inn Collection Bidco - Business Trading - Facility H4 - Park Hotel IC Site</t>
  </si>
  <si>
    <t>Inn Collection Bidco - Business Trading - Facility H8 - Northallerton IC Site</t>
  </si>
  <si>
    <t>Inn Collection Bidco - Business Trading - Facility H1 - Lindum IC Site</t>
  </si>
  <si>
    <t>Inn Collection BidCo - Business Trading - Facility H5 - Dower House IC Site</t>
  </si>
  <si>
    <t>Inn Collection Bidco - Business Trading - Facility H7 - Dean Court IC Site</t>
  </si>
  <si>
    <t>Inn Collection Bidco - Business Trading - Facility H2 - Cross Butts IC Site</t>
  </si>
  <si>
    <t>Inn Collection Bidco - Business Trading - Facility H10 - Black Swan IC Site</t>
  </si>
  <si>
    <t>CL2017 Limited - Trading Facility - Development Phase</t>
  </si>
  <si>
    <t>Apprentify Group Limited - Business Trading Facility A</t>
  </si>
  <si>
    <t>Apprentify Group Limited - Business Trading Facility B</t>
  </si>
  <si>
    <t>Chelsea Bidco Limited - Business Trading Facility - RCF</t>
  </si>
  <si>
    <t>Chelsea Bidco Limited - Business Trading Facility A</t>
  </si>
  <si>
    <t>Chelsea Bidco Limited - Business Trading Facility B</t>
  </si>
  <si>
    <t>Hilltop Credit Partners - YPG Strawberry Fields Limited (New Waltham)</t>
  </si>
  <si>
    <t xml:space="preserve">Reflex Bridging Limited - RCF Child Loan 8 </t>
  </si>
  <si>
    <t>Hilltop Credit Partners - Talo Homes SPV 101 Limited (South Molton)</t>
  </si>
  <si>
    <t>Hilltop Credit Partners -Pars Development Finance Limited (39 Upcott, Latton SN6 6EG)</t>
  </si>
  <si>
    <t>Hilltop Credit Partners - Willesden Lane Limited</t>
  </si>
  <si>
    <t>Hilltop Credit Partners - YPG Strawberry</t>
  </si>
  <si>
    <t>Hilltop Credit Partners - Talo Homes SPV 101 limited South Molton</t>
  </si>
  <si>
    <t>Hilltop Credit Partners - Ashford</t>
  </si>
  <si>
    <t>Hilltop Credit Partners - YPG Strawfield</t>
  </si>
  <si>
    <t>Hilltop Credit Partners - Latton</t>
  </si>
  <si>
    <t>Hilltop Credit Partners - Bishop?s Court, Torquay</t>
  </si>
  <si>
    <t>Century Capital Partners No. 3 Limited - Loan on Loan Facility</t>
  </si>
  <si>
    <t xml:space="preserve">Reflex Bridging Limited - RCF Child Loan 9 </t>
  </si>
  <si>
    <t>Hilltop Credit Partners - Propiteer Fletton Quays</t>
  </si>
  <si>
    <t xml:space="preserve">Reflex Bridging Limited - RCF Child Loan 10 </t>
  </si>
  <si>
    <t>Reflex Bridging Limited - RCF Child Loan 11</t>
  </si>
  <si>
    <t>Hilltop Credit Partners - Taplow</t>
  </si>
  <si>
    <t>A.S.K. Partners Lendco 31 Limited - Loan-on-Loan Facility - Dorset House, Chelmsford</t>
  </si>
  <si>
    <t xml:space="preserve">Hilltop Credit Partners - Propiteer Fletton Quays Limited </t>
  </si>
  <si>
    <t>A.S.K. Partners Lendco 19 Limited - Loan-on-Loan - Meadow Partners</t>
  </si>
  <si>
    <t>A.S.K. Partners Lendco 32 Limited - Loan on Loan - Albert Street, Camden</t>
  </si>
  <si>
    <t>A.S.K. Partners Lendco 33 Limited - Property Loan on Loan - Spires Shopping Centre</t>
  </si>
  <si>
    <t>Hilltop Credit Partners - 196 Willesden Lane</t>
  </si>
  <si>
    <t>A.S.K. Partners Lendco 34 Limited - Loan-on-Loan Facility - Cavell Street</t>
  </si>
  <si>
    <t>Hilltop Credit Partners - Mitchian Alliance</t>
  </si>
  <si>
    <t>Hilltop Credit Partners - Torquay</t>
  </si>
  <si>
    <t>Hilltop Credit Partners - Hexham</t>
  </si>
  <si>
    <t>A.S.K Partners Lendco 35 Limited - Loan-on-Loan Facility - Bollo Lane</t>
  </si>
  <si>
    <t>Hilltop Credit Partners - YPG Strawfields</t>
  </si>
  <si>
    <t>Hilltop Credit Partners - Peterborough</t>
  </si>
  <si>
    <t>Hilltop Credit Partners - 196 Willesden Lane Limited (196 Willesden Lane)</t>
  </si>
  <si>
    <t>Hurstwood Homes 1 Limited - Development Facility</t>
  </si>
  <si>
    <t xml:space="preserve">Mumbles Group Limited - Revolving Credit Facility </t>
  </si>
  <si>
    <t>Tartan Leisure Ltd - Property Development - Facility A</t>
  </si>
  <si>
    <t>Tartan Leisure Ltd - Property Development - Facility B</t>
  </si>
  <si>
    <t>Grays Property Holdings - Development Facility - Clearbell</t>
  </si>
  <si>
    <t>Citybranch Healthcare - Development Facility - Tranche B</t>
  </si>
  <si>
    <t>Mylor Bridge Project Limited- Development Facility</t>
  </si>
  <si>
    <t>HH Facilities Limited - Hallow 3 RCF</t>
  </si>
  <si>
    <t>HH Facilities Limited - Hallow 3 VAT</t>
  </si>
  <si>
    <t>The Mill Robertsbridge Limited - Development Facility</t>
  </si>
  <si>
    <t>Clerkenwell Lifestyle - Construction Tranche A</t>
  </si>
  <si>
    <t>Clerkenwell Lifestyle - Construction Tranche B</t>
  </si>
  <si>
    <t>Newton Road LLP - Development Facility</t>
  </si>
  <si>
    <t>Mall Properties Limited - Facility B - Non-CBILS Development</t>
  </si>
  <si>
    <t>Big Sur (High Street) Limited - Development Facility B</t>
  </si>
  <si>
    <t>Stephen Victor Bygrave &amp; Moira Ann Bygrave - Property Development Facility</t>
  </si>
  <si>
    <t>Hampstead Homes Southern Ltd. -  Non-CBILS Facility C - Development</t>
  </si>
  <si>
    <t xml:space="preserve"> Streetsbrook Property - Development Facility F</t>
  </si>
  <si>
    <t>Clearview Broadwater - ON Share - Facility A - Tranche D - Non-CBILS</t>
  </si>
  <si>
    <t>Dandi Five Limited - Property Development Facility</t>
  </si>
  <si>
    <t>M4nchester Two Limited - Non-CBILS Development Facility</t>
  </si>
  <si>
    <t>ATRI7 2 Limited Limited - Holding Investment Facility</t>
  </si>
  <si>
    <t>Gen Two Oval - Holding Investment Facility</t>
  </si>
  <si>
    <t>Frontier Estates - Bermondsey RCF A - Non-CBILS</t>
  </si>
  <si>
    <t>Frontier Estates - Shrewsbury RCF A - Non-CBILS</t>
  </si>
  <si>
    <t>Frontier Estates - Broadway HH RCF A - Non-CBILS</t>
  </si>
  <si>
    <t>Frontier Estates - Car Park HH RCF A - Non-CBILS</t>
  </si>
  <si>
    <t>Frontier Estates - Southwark RCF A - Non-CBILS</t>
  </si>
  <si>
    <t>Frontier Estates - Kent RCF A - Non-CBILS</t>
  </si>
  <si>
    <t>Frontier Estates - Undrawn - RCF A - Non-CBILS</t>
  </si>
  <si>
    <t>Linea UB7 Ltd. - CBILS Holdings Development</t>
  </si>
  <si>
    <t>Montreaux Cricklewood - Holding Development Facility - ASK Partners 8 Co-lend</t>
  </si>
  <si>
    <t>330 Grays Inn Road - Holding Development - ASK/Groveworld</t>
  </si>
  <si>
    <t>Quinn Estates Betteshanger - Holding Development Facility</t>
  </si>
  <si>
    <t>0 MONTHS</t>
  </si>
  <si>
    <t>Wosberg Estates Ltd - CBILS Development Facility</t>
  </si>
  <si>
    <t>Bulsara Property Limited - Development CBILS</t>
  </si>
  <si>
    <t>Kings Crescent Limited - CBILS Development Facility</t>
  </si>
  <si>
    <t>Chalk Lane Properties - Development CBILS</t>
  </si>
  <si>
    <t>Western Ridge Tri Capital - Facility A - CBILS Development</t>
  </si>
  <si>
    <t>Arklow Astra Limited - Facility A - CBILS</t>
  </si>
  <si>
    <t>Hydrogen Falmouth Limited - CBILS Development Facility</t>
  </si>
  <si>
    <t>HTS Commercial Limited - CBILS Development Facility</t>
  </si>
  <si>
    <t>Murfet (Eureka) Ltd. - CBILS Development Facility</t>
  </si>
  <si>
    <t>EQT Responsible Entity Services Ltd - Facility A</t>
  </si>
  <si>
    <t>Tavistock 1878 Capital Ltd - Facility A - Non-CBILS Investment</t>
  </si>
  <si>
    <t>Macar Developments (WR) Limited - Investment Facility</t>
  </si>
  <si>
    <t>View Property / Equita Investments - CBILS Facility A - Holding Investment</t>
  </si>
  <si>
    <t>Kilburn Developments - Facility A - CBILS Holding Investment</t>
  </si>
  <si>
    <t>Monet Developments - CBILS Holding Investment</t>
  </si>
  <si>
    <t>OB Capital Limited - Trading Facility - Tranche A and B</t>
  </si>
  <si>
    <t>OB Capital Limited - Trading Facility - Roll up amount</t>
  </si>
  <si>
    <t>MACC Care - Blythe Valley - Trading Facility</t>
  </si>
  <si>
    <t>Wosberg Estates Ltd - Non-CBILS Development Facility A</t>
  </si>
  <si>
    <t>Stranton Properties - Development Facility</t>
  </si>
  <si>
    <t>Arklow Astra Limited - Facility B - Non-CBILS</t>
  </si>
  <si>
    <t>Bridgewater Wharf Limited - Property Development</t>
  </si>
  <si>
    <t>Tabernacle House Limited - Development Facility</t>
  </si>
  <si>
    <t>Chalk Lane Properties - Development Non-CBILS</t>
  </si>
  <si>
    <t>Clapham House Limited - Development Facility</t>
  </si>
  <si>
    <t>Hampstead Homes Southern Ltd - Non-CBILS Facility B - Development</t>
  </si>
  <si>
    <t>Neisa Investments Limited - Development Facility</t>
  </si>
  <si>
    <t>Gallican Investments Limited - Development Facility</t>
  </si>
  <si>
    <t>Ashton Yates - Business Trading - CBILS</t>
  </si>
  <si>
    <t>OB Capital Limited - Trading Facility - Tranche C</t>
  </si>
  <si>
    <t>Vista Bidco Limited - CBILS Trading Facility</t>
  </si>
  <si>
    <t>Lanos Holdings - CBILS Trading Facility</t>
  </si>
  <si>
    <t>Beulah Vista Caring Home - Business Trading CBILS</t>
  </si>
  <si>
    <t>Ashford Property Group - Holding Development - CBILS</t>
  </si>
  <si>
    <t>Landseer Development - Holding Development Facility</t>
  </si>
  <si>
    <t>2022 Q4</t>
  </si>
  <si>
    <t>2023 Q1</t>
  </si>
  <si>
    <t>SevAdv</t>
  </si>
  <si>
    <t>2024 Q1</t>
  </si>
  <si>
    <t>2025 Q1</t>
  </si>
  <si>
    <t>2026 Q1</t>
  </si>
  <si>
    <t>96%ile</t>
  </si>
  <si>
    <t>90%ile</t>
  </si>
  <si>
    <t>Mitesh Devshi Jatania</t>
  </si>
  <si>
    <t>Godfrey London Limited</t>
  </si>
  <si>
    <t>Albany Homes (Holdings) Limited</t>
  </si>
  <si>
    <t>Notes: Music &amp; Coffee Ltd</t>
  </si>
  <si>
    <t>Galliard Group Limited</t>
  </si>
  <si>
    <t>4-6 St Edmunds Terrace Limited</t>
  </si>
  <si>
    <t>The Clay Oven Group Ltd</t>
  </si>
  <si>
    <t>Morphuse Limited</t>
  </si>
  <si>
    <t>4-14 Spurstowe Terrace LLP</t>
  </si>
  <si>
    <t>Citrus Group Limited</t>
  </si>
  <si>
    <t>Hershkovitz Family</t>
  </si>
  <si>
    <t>Noble House Limited</t>
  </si>
  <si>
    <t>West Eleven Limited</t>
  </si>
  <si>
    <t>Ziser Group</t>
  </si>
  <si>
    <t>Z Hotels Holdco Limited</t>
  </si>
  <si>
    <t>Kartik Properties Ltd</t>
  </si>
  <si>
    <t>Abraham Aharon Dodi</t>
  </si>
  <si>
    <t>Lonsdale Capital Partners L.P.</t>
  </si>
  <si>
    <t>Rohan Talwar</t>
  </si>
  <si>
    <t>Newcourt Residential Holdings Limited</t>
  </si>
  <si>
    <t>Ankor Property Group Limited</t>
  </si>
  <si>
    <t>ANSS Development Limited</t>
  </si>
  <si>
    <t>Barry Howard Homes Ltd (Fka Barry Howard Group Limited)</t>
  </si>
  <si>
    <t>Vigo Group Limited</t>
  </si>
  <si>
    <t>Inn Collection Limited</t>
  </si>
  <si>
    <t>Starboard Hotels Limited</t>
  </si>
  <si>
    <t>Michael Patrick Hughes</t>
  </si>
  <si>
    <t>Miriam Schreiber</t>
  </si>
  <si>
    <t>David &amp; Mimi Knox</t>
  </si>
  <si>
    <t>Seed Investment Group Limited</t>
  </si>
  <si>
    <t>Mabec PRS LLP</t>
  </si>
  <si>
    <t>111 Invest Limited</t>
  </si>
  <si>
    <t>Mall Properties Ltd</t>
  </si>
  <si>
    <t>Assaf Laznik</t>
  </si>
  <si>
    <t>Chaddha Family</t>
  </si>
  <si>
    <t>Newmark Properties LLP</t>
  </si>
  <si>
    <t>Ten M II Limited</t>
  </si>
  <si>
    <t>Lendhub Group Limited</t>
  </si>
  <si>
    <t>Broadwood Lending Limited</t>
  </si>
  <si>
    <t>FREP Group Limited</t>
  </si>
  <si>
    <t>Hilltop Credit Partners Limited</t>
  </si>
  <si>
    <t>Frontier Estates Limited</t>
  </si>
  <si>
    <t>Reditum Capital Ltd</t>
  </si>
  <si>
    <t>Sahni Family</t>
  </si>
  <si>
    <t>MJH Properties Limited</t>
  </si>
  <si>
    <t>ERGOS Technology Partners Limited</t>
  </si>
  <si>
    <t>Affordable Housing and Healthcare Group Limited</t>
  </si>
  <si>
    <t>Alexander Begun</t>
  </si>
  <si>
    <t>Ocea Group Limited</t>
  </si>
  <si>
    <t>Seqoya Limited</t>
  </si>
  <si>
    <t>Savills Investment Management LLP</t>
  </si>
  <si>
    <t>Agate Properties Ltd (The)</t>
  </si>
  <si>
    <t>Zeal Hotel (Bridgwater J23) Limited</t>
  </si>
  <si>
    <t>AMA (Tor 1) Ltd</t>
  </si>
  <si>
    <t>London Property Ventures Limited</t>
  </si>
  <si>
    <t>Menari UK Limited</t>
  </si>
  <si>
    <t>Mandix Limited</t>
  </si>
  <si>
    <t>Lloyd Simon</t>
  </si>
  <si>
    <t>TDC Management Limited</t>
  </si>
  <si>
    <t>Kolte Patil Limited</t>
  </si>
  <si>
    <t>Hayfield Homes Group Limited</t>
  </si>
  <si>
    <t>Almero Holdings UK Limited</t>
  </si>
  <si>
    <t>Thornsett Group PLC</t>
  </si>
  <si>
    <t>Whitehall Capital Limited</t>
  </si>
  <si>
    <t>Merlin II LP</t>
  </si>
  <si>
    <t>Andrew Wilson Black</t>
  </si>
  <si>
    <t>Simcha Asher Green</t>
  </si>
  <si>
    <t>A.P. The Ability Group Limited (Cyprus Registered)</t>
  </si>
  <si>
    <t>Khalid Family</t>
  </si>
  <si>
    <t>Luke Samuel Mead &amp; Wayne Mead</t>
  </si>
  <si>
    <t>Stelling Properties (Holdings) Limited</t>
  </si>
  <si>
    <t>Kulbir Kharabanda &amp; Hildegard Kharabanda</t>
  </si>
  <si>
    <t>Nightcap PLC</t>
  </si>
  <si>
    <t>Fabrix Capital Limited</t>
  </si>
  <si>
    <t>The Baxter Group Limited</t>
  </si>
  <si>
    <t>Rosedale Advisory Limited</t>
  </si>
  <si>
    <t>26 Camden High Street Limited</t>
  </si>
  <si>
    <t>Immanuel Ezekiel</t>
  </si>
  <si>
    <t>Clearbell Property Partners III LP</t>
  </si>
  <si>
    <t>Ultimate Bridging Finance Limited</t>
  </si>
  <si>
    <t>Hurstwood Holdings Limited</t>
  </si>
  <si>
    <t>Linea Property Limited</t>
  </si>
  <si>
    <t>Vale CR Limited</t>
  </si>
  <si>
    <t>Paradigm Wellington Limited</t>
  </si>
  <si>
    <t>Remsons Holdings Limited</t>
  </si>
  <si>
    <t>Hampstead Homes Southern Limited</t>
  </si>
  <si>
    <t>Hydrogen Falmouth Limited</t>
  </si>
  <si>
    <t>Rajiv Nehru</t>
  </si>
  <si>
    <t>David Simon Martin</t>
  </si>
  <si>
    <t>Constant Equity Alpha Limited</t>
  </si>
  <si>
    <t>Ashford Property Group Limited</t>
  </si>
  <si>
    <t>Murfet (Eureka) Limited</t>
  </si>
  <si>
    <t>Seven Capital PLC</t>
  </si>
  <si>
    <t>Haroun Soud Al-Mishwit</t>
  </si>
  <si>
    <t>Dandi Holdings Limited</t>
  </si>
  <si>
    <t>Beulah Vista Caring Home Limited</t>
  </si>
  <si>
    <t>Bulsara Property Limited</t>
  </si>
  <si>
    <t>Great Minster House Limited</t>
  </si>
  <si>
    <t>HTS Commercial Limited</t>
  </si>
  <si>
    <t>Woodcote Grove Limited</t>
  </si>
  <si>
    <t>PH Alderley Park (Alderley House) LLP</t>
  </si>
  <si>
    <t>Yellow Tree Capital Partners LLP</t>
  </si>
  <si>
    <t>BXTR Limited</t>
  </si>
  <si>
    <t>Tarvinder Singh Biran</t>
  </si>
  <si>
    <t>Farrelly Energy Solutions Limited</t>
  </si>
  <si>
    <t>ME Developments (Long Sutton) Limited</t>
  </si>
  <si>
    <t>Learning Curve Group Limited</t>
  </si>
  <si>
    <t>117 Avenue Road Limited</t>
  </si>
  <si>
    <t>The Trustees of The Kyriacos John Pittalis Will Trust</t>
  </si>
  <si>
    <t>Bruntwood SciTech Limited</t>
  </si>
  <si>
    <t>19 Munster Road Limited</t>
  </si>
  <si>
    <t>Signet Hotels (United Kingdom) Limited</t>
  </si>
  <si>
    <t>Truk Owner Ltd</t>
  </si>
  <si>
    <t>LHH Investments Limited</t>
  </si>
  <si>
    <t>North Place Properties Limited</t>
  </si>
  <si>
    <t>Andrew Landesberg &amp; David Harry Hyman</t>
  </si>
  <si>
    <t>Ressance Limited</t>
  </si>
  <si>
    <t>Turnbull Homes (Harewood) Limited</t>
  </si>
  <si>
    <t>Oculus Care Ltd</t>
  </si>
  <si>
    <t>The Oldhill Street Project Ltd</t>
  </si>
  <si>
    <t>AMF Group Limited</t>
  </si>
  <si>
    <t>Archway Developments (1) Limited</t>
  </si>
  <si>
    <t>Blythe Business Park Ltd</t>
  </si>
  <si>
    <t>Tranos (UK) Limited</t>
  </si>
  <si>
    <t>Clearhaven Homes Ltd</t>
  </si>
  <si>
    <t>Crimson Crescent Developments Ltd</t>
  </si>
  <si>
    <t>Daybrook Properties UK LLP</t>
  </si>
  <si>
    <t>Fort Road Development Co Limited</t>
  </si>
  <si>
    <t>GRL Worcester Ltd</t>
  </si>
  <si>
    <t>K.J. Discount Motor Spares Limited</t>
  </si>
  <si>
    <t>Lioncross Huntingdon LLP</t>
  </si>
  <si>
    <t>Marlpark Homes Ltd</t>
  </si>
  <si>
    <t>Matterhorn Capital S2 Bridgefoot Limited</t>
  </si>
  <si>
    <t>Nicol's Worsteds Limited</t>
  </si>
  <si>
    <t>Pertwee Park Limited</t>
  </si>
  <si>
    <t>Peter Street Developments Ltd</t>
  </si>
  <si>
    <t>Side by Side School Ltd</t>
  </si>
  <si>
    <t>YTS Estates Limited</t>
  </si>
  <si>
    <t>Nine Points Property Ltd</t>
  </si>
  <si>
    <t>Jun Yang, Lin Ma &amp; Yu Lung Yeung</t>
  </si>
  <si>
    <t>Lucas Design &amp; Construction Limited</t>
  </si>
  <si>
    <t>Colmer 1 Limited</t>
  </si>
  <si>
    <t>Feather Foot Rawdon Holdings Limited</t>
  </si>
  <si>
    <t>M&amp;E Mills Limited</t>
  </si>
  <si>
    <t>Topham Bidco Limited</t>
  </si>
  <si>
    <t>Daren Mark Burney</t>
  </si>
  <si>
    <t>The PLHC Group Limited</t>
  </si>
  <si>
    <t>Caridon Holdings LLP</t>
  </si>
  <si>
    <t>Century Capital Partners Limited</t>
  </si>
  <si>
    <t>Clerkenwell Lifestyle (UK) Ltd</t>
  </si>
  <si>
    <t>Apprentify Group Limited</t>
  </si>
  <si>
    <t>Chelsea Bidco Limited</t>
  </si>
  <si>
    <t>Stephen Victor Bygrave &amp; Moira Ann Bygrave</t>
  </si>
  <si>
    <t>Strawberry Fields Nursery &amp; Preschool Limited</t>
  </si>
  <si>
    <t>Venture Battersea Limited - Facility A - CBILS</t>
  </si>
  <si>
    <t>Venture Battersea Limited - Facility B - CBILS</t>
  </si>
  <si>
    <t>Data Buffet Mnemonics</t>
  </si>
  <si>
    <t>FGDPL$Q.IGBR</t>
  </si>
  <si>
    <t>FGDPL$Q_B.IGBR</t>
  </si>
  <si>
    <t>FGDPL$Q_S3.IGBR</t>
  </si>
  <si>
    <t>FGDPL$Q_S4.IGBR</t>
  </si>
  <si>
    <t>FHPLQ.IGBR</t>
  </si>
  <si>
    <t>FHPLQ_B.IGBR</t>
  </si>
  <si>
    <t>FHPLQ_S3.IGBR</t>
  </si>
  <si>
    <t>FHPLQ_S4.IGBR</t>
  </si>
  <si>
    <t>FLBRQ.IGBR</t>
  </si>
  <si>
    <t>FLBRQ_B.IGBR</t>
  </si>
  <si>
    <t>FLBRQ_S3.IGBR</t>
  </si>
  <si>
    <t>FLBRQ_S4.IGBR</t>
  </si>
  <si>
    <t>FCPIQ.IGBR</t>
  </si>
  <si>
    <t>FCPIQ_B.IGBR</t>
  </si>
  <si>
    <t>FCPIQ_S3.IGBR</t>
  </si>
  <si>
    <t>FCPIQ_S4.IGBR</t>
  </si>
  <si>
    <t>FRMPOLQ.IGBR</t>
  </si>
  <si>
    <t>FRMPOLQ_B.IGBR</t>
  </si>
  <si>
    <t>FRMPOLQ_S3.IGBR</t>
  </si>
  <si>
    <t>FRMPOLQ_S4.IGBR</t>
  </si>
  <si>
    <t>Principal Repayment</t>
  </si>
  <si>
    <t>Interest Repayment</t>
  </si>
  <si>
    <t>DAYS</t>
  </si>
  <si>
    <t>CASHFLOW</t>
  </si>
  <si>
    <t>TimeINyears</t>
  </si>
  <si>
    <t>Discount_Factor</t>
  </si>
  <si>
    <t>Discounted_Cashflow</t>
  </si>
  <si>
    <t>freq</t>
  </si>
  <si>
    <t>CPD_Q1</t>
  </si>
  <si>
    <t>CPD_Q2</t>
  </si>
  <si>
    <t>CPD_Q3</t>
  </si>
  <si>
    <t>CPD_Q4</t>
  </si>
  <si>
    <t>CPD_2Y</t>
  </si>
  <si>
    <t>CPD_3Y</t>
  </si>
  <si>
    <t>CPD_4Y</t>
  </si>
  <si>
    <t>CPD_5Y</t>
  </si>
  <si>
    <t>CPD_CurrentPeriod</t>
  </si>
  <si>
    <t>ECL_Lifetime</t>
  </si>
  <si>
    <t>Drawn Balance MI</t>
  </si>
  <si>
    <t>IsMatching</t>
  </si>
  <si>
    <t>Drawn Balance Calculated</t>
  </si>
  <si>
    <t>OutStandingBalance</t>
  </si>
  <si>
    <t>PIT Convertor</t>
  </si>
  <si>
    <t>&gt;&gt;&gt; 96th Percentile Outputs</t>
  </si>
  <si>
    <t>Qualitative Adjusted PDs &gt;&gt;&gt;</t>
  </si>
  <si>
    <t>CumShockPD-Q1_96%</t>
  </si>
  <si>
    <t>Baseline Results &gt;&gt;&gt;</t>
  </si>
  <si>
    <t>90th Percentile &gt;&gt;&gt;</t>
  </si>
  <si>
    <t>Weighted PD &gt;&gt;&gt;&gt;&gt;</t>
  </si>
  <si>
    <t>96 Percentile</t>
  </si>
  <si>
    <t>90 Percentile</t>
  </si>
  <si>
    <t>Select Scenario</t>
  </si>
  <si>
    <t>(N/A for PIT PD for now)</t>
  </si>
  <si>
    <t>Weighted PD Cols</t>
  </si>
  <si>
    <t>PIT</t>
  </si>
  <si>
    <t>TTC</t>
  </si>
  <si>
    <t>Baseline PD</t>
  </si>
  <si>
    <t>90th Percentile PD</t>
  </si>
  <si>
    <t>96th Percentile PD</t>
  </si>
  <si>
    <t>Weighted</t>
  </si>
  <si>
    <t>INCEPTION VENTURES GROUP LIMITED &amp; BEDFORD STREET BAR TRADING LIMITED &amp; NEWMAN STREET BAR TRADING LIMITED &amp; BROADGATE CIRCLE  BAR TRADING LIMITED</t>
  </si>
  <si>
    <t>Whiskey (BidCo) Limited</t>
  </si>
  <si>
    <t>Bike and Boot Inns Limited</t>
  </si>
  <si>
    <t>0014I00001z5rPw</t>
  </si>
  <si>
    <t>0014I0000279PJU</t>
  </si>
  <si>
    <t>0014I000029Mo45</t>
  </si>
  <si>
    <t>0015800001RC0fT</t>
  </si>
  <si>
    <t>0014I00002BvrLc</t>
  </si>
  <si>
    <t>0014I00001lzk4N</t>
  </si>
  <si>
    <t>0014I00002BVyev</t>
  </si>
  <si>
    <t>0018e000003CbBk</t>
  </si>
  <si>
    <t>0014I000026umUx</t>
  </si>
  <si>
    <t>0014I000026e8Lr</t>
  </si>
  <si>
    <t>0015800001fFIlI</t>
  </si>
  <si>
    <t>0015800001Enl9O</t>
  </si>
  <si>
    <t>0014I00001xvXvo</t>
  </si>
  <si>
    <t>Refernce ID</t>
  </si>
  <si>
    <t>Ref ID</t>
  </si>
  <si>
    <t>Loan Number</t>
  </si>
  <si>
    <t>Term Loan/RCF</t>
  </si>
  <si>
    <t>Aggregated?</t>
  </si>
  <si>
    <t>Borrower Name (Nucleus Name)</t>
  </si>
  <si>
    <t>Loan Name (nCino)</t>
  </si>
  <si>
    <t>Category (Property/Trading)</t>
  </si>
  <si>
    <t>CBILS / CLBILS / NON-CBILS / RLS/ Non-Guaranteed</t>
  </si>
  <si>
    <t>0015800000YCswp</t>
  </si>
  <si>
    <t>00158000013gDCN</t>
  </si>
  <si>
    <t>ZFP622</t>
  </si>
  <si>
    <t>Godfrey London - 254 Kilburn - Property Development - Facility A Extension</t>
  </si>
  <si>
    <t>Non-Guaranteed</t>
  </si>
  <si>
    <t>0015800000YzZ2X</t>
  </si>
  <si>
    <t>0015800000mUkRp</t>
  </si>
  <si>
    <t>THV510</t>
  </si>
  <si>
    <t>Albany Homes (BA) Limited</t>
  </si>
  <si>
    <t>Albany Group - Albany Homes (BA) Ltd. - Prop. Inv. - Facility A - Non-CBILS</t>
  </si>
  <si>
    <t>ZBE525</t>
  </si>
  <si>
    <t>Notes: Music &amp; Coffee Ltd - Business Loan - Growth Capital</t>
  </si>
  <si>
    <t>0015800000hwFN5</t>
  </si>
  <si>
    <t>0015800000mfQWS</t>
  </si>
  <si>
    <t>TMR241</t>
  </si>
  <si>
    <t>Templefields A Resi LLP</t>
  </si>
  <si>
    <t>Caridon Holdings LLP - Templefields A Resi LLP - Property Investment</t>
  </si>
  <si>
    <t>0015800000hwJno</t>
  </si>
  <si>
    <t>Templefields B Resi LLP</t>
  </si>
  <si>
    <t>Caridon Holdings LLP - Templefields B Resi LLP - Property Investment</t>
  </si>
  <si>
    <t>0015800000Ip7AE</t>
  </si>
  <si>
    <t>00158000007JoMh</t>
  </si>
  <si>
    <t>HVY440</t>
  </si>
  <si>
    <t>Visionbell Limited</t>
  </si>
  <si>
    <t>Shane Shahin Desai - Visionbell Limited - Property Refurbishment- Increase &amp; Ext</t>
  </si>
  <si>
    <t>0015800000EZEZP</t>
  </si>
  <si>
    <t>0015800001KbUlb</t>
  </si>
  <si>
    <t>UEB134</t>
  </si>
  <si>
    <t>Felcon Blackheath Limited</t>
  </si>
  <si>
    <t>Galliard Group - Felcon Blackheath Ltd. - Property Investment - Extension.</t>
  </si>
  <si>
    <t>0015800000hMocC</t>
  </si>
  <si>
    <t>BOD738</t>
  </si>
  <si>
    <t>4-6 St Edmunds Terrace Limited - Property Development - Facility A - Non-CBILS</t>
  </si>
  <si>
    <t>0015800000blFjl</t>
  </si>
  <si>
    <t>0015800000jTJRI</t>
  </si>
  <si>
    <t>FNT267</t>
  </si>
  <si>
    <t>The Clay Oven UK Limited</t>
  </si>
  <si>
    <t>The Clay Oven UK Limited - Property Investment - Facility B</t>
  </si>
  <si>
    <t>0015800000fryhr</t>
  </si>
  <si>
    <t>0015800001WtF7y</t>
  </si>
  <si>
    <t>NLQ364</t>
  </si>
  <si>
    <t>Equitable Properties Limited</t>
  </si>
  <si>
    <t>Morphuse Limited - Equitable Properties - Property Investment - New Tranche A</t>
  </si>
  <si>
    <t>Morphuse Limited - Equitable Properties - Property Investment - New Tranche B</t>
  </si>
  <si>
    <t>0015800000iWemB</t>
  </si>
  <si>
    <t>PFB310</t>
  </si>
  <si>
    <t>4-14 Spurstowe Terrace LLP - Property Development</t>
  </si>
  <si>
    <t>0015800000nLneK</t>
  </si>
  <si>
    <t>TFU182</t>
  </si>
  <si>
    <t>Raycliff Whitechapel LLP - Property Holding Development - Inc &amp; Ext II</t>
  </si>
  <si>
    <t>0015800000pYGWF</t>
  </si>
  <si>
    <t>ZUO901</t>
  </si>
  <si>
    <t>Thame House Limited</t>
  </si>
  <si>
    <t>Morphuse Limited - Thame House Limited - Prop Investment - Tranche B revised</t>
  </si>
  <si>
    <t>0015800000dRrTF</t>
  </si>
  <si>
    <t>0015800000zWDXx</t>
  </si>
  <si>
    <t>JRA552</t>
  </si>
  <si>
    <t>N17 Developments Limited</t>
  </si>
  <si>
    <t>Citrus Group - N17 Developments Limited - Property Investment - Decrease</t>
  </si>
  <si>
    <t>0015800000pY364</t>
  </si>
  <si>
    <t>0015800001ZREQ6</t>
  </si>
  <si>
    <t>NEZ620</t>
  </si>
  <si>
    <t>Mr Ilan Joseph Hershkovitz</t>
  </si>
  <si>
    <t>Ilan Joseph Hershkovitz &amp; Yael Hershkovitz - Property Investment</t>
  </si>
  <si>
    <t>0015800000mdoPK</t>
  </si>
  <si>
    <t>ISL572</t>
  </si>
  <si>
    <t>Hertford Homes Rentals Ltd</t>
  </si>
  <si>
    <t>Albany Group - Hertford Homes Rentals Ltd - Property Investment - Increase</t>
  </si>
  <si>
    <t>0015800000tI8z8</t>
  </si>
  <si>
    <t>0015800001ZQuAY</t>
  </si>
  <si>
    <t>HSW473</t>
  </si>
  <si>
    <t>NHPV (Greatorex) Limited</t>
  </si>
  <si>
    <t>Noble House Limited - NHPV (Greatorex) Ltd - Property Investment - Facility A</t>
  </si>
  <si>
    <t>Noble House Limited - NHPV (Greatorex) Ltd  - Property Investment - Facility B</t>
  </si>
  <si>
    <t>0015800000jSelx</t>
  </si>
  <si>
    <t>0015800001g3ICs</t>
  </si>
  <si>
    <t>JYJ444</t>
  </si>
  <si>
    <t>Parkview Battersea Limited</t>
  </si>
  <si>
    <t>Parkview Battersea Limited - Property Hold Dev - Conv &amp; Inc - Orig. Margin</t>
  </si>
  <si>
    <t>0015800000sQ9Qa</t>
  </si>
  <si>
    <t>IZG041</t>
  </si>
  <si>
    <t>Createfuture Limited</t>
  </si>
  <si>
    <t>Citrus Group - Createfuture Limited - Property Holding Development - Extension</t>
  </si>
  <si>
    <t>0015800000xjCZU</t>
  </si>
  <si>
    <t>OXW861</t>
  </si>
  <si>
    <t>First Belgravia Properties Limited</t>
  </si>
  <si>
    <t>First Belgravia Properties Limited - Business Loan - Facility A - AGG Elandis</t>
  </si>
  <si>
    <t>0015800000tI9EE</t>
  </si>
  <si>
    <t>0015800001ceg5C</t>
  </si>
  <si>
    <t>PYK692</t>
  </si>
  <si>
    <t>Korma Investments Limited</t>
  </si>
  <si>
    <t>Ziser Group - Korma Investments Ltd - Property Investment</t>
  </si>
  <si>
    <t>0015800000tTCtF</t>
  </si>
  <si>
    <t>NOP370</t>
  </si>
  <si>
    <t>Z Hotels Holborn Limited</t>
  </si>
  <si>
    <t>Z Hotels Holdco Limited - Z Hotels Holborn Limited - Business Trading</t>
  </si>
  <si>
    <t>0015800000pxvyL</t>
  </si>
  <si>
    <t>OAR647</t>
  </si>
  <si>
    <t>MM1 Investments Ltd - Property Investment</t>
  </si>
  <si>
    <t>0015800000uujG5</t>
  </si>
  <si>
    <t>IIJ161</t>
  </si>
  <si>
    <t>35 Shore Road Limited - Property Holding Investment - Non-CBILS</t>
  </si>
  <si>
    <t>00158000014NYGW</t>
  </si>
  <si>
    <t>TLS493</t>
  </si>
  <si>
    <t>Tufton House Resi Ltd</t>
  </si>
  <si>
    <t>Tufton House Resi Limited - Property Investment Facility</t>
  </si>
  <si>
    <t>00158000013f8JI</t>
  </si>
  <si>
    <t>KCZ011</t>
  </si>
  <si>
    <t>Victor Korman - Property Investment Facility</t>
  </si>
  <si>
    <t>00158000010bEu5</t>
  </si>
  <si>
    <t>CFN665</t>
  </si>
  <si>
    <t>Zahra Investments Limited (Guernsey)</t>
  </si>
  <si>
    <t>Zahra Investments Ltd - Property Investment Facility</t>
  </si>
  <si>
    <t>00158000017RODu</t>
  </si>
  <si>
    <t>WPO216</t>
  </si>
  <si>
    <t>Lanos (Luton) Limited (Jersey)</t>
  </si>
  <si>
    <t>Lanos (Luton) Limited - Property Investment</t>
  </si>
  <si>
    <t>0015800000w0nc7</t>
  </si>
  <si>
    <t>FRT044</t>
  </si>
  <si>
    <t>Kartik Properties Limited - Property Investment - Non CBILS</t>
  </si>
  <si>
    <t>00158000018l8BX</t>
  </si>
  <si>
    <t>DIN866</t>
  </si>
  <si>
    <t>Westfield Holdings Limited (Jersey)</t>
  </si>
  <si>
    <t>Westfield Holdings Limited - Property Investment Facility</t>
  </si>
  <si>
    <t>00158000010YYdr</t>
  </si>
  <si>
    <t>00158000010YYdq</t>
  </si>
  <si>
    <t>OAR987</t>
  </si>
  <si>
    <t>Dalston Property Limited - Property Development - Facility A - Non-CBILS</t>
  </si>
  <si>
    <t>0015800001Dh6C5</t>
  </si>
  <si>
    <t>AMK584</t>
  </si>
  <si>
    <t>Whiskey (BidCo) Limited - Business Trading - Tranche A - Non-CBILS Facility</t>
  </si>
  <si>
    <t>Whiskey (BidCo) Limited - Business Trading - Tranche B - Non-CBILS Facility</t>
  </si>
  <si>
    <t>YLX617</t>
  </si>
  <si>
    <t>Godfrey Construction (London) Ltd - Business Trading - RCF Extension</t>
  </si>
  <si>
    <t>0015800000uv5Xm</t>
  </si>
  <si>
    <t>NEB462</t>
  </si>
  <si>
    <t>Rohan Talwar - Property Investment Facility - Audley Court</t>
  </si>
  <si>
    <t>NWX253</t>
  </si>
  <si>
    <t>Inception Ventures Group Limited - Business Loans - Refinance - Facility A</t>
  </si>
  <si>
    <t>0015800001BxvJP</t>
  </si>
  <si>
    <t>0015800001E6ABa</t>
  </si>
  <si>
    <t>UJK465</t>
  </si>
  <si>
    <t>Newcourt Residential (Orchard Lea) Limited</t>
  </si>
  <si>
    <t>Newcourt Residential (Orchard Lea) - Property Holding Investment - ON Share</t>
  </si>
  <si>
    <t>00158000010COjO</t>
  </si>
  <si>
    <t>NWU245</t>
  </si>
  <si>
    <t>ANSS Development Ltd - Property Development - Broadmead House</t>
  </si>
  <si>
    <t>00158000018mJUS</t>
  </si>
  <si>
    <t>PEV662</t>
  </si>
  <si>
    <t>Zaman Enterprises Ltd (Isle of Man Registered)</t>
  </si>
  <si>
    <t>Zaman Enterprises Ltd - Property Investment Facility - AGG Ziser Group</t>
  </si>
  <si>
    <t>TUJ655</t>
  </si>
  <si>
    <t>The Mill Hotel Limited - Business Loan - Prag Shah - Non-CBILS</t>
  </si>
  <si>
    <t>VMG065</t>
  </si>
  <si>
    <t>Z Hotels ZHT Ltd</t>
  </si>
  <si>
    <t>Z Hotels Holdco Limited - Z Hotels ZHT Ltd. - Business Trading - Poland Street</t>
  </si>
  <si>
    <t>0015800001B89xQ</t>
  </si>
  <si>
    <t>0015800001g5Q2N</t>
  </si>
  <si>
    <t>SIP646 - Development Facility</t>
  </si>
  <si>
    <t>WATERMEADOW HOMES (TOWCESTER ROAD) LTD (F.K.A BARRY HOWARD HOMES (TOWCESTER ROAD) LTD</t>
  </si>
  <si>
    <t>Watermeadow Homes (Towcester Road) Ltd (f.k.a. Barry Howard Homes (Towcester Road) Ltd)</t>
  </si>
  <si>
    <t>Watermeadow Homes (Towcester Road) Ltd - Pro Dev-ON Share Inc (fka Barry Howard)</t>
  </si>
  <si>
    <t>0015800001KcMKq</t>
  </si>
  <si>
    <t>0015800001NhnhP</t>
  </si>
  <si>
    <t>BXH718</t>
  </si>
  <si>
    <t>27-33 Caroline Street LLP</t>
  </si>
  <si>
    <t>27-33 Caroline / DCP Caroline 2 / DCP Caroline - Property Development - ON Share</t>
  </si>
  <si>
    <t>0015800001LXPxj</t>
  </si>
  <si>
    <t>HGD111</t>
  </si>
  <si>
    <t>Newcourt Residential (SPV 9) Limited</t>
  </si>
  <si>
    <t>Newcourt Residential (SPV 9) Limited - Property Development - Wadhurst</t>
  </si>
  <si>
    <t>0015800001MCE2k</t>
  </si>
  <si>
    <t>RRX070</t>
  </si>
  <si>
    <t>Outlook Capital Limited - Property Investment Facility - Loan A</t>
  </si>
  <si>
    <t>Outlook Capital Limited - Property Investment Facility - Loan B</t>
  </si>
  <si>
    <t>001580000171IfH</t>
  </si>
  <si>
    <t>0015800001ZRCE3</t>
  </si>
  <si>
    <t>SBU835</t>
  </si>
  <si>
    <t>Vigo Group - Swan Homes (Southall) Ltd. - Property Development Extension</t>
  </si>
  <si>
    <t>0015800001Nh2c5</t>
  </si>
  <si>
    <t>XDS119</t>
  </si>
  <si>
    <t>Inn Collection Bidco - Business Trading - Facility C - Revolving Credit</t>
  </si>
  <si>
    <t>0015800001aytG3</t>
  </si>
  <si>
    <t>PXY285</t>
  </si>
  <si>
    <t>Starboard Hotels - SBH Park Holding - Business Trading - Facility A - Non-CBILS</t>
  </si>
  <si>
    <t>0015800001PghKO</t>
  </si>
  <si>
    <t>ZYG006</t>
  </si>
  <si>
    <t>Dartmouth Partners - Granite Bidco Limited - Business Trading - Restructuring</t>
  </si>
  <si>
    <t>0015800001Hsmrc</t>
  </si>
  <si>
    <t>MLZ008</t>
  </si>
  <si>
    <t>Michael Patrick Hughes &amp; Catherine Paula Hughes - Property Investment</t>
  </si>
  <si>
    <t>0015800001PeZwx</t>
  </si>
  <si>
    <t>HNE820</t>
  </si>
  <si>
    <t>The Fun Pub Company Limited - Property Investment Facility</t>
  </si>
  <si>
    <t>0015800001KwQGY</t>
  </si>
  <si>
    <t>AMK613</t>
  </si>
  <si>
    <t>Albany Group - Daleburn Ltd - Property Investment Facility</t>
  </si>
  <si>
    <t>0015800000rfQ11</t>
  </si>
  <si>
    <t>NWS511</t>
  </si>
  <si>
    <t>Invoke Properties Limited</t>
  </si>
  <si>
    <t>Albany Group - Invoke Properties Ltd - Property Investment Facility</t>
  </si>
  <si>
    <t>0015800001EoMRp</t>
  </si>
  <si>
    <t>0015800001UrdEt</t>
  </si>
  <si>
    <t>WBY995</t>
  </si>
  <si>
    <t>Ciel Capital Limited - Ciel Laystall Limited - Business Trading - Non-CBILS</t>
  </si>
  <si>
    <t>0014I00001z4gJD</t>
  </si>
  <si>
    <t>XYQ220</t>
  </si>
  <si>
    <t>David &amp; Mimi Knox - Property Investment Facility - £100k Increase</t>
  </si>
  <si>
    <t>0015800001NAeFr</t>
  </si>
  <si>
    <t>0015800001U66u0</t>
  </si>
  <si>
    <t>BVO251</t>
  </si>
  <si>
    <t>SIG Dennington Park Road Limited</t>
  </si>
  <si>
    <t>Seed Investment - SIG Dennington - Property Investment - Facility A - Non-CBILS</t>
  </si>
  <si>
    <t>0015800001VgtBH</t>
  </si>
  <si>
    <t>00158000016zHId</t>
  </si>
  <si>
    <t>RNM450</t>
  </si>
  <si>
    <t>York Road Development (London) Limited</t>
  </si>
  <si>
    <t>THIRDi Group - York Road Development (London) Limited - Property Development</t>
  </si>
  <si>
    <t>0015800001RpF2A</t>
  </si>
  <si>
    <t>ECF810</t>
  </si>
  <si>
    <t>Stavely Limited</t>
  </si>
  <si>
    <t>Shane Shahin Desai - Stavely Limited - Property Investment - Margin Decrease</t>
  </si>
  <si>
    <t>0015800001TY81a</t>
  </si>
  <si>
    <t>RFH852</t>
  </si>
  <si>
    <t>Clivedale Properties Limited - Property Holding Investment- Extension</t>
  </si>
  <si>
    <t>0015800000WfDgE</t>
  </si>
  <si>
    <t>EPB680</t>
  </si>
  <si>
    <t>Mitesh Devshi Jatania - Thornrose Limited - Business Trading Facility</t>
  </si>
  <si>
    <t>0015800001PfGcn</t>
  </si>
  <si>
    <t>GPW175</t>
  </si>
  <si>
    <t>Asia Investments Enterprises Limited (Hong Kong Registered)</t>
  </si>
  <si>
    <t>Stanley Studios - Asia Investments Enterprises Limited - Property Investment</t>
  </si>
  <si>
    <t>0015800001PekkB</t>
  </si>
  <si>
    <t>0015800001Vivq9</t>
  </si>
  <si>
    <t>ZNC790</t>
  </si>
  <si>
    <t>111TW Limited</t>
  </si>
  <si>
    <t>111 Invest - 111TW Limited - Property Development - Tunbridge Wells</t>
  </si>
  <si>
    <t>0015800001NjguE</t>
  </si>
  <si>
    <t>JNH613</t>
  </si>
  <si>
    <t>George Michael Georgiou - Property Investment - 105 Fonthill Road</t>
  </si>
  <si>
    <t>0015800001S76mo</t>
  </si>
  <si>
    <t>JSG015</t>
  </si>
  <si>
    <t>Happy Lodge Limited (Guernsey Registered)</t>
  </si>
  <si>
    <t>Happy Lodge Limited - Property Investment - Joanna Lemos</t>
  </si>
  <si>
    <t>0015800001T65pl</t>
  </si>
  <si>
    <t>GJJ946</t>
  </si>
  <si>
    <t>Mall Properties Limited - Property Development - Facility B - Non-CBILS</t>
  </si>
  <si>
    <t>0015800001P6B2W</t>
  </si>
  <si>
    <t>PLD454</t>
  </si>
  <si>
    <t>A.S.K. Partners Lendco 3 Limited - Loan-on-Loan - Ilford Developments</t>
  </si>
  <si>
    <t>0015800001TWbpo</t>
  </si>
  <si>
    <t>KAP925</t>
  </si>
  <si>
    <t>Flora Developments Limited - Property Holding Development Facility</t>
  </si>
  <si>
    <t>PZB964</t>
  </si>
  <si>
    <t>Z Cha Holdco Ltd</t>
  </si>
  <si>
    <t>Partially</t>
  </si>
  <si>
    <t>Z Hotels Holdco - Z Cha Holdco - Business Trading - Charring Cross - Investment</t>
  </si>
  <si>
    <t>0015800001YUGL2</t>
  </si>
  <si>
    <t>CQL590</t>
  </si>
  <si>
    <t>Stondon Capital Limited - Property Loan-on-Loan</t>
  </si>
  <si>
    <t>0015800001VhIZJ</t>
  </si>
  <si>
    <t>0015800001ImMpL</t>
  </si>
  <si>
    <t>WYW768</t>
  </si>
  <si>
    <t>DPMM Enterprises Limited</t>
  </si>
  <si>
    <t>0015800001a4Vbz</t>
  </si>
  <si>
    <t>0014I0000254GIp</t>
  </si>
  <si>
    <t>VMB074</t>
  </si>
  <si>
    <t>Chaddha Family - Main Street (Silsoe) Limited - Property Development - Hayfield</t>
  </si>
  <si>
    <t>0015800001bv1Pk</t>
  </si>
  <si>
    <t>PCR209</t>
  </si>
  <si>
    <t>Newcourt Residential (Wadhurst) Limited</t>
  </si>
  <si>
    <t>0015800001YRq94</t>
  </si>
  <si>
    <t>0015800001bw316</t>
  </si>
  <si>
    <t>CHU544</t>
  </si>
  <si>
    <t>Newmark - NI (HH) LLP - Property Investment - Facility A - 35% RWA Non-CBILS</t>
  </si>
  <si>
    <t>Newmark - NI (HH) LLP - Property Investment - Facility B - 100% RWA Non-CBILS</t>
  </si>
  <si>
    <t>001580000122XeR</t>
  </si>
  <si>
    <t>FBN458</t>
  </si>
  <si>
    <t>GSN Warner LLP - Property Investment Facility</t>
  </si>
  <si>
    <t>ZMP117</t>
  </si>
  <si>
    <t>0015800001g3IgY</t>
  </si>
  <si>
    <t>PWK726</t>
  </si>
  <si>
    <t>Care Concern Management OA Limited (f.k.a. Care Concern (Leeds) Limited)</t>
  </si>
  <si>
    <t>Ten M II Limited- Care Concern Management OA Ltd- Business Trading- Fac A</t>
  </si>
  <si>
    <t>0015800001ax9aC</t>
  </si>
  <si>
    <t>PAL282</t>
  </si>
  <si>
    <t>Malory Peter Clifford - Property Holding Investment - Kingsland Passage</t>
  </si>
  <si>
    <t>0015800001ZSDr3</t>
  </si>
  <si>
    <t>OSO763</t>
  </si>
  <si>
    <t>Barry Howard Group - Colston Trustees Limited - Property Investment</t>
  </si>
  <si>
    <t>0014I00001hceTC</t>
  </si>
  <si>
    <t>JAX434</t>
  </si>
  <si>
    <t>0015800001bwCuS</t>
  </si>
  <si>
    <t>OTR536</t>
  </si>
  <si>
    <t>0014I00001iAZxI</t>
  </si>
  <si>
    <t>YTO901</t>
  </si>
  <si>
    <t>Broadwood Lending Limited - Loan-on-Loan - Finsbury Lodgings - Tranche A</t>
  </si>
  <si>
    <t>0015800001OZTRZ</t>
  </si>
  <si>
    <t>0015800001VjYjR</t>
  </si>
  <si>
    <t>JUS896</t>
  </si>
  <si>
    <t>FORE Jersey IX Limited (Jersey Registered)</t>
  </si>
  <si>
    <t>FORE Advisors LLP - FORE Jersey IX Limited - Property Investment</t>
  </si>
  <si>
    <t>0015800001eNWmq</t>
  </si>
  <si>
    <t>0015800001ayR8j</t>
  </si>
  <si>
    <t>ZPJ701</t>
  </si>
  <si>
    <t>Furness Quay Phase 4 Limited</t>
  </si>
  <si>
    <t>Fortis Group - Furness Quay Phase 4 - Prop. Dev. - Northill - Increase</t>
  </si>
  <si>
    <t>0015800001YRrhz</t>
  </si>
  <si>
    <t>FEC742</t>
  </si>
  <si>
    <t>Godly Properties Limited - Property Investment - 155 Hendon Way, London</t>
  </si>
  <si>
    <t>0014I00001ufPgV</t>
  </si>
  <si>
    <t>0015800001a2Kw4</t>
  </si>
  <si>
    <t>OIE566</t>
  </si>
  <si>
    <t>HT Holdings S.a.r.l (Luxembourg Registered)</t>
  </si>
  <si>
    <t>Hilltop Credit Partners Limited - HT Holdings S.a.r.l - Loan-on-Loan RCF</t>
  </si>
  <si>
    <t>0015800001g4Xn6</t>
  </si>
  <si>
    <t>YZA167</t>
  </si>
  <si>
    <t>Montreaux Cricklewood Developments Limited</t>
  </si>
  <si>
    <t>Montreaux Cricklewood Developments - Holding Dev - Co-lend ASK Partners 8</t>
  </si>
  <si>
    <t>0014I00001iB6zK</t>
  </si>
  <si>
    <t>JFL152</t>
  </si>
  <si>
    <t>GH/AH Bear Lane Ltd</t>
  </si>
  <si>
    <t>Galliard Group - GH/AH Bear Lane Ltd - Property Holding Development</t>
  </si>
  <si>
    <t>0014I00001jQxRg</t>
  </si>
  <si>
    <t>0015800001a3W5a</t>
  </si>
  <si>
    <t>RAD192</t>
  </si>
  <si>
    <t>Frontier Estates (EG) Limited</t>
  </si>
  <si>
    <t>Frontier Estates Group - Holding Investment - Facility A - RCF - Non-CBILS</t>
  </si>
  <si>
    <t>0014I00001jQsOw</t>
  </si>
  <si>
    <t>0015800001Rp2Ll</t>
  </si>
  <si>
    <t>WJD240</t>
  </si>
  <si>
    <t>BSM SPV 1 Limited</t>
  </si>
  <si>
    <t>Reditum Capital - BSM SPV 1 Limited - Property Investment - Frinton Park Court</t>
  </si>
  <si>
    <t>0015800001NkOAk</t>
  </si>
  <si>
    <t>HCT844</t>
  </si>
  <si>
    <t>Ergos Tech UK Limited (fka OncoreIT Limited)</t>
  </si>
  <si>
    <t>Ergos Technology Partners - OncoreIT Limited - Business Trading - Facility A</t>
  </si>
  <si>
    <t>Ergos Technology Partners - OncoreIT Limited - Business Trading - RCF</t>
  </si>
  <si>
    <t>0014I00001imWHY</t>
  </si>
  <si>
    <t>0014I00001jQaBl</t>
  </si>
  <si>
    <t>URJ416</t>
  </si>
  <si>
    <t>Sandeep Sahni</t>
  </si>
  <si>
    <t>Bhavya, Divyansh, Sandeep &amp; Bobby Sahni - Property Investment - Walton Heights</t>
  </si>
  <si>
    <t>0014I00001jRANi</t>
  </si>
  <si>
    <t>MNR266</t>
  </si>
  <si>
    <t>Leopard UK Kensington - Property Holding Dev - Zenprop - Inc &amp; Ext</t>
  </si>
  <si>
    <t>0014I00001m1p44</t>
  </si>
  <si>
    <t>0014I00001kQdWF</t>
  </si>
  <si>
    <t>OXW021</t>
  </si>
  <si>
    <t>PLATINUM SKIES ESPRIT LLP / MOUNT ROAD CARE HOME LLP / QUANTUM OLD MANOR RETIREMENT LIVING LLP / QUANTUM OLD MANOR RETIREMENT LIVING (SALISBURY) LIMITED / PLATINUM SKIES QUANTOCK HOUSE LLP / QUANTUM SHERBORNE LLP</t>
  </si>
  <si>
    <t>Platinum Skies Esprit LLP</t>
  </si>
  <si>
    <t>Affordable Housing and Healthcare Group - Holding Investment - Non-CBILS</t>
  </si>
  <si>
    <t>0014I00001k3wNT</t>
  </si>
  <si>
    <t>Quantum Old Manor Retirement Living LLP</t>
  </si>
  <si>
    <t>Affordable Housing and Healthcare Group - Property Development  -Old Manor</t>
  </si>
  <si>
    <t>0014I00001k31dK</t>
  </si>
  <si>
    <t>Platinum Skies Quantock House LLP</t>
  </si>
  <si>
    <t>Affordable Housing and Healthcare Group - Property Development - Quantock</t>
  </si>
  <si>
    <t>0014I00001k31eC</t>
  </si>
  <si>
    <t>Quantum Sherborne LLP</t>
  </si>
  <si>
    <t>Affordable Housing and Healthcare Group - Property Development - Sherborne</t>
  </si>
  <si>
    <t>0014I00001jSCV4</t>
  </si>
  <si>
    <t>0015800001Ht47m</t>
  </si>
  <si>
    <t>YOS679</t>
  </si>
  <si>
    <t>Alexander Begun - Ringhurst Limited - Property Refurb - Facility A - Non-CBILS</t>
  </si>
  <si>
    <t>YFT016</t>
  </si>
  <si>
    <t>RAW Alpha PCC Limited (Guernsey Registered)</t>
  </si>
  <si>
    <t>RAW Alpha PCC Limited - Business Trading - RCF Loan-on-Loan (A-D)</t>
  </si>
  <si>
    <t>RAW Alpha PCC Limited  - Business Trading - RCF Loan-on-Loan (E-H)</t>
  </si>
  <si>
    <t>0015800000pWQBK</t>
  </si>
  <si>
    <t>IIJ539</t>
  </si>
  <si>
    <t>Netherhall Gardens Limited</t>
  </si>
  <si>
    <t>Netherhall Gardens Ltd (Cogress) - Property Investment Facility</t>
  </si>
  <si>
    <t>0014I00001k2xni</t>
  </si>
  <si>
    <t>UTC616</t>
  </si>
  <si>
    <t>Strathcarron Homes (SGX) Ltd - Property Development - ON Share - Non-CBILS</t>
  </si>
  <si>
    <t>0014I00001lcrui</t>
  </si>
  <si>
    <t>0014I00001m2Sxv</t>
  </si>
  <si>
    <t>XDD687</t>
  </si>
  <si>
    <t>Ocea Group - Furness House - Property Investment Facility</t>
  </si>
  <si>
    <t>0015800001YTCjQ</t>
  </si>
  <si>
    <t>0015800001b13B3</t>
  </si>
  <si>
    <t>AEA384</t>
  </si>
  <si>
    <t>HIVE 1 LTD</t>
  </si>
  <si>
    <t>Seqoya Limited - Hive 1 Limited - Property Development - Goldhurst Terrace</t>
  </si>
  <si>
    <t>SXW364</t>
  </si>
  <si>
    <t>Nine Gatwick Hotel Limited - Business Trading - T1 Trading - Non-CBILS</t>
  </si>
  <si>
    <t>0014I00001jS4OQ</t>
  </si>
  <si>
    <t>0014I00001nniGD</t>
  </si>
  <si>
    <t>PKR827</t>
  </si>
  <si>
    <t>Hortensia Property Development LLP</t>
  </si>
  <si>
    <t>Hortensia Property &amp; Spire Property - Property Holding Investment</t>
  </si>
  <si>
    <t>0014I00001lc2ys</t>
  </si>
  <si>
    <t>EBJ506</t>
  </si>
  <si>
    <t>Hunters Court Limited - Property Investment - 120 William Hunter Way, Brentwood</t>
  </si>
  <si>
    <t>0014I00001lGVkG</t>
  </si>
  <si>
    <t>OCS837</t>
  </si>
  <si>
    <t>Heathcock Court Property Limited (IOM Registered)</t>
  </si>
  <si>
    <t>Z Hotels Holdco Limited - Heathcock Court Property Limited – Trading Facility</t>
  </si>
  <si>
    <t>KLH478</t>
  </si>
  <si>
    <t>Lincoln Plaza Hotel Co Limited (Jersey Registered)</t>
  </si>
  <si>
    <t>Lincoln Plaza Hotel - Business Trading - Facility A Non-CBILS</t>
  </si>
  <si>
    <t>Ten M II Limited -Care Concern Management OA Ltd- Buss Trading - Fac B</t>
  </si>
  <si>
    <t>0014I00001jT2wH</t>
  </si>
  <si>
    <t>HXK127</t>
  </si>
  <si>
    <t>Agate Properties Ltd. - Property Investment - Lamington Group - 41 Iffley Road</t>
  </si>
  <si>
    <t>0014I00001lGLkP</t>
  </si>
  <si>
    <t>WBQ261</t>
  </si>
  <si>
    <t>Dursun Gungor - Property Investment - 66 Amwell Street</t>
  </si>
  <si>
    <t>0014I00001jTjtP</t>
  </si>
  <si>
    <t>BPA282</t>
  </si>
  <si>
    <t>Slatters Development Limited - Business Trading - Non-CBILS</t>
  </si>
  <si>
    <t>0015800001VjgTF</t>
  </si>
  <si>
    <t>IFR898</t>
  </si>
  <si>
    <t>Zeal Hotel (Bridgwater J23) Limited - Business Trading - Trading Facility</t>
  </si>
  <si>
    <t>0014I00001iAwe8</t>
  </si>
  <si>
    <t>IWA946</t>
  </si>
  <si>
    <t>Clearview Broadwater - Development Facility A - Tranche A - ON Non-CBILS Old</t>
  </si>
  <si>
    <t>0014I00001heQnA</t>
  </si>
  <si>
    <t>0014I00001heQn9</t>
  </si>
  <si>
    <t>PAY443</t>
  </si>
  <si>
    <t>Verus Investments Ltd</t>
  </si>
  <si>
    <t>Ali Has - Verus Investments Limited - Property Investment - Facility A</t>
  </si>
  <si>
    <t>YQM224</t>
  </si>
  <si>
    <t>Ali Has - Property Investment - Gloucester Parade, Sidcup</t>
  </si>
  <si>
    <t>0015800001buefX</t>
  </si>
  <si>
    <t>RJK103</t>
  </si>
  <si>
    <t>AMA (Tor 1) Limited - Property Development - Facility B - Non-CBILS</t>
  </si>
  <si>
    <t>0014I00001qeHwS</t>
  </si>
  <si>
    <t>VRN370</t>
  </si>
  <si>
    <t>Invordan Wetton Garage Limited - Property Investment</t>
  </si>
  <si>
    <t>Main Facility - SWY827</t>
  </si>
  <si>
    <t>Casa Italian Restaurants Limited - Business Trading - Main Facility</t>
  </si>
  <si>
    <t>0014I00001qcP3e</t>
  </si>
  <si>
    <t>ACU063</t>
  </si>
  <si>
    <t>Gladheath Limited - Property Investment - Chesham Street, London</t>
  </si>
  <si>
    <t>0014I00001os1sR</t>
  </si>
  <si>
    <t>0014I00001r66fk</t>
  </si>
  <si>
    <t>MAZ182</t>
  </si>
  <si>
    <t>London Property Ventures 100 Limited</t>
  </si>
  <si>
    <t>London Property Ventures 100 Limited - Property Investment</t>
  </si>
  <si>
    <t>0014I00001pvJsK</t>
  </si>
  <si>
    <t>MDJ178</t>
  </si>
  <si>
    <t>London Property Ventures 250 Limited</t>
  </si>
  <si>
    <t>London Property Ventures 250 Limited - Property Investment - Non-CBILS Facility</t>
  </si>
  <si>
    <t>0014I00001mf8U0</t>
  </si>
  <si>
    <t>OOQ820</t>
  </si>
  <si>
    <t>Menari UK Limited - Property Investment - Facility A - 35% RWA</t>
  </si>
  <si>
    <t>Menari UK Limited - Property Investment - Facility B - 100% RWA</t>
  </si>
  <si>
    <t>0014I00001r5XZR</t>
  </si>
  <si>
    <t>0014I00001pMxE7</t>
  </si>
  <si>
    <t>DFF356</t>
  </si>
  <si>
    <t>Reeves Investments Limited</t>
  </si>
  <si>
    <t>Mandix Ltd. - Reeves &amp; Exceter -Property Investment - 22 &amp; 24 Talbot Crescent</t>
  </si>
  <si>
    <t>0015800001gkGsZ</t>
  </si>
  <si>
    <t>YNW075</t>
  </si>
  <si>
    <t>TDC Management Limited - Property Investment Facility - Facility A</t>
  </si>
  <si>
    <t>TDC Management Limited - Property Investment Facility  - Facility B</t>
  </si>
  <si>
    <t>0014I00001pOuLo</t>
  </si>
  <si>
    <t>0014I000022uZNH</t>
  </si>
  <si>
    <t>CXF836</t>
  </si>
  <si>
    <t>A.S.K. Partners Lendco 13 Limited - Loan-on-Loan - Maidenhead</t>
  </si>
  <si>
    <t>0014I00001m1k7Z</t>
  </si>
  <si>
    <t>BXS022</t>
  </si>
  <si>
    <t>Perloni Limited (UK Registered)</t>
  </si>
  <si>
    <t>0014I00001puYXq</t>
  </si>
  <si>
    <t>LUH689</t>
  </si>
  <si>
    <t>A.S.K. Partners Lendco 14 Limited - Loan on Loan - Colney Hatch</t>
  </si>
  <si>
    <t>0014I00001mg1mp</t>
  </si>
  <si>
    <t>0015800001TYEdm</t>
  </si>
  <si>
    <t>JXP985</t>
  </si>
  <si>
    <t>Mabec PRS LLP - Mabec (Nottingham) Limited - Property Development</t>
  </si>
  <si>
    <t>Broadwood Lending Limited - Loan-on-Loan - Finsbury Lodgings - Tranche B</t>
  </si>
  <si>
    <t>0014I00001r6KrB</t>
  </si>
  <si>
    <t>0014I00001rb54h</t>
  </si>
  <si>
    <t>VIW579</t>
  </si>
  <si>
    <t>Kolte Patil Limited - Kolte Patil Greenwich Limited - Property Development</t>
  </si>
  <si>
    <t>0014I00001mhbj5</t>
  </si>
  <si>
    <t>CGF881</t>
  </si>
  <si>
    <t>Kolte Patil Limited - Kolte Patil Kenley Limited - Property Development</t>
  </si>
  <si>
    <t>0014I00001lcp3O</t>
  </si>
  <si>
    <t>PNV673</t>
  </si>
  <si>
    <t>Bluecroft - IPE Jubilee - Prop Dev - Facility A - Non-CBILS - ON Share</t>
  </si>
  <si>
    <t>0014I00001r75BU</t>
  </si>
  <si>
    <t>SVI784</t>
  </si>
  <si>
    <t>55 Hoxton Property Limited - Property Investment Facility</t>
  </si>
  <si>
    <t>KWN292</t>
  </si>
  <si>
    <t>Neptune 789 Limited -  Business Trading - Facility A £7.0m - Aptus Group</t>
  </si>
  <si>
    <t>Neptune 789 Limited -  Business Trading - RCF £1.0m - Aptus Group</t>
  </si>
  <si>
    <t>0014I00001rZ95a</t>
  </si>
  <si>
    <t>OQV109</t>
  </si>
  <si>
    <t>Dacol Limited - Property Development - Fusion 22 Beech Hill</t>
  </si>
  <si>
    <t>0014I00001lc2yr</t>
  </si>
  <si>
    <t>VVS089</t>
  </si>
  <si>
    <t>Sean Ruairi Conneely</t>
  </si>
  <si>
    <t>Sean Ruairi Conneely &amp; Agnes Marie Bamford - Property Investment</t>
  </si>
  <si>
    <t>0014I00001lzoR9</t>
  </si>
  <si>
    <t>0015800000w3DYy</t>
  </si>
  <si>
    <t>HNH475</t>
  </si>
  <si>
    <t>Hayfield Group - HH Facilities Ltd - Unallocated Undrawn - Prop Dev RCF</t>
  </si>
  <si>
    <t>0014I00001uhUou</t>
  </si>
  <si>
    <t>HH (Clifton) Ltd</t>
  </si>
  <si>
    <t>Hayfield Group - HH Facilities Ltd - HH (Clifton) Ltd - Prop Dev RCF</t>
  </si>
  <si>
    <t>0014I00001uhUnv</t>
  </si>
  <si>
    <t>HH (Great Gransden) Ltd</t>
  </si>
  <si>
    <t>Hayfield Group - HH Facilities Ltd - HH (Great Gransden) Ltd - Prop Dev RCF</t>
  </si>
  <si>
    <t>0014I00001vO0QQ</t>
  </si>
  <si>
    <t>HH (Woburn) Ltd</t>
  </si>
  <si>
    <t>Hayfield Group - HH Facilities Ltd - HH (Woburn) Ltd - Prop Dev RCF</t>
  </si>
  <si>
    <t>0014I00001vf1NR</t>
  </si>
  <si>
    <t>HH (Blunsdon) Ltd</t>
  </si>
  <si>
    <t>Hayfield Group - HH Facilities Ltd - HH (Blunsdon) Ltd - Prop Dev RCF</t>
  </si>
  <si>
    <t>0014I000024tRHS</t>
  </si>
  <si>
    <t>HH (Hanslope) Limited</t>
  </si>
  <si>
    <t>Hayfield Group - HH Facilities Ltd - HH (Hanslope) Ltd - Prop Dev RCF</t>
  </si>
  <si>
    <t>0014I000024v4CY</t>
  </si>
  <si>
    <t>HH (Bromham) Ltd</t>
  </si>
  <si>
    <t>Hayfield Group - HH Facilities Ltd - HH (Bromham) Ltd - Prop Dev RCF</t>
  </si>
  <si>
    <t>0014I000028ENLg</t>
  </si>
  <si>
    <t>HH (Clophill) Limited</t>
  </si>
  <si>
    <t>Hayfield Group - HH Facilities Ltd - HH (Clophill) Ltd - Prop Dev RCF</t>
  </si>
  <si>
    <t>Hayfield Group - HH Facilities Ltd - HH (Clophill) Ltd - VAT Facility</t>
  </si>
  <si>
    <t>0014I0000290u6h</t>
  </si>
  <si>
    <t>HH (Little Kimble) Ltd</t>
  </si>
  <si>
    <t>Hayfield - HH Facilities Ltd-HH (Little Kimble) Ltd-Prop Dev RCF</t>
  </si>
  <si>
    <t>0014I0000290v3L</t>
  </si>
  <si>
    <t>HH (Woburn Two) Ltd</t>
  </si>
  <si>
    <t>Hayfield Group - HH Facilities Ltd - HH (Woburn Two) Ltd - Prop Dev RCF</t>
  </si>
  <si>
    <t>0018e000003CQyM</t>
  </si>
  <si>
    <t>HH (Hallow 3) Limited</t>
  </si>
  <si>
    <t>Hayfield - HH Facilities Ltd-HH (Hallow 3) Ltd-Prop Dev RCF</t>
  </si>
  <si>
    <t>Hayfield - HH Facilities Ltd-HH (Hallow 3) Ltd - VAT Facility</t>
  </si>
  <si>
    <t>0018e000003CbOw</t>
  </si>
  <si>
    <t>HH (Adderbury) Limited</t>
  </si>
  <si>
    <t>Hayfield - HH Facilities Ltd - HH (Adderbury) Ltd - Prop Dev RCF</t>
  </si>
  <si>
    <t>Hayfield - HH Facilities Ltd - HH (Adderbury) Ltd - VAT Facility</t>
  </si>
  <si>
    <t>0018e000003CeMs</t>
  </si>
  <si>
    <t>HH (West Lavington) Limited</t>
  </si>
  <si>
    <t>Hayfield - HH Facilities Ltd-HH (West Lavington) Ltd-Prop Dev RCF</t>
  </si>
  <si>
    <t>GMZ239</t>
  </si>
  <si>
    <t>Moorlands Healthcare Limited - Business Trading</t>
  </si>
  <si>
    <t>0014I00001sgz0C</t>
  </si>
  <si>
    <t>BEB421</t>
  </si>
  <si>
    <t>Galliard - Northwood Street Ltd. - Prop. Hold. Dev. - Facility A - ON Share</t>
  </si>
  <si>
    <t>0015800001fELHf</t>
  </si>
  <si>
    <t>0015800001WtCl2</t>
  </si>
  <si>
    <t>CNR443</t>
  </si>
  <si>
    <t>FREP 3 (Prince’s Square) Limited</t>
  </si>
  <si>
    <t>FREP Group - FREP 3 (Prince's Square) Limited - Property Development- Increase</t>
  </si>
  <si>
    <t>0014I00001qaM8a</t>
  </si>
  <si>
    <t>QWL016</t>
  </si>
  <si>
    <t>Citybranch Healthcare - Property Development Facility - Tranche A</t>
  </si>
  <si>
    <t>0014I00001u8UEO</t>
  </si>
  <si>
    <t>0014I00001qe48T</t>
  </si>
  <si>
    <t>SJA705</t>
  </si>
  <si>
    <t>Almero Holdings UK Ltd - Almero Crismcott II Ltd - Property Development Facility</t>
  </si>
  <si>
    <t>0014I00001u8OFr</t>
  </si>
  <si>
    <t>EUI828</t>
  </si>
  <si>
    <t>Almero Holdings UK Ltd - Elebro Ltd - Camden - Property Development Facility</t>
  </si>
  <si>
    <t>0014I00001jPgrA</t>
  </si>
  <si>
    <t>0015800000xQKnJ</t>
  </si>
  <si>
    <t>FCU998</t>
  </si>
  <si>
    <t>Thornsett Partners Limited - Property Development - ON Share</t>
  </si>
  <si>
    <t>0014I00001j8K6P</t>
  </si>
  <si>
    <t>0014I00001sABoS</t>
  </si>
  <si>
    <t>LEL152</t>
  </si>
  <si>
    <t>Whitehall Loans Limited - Property Loan-on-Loan - Revolving Credit</t>
  </si>
  <si>
    <t>0014I00001sCq3d</t>
  </si>
  <si>
    <t>0014I00001shf4N</t>
  </si>
  <si>
    <t>JVI091</t>
  </si>
  <si>
    <t>Wembley Empire Development Limited - Property Development</t>
  </si>
  <si>
    <t>0014I00001tPlmD</t>
  </si>
  <si>
    <t>WYJ624</t>
  </si>
  <si>
    <t>Andrew Black - Property Investment Facility - Tranche 1 (A)</t>
  </si>
  <si>
    <t>Andrew Black - Property Investment Facility - Tranche 1 (B)</t>
  </si>
  <si>
    <t>0014I00001raggS</t>
  </si>
  <si>
    <t>0015800000WdY7i</t>
  </si>
  <si>
    <t>CYG185</t>
  </si>
  <si>
    <t>Hunts Wharf Estates Limited</t>
  </si>
  <si>
    <t>Simcha Green - Hunts Wharf Estates Limited (Resi) - Property Inv (Fac D)</t>
  </si>
  <si>
    <t>Simcha Green - Hunts Wharf Estates Limited (Resi) - Property Inv (Fac G)</t>
  </si>
  <si>
    <t>0014I00001rageF</t>
  </si>
  <si>
    <t>Hunts Wharf Investments Limited</t>
  </si>
  <si>
    <t>Simcha Green - Hunts Wharf Investments Limited (Comm) - Property Inv (Fac F)</t>
  </si>
  <si>
    <t>0014I00001ragcD</t>
  </si>
  <si>
    <t>Lumious Investments Limited</t>
  </si>
  <si>
    <t>Simcha Green - Lumious Investments Limited (Commercial) - Property Inv (Fac C)</t>
  </si>
  <si>
    <t>0014I00001ragdz</t>
  </si>
  <si>
    <t>Rossendale Homes Limited</t>
  </si>
  <si>
    <t>Simcha Green - Rossendale Homes Ltd (Commercial) - Property Inv (Fac B)</t>
  </si>
  <si>
    <t>0014I00001vLq3F</t>
  </si>
  <si>
    <t>Rossendale Homes Residential Limited</t>
  </si>
  <si>
    <t>Simcha Green - Rossendale Homes Resi Limited - Property Investment (Fac A)</t>
  </si>
  <si>
    <t>0014I00001vLqaP</t>
  </si>
  <si>
    <t>SAG Property Holdings Limited</t>
  </si>
  <si>
    <t>Simcha Green - SAG Property Holdings Limited (Resi) - Property Inv (Fac E)</t>
  </si>
  <si>
    <t>Newcourt Residential (SPV 9) Limited - Property Development - Wadhurst Tranche B</t>
  </si>
  <si>
    <t>001580000171AK8</t>
  </si>
  <si>
    <t>0015800000zoDwM</t>
  </si>
  <si>
    <t>UJW588</t>
  </si>
  <si>
    <t>Cottage Linen - CL2017 Limited - Property Holding Development - Rhodes Way</t>
  </si>
  <si>
    <t>0014I00001hayXx</t>
  </si>
  <si>
    <t>CGR138</t>
  </si>
  <si>
    <t>Ability Group - AP Bristol Number 3 Limited - Business Trading - Fac A</t>
  </si>
  <si>
    <t>Ability Group - AP Bristol Number 3 Limited - Business Trading - Facility B</t>
  </si>
  <si>
    <t>0014I00001r7Mv3</t>
  </si>
  <si>
    <t>LBT653</t>
  </si>
  <si>
    <t>Galliard- Evolve (Milton Keynes) Limited - Property Development - ON Share</t>
  </si>
  <si>
    <t>0014I00001ugdg7</t>
  </si>
  <si>
    <t>0014I00001ylQFP</t>
  </si>
  <si>
    <t>OCO242</t>
  </si>
  <si>
    <t>Uplift Capital Ltd - Tranche A - Property Development Facility</t>
  </si>
  <si>
    <t>Uplift Capital Ltd - Tranche B - Property Development Facility</t>
  </si>
  <si>
    <t>0014I00001wCgE7</t>
  </si>
  <si>
    <t>SWO332</t>
  </si>
  <si>
    <t>Luke Samuel Mead &amp; Wayne Mead - Property Development - 81, Ridge Road</t>
  </si>
  <si>
    <t>0014I00001vMlGj</t>
  </si>
  <si>
    <t>0015800001ZQTCY</t>
  </si>
  <si>
    <t>MZQ862</t>
  </si>
  <si>
    <t>Efstratios Filis - Anthea Investments Limited - Property Investment</t>
  </si>
  <si>
    <t>0014I00001kQwYY</t>
  </si>
  <si>
    <t>0014I00001xIDkw</t>
  </si>
  <si>
    <t>COF444</t>
  </si>
  <si>
    <t>Big Sur (Sparkford) Limited</t>
  </si>
  <si>
    <t>Big Sur (Sparkford) Limited - Property Investment - Sparkford Rd</t>
  </si>
  <si>
    <t>0015800001bwBzS</t>
  </si>
  <si>
    <t>TJM561</t>
  </si>
  <si>
    <t>Ziser Group - FTH Investments - Non-CBILS Development Facility B</t>
  </si>
  <si>
    <t>ANK685</t>
  </si>
  <si>
    <t>FORE Advisors LLP - Basil James Demeroutis - Business Trading</t>
  </si>
  <si>
    <t>0014I00001wChIQ</t>
  </si>
  <si>
    <t>KBY282</t>
  </si>
  <si>
    <t>Ocea - Bagshot Manor Developments Ltd - Property Development - ON Share</t>
  </si>
  <si>
    <t>0014I00001qc7gS</t>
  </si>
  <si>
    <t>ORL224</t>
  </si>
  <si>
    <t>My Lane Investments Limited - Property Investment - Facility A</t>
  </si>
  <si>
    <t>0014I00001yOgwG</t>
  </si>
  <si>
    <t>HZH666</t>
  </si>
  <si>
    <t>Kulbir Kharabanda &amp; Hildegard Kharabanda - Property Development</t>
  </si>
  <si>
    <t>0014I00001pNy7Q</t>
  </si>
  <si>
    <t>XMW065</t>
  </si>
  <si>
    <t>A.S.K. Partners Lendco 17 Limited - Loan-on-Loan - St. Phillips</t>
  </si>
  <si>
    <t>ULA408</t>
  </si>
  <si>
    <t>Khalida Khalid / The Jade Hotel - Business Trading Facility</t>
  </si>
  <si>
    <t>Inn Collection Bidco - Business Trading - Facility F - CBILS</t>
  </si>
  <si>
    <t>0015800000QSQGI</t>
  </si>
  <si>
    <t>0014I0000290gd8</t>
  </si>
  <si>
    <t>TQM841</t>
  </si>
  <si>
    <t>+Venture Battersea Limited</t>
  </si>
  <si>
    <t>The Adventure Bar - +Venture Battersea - Business Trading - CBILS A – Refi</t>
  </si>
  <si>
    <t>The Adventure Bar - +Venture Battersea - Business Trading - CBILS B - New</t>
  </si>
  <si>
    <t>0014I00001yQIHc</t>
  </si>
  <si>
    <t>0014I00001yOdSL</t>
  </si>
  <si>
    <t>HHH912</t>
  </si>
  <si>
    <t>Fabrix Capital Limited - Fabx2.6 L.P - Property Investment</t>
  </si>
  <si>
    <t>QKJ500</t>
  </si>
  <si>
    <t>Casa Italian Restaurants Limited - Business Trading - CBILS – Refi and New Money</t>
  </si>
  <si>
    <t>GSN Warner LLP - Property Development Facility - CBILS</t>
  </si>
  <si>
    <t>GSN Warner LLP - Property Development Facility Inc &amp; Ext</t>
  </si>
  <si>
    <t>0014I00001vOD02</t>
  </si>
  <si>
    <t>JMI972</t>
  </si>
  <si>
    <t>The Baxter Group Limited - Property Investment - Non-CBILS</t>
  </si>
  <si>
    <t>Nine Gatwick Hotel Limited - Business Trading - T2 Trading – CBILS</t>
  </si>
  <si>
    <t>Inception Ventures Group Limited - Business Loans - Facility C CBILS New Money</t>
  </si>
  <si>
    <t>Inception Ventures Group Limited - Business Loans -  Facility D CBILS Refinance</t>
  </si>
  <si>
    <t>Affordable Housing and Healthcare Group - Holding Investment - CBILS</t>
  </si>
  <si>
    <t>WMW705</t>
  </si>
  <si>
    <t>Daisy Green Food Limited - Business Trading - Facility B - CBILS Refinance</t>
  </si>
  <si>
    <t>Daisy Green Food Limited - Business Trading - Facility C - CBILS Refinance</t>
  </si>
  <si>
    <t>Daisy Green Food Limited - Business Trading - Facility D - CBILS New Money</t>
  </si>
  <si>
    <t>Dalston Property Limited - Property Development - Facility B - CBILS</t>
  </si>
  <si>
    <t>Starboard Hotels - SBH Park Holding - Business Trading - Facility B - CBILS Refi</t>
  </si>
  <si>
    <t>35 Shore Road Limited - Property Holding Investment - Non CBILS A - New Money</t>
  </si>
  <si>
    <t>RJE483 - Investment Facility</t>
  </si>
  <si>
    <t>Watermeadow Homes (Towcester Road) Ltd. – Property Inv - (fka Barry Howard)</t>
  </si>
  <si>
    <t>0015800001Vhz1L</t>
  </si>
  <si>
    <t>KWP910 (CBILS)</t>
  </si>
  <si>
    <t>Rosedale - Bike &amp; Boot / Leisure &amp; Hotel - Business Trading - CBILS A Refinance</t>
  </si>
  <si>
    <t>Rosedale - Bike &amp; Boot / Leisure &amp; Hotel - Business Trading - CBILS B New Money</t>
  </si>
  <si>
    <t>Newmark - NI (HH) LLP - Property Investment - Facility C - CBILS</t>
  </si>
  <si>
    <t>Ciel Capital Limited - Ciel Laystall Limited - Business Trading - CBILS A</t>
  </si>
  <si>
    <t>Ciel Capital Limited - Ciel Laystall Limited - Business Trading - CBILS B</t>
  </si>
  <si>
    <t>NIC681</t>
  </si>
  <si>
    <t>BlueGem Secondary LP</t>
  </si>
  <si>
    <t>BlueGem Secondary LP - Business Trading - Capital Call RCF</t>
  </si>
  <si>
    <t>FCU687</t>
  </si>
  <si>
    <t>Ottolenghi Limited - Business Trading - CBILS Facility</t>
  </si>
  <si>
    <t>OSM545</t>
  </si>
  <si>
    <t>Staycity Investments Limited (Ireland Registered)</t>
  </si>
  <si>
    <t>Staycity Investments Limited - Business Trading - Facility A - CLBILS</t>
  </si>
  <si>
    <t>Staycity Investments Limited - Business Trading - Facility B - Non CLBILS</t>
  </si>
  <si>
    <t>0014I00001sCuHQ</t>
  </si>
  <si>
    <t>BUD338</t>
  </si>
  <si>
    <t>26 Camden High Street Limited / City Trustees Limited - Property Investment</t>
  </si>
  <si>
    <t>0014I00001yllE4</t>
  </si>
  <si>
    <t>0014I00001xwu8X</t>
  </si>
  <si>
    <t>XJV941</t>
  </si>
  <si>
    <t>Weber Talma Subsidiary Limited</t>
  </si>
  <si>
    <t>Immanuel Ezekiel - Weber Talma Subsidiary Ltd. - Property Dev - CBILS Facility</t>
  </si>
  <si>
    <t>0014I000021iIwV</t>
  </si>
  <si>
    <t>IUR347</t>
  </si>
  <si>
    <t>SPRINGMOVE LIMITED (f.k.a. NPT PROPERTIES LIMITED)</t>
  </si>
  <si>
    <t>Springmove Limited (fka NPT Properties Ltd)</t>
  </si>
  <si>
    <t>SPT Holdings - Springmove Limited - Business Trading - RCF (NPT)</t>
  </si>
  <si>
    <t>0014I00001wwaIr</t>
  </si>
  <si>
    <t>TDI420</t>
  </si>
  <si>
    <t>CARLI JAYNE DEVELOPMENTS LIMITED</t>
  </si>
  <si>
    <t>Carli Jayne Developments Limited - Property Holding Investment - CBILS New Money</t>
  </si>
  <si>
    <t>London Property Ventures 250 Limited - Property Investment - CBILS Facility</t>
  </si>
  <si>
    <t>Galliard - Northwood Street Ltd. - Prop. Hold. Dev. - Facility B - ON Share</t>
  </si>
  <si>
    <t>Galliard - Northwood Street Ltd. - Prop. Hold. Dev. - Facility C - ON Share</t>
  </si>
  <si>
    <t>0014I00001yQ2gN</t>
  </si>
  <si>
    <t>BCV373</t>
  </si>
  <si>
    <t>Citrus Group - N17 H2I Portfolio LLP - Property Investment</t>
  </si>
  <si>
    <t>0014I000021i1fH</t>
  </si>
  <si>
    <t>GUT235</t>
  </si>
  <si>
    <t>ULTIMATE BRIDGING FINANCE NO. 2 LIMITED</t>
  </si>
  <si>
    <t>Ultimate Bridging Finance No. 2 Ltd - Business Trading - LoL RCF - Tranche 1</t>
  </si>
  <si>
    <t>Ultimate Bridging Finance No. 2 Ltd - Business Trading - LoL RCF - Tranche 2</t>
  </si>
  <si>
    <t>Ultimate Bridging Finance No. 2 Ltd - Business Trading - LoL RCF - Tranche 3</t>
  </si>
  <si>
    <t>Ultimate Bridging Finance No. 2 Ltd - Business Trading - LoL RCF - Tranche 4</t>
  </si>
  <si>
    <t>0014I000021ji6C</t>
  </si>
  <si>
    <t>QFJ410</t>
  </si>
  <si>
    <t>TRIKOMO LIMITED</t>
  </si>
  <si>
    <t>Trikomo Limited (Jersey Registered)</t>
  </si>
  <si>
    <t>Trikomo Limited - Property Investment - RCF - Arora Group</t>
  </si>
  <si>
    <t>0015800000HIEt2</t>
  </si>
  <si>
    <t>ZTF105</t>
  </si>
  <si>
    <t>Markovic Property Partnership - Property Holding Inv. - Facility A - CBILS</t>
  </si>
  <si>
    <t>Markovic Property Partnership - Property Holding Inv. - Facility B - Non-CBILS</t>
  </si>
  <si>
    <t>0014I000020ME3H</t>
  </si>
  <si>
    <t>0014I00001yOl6u</t>
  </si>
  <si>
    <t>YMD291</t>
  </si>
  <si>
    <t>Hurstwood Homes 1 Limited - Property Development Facility</t>
  </si>
  <si>
    <t>0014I000020vHYY</t>
  </si>
  <si>
    <t>EVZ980</t>
  </si>
  <si>
    <t>URBAN CENTRIC (BLACKBOY) LIMITED</t>
  </si>
  <si>
    <t>Urban Centric (Blackboy) Limited</t>
  </si>
  <si>
    <t>Urban Centric (Blackboy) Limited - Property Development - CBILS Facility</t>
  </si>
  <si>
    <t>0014I000021gqUa</t>
  </si>
  <si>
    <t>SUO994</t>
  </si>
  <si>
    <t>Vale CR Limited - Property Holding Investment - CBILS Facility - Facility A</t>
  </si>
  <si>
    <t>0014I000022NDiq</t>
  </si>
  <si>
    <t>0014I00001z5yL3</t>
  </si>
  <si>
    <t>XBN103</t>
  </si>
  <si>
    <t>Linea UB7 Limited</t>
  </si>
  <si>
    <t>Linea Property - Linea UB7 Limited - Property Holding Development - CBILS</t>
  </si>
  <si>
    <t>AMA (Tor 1) Ltd - Property Development - Facility C - CBILS</t>
  </si>
  <si>
    <t>My Lane Investments Limited - Property Investment - Facility B</t>
  </si>
  <si>
    <t>0014I000020LnbL</t>
  </si>
  <si>
    <t>KQH967</t>
  </si>
  <si>
    <t>One Silk Street Limited (fka M4nchester Two Limited)</t>
  </si>
  <si>
    <t>M4nchester Two Limited - Property Development - CBILS Facility</t>
  </si>
  <si>
    <t>M4nchester Two Limited - Property Development - Non-CBILS Facility</t>
  </si>
  <si>
    <t>0015800000cSGiM</t>
  </si>
  <si>
    <t>IAE614</t>
  </si>
  <si>
    <t>Kechto Holdings Limited (Gibraltar Registered)</t>
  </si>
  <si>
    <t>Kechto Holdings Ltd - Property Investment - Refinance of Existing Facilities</t>
  </si>
  <si>
    <t>0014I00001xwu8Y</t>
  </si>
  <si>
    <t>URU620</t>
  </si>
  <si>
    <t>Broadwing (63 Selcroft Road) Limited</t>
  </si>
  <si>
    <t>Immanuel Ezekiel - Broadwing (63 Selcroft Road) Limited - Prop. Dev. - CBILS</t>
  </si>
  <si>
    <t>0014I000020vcbt</t>
  </si>
  <si>
    <t>PAD615</t>
  </si>
  <si>
    <t>Broadwing (Warple Way) Limited</t>
  </si>
  <si>
    <t>Immanuel Ezekiel - Broadwing (Warple Way) Limited - Prop. Dev. - CBILS</t>
  </si>
  <si>
    <t>Mall Properties Limited - Property Development - Facility A - CBILS</t>
  </si>
  <si>
    <t>Mall Properties Limited - Property Development - Facility C - CBILS</t>
  </si>
  <si>
    <t>0014I000022drft</t>
  </si>
  <si>
    <t>0014I00001mh5zG</t>
  </si>
  <si>
    <t>SWA1000</t>
  </si>
  <si>
    <t>Swanpool Project Limited</t>
  </si>
  <si>
    <t>0014I000022N4fj</t>
  </si>
  <si>
    <t>RAY1000</t>
  </si>
  <si>
    <t>Rayners Close Limited</t>
  </si>
  <si>
    <t>Rayners Close Limited - Property Development - CBILS Facility</t>
  </si>
  <si>
    <t>Strathcarron Homes (SGX) Ltd - Property Development - ON Share - CBILS</t>
  </si>
  <si>
    <t>0014I000022dJJt</t>
  </si>
  <si>
    <t>PAR1000</t>
  </si>
  <si>
    <t>Paradigm Wellington Limited - Property Holding Investment - CBILS</t>
  </si>
  <si>
    <t>0014I0000220mOF</t>
  </si>
  <si>
    <t>HIL1000</t>
  </si>
  <si>
    <t>Hillview Ventures Limited</t>
  </si>
  <si>
    <t>Hillview Ventures Limited - Property Development - CBILS Facility</t>
  </si>
  <si>
    <t>REM1000</t>
  </si>
  <si>
    <t>Remsons Holdings Ltd. - Business Trading - Term Loan - RCF - Magal Cables</t>
  </si>
  <si>
    <t>Remsons Holdings Ltd. - Business Trading - TL - Facility A - Magal Cables</t>
  </si>
  <si>
    <t>0014I00002202qq</t>
  </si>
  <si>
    <t>0014I000022N1Fu</t>
  </si>
  <si>
    <t>MAR1000</t>
  </si>
  <si>
    <t>Martin Homes Slaugham (Manor) Limited</t>
  </si>
  <si>
    <t>Martin Homes Slaugham (Manor) Limited - Holding Investment - CBILS Facility</t>
  </si>
  <si>
    <t>Zeal Hotel (Bridgwater J23) Limited - Business Trading - CBILS</t>
  </si>
  <si>
    <t>0014I00001viWIK</t>
  </si>
  <si>
    <t>HAM1000</t>
  </si>
  <si>
    <t>Hampstead Homes Southern Ltd. - Property Development - CBILS Facility A</t>
  </si>
  <si>
    <t>Hampstead Homes Southern Ltd. - Property Development - Non-CBILS Facility B</t>
  </si>
  <si>
    <t>0014I000020Lozf</t>
  </si>
  <si>
    <t>STA1000</t>
  </si>
  <si>
    <t>Starview Estates Limited</t>
  </si>
  <si>
    <t>Starview Estates Limited - Property Investment - Electric House</t>
  </si>
  <si>
    <t>0014I000022x3W3</t>
  </si>
  <si>
    <t>CHA1000</t>
  </si>
  <si>
    <t>Chalk Lane Properties Limited</t>
  </si>
  <si>
    <t>Chalk Lane Properties Limited - Property Development - CBILS Facility</t>
  </si>
  <si>
    <t>Chalk Lane Properties Limited - Property Development - Non CBILS Facility</t>
  </si>
  <si>
    <t>0014I00001xIvAi</t>
  </si>
  <si>
    <t>HYD1000</t>
  </si>
  <si>
    <t>Hydrogen Falmouth Limited – Property Development - CBILS Facility</t>
  </si>
  <si>
    <t>0014I000023NxUk</t>
  </si>
  <si>
    <t>0014I00001wFN8Q</t>
  </si>
  <si>
    <t>NEI1000</t>
  </si>
  <si>
    <t>Neisa Investments Limited</t>
  </si>
  <si>
    <t>Neisa Investments Limited - Property Development - Non-CBILS Facility</t>
  </si>
  <si>
    <t>0014I000020O84a</t>
  </si>
  <si>
    <t>KIN1000</t>
  </si>
  <si>
    <t>Kings Crescent Limited</t>
  </si>
  <si>
    <t>Kings Crescent Ltd. - Property Development - Nine Investments - CBILS Facility</t>
  </si>
  <si>
    <t>Whiskey (BidCo) Limited - Business Trading - Tranche D - CBILS Facility</t>
  </si>
  <si>
    <t>0014I000022vKOU</t>
  </si>
  <si>
    <t>CLA1000</t>
  </si>
  <si>
    <t>CLAPHAM HOUSE LIMITED</t>
  </si>
  <si>
    <t>Clapham House Limited</t>
  </si>
  <si>
    <t>Chaddha Family - Clapham House Limited - Property Development</t>
  </si>
  <si>
    <t>0014I00001ze09n</t>
  </si>
  <si>
    <t>MAC1000</t>
  </si>
  <si>
    <t>0014I000022gDLC</t>
  </si>
  <si>
    <t>EQT1000</t>
  </si>
  <si>
    <t>CVS602</t>
  </si>
  <si>
    <t>Constant Equity Alpha Ltd - Business Loan - Facility C - CBILS Refinance</t>
  </si>
  <si>
    <t>My Lane Investments Limited - Property Investment - Facility C</t>
  </si>
  <si>
    <t>0014I0000263KFZ</t>
  </si>
  <si>
    <t>MR 1000</t>
  </si>
  <si>
    <t>Bernard Carl &amp; Joan Carl</t>
  </si>
  <si>
    <t>0015800000nquvc</t>
  </si>
  <si>
    <t>PRO1000</t>
  </si>
  <si>
    <t>Stranton Properties Number Three Limited  (Gibraltar Registered)</t>
  </si>
  <si>
    <t>Stranton Properties Number Three Limited - Property Development - Non-CBILS</t>
  </si>
  <si>
    <t>0015800001LXm3t</t>
  </si>
  <si>
    <t>ASH1000</t>
  </si>
  <si>
    <t>Ashford Property Group Limited - Property Holding Development - CBILS Facility</t>
  </si>
  <si>
    <t>The Mill Hotel Limited - Business Loan - Prag Shah - CBILS Refinance</t>
  </si>
  <si>
    <t>0014I00001vj3CV</t>
  </si>
  <si>
    <t>MUR1000</t>
  </si>
  <si>
    <t>Murfet (Eureka) Limited - Property Development - CBILS Facility</t>
  </si>
  <si>
    <t>0014I00001tf3Am</t>
  </si>
  <si>
    <t>KIL1000</t>
  </si>
  <si>
    <t>Kilburn Developments Limited</t>
  </si>
  <si>
    <t>Kilburn Developments Limited - Property Holding Investment - CBILS Facility</t>
  </si>
  <si>
    <t>0014I000022e5W5</t>
  </si>
  <si>
    <t>OB 1000</t>
  </si>
  <si>
    <t>OB Capital Limited - Business Trading - All Phases Tranche C - CBILS</t>
  </si>
  <si>
    <t>OB Capital Limited - Business Trading - Dev Phase Tranche A+B - Non-CBILS</t>
  </si>
  <si>
    <t>OB Capital Limited - Business Trading - Post PC Tranche A+B - Non-CBILS</t>
  </si>
  <si>
    <t>0014I00001pvTsd</t>
  </si>
  <si>
    <t>BRI1000</t>
  </si>
  <si>
    <t>Fortis Group - Bridgewater Wharf Ltd - Property Development Facility</t>
  </si>
  <si>
    <t>0014I000023zxc2</t>
  </si>
  <si>
    <t>ELY1000</t>
  </si>
  <si>
    <t>Elysian Wildernesse House Limited (Jersey Registered)</t>
  </si>
  <si>
    <t>Elysian Wildernesse House Limited - Property Development - Facility A</t>
  </si>
  <si>
    <t>Elysian Wildernesse House Limited - Property Development - Facility B</t>
  </si>
  <si>
    <t>0014I000022fhGY</t>
  </si>
  <si>
    <t>WES1001</t>
  </si>
  <si>
    <t>Western Ridge Tri Capital Ltd - Property Development - CBILS Facility A</t>
  </si>
  <si>
    <t>Seed Investment - SIG Dennington - Property Investment - Facility B - CBILS Refi</t>
  </si>
  <si>
    <t>Seed Investment - SIG Dennington - Property Investment - Facility C - CBILS New</t>
  </si>
  <si>
    <t>0014I000023ONkb</t>
  </si>
  <si>
    <t>0014I000021i1lG</t>
  </si>
  <si>
    <t>MON1000</t>
  </si>
  <si>
    <t>Monet Developments Limited</t>
  </si>
  <si>
    <t>Monet Developments Limited - Property Holding Investment - CBILS</t>
  </si>
  <si>
    <t>0014I00001yR2Bb</t>
  </si>
  <si>
    <t>SHE1000</t>
  </si>
  <si>
    <t>Sherwood Oak Homes Limited</t>
  </si>
  <si>
    <t>Sherwood Oak Homes Limited - Property Development - Clipstone House</t>
  </si>
  <si>
    <t>0015800001FYSWM</t>
  </si>
  <si>
    <t>WOS1000</t>
  </si>
  <si>
    <t>Wosberg Estates Ltd</t>
  </si>
  <si>
    <t>Wosberg Estates Limited - Property Development - CBILS Facility</t>
  </si>
  <si>
    <t>Wosberg Estates Limited - Property Development - Non-CBILS Facility A</t>
  </si>
  <si>
    <t>Citrus Group - Createfuture Limited - Property Holding Development - CBILS</t>
  </si>
  <si>
    <t>0014I00001uhdye</t>
  </si>
  <si>
    <t>0014I000020vdGH</t>
  </si>
  <si>
    <t>GAL1001</t>
  </si>
  <si>
    <t>Gallican Investments Limited</t>
  </si>
  <si>
    <t>Dandi Holdings Ltd - Gallican Investments Ltd - Property Dev Facility</t>
  </si>
  <si>
    <t>0014I000022uPj0</t>
  </si>
  <si>
    <t>BUL1000</t>
  </si>
  <si>
    <t>Bulsara Property Limited - Property Development - CBILS Facility</t>
  </si>
  <si>
    <t>0014I000024azxl</t>
  </si>
  <si>
    <t>BEU1000</t>
  </si>
  <si>
    <t>Beulah Vista Caring Home Limited - Business Trading - CBILS Facility</t>
  </si>
  <si>
    <t>0014I00001zdj7s</t>
  </si>
  <si>
    <t>TAB1000</t>
  </si>
  <si>
    <t>Tabernacle House Limited</t>
  </si>
  <si>
    <t>Tabernacle House Limited - Property Development Facility</t>
  </si>
  <si>
    <t>Tabernacle House Limited - Property Investment Facility</t>
  </si>
  <si>
    <t>0014I000022uPeK</t>
  </si>
  <si>
    <t>ARK1000</t>
  </si>
  <si>
    <t>Morphuse Ltd- Arklow Astra Ltd - Property Development - CBILS (Facility A)</t>
  </si>
  <si>
    <t>Morphuse Ltd- Arklow Astra Ltd - Property Development - Non CBILS (Facility B)</t>
  </si>
  <si>
    <t>0015800001TVx2A</t>
  </si>
  <si>
    <t>LAN1000</t>
  </si>
  <si>
    <t>Landseer Development Company Limited</t>
  </si>
  <si>
    <t>Landseer Development Company Ltd. - Holding Development - Refinance</t>
  </si>
  <si>
    <t>ASH1002</t>
  </si>
  <si>
    <t>Ashton Yates Limited</t>
  </si>
  <si>
    <t>Alexander Begun - Ringhurst Limited - Property Refurb - Facility B - CBILS</t>
  </si>
  <si>
    <t>VIS1000</t>
  </si>
  <si>
    <t>Vista Bidco Limited - Business Trading - Alufold Direct - CBILS Refinance</t>
  </si>
  <si>
    <t>0014I00001vgNQl</t>
  </si>
  <si>
    <t>TAV1000</t>
  </si>
  <si>
    <t>Tavistock 1878 Capital Limited</t>
  </si>
  <si>
    <t>Tavistock 1878 Capital Ltd - Property Investment (Facility A)- Non-CBILS</t>
  </si>
  <si>
    <t>Lincoln Plaza Hotel - Business Trading - Facility B CBILS</t>
  </si>
  <si>
    <t>LAN1001</t>
  </si>
  <si>
    <t>Lanos Holdings Limited (Jersey)</t>
  </si>
  <si>
    <t>Lanos Holdings Limited - Business Trading - CBILS</t>
  </si>
  <si>
    <t>0014I000026G9Zg</t>
  </si>
  <si>
    <t>MAC1001</t>
  </si>
  <si>
    <t>Macar Developments (WR) Limited</t>
  </si>
  <si>
    <t>Macar Developments (WR) Limited - Property Investment Facility</t>
  </si>
  <si>
    <t>0014I000023emmj</t>
  </si>
  <si>
    <t>HTS1000</t>
  </si>
  <si>
    <t>HTS Commercial Limited - Property Development - CBILS</t>
  </si>
  <si>
    <t>Ultimate Bridging Finance No. 2 Ltd - Business Trading - LoL RCF - Tranche 5</t>
  </si>
  <si>
    <t>Ultimate Bridging Finance No. 2 Ltd - Business Trading - LoL RCF - Tranche 6</t>
  </si>
  <si>
    <t>0014I000026308d</t>
  </si>
  <si>
    <t>FAB1000</t>
  </si>
  <si>
    <t>FABX2.7 LP</t>
  </si>
  <si>
    <t>Fabrix Capital Limited - Fabx2.7 LP / Fabx2.8 LP - Property Investment</t>
  </si>
  <si>
    <t>0014I0000220mIA</t>
  </si>
  <si>
    <t>GRE1000</t>
  </si>
  <si>
    <t>Great Minster House Limited - Property Development - CBILS Facility</t>
  </si>
  <si>
    <t>0014I000020uviI</t>
  </si>
  <si>
    <t>WOO1000</t>
  </si>
  <si>
    <t>Woodcote Grove Epsom - Property Development</t>
  </si>
  <si>
    <t>0014I000024GIOM</t>
  </si>
  <si>
    <t>PH 1000</t>
  </si>
  <si>
    <t>PH Alderley Park (Alderley House) LLP - Property Development - CBILS</t>
  </si>
  <si>
    <t>0014I000022dGuf</t>
  </si>
  <si>
    <t>YEL1000</t>
  </si>
  <si>
    <t>Yellow Tree Capital Partners - Property Development - CBILS - West House</t>
  </si>
  <si>
    <t>CUL1000</t>
  </si>
  <si>
    <t>Cullen Wealth Holdings Limited - Business Trading Facility</t>
  </si>
  <si>
    <t>LAR1000</t>
  </si>
  <si>
    <t>LAR Group Limited - Business Trading - Facility B - CBILS Refinance</t>
  </si>
  <si>
    <t>LAR Group Limited - Business Trading - Revolving Credit Facility - CBILS</t>
  </si>
  <si>
    <t>ORT1000</t>
  </si>
  <si>
    <t>Ortus Group - Ortus Secured Finance IV Limited - RCF - Tranche A 2021</t>
  </si>
  <si>
    <t>Ortus Group - Ortus Secured Finance IV Limited - RCF - Tranche B 2021</t>
  </si>
  <si>
    <t>Ortus Group - Ortus Secured Finance IV Limited - RCF - Tranche C 2021</t>
  </si>
  <si>
    <t>Ortus Group - Ortus Secured Finance IV Limited - RCF - Tranche D 2021</t>
  </si>
  <si>
    <t>Ortus Group - Ortus Secured Finance IV Limited - RCF - Tranche E 2021</t>
  </si>
  <si>
    <t>Ortus Group - Ortus Secured Finance IV Limited - RCF - Tranche F 2021</t>
  </si>
  <si>
    <t>BXT1000</t>
  </si>
  <si>
    <t>BXTR Limited - Trading - Edinburgh Refinance CBILS</t>
  </si>
  <si>
    <t>0014I000022dNNx</t>
  </si>
  <si>
    <t>TAR1000</t>
  </si>
  <si>
    <t>Tarvinder Biran / Biran Homes - Property Development - Facility A - CBILS</t>
  </si>
  <si>
    <t>Tarvinder Biran / Biran Homes - Property Development - Facility B - CBILS</t>
  </si>
  <si>
    <t>0014I000022fd8e</t>
  </si>
  <si>
    <t>SCA1000</t>
  </si>
  <si>
    <t>Scarborough B3 Coast Limited - Property Development - Thorpe Park</t>
  </si>
  <si>
    <t>TAV1001</t>
  </si>
  <si>
    <t>Tavistock 1878 Capital Ltd - Property Development - Facility B - CBILS</t>
  </si>
  <si>
    <t>0014I000025X1vW</t>
  </si>
  <si>
    <t>DEN1000</t>
  </si>
  <si>
    <t>Deniz N2 Ltd - Property Development - CBILS</t>
  </si>
  <si>
    <t>Deniz N2 Ltd - Property Development - Non-CBILS</t>
  </si>
  <si>
    <t>0014I0000263KHy</t>
  </si>
  <si>
    <t>WAT1000</t>
  </si>
  <si>
    <t>Waterfall Developments Limited - Prop. Dev. - Facility A - CBILS</t>
  </si>
  <si>
    <t>Waterfall Developments Limited - Prop. Dev. - Facility B - Non-CBILS</t>
  </si>
  <si>
    <t>0015800001b13FA</t>
  </si>
  <si>
    <t>WHI1000</t>
  </si>
  <si>
    <t>Whitemount Projects Limited</t>
  </si>
  <si>
    <t>Seqoya - Whitemount Projects - Property Development - CBILS A - Refinance</t>
  </si>
  <si>
    <t>Seqoya - Whitemount Projects - Property Development - CBILS B - New Money</t>
  </si>
  <si>
    <t>Seqoya - Whitemount Projects - Property Development - Non-CBILS</t>
  </si>
  <si>
    <t>FAR1000</t>
  </si>
  <si>
    <t>Farrelly Energy / FBS Intelligent Engg. - Business Trading - Term Loan</t>
  </si>
  <si>
    <t>0014I000025goXv</t>
  </si>
  <si>
    <t>VES1000</t>
  </si>
  <si>
    <t>Vesta Partnerships Ltd</t>
  </si>
  <si>
    <t>Verto Homes - Vesta Partnerships - Property Development - CBILS</t>
  </si>
  <si>
    <t>0014I000025gCHL</t>
  </si>
  <si>
    <t>COL1001</t>
  </si>
  <si>
    <t>Colmore Properties Limited (Gibraltar registered)</t>
  </si>
  <si>
    <t>Colmore Properties Limited - Property Development - A.S.K. Co-lend</t>
  </si>
  <si>
    <t>0014I00001si6Io</t>
  </si>
  <si>
    <t>EVO1000</t>
  </si>
  <si>
    <t>Galliard - Evolve (Colchester) Limited - Property Development</t>
  </si>
  <si>
    <t>Ziser Group - FTH Investments - CBILS Development Facility A - New Money</t>
  </si>
  <si>
    <t>Ziser Group - FTH Investments - CBILS Development Facility A - Refinance</t>
  </si>
  <si>
    <t>0014I0000242Nlg</t>
  </si>
  <si>
    <t>ORK1000</t>
  </si>
  <si>
    <t>OrkaCap (Project Boscombe) Limited</t>
  </si>
  <si>
    <t>OrkaCap (Project Boscombe) Limited - Property Investment Facility</t>
  </si>
  <si>
    <t>Western Ridge Tri Capital Ltd - Property Development - Non-CBILS Facility B</t>
  </si>
  <si>
    <t>0014I000023OJBL</t>
  </si>
  <si>
    <t>ME 1000</t>
  </si>
  <si>
    <t>ME Developments (Long Sutton) Limited - Property Holding Investment - CBILS</t>
  </si>
  <si>
    <t>0014I000025WczQ</t>
  </si>
  <si>
    <t>KA1000</t>
  </si>
  <si>
    <t>Karis Developments Ltd - Property Investment CBILS - Facility</t>
  </si>
  <si>
    <t>Karis Developments Ltd - Property Investment Facility Non-CBILS</t>
  </si>
  <si>
    <t>0014I000023R1Ij</t>
  </si>
  <si>
    <t>LEA1001</t>
  </si>
  <si>
    <t>Learning Curve Group Limited - Business Trading Facility (SS-RCF)</t>
  </si>
  <si>
    <t>0014I000026EeiT</t>
  </si>
  <si>
    <t>117 Avenue Road Limited - Property Development Facility (CBILS)</t>
  </si>
  <si>
    <t>0014I00001ray4y</t>
  </si>
  <si>
    <t>MOU1000</t>
  </si>
  <si>
    <t>Mountain Capital Limited - Property Investment</t>
  </si>
  <si>
    <t>0014I000024bb3x</t>
  </si>
  <si>
    <t>THE1001</t>
  </si>
  <si>
    <t>Trustees of Kyriacos John Pittalis Will Trust - Prop Dev - Bishops Corner</t>
  </si>
  <si>
    <t>0014I000020tds7</t>
  </si>
  <si>
    <t>SAV1000</t>
  </si>
  <si>
    <t>Savoy Projects LLP - Property Development - Facility A - CBILS</t>
  </si>
  <si>
    <t>Savoy Projects LLP - Property Development - Facility B - Non-CBILS</t>
  </si>
  <si>
    <t>DUM1000</t>
  </si>
  <si>
    <t>Dumbleton Hall Hotel Property Company Limited - Business Trading</t>
  </si>
  <si>
    <t>RM 1000</t>
  </si>
  <si>
    <t>0014I000024sCD2</t>
  </si>
  <si>
    <t>YIH1000</t>
  </si>
  <si>
    <t>Yihong Acton Limited</t>
  </si>
  <si>
    <t>Yihong Acton Limited - Property Holding Investment - CBILS Facility</t>
  </si>
  <si>
    <t>Big Sur (Sparkford) Limited - Property investment - Sparkford Rd - CBILS</t>
  </si>
  <si>
    <t>0014I000026uryF</t>
  </si>
  <si>
    <t>YZF000</t>
  </si>
  <si>
    <t>A.S.K. Partners Lendco 25 Limited - Loan-on-Loan - CFH / Broadwater</t>
  </si>
  <si>
    <t>0014I0000255B2L</t>
  </si>
  <si>
    <t>0014I00001ueJsA</t>
  </si>
  <si>
    <t>BIR1001</t>
  </si>
  <si>
    <t>0014I0000256Eqh</t>
  </si>
  <si>
    <t>BRE1000</t>
  </si>
  <si>
    <t>BREEVA II Student Accommodation S.a.r.l (Luxembourg Registered)</t>
  </si>
  <si>
    <t>BREEVA II Student Accommodations - Property Dev - Barings Bermondsey</t>
  </si>
  <si>
    <t>BREEVA II Student Accommodations - Property Dev - Barings Manchester</t>
  </si>
  <si>
    <t>0014I00001wvXVb</t>
  </si>
  <si>
    <t>LGM135</t>
  </si>
  <si>
    <t>Streetsbrook Property Developments - Prop Development - Facility C</t>
  </si>
  <si>
    <t>Streetsbrook Property Developments - Prop Development -Facility B</t>
  </si>
  <si>
    <t>Streetsbrook Property Developments - Prop Development Interest - Facility D</t>
  </si>
  <si>
    <t>0014I000027U3dU</t>
  </si>
  <si>
    <t>BRI1002</t>
  </si>
  <si>
    <t>Brigid Investments Limited - Property Investment (Acquisition &amp; Investment)</t>
  </si>
  <si>
    <t>0015800001LXwgR</t>
  </si>
  <si>
    <t>0015800000e9ZMa</t>
  </si>
  <si>
    <t>1-91000</t>
  </si>
  <si>
    <t>Ankor Property - 1-9 Kings Road LLP - Property Holding Investment</t>
  </si>
  <si>
    <t>0014I000026gr2o</t>
  </si>
  <si>
    <t>DAN1000</t>
  </si>
  <si>
    <t>Dandi Holdings Ltd - Dandi Three Ltd - Property Dev Facility (CBILS)</t>
  </si>
  <si>
    <t>Dandi Holdings Ltd - Dandi Three Ltd - Property Dev Facility (Non Cbils)</t>
  </si>
  <si>
    <t>0014I000027SjTC</t>
  </si>
  <si>
    <t>COL1002</t>
  </si>
  <si>
    <t>Colima Avenue Limited - Property Investment - Urbana Partners</t>
  </si>
  <si>
    <t>0014I000024dCk0</t>
  </si>
  <si>
    <t>0014I00002790X2</t>
  </si>
  <si>
    <t>SIG1002</t>
  </si>
  <si>
    <t>Signet Hotels (The Retreat) Ltd - Business Trading - Development Facility</t>
  </si>
  <si>
    <t>SIG1003</t>
  </si>
  <si>
    <t>SIGNET HOTELS (HAMPTON COURT - PROPERTY) LTD</t>
  </si>
  <si>
    <t>Signet Hotels (Hampton Court - Property) Ltd</t>
  </si>
  <si>
    <t>Signet Hotels (Hampton Court - Property) - Trading CBILS Facility B</t>
  </si>
  <si>
    <t>Signet Hotels (Hampton Court - Property) - Trading Non-CBILS Facility A</t>
  </si>
  <si>
    <t>0014I000024bism</t>
  </si>
  <si>
    <t>LYR1000</t>
  </si>
  <si>
    <t>Lyra Homes (Borehamwood) Limited</t>
  </si>
  <si>
    <t>Lyra Homes (Borehamwood) Limited - Property Development</t>
  </si>
  <si>
    <t>0014I000024uyhH</t>
  </si>
  <si>
    <t>19 1000</t>
  </si>
  <si>
    <t>19 MUNSTER ROAD LIMITED</t>
  </si>
  <si>
    <t>19 Munster Road Limited - Property Development - CBILS Facility</t>
  </si>
  <si>
    <t>0014I0000264qns</t>
  </si>
  <si>
    <t>TRU1000</t>
  </si>
  <si>
    <t>Truk Owner Limited - Business Trading - AJ Capital / Troon</t>
  </si>
  <si>
    <t>0014I00001nHdzP</t>
  </si>
  <si>
    <t>74 1000</t>
  </si>
  <si>
    <t>74 Hamilton Terrace Freehold Limited</t>
  </si>
  <si>
    <t>74 Hamilton Terrace Freehold Ltd - Property Development - Facility A - CBILS</t>
  </si>
  <si>
    <t>74 Hamilton Terrace Freehold Ltd - Property Development - Facility B - Non-CBILS</t>
  </si>
  <si>
    <t>0014I000027uYyB</t>
  </si>
  <si>
    <t>LYO1000</t>
  </si>
  <si>
    <t>Slatters Development Limited - Business Trading - CBILS A - Refi</t>
  </si>
  <si>
    <t>Slatters Development Limited - Business Trading - CBILS B - New</t>
  </si>
  <si>
    <t>LHH1000</t>
  </si>
  <si>
    <t>0014I000027Slop</t>
  </si>
  <si>
    <t>0015800000WgQ9d</t>
  </si>
  <si>
    <t>SEV1001</t>
  </si>
  <si>
    <t>Seven Capital (Grosvenor) Limited - Property Holding Investment Facility</t>
  </si>
  <si>
    <t>Wosberg Estates Limited - Property Development - Non-CBILS Facility B</t>
  </si>
  <si>
    <t>0014I000022vZeS</t>
  </si>
  <si>
    <t>BAX1000</t>
  </si>
  <si>
    <t>Baxter Homes Limited</t>
  </si>
  <si>
    <t>Baxter Homes Limited - Property Development - Facility D - Non-CBILS</t>
  </si>
  <si>
    <t>0014I000027xNNp</t>
  </si>
  <si>
    <t>ELY1001</t>
  </si>
  <si>
    <t>Elysian Stanmore Site Limited (Jersey Registered)</t>
  </si>
  <si>
    <t>Elysian Stanmore Site Limited - Property Holding Investment Facility</t>
  </si>
  <si>
    <t>0014I0000262bwj</t>
  </si>
  <si>
    <t>GLA1000</t>
  </si>
  <si>
    <t>Glass House Living Limited - Property Holding Investment Facility - CBILS</t>
  </si>
  <si>
    <t>Glass House Living Limited - Property Investment Facility - Non-CBILS</t>
  </si>
  <si>
    <t>0014I000027vFzt</t>
  </si>
  <si>
    <t>JRL1000</t>
  </si>
  <si>
    <t>JRL Property (Sutton) Ltd - Property Holding Development Facility</t>
  </si>
  <si>
    <t>0014I000022dtCd</t>
  </si>
  <si>
    <t>LEG1000</t>
  </si>
  <si>
    <t>Legacy Stadium Limited - Property Development Facility</t>
  </si>
  <si>
    <t>0014I00002772nF</t>
  </si>
  <si>
    <t>VAL1000</t>
  </si>
  <si>
    <t>Valary Warwick Limited - Business Trading - Development Phase</t>
  </si>
  <si>
    <t>0014I000027vh0v</t>
  </si>
  <si>
    <t>NOR1000</t>
  </si>
  <si>
    <t>North Place Properties Limited - Property Investment - CBILS</t>
  </si>
  <si>
    <t>0014I0000257g1D</t>
  </si>
  <si>
    <t>ROS1000</t>
  </si>
  <si>
    <t>Rose &amp; Co Developments Limited</t>
  </si>
  <si>
    <t>Rose &amp; Co Developments Limited - Property Development - CBILS</t>
  </si>
  <si>
    <t>0014I000028EVqs</t>
  </si>
  <si>
    <t>87 1000</t>
  </si>
  <si>
    <t>87 Robinson Rd Limited</t>
  </si>
  <si>
    <t>87 Robinson Rd Limited - Property Development - CBILS</t>
  </si>
  <si>
    <t>0014I000023NPea</t>
  </si>
  <si>
    <t>REF1000</t>
  </si>
  <si>
    <t>Reflex Bridging Limited - Loan on Loan RCF - Galliard Group</t>
  </si>
  <si>
    <t>0014I000027w02h</t>
  </si>
  <si>
    <t>ST 1000</t>
  </si>
  <si>
    <t>St Christopher’s PropCo Limited</t>
  </si>
  <si>
    <t>FORE Advisors LLP - St Christopher’s Propco Limited - Holding Dev - ASK27</t>
  </si>
  <si>
    <t>Kartik Properties Limited - Property Investment - CBILS Refinance</t>
  </si>
  <si>
    <t>0014I000026uhWJ</t>
  </si>
  <si>
    <t>CEN1001</t>
  </si>
  <si>
    <t>Centro Hotels Limited - Business Trading - Facility A - CBILS Development</t>
  </si>
  <si>
    <t>Centro Hotels Limited - Business Trading - Facility B - Non-CBILS Trading</t>
  </si>
  <si>
    <t>0014I000027vFbQ</t>
  </si>
  <si>
    <t>0014I00002A3xX6</t>
  </si>
  <si>
    <t>BEL1000</t>
  </si>
  <si>
    <t>Belgravia Property Gasworks Limited - Property Development - CBILS</t>
  </si>
  <si>
    <t>Belgravia Property Gasworks Limited - Property Development - Non-CBILS</t>
  </si>
  <si>
    <t>0014I000026vuCl</t>
  </si>
  <si>
    <t>JOS1000</t>
  </si>
  <si>
    <t>Josal Property Development Limited</t>
  </si>
  <si>
    <t>Josal Property Development Ltd - Property Development Facility - CBIL</t>
  </si>
  <si>
    <t>0015800001ay8GF</t>
  </si>
  <si>
    <t>0015800001GXza9</t>
  </si>
  <si>
    <t>LAC982</t>
  </si>
  <si>
    <t>Silverton Votec Limited</t>
  </si>
  <si>
    <t>Ressance - Silverton Votec Limited - Property Development - CBILS New Money</t>
  </si>
  <si>
    <t>Ressance - Silverton Votec Limited - Property Development - CBILS Refinance</t>
  </si>
  <si>
    <t>0014I000023PhCo</t>
  </si>
  <si>
    <t>OPP1000</t>
  </si>
  <si>
    <t>Oppidan (Apartments) Limited</t>
  </si>
  <si>
    <t>Oppidan (Apartments) Limited - Property Development - CBILS</t>
  </si>
  <si>
    <t>0014I000029M4uJ</t>
  </si>
  <si>
    <t>TUR1000</t>
  </si>
  <si>
    <t>Turnbull Homes - Property Development - Facility A - Kingswood Lane - CBILS</t>
  </si>
  <si>
    <t>Turnbull Homes - Property Development - Facility B - Harewood Gardens - CBILS</t>
  </si>
  <si>
    <t>0014I000027vGTI</t>
  </si>
  <si>
    <t>OCU1000</t>
  </si>
  <si>
    <t>Oculus Care Limited - Property Refurbishment -  CBILS</t>
  </si>
  <si>
    <t>0014I000026tprM</t>
  </si>
  <si>
    <t>THE1002</t>
  </si>
  <si>
    <t>The Oldhill Street Project Ltd - Property Investment - Residential - CBILS</t>
  </si>
  <si>
    <t>The Oldhill Street Project Ltd - Property Investment - Commercial - CBILS</t>
  </si>
  <si>
    <t>0014I000025WkxQ</t>
  </si>
  <si>
    <t>SWA1001</t>
  </si>
  <si>
    <t>Swakeleys Property Developments Limited</t>
  </si>
  <si>
    <t>Swakeleys Property Developments - Prop Dev - CBILS - Forty Lane</t>
  </si>
  <si>
    <t>35 Shore Road Limited - Property Holding Investment - CBILS B - New Money</t>
  </si>
  <si>
    <t>0014I000027wHiS</t>
  </si>
  <si>
    <t>ARC1000</t>
  </si>
  <si>
    <t>Archway Developments (1) Limited - Property Holding Investment - CBILS</t>
  </si>
  <si>
    <t>0014I000027wOy0</t>
  </si>
  <si>
    <t>SID1000</t>
  </si>
  <si>
    <t>Side by Side School Ltd - Business Trading - Development - CBILS</t>
  </si>
  <si>
    <t>Daisy Green Food Ltd - Business Trading - Facility E - CBILS Refinance</t>
  </si>
  <si>
    <t>Daisy Green Food Ltd - Business Trading - Facility F - CBILS New Money</t>
  </si>
  <si>
    <t>0014I000025gahW</t>
  </si>
  <si>
    <t>0014I00002203Ky</t>
  </si>
  <si>
    <t>CLA1001</t>
  </si>
  <si>
    <t>Claremont Grimsby Limited</t>
  </si>
  <si>
    <t>Claremont Grimsby Limited - Property Holding Investment - CBILS</t>
  </si>
  <si>
    <t>0014I000026gV3D</t>
  </si>
  <si>
    <t>CLE1000</t>
  </si>
  <si>
    <t>Clearhaven Homes Ltd - Property Development - CBILS</t>
  </si>
  <si>
    <t>0014I000028CgEo</t>
  </si>
  <si>
    <t>FOR1000</t>
  </si>
  <si>
    <t>Fort Road Development Co Limited - Property Development - CBILS</t>
  </si>
  <si>
    <t>0014I00002774XV</t>
  </si>
  <si>
    <t>LIT1000</t>
  </si>
  <si>
    <t>Littlerock  Developments (No.11) Ltd</t>
  </si>
  <si>
    <t>Littlerock Developments (No.11) Ltd - Prop Dev - CBILS Fac B (Rear Plots)</t>
  </si>
  <si>
    <t>0014I000029MFTl</t>
  </si>
  <si>
    <t>MAR1001</t>
  </si>
  <si>
    <t>Marlpark Homes Ltd - Property Development - CBILS</t>
  </si>
  <si>
    <t>Clearview Broadwater - Development Facility A - Tranche B - ON CBILS Refinance</t>
  </si>
  <si>
    <t>Clearview Broadwater - Development Facility A - Tranche C - ON CBILS New Money</t>
  </si>
  <si>
    <t>0014I000027xrld</t>
  </si>
  <si>
    <t>DAY1000</t>
  </si>
  <si>
    <t>Daybrook Properties UK LLP - Property Development - CBILS</t>
  </si>
  <si>
    <t>0014I000027Ugyy</t>
  </si>
  <si>
    <t>GRL1000</t>
  </si>
  <si>
    <t>GRL Worcester Ltd - Property Development - CBILS</t>
  </si>
  <si>
    <t>0014I0000257dsK</t>
  </si>
  <si>
    <t>SPR1000</t>
  </si>
  <si>
    <t>Springfield Healthcare (Beverley) Limited -  Business Trading - Development</t>
  </si>
  <si>
    <t>TAR1001</t>
  </si>
  <si>
    <t>Tarvinder Biran / Biran Homes - Property Development - Facility C - CBILS</t>
  </si>
  <si>
    <t>Tarvinder Biran / Biran Homes - Property Development - Facility D - Non-CBILS</t>
  </si>
  <si>
    <t>0014I0000278Jq1</t>
  </si>
  <si>
    <t>BLY1000</t>
  </si>
  <si>
    <t>Blythe Business Park Ltd - Property Investment - CBILS</t>
  </si>
  <si>
    <t>0014I000027T5Nw</t>
  </si>
  <si>
    <t>K.J1000</t>
  </si>
  <si>
    <t>K.J. Discount Motor Spares Limited - Property Development - CBILS</t>
  </si>
  <si>
    <t>0014I000026DsCG</t>
  </si>
  <si>
    <t>LIO1000</t>
  </si>
  <si>
    <t>Lioncross Huntingdon LLP - Property Holding Investment - CBILS</t>
  </si>
  <si>
    <t>0014I000028EeUN</t>
  </si>
  <si>
    <t>MAR1002</t>
  </si>
  <si>
    <t>Martin Homes Buckingham Road Limited</t>
  </si>
  <si>
    <t>Martin Homes Buckingham Road - Holding Investment - Facility A CBILS</t>
  </si>
  <si>
    <t>0014I000027Uw1b</t>
  </si>
  <si>
    <t>MAT1000</t>
  </si>
  <si>
    <t>Matterhorn Capital S2 Bridgefoot Limited - Property Investment - CBILS</t>
  </si>
  <si>
    <t>Starboard Hotels - SBH Park Holding - Business Trading - Facility C - CBILS New</t>
  </si>
  <si>
    <t>0014I00001jSBDU</t>
  </si>
  <si>
    <t>Frontier Estates (HH) Limited</t>
  </si>
  <si>
    <t>Frontier Estates Group - Development - Facility B - Term Loan - CBILS</t>
  </si>
  <si>
    <t>Strathcarron Homes (SGX) Ltd - Property Development CBILS - New</t>
  </si>
  <si>
    <t>Bluecroft - IPE Jubilee - Prop Dev - Facility B - CBILS - ON Share</t>
  </si>
  <si>
    <t>Rosedale - Bike &amp; Boot / Leisure &amp; Hotel - Buss. Trading - CBILS C Refi</t>
  </si>
  <si>
    <t>BXTR Limited - Trading - Edinburgh -CBILS Liquidity Reserve</t>
  </si>
  <si>
    <t>0014I000029kPDW</t>
  </si>
  <si>
    <t>0015800000yp0jQ</t>
  </si>
  <si>
    <t>24 1001</t>
  </si>
  <si>
    <t>24 Middle St Ltd</t>
  </si>
  <si>
    <t>AMF Group - 24 Middle St Ltd and 5 Steine St Ltd - Property Investment - CBILS</t>
  </si>
  <si>
    <t>0014I00002933Mw</t>
  </si>
  <si>
    <t>CRI1000</t>
  </si>
  <si>
    <t>Crimson Crescent Developments Ltd - Property Development - CBILS</t>
  </si>
  <si>
    <t>0014I0000293MAy</t>
  </si>
  <si>
    <t>NIC1000</t>
  </si>
  <si>
    <t>Nicol's Worsteds Limited - Business Trading - CBILS Facility</t>
  </si>
  <si>
    <t>0014I0000263lMA</t>
  </si>
  <si>
    <t>PER1000</t>
  </si>
  <si>
    <t>Pertwee Park Limited - Property Investment - CBILS</t>
  </si>
  <si>
    <t>0014I000027w0Lr</t>
  </si>
  <si>
    <t>PET1000</t>
  </si>
  <si>
    <t>Peter Street Developments Ltd - Business Trading Development - CBILS</t>
  </si>
  <si>
    <t>0014I000027RPLp</t>
  </si>
  <si>
    <t>YTS1000</t>
  </si>
  <si>
    <t>YTS Estates Limited - Property Holding Investment Facility - CBILS</t>
  </si>
  <si>
    <t>0014I000026xNmO</t>
  </si>
  <si>
    <t>ERL1000</t>
  </si>
  <si>
    <t>ERL (Red House Ripon) Limited</t>
  </si>
  <si>
    <t>ERL (Red House Ripon) - Holding Investment - CBILS Facility</t>
  </si>
  <si>
    <t>0014I000029Odd2</t>
  </si>
  <si>
    <t>LOV1000</t>
  </si>
  <si>
    <t>Christopher John Stewart - Love Loan Ltd - Property Dev - Facility A - Non-CBILS</t>
  </si>
  <si>
    <t>Christopher John Stewart - Love Loan Ltd - Property Dev - Facility B - CBILS</t>
  </si>
  <si>
    <t>0014I00002910rz</t>
  </si>
  <si>
    <t>THE1003</t>
  </si>
  <si>
    <t>The Scores Hospitality Limited - Business Trading - Tranche A</t>
  </si>
  <si>
    <t>The Scores Hospitality Limited - Business Trading - Tranche B</t>
  </si>
  <si>
    <t>OB Capital Limited - Business Trading - Dev Phase Tranche D - Non-CBILS</t>
  </si>
  <si>
    <t>Ocea - Bagshot Manor Developments Ltd - Property Development - New</t>
  </si>
  <si>
    <t>KAN1000</t>
  </si>
  <si>
    <t>Kansas Bidco Limited - Business Trading - Senior Secured RCF</t>
  </si>
  <si>
    <t>0014I00002ANcfb</t>
  </si>
  <si>
    <t>BCC1000</t>
  </si>
  <si>
    <t>BCC PINE BIDCO LIMITED (Project Pine) - Business Trading - (Hotel)</t>
  </si>
  <si>
    <t>BCC PINE BIDCO LIMITED (Project Pine) - Property Refurbishment Facility (Resi)</t>
  </si>
  <si>
    <t>0014I0000290soW</t>
  </si>
  <si>
    <t>SIR1000</t>
  </si>
  <si>
    <t>Sirius 2021 Limited - Property Development Facility</t>
  </si>
  <si>
    <t>0014I000028CrQz</t>
  </si>
  <si>
    <t>ASH1003</t>
  </si>
  <si>
    <t>Ashfield Land (Rutherglen) Limited - Property Development</t>
  </si>
  <si>
    <t>0015800000hMonP</t>
  </si>
  <si>
    <t>0015800001cegWr</t>
  </si>
  <si>
    <t>BXY384</t>
  </si>
  <si>
    <t>Strawberry Star UK Property Fund SPV 1 Ltd (Guernsey)</t>
  </si>
  <si>
    <t>Strawberry Star - Property Holding Investment  - Facility D</t>
  </si>
  <si>
    <t>0014I000028dauy</t>
  </si>
  <si>
    <t>NIN1000</t>
  </si>
  <si>
    <t>Nine Points Property Ltd/Nine Points Holdings Ltd - Property Investment Facility</t>
  </si>
  <si>
    <t>0014I000027UdIw</t>
  </si>
  <si>
    <t>0014I000026td4o</t>
  </si>
  <si>
    <t>OCE1000</t>
  </si>
  <si>
    <t>Ocean House Development Limited</t>
  </si>
  <si>
    <t>QBH Holdings Ltd - Ocean House Development Ltd - Holding Inv - Fac A</t>
  </si>
  <si>
    <t>0014I00002AOsY6</t>
  </si>
  <si>
    <t>Pinboard Limited Partnership</t>
  </si>
  <si>
    <t>QBH Holdings Ltd - Pinboard Limited Partnership - Business Trading - Fac B</t>
  </si>
  <si>
    <t>0014I00002BViI1</t>
  </si>
  <si>
    <t>MR.1000</t>
  </si>
  <si>
    <t>Jun Yang / Lin Ma / Yu Lung Yeung - Holding Investment - Century Capital</t>
  </si>
  <si>
    <t>0015800001PhIZL</t>
  </si>
  <si>
    <t>0015800001TY3bS</t>
  </si>
  <si>
    <t>RWJ925</t>
  </si>
  <si>
    <t>Westgate On Sea 1 Limited</t>
  </si>
  <si>
    <t>Lucas Group - Westgate on Sea 1 Ltd - Property Development - Facility A Oxted</t>
  </si>
  <si>
    <t>Lucas Group - Westgate on Sea 1 Ltd - Property Development - Facility B Kent</t>
  </si>
  <si>
    <t>0014I000026ePVw</t>
  </si>
  <si>
    <t>DRE1000</t>
  </si>
  <si>
    <t>Dresden Limited</t>
  </si>
  <si>
    <t>Simcha Green - Dresden Limited - Property Investment Facility</t>
  </si>
  <si>
    <t>0014I000026EAcf</t>
  </si>
  <si>
    <t>UPP1000</t>
  </si>
  <si>
    <t>Upper Clapton Limited</t>
  </si>
  <si>
    <t>Simcha Green - Upper Clapton Limited - Property Investment Facility</t>
  </si>
  <si>
    <t>0014I000029MDAV</t>
  </si>
  <si>
    <t>T141000</t>
  </si>
  <si>
    <t>T14H  GUERNSEY LIMITED</t>
  </si>
  <si>
    <t>T14H Guernsey Limited (Guernsey registered)</t>
  </si>
  <si>
    <t>T14H Guernsey Limited - Business Trading Facility - Topland</t>
  </si>
  <si>
    <t>0015800001Ph76m</t>
  </si>
  <si>
    <t>BER1001</t>
  </si>
  <si>
    <t>Berkshire Assets West London Ltd - Property Investment - Facility A</t>
  </si>
  <si>
    <t>Berkshire Assets West London Ltd - Property Investment - Facility B</t>
  </si>
  <si>
    <t>Berkshire Assets West London Ltd - Property Investment - Facility C</t>
  </si>
  <si>
    <t>Z Hotels Holdco - Z Cha Holdco - Business Trading - Charing Cross - Invest. RLS</t>
  </si>
  <si>
    <t>0014I00001z5ym8</t>
  </si>
  <si>
    <t>EXE1000</t>
  </si>
  <si>
    <t>Exemplar Projects (Truro) Limited - Property Holding Development Facility</t>
  </si>
  <si>
    <t>0014I000027wbmu</t>
  </si>
  <si>
    <t>GAL1002</t>
  </si>
  <si>
    <t>Galaxy 51 Limited - Property Development - SAV Development</t>
  </si>
  <si>
    <t>0014I0000291lNe</t>
  </si>
  <si>
    <t>COL1003</t>
  </si>
  <si>
    <t>Colmer 1 Limited - Property Development Facility</t>
  </si>
  <si>
    <t>0014I00001zbP0y</t>
  </si>
  <si>
    <t>FEA1000</t>
  </si>
  <si>
    <t>FEATHERFOOT RAWDON HOLDINGS LIMITED</t>
  </si>
  <si>
    <t>Featherfoot Rawdon Holdings Limited - Property Development - Rawdon House</t>
  </si>
  <si>
    <t>Ortus Group - Ortus Secured Finance IV Limited - RCF - Tranche G 2021</t>
  </si>
  <si>
    <t>0015800001gjRTd</t>
  </si>
  <si>
    <t>PRI1000</t>
  </si>
  <si>
    <t>Ten M II Limited - Priory CC3 Limited - Business Trading Post Dev - (Aberdeen)</t>
  </si>
  <si>
    <t>Ten M II Limited - Priory CC3 Limited - Business Trading Dev - (Aberdeen)</t>
  </si>
  <si>
    <t>0014I00002CEj00</t>
  </si>
  <si>
    <t>0014I00001yicKj</t>
  </si>
  <si>
    <t>MUM1003</t>
  </si>
  <si>
    <t>Mumbles Group - Mumbles 7 Limited - Property Development - Chorley</t>
  </si>
  <si>
    <t>Dalston Property Limited - Property Development - Facility C - Non-CBILS</t>
  </si>
  <si>
    <t>0014I000029MpF1</t>
  </si>
  <si>
    <t>A.S1003</t>
  </si>
  <si>
    <t>A.S.K. Partners Lendco 28 Limited - Loan on Loan - Taylor Grange</t>
  </si>
  <si>
    <t>0018e000001uXnb</t>
  </si>
  <si>
    <t>A.S1004</t>
  </si>
  <si>
    <t>A.S.K. Partners Lendco 30 Limited - Loan on Loan - Ilford Jersey</t>
  </si>
  <si>
    <t>0014I00002789GY</t>
  </si>
  <si>
    <t>M &amp;1000</t>
  </si>
  <si>
    <t>M&amp;E Mills Limited - Business Trading Facility - Term Loan</t>
  </si>
  <si>
    <t>M&amp;E Mills Limited -  Business Trading Facility  - RCF</t>
  </si>
  <si>
    <t>0014I00002BvyqS</t>
  </si>
  <si>
    <t>S 21000</t>
  </si>
  <si>
    <t>S 2 Farringdon Limited - Property Development - Facility A - Main Loan</t>
  </si>
  <si>
    <t>0014I00002A2vaI</t>
  </si>
  <si>
    <t>OCM1000</t>
  </si>
  <si>
    <t>OCM Luxembourg EPF V BOL Culvert Road S.à r.l.  (Luxembourg Registered)</t>
  </si>
  <si>
    <t>OCM Luxembourg Culvert Road - Property Development - Balance Out Living</t>
  </si>
  <si>
    <t>MEL1000</t>
  </si>
  <si>
    <t>Melrose Education Limited - Business Trading Facility</t>
  </si>
  <si>
    <t>0014I00002BXyWp</t>
  </si>
  <si>
    <t>EXC1000</t>
  </si>
  <si>
    <t>Excel Winner (Phase 1) Limited - Property Development Facility</t>
  </si>
  <si>
    <t>00158000010YHzU</t>
  </si>
  <si>
    <t>MAJ1000</t>
  </si>
  <si>
    <t>Majestic (Belford) Limited</t>
  </si>
  <si>
    <t>AMA Homes - Majestic (Belford) Limited - Property Development</t>
  </si>
  <si>
    <t>0014I000021hc2X</t>
  </si>
  <si>
    <t>SIN1000</t>
  </si>
  <si>
    <t>Sincere Homes (Willenhall) Limited - Property Development Facility</t>
  </si>
  <si>
    <t>TOP1000</t>
  </si>
  <si>
    <t>Topham Bidco Limited - Business Trading RCF</t>
  </si>
  <si>
    <t>Topham Bidco Limited - Business Trading Term Facility - A</t>
  </si>
  <si>
    <t>Topham Bidco Limited - Business Trading Term Facility - B</t>
  </si>
  <si>
    <t>0014I00001r5vxA</t>
  </si>
  <si>
    <t>MOU1001</t>
  </si>
  <si>
    <t>Mandix Limited - Mount Lodge Properties Limited - Property Investment</t>
  </si>
  <si>
    <t>0014I00002A126H</t>
  </si>
  <si>
    <t>MAR1003</t>
  </si>
  <si>
    <t>Martin Homes Davigdor / Hove - Property Development - Facility A - ON Share</t>
  </si>
  <si>
    <t>0014I00002AiG4b</t>
  </si>
  <si>
    <t>MAN1000</t>
  </si>
  <si>
    <t>Mansion Place Limited (Isle of Man Registered)</t>
  </si>
  <si>
    <t>Mansion Place Limited - Property Investment - Hockley Point, Nottingham</t>
  </si>
  <si>
    <t>0018e000001uZN2</t>
  </si>
  <si>
    <t>UPL1000</t>
  </si>
  <si>
    <t>Uplift Capital 4 Limited - Property Development - Prestige House, Bushey</t>
  </si>
  <si>
    <t>Mall Properties Limited - Property Development - Facility D - Non-CBILS</t>
  </si>
  <si>
    <t>0014I000029NMdZ</t>
  </si>
  <si>
    <t>0015800001YTZER</t>
  </si>
  <si>
    <t>BUR1000</t>
  </si>
  <si>
    <t>Burney (Ipswich) Limited - Property Development Facility</t>
  </si>
  <si>
    <t>0014I000028zvFc</t>
  </si>
  <si>
    <t>MUM1004</t>
  </si>
  <si>
    <t>Mumbles Group - Mumbles LC 1 Limited - Property Development - Hele Park</t>
  </si>
  <si>
    <t>0014I00002A1gLH</t>
  </si>
  <si>
    <t>0014I00002767uM</t>
  </si>
  <si>
    <t>SPR1001</t>
  </si>
  <si>
    <t>PLHC Group - Spring House Farm Developments Limited - Property Development</t>
  </si>
  <si>
    <t>0014I000027xjkG</t>
  </si>
  <si>
    <t>PAR1002</t>
  </si>
  <si>
    <t>PARK LANE HEALTHCARE (MAGNOLIA HOUSE) LIMITED &amp; PARK LANE HEALTHCARE (THE MANOR HOUSE) LIMITED &amp; PARK LANE HEALTHCARE (CROSTON PARK) LIMITED &amp; YORK HERITAGE (THE HALL THORNTON LE DALE ) LIMITED &amp; PLH MOORGATE HOLDCO LIMITED</t>
  </si>
  <si>
    <t>Park Lane Healthcare (Magnolia House) Limited</t>
  </si>
  <si>
    <t>0014I000027xjiZ</t>
  </si>
  <si>
    <t>Park Lane Healthcare (The Manor House) Limited</t>
  </si>
  <si>
    <t>0014I000027xjgR</t>
  </si>
  <si>
    <t>Park Lane Healthcare (Croston Park) Limited</t>
  </si>
  <si>
    <t>0014I000027xjnF</t>
  </si>
  <si>
    <t>York Heritage (The Hall Thornton Le Dale) Limited</t>
  </si>
  <si>
    <t>0014I000027xjnt</t>
  </si>
  <si>
    <t>PLH Moorgate Holdco Limited</t>
  </si>
  <si>
    <t>0015800001KcMUv</t>
  </si>
  <si>
    <t>0015800001KcMUu</t>
  </si>
  <si>
    <t>CYZ705</t>
  </si>
  <si>
    <t>Earlsriver Limited</t>
  </si>
  <si>
    <t>Earlsriver Limited - Holding Investment - Facility B</t>
  </si>
  <si>
    <t>0014I00002AOhqf</t>
  </si>
  <si>
    <t>THE1004</t>
  </si>
  <si>
    <t>The Wooldridge Partnership - Graham &amp; Charles Wooldridge - Property Investment</t>
  </si>
  <si>
    <t>0014I00002CBjne</t>
  </si>
  <si>
    <t>CRO1000</t>
  </si>
  <si>
    <t>Caridon Holding - Croydon House (Residential) Ltd - Property Investment</t>
  </si>
  <si>
    <t>MUM1005</t>
  </si>
  <si>
    <t>0018e000001uZ4F</t>
  </si>
  <si>
    <t>A.S1005</t>
  </si>
  <si>
    <t>A.S.K. Partners Lendco 31 Limited - Loan on Loan - Dorset House, Chelmsford</t>
  </si>
  <si>
    <t>100%</t>
  </si>
  <si>
    <t>0018e000001uXya</t>
  </si>
  <si>
    <t>A &amp;1000</t>
  </si>
  <si>
    <t>0014I000020wGGd</t>
  </si>
  <si>
    <t>PAV1000</t>
  </si>
  <si>
    <t>Pavilion HP13 Limited</t>
  </si>
  <si>
    <t>Pavilion HP13 Limited - Property Investment Facility</t>
  </si>
  <si>
    <t>35%</t>
  </si>
  <si>
    <t>0014I00002913KL</t>
  </si>
  <si>
    <t>RET1000</t>
  </si>
  <si>
    <t>Retreat East Limited - Business Trading - Facility B - Dev Stage</t>
  </si>
  <si>
    <t>150%</t>
  </si>
  <si>
    <t>Retreat East Limited - Business Trading - Facility A - Post-dev Stage</t>
  </si>
  <si>
    <t>Inn Collection Bidco - Business Trading - Facility G - Refinance of A/B/D</t>
  </si>
  <si>
    <t>Inn Collection Bidco - Business Trading - Facility H5 - Dower House IC Site</t>
  </si>
  <si>
    <t>0018e000001uaxl</t>
  </si>
  <si>
    <t>PRO1001</t>
  </si>
  <si>
    <t>Promontoria Cubic Ltd</t>
  </si>
  <si>
    <t>Promontoria Cubic Ltd - Business Trading (Post Development Phase)</t>
  </si>
  <si>
    <t>Promontoria Cubic Ltd - Business Trading (Development Phase)</t>
  </si>
  <si>
    <t>0014I000026H9Rb</t>
  </si>
  <si>
    <t>TAR1002</t>
  </si>
  <si>
    <t>Tartan Leisure Ltd</t>
  </si>
  <si>
    <t>Tartan Leisure Ltd - Property Development (Lower Margin)</t>
  </si>
  <si>
    <t>Tartan Leisure Ltd - Property Development (Higher Margin)</t>
  </si>
  <si>
    <t>0014I00002CEMFN</t>
  </si>
  <si>
    <t>0014I000022xgwU</t>
  </si>
  <si>
    <t>CEN1002</t>
  </si>
  <si>
    <t>Century Capital Partners No. 3 Limited - Loan on Loan- RCF</t>
  </si>
  <si>
    <t>0018e000001ubC2</t>
  </si>
  <si>
    <t>VER1000</t>
  </si>
  <si>
    <t>Verdant Regeneration Limited - Property Investment Facility</t>
  </si>
  <si>
    <t>Citybranch Healthcare - Property Development Facility - Tranche B</t>
  </si>
  <si>
    <t>0018e000001ud4Y</t>
  </si>
  <si>
    <t>ASK1000</t>
  </si>
  <si>
    <t>0018e000001ua1l</t>
  </si>
  <si>
    <t>GRA1000</t>
  </si>
  <si>
    <t>Grays Property Holdings Limited (IOM registered)</t>
  </si>
  <si>
    <t>Clearbell Property - Grays Property Holdings Limited - Property Development</t>
  </si>
  <si>
    <t>0018e000003CRzu</t>
  </si>
  <si>
    <t>0018e000003CTXN</t>
  </si>
  <si>
    <t>AFA1000</t>
  </si>
  <si>
    <t>AFAS The Core Limited - Property Investment Facility</t>
  </si>
  <si>
    <t>0018e000003CRzp</t>
  </si>
  <si>
    <t>ATR1000</t>
  </si>
  <si>
    <t>ATRI7 2 Limited Limited - Property Holding Investment</t>
  </si>
  <si>
    <t>0018e000001ucJs</t>
  </si>
  <si>
    <t>GEN1000</t>
  </si>
  <si>
    <t>Gen Two Oval Ltd - Property Holding Investment Facility</t>
  </si>
  <si>
    <t>0014I00002BVxj7</t>
  </si>
  <si>
    <t>MYL1000</t>
  </si>
  <si>
    <t>Verto Homes - Mylor Bridge Project - Property Development Facility</t>
  </si>
  <si>
    <t>0014I00002BwQf8</t>
  </si>
  <si>
    <t>KMK1000</t>
  </si>
  <si>
    <t>Khalid Family - KMKH Limited - Business Trading - Merlyn Court - Dev Phase</t>
  </si>
  <si>
    <t>0018e000003CRFm</t>
  </si>
  <si>
    <t>SAC1001</t>
  </si>
  <si>
    <t>SACKVILLE STREET SL PROPERTY COMPANY LIMITED</t>
  </si>
  <si>
    <t>Sackville Street SL Property - Property Holding Development - ASK Co-lend</t>
  </si>
  <si>
    <t>Sackville Street SL Property - VAT Facility - ASK Co-lend</t>
  </si>
  <si>
    <t>0018e000001uaqF</t>
  </si>
  <si>
    <t>CLE1001</t>
  </si>
  <si>
    <t>Clerkenwell Lifestyle (UK) Ltd - Prop Dev Facility - Tranche A (Lower Margin)</t>
  </si>
  <si>
    <t>Clerkenwell Lifestyle (UK) Ltd - Prop Dev Facility -Tranche B (Higher Margin)</t>
  </si>
  <si>
    <t>0018e000003CRb9</t>
  </si>
  <si>
    <t>A.S1006</t>
  </si>
  <si>
    <t>A.S.K Partners Lendco 33 Limited - Loan on Loan - Spires Shopping Centre</t>
  </si>
  <si>
    <t>0018e000003CWHV</t>
  </si>
  <si>
    <t>THE1005</t>
  </si>
  <si>
    <t>The Mill Robertsbridge Ltd - Property Development Facility</t>
  </si>
  <si>
    <t>0015800001az9js</t>
  </si>
  <si>
    <t>HDT240</t>
  </si>
  <si>
    <t>330 Grays Inn Road Ltd - Holding Development - ASK/Groveworld</t>
  </si>
  <si>
    <t>0018e000003CRxG</t>
  </si>
  <si>
    <t>AXI1000</t>
  </si>
  <si>
    <t>Axis Harrow LP - Property Investment Facility</t>
  </si>
  <si>
    <t>0018e000003CSdX</t>
  </si>
  <si>
    <t>NEW1000</t>
  </si>
  <si>
    <t>Thornsett Group - Newton Road LLP - Property Development Facility</t>
  </si>
  <si>
    <t>0018e000001ucwG</t>
  </si>
  <si>
    <t>AHG1000</t>
  </si>
  <si>
    <t>AHG3 Limited - Property Investment - Anthony Abrams and Keith Gilbert</t>
  </si>
  <si>
    <t>0018e000003CQOn</t>
  </si>
  <si>
    <t>QUI1000</t>
  </si>
  <si>
    <t>Quinn Estates Betteshanger Ltd - Property Holding Development Facility</t>
  </si>
  <si>
    <t>0018e000003CRDl</t>
  </si>
  <si>
    <t>BIG1000</t>
  </si>
  <si>
    <t>Big Sur (High Street) Limited</t>
  </si>
  <si>
    <t>Stelling Properties - Big Sur (High Street) Limited - Investment Facility A</t>
  </si>
  <si>
    <t>Stelling Properties - Big Sur (High Street) Limited - Development Facility B</t>
  </si>
  <si>
    <t>Cottage Linen - CL2017 Limited - Business Trading (Development Phase)</t>
  </si>
  <si>
    <t>0018e000003CQf9</t>
  </si>
  <si>
    <t>LAN1002</t>
  </si>
  <si>
    <t>Landmark Weybridge Limited - Property Investment Facility</t>
  </si>
  <si>
    <t>0014I00001yNwDX</t>
  </si>
  <si>
    <t>FSK624</t>
  </si>
  <si>
    <t>A.S.K. Partners Lendco 19 Limited - Loan-on-Loan - Meadow Partners (Refinance)</t>
  </si>
  <si>
    <t>Littlerock Developments (No.11) Ltd - Prop Dev - CBILS Fac A (Front Plot)</t>
  </si>
  <si>
    <t>Brigid Investments Limited - Property Investment Increase (Investment)</t>
  </si>
  <si>
    <t>0018e000003CVTr</t>
  </si>
  <si>
    <t>A.S1007</t>
  </si>
  <si>
    <t>A.S.K Partners Lendco 34 Limited - Property Loan-on-Loan Facility</t>
  </si>
  <si>
    <t>0018e000003CXt8</t>
  </si>
  <si>
    <t>APP1000</t>
  </si>
  <si>
    <t>Apprentify Group Limited - Business Trading Facility - Facility A</t>
  </si>
  <si>
    <t>Apprentify Group Limited - Business Trading Facility - Facility B</t>
  </si>
  <si>
    <t>0018e000001udJA</t>
  </si>
  <si>
    <t>STE1000</t>
  </si>
  <si>
    <t>Stephen Victor Bygrave &amp; Moira Ann Bygrave - Investment Facility</t>
  </si>
  <si>
    <t>Stephen Victor Bygrave &amp; Moira Ann Bygrave - Development Facility</t>
  </si>
  <si>
    <t>Hampstead Homes Southern Ltd. - Property Development - Non-CBILS Facility C</t>
  </si>
  <si>
    <t>0018e000003CWL8</t>
  </si>
  <si>
    <t>A.S1008</t>
  </si>
  <si>
    <t>A.S.K Partners Lendco 35 Limited - Property Loan-on-Loan Facility - Bollo Lane</t>
  </si>
  <si>
    <t>0018e000003COuL</t>
  </si>
  <si>
    <t>CHE1000</t>
  </si>
  <si>
    <t>BRA1000</t>
  </si>
  <si>
    <t>Brasserie Bar Co Ltd - Business Trading - Facility A</t>
  </si>
  <si>
    <t>Brasserie Bar Co Ltd- Business Trading - Facility B</t>
  </si>
  <si>
    <t>Brasserie Bar Co Ltd - Business Trading -  Capex Facility</t>
  </si>
  <si>
    <t>Brasserie Bar Co Ltd - Business Trading - Revolving Credit Facility</t>
  </si>
  <si>
    <t>Abriand PropCo Limited</t>
  </si>
  <si>
    <t>Brasserie Bar Co Ltd - Business Trading - Propco Facility</t>
  </si>
  <si>
    <t>Lincoln Plaza Hotel - Business Trading - Facility C Non-CBILS</t>
  </si>
  <si>
    <t>0018e000003CQVk</t>
  </si>
  <si>
    <t>STR1000</t>
  </si>
  <si>
    <t>Strawberry Fields Nursery &amp; Preschool Limited - Business Trading - RLS</t>
  </si>
  <si>
    <t>Clearview Broadwater - Development Facility A - Tranche D - ON Non-CBILS New</t>
  </si>
  <si>
    <t>Streetsbrook Property Developments - Prop Development -Facility F</t>
  </si>
  <si>
    <t>0018e000003CZci</t>
  </si>
  <si>
    <t>A.S1009</t>
  </si>
  <si>
    <t>A.S.K. Partners Lendco 36 Limited - Loan-on-Loan - Treaty Shopping Center</t>
  </si>
  <si>
    <t>0014I00002CEXnW</t>
  </si>
  <si>
    <t>1 F1000</t>
  </si>
  <si>
    <t>1 FLOWER ASSOCIATES MANAGEMENT LTD. &amp; ROSAIS HOLDINGS LIMITED &amp; PRAIRIE INVESTMENTS SERVICES CORP.</t>
  </si>
  <si>
    <t>1 Flower Associates Management Ltd  (BVI registered)</t>
  </si>
  <si>
    <t>1 Flower Associates / Rosais Holdings / Prairie Investments - Inv. Facility A</t>
  </si>
  <si>
    <t>1 Flower Associates / Rosais Holdings / Prairie Investments - Inv. Facility B</t>
  </si>
  <si>
    <t>0018e000003CY7y</t>
  </si>
  <si>
    <t>DAN1001</t>
  </si>
  <si>
    <t>Dandi Holdings Limited - Dandi Five Limited - Property Development Facility</t>
  </si>
  <si>
    <t>0018e000003CaEq</t>
  </si>
  <si>
    <t>GRO1000</t>
  </si>
  <si>
    <t>GROSVENOR HILL SOCIAL IMPACT GROUP LIMITED</t>
  </si>
  <si>
    <t>Grosvenor Hill Social Impact Group Limited</t>
  </si>
  <si>
    <t>Mountain Capital - Grosvenor Hill Social Impact Fund - Prop. Inv.</t>
  </si>
  <si>
    <t>0014I00002AhGGr</t>
  </si>
  <si>
    <t>SEA1000</t>
  </si>
  <si>
    <t>SEA STREET DEVELOPMENTS LIMITED</t>
  </si>
  <si>
    <t>Sea Street Developments Limited</t>
  </si>
  <si>
    <t>Sea Street Developments Limited - Property Investment Facility</t>
  </si>
  <si>
    <t>Broadwood Lending Limited - Loan-On-Loan - Cracknore Hams - Tranche E</t>
  </si>
  <si>
    <t>0018e000003CeO0</t>
  </si>
  <si>
    <t>LON1000</t>
  </si>
  <si>
    <t>LONDON LAND BROMLEY LIMITED</t>
  </si>
  <si>
    <t>London Land Bromley Limited</t>
  </si>
  <si>
    <t>London Land Bromley Limited - Property Holding Development Facility</t>
  </si>
  <si>
    <t>0018e000003CUlG</t>
  </si>
  <si>
    <t>KIL1001</t>
  </si>
  <si>
    <t>KILKHAMPTON LAND LTD</t>
  </si>
  <si>
    <t>Kilkhampton Land Ltd</t>
  </si>
  <si>
    <t>Kilkhampton Land Ltd - Property Development - Bunnyhome Group</t>
  </si>
  <si>
    <t>0018e000003Cdf5</t>
  </si>
  <si>
    <t>0018e000003Cdf6</t>
  </si>
  <si>
    <t>SC 1000</t>
  </si>
  <si>
    <t>SC RUISLIP LIMITED</t>
  </si>
  <si>
    <t>SC Ruislip Limited</t>
  </si>
  <si>
    <t>SC Ruislip Limited - Property Development Facility</t>
  </si>
  <si>
    <t>0018e000003Cg7J</t>
  </si>
  <si>
    <t>0018e000003CU8x</t>
  </si>
  <si>
    <t>POR1000</t>
  </si>
  <si>
    <t>PORTOBELLO STARBOARD LIMITED</t>
  </si>
  <si>
    <t>Portobello Starboard Limited</t>
  </si>
  <si>
    <t>Portobello Starboard Limited - Business Trading Facility A</t>
  </si>
  <si>
    <t>Portobello Starboard Limited - Business Trading Facility B</t>
  </si>
  <si>
    <t>0018e000003CdpA</t>
  </si>
  <si>
    <t>0014I00001puxMb</t>
  </si>
  <si>
    <t>TLS1000</t>
  </si>
  <si>
    <t>TLS (RISBOROUGH) LIMITED</t>
  </si>
  <si>
    <t>TLS (Risborough) Limited</t>
  </si>
  <si>
    <t>TLS (Risborough) Limited - Property Development Facility</t>
  </si>
  <si>
    <t>0015800001Fya61</t>
  </si>
  <si>
    <t>0018e000003CeOy</t>
  </si>
  <si>
    <t>A.S1010</t>
  </si>
  <si>
    <t>A.S.K. PARTNERS LENDCO 38 LIMITED</t>
  </si>
  <si>
    <t>ASK Partners Lendco 38 Limited</t>
  </si>
  <si>
    <t>ASK Partners Lendco 38 Limited - Property Loan-on-Loan Facility</t>
  </si>
  <si>
    <t>0018e000003CQfK</t>
  </si>
  <si>
    <t>REA1000</t>
  </si>
  <si>
    <t>REASON CONTRACTORS LIMITED</t>
  </si>
  <si>
    <t>Reason Contractors Limited</t>
  </si>
  <si>
    <t>Reason Contractors Limited - Property Development Facility</t>
  </si>
  <si>
    <t>0018e000003CZj5</t>
  </si>
  <si>
    <t>92 1000</t>
  </si>
  <si>
    <t>92 DEAN STREET LTD</t>
  </si>
  <si>
    <t>92 Dean Street Limited (IOM Registered)</t>
  </si>
  <si>
    <t>0018e000003CaFZ</t>
  </si>
  <si>
    <t>0018e000003CPxj</t>
  </si>
  <si>
    <t>CHA1001</t>
  </si>
  <si>
    <t>CHART FORTE (HAMMERSMITH) LIMITED AND CHART FORTE (KHS) LIMITED</t>
  </si>
  <si>
    <t>Chart Forte (KHS) Limited</t>
  </si>
  <si>
    <t>Chart Forte (KHS) Ltd &amp; Chart Forte (Hammersmith) Ltd - Business Trading</t>
  </si>
  <si>
    <t>0014I000029meiA</t>
  </si>
  <si>
    <t>0014I00002A1BFW</t>
  </si>
  <si>
    <t>CSG1000</t>
  </si>
  <si>
    <t>CSG GEORGE STREET LIMITED</t>
  </si>
  <si>
    <t>CSG George Street Limited</t>
  </si>
  <si>
    <t>Christopher John Stewart - CSG George Street Ltd - Property Development Facility</t>
  </si>
  <si>
    <t>0014I00002AiFZB</t>
  </si>
  <si>
    <t>0018e000001uYla</t>
  </si>
  <si>
    <t>FM 1000</t>
  </si>
  <si>
    <t>FM DALNAIR LIMITED</t>
  </si>
  <si>
    <t>FM Dalnair Limited</t>
  </si>
  <si>
    <t>FM Dalnair Limited - Property Development Facility</t>
  </si>
  <si>
    <t>0018e000003CS2d</t>
  </si>
  <si>
    <t>0014I00001kRtyv</t>
  </si>
  <si>
    <t>ACX532</t>
  </si>
  <si>
    <t>EQUIPOINT DEVELOPMENTS LTD AND EQUIPOINT ASSET MANAGEMENT LTD</t>
  </si>
  <si>
    <t>Equipoint Developments Limited</t>
  </si>
  <si>
    <t>Equipoint Developments Ltd &amp; Equipoint Asset Mgmt Ltd - Property Investment</t>
  </si>
  <si>
    <t>0014I00001iAMmY</t>
  </si>
  <si>
    <t>LVG852</t>
  </si>
  <si>
    <t>MJH PROPERTIES LTD</t>
  </si>
  <si>
    <t>MJH Properties Limited - Property Investment - Tranche A - 35% RWA New</t>
  </si>
  <si>
    <t>MJH Properties Limited - Property Investment - Tranche B - 100% RWA New</t>
  </si>
  <si>
    <t>0014I000021iaLZ</t>
  </si>
  <si>
    <t>GR31000</t>
  </si>
  <si>
    <t>Gr33n Group Limited</t>
  </si>
  <si>
    <t>Gr33n Group Ltd - Property Investment - Refinance of CBILS Facility</t>
  </si>
  <si>
    <t>0014I00001vLGhM</t>
  </si>
  <si>
    <t>BIR1003</t>
  </si>
  <si>
    <t>0015800000cU6TI</t>
  </si>
  <si>
    <t>BOR1000</t>
  </si>
  <si>
    <t>BOROUGH HOUSE LIMITED, SOUTHWARK HOMES LTD, WIMPOLE HOMES LTD</t>
  </si>
  <si>
    <t>Borough House Limited</t>
  </si>
  <si>
    <t>Causeway - Borough House Ltd - Prop Holding Development - Lower Margin</t>
  </si>
  <si>
    <t>Causeway - Borough House Ltd - Prop Holding Development - Higher Margin</t>
  </si>
  <si>
    <t>0015800000cU72G</t>
  </si>
  <si>
    <t>Southwark Homes Limited</t>
  </si>
  <si>
    <t>Causeway - Southwark Homes Ltd - Prop Holding Development - Lower Margin</t>
  </si>
  <si>
    <t>Causeway - Southwark Homes Ltd - Prop Holding Development - Higher Margin</t>
  </si>
  <si>
    <t>0015800000cU750</t>
  </si>
  <si>
    <t>Wimpole Homes Limited</t>
  </si>
  <si>
    <t>Causeway - Wimpole Homes Ltd - Prop Holding Development - Lower Margin</t>
  </si>
  <si>
    <t>Causeway - Wimpole Homes Ltd - Prop Holding Development - Higher Margin</t>
  </si>
  <si>
    <t>Causeway - Borough House Ltd - Prop Holding Development - New Tranche</t>
  </si>
  <si>
    <t>0018e000003CaM1</t>
  </si>
  <si>
    <t>BRU1000</t>
  </si>
  <si>
    <t>BRUNTWOOD MET TOWER LIMITED</t>
  </si>
  <si>
    <t>Bruntwood Met Tower Limited</t>
  </si>
  <si>
    <t>0018e000003CcXB</t>
  </si>
  <si>
    <t>DEA1000</t>
  </si>
  <si>
    <t>DEAN RYAN SAYER</t>
  </si>
  <si>
    <t>Dean Ryan Sayer</t>
  </si>
  <si>
    <t>Dean Ryan Sayer - Property Holding Investment Facility</t>
  </si>
  <si>
    <t>Earlsriver Limited - Holding Investment - Facility C</t>
  </si>
  <si>
    <t>0014I00002AkePU</t>
  </si>
  <si>
    <t>GRA1001</t>
  </si>
  <si>
    <t>GRAYSTACKS RADMARSH ROAD LIMITED</t>
  </si>
  <si>
    <t>0018e000003CjfV</t>
  </si>
  <si>
    <t>MIL1000</t>
  </si>
  <si>
    <t>MILL POOL DEVELOPMENTS (WARWICK) LIMITED</t>
  </si>
  <si>
    <t>Mill Pool Developments (Warwick) Limited</t>
  </si>
  <si>
    <t>Mill Pool Developments (Warwick) Limited - Property Development Facility</t>
  </si>
  <si>
    <t>0018e000003Ce0c</t>
  </si>
  <si>
    <t>NSS1000</t>
  </si>
  <si>
    <t>NSS V (PROPERTIES) LLP</t>
  </si>
  <si>
    <t>NSS V (Properties) LLP</t>
  </si>
  <si>
    <t>NSS V (Properties) LLP - Property Investment - RCF - Facility A</t>
  </si>
  <si>
    <t>NSS V (Properties) LLP - Property Investment - RCF - Facility B</t>
  </si>
  <si>
    <t>0014I00002A4PqJ</t>
  </si>
  <si>
    <t>0018e000003CRlY</t>
  </si>
  <si>
    <t>PRI1001</t>
  </si>
  <si>
    <t>PRIORY CC23 LIMITED</t>
  </si>
  <si>
    <t>Priory CC23 Limited</t>
  </si>
  <si>
    <t>Wood JV LLP - Priory CC23 Ltd - Property Development (Matlock Site)</t>
  </si>
  <si>
    <t>0018e000003CaCa</t>
  </si>
  <si>
    <t>SHE1001</t>
  </si>
  <si>
    <t>SHERRIFF'S GATE (PHASE 1) DEVELOPMENTS LIMITED</t>
  </si>
  <si>
    <t>Sherriff's Gate (Phase 1) Developments Limited</t>
  </si>
  <si>
    <t>Sherriff's Gate (Phase 1) Developments Limited - Property Development</t>
  </si>
  <si>
    <t>0018e000003CUFi</t>
  </si>
  <si>
    <t>SIG1004</t>
  </si>
  <si>
    <t>SIGNET HOTELS BARNSDALE LTD</t>
  </si>
  <si>
    <t>Signet Hotels Barnsdale Ltd</t>
  </si>
  <si>
    <t>Signet Hotels Barnsdale Ltd - Business Trading - Property Development Facility</t>
  </si>
  <si>
    <t>0014I00002A4PaF</t>
  </si>
  <si>
    <t>STO1000</t>
  </si>
  <si>
    <t>STOURPORT CARE LTD</t>
  </si>
  <si>
    <t>Stourport Care Ltd</t>
  </si>
  <si>
    <t>Wood JV LLP - Stourport Care Ltd - Property Development (Bideford Site)</t>
  </si>
  <si>
    <t>0018e000003CRj4</t>
  </si>
  <si>
    <t>SWP1000</t>
  </si>
  <si>
    <t>SWPG ROCK LIMITED</t>
  </si>
  <si>
    <t>SWPG Rock Limited</t>
  </si>
  <si>
    <t>SWPG Rock Limited - Property Development Facility</t>
  </si>
  <si>
    <t>Shane  Desai</t>
  </si>
  <si>
    <t>Elandis Holdings LLC (Delaware registered)</t>
  </si>
  <si>
    <t>DCP London Limited</t>
  </si>
  <si>
    <t>Literacy Capital plc</t>
  </si>
  <si>
    <t>Thirdi Group (UK) Limited</t>
  </si>
  <si>
    <t>Clivedale Overseas Limited (Bahamas Registeres)</t>
  </si>
  <si>
    <t>FORE Advisors LLP</t>
  </si>
  <si>
    <t>Fortis UK Holdings Limited</t>
  </si>
  <si>
    <t>Cottage Linen Ltd</t>
  </si>
  <si>
    <t>Efstratios Filis</t>
  </si>
  <si>
    <t>Verto Homes Ltd</t>
  </si>
  <si>
    <t>Christopher John Stewart</t>
  </si>
  <si>
    <t>Strawberry Star Capital Limited</t>
  </si>
  <si>
    <t>QBH Holdings Ltd (Jersey registered)</t>
  </si>
  <si>
    <t>AFAS Debtco Limited</t>
  </si>
  <si>
    <t>Wood JV LLP</t>
  </si>
  <si>
    <t>Lincoln Plaza Hotel - Trading Facility A Non-CBILS</t>
  </si>
  <si>
    <t>Lincoln Plaza Hotel - Trading Facility B CBILS</t>
  </si>
  <si>
    <t>Brigid Investments Limited - Investment Facility Increase</t>
  </si>
  <si>
    <t>Equipoint Developments / Equipoint Asset Management - Investment Facility</t>
  </si>
  <si>
    <t>Sea Street Developments - Investment Facility</t>
  </si>
  <si>
    <t>1 Flower Associates / Rosais Holdings / Prairie Investments - Investment Facility A</t>
  </si>
  <si>
    <t>1 Flower Associates / Rosais Holdings / Prairie Investments - Investment Facility B</t>
  </si>
  <si>
    <t>Brasserie Bar &amp; Abriand PropCo - Trading Facility A</t>
  </si>
  <si>
    <t>Brasserie Bar &amp; Abriand PropCo - Trading Facility B</t>
  </si>
  <si>
    <t>Brasserie Bar &amp; Abriand PropCo - Trading Facility C (Capex)</t>
  </si>
  <si>
    <t>Brasserie Bar &amp; Abriand PropCo - Trading RCF</t>
  </si>
  <si>
    <t>Brasserie Bar &amp; Abriand PropCo - Trading Facility D (Propco)</t>
  </si>
  <si>
    <t>Lincoln Plaza Hotel - Trading Facility C Non-CBILS</t>
  </si>
  <si>
    <t>92 Dean Street Ltd - Business Trading Facility</t>
  </si>
  <si>
    <t>Project Cruiser (Portobello Starboard Limited) - Facility A</t>
  </si>
  <si>
    <t>Hilltop Credit Partners - Mitchian Alliance Limited</t>
  </si>
  <si>
    <t>Hilltop Credit Partners - Bishops Court (Torquay) Limited</t>
  </si>
  <si>
    <t>Hilltop Credit Partners - 196 Willesden Lane Limited</t>
  </si>
  <si>
    <t>Hilltop Credit Partners - Pascoe Property Developers Limited - Ashford</t>
  </si>
  <si>
    <t>Hilltop Credit Partners - Pug Properties (Taplow) Limited</t>
  </si>
  <si>
    <t>Hilltop Credit Partners - Lok Developments 05 Limited - Hexham</t>
  </si>
  <si>
    <t>A.S.K. Partners Lendco 38 Limited</t>
  </si>
  <si>
    <t>A.S.K. Partners Lendco 36 Limited - Loan on Loan Facility - - Treaty Shopping Center</t>
  </si>
  <si>
    <t>HH Facilities Limited - Adderbury - RCF</t>
  </si>
  <si>
    <t>: HH Facilities Limited - Adderbury - VAT Facility</t>
  </si>
  <si>
    <t>HH Facilities Limited - West Lavington - RCF</t>
  </si>
  <si>
    <t>SC Ruislip Limited - Development Facility</t>
  </si>
  <si>
    <t>TLS (Risborough) Limited - Property Development</t>
  </si>
  <si>
    <t xml:space="preserve">FM DALNAIR LIMITED </t>
  </si>
  <si>
    <t>Kilkhampton Land Ltd - Development Facility - Bunnyhome Group</t>
  </si>
  <si>
    <t>CSG George Street Ltd - Property Development Facility</t>
  </si>
  <si>
    <t>Reason Contractors Ltd - Property Development Facility</t>
  </si>
  <si>
    <t>Priory CC23 Limited - Development Facility</t>
  </si>
  <si>
    <t>Stourport Care Ltd - Development Facility</t>
  </si>
  <si>
    <t>Sackville Street SL - VAT Facility</t>
  </si>
  <si>
    <t>Sackville Street SL - Holding Development Facility</t>
  </si>
  <si>
    <t>Strawberry Fields Nursery &amp; Preschool - Trading RLS Facility</t>
  </si>
  <si>
    <t>Starview Estates Limited - Investment Facility</t>
  </si>
  <si>
    <t>Gr33n Group Ltd - Property Investment Facility</t>
  </si>
  <si>
    <t>NSS V (Properties) LLP - Investment Facility A</t>
  </si>
  <si>
    <t>NSS V (Properties) LLP - Investment Facility B</t>
  </si>
  <si>
    <t>MJH Properties Limited - Facility A</t>
  </si>
  <si>
    <t>MJH Properties Limited - Facility B</t>
  </si>
  <si>
    <t>Project Cruiser (Portobello Starboard Limited) - Facility B</t>
  </si>
  <si>
    <t>SIGNET HOTELS BARNSDALE LTD - Business Trading Facility</t>
  </si>
  <si>
    <t>Reflex Bridging Limited - RCF Child Loan 12</t>
  </si>
  <si>
    <t>Sherriff's Gate (Phase 1) Developments Limited - Facility A</t>
  </si>
  <si>
    <t>Bruntwood Met Tower Limited  - Property Development Loan</t>
  </si>
  <si>
    <t>Borough House Limited - Subsequent Tranche</t>
  </si>
  <si>
    <t>Borrower Name</t>
  </si>
  <si>
    <t>Old Working Name</t>
  </si>
  <si>
    <t>BXTR LTD, BXTR MCH LTD, BXTR 3 LTD - EDINBURGH - CBILS</t>
  </si>
  <si>
    <t>T14h Guernsey Limited</t>
  </si>
  <si>
    <t>M&amp;E MILLS LIMITED - Facility A</t>
  </si>
  <si>
    <t>TOPHAM BIDCO LIMITED - FACILITY A</t>
  </si>
  <si>
    <t>FINAL LIST TO BE TAKEN IN TRADING</t>
  </si>
  <si>
    <t>2027 Q1</t>
  </si>
  <si>
    <t>Status</t>
  </si>
  <si>
    <t>Loan Name nCino</t>
  </si>
  <si>
    <t>*Not Used in calculation. Only for record keeping</t>
  </si>
  <si>
    <t>Chart Forte (KHS) Limited - Business Trading Facility</t>
  </si>
  <si>
    <t>Old</t>
  </si>
  <si>
    <t>New</t>
  </si>
  <si>
    <t>New Loan</t>
  </si>
  <si>
    <t>Annual Review Date</t>
  </si>
  <si>
    <t>Loan: ID</t>
  </si>
  <si>
    <t>Borrowing Entity</t>
  </si>
  <si>
    <t>Borrowing Entity ID (nCino)</t>
  </si>
  <si>
    <t>Aggregation Entity</t>
  </si>
  <si>
    <t>Aggregation Entity ID (nCino)</t>
  </si>
  <si>
    <t>Credit Arrangement Number</t>
  </si>
  <si>
    <t>Facility Agreement Date (Closing Date)</t>
  </si>
  <si>
    <t>Termination Date (Expiry Date)</t>
  </si>
  <si>
    <t>Risk Weighted Assets</t>
  </si>
  <si>
    <t>Current Outstanding</t>
  </si>
  <si>
    <t>Detailed Classification</t>
  </si>
  <si>
    <t>As of 30-Apr</t>
  </si>
  <si>
    <t>As of 20-May</t>
  </si>
  <si>
    <t>As of 31-May</t>
  </si>
  <si>
    <t>∆ 30-Apr</t>
  </si>
  <si>
    <t>∆ 20-May</t>
  </si>
  <si>
    <t>a0i4I00000931hC</t>
  </si>
  <si>
    <t>a0i4I00000C4YVv</t>
  </si>
  <si>
    <t>a0i580000016cBU</t>
  </si>
  <si>
    <t>a0i58000000j87x</t>
  </si>
  <si>
    <t>a0i580000018aLz</t>
  </si>
  <si>
    <t>a0i4I000009456y</t>
  </si>
  <si>
    <t>a0i4I0000093DyS</t>
  </si>
  <si>
    <t>a0i4I0000093A47</t>
  </si>
  <si>
    <t>a0i4I00000946rR</t>
  </si>
  <si>
    <t>a0i4I0000094Cm9</t>
  </si>
  <si>
    <t>a0i58000001dAae</t>
  </si>
  <si>
    <t>a0i4I00000C4h2c</t>
  </si>
  <si>
    <t>a0i4I0000092xfg</t>
  </si>
  <si>
    <t>a0i4I00000C5P1u</t>
  </si>
  <si>
    <t>a0i58000000v7Nt</t>
  </si>
  <si>
    <t>a0i58000002eAv2</t>
  </si>
  <si>
    <t>a0i58000000wFzW</t>
  </si>
  <si>
    <t>a0i58000000wFzb</t>
  </si>
  <si>
    <t>a0i4I00000C2zhh</t>
  </si>
  <si>
    <t>a0i4I00000C30uw</t>
  </si>
  <si>
    <t>a0i58000000wEEt</t>
  </si>
  <si>
    <t>First Belgravia Properties Ltd - Trading - RCF -Facility B - AGG Elandis</t>
  </si>
  <si>
    <t>a0i58000001uIcd</t>
  </si>
  <si>
    <t>a0i58000000wFzg</t>
  </si>
  <si>
    <t>a0i58000000timk</t>
  </si>
  <si>
    <t>a0i58000000vRW1</t>
  </si>
  <si>
    <t>a0i4I00000C381P</t>
  </si>
  <si>
    <t>a0i58000002eP7D</t>
  </si>
  <si>
    <t>a0i58000001vNZI</t>
  </si>
  <si>
    <t>a0i58000001v57Z</t>
  </si>
  <si>
    <t>a0i58000001w3GG</t>
  </si>
  <si>
    <t>a0i58000002dzSA</t>
  </si>
  <si>
    <t>a0i58000001wGiR</t>
  </si>
  <si>
    <t>a0i58000001vSRd</t>
  </si>
  <si>
    <t>a0i580000025OFQ</t>
  </si>
  <si>
    <t>a0i4I0000092vOJ</t>
  </si>
  <si>
    <t>a0i58000002dwr9</t>
  </si>
  <si>
    <t>a0i580000017Sg6</t>
  </si>
  <si>
    <t>a0i58000008Cwni</t>
  </si>
  <si>
    <t>a0i58000000u3dC</t>
  </si>
  <si>
    <t>a0i58000001wKOt</t>
  </si>
  <si>
    <t>a0i58000001uhFq</t>
  </si>
  <si>
    <t>a0i580000025TWp</t>
  </si>
  <si>
    <t>a0i580000052UmL</t>
  </si>
  <si>
    <t>a0i580000052Dtu</t>
  </si>
  <si>
    <t>a0i580000053PXH</t>
  </si>
  <si>
    <t>a0i5800000545UA</t>
  </si>
  <si>
    <t>a0i4I00000C5NiX</t>
  </si>
  <si>
    <t>a0i4I00000C4dWt</t>
  </si>
  <si>
    <t>a0i580000025tT4</t>
  </si>
  <si>
    <t>a0i4I0000093xve</t>
  </si>
  <si>
    <t>a0i4I0000089RgH</t>
  </si>
  <si>
    <t>a0i580000054SSF</t>
  </si>
  <si>
    <t>a0i580000052iSR</t>
  </si>
  <si>
    <t>a0i580000052iTO</t>
  </si>
  <si>
    <t>a0i580000025uT8</t>
  </si>
  <si>
    <t>a0i4I000009qb6v</t>
  </si>
  <si>
    <t>a0i580000053s9M</t>
  </si>
  <si>
    <t>a0i580000088ZuK</t>
  </si>
  <si>
    <t>a0i4I0000089U09</t>
  </si>
  <si>
    <t>a0i4I00000C4nBo</t>
  </si>
  <si>
    <t>a0i5800000530RK</t>
  </si>
  <si>
    <t>a0i580000088axu</t>
  </si>
  <si>
    <t>a0i580000054Ue5</t>
  </si>
  <si>
    <t>a0i5800000545TC</t>
  </si>
  <si>
    <t>a0i58000008ClKq</t>
  </si>
  <si>
    <t>a0i4I00000AknNo</t>
  </si>
  <si>
    <t>a0i580000088ett</t>
  </si>
  <si>
    <t>a0i58000008DYyu</t>
  </si>
  <si>
    <t>a0i580000088tsW</t>
  </si>
  <si>
    <t>a0i580000088gpj</t>
  </si>
  <si>
    <t>Assaf Laznik - DPMM / Harley / Dudden Hill Dev - Property Development</t>
  </si>
  <si>
    <t>a0i580000088alZ</t>
  </si>
  <si>
    <t>a0i580000088pB2</t>
  </si>
  <si>
    <t>Newcourt Residential Holdings Ltd - 4 SPVs - Property Holding Inv - ON Share</t>
  </si>
  <si>
    <t>a0i580000088fVF</t>
  </si>
  <si>
    <t>a0i580000088fFJ</t>
  </si>
  <si>
    <t>a0i580000089AHV</t>
  </si>
  <si>
    <t>a0i5800000892AO</t>
  </si>
  <si>
    <t>Regal Holdco Limited - Business Trading - Revolving Credit Facility</t>
  </si>
  <si>
    <t>a0i58000008Ddar</t>
  </si>
  <si>
    <t>a0i4I00000936C9</t>
  </si>
  <si>
    <t>a0i580000088pHo</t>
  </si>
  <si>
    <t>a0i580000088kMh</t>
  </si>
  <si>
    <t>Lendhub Group Limited - LH Bridging 1 Limited - Trading RCF Loan-on-Loan</t>
  </si>
  <si>
    <t>a0i580000088xIT</t>
  </si>
  <si>
    <t>Lendhub Group Limited - LH Development 1 Limited - Trading - RCF Loan-on-Loan</t>
  </si>
  <si>
    <t>a0i580000088uqC</t>
  </si>
  <si>
    <t>a0i4I0000089Kv1</t>
  </si>
  <si>
    <t>a0i580000088bwG</t>
  </si>
  <si>
    <t>a0i4I00000C4YFn</t>
  </si>
  <si>
    <t>a0i4I0000089PM2</t>
  </si>
  <si>
    <t>a0i580000088msd</t>
  </si>
  <si>
    <t>a0i8e000000CalM</t>
  </si>
  <si>
    <t>a0i4I0000089Rlv</t>
  </si>
  <si>
    <t>a0i580000088npi</t>
  </si>
  <si>
    <t>a0i580000089Ivs</t>
  </si>
  <si>
    <t>a0i580000089EH0</t>
  </si>
  <si>
    <t>a0i4I0000089PQR</t>
  </si>
  <si>
    <t>a0i4I0000089VGJ</t>
  </si>
  <si>
    <t>a0i4I00000Gmtps</t>
  </si>
  <si>
    <t>a0i4I0000092v3Q</t>
  </si>
  <si>
    <t>a0i4I00000HBL0m</t>
  </si>
  <si>
    <t>a0i4I00000HBKzy</t>
  </si>
  <si>
    <t>a0i4I000009qUT4</t>
  </si>
  <si>
    <t>a0i580000088xIO</t>
  </si>
  <si>
    <t>a0i4I00000GnHiv</t>
  </si>
  <si>
    <t>a0i4I0000089QbH</t>
  </si>
  <si>
    <t>a0i4I000009qYq8</t>
  </si>
  <si>
    <t>a0i4I00000HAck3</t>
  </si>
  <si>
    <t>a0i4I00000936Q1</t>
  </si>
  <si>
    <t>a0i4I000009326C</t>
  </si>
  <si>
    <t>a0i4I000009qUN1</t>
  </si>
  <si>
    <t>a0i4I00000930ru</t>
  </si>
  <si>
    <t>a0i4I0000092xCP</t>
  </si>
  <si>
    <t>a0i4I00000930Yd</t>
  </si>
  <si>
    <t>a0i580000089IwR</t>
  </si>
  <si>
    <t>a0i4I000009qXIb</t>
  </si>
  <si>
    <t>a0i4I0000092x1R</t>
  </si>
  <si>
    <t>a0i4I000009qXcl</t>
  </si>
  <si>
    <t>a0i4I0000093unX</t>
  </si>
  <si>
    <t>a0i4I00000HAuwU</t>
  </si>
  <si>
    <t>a0i4I0000089NHY</t>
  </si>
  <si>
    <t>a0i4I00000932mX</t>
  </si>
  <si>
    <t>a0i4I0000093UGc</t>
  </si>
  <si>
    <t>a0i4I00000947rI</t>
  </si>
  <si>
    <t>a0i4I0000093qMI</t>
  </si>
  <si>
    <t>a0i4I00000947vP</t>
  </si>
  <si>
    <t>a0i4I0000093YEz</t>
  </si>
  <si>
    <t>a0i4I0000093r58</t>
  </si>
  <si>
    <t>a0i4I0000093eSx</t>
  </si>
  <si>
    <t>a0i4I00000C2uLM</t>
  </si>
  <si>
    <t>a0i4I0000093cHY</t>
  </si>
  <si>
    <t>a0i580000089G7K</t>
  </si>
  <si>
    <t>a0i4I00000948qp</t>
  </si>
  <si>
    <t>a0i4I0000093iRZ</t>
  </si>
  <si>
    <t>Assaf Laznik - Perloni / Duddenhill Properties - Property Holding Investment</t>
  </si>
  <si>
    <t>a0i4I00000935Rh</t>
  </si>
  <si>
    <t>a0i4I0000093p4w</t>
  </si>
  <si>
    <t>a0i4I00000937GW</t>
  </si>
  <si>
    <t>a0i4I00000C3LSs</t>
  </si>
  <si>
    <t>a0i4I00000C2xfo</t>
  </si>
  <si>
    <t>a0i4I0000093A0t</t>
  </si>
  <si>
    <t>a0i4I00000C30UU</t>
  </si>
  <si>
    <t>a0i4I00000942WU</t>
  </si>
  <si>
    <t>a0i4I00000C3jqP</t>
  </si>
  <si>
    <t>a0i4I00000C39lx</t>
  </si>
  <si>
    <t>a0i4I00000947WU</t>
  </si>
  <si>
    <t>a0i4I00000933Tl</t>
  </si>
  <si>
    <t>a0i4I00000C4CUc</t>
  </si>
  <si>
    <t>a0i4I00000C4CWJ</t>
  </si>
  <si>
    <t>a0i4I00000C4Qq2</t>
  </si>
  <si>
    <t>a0i4I00000C4RWm</t>
  </si>
  <si>
    <t>a0i4I00000GmkWX</t>
  </si>
  <si>
    <t>a0i4I00000GmtMH</t>
  </si>
  <si>
    <t>a0i4I00000HAXLl</t>
  </si>
  <si>
    <t>a0i4I00000HAi5f</t>
  </si>
  <si>
    <t>a0i4I00000HAi7g</t>
  </si>
  <si>
    <t>a0i8e000000TNCX</t>
  </si>
  <si>
    <t>a0i8e000000TNgw</t>
  </si>
  <si>
    <t>a0i8e000000TNoq</t>
  </si>
  <si>
    <t>a0i8e000000TNh6</t>
  </si>
  <si>
    <t>a0i4I0000093VPp</t>
  </si>
  <si>
    <t>a0i4I00000C3Q6m</t>
  </si>
  <si>
    <t>a0i4I00000C634n</t>
  </si>
  <si>
    <t>a0i4I00000942IX</t>
  </si>
  <si>
    <t>a0i4I0000093lyW</t>
  </si>
  <si>
    <t>a0i4I0000093lyR</t>
  </si>
  <si>
    <t>a0i4I000009qSHV</t>
  </si>
  <si>
    <t>a0i4I0000092vVU</t>
  </si>
  <si>
    <t>a0i4I00000C3PGW</t>
  </si>
  <si>
    <t>a0i4I00000C3iz6</t>
  </si>
  <si>
    <t>Andrew Black</t>
  </si>
  <si>
    <t>a0i4I00000C3pDT</t>
  </si>
  <si>
    <t>a0i4I00000C3D7w</t>
  </si>
  <si>
    <t>a0i4I00000C4K3y</t>
  </si>
  <si>
    <t>a0i4I00000C3D7X</t>
  </si>
  <si>
    <t>a0i4I00000C3D7I</t>
  </si>
  <si>
    <t>a0i4I00000C3PVv</t>
  </si>
  <si>
    <t>a0i4I00000C3D7N</t>
  </si>
  <si>
    <t>a0i4I00000C3D7r</t>
  </si>
  <si>
    <t>a0i4I00000C3y04</t>
  </si>
  <si>
    <t>a0i4I00000C3V3K</t>
  </si>
  <si>
    <t>a0i4I0000089JD8</t>
  </si>
  <si>
    <t>a0i4I00000C3CiD</t>
  </si>
  <si>
    <t>a0i4I00000C31aT</t>
  </si>
  <si>
    <t>a0i4I00000C4AC2</t>
  </si>
  <si>
    <t>a0i4I00000C4lEa</t>
  </si>
  <si>
    <t>a0i4I00000C4aX5</t>
  </si>
  <si>
    <t>a0i4I00000C4LJn</t>
  </si>
  <si>
    <t>a0i4I000009qbh3</t>
  </si>
  <si>
    <t>a0i4I00000C3inP</t>
  </si>
  <si>
    <t>a0i4I00000C38rB</t>
  </si>
  <si>
    <t>a0i4I00000C4G0W</t>
  </si>
  <si>
    <t>a0i4I00000946jX</t>
  </si>
  <si>
    <t>a0i4I00000C3Pqe</t>
  </si>
  <si>
    <t>a0i4I0000093g7c</t>
  </si>
  <si>
    <t>a0i4I00000C52jb</t>
  </si>
  <si>
    <t>a0i4I00000C5MXT</t>
  </si>
  <si>
    <t>a0i4I00000C5Eni</t>
  </si>
  <si>
    <t>a0i4I00000C5DHH</t>
  </si>
  <si>
    <t>a0i4I00000C5NoQ</t>
  </si>
  <si>
    <t>Fabx2.6 LP</t>
  </si>
  <si>
    <t>a0i4I00000C5OI1</t>
  </si>
  <si>
    <t>a0i4I00000C5Jfs</t>
  </si>
  <si>
    <t>a0i4I00000C5K73</t>
  </si>
  <si>
    <t>a0i4I00000C4RPg</t>
  </si>
  <si>
    <t>a0i4I00000C5ZAO</t>
  </si>
  <si>
    <t>a0i4I00000C5DH2</t>
  </si>
  <si>
    <t>a0i4I00000C5Fud</t>
  </si>
  <si>
    <t>a0i4I00000C5d7i</t>
  </si>
  <si>
    <t>a0i4I00000C5WtG</t>
  </si>
  <si>
    <t>a0i4I00000C5kni</t>
  </si>
  <si>
    <t>a0i4I00000C5WtL</t>
  </si>
  <si>
    <t>a0i4I00000C5L1L</t>
  </si>
  <si>
    <t>a0i4I00000C5PyD</t>
  </si>
  <si>
    <t>a0i4I00000C5IOo</t>
  </si>
  <si>
    <t>a0i4I00000C5L2E</t>
  </si>
  <si>
    <t>a0i4I00000C5tCI</t>
  </si>
  <si>
    <t>a0i4I00000C5YYl</t>
  </si>
  <si>
    <t>a0i4I00000C5L1f</t>
  </si>
  <si>
    <t>a0i4I00000C5twk</t>
  </si>
  <si>
    <t>Vigo Group - Swan Homes (Southall) Ltd. - Prop Dev - CBILS (Facility B)</t>
  </si>
  <si>
    <t>a0i4I00000C5OsE</t>
  </si>
  <si>
    <t>a0i4I00000C5ML7</t>
  </si>
  <si>
    <t>a0i4I00000C5kO0</t>
  </si>
  <si>
    <t>a0i4I00000C659N</t>
  </si>
  <si>
    <t>a0i4I00000C5lBL</t>
  </si>
  <si>
    <t>a0i4I00000C3PTf</t>
  </si>
  <si>
    <t>a0i4I00000C5lDb</t>
  </si>
  <si>
    <t>a0i4I00000C55Fc</t>
  </si>
  <si>
    <t>a0i4I00000C5bkM</t>
  </si>
  <si>
    <t>a0i4I00000C5qNo</t>
  </si>
  <si>
    <t>a0i4I00000C5uGf</t>
  </si>
  <si>
    <t>a0i4I00000C5P1p</t>
  </si>
  <si>
    <t>a0i4I00000C5Zav</t>
  </si>
  <si>
    <t>a0i4I00000C5p0k</t>
  </si>
  <si>
    <t>a0i4I00000AkcUB</t>
  </si>
  <si>
    <t>a0i4I00000AkcUG</t>
  </si>
  <si>
    <t>a0i4I0000093M1s</t>
  </si>
  <si>
    <t>a0i4I00000C5mKE</t>
  </si>
  <si>
    <t>a0i4I00000AkbJO</t>
  </si>
  <si>
    <t>a0i4I00000C5OCm</t>
  </si>
  <si>
    <t>a0i4I00000C612E</t>
  </si>
  <si>
    <t>a0i4I00000C632U</t>
  </si>
  <si>
    <t>a0i4I00000C6Anj</t>
  </si>
  <si>
    <t>a0i4I00000C5vgM</t>
  </si>
  <si>
    <t>a0i4I00000C5mfe</t>
  </si>
  <si>
    <t>a0i4I00000C63jc</t>
  </si>
  <si>
    <t>a0i4I00000C5xuC</t>
  </si>
  <si>
    <t>a0i4I00000C5xul</t>
  </si>
  <si>
    <t>a0i4I00000Ako6Z</t>
  </si>
  <si>
    <t>a0i4I00000Ako8f</t>
  </si>
  <si>
    <t>Verto Homes - Swanpool Project Ltd. - Property Development - CBILS Facility</t>
  </si>
  <si>
    <t>a0i4I00000AkZaq</t>
  </si>
  <si>
    <t>a0i4I00000C5vgR</t>
  </si>
  <si>
    <t>a0i4I00000AkYIq</t>
  </si>
  <si>
    <t>a0i4I00000AkXhG</t>
  </si>
  <si>
    <t>a0i4I00000Akj86</t>
  </si>
  <si>
    <t>a0i4I00000C5vea</t>
  </si>
  <si>
    <t>a0i4I00000C6AbT</t>
  </si>
  <si>
    <t>a0i4I00000C5nb6</t>
  </si>
  <si>
    <t>a0i4I00000C64Dd</t>
  </si>
  <si>
    <t>a0i4I00000C4YDX</t>
  </si>
  <si>
    <t>a0i4I00000C5ZYu</t>
  </si>
  <si>
    <t>a0i4I00000AklVW</t>
  </si>
  <si>
    <t>a0i4I00000AklVb</t>
  </si>
  <si>
    <t>a0i4I00000C5ooF</t>
  </si>
  <si>
    <t>a0i4I00000C5vg7</t>
  </si>
  <si>
    <t>a0i4I00000C5xav</t>
  </si>
  <si>
    <t>a0i4I00000AkiKL</t>
  </si>
  <si>
    <t>Macc Care Properties (Blythe Valley) Limited - Trading Facility - Refinance</t>
  </si>
  <si>
    <t>a0i4I00000C5hnO</t>
  </si>
  <si>
    <t>EQT Responsible Entity Services Ltd - Property Investment</t>
  </si>
  <si>
    <t>a0i4I00000AkdZb</t>
  </si>
  <si>
    <t>EQT Responsible Entity Services Ltd as  trustee for the L1 UK Property Trust 3A</t>
  </si>
  <si>
    <t>a0i4I00000Al6aS</t>
  </si>
  <si>
    <t>a0i4I00000AkvMO</t>
  </si>
  <si>
    <t>Bernard &amp; Joan Carl - Holding Investment - Century Capital</t>
  </si>
  <si>
    <t>a0i4I00000Gmsgf</t>
  </si>
  <si>
    <t>a0i4I00000AkyCY</t>
  </si>
  <si>
    <t>a0i4I00000C63Ch</t>
  </si>
  <si>
    <t>a0i4I00000C62v9</t>
  </si>
  <si>
    <t>a0i4I00000C4SBV</t>
  </si>
  <si>
    <t>a0i4I00000AkiIt</t>
  </si>
  <si>
    <t>a0i4I00000AkZzq</t>
  </si>
  <si>
    <t>a0i4I00000Gn5kB</t>
  </si>
  <si>
    <t>a0i4I0000093rX2</t>
  </si>
  <si>
    <t>a0i4I00000Al4eN</t>
  </si>
  <si>
    <t>a0i4I00000GmiwE</t>
  </si>
  <si>
    <t>a0i4I00000AkcV9</t>
  </si>
  <si>
    <t>a0i4I00000AklWU</t>
  </si>
  <si>
    <t>a0i4I00000AklXr</t>
  </si>
  <si>
    <t>a0i4I00000Akpu7</t>
  </si>
  <si>
    <t>a0i4I00000C5Sn8</t>
  </si>
  <si>
    <t>a0i4I00000Akgx6</t>
  </si>
  <si>
    <t>a0i4I00000AkgxG</t>
  </si>
  <si>
    <t>a0i4I00000AktyV</t>
  </si>
  <si>
    <t>a0i4I00000C3E1G</t>
  </si>
  <si>
    <t>a0i4I00000AkfzG</t>
  </si>
  <si>
    <t>a0i4I00000GmiER</t>
  </si>
  <si>
    <t>a0i4I00000C4aef</t>
  </si>
  <si>
    <t>a0i4I00000GnIOS</t>
  </si>
  <si>
    <t>a0i4I00000AkfzB</t>
  </si>
  <si>
    <t>a0i4I00000AkrIB</t>
  </si>
  <si>
    <t>a0i4I00000GmtUQ</t>
  </si>
  <si>
    <t>a0i4I00000Al3Hx</t>
  </si>
  <si>
    <t>a0i4I00000AkpvU</t>
  </si>
  <si>
    <t>a0i4I00000Al6oP</t>
  </si>
  <si>
    <t>a0i4I00000C4UBy</t>
  </si>
  <si>
    <t>a0i4I00000GnG6C</t>
  </si>
  <si>
    <t>a0i4I00000GnG6M</t>
  </si>
  <si>
    <t>Industrial Park</t>
  </si>
  <si>
    <t>a0i4I00000Gmt5f</t>
  </si>
  <si>
    <t>a0i4I00000C6AbY</t>
  </si>
  <si>
    <t>a0i4I00000GnOUL</t>
  </si>
  <si>
    <t>a0i4I00000GnOUp</t>
  </si>
  <si>
    <t>a0i4I00000Gn6Ib</t>
  </si>
  <si>
    <t>a0i4I00000AkXh6</t>
  </si>
  <si>
    <t>a0i4I00000C5qHW</t>
  </si>
  <si>
    <t>a0i4I00000Gmcf8</t>
  </si>
  <si>
    <t>a0i4I00000AkYIl</t>
  </si>
  <si>
    <t>a0i4I00000GmtZ1</t>
  </si>
  <si>
    <t>a0i4I00000GmvgO</t>
  </si>
  <si>
    <t>a0i4I00000Gmdcs</t>
  </si>
  <si>
    <t>a0i4I00000GnTwk</t>
  </si>
  <si>
    <t>a0i4I00000GnQtY</t>
  </si>
  <si>
    <t>a0i4I00000GnQu7</t>
  </si>
  <si>
    <t>a0i4I00000GnQqy</t>
  </si>
  <si>
    <t>a0i4I00000GnQsk</t>
  </si>
  <si>
    <t>a0i4I00000GnQsu</t>
  </si>
  <si>
    <t>BXTR Limited - Business Trading - Glasgow Hotel CBILS - Dev Phase</t>
  </si>
  <si>
    <t>a0i4I00000AkvrQ</t>
  </si>
  <si>
    <t>BXTR Limited - Business Trading - Manchester Hotel CBILS - Dev Phase</t>
  </si>
  <si>
    <t>a0i4I00000AkvrL</t>
  </si>
  <si>
    <t>a0i4I00000AkYQL</t>
  </si>
  <si>
    <t>a0i4I00000AkYQz</t>
  </si>
  <si>
    <t>a0i4I00000GmyVE</t>
  </si>
  <si>
    <t>a0i4I00000Aks84</t>
  </si>
  <si>
    <t>a0i4I00000C5pJu</t>
  </si>
  <si>
    <t>a0i4I00000Gn0UN</t>
  </si>
  <si>
    <t>a0i4I00000GneLE</t>
  </si>
  <si>
    <t>a0i4I00000GnCsP</t>
  </si>
  <si>
    <t>a0i4I00000GnNN5</t>
  </si>
  <si>
    <t>a0i4I00000GnQe4</t>
  </si>
  <si>
    <t>a0i4I00000GmvDM</t>
  </si>
  <si>
    <t>a0i4I00000GnQeT</t>
  </si>
  <si>
    <t>a0i4I00000GnNDe</t>
  </si>
  <si>
    <t>a0i4I00000Gn7tN</t>
  </si>
  <si>
    <t>a0i4I00000Gn6mp</t>
  </si>
  <si>
    <t>a0i4I00000GmhfW</t>
  </si>
  <si>
    <t>a0i4I00000GnU4P</t>
  </si>
  <si>
    <t>a0i4I00000GnGnp</t>
  </si>
  <si>
    <t>a0i4I00000Al8ls</t>
  </si>
  <si>
    <t>a0i4I00000HAHWd</t>
  </si>
  <si>
    <t>a0i4I00000AkprD</t>
  </si>
  <si>
    <t>a0i4I00000Gn4Zi</t>
  </si>
  <si>
    <t>a0i4I00000HAKbl</t>
  </si>
  <si>
    <t>a0i4I00000Akv7d</t>
  </si>
  <si>
    <t>a0i4I00000GnHtA</t>
  </si>
  <si>
    <t>Assaf Laznik - DPMM / Harley / Dudden Hill Dev - Property Holding Investment</t>
  </si>
  <si>
    <t>a0i4I00000C5qQ4</t>
  </si>
  <si>
    <t>a0i4I00000GmjMl</t>
  </si>
  <si>
    <t>a0i4I00000GnAdi</t>
  </si>
  <si>
    <t>a0i4I00000GnAdn</t>
  </si>
  <si>
    <t>a0i4I00000Gn78b</t>
  </si>
  <si>
    <t>RM Secured Direct Lending plc - Trading - New Money - Facility B - Project Alpha</t>
  </si>
  <si>
    <t>a0i4I00000GnRvV</t>
  </si>
  <si>
    <t>RM Secured Direct Lending plc - Trading - Refinance - Facility A - Project Alpha</t>
  </si>
  <si>
    <t>a0i4I00000HASxo</t>
  </si>
  <si>
    <t>a0i4I00000GmpRD</t>
  </si>
  <si>
    <t>a0i4I00000GnODy</t>
  </si>
  <si>
    <t>Bruntwood SciTech LTD -BHIC 1 Limited - Property Development</t>
  </si>
  <si>
    <t>a0i4I00000GmwBv</t>
  </si>
  <si>
    <t>a0i4I00000GmwjJ</t>
  </si>
  <si>
    <t>a0i4I00000Gn1II</t>
  </si>
  <si>
    <t>a0i4I00000GnYoV</t>
  </si>
  <si>
    <t>a0i4I00000GnYoG</t>
  </si>
  <si>
    <t>a0i4I00000HAVNe</t>
  </si>
  <si>
    <t>a0i4I00000HAKKV</t>
  </si>
  <si>
    <t>a0i4I00000GnG0s</t>
  </si>
  <si>
    <t>a0i4I00000GnTgc</t>
  </si>
  <si>
    <t>a0i4I00000GnThB</t>
  </si>
  <si>
    <t>a0i4I00000HAIUT</t>
  </si>
  <si>
    <t>a0i4I00000GmlW9</t>
  </si>
  <si>
    <t>a0i4I00000GneJX</t>
  </si>
  <si>
    <t>a0i4I00000HARc1</t>
  </si>
  <si>
    <t>a0i4I00000GmjgH</t>
  </si>
  <si>
    <t>a0i4I00000Gmt9I</t>
  </si>
  <si>
    <t>a0i4I00000GnF7T</t>
  </si>
  <si>
    <t>a0i4I00000Al8JA</t>
  </si>
  <si>
    <t>a0i4I0000093Sw2</t>
  </si>
  <si>
    <t>a0i4I00000HAMsA</t>
  </si>
  <si>
    <t>a0i4I00000HAMsZ</t>
  </si>
  <si>
    <t>a0i4I00000HAehB</t>
  </si>
  <si>
    <t>a0i4I00000AkpCe</t>
  </si>
  <si>
    <t>a0i4I00000GnPAD</t>
  </si>
  <si>
    <t>a0i4I00000HAIYz</t>
  </si>
  <si>
    <t>a0i4I00000HAKgR</t>
  </si>
  <si>
    <t>a0i4I00000HAFus</t>
  </si>
  <si>
    <t>a0i4I00000HAQiw</t>
  </si>
  <si>
    <t>a0i4I00000Gn4wE</t>
  </si>
  <si>
    <t>a0i4I00000GnCjd</t>
  </si>
  <si>
    <t>a0i4I00000HANF8</t>
  </si>
  <si>
    <t>a0i4I00000C63PC</t>
  </si>
  <si>
    <t>a0i4I00000Gnbou</t>
  </si>
  <si>
    <t>a0i4I00000HAOJL</t>
  </si>
  <si>
    <t>a0i4I00000GmzBy</t>
  </si>
  <si>
    <t>a0i4I00000HAXbD</t>
  </si>
  <si>
    <t>a0i4I00000Gnclw</t>
  </si>
  <si>
    <t>a0i4I00000HAOul</t>
  </si>
  <si>
    <t>a0i4I00000HAZz1</t>
  </si>
  <si>
    <t>a0i4I00000GnVMF</t>
  </si>
  <si>
    <t>a0i4I00000HAryx</t>
  </si>
  <si>
    <t>a0i4I00000HANCx</t>
  </si>
  <si>
    <t>a0i4I00000HANOt</t>
  </si>
  <si>
    <t>a0i4I00000GnXy5</t>
  </si>
  <si>
    <t>a0i4I00000Aks6h</t>
  </si>
  <si>
    <t>a0i4I00000HAXzo</t>
  </si>
  <si>
    <t>a0i4I00000HAaGr</t>
  </si>
  <si>
    <t>a0i4I00000HANIH</t>
  </si>
  <si>
    <t>a0i4I00000GnUhW</t>
  </si>
  <si>
    <t>a0i4I00000HAGr6</t>
  </si>
  <si>
    <t>a0i4I00000Gn4xW</t>
  </si>
  <si>
    <t>a0i4I00000HAPbk</t>
  </si>
  <si>
    <t>a0i4I00000HAQ3A</t>
  </si>
  <si>
    <t>a0i4I00000HAOMF</t>
  </si>
  <si>
    <t>a0i4I00000HANvJ</t>
  </si>
  <si>
    <t>a0i4I00000Gn7Ye</t>
  </si>
  <si>
    <t>a0i4I00000GnSyL</t>
  </si>
  <si>
    <t>a0i4I00000HAVcU</t>
  </si>
  <si>
    <t>a0i4I00000Gnbrt</t>
  </si>
  <si>
    <t>a0i4I00000GncvL</t>
  </si>
  <si>
    <t>a0i4I00000GnVsp</t>
  </si>
  <si>
    <t>a0i4I00000HAunr</t>
  </si>
  <si>
    <t>a0i4I00000HAQek</t>
  </si>
  <si>
    <t>a0i4I00000HALey</t>
  </si>
  <si>
    <t>a0i4I00000Gmz7S</t>
  </si>
  <si>
    <t>a0i4I00000HAfP8</t>
  </si>
  <si>
    <t>a0i4I00000HAfRE</t>
  </si>
  <si>
    <t>a0i4I00000Gndac</t>
  </si>
  <si>
    <t>a0i4I00000HAJ9x</t>
  </si>
  <si>
    <t>a0i4I00000HAY0D</t>
  </si>
  <si>
    <t>a0i4I00000HAM1s</t>
  </si>
  <si>
    <t>a0i4I00000HAXxx</t>
  </si>
  <si>
    <t>a0i4I00000HAgLv</t>
  </si>
  <si>
    <t>a0i4I00000HAWLf</t>
  </si>
  <si>
    <t>a0i4I00000HAGD6</t>
  </si>
  <si>
    <t>a0i4I00000HAwXw</t>
  </si>
  <si>
    <t>a0i4I00000Gnfu0</t>
  </si>
  <si>
    <t>a0i4I00000GnfTY</t>
  </si>
  <si>
    <t>a0i4I00000HAXrp</t>
  </si>
  <si>
    <t>a0i4I00000GnDqt</t>
  </si>
  <si>
    <t>a0i4I00000HAOvP</t>
  </si>
  <si>
    <t>a0i4I00000GnZWo</t>
  </si>
  <si>
    <t>a0i4I00000GnYqv</t>
  </si>
  <si>
    <t>a0i4I00000GnYqq</t>
  </si>
  <si>
    <t>a0i4I00000HAiSF</t>
  </si>
  <si>
    <t>a0i4I00000HB0LC</t>
  </si>
  <si>
    <t>a0i4I00000HAaun</t>
  </si>
  <si>
    <t>a0i4I00000Gn6VK</t>
  </si>
  <si>
    <t>a0i4I00000HAhQX</t>
  </si>
  <si>
    <t>a0i4I00000HAi2M</t>
  </si>
  <si>
    <t>a0i4I00000HB2EG</t>
  </si>
  <si>
    <t>a0i4I00000HAi2b</t>
  </si>
  <si>
    <t>a0i4I00000HAVnn</t>
  </si>
  <si>
    <t>a0i4I00000HB4mA</t>
  </si>
  <si>
    <t>a0i4I00000HAeDu</t>
  </si>
  <si>
    <t>a0i4I00000HB9V6</t>
  </si>
  <si>
    <t>a0i4I00000GnUIW</t>
  </si>
  <si>
    <t>a0i4I00000HArtT</t>
  </si>
  <si>
    <t>a0i4I00000C634d</t>
  </si>
  <si>
    <t>a0i4I00000C68dX</t>
  </si>
  <si>
    <t>a0i4I00000GnPcq</t>
  </si>
  <si>
    <t>a0i4I00000GnGnu</t>
  </si>
  <si>
    <t>a0i4I00000HAoeI</t>
  </si>
  <si>
    <t>a0i4I00000HAuRS</t>
  </si>
  <si>
    <t>BERKSHIRE ASSETS (WEST LONDON) LTD</t>
  </si>
  <si>
    <t>a0i4I00000HAydP</t>
  </si>
  <si>
    <t>a0i4I00000HBE40</t>
  </si>
  <si>
    <t>a0i4I00000HAiEw</t>
  </si>
  <si>
    <t>a0i4I00000GnSbH</t>
  </si>
  <si>
    <t>EXEMPLAR PROJECTS (TRURO) LIMITED</t>
  </si>
  <si>
    <t>a0i4I00000Gnfmu</t>
  </si>
  <si>
    <t>GALAXY 51 LIMITED</t>
  </si>
  <si>
    <t>a0i4I00000HAjqh</t>
  </si>
  <si>
    <t>COLMER 1 LTD</t>
  </si>
  <si>
    <t>a0i4I00000C5YXn</t>
  </si>
  <si>
    <t>a0i4I00000HBRHh</t>
  </si>
  <si>
    <t>a0i4I00000HAhFj</t>
  </si>
  <si>
    <t>a0i580000089Fg0</t>
  </si>
  <si>
    <t>a0i4I00000GnVos</t>
  </si>
  <si>
    <t>a0i4I00000HApqr</t>
  </si>
  <si>
    <t>a0i4I00000HBEJe</t>
  </si>
  <si>
    <t>a0i4I00000Gnd2b</t>
  </si>
  <si>
    <t>a0i4I00000HB5aA</t>
  </si>
  <si>
    <t>a0i4I00000HBM1U</t>
  </si>
  <si>
    <t>a0i4I00000HAogO</t>
  </si>
  <si>
    <t>a0i4I00000HBLsm</t>
  </si>
  <si>
    <t>a0i4I00000HBJTv</t>
  </si>
  <si>
    <t>a0i4I00000HBGDf</t>
  </si>
  <si>
    <t>a0i4I00000C63X2</t>
  </si>
  <si>
    <t>a0i4I00000HBH3v</t>
  </si>
  <si>
    <t>a0i4I00000HBH3g</t>
  </si>
  <si>
    <t>a0i4I00000HBPZo</t>
  </si>
  <si>
    <t>a0i4I00000HBOM0</t>
  </si>
  <si>
    <t>a0i4I00000HAvJs</t>
  </si>
  <si>
    <t>a0i4I00000HBCUp</t>
  </si>
  <si>
    <t>a0i8e000000CabH</t>
  </si>
  <si>
    <t>a0i8e000000Cae6</t>
  </si>
  <si>
    <t>a0i4I00000HAqXW</t>
  </si>
  <si>
    <t>a0i4I00000HAUWp</t>
  </si>
  <si>
    <t>a0i4I00000HB0da</t>
  </si>
  <si>
    <t>a0i4I0000093SbJ</t>
  </si>
  <si>
    <t>a0i8e000000CapJ</t>
  </si>
  <si>
    <t>a0i8e000000CapO</t>
  </si>
  <si>
    <t>a0i8e000000CapT</t>
  </si>
  <si>
    <t>a0i8e000000CapE</t>
  </si>
  <si>
    <t>a0i4I00000HBFiD</t>
  </si>
  <si>
    <t>a0i4I00000HBQP1</t>
  </si>
  <si>
    <t>a0i4I00000HBOlo</t>
  </si>
  <si>
    <t>Mumbles Group Limited - Property Development - Revolving Credit Facility</t>
  </si>
  <si>
    <t>a0i4I00000HBBpc</t>
  </si>
  <si>
    <t>a0i8e000000CacF</t>
  </si>
  <si>
    <t>a0i8e000000CaW7</t>
  </si>
  <si>
    <t>a0i8e000000CalR</t>
  </si>
  <si>
    <t>a0i4I00000HAiX5</t>
  </si>
  <si>
    <t>a0i4I00000HAiW2</t>
  </si>
  <si>
    <t>a0i4I00000HBEfB</t>
  </si>
  <si>
    <t>a0i8e000000Cact</t>
  </si>
  <si>
    <t>a0i8e000000Cacy</t>
  </si>
  <si>
    <t>a0i8e000000Cad3</t>
  </si>
  <si>
    <t>a0i4I00000HBEeD</t>
  </si>
  <si>
    <t>a0i8e000000Cac5</t>
  </si>
  <si>
    <t>a0i8e000000CacP</t>
  </si>
  <si>
    <t>a0i8e000000CacU</t>
  </si>
  <si>
    <t>a0i8e000000CacZ</t>
  </si>
  <si>
    <t>a0i8e000000Cace</t>
  </si>
  <si>
    <t>a0i8e000000Cacj</t>
  </si>
  <si>
    <t>a0i8e000000Caco</t>
  </si>
  <si>
    <t>a0i8e000000TNIG</t>
  </si>
  <si>
    <t>a0i8e000000Cag7</t>
  </si>
  <si>
    <t>a0i4I00000GnLy9</t>
  </si>
  <si>
    <t>a0i4I00000HBHAw</t>
  </si>
  <si>
    <t>a0i4I00000GnFie</t>
  </si>
  <si>
    <t>a0i8e000000Caho</t>
  </si>
  <si>
    <t>a0i8e000000TNIk</t>
  </si>
  <si>
    <t>a0i8e000000Cart</t>
  </si>
  <si>
    <t>a0i4I00000HBGZR</t>
  </si>
  <si>
    <t>a0i8e000000TNAv</t>
  </si>
  <si>
    <t>a0i8e000000TNFl</t>
  </si>
  <si>
    <t>a0i8e000000CaqC</t>
  </si>
  <si>
    <t>a0i4I00000HBH1L</t>
  </si>
  <si>
    <t>a0i4I00000HBMaK</t>
  </si>
  <si>
    <t>a0i8e000000CarU</t>
  </si>
  <si>
    <t>a0i4I00000HAoBB</t>
  </si>
  <si>
    <t>a0i8e000000CafO</t>
  </si>
  <si>
    <t>a0i8e000000TNDf</t>
  </si>
  <si>
    <t>a0i8e000000TN7m</t>
  </si>
  <si>
    <t>a0i8e000000Cary</t>
  </si>
  <si>
    <t>a0i8e000000TNFb</t>
  </si>
  <si>
    <t>a0i8e000000TN1o</t>
  </si>
  <si>
    <t>a0i8e000000CarZ</t>
  </si>
  <si>
    <t>AHG3 LTD</t>
  </si>
  <si>
    <t>a0i8e000000TNAg</t>
  </si>
  <si>
    <t>a0i8e000000CalW</t>
  </si>
  <si>
    <t>a0i8e000000Calb</t>
  </si>
  <si>
    <t>a0i8e000000TNBZ</t>
  </si>
  <si>
    <t>a0i8e000000TNKv</t>
  </si>
  <si>
    <t>a0i8e000000TN8a</t>
  </si>
  <si>
    <t>a0i8e000000TNN6</t>
  </si>
  <si>
    <t>a0i8e000000TNMh</t>
  </si>
  <si>
    <t>a0i8e000000TNUv</t>
  </si>
  <si>
    <t>a0i8e000000TNVF</t>
  </si>
  <si>
    <t>a0i8e000000CasX</t>
  </si>
  <si>
    <t>a0i8e000000TNDV</t>
  </si>
  <si>
    <t>a0i8e000000TNFH</t>
  </si>
  <si>
    <t>a0i8e000000TNNf</t>
  </si>
  <si>
    <t>a0i8e000000TN1P</t>
  </si>
  <si>
    <t>a0i8e000000TNbc</t>
  </si>
  <si>
    <t>a0i8e000000TN1U</t>
  </si>
  <si>
    <t>a0i8e000000TNNk</t>
  </si>
  <si>
    <t>a0i8e000000TNNp</t>
  </si>
  <si>
    <t>a0i8e000000TNNu</t>
  </si>
  <si>
    <t>a0i8e000000TNO4</t>
  </si>
  <si>
    <t>a0i8e000000TNNz</t>
  </si>
  <si>
    <t>a0i8e000000TNbm</t>
  </si>
  <si>
    <t>a0i8e000000TNB5</t>
  </si>
  <si>
    <t>a0i8e000000TNii</t>
  </si>
  <si>
    <t>a0i8e000000TNFW</t>
  </si>
  <si>
    <t>a0i8e000000TNcz</t>
  </si>
  <si>
    <t>a0i4I00000HBS5D</t>
  </si>
  <si>
    <t>a0i8e000000TNIf</t>
  </si>
  <si>
    <t>a0i8e000000TNVt</t>
  </si>
  <si>
    <t>a0i8e000000TNf5</t>
  </si>
  <si>
    <t>a0i8e000000CaiI</t>
  </si>
  <si>
    <t>a0i8e000000TNfK</t>
  </si>
  <si>
    <t>a0i8e000000TNcQ</t>
  </si>
  <si>
    <t>a0i8e000000TNLU</t>
  </si>
  <si>
    <t>a0i8e000000TNmz</t>
  </si>
  <si>
    <t>a0i8e000000TNJx</t>
  </si>
  <si>
    <t>a0i8e000000TNoM</t>
  </si>
  <si>
    <t>a0i8e000000TNNa</t>
  </si>
  <si>
    <t>a0i8e000000TNob</t>
  </si>
  <si>
    <t>a0i8e000000TNBe</t>
  </si>
  <si>
    <t>92 Dean Street Limited - Business Trading - Development</t>
  </si>
  <si>
    <t>a0i8e000000TNdT</t>
  </si>
  <si>
    <t>a0i8e000000TN86</t>
  </si>
  <si>
    <t>a0i8e000000Caoz</t>
  </si>
  <si>
    <t>a0i8e000000TNd9</t>
  </si>
  <si>
    <t>a0i8e000000TNjl</t>
  </si>
  <si>
    <t>a0i8e000000TNe7</t>
  </si>
  <si>
    <t>a0i8e000000TNfy</t>
  </si>
  <si>
    <t>a0i8e000000TNOY</t>
  </si>
  <si>
    <t>Bruntwood SciTech LTD - Birmingham Enterprise Wharf Ltd - Dev Facility</t>
  </si>
  <si>
    <t>a0i4I00000C449q</t>
  </si>
  <si>
    <t>a0i4I00000C3d37</t>
  </si>
  <si>
    <t>a0i4I00000C5fda</t>
  </si>
  <si>
    <t>a0i4I00000C3aba</t>
  </si>
  <si>
    <t>a0i4I00000C5fnJ</t>
  </si>
  <si>
    <t>a0i4I00000C3acT</t>
  </si>
  <si>
    <t>a0i4I00000C5fke</t>
  </si>
  <si>
    <t>a0i8e000000TNKW</t>
  </si>
  <si>
    <t>Bruntwood SciTech LTD- Bruntwood Met Tower Ltd- (Acquisition Loan)- Dev Facility</t>
  </si>
  <si>
    <t>a0i8e000000TNfU</t>
  </si>
  <si>
    <t>Bruntwood SciTech LTD- Bruntwood Met Tower Ltd- Dev Facility</t>
  </si>
  <si>
    <t>a0i8e000000TNuy</t>
  </si>
  <si>
    <t>a0i8e000000TNke</t>
  </si>
  <si>
    <t>a0i8e000000TO95</t>
  </si>
  <si>
    <t>Graystacks Radmarsh Road Limited - Property Development Facility</t>
  </si>
  <si>
    <t>a0i4I00000HBF56</t>
  </si>
  <si>
    <t>Graystacks Radmarsh Road Limited</t>
  </si>
  <si>
    <t>a0i8e000000TOdF</t>
  </si>
  <si>
    <t>Barn</t>
  </si>
  <si>
    <t>a0i8e000000TNnx</t>
  </si>
  <si>
    <t>a0i8e000000TOde</t>
  </si>
  <si>
    <t>a0i4I00000HB4dX</t>
  </si>
  <si>
    <t>a0i8e000000Caq2</t>
  </si>
  <si>
    <t>a0i8e000000TNKH</t>
  </si>
  <si>
    <t>a0i4I00000HB4cj</t>
  </si>
  <si>
    <t>a0i8e000000TNF7</t>
  </si>
  <si>
    <t>Mixed use scheme</t>
  </si>
  <si>
    <t>AFM Wealth Ltd - Business Trading Facility</t>
  </si>
  <si>
    <t>a0i8e000000TNWc</t>
  </si>
  <si>
    <t>AFM WEALTH LIMITED</t>
  </si>
  <si>
    <t>AFM Wealth Limited</t>
  </si>
  <si>
    <t>0018e000003CYQC</t>
  </si>
  <si>
    <t>AFM1000</t>
  </si>
  <si>
    <t>Clavis IDS Limited - Business Trading - Facility A</t>
  </si>
  <si>
    <t>a0i8e000000TNEd</t>
  </si>
  <si>
    <t>CLAVIS IDS LIMITED</t>
  </si>
  <si>
    <t>Clavis IDS Limited</t>
  </si>
  <si>
    <t>0018e000003CRe4</t>
  </si>
  <si>
    <t>CLA1002</t>
  </si>
  <si>
    <t>Clavis IDS Limited - Business Trading- Facility B- RLS</t>
  </si>
  <si>
    <t>a0i8e000000TNfZ</t>
  </si>
  <si>
    <t>Dominvs Project Company 15 Limited - Property Holding Development Facility</t>
  </si>
  <si>
    <t>a0i8e000000TNYE</t>
  </si>
  <si>
    <t>DOMINVS PROJECT COMPANY 15 LIMITED</t>
  </si>
  <si>
    <t>Dominvs Project Company 15 Limited</t>
  </si>
  <si>
    <t>0018e000003CYdp</t>
  </si>
  <si>
    <t>DOM1000</t>
  </si>
  <si>
    <t>Mark Reuben &amp; Linda Reuben - Property Investment Facility</t>
  </si>
  <si>
    <t>a0i8e000000TNCN</t>
  </si>
  <si>
    <t>MARK REUBEN AND LINDA REUBEN</t>
  </si>
  <si>
    <t>Mark Reuben &amp; Linda Reuben</t>
  </si>
  <si>
    <t>0018e000003CRKS</t>
  </si>
  <si>
    <t>MAR1004</t>
  </si>
  <si>
    <t>Moonraker (Bristol) Limited - Property Development Facility</t>
  </si>
  <si>
    <t>a0i8e000000Casm</t>
  </si>
  <si>
    <t>MOONRAKER (BRISTOL) LIMITED</t>
  </si>
  <si>
    <t>Moonraker (Bristol) Limited</t>
  </si>
  <si>
    <t>0018e000001udJo</t>
  </si>
  <si>
    <t>MOO1000</t>
  </si>
  <si>
    <t>Moonraker (Bristol) Limited - VAT Facility - RCF</t>
  </si>
  <si>
    <t>a0i8e000000TOiA</t>
  </si>
  <si>
    <t>Philip Martin-Dye - Property Development Facility</t>
  </si>
  <si>
    <t>a0i8e000000Capx</t>
  </si>
  <si>
    <t>PHILIP MARTIN-DYE</t>
  </si>
  <si>
    <t>Philip Martin-Dye</t>
  </si>
  <si>
    <t>0018e000001ucGy</t>
  </si>
  <si>
    <t>PHI1000</t>
  </si>
  <si>
    <t>RCH Tunbridge Wells Limited - Property Development Facility</t>
  </si>
  <si>
    <t>a0i8e000000TNFR</t>
  </si>
  <si>
    <t>RCH TUNBRIDGE WELLS LIMITED</t>
  </si>
  <si>
    <t>RCH Tunbridge Wells Limited</t>
  </si>
  <si>
    <t>0018e000003CXqD</t>
  </si>
  <si>
    <t>RCH1000</t>
  </si>
  <si>
    <t>Verto Homes - Swanpool Project Ltd - Property Dev - Additional Fac (Non-CBILS)</t>
  </si>
  <si>
    <t>a0i8e000000TOdj</t>
  </si>
  <si>
    <t>Ortus Group - Ortus Secured Finance IV Limited - RCF - Tranche H 2022</t>
  </si>
  <si>
    <t>a0i8e000000TOCE</t>
  </si>
  <si>
    <t>Ortus Group - Ortus Secured Finance IV Limited - RCF - Tranche I 2022</t>
  </si>
  <si>
    <t>a0i8e000000TOCO</t>
  </si>
  <si>
    <t>A.S.K. Partners Lendco 39 Limited - Loan-on-Loan- Viking / Urban House</t>
  </si>
  <si>
    <t>a0i8e000000TNrf</t>
  </si>
  <si>
    <t>A.S.K. PARTNERS LENDCO 39 LIMITED</t>
  </si>
  <si>
    <t>A.S.K. Partners Lendco 39 Limited</t>
  </si>
  <si>
    <t>0018e000003Cej9</t>
  </si>
  <si>
    <t>A.S1011</t>
  </si>
  <si>
    <t>Broadwood Lending Limited - Loan on Loan - (VAGA Developments Ltd) - Tranche F</t>
  </si>
  <si>
    <t>a0i8e000000TOiK</t>
  </si>
  <si>
    <t>Vaga Developments Limited</t>
  </si>
  <si>
    <t>0018e000003CpNk</t>
  </si>
  <si>
    <t>FDBC Holdings Limited</t>
  </si>
  <si>
    <t>a0i8e000000TNdY</t>
  </si>
  <si>
    <t>FDBC HOLDINGS LIMITED</t>
  </si>
  <si>
    <t>0018e000003CZk8</t>
  </si>
  <si>
    <t>FDB1000</t>
  </si>
  <si>
    <t>Hilltop Credit Partners Limited – HT Holdings IV S.a.r.l</t>
  </si>
  <si>
    <t>a0i8e000000TNgm</t>
  </si>
  <si>
    <t>HT HOLDINGS IV SARL</t>
  </si>
  <si>
    <t>HT Holdings IV S.a.r.l</t>
  </si>
  <si>
    <t>HT 1000</t>
  </si>
  <si>
    <t>Lyons Davidson Limited - Business Trading - RLS RCF</t>
  </si>
  <si>
    <t>a0i8e000000TNMm</t>
  </si>
  <si>
    <t>Promontoria Hurlingham Limited - Property Development Facility</t>
  </si>
  <si>
    <t>a0i8e000000TOE5</t>
  </si>
  <si>
    <t>PROMONTORIA HURLINGHAM LTD</t>
  </si>
  <si>
    <t>Promontoria Hurlingham Ltd</t>
  </si>
  <si>
    <t>0018e000003Cib5</t>
  </si>
  <si>
    <t>PRO1002</t>
  </si>
  <si>
    <t>a0i4I00000GnGFs</t>
  </si>
  <si>
    <t>a0i4I00000HAZiA</t>
  </si>
  <si>
    <t>a0i4I00000Gnagz</t>
  </si>
  <si>
    <t>a0i4I00000C5qKf</t>
  </si>
  <si>
    <t>a0i4I00000C5yVD</t>
  </si>
  <si>
    <t>a0i8e000000TNKM</t>
  </si>
  <si>
    <t>a0i4I00000HAXLq</t>
  </si>
  <si>
    <t>a0i4I00000HAhVm</t>
  </si>
  <si>
    <t>a0i8e000000Car0</t>
  </si>
  <si>
    <t>a0i8e000000Cabg</t>
  </si>
  <si>
    <t>a0i4I00000HAFgv</t>
  </si>
  <si>
    <t>a0i4I00000GneAa</t>
  </si>
  <si>
    <t>a0i4I00000Al98N</t>
  </si>
  <si>
    <t>a0i4I00000Al93I</t>
  </si>
  <si>
    <t>a0i4I00000GnVpI</t>
  </si>
  <si>
    <t>a0i4I00000AktDZ</t>
  </si>
  <si>
    <t>a0i4I00000Akp0i</t>
  </si>
  <si>
    <t>a0i4I00000C6Abi</t>
  </si>
  <si>
    <t>a0i4I00000C5JwP</t>
  </si>
  <si>
    <t>a0i4I00000C5QAn</t>
  </si>
  <si>
    <t>a0i4I00000931ie</t>
  </si>
  <si>
    <t>a0i4I00000934VY</t>
  </si>
  <si>
    <t>a0i4I00000C42M9</t>
  </si>
  <si>
    <t>a0i4I00000C3Run</t>
  </si>
  <si>
    <t>a0i4I00000930Ei</t>
  </si>
  <si>
    <t>Positive Change</t>
  </si>
  <si>
    <t>Negative Change</t>
  </si>
  <si>
    <t>new loan</t>
  </si>
  <si>
    <t>new tranche</t>
  </si>
  <si>
    <t>Clavis IDS Limited - Facility A</t>
  </si>
  <si>
    <t>AFM Wealth Limited - Business Trading Facility</t>
  </si>
  <si>
    <t>Clavis IDS Limited - Facility B</t>
  </si>
  <si>
    <t>nCino</t>
  </si>
  <si>
    <t>Max existing</t>
  </si>
  <si>
    <t>Fac Q1</t>
  </si>
  <si>
    <t>Fac Q2</t>
  </si>
  <si>
    <t>Fac Q3</t>
  </si>
  <si>
    <t>Fac Q4</t>
  </si>
  <si>
    <t>PASTE COL AU AS VALUES</t>
  </si>
  <si>
    <t>ECLIYF</t>
  </si>
  <si>
    <t>Pinboard</t>
  </si>
  <si>
    <t>* Assumed average value for Ashton Yates as no model or enhanced PD avaiable on nCino</t>
  </si>
  <si>
    <t>Care Concern Quarterly</t>
  </si>
  <si>
    <t>Park Lane Health Quarterly1</t>
  </si>
  <si>
    <t>Park Lane Health Quarterly2</t>
  </si>
  <si>
    <t>Park Lane Health Quarterly3</t>
  </si>
  <si>
    <t>Park Lane Health Quarterly4</t>
  </si>
  <si>
    <t>Park Lane Health Quarterly5</t>
  </si>
  <si>
    <t>Moorlands Quarterly</t>
  </si>
  <si>
    <t>Adventure Bar Quarterly</t>
  </si>
  <si>
    <t>Inception Quarterly</t>
  </si>
  <si>
    <t>Whiskey Quarterly</t>
  </si>
  <si>
    <t>Inn Collection Quarterly</t>
  </si>
  <si>
    <t>Portobello</t>
  </si>
  <si>
    <t>Brasserie Quarterly1</t>
  </si>
  <si>
    <t>Brasserie Quarterly2</t>
  </si>
  <si>
    <t>Daisy Green Quarterly</t>
  </si>
  <si>
    <t>Notes Quarterly</t>
  </si>
  <si>
    <t>Casa Italia Quarterly</t>
  </si>
  <si>
    <t>Ottolenghi Quarterly</t>
  </si>
  <si>
    <t>Lincoln Plaza Quarterly</t>
  </si>
  <si>
    <t>BXTR Quarterly</t>
  </si>
  <si>
    <t>Jade Hotel Quarterly</t>
  </si>
  <si>
    <t>Z-Hotel (Combined) Quarterly1</t>
  </si>
  <si>
    <t>Z-Hotel (Combined) Quarterly2</t>
  </si>
  <si>
    <t>Z-Hotel (Combined) Quarterly3</t>
  </si>
  <si>
    <t>Heathcock</t>
  </si>
  <si>
    <t>Staycity Investments Quarterly</t>
  </si>
  <si>
    <t>Nine Gatwick</t>
  </si>
  <si>
    <t>Bike and Boot Inn</t>
  </si>
  <si>
    <t>Dumbleton Hall</t>
  </si>
  <si>
    <t>Ability Hotel Quarterly</t>
  </si>
  <si>
    <t>T14 Guernsey</t>
  </si>
  <si>
    <t>Slatters</t>
  </si>
  <si>
    <t>Zeal Hotel</t>
  </si>
  <si>
    <t>Signet Hotel</t>
  </si>
  <si>
    <t>SBH Park Holding</t>
  </si>
  <si>
    <t>Ashton Yates</t>
  </si>
  <si>
    <t>LHH Investments</t>
  </si>
  <si>
    <t>Nicols Worsteds</t>
  </si>
  <si>
    <t>CHART FORTE</t>
  </si>
  <si>
    <t>Cullen Wealth Holding</t>
  </si>
  <si>
    <t>Farrelly Energy Solutions</t>
  </si>
  <si>
    <t>Neptune 789 Quarterly</t>
  </si>
  <si>
    <t>Remsons Holding Ltd</t>
  </si>
  <si>
    <t>LAR Quarterly</t>
  </si>
  <si>
    <t>M&amp;E Mills</t>
  </si>
  <si>
    <t>VIsta Bidco Quarterly</t>
  </si>
  <si>
    <t>Granite Bidco Quarterly</t>
  </si>
  <si>
    <t>Constant Equity Quarterly</t>
  </si>
  <si>
    <t>OncoreIT Quarterly</t>
  </si>
  <si>
    <t>Melrose</t>
  </si>
  <si>
    <t>Topham Bidco</t>
  </si>
  <si>
    <t>Kansas</t>
  </si>
  <si>
    <t>Learning Curve Group</t>
  </si>
  <si>
    <t>Apprentify</t>
  </si>
  <si>
    <t>Strawberry Fields</t>
  </si>
  <si>
    <t>Chelsea Bidco</t>
  </si>
  <si>
    <t>A1.edf</t>
  </si>
  <si>
    <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</si>
</sst>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43" formatCode="_(* #,##0.00_);_(* \(#,##0.00\);_(* &quot;-&quot;??_);_(@_)"/>
    <numFmt numFmtId="164" formatCode="#,##0.00%;\(#,##0.00\)%"/>
    <numFmt numFmtId="165" formatCode="0.0%"/>
    <numFmt numFmtId="166" formatCode="_-[$£-809]* #,##0.00_-;\-[$£-809]* #,##0.00_-;_-[$£-809]* &quot;-&quot;??_-;_-@_-"/>
    <numFmt numFmtId="167" formatCode="0.000%"/>
    <numFmt numFmtId="168" formatCode="_(* #,##0_);_(* \(#,##0\);_(* &quot;-&quot;??_);_(@_)"/>
    <numFmt numFmtId="169" formatCode="0.000"/>
    <numFmt numFmtId="170" formatCode="0.0"/>
    <numFmt numFmtId="171" formatCode="#,##0.00%"/>
    <numFmt numFmtId="172" formatCode="m/dd/yyyy"/>
    <numFmt numFmtId="173" formatCode="[$-409]dd\-mmm\-yy;@"/>
    <numFmt numFmtId="174" formatCode="0.0000000000"/>
    <numFmt numFmtId="175" formatCode="yyyy\-mm\-dd"/>
    <numFmt numFmtId="176" formatCode="_(* #,##0.0000_);_(* \(#,##0.0000\);_(* &quot;-&quot;??_);_(@_)"/>
    <numFmt numFmtId="177" formatCode="0.00000%"/>
    <numFmt numFmtId="178" formatCode="#,##0;[Red]\(#,##0\)"/>
    <numFmt numFmtId="179" formatCode="#,##0;\(#,##0\)"/>
    <numFmt numFmtId="180" formatCode="_(* #,##0.0_);_(* \(#,##0.0\);_(* &quot;-&quot;??_);_(@_)"/>
  </numFmts>
  <fonts count="5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
      <b/>
      <i/>
      <u/>
      <sz val="11"/>
      <color theme="1"/>
      <name val="Calibri"/>
      <family val="2"/>
      <scheme val="minor"/>
    </font>
    <font>
      <b/>
      <i/>
      <u/>
      <sz val="14"/>
      <color theme="1"/>
      <name val="Calibri"/>
      <family val="2"/>
      <scheme val="minor"/>
    </font>
    <font>
      <b/>
      <u/>
      <sz val="16"/>
      <color theme="1"/>
      <name val="Calibri"/>
      <family val="2"/>
      <scheme val="minor"/>
    </font>
    <font>
      <i/>
      <sz val="9"/>
      <color theme="1"/>
      <name val="Calibri"/>
      <family val="2"/>
      <scheme val="minor"/>
    </font>
    <font>
      <b/>
      <i/>
      <u/>
      <sz val="12"/>
      <color theme="1"/>
      <name val="Calibri"/>
      <family val="2"/>
      <scheme val="minor"/>
    </font>
    <font>
      <i/>
      <sz val="11"/>
      <color theme="1"/>
      <name val="Calibri"/>
      <family val="2"/>
      <scheme val="minor"/>
    </font>
    <font>
      <sz val="11"/>
      <color indexed="8"/>
      <name val="Calibri"/>
      <family val="2"/>
      <scheme val="minor"/>
    </font>
    <font>
      <sz val="24"/>
      <color theme="1"/>
      <name val="Calibri"/>
      <family val="2"/>
      <scheme val="minor"/>
    </font>
    <font>
      <sz val="10"/>
      <color rgb="FF000000"/>
      <name val="Calibri"/>
      <family val="2"/>
      <scheme val="minor"/>
    </font>
    <font>
      <b/>
      <u/>
      <sz val="11"/>
      <color theme="1"/>
      <name val="Calibri"/>
      <family val="2"/>
      <scheme val="minor"/>
    </font>
    <font>
      <b/>
      <u/>
      <sz val="14"/>
      <color theme="1"/>
      <name val="Calibri"/>
      <family val="2"/>
      <scheme val="minor"/>
    </font>
    <font>
      <sz val="10"/>
      <name val="Arial"/>
      <family val="2"/>
    </font>
    <font>
      <b/>
      <sz val="12"/>
      <color theme="1"/>
      <name val="Calibri"/>
      <family val="2"/>
      <scheme val="minor"/>
    </font>
    <font>
      <b/>
      <sz val="14"/>
      <color theme="1"/>
      <name val="Wingdings 2"/>
      <family val="1"/>
      <charset val="2"/>
    </font>
    <font>
      <sz val="8"/>
      <name val="Calibri"/>
      <family val="2"/>
      <scheme val="minor"/>
    </font>
    <font>
      <sz val="9"/>
      <color indexed="81"/>
      <name val="Tahoma"/>
      <family val="2"/>
    </font>
    <font>
      <b/>
      <sz val="9"/>
      <color indexed="81"/>
      <name val="Tahoma"/>
      <family val="2"/>
    </font>
    <font>
      <b/>
      <sz val="8"/>
      <color theme="1"/>
      <name val="Calibri"/>
      <family val="2"/>
    </font>
    <font>
      <b/>
      <i/>
      <sz val="11"/>
      <color theme="1"/>
      <name val="Calibri"/>
      <family val="2"/>
      <scheme val="minor"/>
    </font>
    <font>
      <sz val="6"/>
      <color rgb="FF000000"/>
      <name val="Segoe UI"/>
      <family val="2"/>
    </font>
    <font>
      <sz val="12"/>
      <color rgb="FF000000"/>
      <name val="Calibri"/>
      <family val="2"/>
    </font>
    <font>
      <sz val="12"/>
      <color rgb="FF000000"/>
      <name val="Calibri"/>
      <family val="2"/>
    </font>
    <font>
      <b/>
      <sz val="11"/>
      <color rgb="FFFF0000"/>
      <name val="Calibri"/>
      <family val="2"/>
      <scheme val="minor"/>
    </font>
    <font>
      <b/>
      <i/>
      <sz val="11"/>
      <color rgb="FFFF0000"/>
      <name val="Calibri"/>
      <family val="2"/>
      <scheme val="minor"/>
    </font>
    <font>
      <sz val="12"/>
      <color rgb="FF000000"/>
      <name val="Calibri"/>
      <family val="2"/>
    </font>
    <font>
      <b/>
      <sz val="12"/>
      <color rgb="FF000000"/>
      <name val="Calibri"/>
      <family val="2"/>
    </font>
    <font>
      <sz val="10"/>
      <color theme="1"/>
      <name val="Calibri"/>
      <family val="2"/>
    </font>
    <font>
      <b/>
      <sz val="8"/>
      <color theme="0"/>
      <name val="Calibri"/>
      <family val="2"/>
      <scheme val="minor"/>
    </font>
    <font>
      <sz val="8"/>
      <color theme="1"/>
      <name val="Calibri"/>
      <family val="2"/>
    </font>
    <font>
      <b/>
      <sz val="8"/>
      <color theme="1"/>
      <name val="Calibri"/>
      <family val="2"/>
      <scheme val="minor"/>
    </font>
    <font>
      <sz val="8"/>
      <color theme="1"/>
      <name val="Calibri"/>
      <family val="2"/>
      <scheme val="minor"/>
    </font>
    <font>
      <sz val="8"/>
      <name val="Calibri"/>
      <family val="2"/>
    </font>
    <font>
      <i/>
      <sz val="8"/>
      <color theme="1"/>
      <name val="Calibri"/>
      <family val="2"/>
      <scheme val="minor"/>
    </font>
    <font>
      <sz val="8"/>
      <color rgb="FFFF0000"/>
      <name val="Calibri"/>
      <family val="2"/>
      <scheme val="minor"/>
    </font>
    <font>
      <sz val="8"/>
      <color rgb="FFFF0000"/>
      <name val="Calibri"/>
      <family val="2"/>
    </font>
    <font>
      <b/>
      <sz val="8"/>
      <color rgb="FFFF0000"/>
      <name val="Calibri"/>
      <family val="2"/>
    </font>
    <font>
      <b/>
      <sz val="8"/>
      <color rgb="FFFF0000"/>
      <name val="Calibri"/>
      <family val="2"/>
      <scheme val="minor"/>
    </font>
    <font>
      <sz val="11"/>
      <color rgb="FF181818"/>
      <name val="Segoe UI"/>
      <family val="2"/>
    </font>
    <font>
      <b/>
      <sz val="26"/>
      <color rgb="FFFF0000"/>
      <name val="Calibri"/>
      <family val="2"/>
      <scheme val="minor"/>
    </font>
  </fonts>
  <fills count="61">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C000"/>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4" tint="0.79998168889431442"/>
        <bgColor indexed="64"/>
      </patternFill>
    </fill>
    <fill>
      <patternFill patternType="solid">
        <fgColor theme="7"/>
        <bgColor indexed="64"/>
      </patternFill>
    </fill>
    <fill>
      <patternFill patternType="solid">
        <fgColor rgb="FF92D050"/>
        <bgColor indexed="64"/>
      </patternFill>
    </fill>
    <fill>
      <patternFill patternType="solid">
        <fgColor theme="7" tint="0.39997558519241921"/>
        <bgColor indexed="64"/>
      </patternFill>
    </fill>
    <fill>
      <patternFill patternType="solid">
        <fgColor theme="2" tint="-9.9978637043366805E-2"/>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0" tint="-4.9989318521683403E-2"/>
        <bgColor indexed="64"/>
      </patternFill>
    </fill>
    <fill>
      <patternFill patternType="solid">
        <fgColor rgb="FFFFFFFF"/>
        <bgColor indexed="64"/>
      </patternFill>
    </fill>
    <fill>
      <patternFill patternType="solid">
        <fgColor theme="0" tint="-0.14999847407452621"/>
        <bgColor indexed="64"/>
      </patternFill>
    </fill>
    <fill>
      <patternFill patternType="solid">
        <fgColor theme="3"/>
        <bgColor indexed="64"/>
      </patternFill>
    </fill>
    <fill>
      <patternFill patternType="solid">
        <fgColor theme="5" tint="0.39997558519241921"/>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rgb="FF00FFFF"/>
        <bgColor indexed="64"/>
      </patternFill>
    </fill>
  </fills>
  <borders count="4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style="hair">
        <color auto="1"/>
      </bottom>
      <diagonal/>
    </border>
    <border>
      <left style="thin">
        <color indexed="64"/>
      </left>
      <right/>
      <top style="hair">
        <color auto="1"/>
      </top>
      <bottom style="hair">
        <color auto="1"/>
      </bottom>
      <diagonal/>
    </border>
    <border>
      <left style="thin">
        <color indexed="64"/>
      </left>
      <right/>
      <top style="hair">
        <color auto="1"/>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hair">
        <color auto="1"/>
      </bottom>
      <diagonal/>
    </border>
    <border>
      <left style="thin">
        <color indexed="64"/>
      </left>
      <right style="thin">
        <color indexed="64"/>
      </right>
      <top style="hair">
        <color auto="1"/>
      </top>
      <bottom style="hair">
        <color auto="1"/>
      </bottom>
      <diagonal/>
    </border>
    <border>
      <left style="thin">
        <color indexed="64"/>
      </left>
      <right style="thin">
        <color indexed="64"/>
      </right>
      <top style="hair">
        <color auto="1"/>
      </top>
      <bottom style="thin">
        <color indexed="64"/>
      </bottom>
      <diagonal/>
    </border>
    <border>
      <left style="thin">
        <color indexed="64"/>
      </left>
      <right/>
      <top/>
      <bottom style="hair">
        <color auto="1"/>
      </bottom>
      <diagonal/>
    </border>
    <border>
      <left style="thin">
        <color indexed="64"/>
      </left>
      <right style="thin">
        <color indexed="64"/>
      </right>
      <top/>
      <bottom style="hair">
        <color auto="1"/>
      </bottom>
      <diagonal/>
    </border>
    <border>
      <left style="thin">
        <color indexed="64"/>
      </left>
      <right style="thin">
        <color indexed="64"/>
      </right>
      <top style="thin">
        <color indexed="64"/>
      </top>
      <bottom/>
      <diagonal/>
    </border>
    <border>
      <left style="hair">
        <color auto="1"/>
      </left>
      <right/>
      <top style="hair">
        <color auto="1"/>
      </top>
      <bottom style="hair">
        <color auto="1"/>
      </bottom>
      <diagonal/>
    </border>
    <border>
      <left style="hair">
        <color auto="1"/>
      </left>
      <right style="thin">
        <color indexed="64"/>
      </right>
      <top style="hair">
        <color auto="1"/>
      </top>
      <bottom style="hair">
        <color auto="1"/>
      </bottom>
      <diagonal/>
    </border>
    <border>
      <left style="hair">
        <color auto="1"/>
      </left>
      <right/>
      <top style="hair">
        <color auto="1"/>
      </top>
      <bottom style="thin">
        <color indexed="64"/>
      </bottom>
      <diagonal/>
    </border>
    <border>
      <left style="hair">
        <color auto="1"/>
      </left>
      <right style="thin">
        <color indexed="64"/>
      </right>
      <top style="hair">
        <color auto="1"/>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style="hair">
        <color auto="1"/>
      </left>
      <right/>
      <top style="thin">
        <color indexed="64"/>
      </top>
      <bottom style="hair">
        <color auto="1"/>
      </bottom>
      <diagonal/>
    </border>
    <border>
      <left style="hair">
        <color auto="1"/>
      </left>
      <right style="thin">
        <color indexed="64"/>
      </right>
      <top style="thin">
        <color indexed="64"/>
      </top>
      <bottom style="hair">
        <color auto="1"/>
      </bottom>
      <diagonal/>
    </border>
    <border>
      <left style="hair">
        <color auto="1"/>
      </left>
      <right style="hair">
        <color auto="1"/>
      </right>
      <top style="hair">
        <color auto="1"/>
      </top>
      <bottom style="thin">
        <color indexed="64"/>
      </bottom>
      <diagonal/>
    </border>
    <border>
      <left style="hair">
        <color auto="1"/>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hair">
        <color auto="1"/>
      </left>
      <right/>
      <top style="thin">
        <color indexed="64"/>
      </top>
      <bottom style="thin">
        <color indexed="64"/>
      </bottom>
      <diagonal/>
    </border>
    <border>
      <left/>
      <right/>
      <top style="thin">
        <color indexed="64"/>
      </top>
      <bottom style="thin">
        <color indexed="64"/>
      </bottom>
      <diagonal/>
    </border>
    <border>
      <left style="thin">
        <color indexed="64"/>
      </left>
      <right style="hair">
        <color auto="1"/>
      </right>
      <top style="thin">
        <color indexed="64"/>
      </top>
      <bottom style="thin">
        <color indexed="64"/>
      </bottom>
      <diagonal/>
    </border>
    <border>
      <left style="hair">
        <color auto="1"/>
      </left>
      <right/>
      <top/>
      <bottom style="hair">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style="thin">
        <color indexed="64"/>
      </right>
      <top/>
      <bottom/>
      <diagonal/>
    </border>
    <border>
      <left style="medium">
        <color indexed="64"/>
      </left>
      <right style="medium">
        <color indexed="64"/>
      </right>
      <top style="medium">
        <color indexed="64"/>
      </top>
      <bottom style="medium">
        <color indexed="64"/>
      </bottom>
      <diagonal/>
    </border>
  </borders>
  <cellStyleXfs count="51">
    <xf numFmtId="0" fontId="0" fillId="0" borderId="0"/>
    <xf numFmtId="9"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xf numFmtId="0" fontId="26" fillId="0" borderId="0"/>
    <xf numFmtId="0" fontId="31" fillId="0" borderId="0"/>
    <xf numFmtId="9" fontId="31" fillId="0" borderId="0" applyFont="0" applyFill="0" applyBorder="0" applyAlignment="0" applyProtection="0"/>
    <xf numFmtId="0" fontId="1" fillId="0" borderId="0"/>
    <xf numFmtId="43" fontId="1" fillId="0" borderId="0" applyFont="0" applyFill="0" applyBorder="0" applyAlignment="0" applyProtection="0"/>
    <xf numFmtId="0" fontId="31" fillId="0" borderId="0"/>
    <xf numFmtId="9" fontId="46" fillId="0" borderId="0" applyFont="0" applyFill="0" applyBorder="0" applyAlignment="0" applyProtection="0"/>
  </cellStyleXfs>
  <cellXfs count="592">
    <xf numFmtId="0" fontId="0" fillId="0" borderId="0" xfId="0"/>
    <xf numFmtId="10" fontId="0" fillId="0" borderId="0" xfId="0" applyNumberFormat="1"/>
    <xf numFmtId="0" fontId="0" fillId="33" borderId="0" xfId="0" applyFill="1"/>
    <xf numFmtId="0" fontId="16" fillId="0" borderId="0" xfId="0" applyFont="1"/>
    <xf numFmtId="10" fontId="0" fillId="0" borderId="0" xfId="1" applyNumberFormat="1" applyFont="1"/>
    <xf numFmtId="10" fontId="0" fillId="33" borderId="0" xfId="1" applyNumberFormat="1" applyFont="1" applyFill="1"/>
    <xf numFmtId="164" fontId="18" fillId="35" borderId="13" xfId="0" applyNumberFormat="1" applyFont="1" applyFill="1" applyBorder="1" applyAlignment="1">
      <alignment horizontal="center"/>
    </xf>
    <xf numFmtId="164" fontId="18" fillId="35" borderId="14" xfId="0" applyNumberFormat="1" applyFont="1" applyFill="1" applyBorder="1" applyAlignment="1">
      <alignment horizontal="center"/>
    </xf>
    <xf numFmtId="164" fontId="21" fillId="0" borderId="0" xfId="0" applyNumberFormat="1" applyFont="1" applyFill="1" applyBorder="1" applyAlignment="1">
      <alignment horizontal="left" vertical="top"/>
    </xf>
    <xf numFmtId="1" fontId="18" fillId="0" borderId="16" xfId="1" applyNumberFormat="1" applyFont="1" applyFill="1" applyBorder="1" applyAlignment="1">
      <alignment horizontal="center"/>
    </xf>
    <xf numFmtId="164" fontId="18" fillId="35" borderId="10" xfId="0" applyNumberFormat="1" applyFont="1" applyFill="1" applyBorder="1" applyAlignment="1">
      <alignment horizontal="center" wrapText="1"/>
    </xf>
    <xf numFmtId="164" fontId="18" fillId="35" borderId="12" xfId="0" applyNumberFormat="1" applyFont="1" applyFill="1" applyBorder="1" applyAlignment="1">
      <alignment horizontal="center" wrapText="1"/>
    </xf>
    <xf numFmtId="1" fontId="18" fillId="0" borderId="17" xfId="1" applyNumberFormat="1" applyFont="1" applyFill="1" applyBorder="1" applyAlignment="1">
      <alignment horizontal="center"/>
    </xf>
    <xf numFmtId="0" fontId="20" fillId="0" borderId="0" xfId="0" applyFont="1"/>
    <xf numFmtId="1" fontId="18" fillId="0" borderId="15" xfId="1" applyNumberFormat="1" applyFont="1" applyFill="1" applyBorder="1" applyAlignment="1">
      <alignment horizontal="center"/>
    </xf>
    <xf numFmtId="1" fontId="18" fillId="0" borderId="17" xfId="1" applyNumberFormat="1" applyFont="1" applyFill="1" applyBorder="1" applyAlignment="1">
      <alignment horizontal="center" wrapText="1"/>
    </xf>
    <xf numFmtId="0" fontId="22" fillId="0" borderId="0" xfId="0" applyFont="1"/>
    <xf numFmtId="1" fontId="18" fillId="36" borderId="16" xfId="1" applyNumberFormat="1" applyFont="1" applyFill="1" applyBorder="1" applyAlignment="1">
      <alignment horizontal="center"/>
    </xf>
    <xf numFmtId="1" fontId="18" fillId="36" borderId="15" xfId="1" applyNumberFormat="1" applyFont="1" applyFill="1" applyBorder="1" applyAlignment="1">
      <alignment horizontal="center" wrapText="1"/>
    </xf>
    <xf numFmtId="1" fontId="18" fillId="36" borderId="17" xfId="1" applyNumberFormat="1" applyFont="1" applyFill="1" applyBorder="1" applyAlignment="1">
      <alignment horizontal="center"/>
    </xf>
    <xf numFmtId="10" fontId="0" fillId="0" borderId="0" xfId="1" applyNumberFormat="1" applyFont="1" applyAlignment="1">
      <alignment horizontal="center"/>
    </xf>
    <xf numFmtId="0" fontId="23" fillId="0" borderId="0" xfId="0" applyFont="1"/>
    <xf numFmtId="164" fontId="19" fillId="35" borderId="12" xfId="0" applyNumberFormat="1" applyFont="1" applyFill="1" applyBorder="1" applyAlignment="1">
      <alignment horizontal="center"/>
    </xf>
    <xf numFmtId="1" fontId="0" fillId="0" borderId="0" xfId="0" applyNumberFormat="1"/>
    <xf numFmtId="164" fontId="18" fillId="35" borderId="18" xfId="0" applyNumberFormat="1" applyFont="1" applyFill="1" applyBorder="1" applyAlignment="1">
      <alignment horizontal="center" wrapText="1"/>
    </xf>
    <xf numFmtId="1" fontId="18" fillId="0" borderId="17" xfId="1" applyNumberFormat="1" applyFont="1" applyFill="1" applyBorder="1" applyAlignment="1">
      <alignment horizontal="center" vertical="center"/>
    </xf>
    <xf numFmtId="1" fontId="18" fillId="0" borderId="15" xfId="1" applyNumberFormat="1" applyFont="1" applyFill="1" applyBorder="1" applyAlignment="1">
      <alignment horizontal="center" vertical="center"/>
    </xf>
    <xf numFmtId="0" fontId="21" fillId="0" borderId="0" xfId="0" applyFont="1"/>
    <xf numFmtId="1" fontId="18" fillId="0" borderId="0" xfId="1" applyNumberFormat="1" applyFont="1" applyFill="1" applyBorder="1" applyAlignment="1">
      <alignment horizontal="center" vertical="center"/>
    </xf>
    <xf numFmtId="1" fontId="18" fillId="0" borderId="0" xfId="1" applyNumberFormat="1" applyFont="1" applyFill="1" applyBorder="1" applyAlignment="1">
      <alignment horizontal="center" wrapText="1"/>
    </xf>
    <xf numFmtId="10" fontId="18" fillId="37" borderId="20" xfId="1" applyNumberFormat="1" applyFont="1" applyFill="1" applyBorder="1" applyAlignment="1">
      <alignment horizontal="center"/>
    </xf>
    <xf numFmtId="10" fontId="18" fillId="0" borderId="20" xfId="1" applyNumberFormat="1" applyFont="1" applyFill="1" applyBorder="1" applyAlignment="1">
      <alignment horizontal="center"/>
    </xf>
    <xf numFmtId="1" fontId="19" fillId="36" borderId="13" xfId="1" applyNumberFormat="1" applyFont="1" applyFill="1" applyBorder="1" applyAlignment="1">
      <alignment horizontal="center"/>
    </xf>
    <xf numFmtId="10" fontId="18" fillId="0" borderId="21" xfId="1" applyNumberFormat="1" applyFont="1" applyFill="1" applyBorder="1" applyAlignment="1">
      <alignment horizontal="center"/>
    </xf>
    <xf numFmtId="1" fontId="18" fillId="0" borderId="11" xfId="0" applyNumberFormat="1" applyFont="1" applyFill="1" applyBorder="1" applyAlignment="1">
      <alignment horizontal="center"/>
    </xf>
    <xf numFmtId="10" fontId="18" fillId="0" borderId="22" xfId="1" applyNumberFormat="1" applyFont="1" applyFill="1" applyBorder="1" applyAlignment="1">
      <alignment horizontal="center"/>
    </xf>
    <xf numFmtId="1" fontId="18" fillId="0" borderId="12" xfId="0" applyNumberFormat="1" applyFont="1" applyFill="1" applyBorder="1" applyAlignment="1">
      <alignment horizontal="center"/>
    </xf>
    <xf numFmtId="10" fontId="18" fillId="0" borderId="23" xfId="1" applyNumberFormat="1" applyFont="1" applyFill="1" applyBorder="1" applyAlignment="1">
      <alignment horizontal="center"/>
    </xf>
    <xf numFmtId="10" fontId="18" fillId="0" borderId="24" xfId="1" applyNumberFormat="1" applyFont="1" applyFill="1" applyBorder="1" applyAlignment="1">
      <alignment horizontal="center"/>
    </xf>
    <xf numFmtId="1" fontId="18" fillId="0" borderId="11" xfId="0" applyNumberFormat="1" applyFont="1" applyFill="1" applyBorder="1" applyAlignment="1">
      <alignment horizontal="center" wrapText="1"/>
    </xf>
    <xf numFmtId="1" fontId="18" fillId="0" borderId="12" xfId="0" applyNumberFormat="1" applyFont="1" applyFill="1" applyBorder="1" applyAlignment="1">
      <alignment horizontal="center" wrapText="1"/>
    </xf>
    <xf numFmtId="1" fontId="18" fillId="33" borderId="11" xfId="0" applyNumberFormat="1" applyFont="1" applyFill="1" applyBorder="1" applyAlignment="1">
      <alignment horizontal="center"/>
    </xf>
    <xf numFmtId="0" fontId="0" fillId="0" borderId="0" xfId="0" applyAlignment="1"/>
    <xf numFmtId="1" fontId="18" fillId="0" borderId="0" xfId="0" applyNumberFormat="1" applyFont="1" applyFill="1" applyBorder="1" applyAlignment="1">
      <alignment horizontal="center"/>
    </xf>
    <xf numFmtId="10" fontId="18" fillId="0" borderId="0" xfId="1" applyNumberFormat="1" applyFont="1" applyFill="1" applyBorder="1" applyAlignment="1">
      <alignment horizontal="center"/>
    </xf>
    <xf numFmtId="10" fontId="18" fillId="37" borderId="21" xfId="1" applyNumberFormat="1" applyFont="1" applyFill="1" applyBorder="1" applyAlignment="1">
      <alignment horizontal="center"/>
    </xf>
    <xf numFmtId="10" fontId="18" fillId="0" borderId="17" xfId="1" applyNumberFormat="1" applyFont="1" applyFill="1" applyBorder="1" applyAlignment="1">
      <alignment horizontal="center"/>
    </xf>
    <xf numFmtId="1" fontId="18" fillId="0" borderId="19" xfId="0" applyNumberFormat="1" applyFont="1" applyFill="1" applyBorder="1" applyAlignment="1">
      <alignment horizontal="center" vertical="center"/>
    </xf>
    <xf numFmtId="1" fontId="18" fillId="0" borderId="15" xfId="0" applyNumberFormat="1" applyFont="1" applyFill="1" applyBorder="1" applyAlignment="1">
      <alignment horizontal="center" vertical="center"/>
    </xf>
    <xf numFmtId="1" fontId="18" fillId="0" borderId="25" xfId="0" applyNumberFormat="1" applyFont="1" applyFill="1" applyBorder="1" applyAlignment="1">
      <alignment horizontal="center" vertical="center"/>
    </xf>
    <xf numFmtId="0" fontId="24" fillId="0" borderId="0" xfId="0" applyFont="1"/>
    <xf numFmtId="1" fontId="18" fillId="0" borderId="0" xfId="0" applyNumberFormat="1" applyFont="1" applyFill="1" applyBorder="1" applyAlignment="1">
      <alignment horizontal="center" vertical="center"/>
    </xf>
    <xf numFmtId="0" fontId="25" fillId="0" borderId="0" xfId="0" applyFont="1"/>
    <xf numFmtId="1" fontId="19" fillId="37" borderId="17" xfId="0" applyNumberFormat="1" applyFont="1" applyFill="1" applyBorder="1" applyAlignment="1">
      <alignment horizontal="center" vertical="center"/>
    </xf>
    <xf numFmtId="164" fontId="18" fillId="35" borderId="26" xfId="0" applyNumberFormat="1" applyFont="1" applyFill="1" applyBorder="1" applyAlignment="1">
      <alignment horizontal="center" wrapText="1"/>
    </xf>
    <xf numFmtId="1" fontId="18" fillId="0" borderId="11" xfId="0" applyNumberFormat="1" applyFont="1" applyFill="1" applyBorder="1" applyAlignment="1">
      <alignment horizontal="center" vertical="top" wrapText="1"/>
    </xf>
    <xf numFmtId="0" fontId="0" fillId="0" borderId="0" xfId="0" applyNumberFormat="1"/>
    <xf numFmtId="10" fontId="18" fillId="0" borderId="22" xfId="1" applyNumberFormat="1" applyFont="1" applyFill="1" applyBorder="1" applyAlignment="1">
      <alignment horizontal="left" vertical="top"/>
    </xf>
    <xf numFmtId="1" fontId="18" fillId="0" borderId="11" xfId="0" applyNumberFormat="1" applyFont="1" applyFill="1" applyBorder="1" applyAlignment="1">
      <alignment horizontal="left" vertical="top"/>
    </xf>
    <xf numFmtId="10" fontId="18" fillId="0" borderId="21" xfId="1" applyNumberFormat="1" applyFont="1" applyFill="1" applyBorder="1" applyAlignment="1">
      <alignment horizontal="left" vertical="top"/>
    </xf>
    <xf numFmtId="1" fontId="18" fillId="0" borderId="16" xfId="0" applyNumberFormat="1" applyFont="1" applyFill="1" applyBorder="1" applyAlignment="1">
      <alignment horizontal="left" vertical="top"/>
    </xf>
    <xf numFmtId="10" fontId="18" fillId="0" borderId="24" xfId="1" applyNumberFormat="1" applyFont="1" applyFill="1" applyBorder="1" applyAlignment="1">
      <alignment horizontal="left" vertical="top"/>
    </xf>
    <xf numFmtId="1" fontId="18" fillId="0" borderId="12" xfId="0" applyNumberFormat="1" applyFont="1" applyFill="1" applyBorder="1" applyAlignment="1">
      <alignment horizontal="left" vertical="top"/>
    </xf>
    <xf numFmtId="10" fontId="18" fillId="0" borderId="23" xfId="1" applyNumberFormat="1" applyFont="1" applyFill="1" applyBorder="1" applyAlignment="1">
      <alignment horizontal="left" vertical="top"/>
    </xf>
    <xf numFmtId="1" fontId="18" fillId="0" borderId="17" xfId="0" applyNumberFormat="1" applyFont="1" applyFill="1" applyBorder="1" applyAlignment="1">
      <alignment horizontal="left" vertical="top"/>
    </xf>
    <xf numFmtId="14" fontId="0" fillId="0" borderId="0" xfId="0" applyNumberFormat="1"/>
    <xf numFmtId="43" fontId="0" fillId="0" borderId="0" xfId="43" applyFont="1"/>
    <xf numFmtId="43" fontId="0" fillId="0" borderId="0" xfId="0" applyNumberFormat="1"/>
    <xf numFmtId="165" fontId="0" fillId="0" borderId="0" xfId="1" applyNumberFormat="1" applyFont="1"/>
    <xf numFmtId="0" fontId="0" fillId="37" borderId="0" xfId="0" applyFill="1"/>
    <xf numFmtId="43" fontId="0" fillId="37" borderId="0" xfId="43" applyFont="1" applyFill="1"/>
    <xf numFmtId="0" fontId="27" fillId="0" borderId="0" xfId="0" applyFont="1"/>
    <xf numFmtId="43" fontId="0" fillId="33" borderId="0" xfId="43" applyFont="1" applyFill="1"/>
    <xf numFmtId="166" fontId="18" fillId="37" borderId="13" xfId="43" applyNumberFormat="1" applyFont="1" applyFill="1" applyBorder="1" applyAlignment="1">
      <alignment horizontal="center"/>
    </xf>
    <xf numFmtId="164" fontId="18" fillId="35" borderId="20" xfId="0" applyNumberFormat="1" applyFont="1" applyFill="1" applyBorder="1" applyAlignment="1">
      <alignment horizontal="center"/>
    </xf>
    <xf numFmtId="164" fontId="18" fillId="35" borderId="20" xfId="0" applyNumberFormat="1" applyFont="1" applyFill="1" applyBorder="1" applyAlignment="1">
      <alignment horizontal="center" wrapText="1"/>
    </xf>
    <xf numFmtId="1" fontId="18" fillId="0" borderId="27" xfId="1" applyNumberFormat="1" applyFont="1" applyFill="1" applyBorder="1" applyAlignment="1">
      <alignment horizontal="center"/>
    </xf>
    <xf numFmtId="1" fontId="18" fillId="0" borderId="23" xfId="1" applyNumberFormat="1" applyFont="1" applyFill="1" applyBorder="1" applyAlignment="1">
      <alignment horizontal="center"/>
    </xf>
    <xf numFmtId="166" fontId="18" fillId="0" borderId="27" xfId="1" applyNumberFormat="1" applyFont="1" applyFill="1" applyBorder="1" applyAlignment="1">
      <alignment horizontal="center"/>
    </xf>
    <xf numFmtId="166" fontId="18" fillId="0" borderId="28" xfId="1" applyNumberFormat="1" applyFont="1" applyFill="1" applyBorder="1" applyAlignment="1">
      <alignment horizontal="center"/>
    </xf>
    <xf numFmtId="166" fontId="18" fillId="0" borderId="24" xfId="1" applyNumberFormat="1" applyFont="1" applyFill="1" applyBorder="1" applyAlignment="1">
      <alignment horizontal="center"/>
    </xf>
    <xf numFmtId="1" fontId="18" fillId="36" borderId="13" xfId="1" applyNumberFormat="1" applyFont="1" applyFill="1" applyBorder="1" applyAlignment="1">
      <alignment horizontal="center"/>
    </xf>
    <xf numFmtId="166" fontId="18" fillId="0" borderId="22" xfId="1" applyNumberFormat="1" applyFont="1" applyFill="1" applyBorder="1" applyAlignment="1">
      <alignment horizontal="center"/>
    </xf>
    <xf numFmtId="166" fontId="18" fillId="0" borderId="17" xfId="1" applyNumberFormat="1" applyFont="1" applyFill="1" applyBorder="1" applyAlignment="1">
      <alignment horizontal="center"/>
    </xf>
    <xf numFmtId="10" fontId="18" fillId="0" borderId="29" xfId="1" applyNumberFormat="1" applyFont="1" applyFill="1" applyBorder="1" applyAlignment="1">
      <alignment horizontal="center"/>
    </xf>
    <xf numFmtId="166" fontId="18" fillId="37" borderId="23" xfId="1" applyNumberFormat="1" applyFont="1" applyFill="1" applyBorder="1" applyAlignment="1">
      <alignment horizontal="center"/>
    </xf>
    <xf numFmtId="166" fontId="18" fillId="37" borderId="24" xfId="1" applyNumberFormat="1" applyFont="1" applyFill="1" applyBorder="1" applyAlignment="1">
      <alignment horizontal="center"/>
    </xf>
    <xf numFmtId="166" fontId="18" fillId="0" borderId="13" xfId="43" applyNumberFormat="1" applyFont="1" applyFill="1" applyBorder="1" applyAlignment="1">
      <alignment horizontal="center"/>
    </xf>
    <xf numFmtId="2" fontId="0" fillId="0" borderId="0" xfId="0" applyNumberFormat="1"/>
    <xf numFmtId="1" fontId="19" fillId="36" borderId="13" xfId="1" applyNumberFormat="1" applyFont="1" applyFill="1" applyBorder="1" applyAlignment="1">
      <alignment horizontal="center" wrapText="1"/>
    </xf>
    <xf numFmtId="1" fontId="18" fillId="0" borderId="21" xfId="1" applyNumberFormat="1" applyFont="1" applyFill="1" applyBorder="1" applyAlignment="1">
      <alignment horizontal="center"/>
    </xf>
    <xf numFmtId="10" fontId="18" fillId="0" borderId="11" xfId="1" applyNumberFormat="1" applyFont="1" applyFill="1" applyBorder="1" applyAlignment="1">
      <alignment horizontal="left"/>
    </xf>
    <xf numFmtId="10" fontId="18" fillId="0" borderId="12" xfId="1" applyNumberFormat="1" applyFont="1" applyFill="1" applyBorder="1" applyAlignment="1">
      <alignment horizontal="left"/>
    </xf>
    <xf numFmtId="1" fontId="18" fillId="0" borderId="29" xfId="1" applyNumberFormat="1" applyFont="1" applyFill="1" applyBorder="1" applyAlignment="1">
      <alignment horizontal="center"/>
    </xf>
    <xf numFmtId="0" fontId="0" fillId="0" borderId="0" xfId="0" applyFill="1"/>
    <xf numFmtId="0" fontId="29" fillId="0" borderId="0" xfId="0" applyFont="1"/>
    <xf numFmtId="9" fontId="18" fillId="0" borderId="19" xfId="1" applyNumberFormat="1" applyFont="1" applyFill="1" applyBorder="1" applyAlignment="1">
      <alignment horizontal="center" vertical="center"/>
    </xf>
    <xf numFmtId="1" fontId="19" fillId="0" borderId="15" xfId="0" applyNumberFormat="1" applyFont="1" applyFill="1" applyBorder="1" applyAlignment="1">
      <alignment horizontal="center" vertical="center"/>
    </xf>
    <xf numFmtId="0" fontId="30" fillId="0" borderId="0" xfId="0" applyFont="1"/>
    <xf numFmtId="10" fontId="18" fillId="0" borderId="30" xfId="1" applyNumberFormat="1" applyFont="1" applyFill="1" applyBorder="1" applyAlignment="1">
      <alignment horizontal="center"/>
    </xf>
    <xf numFmtId="1" fontId="18" fillId="0" borderId="17" xfId="0" applyNumberFormat="1" applyFont="1" applyFill="1" applyBorder="1" applyAlignment="1">
      <alignment horizontal="center" vertical="center"/>
    </xf>
    <xf numFmtId="9" fontId="18" fillId="0" borderId="17" xfId="1" applyNumberFormat="1" applyFont="1" applyFill="1" applyBorder="1" applyAlignment="1">
      <alignment horizontal="center" vertical="center"/>
    </xf>
    <xf numFmtId="1" fontId="25" fillId="0" borderId="0" xfId="0" applyNumberFormat="1" applyFont="1" applyFill="1" applyBorder="1" applyAlignment="1">
      <alignment horizontal="left" vertical="center"/>
    </xf>
    <xf numFmtId="1" fontId="19" fillId="36" borderId="13" xfId="1" applyNumberFormat="1" applyFont="1" applyFill="1" applyBorder="1" applyAlignment="1">
      <alignment horizontal="center"/>
    </xf>
    <xf numFmtId="164" fontId="18" fillId="35" borderId="13" xfId="0" applyNumberFormat="1" applyFont="1" applyFill="1" applyBorder="1" applyAlignment="1">
      <alignment horizontal="center" wrapText="1"/>
    </xf>
    <xf numFmtId="10" fontId="18" fillId="0" borderId="32" xfId="1" applyNumberFormat="1" applyFont="1" applyFill="1" applyBorder="1" applyAlignment="1">
      <alignment horizontal="center"/>
    </xf>
    <xf numFmtId="10" fontId="18" fillId="0" borderId="15" xfId="1" applyNumberFormat="1" applyFont="1" applyFill="1" applyBorder="1" applyAlignment="1">
      <alignment horizontal="center"/>
    </xf>
    <xf numFmtId="10" fontId="18" fillId="0" borderId="28" xfId="1" applyNumberFormat="1" applyFont="1" applyFill="1" applyBorder="1" applyAlignment="1">
      <alignment horizontal="center"/>
    </xf>
    <xf numFmtId="1" fontId="18" fillId="0" borderId="10" xfId="0" applyNumberFormat="1" applyFont="1" applyFill="1" applyBorder="1" applyAlignment="1">
      <alignment horizontal="center" wrapText="1"/>
    </xf>
    <xf numFmtId="10" fontId="18" fillId="0" borderId="27" xfId="1" applyNumberFormat="1" applyFont="1" applyFill="1" applyBorder="1" applyAlignment="1">
      <alignment horizontal="center"/>
    </xf>
    <xf numFmtId="10" fontId="18" fillId="0" borderId="16" xfId="1" applyNumberFormat="1" applyFont="1" applyFill="1" applyBorder="1" applyAlignment="1">
      <alignment horizontal="center"/>
    </xf>
    <xf numFmtId="10" fontId="18" fillId="0" borderId="16" xfId="1" applyNumberFormat="1" applyFont="1" applyFill="1" applyBorder="1" applyAlignment="1">
      <alignment horizontal="center" wrapText="1"/>
    </xf>
    <xf numFmtId="10" fontId="18" fillId="33" borderId="16" xfId="1" applyNumberFormat="1" applyFont="1" applyFill="1" applyBorder="1" applyAlignment="1">
      <alignment horizontal="center" wrapText="1"/>
    </xf>
    <xf numFmtId="10" fontId="18" fillId="0" borderId="16" xfId="1" applyNumberFormat="1" applyFont="1" applyFill="1" applyBorder="1" applyAlignment="1">
      <alignment horizontal="center" vertical="top" wrapText="1"/>
    </xf>
    <xf numFmtId="10" fontId="18" fillId="39" borderId="20" xfId="1" applyNumberFormat="1" applyFont="1" applyFill="1" applyBorder="1" applyAlignment="1">
      <alignment horizontal="center"/>
    </xf>
    <xf numFmtId="166" fontId="18" fillId="39" borderId="27" xfId="1" applyNumberFormat="1" applyFont="1" applyFill="1" applyBorder="1" applyAlignment="1">
      <alignment horizontal="center"/>
    </xf>
    <xf numFmtId="166" fontId="18" fillId="39" borderId="30" xfId="1" applyNumberFormat="1" applyFont="1" applyFill="1" applyBorder="1" applyAlignment="1">
      <alignment horizontal="center"/>
    </xf>
    <xf numFmtId="0" fontId="17" fillId="0" borderId="0" xfId="0" applyFont="1"/>
    <xf numFmtId="0" fontId="18" fillId="0" borderId="0" xfId="1" applyNumberFormat="1" applyFont="1" applyFill="1" applyBorder="1" applyAlignment="1">
      <alignment horizontal="left" vertical="top"/>
    </xf>
    <xf numFmtId="164" fontId="18" fillId="35" borderId="34" xfId="0" applyNumberFormat="1" applyFont="1" applyFill="1" applyBorder="1" applyAlignment="1">
      <alignment horizontal="center" wrapText="1"/>
    </xf>
    <xf numFmtId="10" fontId="18" fillId="39" borderId="27" xfId="1" applyNumberFormat="1" applyFont="1" applyFill="1" applyBorder="1" applyAlignment="1">
      <alignment horizontal="center"/>
    </xf>
    <xf numFmtId="166" fontId="18" fillId="0" borderId="0" xfId="1" applyNumberFormat="1" applyFont="1" applyFill="1" applyBorder="1" applyAlignment="1">
      <alignment horizontal="center"/>
    </xf>
    <xf numFmtId="166" fontId="18" fillId="37" borderId="17" xfId="1" applyNumberFormat="1" applyFont="1" applyFill="1" applyBorder="1" applyAlignment="1">
      <alignment horizontal="center"/>
    </xf>
    <xf numFmtId="0" fontId="18" fillId="0" borderId="0" xfId="0" applyNumberFormat="1" applyFont="1" applyFill="1" applyBorder="1" applyAlignment="1">
      <alignment horizontal="left" vertical="top"/>
    </xf>
    <xf numFmtId="10" fontId="18" fillId="37" borderId="12" xfId="1" applyNumberFormat="1" applyFont="1" applyFill="1" applyBorder="1" applyAlignment="1">
      <alignment horizontal="center"/>
    </xf>
    <xf numFmtId="10" fontId="18" fillId="37" borderId="17" xfId="1" applyNumberFormat="1" applyFont="1" applyFill="1" applyBorder="1" applyAlignment="1">
      <alignment horizontal="center"/>
    </xf>
    <xf numFmtId="1" fontId="18" fillId="0" borderId="0" xfId="0" applyNumberFormat="1" applyFont="1" applyFill="1" applyBorder="1" applyAlignment="1">
      <alignment horizontal="left"/>
    </xf>
    <xf numFmtId="10" fontId="18" fillId="37" borderId="15" xfId="1" applyNumberFormat="1" applyFont="1" applyFill="1" applyBorder="1" applyAlignment="1">
      <alignment horizontal="center"/>
    </xf>
    <xf numFmtId="10" fontId="18" fillId="0" borderId="18" xfId="1" applyNumberFormat="1" applyFont="1" applyFill="1" applyBorder="1" applyAlignment="1">
      <alignment horizontal="left"/>
    </xf>
    <xf numFmtId="1" fontId="18" fillId="0" borderId="35" xfId="1" applyNumberFormat="1" applyFont="1" applyFill="1" applyBorder="1" applyAlignment="1">
      <alignment horizontal="center"/>
    </xf>
    <xf numFmtId="10" fontId="18" fillId="0" borderId="35" xfId="1" applyNumberFormat="1" applyFont="1" applyFill="1" applyBorder="1" applyAlignment="1">
      <alignment horizontal="center"/>
    </xf>
    <xf numFmtId="0" fontId="32" fillId="0" borderId="0" xfId="0" applyFont="1"/>
    <xf numFmtId="166" fontId="18" fillId="0" borderId="15" xfId="1" applyNumberFormat="1" applyFont="1" applyFill="1" applyBorder="1" applyAlignment="1">
      <alignment horizontal="center"/>
    </xf>
    <xf numFmtId="166" fontId="18" fillId="0" borderId="13" xfId="1" applyNumberFormat="1" applyFont="1" applyFill="1" applyBorder="1" applyAlignment="1">
      <alignment horizontal="center"/>
    </xf>
    <xf numFmtId="0" fontId="0" fillId="0" borderId="0" xfId="0" applyAlignment="1">
      <alignment wrapText="1"/>
    </xf>
    <xf numFmtId="0" fontId="33" fillId="0" borderId="0" xfId="0" applyFont="1" applyAlignment="1">
      <alignment horizontal="center"/>
    </xf>
    <xf numFmtId="167" fontId="0" fillId="0" borderId="0" xfId="0" applyNumberFormat="1"/>
    <xf numFmtId="166" fontId="0" fillId="0" borderId="0" xfId="0" applyNumberFormat="1"/>
    <xf numFmtId="0" fontId="16" fillId="0" borderId="0" xfId="0" applyFont="1" applyAlignment="1">
      <alignment horizontal="center" vertical="center"/>
    </xf>
    <xf numFmtId="0" fontId="0" fillId="0" borderId="0" xfId="0" applyAlignment="1">
      <alignment horizontal="center" vertical="center"/>
    </xf>
    <xf numFmtId="0" fontId="29" fillId="0" borderId="0" xfId="0" applyFont="1" applyAlignment="1">
      <alignment horizontal="center" vertical="center"/>
    </xf>
    <xf numFmtId="10" fontId="0" fillId="0" borderId="0" xfId="0" applyNumberFormat="1" applyAlignment="1">
      <alignment horizontal="center" vertical="center"/>
    </xf>
    <xf numFmtId="10" fontId="0" fillId="46" borderId="0" xfId="0" applyNumberFormat="1" applyFill="1" applyAlignment="1">
      <alignment horizontal="center" vertical="center"/>
    </xf>
    <xf numFmtId="9" fontId="0" fillId="46" borderId="0" xfId="0" applyNumberFormat="1" applyFill="1" applyAlignment="1">
      <alignment horizontal="center" vertical="center"/>
    </xf>
    <xf numFmtId="9" fontId="0" fillId="0" borderId="0" xfId="1" applyFont="1" applyAlignment="1">
      <alignment horizontal="center" vertical="center"/>
    </xf>
    <xf numFmtId="0" fontId="16" fillId="33" borderId="0" xfId="0" applyFont="1" applyFill="1" applyAlignment="1">
      <alignment horizontal="center" vertical="center"/>
    </xf>
    <xf numFmtId="0" fontId="0" fillId="0" borderId="0" xfId="0" applyBorder="1"/>
    <xf numFmtId="0" fontId="0" fillId="0" borderId="13" xfId="0" applyBorder="1"/>
    <xf numFmtId="0" fontId="38" fillId="0" borderId="0" xfId="0" applyFont="1"/>
    <xf numFmtId="0" fontId="0" fillId="53" borderId="36" xfId="0" applyFill="1" applyBorder="1"/>
    <xf numFmtId="0" fontId="0" fillId="53" borderId="37" xfId="0" applyFill="1" applyBorder="1"/>
    <xf numFmtId="0" fontId="0" fillId="53" borderId="38" xfId="0" applyFill="1" applyBorder="1"/>
    <xf numFmtId="0" fontId="0" fillId="53" borderId="39" xfId="0" applyFill="1" applyBorder="1"/>
    <xf numFmtId="0" fontId="0" fillId="53" borderId="0" xfId="0" applyFill="1" applyBorder="1"/>
    <xf numFmtId="43" fontId="0" fillId="53" borderId="0" xfId="43" applyFont="1" applyFill="1" applyBorder="1"/>
    <xf numFmtId="0" fontId="0" fillId="53" borderId="40" xfId="0" applyFill="1" applyBorder="1"/>
    <xf numFmtId="0" fontId="0" fillId="53" borderId="0" xfId="0" applyFill="1" applyBorder="1" applyAlignment="1"/>
    <xf numFmtId="0" fontId="38" fillId="53" borderId="0" xfId="0" applyFont="1" applyFill="1" applyBorder="1"/>
    <xf numFmtId="0" fontId="25" fillId="53" borderId="0" xfId="0" applyFont="1" applyFill="1" applyBorder="1"/>
    <xf numFmtId="0" fontId="0" fillId="53" borderId="41" xfId="0" applyFill="1" applyBorder="1"/>
    <xf numFmtId="0" fontId="0" fillId="53" borderId="42" xfId="0" applyFill="1" applyBorder="1"/>
    <xf numFmtId="0" fontId="0" fillId="53" borderId="43" xfId="0" applyFill="1" applyBorder="1"/>
    <xf numFmtId="0" fontId="0" fillId="53" borderId="42" xfId="0" applyFont="1" applyFill="1" applyBorder="1"/>
    <xf numFmtId="0" fontId="0" fillId="53" borderId="0" xfId="0" applyFont="1" applyFill="1" applyBorder="1"/>
    <xf numFmtId="0" fontId="16" fillId="0" borderId="13" xfId="0" applyFont="1" applyFill="1" applyBorder="1" applyProtection="1">
      <protection locked="0"/>
    </xf>
    <xf numFmtId="165" fontId="16" fillId="0" borderId="13" xfId="1" applyNumberFormat="1" applyFont="1" applyFill="1" applyBorder="1" applyProtection="1">
      <protection locked="0"/>
    </xf>
    <xf numFmtId="0" fontId="0" fillId="0" borderId="0" xfId="0" applyProtection="1">
      <protection locked="0"/>
    </xf>
    <xf numFmtId="0" fontId="0" fillId="0" borderId="13" xfId="0" applyBorder="1" applyProtection="1">
      <protection locked="0"/>
    </xf>
    <xf numFmtId="10" fontId="0" fillId="0" borderId="0" xfId="1" applyNumberFormat="1" applyFont="1" applyProtection="1">
      <protection locked="0"/>
    </xf>
    <xf numFmtId="43" fontId="0" fillId="0" borderId="0" xfId="43" applyFont="1" applyProtection="1">
      <protection locked="0"/>
    </xf>
    <xf numFmtId="165" fontId="0" fillId="0" borderId="0" xfId="1" applyNumberFormat="1" applyFont="1" applyProtection="1">
      <protection locked="0"/>
    </xf>
    <xf numFmtId="168" fontId="0" fillId="0" borderId="0" xfId="43" applyNumberFormat="1" applyFont="1" applyProtection="1">
      <protection locked="0"/>
    </xf>
    <xf numFmtId="0" fontId="0" fillId="33" borderId="13" xfId="0" applyFill="1" applyBorder="1" applyProtection="1">
      <protection locked="0"/>
    </xf>
    <xf numFmtId="165" fontId="0" fillId="0" borderId="13" xfId="1" applyNumberFormat="1" applyFont="1" applyBorder="1" applyProtection="1">
      <protection locked="0"/>
    </xf>
    <xf numFmtId="14" fontId="0" fillId="0" borderId="0" xfId="0" applyNumberFormat="1" applyProtection="1">
      <protection locked="0"/>
    </xf>
    <xf numFmtId="0" fontId="0" fillId="0" borderId="0" xfId="0" applyFill="1" applyProtection="1">
      <protection locked="0"/>
    </xf>
    <xf numFmtId="43" fontId="0" fillId="55" borderId="13" xfId="43" applyFont="1" applyFill="1" applyBorder="1" applyProtection="1"/>
    <xf numFmtId="165" fontId="0" fillId="55" borderId="0" xfId="1" applyNumberFormat="1" applyFont="1" applyFill="1" applyProtection="1"/>
    <xf numFmtId="0" fontId="0" fillId="0" borderId="0" xfId="0" applyBorder="1" applyProtection="1">
      <protection locked="0"/>
    </xf>
    <xf numFmtId="0" fontId="0" fillId="0" borderId="0" xfId="0" applyFill="1" applyBorder="1" applyProtection="1">
      <protection locked="0"/>
    </xf>
    <xf numFmtId="0" fontId="16" fillId="0" borderId="0" xfId="0" applyFont="1" applyProtection="1">
      <protection locked="0"/>
    </xf>
    <xf numFmtId="168" fontId="16" fillId="0" borderId="0" xfId="43" applyNumberFormat="1" applyFont="1" applyProtection="1">
      <protection locked="0"/>
    </xf>
    <xf numFmtId="2" fontId="0" fillId="0" borderId="0" xfId="1" applyNumberFormat="1" applyFont="1" applyProtection="1">
      <protection locked="0"/>
    </xf>
    <xf numFmtId="0" fontId="0" fillId="33" borderId="0" xfId="0" applyFill="1" applyProtection="1">
      <protection locked="0"/>
    </xf>
    <xf numFmtId="167" fontId="0" fillId="0" borderId="0" xfId="1" applyNumberFormat="1" applyFont="1" applyProtection="1">
      <protection locked="0"/>
    </xf>
    <xf numFmtId="10" fontId="0" fillId="0" borderId="0" xfId="1" applyNumberFormat="1" applyFont="1" applyFill="1" applyProtection="1">
      <protection locked="0"/>
    </xf>
    <xf numFmtId="0" fontId="0" fillId="55" borderId="0" xfId="0" applyFill="1" applyProtection="1"/>
    <xf numFmtId="0" fontId="16" fillId="0" borderId="13" xfId="0" applyFont="1" applyBorder="1" applyProtection="1">
      <protection locked="0"/>
    </xf>
    <xf numFmtId="168" fontId="16" fillId="0" borderId="13" xfId="43" applyNumberFormat="1" applyFont="1" applyFill="1" applyBorder="1" applyProtection="1">
      <protection locked="0"/>
    </xf>
    <xf numFmtId="0" fontId="0" fillId="55" borderId="13" xfId="0" applyFill="1" applyBorder="1" applyProtection="1"/>
    <xf numFmtId="168" fontId="0" fillId="55" borderId="13" xfId="43" applyNumberFormat="1" applyFont="1" applyFill="1" applyBorder="1" applyProtection="1"/>
    <xf numFmtId="165" fontId="0" fillId="55" borderId="13" xfId="1" applyNumberFormat="1" applyFont="1" applyFill="1" applyBorder="1" applyProtection="1"/>
    <xf numFmtId="2" fontId="0" fillId="0" borderId="13" xfId="1" applyNumberFormat="1" applyFont="1" applyBorder="1" applyProtection="1">
      <protection locked="0"/>
    </xf>
    <xf numFmtId="168" fontId="0" fillId="55" borderId="13" xfId="0" applyNumberFormat="1" applyFill="1" applyBorder="1" applyProtection="1"/>
    <xf numFmtId="11" fontId="0" fillId="0" borderId="0" xfId="0" applyNumberFormat="1" applyProtection="1">
      <protection locked="0"/>
    </xf>
    <xf numFmtId="10" fontId="16" fillId="47" borderId="0" xfId="1" applyNumberFormat="1" applyFont="1" applyFill="1" applyProtection="1">
      <protection locked="0"/>
    </xf>
    <xf numFmtId="10" fontId="16" fillId="40" borderId="0" xfId="1" applyNumberFormat="1" applyFont="1" applyFill="1" applyProtection="1">
      <protection locked="0"/>
    </xf>
    <xf numFmtId="10" fontId="16" fillId="0" borderId="0" xfId="1" applyNumberFormat="1" applyFont="1" applyProtection="1">
      <protection locked="0"/>
    </xf>
    <xf numFmtId="10" fontId="16" fillId="34" borderId="0" xfId="1" applyNumberFormat="1" applyFont="1" applyFill="1" applyProtection="1">
      <protection locked="0"/>
    </xf>
    <xf numFmtId="0" fontId="0" fillId="40" borderId="0" xfId="0" applyFill="1" applyProtection="1">
      <protection locked="0"/>
    </xf>
    <xf numFmtId="0" fontId="0" fillId="47" borderId="0" xfId="0" applyFill="1" applyProtection="1">
      <protection locked="0"/>
    </xf>
    <xf numFmtId="2" fontId="0" fillId="0" borderId="0" xfId="0" applyNumberFormat="1" applyProtection="1">
      <protection locked="0"/>
    </xf>
    <xf numFmtId="165" fontId="0" fillId="0" borderId="0" xfId="0" applyNumberFormat="1" applyProtection="1">
      <protection locked="0"/>
    </xf>
    <xf numFmtId="169" fontId="0" fillId="0" borderId="0" xfId="0" applyNumberFormat="1" applyProtection="1">
      <protection locked="0"/>
    </xf>
    <xf numFmtId="10" fontId="0" fillId="33" borderId="0" xfId="0" applyNumberFormat="1" applyFill="1" applyProtection="1">
      <protection locked="0"/>
    </xf>
    <xf numFmtId="9" fontId="0" fillId="0" borderId="0" xfId="0" applyNumberFormat="1" applyProtection="1">
      <protection locked="0"/>
    </xf>
    <xf numFmtId="10" fontId="0" fillId="55" borderId="0" xfId="0" applyNumberFormat="1" applyFill="1" applyProtection="1"/>
    <xf numFmtId="2" fontId="0" fillId="55" borderId="0" xfId="0" applyNumberFormat="1" applyFill="1" applyProtection="1"/>
    <xf numFmtId="10" fontId="0" fillId="55" borderId="0" xfId="1" applyNumberFormat="1" applyFont="1" applyFill="1" applyProtection="1"/>
    <xf numFmtId="169" fontId="0" fillId="55" borderId="0" xfId="0" applyNumberFormat="1" applyFill="1" applyProtection="1"/>
    <xf numFmtId="0" fontId="0" fillId="0" borderId="0" xfId="0" applyAlignment="1" applyProtection="1">
      <alignment horizontal="left" vertical="center"/>
      <protection locked="0"/>
    </xf>
    <xf numFmtId="0" fontId="0" fillId="0" borderId="0" xfId="0" applyAlignment="1" applyProtection="1">
      <alignment horizontal="center" vertical="center"/>
      <protection locked="0"/>
    </xf>
    <xf numFmtId="0" fontId="0" fillId="0" borderId="0" xfId="0" applyAlignment="1" applyProtection="1">
      <alignment horizontal="center" vertical="center" wrapText="1"/>
      <protection locked="0"/>
    </xf>
    <xf numFmtId="165" fontId="16" fillId="43" borderId="13" xfId="1" applyNumberFormat="1" applyFont="1" applyFill="1" applyBorder="1" applyProtection="1">
      <protection locked="0"/>
    </xf>
    <xf numFmtId="168" fontId="16" fillId="43" borderId="13" xfId="43" applyNumberFormat="1" applyFont="1" applyFill="1" applyBorder="1" applyProtection="1">
      <protection locked="0"/>
    </xf>
    <xf numFmtId="165" fontId="16" fillId="43" borderId="13" xfId="1" applyNumberFormat="1" applyFont="1" applyFill="1" applyBorder="1" applyAlignment="1" applyProtection="1">
      <alignment horizontal="center" vertical="center"/>
      <protection locked="0"/>
    </xf>
    <xf numFmtId="168" fontId="16" fillId="43" borderId="13" xfId="43" applyNumberFormat="1" applyFont="1" applyFill="1" applyBorder="1" applyAlignment="1" applyProtection="1">
      <alignment horizontal="center" vertical="center"/>
      <protection locked="0"/>
    </xf>
    <xf numFmtId="43" fontId="0" fillId="0" borderId="0" xfId="0" applyNumberFormat="1" applyProtection="1">
      <protection locked="0"/>
    </xf>
    <xf numFmtId="0" fontId="0" fillId="51" borderId="0" xfId="0" applyFill="1" applyProtection="1">
      <protection locked="0"/>
    </xf>
    <xf numFmtId="167" fontId="0" fillId="0" borderId="0" xfId="0" applyNumberFormat="1" applyProtection="1">
      <protection locked="0"/>
    </xf>
    <xf numFmtId="10" fontId="39" fillId="54" borderId="0" xfId="1" applyNumberFormat="1" applyFont="1" applyFill="1" applyBorder="1" applyAlignment="1" applyProtection="1">
      <alignment vertical="center"/>
      <protection locked="0"/>
    </xf>
    <xf numFmtId="11" fontId="0" fillId="0" borderId="0" xfId="1" applyNumberFormat="1" applyFont="1" applyProtection="1">
      <protection locked="0"/>
    </xf>
    <xf numFmtId="43" fontId="0" fillId="0" borderId="0" xfId="43" applyFont="1" applyFill="1" applyProtection="1">
      <protection locked="0"/>
    </xf>
    <xf numFmtId="11" fontId="0" fillId="0" borderId="0" xfId="0" applyNumberFormat="1" applyFill="1" applyProtection="1">
      <protection locked="0"/>
    </xf>
    <xf numFmtId="2" fontId="0" fillId="55" borderId="13" xfId="0" applyNumberFormat="1" applyFill="1" applyBorder="1" applyProtection="1"/>
    <xf numFmtId="43" fontId="0" fillId="55" borderId="13" xfId="0" applyNumberFormat="1" applyFill="1" applyBorder="1" applyProtection="1"/>
    <xf numFmtId="10" fontId="0" fillId="55" borderId="13" xfId="1" applyNumberFormat="1" applyFont="1" applyFill="1" applyBorder="1" applyProtection="1"/>
    <xf numFmtId="0" fontId="0" fillId="51" borderId="13" xfId="0" applyFill="1" applyBorder="1" applyProtection="1">
      <protection locked="0"/>
    </xf>
    <xf numFmtId="14" fontId="16" fillId="0" borderId="0" xfId="0" applyNumberFormat="1" applyFont="1" applyProtection="1">
      <protection locked="0"/>
    </xf>
    <xf numFmtId="43" fontId="16" fillId="0" borderId="0" xfId="43" applyFont="1" applyFill="1" applyProtection="1">
      <protection locked="0"/>
    </xf>
    <xf numFmtId="43" fontId="16" fillId="0" borderId="0" xfId="43" applyFont="1" applyProtection="1">
      <protection locked="0"/>
    </xf>
    <xf numFmtId="2" fontId="16" fillId="47" borderId="0" xfId="1" applyNumberFormat="1" applyFont="1" applyFill="1" applyProtection="1">
      <protection locked="0"/>
    </xf>
    <xf numFmtId="2" fontId="16" fillId="0" borderId="0" xfId="1" applyNumberFormat="1" applyFont="1" applyProtection="1">
      <protection locked="0"/>
    </xf>
    <xf numFmtId="2" fontId="16" fillId="33" borderId="0" xfId="1" applyNumberFormat="1" applyFont="1" applyFill="1" applyProtection="1">
      <protection locked="0"/>
    </xf>
    <xf numFmtId="43" fontId="16" fillId="33" borderId="0" xfId="43" applyFont="1" applyFill="1" applyProtection="1">
      <protection locked="0"/>
    </xf>
    <xf numFmtId="43" fontId="16" fillId="35" borderId="0" xfId="43" applyFont="1" applyFill="1" applyProtection="1">
      <protection locked="0"/>
    </xf>
    <xf numFmtId="0" fontId="16" fillId="33" borderId="0" xfId="0" applyFont="1" applyFill="1" applyProtection="1">
      <protection locked="0"/>
    </xf>
    <xf numFmtId="14" fontId="16" fillId="51" borderId="0" xfId="0" applyNumberFormat="1" applyFont="1" applyFill="1" applyProtection="1">
      <protection locked="0"/>
    </xf>
    <xf numFmtId="0" fontId="16" fillId="33" borderId="13" xfId="0" applyFont="1" applyFill="1" applyBorder="1" applyProtection="1">
      <protection locked="0"/>
    </xf>
    <xf numFmtId="0" fontId="16" fillId="49" borderId="13" xfId="0" applyFont="1" applyFill="1" applyBorder="1" applyProtection="1">
      <protection locked="0"/>
    </xf>
    <xf numFmtId="0" fontId="0" fillId="36" borderId="0" xfId="0" applyFill="1" applyProtection="1">
      <protection locked="0"/>
    </xf>
    <xf numFmtId="0" fontId="0" fillId="34" borderId="0" xfId="0" applyFill="1" applyProtection="1">
      <protection locked="0"/>
    </xf>
    <xf numFmtId="0" fontId="0" fillId="37" borderId="0" xfId="0" applyFill="1" applyProtection="1">
      <protection locked="0"/>
    </xf>
    <xf numFmtId="16" fontId="0" fillId="0" borderId="0" xfId="0" applyNumberFormat="1" applyProtection="1">
      <protection locked="0"/>
    </xf>
    <xf numFmtId="0" fontId="28" fillId="0" borderId="0" xfId="0" applyFont="1" applyProtection="1">
      <protection locked="0"/>
    </xf>
    <xf numFmtId="0" fontId="29" fillId="0" borderId="0" xfId="0" applyFont="1" applyProtection="1">
      <protection locked="0"/>
    </xf>
    <xf numFmtId="0" fontId="16" fillId="0" borderId="13" xfId="0" applyFont="1" applyBorder="1"/>
    <xf numFmtId="0" fontId="16" fillId="0" borderId="13" xfId="0" applyFont="1" applyFill="1" applyBorder="1"/>
    <xf numFmtId="2" fontId="0" fillId="0" borderId="13" xfId="1" applyNumberFormat="1" applyFont="1" applyBorder="1"/>
    <xf numFmtId="168" fontId="0" fillId="0" borderId="13" xfId="43" applyNumberFormat="1" applyFont="1" applyBorder="1"/>
    <xf numFmtId="165" fontId="0" fillId="0" borderId="13" xfId="1" applyNumberFormat="1" applyFont="1" applyBorder="1"/>
    <xf numFmtId="165" fontId="0" fillId="0" borderId="13" xfId="1" applyNumberFormat="1" applyFont="1" applyFill="1" applyBorder="1"/>
    <xf numFmtId="2" fontId="16" fillId="0" borderId="13" xfId="1" applyNumberFormat="1" applyFont="1" applyBorder="1"/>
    <xf numFmtId="168" fontId="16" fillId="0" borderId="13" xfId="43" applyNumberFormat="1" applyFont="1" applyBorder="1"/>
    <xf numFmtId="165" fontId="16" fillId="0" borderId="13" xfId="1" applyNumberFormat="1" applyFont="1" applyBorder="1"/>
    <xf numFmtId="165" fontId="16" fillId="0" borderId="13" xfId="1" applyNumberFormat="1" applyFont="1" applyFill="1" applyBorder="1"/>
    <xf numFmtId="0" fontId="16" fillId="0" borderId="0" xfId="0" applyFont="1" applyFill="1" applyBorder="1" applyAlignment="1"/>
    <xf numFmtId="0" fontId="0" fillId="0" borderId="31" xfId="0" applyBorder="1"/>
    <xf numFmtId="0" fontId="16" fillId="0" borderId="20" xfId="0" applyFont="1" applyBorder="1"/>
    <xf numFmtId="0" fontId="16" fillId="0" borderId="31" xfId="0" applyFont="1" applyBorder="1"/>
    <xf numFmtId="0" fontId="16" fillId="57" borderId="0" xfId="0" applyFont="1" applyFill="1"/>
    <xf numFmtId="9" fontId="0" fillId="0" borderId="0" xfId="0" applyNumberFormat="1"/>
    <xf numFmtId="0" fontId="16" fillId="0" borderId="0" xfId="0" applyFont="1" applyFill="1"/>
    <xf numFmtId="169" fontId="0" fillId="33" borderId="0" xfId="0" applyNumberFormat="1" applyFill="1"/>
    <xf numFmtId="0" fontId="32" fillId="0" borderId="0" xfId="0" applyFont="1" applyFill="1" applyBorder="1" applyProtection="1">
      <protection locked="0"/>
    </xf>
    <xf numFmtId="0" fontId="42" fillId="47" borderId="0" xfId="0" applyFont="1" applyFill="1" applyProtection="1">
      <protection locked="0"/>
    </xf>
    <xf numFmtId="0" fontId="43" fillId="0" borderId="0" xfId="0" applyFont="1" applyFill="1" applyBorder="1" applyAlignment="1" applyProtection="1">
      <alignment wrapText="1"/>
      <protection locked="0"/>
    </xf>
    <xf numFmtId="0" fontId="0" fillId="55" borderId="13" xfId="0" applyFill="1" applyBorder="1"/>
    <xf numFmtId="172" fontId="0" fillId="0" borderId="0" xfId="0" applyNumberFormat="1"/>
    <xf numFmtId="172" fontId="0" fillId="48" borderId="0" xfId="0" applyNumberFormat="1" applyFill="1"/>
    <xf numFmtId="0" fontId="0" fillId="55" borderId="0" xfId="0" applyFill="1" applyBorder="1"/>
    <xf numFmtId="0" fontId="0" fillId="51" borderId="0" xfId="0" applyFill="1" applyBorder="1" applyProtection="1">
      <protection locked="0"/>
    </xf>
    <xf numFmtId="0" fontId="16" fillId="52" borderId="13" xfId="0" applyFont="1" applyFill="1" applyBorder="1"/>
    <xf numFmtId="10" fontId="0" fillId="0" borderId="13" xfId="0" applyNumberFormat="1" applyBorder="1"/>
    <xf numFmtId="10" fontId="0" fillId="0" borderId="13" xfId="1" applyNumberFormat="1" applyFont="1" applyBorder="1"/>
    <xf numFmtId="43" fontId="16" fillId="0" borderId="13" xfId="43" applyNumberFormat="1" applyFont="1" applyBorder="1"/>
    <xf numFmtId="174" fontId="0" fillId="0" borderId="13" xfId="0" applyNumberFormat="1" applyBorder="1"/>
    <xf numFmtId="1" fontId="0" fillId="0" borderId="13" xfId="0" applyNumberFormat="1" applyBorder="1"/>
    <xf numFmtId="174" fontId="16" fillId="0" borderId="13" xfId="0" applyNumberFormat="1" applyFont="1" applyBorder="1"/>
    <xf numFmtId="0" fontId="0" fillId="43" borderId="13" xfId="0" applyFill="1" applyBorder="1" applyProtection="1">
      <protection locked="0"/>
    </xf>
    <xf numFmtId="0" fontId="16" fillId="0" borderId="0" xfId="0" applyFont="1" applyAlignment="1" applyProtection="1">
      <alignment wrapText="1"/>
      <protection locked="0"/>
    </xf>
    <xf numFmtId="0" fontId="0" fillId="0" borderId="0" xfId="0" applyAlignment="1" applyProtection="1">
      <protection locked="0"/>
    </xf>
    <xf numFmtId="0" fontId="16" fillId="0" borderId="0" xfId="0" applyFont="1" applyAlignment="1" applyProtection="1">
      <protection locked="0"/>
    </xf>
    <xf numFmtId="169" fontId="0" fillId="55" borderId="0" xfId="0" applyNumberFormat="1" applyFill="1" applyAlignment="1" applyProtection="1"/>
    <xf numFmtId="10" fontId="0" fillId="33" borderId="0" xfId="0" applyNumberFormat="1" applyFill="1" applyAlignment="1" applyProtection="1">
      <protection locked="0"/>
    </xf>
    <xf numFmtId="0" fontId="0" fillId="0" borderId="0" xfId="0"/>
    <xf numFmtId="0" fontId="29" fillId="35" borderId="0" xfId="0" applyFont="1" applyFill="1" applyAlignment="1" applyProtection="1">
      <alignment horizontal="left" vertical="center"/>
      <protection locked="0"/>
    </xf>
    <xf numFmtId="0" fontId="0" fillId="35" borderId="0" xfId="0" applyFill="1" applyAlignment="1" applyProtection="1">
      <alignment horizontal="left" vertical="center"/>
      <protection locked="0"/>
    </xf>
    <xf numFmtId="0" fontId="0" fillId="0" borderId="0" xfId="0" applyAlignment="1" applyProtection="1">
      <alignment horizontal="left" vertical="center"/>
      <protection locked="0"/>
    </xf>
    <xf numFmtId="9" fontId="0" fillId="0" borderId="0" xfId="0" applyNumberFormat="1" applyAlignment="1" applyProtection="1">
      <alignment horizontal="left" vertical="center"/>
      <protection locked="0"/>
    </xf>
    <xf numFmtId="0" fontId="29" fillId="0" borderId="0" xfId="0" applyFont="1" applyAlignment="1" applyProtection="1">
      <alignment horizontal="center" vertical="center"/>
      <protection locked="0"/>
    </xf>
    <xf numFmtId="9" fontId="0" fillId="0" borderId="0" xfId="0" applyNumberFormat="1" applyAlignment="1" applyProtection="1">
      <alignment horizontal="center" vertical="center"/>
      <protection locked="0"/>
    </xf>
    <xf numFmtId="0" fontId="0" fillId="0" borderId="0" xfId="0" applyAlignment="1" applyProtection="1">
      <alignment horizontal="center" vertical="center"/>
      <protection locked="0"/>
    </xf>
    <xf numFmtId="0" fontId="0" fillId="0" borderId="0" xfId="0" applyAlignment="1" applyProtection="1">
      <alignment horizontal="center" vertical="center" wrapText="1"/>
      <protection locked="0"/>
    </xf>
    <xf numFmtId="0" fontId="0" fillId="37" borderId="0" xfId="0" applyFill="1" applyAlignment="1" applyProtection="1">
      <alignment horizontal="center" vertical="center" wrapText="1"/>
      <protection locked="0"/>
    </xf>
    <xf numFmtId="0" fontId="0" fillId="41" borderId="0" xfId="0" applyFill="1" applyAlignment="1" applyProtection="1">
      <alignment horizontal="center" vertical="center" wrapText="1"/>
      <protection locked="0"/>
    </xf>
    <xf numFmtId="0" fontId="0" fillId="45" borderId="0" xfId="0" applyFill="1" applyAlignment="1" applyProtection="1">
      <alignment horizontal="center" vertical="center" wrapText="1"/>
      <protection locked="0"/>
    </xf>
    <xf numFmtId="0" fontId="0" fillId="38" borderId="0" xfId="0" applyFill="1" applyAlignment="1" applyProtection="1">
      <alignment horizontal="center" vertical="center"/>
      <protection locked="0"/>
    </xf>
    <xf numFmtId="165" fontId="0" fillId="0" borderId="0" xfId="1" applyNumberFormat="1" applyFont="1" applyFill="1" applyAlignment="1" applyProtection="1">
      <alignment horizontal="center" vertical="center"/>
      <protection locked="0"/>
    </xf>
    <xf numFmtId="0" fontId="0" fillId="0" borderId="0" xfId="1" applyNumberFormat="1" applyFont="1" applyFill="1" applyAlignment="1" applyProtection="1">
      <alignment horizontal="center" vertical="center"/>
      <protection locked="0"/>
    </xf>
    <xf numFmtId="0" fontId="0" fillId="0" borderId="0" xfId="0" applyNumberFormat="1" applyFill="1" applyAlignment="1" applyProtection="1">
      <alignment horizontal="center" vertical="center"/>
      <protection locked="0"/>
    </xf>
    <xf numFmtId="0" fontId="0" fillId="0" borderId="0" xfId="0" applyNumberFormat="1" applyAlignment="1" applyProtection="1">
      <alignment horizontal="center" vertical="center"/>
      <protection locked="0"/>
    </xf>
    <xf numFmtId="165" fontId="0" fillId="0" borderId="0" xfId="1" applyNumberFormat="1" applyFont="1" applyAlignment="1" applyProtection="1">
      <alignment horizontal="center" vertical="center"/>
      <protection locked="0"/>
    </xf>
    <xf numFmtId="168" fontId="0" fillId="0" borderId="0" xfId="43" applyNumberFormat="1" applyFont="1" applyAlignment="1" applyProtection="1">
      <alignment horizontal="center" vertical="center"/>
      <protection locked="0"/>
    </xf>
    <xf numFmtId="0" fontId="25" fillId="0" borderId="0" xfId="1" applyNumberFormat="1" applyFont="1" applyFill="1" applyAlignment="1" applyProtection="1">
      <alignment horizontal="center" vertical="center"/>
      <protection locked="0"/>
    </xf>
    <xf numFmtId="165" fontId="0" fillId="0" borderId="0" xfId="0" applyNumberFormat="1" applyAlignment="1" applyProtection="1">
      <alignment horizontal="center" vertical="center"/>
      <protection locked="0"/>
    </xf>
    <xf numFmtId="0" fontId="0" fillId="38" borderId="0" xfId="0" applyFont="1" applyFill="1" applyAlignment="1" applyProtection="1">
      <alignment horizontal="center" vertical="center"/>
      <protection locked="0"/>
    </xf>
    <xf numFmtId="0" fontId="1" fillId="0" borderId="0" xfId="1" applyNumberFormat="1" applyFont="1" applyFill="1" applyAlignment="1" applyProtection="1">
      <alignment horizontal="center" vertical="center"/>
      <protection locked="0"/>
    </xf>
    <xf numFmtId="0" fontId="0" fillId="0" borderId="0" xfId="0" applyNumberFormat="1" applyFont="1" applyAlignment="1" applyProtection="1">
      <alignment horizontal="center" vertical="center"/>
      <protection locked="0"/>
    </xf>
    <xf numFmtId="10" fontId="0" fillId="0" borderId="0" xfId="0" applyNumberFormat="1" applyAlignment="1" applyProtection="1">
      <alignment horizontal="center" vertical="center"/>
      <protection locked="0"/>
    </xf>
    <xf numFmtId="165" fontId="16" fillId="0" borderId="0" xfId="0" applyNumberFormat="1" applyFont="1" applyAlignment="1" applyProtection="1">
      <alignment horizontal="left" vertical="center"/>
      <protection locked="0"/>
    </xf>
    <xf numFmtId="10" fontId="0" fillId="0" borderId="0" xfId="0" applyNumberFormat="1" applyAlignment="1" applyProtection="1">
      <alignment horizontal="left" vertical="center"/>
      <protection locked="0"/>
    </xf>
    <xf numFmtId="0" fontId="16" fillId="0" borderId="0" xfId="0" applyFont="1" applyAlignment="1" applyProtection="1">
      <alignment horizontal="center" vertical="center"/>
      <protection locked="0"/>
    </xf>
    <xf numFmtId="165" fontId="0" fillId="0" borderId="0" xfId="0" applyNumberFormat="1" applyAlignment="1" applyProtection="1">
      <alignment horizontal="left" vertical="center"/>
      <protection locked="0"/>
    </xf>
    <xf numFmtId="168" fontId="0" fillId="0" borderId="0" xfId="0" applyNumberFormat="1" applyAlignment="1" applyProtection="1">
      <alignment horizontal="center" vertical="center"/>
      <protection locked="0"/>
    </xf>
    <xf numFmtId="0" fontId="0" fillId="55" borderId="0" xfId="0" applyNumberFormat="1" applyFill="1" applyAlignment="1" applyProtection="1">
      <alignment horizontal="center" vertical="center"/>
    </xf>
    <xf numFmtId="0" fontId="25" fillId="55" borderId="0" xfId="0" applyNumberFormat="1" applyFont="1" applyFill="1" applyAlignment="1" applyProtection="1">
      <alignment horizontal="center" vertical="center"/>
    </xf>
    <xf numFmtId="0" fontId="0" fillId="55" borderId="0" xfId="0" applyNumberFormat="1" applyFont="1" applyFill="1" applyAlignment="1" applyProtection="1">
      <alignment horizontal="center" vertical="center"/>
    </xf>
    <xf numFmtId="0" fontId="1" fillId="55" borderId="0" xfId="1" applyNumberFormat="1" applyFont="1" applyFill="1" applyAlignment="1" applyProtection="1">
      <alignment horizontal="center" vertical="center"/>
    </xf>
    <xf numFmtId="0" fontId="25" fillId="55" borderId="0" xfId="1" applyNumberFormat="1" applyFont="1" applyFill="1" applyAlignment="1" applyProtection="1">
      <alignment horizontal="center" vertical="center"/>
    </xf>
    <xf numFmtId="9" fontId="0" fillId="48" borderId="0" xfId="1" applyFont="1" applyFill="1" applyProtection="1">
      <protection locked="0"/>
    </xf>
    <xf numFmtId="165" fontId="0" fillId="48" borderId="0" xfId="1" applyNumberFormat="1" applyFont="1" applyFill="1" applyProtection="1">
      <protection locked="0"/>
    </xf>
    <xf numFmtId="0" fontId="0" fillId="43" borderId="0" xfId="0" applyFill="1" applyProtection="1">
      <protection locked="0"/>
    </xf>
    <xf numFmtId="165" fontId="14" fillId="48" borderId="0" xfId="1" applyNumberFormat="1" applyFont="1" applyFill="1" applyProtection="1">
      <protection locked="0"/>
    </xf>
    <xf numFmtId="0" fontId="0" fillId="0" borderId="0" xfId="1" applyNumberFormat="1" applyFont="1" applyFill="1" applyProtection="1">
      <protection locked="0"/>
    </xf>
    <xf numFmtId="10" fontId="0" fillId="0" borderId="0" xfId="1" applyNumberFormat="1" applyFont="1" applyProtection="1">
      <protection locked="0"/>
    </xf>
    <xf numFmtId="165" fontId="0" fillId="0" borderId="0" xfId="1" applyNumberFormat="1" applyFont="1" applyProtection="1">
      <protection locked="0"/>
    </xf>
    <xf numFmtId="165" fontId="0" fillId="55" borderId="0" xfId="1" applyNumberFormat="1" applyFont="1" applyFill="1" applyProtection="1"/>
    <xf numFmtId="0" fontId="16" fillId="0" borderId="0" xfId="0" applyFont="1" applyProtection="1">
      <protection locked="0"/>
    </xf>
    <xf numFmtId="165" fontId="0" fillId="0" borderId="0" xfId="1" applyNumberFormat="1" applyFont="1" applyFill="1" applyProtection="1">
      <protection locked="0"/>
    </xf>
    <xf numFmtId="10" fontId="0" fillId="0" borderId="0" xfId="1" applyNumberFormat="1" applyFont="1" applyFill="1" applyProtection="1">
      <protection locked="0"/>
    </xf>
    <xf numFmtId="10" fontId="0" fillId="0" borderId="0" xfId="0" applyNumberFormat="1" applyProtection="1">
      <protection locked="0"/>
    </xf>
    <xf numFmtId="10" fontId="0" fillId="55" borderId="0" xfId="1" applyNumberFormat="1" applyFont="1" applyFill="1" applyProtection="1"/>
    <xf numFmtId="2" fontId="0" fillId="33" borderId="0" xfId="1" applyNumberFormat="1" applyFont="1" applyFill="1" applyProtection="1">
      <protection locked="0"/>
    </xf>
    <xf numFmtId="0" fontId="16" fillId="33" borderId="0" xfId="0" applyFont="1" applyFill="1" applyProtection="1">
      <protection locked="0"/>
    </xf>
    <xf numFmtId="0" fontId="16" fillId="36" borderId="0" xfId="0" applyFont="1" applyFill="1" applyProtection="1">
      <protection locked="0"/>
    </xf>
    <xf numFmtId="0" fontId="16" fillId="35" borderId="0" xfId="0" applyFont="1" applyFill="1" applyProtection="1">
      <protection locked="0"/>
    </xf>
    <xf numFmtId="0" fontId="0" fillId="36" borderId="0" xfId="0" applyFill="1" applyProtection="1">
      <protection locked="0"/>
    </xf>
    <xf numFmtId="0" fontId="0" fillId="44" borderId="0" xfId="0" applyFill="1" applyProtection="1">
      <protection locked="0"/>
    </xf>
    <xf numFmtId="2" fontId="0" fillId="0" borderId="0" xfId="1" applyNumberFormat="1" applyFont="1" applyFill="1" applyProtection="1">
      <protection locked="0"/>
    </xf>
    <xf numFmtId="0" fontId="0" fillId="34" borderId="0" xfId="0" applyFill="1" applyProtection="1">
      <protection locked="0"/>
    </xf>
    <xf numFmtId="0" fontId="0" fillId="42" borderId="0" xfId="0" applyFill="1" applyProtection="1">
      <protection locked="0"/>
    </xf>
    <xf numFmtId="9" fontId="16" fillId="0" borderId="0" xfId="0" applyNumberFormat="1" applyFont="1" applyProtection="1">
      <protection locked="0"/>
    </xf>
    <xf numFmtId="0" fontId="32" fillId="33" borderId="0" xfId="0" applyFont="1" applyFill="1" applyProtection="1">
      <protection locked="0"/>
    </xf>
    <xf numFmtId="0" fontId="0" fillId="55" borderId="0" xfId="1" applyNumberFormat="1" applyFont="1" applyFill="1" applyProtection="1"/>
    <xf numFmtId="2" fontId="0" fillId="55" borderId="0" xfId="1" applyNumberFormat="1" applyFont="1" applyFill="1" applyProtection="1"/>
    <xf numFmtId="0" fontId="0" fillId="0" borderId="0" xfId="0"/>
    <xf numFmtId="10" fontId="0" fillId="0" borderId="0" xfId="0" applyNumberFormat="1"/>
    <xf numFmtId="0" fontId="0" fillId="33" borderId="0" xfId="0" applyFill="1"/>
    <xf numFmtId="2" fontId="0" fillId="33" borderId="0" xfId="0" applyNumberFormat="1" applyFill="1"/>
    <xf numFmtId="14" fontId="0" fillId="0" borderId="0" xfId="0" applyNumberFormat="1"/>
    <xf numFmtId="2" fontId="0" fillId="0" borderId="0" xfId="0" applyNumberFormat="1"/>
    <xf numFmtId="0" fontId="0" fillId="0" borderId="0" xfId="0" applyFill="1"/>
    <xf numFmtId="15" fontId="0" fillId="0" borderId="0" xfId="0" applyNumberFormat="1"/>
    <xf numFmtId="0" fontId="0" fillId="0" borderId="13" xfId="0" applyBorder="1"/>
    <xf numFmtId="0" fontId="0" fillId="0" borderId="0" xfId="0" applyProtection="1">
      <protection locked="0"/>
    </xf>
    <xf numFmtId="0" fontId="0" fillId="0" borderId="0" xfId="0" applyFill="1" applyProtection="1">
      <protection locked="0"/>
    </xf>
    <xf numFmtId="0" fontId="0" fillId="33" borderId="0" xfId="0" applyFill="1" applyProtection="1">
      <protection locked="0"/>
    </xf>
    <xf numFmtId="10" fontId="16" fillId="47" borderId="0" xfId="1" applyNumberFormat="1" applyFont="1" applyFill="1" applyProtection="1">
      <protection locked="0"/>
    </xf>
    <xf numFmtId="0" fontId="0" fillId="40" borderId="0" xfId="0" applyFill="1" applyProtection="1">
      <protection locked="0"/>
    </xf>
    <xf numFmtId="0" fontId="0" fillId="47" borderId="0" xfId="0" applyFill="1" applyProtection="1">
      <protection locked="0"/>
    </xf>
    <xf numFmtId="0" fontId="31" fillId="0" borderId="0" xfId="49"/>
    <xf numFmtId="0" fontId="31" fillId="0" borderId="0" xfId="49" applyFill="1"/>
    <xf numFmtId="0" fontId="16" fillId="58" borderId="13" xfId="0" applyFont="1" applyFill="1" applyBorder="1"/>
    <xf numFmtId="0" fontId="16" fillId="52" borderId="13" xfId="0" applyFont="1" applyFill="1" applyBorder="1" applyAlignment="1" applyProtection="1">
      <alignment horizontal="center" vertical="center"/>
      <protection locked="0"/>
    </xf>
    <xf numFmtId="2" fontId="0" fillId="0" borderId="13" xfId="0" applyNumberFormat="1" applyBorder="1"/>
    <xf numFmtId="2" fontId="0" fillId="0" borderId="0" xfId="0" applyNumberFormat="1" applyFill="1"/>
    <xf numFmtId="0" fontId="0" fillId="43" borderId="20" xfId="0" applyFill="1" applyBorder="1" applyProtection="1">
      <protection locked="0"/>
    </xf>
    <xf numFmtId="0" fontId="0" fillId="0" borderId="0" xfId="0" applyFill="1" applyBorder="1"/>
    <xf numFmtId="10" fontId="0" fillId="0" borderId="0" xfId="1" applyNumberFormat="1" applyFont="1" applyFill="1" applyBorder="1"/>
    <xf numFmtId="165" fontId="0" fillId="0" borderId="0" xfId="1" applyNumberFormat="1" applyFont="1" applyFill="1" applyBorder="1"/>
    <xf numFmtId="2" fontId="0" fillId="0" borderId="0" xfId="0" applyNumberFormat="1" applyFill="1" applyBorder="1"/>
    <xf numFmtId="10" fontId="0" fillId="0" borderId="0" xfId="0" applyNumberFormat="1" applyFill="1" applyBorder="1"/>
    <xf numFmtId="0" fontId="16" fillId="0" borderId="0" xfId="0" applyFont="1" applyFill="1" applyBorder="1"/>
    <xf numFmtId="171" fontId="41" fillId="0" borderId="0" xfId="0" applyNumberFormat="1" applyFont="1" applyFill="1" applyBorder="1" applyAlignment="1">
      <alignment horizontal="right"/>
    </xf>
    <xf numFmtId="10" fontId="41" fillId="0" borderId="0" xfId="0" applyNumberFormat="1" applyFont="1" applyFill="1" applyBorder="1" applyAlignment="1">
      <alignment horizontal="right"/>
    </xf>
    <xf numFmtId="0" fontId="32" fillId="0" borderId="0" xfId="0" applyFont="1" applyFill="1" applyBorder="1"/>
    <xf numFmtId="0" fontId="40" fillId="0" borderId="0" xfId="0" applyFont="1" applyFill="1" applyBorder="1" applyAlignment="1">
      <alignment horizontal="right"/>
    </xf>
    <xf numFmtId="16" fontId="0" fillId="0" borderId="0" xfId="0" applyNumberFormat="1" applyFill="1" applyBorder="1"/>
    <xf numFmtId="171" fontId="44" fillId="0" borderId="0" xfId="0" applyNumberFormat="1" applyFont="1" applyFill="1" applyBorder="1" applyAlignment="1">
      <alignment horizontal="right"/>
    </xf>
    <xf numFmtId="0" fontId="40" fillId="0" borderId="0" xfId="44" applyNumberFormat="1" applyFont="1" applyFill="1" applyBorder="1" applyAlignment="1">
      <alignment horizontal="right"/>
    </xf>
    <xf numFmtId="171" fontId="40" fillId="0" borderId="0" xfId="0" applyNumberFormat="1" applyFont="1" applyFill="1" applyBorder="1" applyAlignment="1">
      <alignment horizontal="right"/>
    </xf>
    <xf numFmtId="0" fontId="0" fillId="0" borderId="0" xfId="0" applyFill="1" applyBorder="1" applyProtection="1"/>
    <xf numFmtId="0" fontId="40" fillId="0" borderId="0" xfId="0" applyFont="1" applyFill="1" applyBorder="1" applyAlignment="1">
      <alignment horizontal="left"/>
    </xf>
    <xf numFmtId="9" fontId="0" fillId="0" borderId="0" xfId="0" applyNumberFormat="1" applyFill="1"/>
    <xf numFmtId="0" fontId="16" fillId="33" borderId="13" xfId="0" applyFont="1" applyFill="1" applyBorder="1"/>
    <xf numFmtId="0" fontId="16" fillId="0" borderId="44" xfId="0" applyFont="1" applyFill="1" applyBorder="1"/>
    <xf numFmtId="176" fontId="0" fillId="0" borderId="13" xfId="43" applyNumberFormat="1" applyFont="1" applyBorder="1" applyProtection="1">
      <protection locked="0"/>
    </xf>
    <xf numFmtId="0" fontId="45" fillId="0" borderId="0" xfId="0" applyFont="1" applyFill="1" applyBorder="1" applyAlignment="1"/>
    <xf numFmtId="10" fontId="0" fillId="33" borderId="0" xfId="1" applyNumberFormat="1" applyFont="1" applyFill="1" applyBorder="1"/>
    <xf numFmtId="10" fontId="0" fillId="0" borderId="13" xfId="1" applyNumberFormat="1" applyFont="1" applyBorder="1" applyProtection="1">
      <protection locked="0"/>
    </xf>
    <xf numFmtId="10" fontId="0" fillId="0" borderId="13" xfId="1" applyNumberFormat="1" applyFont="1" applyBorder="1" applyAlignment="1">
      <alignment horizontal="center" vertical="center"/>
    </xf>
    <xf numFmtId="9" fontId="0" fillId="0" borderId="13" xfId="1" applyNumberFormat="1" applyFont="1" applyBorder="1" applyProtection="1">
      <protection locked="0"/>
    </xf>
    <xf numFmtId="0" fontId="16" fillId="0" borderId="14" xfId="0" applyFont="1" applyBorder="1" applyProtection="1">
      <protection locked="0"/>
    </xf>
    <xf numFmtId="0" fontId="16" fillId="43" borderId="13" xfId="0" applyFont="1" applyFill="1" applyBorder="1" applyAlignment="1" applyProtection="1">
      <alignment horizontal="center" vertical="center"/>
      <protection locked="0"/>
    </xf>
    <xf numFmtId="0" fontId="16" fillId="35" borderId="13" xfId="0" applyFont="1" applyFill="1" applyBorder="1" applyAlignment="1" applyProtection="1">
      <alignment horizontal="center" vertical="center"/>
      <protection locked="0"/>
    </xf>
    <xf numFmtId="0" fontId="16" fillId="37" borderId="13" xfId="0" applyFont="1" applyFill="1" applyBorder="1" applyAlignment="1" applyProtection="1">
      <alignment horizontal="center" vertical="center"/>
      <protection locked="0"/>
    </xf>
    <xf numFmtId="0" fontId="16" fillId="40" borderId="13" xfId="0" applyFont="1" applyFill="1" applyBorder="1" applyAlignment="1" applyProtection="1">
      <alignment horizontal="center" vertical="center"/>
      <protection locked="0"/>
    </xf>
    <xf numFmtId="14" fontId="0" fillId="0" borderId="13" xfId="0" applyNumberFormat="1" applyBorder="1"/>
    <xf numFmtId="0" fontId="16" fillId="0" borderId="13" xfId="0" applyFont="1" applyBorder="1" applyAlignment="1"/>
    <xf numFmtId="0" fontId="0" fillId="0" borderId="13" xfId="0" applyBorder="1" applyAlignment="1"/>
    <xf numFmtId="0" fontId="0" fillId="55" borderId="0" xfId="0" applyFill="1"/>
    <xf numFmtId="2" fontId="0" fillId="55" borderId="0" xfId="0" applyNumberFormat="1" applyFill="1"/>
    <xf numFmtId="9" fontId="0" fillId="55" borderId="0" xfId="0" applyNumberFormat="1" applyFill="1"/>
    <xf numFmtId="2" fontId="31" fillId="0" borderId="0" xfId="45" applyNumberFormat="1"/>
    <xf numFmtId="0" fontId="31" fillId="0" borderId="0" xfId="45"/>
    <xf numFmtId="0" fontId="31" fillId="0" borderId="0" xfId="45"/>
    <xf numFmtId="170" fontId="31" fillId="0" borderId="0" xfId="45" applyNumberFormat="1"/>
    <xf numFmtId="0" fontId="31" fillId="0" borderId="0" xfId="45"/>
    <xf numFmtId="170" fontId="31" fillId="0" borderId="0" xfId="45" applyNumberFormat="1"/>
    <xf numFmtId="10" fontId="0" fillId="0" borderId="0" xfId="1" applyNumberFormat="1" applyFont="1" applyFill="1" applyAlignment="1" applyProtection="1">
      <alignment horizontal="center" vertical="center"/>
      <protection locked="0"/>
    </xf>
    <xf numFmtId="10" fontId="1" fillId="55" borderId="0" xfId="1" applyNumberFormat="1" applyFont="1" applyFill="1" applyAlignment="1" applyProtection="1">
      <alignment horizontal="center" vertical="center"/>
    </xf>
    <xf numFmtId="10" fontId="1" fillId="0" borderId="0" xfId="1" applyNumberFormat="1" applyFont="1" applyAlignment="1" applyProtection="1">
      <alignment horizontal="center" vertical="center"/>
      <protection locked="0"/>
    </xf>
    <xf numFmtId="10" fontId="1" fillId="0" borderId="0" xfId="1" applyNumberFormat="1" applyFont="1" applyFill="1" applyAlignment="1" applyProtection="1">
      <alignment horizontal="center" vertical="center"/>
      <protection locked="0"/>
    </xf>
    <xf numFmtId="10" fontId="0" fillId="55" borderId="0" xfId="1" applyNumberFormat="1" applyFont="1" applyFill="1" applyAlignment="1" applyProtection="1">
      <alignment horizontal="center" vertical="center"/>
    </xf>
    <xf numFmtId="10" fontId="25" fillId="55" borderId="0" xfId="1" applyNumberFormat="1" applyFont="1" applyFill="1" applyAlignment="1" applyProtection="1">
      <alignment horizontal="center" vertical="center"/>
    </xf>
    <xf numFmtId="10" fontId="0" fillId="0" borderId="0" xfId="1" applyNumberFormat="1" applyFont="1" applyAlignment="1" applyProtection="1">
      <alignment horizontal="center" vertical="center"/>
      <protection locked="0"/>
    </xf>
    <xf numFmtId="9" fontId="0" fillId="0" borderId="0" xfId="1" applyNumberFormat="1" applyFont="1" applyAlignment="1" applyProtection="1">
      <alignment horizontal="center" vertical="center"/>
      <protection locked="0"/>
    </xf>
    <xf numFmtId="9" fontId="0" fillId="0" borderId="0" xfId="1" applyNumberFormat="1" applyFont="1" applyFill="1" applyAlignment="1" applyProtection="1">
      <alignment horizontal="center" vertical="center"/>
      <protection locked="0"/>
    </xf>
    <xf numFmtId="14" fontId="16" fillId="0" borderId="0" xfId="0" applyNumberFormat="1" applyFont="1"/>
    <xf numFmtId="14" fontId="0" fillId="33" borderId="0" xfId="0" applyNumberFormat="1" applyFill="1"/>
    <xf numFmtId="0" fontId="0" fillId="33" borderId="13" xfId="0" applyFill="1" applyBorder="1" applyProtection="1"/>
    <xf numFmtId="43" fontId="0" fillId="33" borderId="13" xfId="43" applyFont="1" applyFill="1" applyBorder="1" applyProtection="1"/>
    <xf numFmtId="2" fontId="0" fillId="33" borderId="13" xfId="0" applyNumberFormat="1" applyFill="1" applyBorder="1" applyProtection="1"/>
    <xf numFmtId="43" fontId="0" fillId="33" borderId="13" xfId="0" applyNumberFormat="1" applyFill="1" applyBorder="1" applyProtection="1"/>
    <xf numFmtId="10" fontId="0" fillId="33" borderId="13" xfId="1" applyNumberFormat="1" applyFont="1" applyFill="1" applyBorder="1" applyProtection="1"/>
    <xf numFmtId="165" fontId="0" fillId="33" borderId="13" xfId="1" applyNumberFormat="1" applyFont="1" applyFill="1" applyBorder="1" applyProtection="1"/>
    <xf numFmtId="168" fontId="0" fillId="33" borderId="13" xfId="43" applyNumberFormat="1" applyFont="1" applyFill="1" applyBorder="1" applyProtection="1"/>
    <xf numFmtId="176" fontId="0" fillId="55" borderId="13" xfId="43" applyNumberFormat="1" applyFont="1" applyFill="1" applyBorder="1" applyProtection="1"/>
    <xf numFmtId="0" fontId="16" fillId="55" borderId="13" xfId="0" applyFont="1" applyFill="1" applyBorder="1" applyProtection="1">
      <protection locked="0"/>
    </xf>
    <xf numFmtId="0" fontId="16" fillId="55" borderId="13" xfId="0" applyFont="1" applyFill="1" applyBorder="1"/>
    <xf numFmtId="168" fontId="0" fillId="0" borderId="13" xfId="43" applyNumberFormat="1" applyFont="1" applyBorder="1" applyProtection="1">
      <protection locked="0"/>
    </xf>
    <xf numFmtId="0" fontId="0" fillId="33" borderId="13" xfId="0" applyFill="1" applyBorder="1"/>
    <xf numFmtId="11" fontId="0" fillId="0" borderId="13" xfId="0" applyNumberFormat="1" applyBorder="1"/>
    <xf numFmtId="0" fontId="16" fillId="33" borderId="0" xfId="0" applyFont="1" applyFill="1"/>
    <xf numFmtId="0" fontId="16" fillId="0" borderId="13" xfId="0" applyFont="1" applyBorder="1" applyAlignment="1" applyProtection="1">
      <alignment horizontal="center" vertical="center"/>
      <protection locked="0"/>
    </xf>
    <xf numFmtId="168" fontId="16" fillId="0" borderId="13" xfId="43" applyNumberFormat="1" applyFont="1" applyBorder="1" applyAlignment="1" applyProtection="1">
      <alignment horizontal="center" vertical="center"/>
      <protection locked="0"/>
    </xf>
    <xf numFmtId="0" fontId="38" fillId="0" borderId="0" xfId="0" applyFont="1" applyAlignment="1">
      <alignment horizontal="center" vertical="center"/>
    </xf>
    <xf numFmtId="0" fontId="16" fillId="33" borderId="13" xfId="0" applyFont="1" applyFill="1" applyBorder="1" applyAlignment="1" applyProtection="1">
      <alignment horizontal="center" vertical="center"/>
      <protection locked="0"/>
    </xf>
    <xf numFmtId="10" fontId="16" fillId="0" borderId="13" xfId="1" applyNumberFormat="1" applyFont="1" applyBorder="1" applyAlignment="1" applyProtection="1">
      <alignment horizontal="center" vertical="center"/>
      <protection locked="0"/>
    </xf>
    <xf numFmtId="174" fontId="16" fillId="0" borderId="13" xfId="0" applyNumberFormat="1" applyFont="1" applyBorder="1" applyAlignment="1">
      <alignment horizontal="center" vertical="center"/>
    </xf>
    <xf numFmtId="10" fontId="16" fillId="34" borderId="13" xfId="1" applyNumberFormat="1" applyFont="1" applyFill="1" applyBorder="1" applyAlignment="1" applyProtection="1">
      <alignment horizontal="center" vertical="center"/>
      <protection locked="0"/>
    </xf>
    <xf numFmtId="10" fontId="16" fillId="40" borderId="13" xfId="1" applyNumberFormat="1" applyFont="1" applyFill="1" applyBorder="1" applyAlignment="1" applyProtection="1">
      <alignment horizontal="center" vertical="center"/>
      <protection locked="0"/>
    </xf>
    <xf numFmtId="10" fontId="16" fillId="34" borderId="13" xfId="1" applyNumberFormat="1" applyFont="1" applyFill="1" applyBorder="1" applyProtection="1">
      <protection locked="0"/>
    </xf>
    <xf numFmtId="10" fontId="16" fillId="40" borderId="13" xfId="1" applyNumberFormat="1" applyFont="1" applyFill="1" applyBorder="1" applyProtection="1">
      <protection locked="0"/>
    </xf>
    <xf numFmtId="2" fontId="0" fillId="0" borderId="13" xfId="0" applyNumberFormat="1" applyBorder="1" applyProtection="1">
      <protection locked="0"/>
    </xf>
    <xf numFmtId="43" fontId="0" fillId="0" borderId="13" xfId="43" applyFont="1" applyFill="1" applyBorder="1" applyProtection="1">
      <protection locked="0"/>
    </xf>
    <xf numFmtId="10" fontId="0" fillId="0" borderId="13" xfId="1" applyNumberFormat="1" applyFont="1" applyFill="1" applyBorder="1" applyProtection="1">
      <protection locked="0"/>
    </xf>
    <xf numFmtId="9" fontId="16" fillId="0" borderId="13" xfId="0" applyNumberFormat="1" applyFont="1" applyBorder="1" applyAlignment="1" applyProtection="1">
      <alignment horizontal="center" vertical="center"/>
      <protection locked="0"/>
    </xf>
    <xf numFmtId="9" fontId="16" fillId="0" borderId="0" xfId="0" applyNumberFormat="1" applyFont="1" applyAlignment="1" applyProtection="1">
      <alignment horizontal="center" vertical="center"/>
      <protection locked="0"/>
    </xf>
    <xf numFmtId="177" fontId="0" fillId="0" borderId="0" xfId="0" applyNumberFormat="1" applyProtection="1">
      <protection locked="0"/>
    </xf>
    <xf numFmtId="167" fontId="0" fillId="0" borderId="0" xfId="1" applyNumberFormat="1" applyFont="1"/>
    <xf numFmtId="0" fontId="16" fillId="33" borderId="45" xfId="0" applyFont="1" applyFill="1" applyBorder="1"/>
    <xf numFmtId="10" fontId="0" fillId="55" borderId="31" xfId="1" applyNumberFormat="1" applyFont="1" applyFill="1" applyBorder="1" applyProtection="1"/>
    <xf numFmtId="10" fontId="0" fillId="33" borderId="13" xfId="1" applyNumberFormat="1" applyFont="1" applyFill="1" applyBorder="1"/>
    <xf numFmtId="0" fontId="0" fillId="0" borderId="13" xfId="0" applyBorder="1" applyAlignment="1">
      <alignment horizontal="left"/>
    </xf>
    <xf numFmtId="0" fontId="0" fillId="59" borderId="13" xfId="0" applyFill="1" applyBorder="1"/>
    <xf numFmtId="0" fontId="14" fillId="0" borderId="13" xfId="0" applyFont="1" applyBorder="1"/>
    <xf numFmtId="175" fontId="0" fillId="0" borderId="0" xfId="0" applyNumberFormat="1"/>
    <xf numFmtId="0" fontId="0" fillId="33" borderId="13" xfId="0" applyFill="1" applyBorder="1" applyAlignment="1">
      <alignment horizontal="left"/>
    </xf>
    <xf numFmtId="10" fontId="16" fillId="0" borderId="13" xfId="1" applyNumberFormat="1" applyFont="1" applyBorder="1"/>
    <xf numFmtId="0" fontId="0" fillId="43" borderId="13" xfId="0" applyFill="1" applyBorder="1"/>
    <xf numFmtId="0" fontId="38" fillId="33" borderId="13" xfId="0" applyFont="1" applyFill="1" applyBorder="1"/>
    <xf numFmtId="0" fontId="0" fillId="0" borderId="13" xfId="0" applyFill="1" applyBorder="1"/>
    <xf numFmtId="0" fontId="0" fillId="33" borderId="13" xfId="0" applyFill="1" applyBorder="1" applyAlignment="1"/>
    <xf numFmtId="0" fontId="37" fillId="33" borderId="13" xfId="47" applyFont="1" applyFill="1" applyBorder="1" applyAlignment="1" applyProtection="1">
      <alignment vertical="center" readingOrder="1"/>
      <protection locked="0"/>
    </xf>
    <xf numFmtId="0" fontId="0" fillId="33" borderId="13" xfId="0" applyFill="1" applyBorder="1" applyAlignment="1" applyProtection="1">
      <protection locked="0"/>
    </xf>
    <xf numFmtId="0" fontId="16" fillId="0" borderId="13" xfId="0" applyFont="1" applyBorder="1" applyAlignment="1" applyProtection="1">
      <alignment vertical="center"/>
      <protection locked="0"/>
    </xf>
    <xf numFmtId="0" fontId="16" fillId="33" borderId="20" xfId="0" applyFont="1" applyFill="1" applyBorder="1" applyAlignment="1" applyProtection="1">
      <alignment vertical="center"/>
      <protection locked="0"/>
    </xf>
    <xf numFmtId="0" fontId="16" fillId="33" borderId="20" xfId="0" applyFont="1" applyFill="1" applyBorder="1" applyAlignment="1" applyProtection="1">
      <alignment horizontal="center" vertical="center"/>
      <protection locked="0"/>
    </xf>
    <xf numFmtId="0" fontId="0" fillId="55" borderId="13" xfId="0" applyNumberFormat="1" applyFill="1" applyBorder="1" applyProtection="1"/>
    <xf numFmtId="10" fontId="0" fillId="55" borderId="13" xfId="0" applyNumberFormat="1" applyFill="1" applyBorder="1" applyProtection="1"/>
    <xf numFmtId="165" fontId="0" fillId="55" borderId="13" xfId="0" applyNumberFormat="1" applyFill="1" applyBorder="1" applyProtection="1"/>
    <xf numFmtId="0" fontId="41" fillId="33" borderId="13" xfId="0" applyFont="1" applyFill="1" applyBorder="1" applyAlignment="1" applyProtection="1">
      <protection locked="0"/>
    </xf>
    <xf numFmtId="0" fontId="40" fillId="33" borderId="13" xfId="0" applyFont="1" applyFill="1" applyBorder="1" applyAlignment="1" applyProtection="1">
      <protection locked="0"/>
    </xf>
    <xf numFmtId="0" fontId="38" fillId="0" borderId="13" xfId="0" applyFont="1" applyBorder="1"/>
    <xf numFmtId="0" fontId="38" fillId="0" borderId="0" xfId="0" applyFont="1" applyFill="1" applyBorder="1"/>
    <xf numFmtId="168" fontId="0" fillId="0" borderId="0" xfId="0" applyNumberFormat="1" applyProtection="1">
      <protection locked="0"/>
    </xf>
    <xf numFmtId="0" fontId="47" fillId="56" borderId="14" xfId="0" applyFont="1" applyFill="1" applyBorder="1" applyAlignment="1">
      <alignment vertical="center"/>
    </xf>
    <xf numFmtId="0" fontId="47" fillId="56" borderId="33" xfId="0" applyFont="1" applyFill="1" applyBorder="1" applyAlignment="1">
      <alignment vertical="center"/>
    </xf>
    <xf numFmtId="0" fontId="47" fillId="56" borderId="31" xfId="0" applyFont="1" applyFill="1" applyBorder="1" applyAlignment="1">
      <alignment vertical="center"/>
    </xf>
    <xf numFmtId="0" fontId="47" fillId="56" borderId="13" xfId="0" applyFont="1" applyFill="1" applyBorder="1" applyAlignment="1">
      <alignment horizontal="center" vertical="center"/>
    </xf>
    <xf numFmtId="0" fontId="47" fillId="56" borderId="31" xfId="0" applyFont="1" applyFill="1" applyBorder="1" applyAlignment="1">
      <alignment horizontal="center" vertical="center"/>
    </xf>
    <xf numFmtId="0" fontId="48" fillId="0" borderId="0" xfId="0" applyFont="1" applyAlignment="1">
      <alignment horizontal="center" vertical="center"/>
    </xf>
    <xf numFmtId="0" fontId="47" fillId="56" borderId="14" xfId="0" applyFont="1" applyFill="1" applyBorder="1" applyAlignment="1">
      <alignment horizontal="center" vertical="center"/>
    </xf>
    <xf numFmtId="0" fontId="49" fillId="50" borderId="13" xfId="0" applyFont="1" applyFill="1" applyBorder="1" applyAlignment="1">
      <alignment horizontal="center" vertical="center"/>
    </xf>
    <xf numFmtId="0" fontId="37" fillId="50" borderId="13" xfId="47" applyFont="1" applyFill="1" applyBorder="1" applyAlignment="1">
      <alignment horizontal="center" vertical="center" readingOrder="1"/>
    </xf>
    <xf numFmtId="173" fontId="49" fillId="50" borderId="13" xfId="0" applyNumberFormat="1" applyFont="1" applyFill="1" applyBorder="1" applyAlignment="1">
      <alignment horizontal="center" vertical="center"/>
    </xf>
    <xf numFmtId="9" fontId="49" fillId="50" borderId="13" xfId="1" applyFont="1" applyFill="1" applyBorder="1" applyAlignment="1">
      <alignment horizontal="center" vertical="center"/>
    </xf>
    <xf numFmtId="178" fontId="49" fillId="50" borderId="13" xfId="0" applyNumberFormat="1" applyFont="1" applyFill="1" applyBorder="1" applyAlignment="1">
      <alignment horizontal="center" vertical="center"/>
    </xf>
    <xf numFmtId="0" fontId="49" fillId="50" borderId="13" xfId="0" applyFont="1" applyFill="1" applyBorder="1" applyAlignment="1">
      <alignment horizontal="left" vertical="center"/>
    </xf>
    <xf numFmtId="178" fontId="48" fillId="0" borderId="0" xfId="0" applyNumberFormat="1" applyFont="1" applyAlignment="1">
      <alignment horizontal="center" vertical="center"/>
    </xf>
    <xf numFmtId="0" fontId="50" fillId="0" borderId="13" xfId="0" applyFont="1" applyBorder="1" applyAlignment="1">
      <alignment horizontal="center" vertical="center"/>
    </xf>
    <xf numFmtId="0" fontId="48" fillId="0" borderId="13" xfId="47" applyFont="1" applyBorder="1" applyAlignment="1">
      <alignment horizontal="center" vertical="center" readingOrder="1"/>
    </xf>
    <xf numFmtId="173" fontId="50" fillId="0" borderId="13" xfId="0" applyNumberFormat="1" applyFont="1" applyBorder="1" applyAlignment="1">
      <alignment horizontal="center" vertical="center"/>
    </xf>
    <xf numFmtId="9" fontId="50" fillId="0" borderId="13" xfId="1" applyFont="1" applyBorder="1" applyAlignment="1">
      <alignment horizontal="center" vertical="center"/>
    </xf>
    <xf numFmtId="178" fontId="50" fillId="0" borderId="13" xfId="0" applyNumberFormat="1" applyFont="1" applyBorder="1" applyAlignment="1">
      <alignment horizontal="center" vertical="center"/>
    </xf>
    <xf numFmtId="0" fontId="50" fillId="0" borderId="13" xfId="0" applyFont="1" applyBorder="1" applyAlignment="1">
      <alignment horizontal="left" vertical="center"/>
    </xf>
    <xf numFmtId="9" fontId="50" fillId="0" borderId="13" xfId="1" applyFont="1" applyFill="1" applyBorder="1" applyAlignment="1">
      <alignment horizontal="center" vertical="center"/>
    </xf>
    <xf numFmtId="173" fontId="49" fillId="33" borderId="13" xfId="0" applyNumberFormat="1" applyFont="1" applyFill="1" applyBorder="1" applyAlignment="1">
      <alignment horizontal="center" vertical="center"/>
    </xf>
    <xf numFmtId="0" fontId="50" fillId="0" borderId="13" xfId="0" applyFont="1" applyBorder="1" applyAlignment="1">
      <alignment horizontal="left" vertical="center" wrapText="1"/>
    </xf>
    <xf numFmtId="178" fontId="48" fillId="0" borderId="13" xfId="0" applyNumberFormat="1" applyFont="1" applyBorder="1" applyAlignment="1">
      <alignment horizontal="center" vertical="center"/>
    </xf>
    <xf numFmtId="0" fontId="50" fillId="0" borderId="0" xfId="0" applyFont="1" applyAlignment="1">
      <alignment horizontal="center" vertical="center"/>
    </xf>
    <xf numFmtId="0" fontId="49" fillId="60" borderId="13" xfId="0" applyFont="1" applyFill="1" applyBorder="1" applyAlignment="1">
      <alignment horizontal="center" vertical="center"/>
    </xf>
    <xf numFmtId="0" fontId="34" fillId="0" borderId="13" xfId="0" applyFont="1" applyBorder="1" applyAlignment="1">
      <alignment horizontal="center" vertical="center"/>
    </xf>
    <xf numFmtId="0" fontId="51" fillId="0" borderId="13" xfId="47" applyFont="1" applyBorder="1" applyAlignment="1">
      <alignment horizontal="center" vertical="center" readingOrder="1"/>
    </xf>
    <xf numFmtId="173" fontId="34" fillId="0" borderId="13" xfId="0" applyNumberFormat="1" applyFont="1" applyBorder="1" applyAlignment="1">
      <alignment horizontal="center" vertical="center"/>
    </xf>
    <xf numFmtId="9" fontId="34" fillId="0" borderId="13" xfId="1" applyFont="1" applyFill="1" applyBorder="1" applyAlignment="1">
      <alignment horizontal="center" vertical="center"/>
    </xf>
    <xf numFmtId="178" fontId="34" fillId="0" borderId="13" xfId="0" applyNumberFormat="1" applyFont="1" applyBorder="1" applyAlignment="1">
      <alignment horizontal="center" vertical="center"/>
    </xf>
    <xf numFmtId="0" fontId="34" fillId="0" borderId="13" xfId="0" applyFont="1" applyBorder="1" applyAlignment="1">
      <alignment horizontal="left" vertical="center"/>
    </xf>
    <xf numFmtId="0" fontId="52" fillId="0" borderId="13" xfId="0" applyFont="1" applyBorder="1" applyAlignment="1">
      <alignment horizontal="center" vertical="center"/>
    </xf>
    <xf numFmtId="0" fontId="49" fillId="33" borderId="13" xfId="0" applyFont="1" applyFill="1" applyBorder="1" applyAlignment="1">
      <alignment horizontal="center" vertical="center"/>
    </xf>
    <xf numFmtId="9" fontId="49" fillId="33" borderId="13" xfId="1" applyFont="1" applyFill="1" applyBorder="1" applyAlignment="1">
      <alignment horizontal="center" vertical="center"/>
    </xf>
    <xf numFmtId="0" fontId="49" fillId="33" borderId="13" xfId="0" applyFont="1" applyFill="1" applyBorder="1" applyAlignment="1">
      <alignment horizontal="left" vertical="center"/>
    </xf>
    <xf numFmtId="0" fontId="48" fillId="33" borderId="13" xfId="47" applyFont="1" applyFill="1" applyBorder="1" applyAlignment="1">
      <alignment horizontal="center" vertical="center" readingOrder="1"/>
    </xf>
    <xf numFmtId="178" fontId="37" fillId="0" borderId="0" xfId="0" applyNumberFormat="1" applyFont="1" applyAlignment="1">
      <alignment horizontal="center" vertical="center"/>
    </xf>
    <xf numFmtId="0" fontId="49" fillId="50" borderId="13" xfId="0" quotePrefix="1" applyFont="1" applyFill="1" applyBorder="1" applyAlignment="1">
      <alignment horizontal="center" vertical="center"/>
    </xf>
    <xf numFmtId="0" fontId="49" fillId="50" borderId="0" xfId="0" applyFont="1" applyFill="1" applyAlignment="1">
      <alignment horizontal="center" vertical="center"/>
    </xf>
    <xf numFmtId="0" fontId="37" fillId="50" borderId="13" xfId="0" applyFont="1" applyFill="1" applyBorder="1" applyAlignment="1">
      <alignment horizontal="left" vertical="center"/>
    </xf>
    <xf numFmtId="178" fontId="53" fillId="0" borderId="13" xfId="0" applyNumberFormat="1" applyFont="1" applyBorder="1" applyAlignment="1">
      <alignment horizontal="center" vertical="center"/>
    </xf>
    <xf numFmtId="0" fontId="37" fillId="50" borderId="13" xfId="47" applyFont="1" applyFill="1" applyBorder="1" applyAlignment="1">
      <alignment horizontal="left" vertical="center" readingOrder="1"/>
    </xf>
    <xf numFmtId="0" fontId="50" fillId="33" borderId="13" xfId="0" applyFont="1" applyFill="1" applyBorder="1" applyAlignment="1">
      <alignment horizontal="center" vertical="center"/>
    </xf>
    <xf numFmtId="0" fontId="49" fillId="50" borderId="0" xfId="0" applyFont="1" applyFill="1" applyAlignment="1">
      <alignment horizontal="left" vertical="center"/>
    </xf>
    <xf numFmtId="1" fontId="37" fillId="0" borderId="13" xfId="47" applyNumberFormat="1" applyFont="1" applyBorder="1" applyAlignment="1">
      <alignment horizontal="center" vertical="center" readingOrder="1"/>
    </xf>
    <xf numFmtId="1" fontId="48" fillId="0" borderId="13" xfId="47" applyNumberFormat="1" applyFont="1" applyBorder="1" applyAlignment="1">
      <alignment horizontal="center" vertical="center" readingOrder="1"/>
    </xf>
    <xf numFmtId="0" fontId="37" fillId="33" borderId="13" xfId="47" applyFont="1" applyFill="1" applyBorder="1" applyAlignment="1">
      <alignment horizontal="center" vertical="center" readingOrder="1"/>
    </xf>
    <xf numFmtId="0" fontId="53" fillId="0" borderId="13" xfId="0" applyFont="1" applyBorder="1" applyAlignment="1">
      <alignment horizontal="center" vertical="center"/>
    </xf>
    <xf numFmtId="0" fontId="54" fillId="0" borderId="13" xfId="47" applyFont="1" applyBorder="1" applyAlignment="1">
      <alignment horizontal="center" vertical="center" readingOrder="1"/>
    </xf>
    <xf numFmtId="173" fontId="53" fillId="0" borderId="13" xfId="0" applyNumberFormat="1" applyFont="1" applyBorder="1" applyAlignment="1">
      <alignment horizontal="center" vertical="center"/>
    </xf>
    <xf numFmtId="9" fontId="53" fillId="0" borderId="13" xfId="1" applyFont="1" applyBorder="1" applyAlignment="1">
      <alignment horizontal="center" vertical="center"/>
    </xf>
    <xf numFmtId="0" fontId="53" fillId="0" borderId="13" xfId="0" applyFont="1" applyBorder="1" applyAlignment="1">
      <alignment horizontal="left" vertical="center"/>
    </xf>
    <xf numFmtId="178" fontId="54" fillId="0" borderId="0" xfId="0" applyNumberFormat="1" applyFont="1" applyAlignment="1">
      <alignment horizontal="center" vertical="center"/>
    </xf>
    <xf numFmtId="0" fontId="55" fillId="50" borderId="13" xfId="47" applyFont="1" applyFill="1" applyBorder="1" applyAlignment="1">
      <alignment horizontal="center" vertical="center" readingOrder="1"/>
    </xf>
    <xf numFmtId="0" fontId="56" fillId="50" borderId="13" xfId="0" applyFont="1" applyFill="1" applyBorder="1" applyAlignment="1">
      <alignment horizontal="center" vertical="center"/>
    </xf>
    <xf numFmtId="173" fontId="56" fillId="50" borderId="13" xfId="0" applyNumberFormat="1" applyFont="1" applyFill="1" applyBorder="1" applyAlignment="1">
      <alignment horizontal="center" vertical="center"/>
    </xf>
    <xf numFmtId="9" fontId="56" fillId="50" borderId="13" xfId="1" applyFont="1" applyFill="1" applyBorder="1" applyAlignment="1">
      <alignment horizontal="center" vertical="center"/>
    </xf>
    <xf numFmtId="178" fontId="56" fillId="50" borderId="13" xfId="0" applyNumberFormat="1" applyFont="1" applyFill="1" applyBorder="1" applyAlignment="1">
      <alignment horizontal="center" vertical="center"/>
    </xf>
    <xf numFmtId="0" fontId="56" fillId="50" borderId="13" xfId="0" applyFont="1" applyFill="1" applyBorder="1" applyAlignment="1">
      <alignment horizontal="left" vertical="center"/>
    </xf>
    <xf numFmtId="0" fontId="55" fillId="50" borderId="13" xfId="47" applyFont="1" applyFill="1" applyBorder="1" applyAlignment="1">
      <alignment horizontal="left" vertical="center" readingOrder="1"/>
    </xf>
    <xf numFmtId="9" fontId="53" fillId="0" borderId="13" xfId="1" applyFont="1" applyFill="1" applyBorder="1" applyAlignment="1">
      <alignment horizontal="center" vertical="center"/>
    </xf>
    <xf numFmtId="0" fontId="47" fillId="56" borderId="14" xfId="0" applyFont="1" applyFill="1" applyBorder="1" applyAlignment="1">
      <alignment horizontal="left" vertical="center"/>
    </xf>
    <xf numFmtId="0" fontId="47" fillId="56" borderId="33" xfId="0" applyFont="1" applyFill="1" applyBorder="1" applyAlignment="1">
      <alignment horizontal="left" vertical="center"/>
    </xf>
    <xf numFmtId="0" fontId="47" fillId="56" borderId="33" xfId="0" applyFont="1" applyFill="1" applyBorder="1" applyAlignment="1">
      <alignment horizontal="center" vertical="center"/>
    </xf>
    <xf numFmtId="0" fontId="47" fillId="56" borderId="13" xfId="0" applyFont="1" applyFill="1" applyBorder="1" applyAlignment="1">
      <alignment vertical="center"/>
    </xf>
    <xf numFmtId="0" fontId="47" fillId="56" borderId="31" xfId="0" applyFont="1" applyFill="1" applyBorder="1" applyAlignment="1">
      <alignment horizontal="left" vertical="center"/>
    </xf>
    <xf numFmtId="179" fontId="47" fillId="56" borderId="13" xfId="0" applyNumberFormat="1" applyFont="1" applyFill="1" applyBorder="1" applyAlignment="1">
      <alignment horizontal="center" vertical="center"/>
    </xf>
    <xf numFmtId="10" fontId="0" fillId="0" borderId="13" xfId="1" applyNumberFormat="1" applyFont="1" applyFill="1" applyBorder="1"/>
    <xf numFmtId="0" fontId="0" fillId="0" borderId="13" xfId="0" applyFill="1" applyBorder="1" applyProtection="1">
      <protection locked="0"/>
    </xf>
    <xf numFmtId="0" fontId="0" fillId="0" borderId="20" xfId="0" applyBorder="1"/>
    <xf numFmtId="0" fontId="0" fillId="0" borderId="20" xfId="0" applyBorder="1" applyProtection="1">
      <protection locked="0"/>
    </xf>
    <xf numFmtId="168" fontId="0" fillId="55" borderId="20" xfId="43" applyNumberFormat="1" applyFont="1" applyFill="1" applyBorder="1" applyProtection="1"/>
    <xf numFmtId="10" fontId="0" fillId="55" borderId="20" xfId="1" applyNumberFormat="1" applyFont="1" applyFill="1" applyBorder="1" applyProtection="1"/>
    <xf numFmtId="165" fontId="0" fillId="0" borderId="20" xfId="1" applyNumberFormat="1" applyFont="1" applyBorder="1" applyProtection="1">
      <protection locked="0"/>
    </xf>
    <xf numFmtId="2" fontId="0" fillId="0" borderId="20" xfId="1" applyNumberFormat="1" applyFont="1" applyBorder="1" applyProtection="1">
      <protection locked="0"/>
    </xf>
    <xf numFmtId="165" fontId="0" fillId="55" borderId="20" xfId="1" applyNumberFormat="1" applyFont="1" applyFill="1" applyBorder="1" applyProtection="1"/>
    <xf numFmtId="168" fontId="0" fillId="55" borderId="20" xfId="0" applyNumberFormat="1" applyFill="1" applyBorder="1" applyProtection="1"/>
    <xf numFmtId="2" fontId="0" fillId="0" borderId="20" xfId="0" applyNumberFormat="1" applyBorder="1" applyProtection="1">
      <protection locked="0"/>
    </xf>
    <xf numFmtId="10" fontId="0" fillId="0" borderId="20" xfId="1" applyNumberFormat="1" applyFont="1" applyBorder="1" applyProtection="1">
      <protection locked="0"/>
    </xf>
    <xf numFmtId="0" fontId="0" fillId="0" borderId="31" xfId="0" applyBorder="1" applyAlignment="1">
      <alignment horizontal="left"/>
    </xf>
    <xf numFmtId="0" fontId="57" fillId="33" borderId="0" xfId="0" applyFont="1" applyFill="1"/>
    <xf numFmtId="0" fontId="58" fillId="0" borderId="0" xfId="0" applyFont="1" applyProtection="1">
      <protection locked="0"/>
    </xf>
    <xf numFmtId="10" fontId="0" fillId="55" borderId="0" xfId="1" applyNumberFormat="1" applyFont="1" applyFill="1"/>
    <xf numFmtId="174" fontId="16" fillId="33" borderId="13" xfId="0" applyNumberFormat="1" applyFont="1" applyFill="1" applyBorder="1"/>
    <xf numFmtId="172" fontId="0" fillId="33" borderId="0" xfId="0" applyNumberFormat="1" applyFill="1"/>
    <xf numFmtId="180" fontId="0" fillId="55" borderId="13" xfId="43" applyNumberFormat="1" applyFont="1" applyFill="1" applyBorder="1" applyProtection="1"/>
    <xf numFmtId="0" fontId="16" fillId="48" borderId="13" xfId="0" applyFont="1" applyFill="1" applyBorder="1" applyAlignment="1">
      <alignment horizontal="center"/>
    </xf>
    <xf numFmtId="165" fontId="16" fillId="33" borderId="13" xfId="1" applyNumberFormat="1" applyFont="1" applyFill="1" applyBorder="1" applyAlignment="1" applyProtection="1">
      <alignment horizontal="center"/>
      <protection locked="0"/>
    </xf>
    <xf numFmtId="0" fontId="16" fillId="35" borderId="13" xfId="0" applyFont="1" applyFill="1" applyBorder="1" applyAlignment="1" applyProtection="1">
      <alignment horizontal="center"/>
      <protection locked="0"/>
    </xf>
    <xf numFmtId="0" fontId="16" fillId="37" borderId="13" xfId="0" applyFont="1" applyFill="1" applyBorder="1" applyAlignment="1" applyProtection="1">
      <alignment horizontal="center"/>
      <protection locked="0"/>
    </xf>
    <xf numFmtId="0" fontId="16" fillId="40" borderId="13" xfId="0" applyFont="1" applyFill="1" applyBorder="1" applyAlignment="1" applyProtection="1">
      <alignment horizontal="center"/>
      <protection locked="0"/>
    </xf>
    <xf numFmtId="0" fontId="16" fillId="43" borderId="13" xfId="0" applyFont="1" applyFill="1" applyBorder="1" applyAlignment="1" applyProtection="1">
      <alignment horizontal="center"/>
      <protection locked="0"/>
    </xf>
    <xf numFmtId="0" fontId="47" fillId="56" borderId="20" xfId="0" applyFont="1" applyFill="1" applyBorder="1" applyAlignment="1">
      <alignment horizontal="left" vertical="center"/>
    </xf>
    <xf numFmtId="0" fontId="47" fillId="56" borderId="25" xfId="0" applyFont="1" applyFill="1" applyBorder="1" applyAlignment="1">
      <alignment horizontal="left" vertical="center"/>
    </xf>
    <xf numFmtId="178" fontId="49" fillId="50" borderId="20" xfId="0" applyNumberFormat="1" applyFont="1" applyFill="1" applyBorder="1" applyAlignment="1">
      <alignment horizontal="center" vertical="center"/>
    </xf>
    <xf numFmtId="178" fontId="49" fillId="50" borderId="44" xfId="0" applyNumberFormat="1" applyFont="1" applyFill="1" applyBorder="1" applyAlignment="1">
      <alignment horizontal="center" vertical="center"/>
    </xf>
    <xf numFmtId="178" fontId="49" fillId="50" borderId="25" xfId="0" applyNumberFormat="1" applyFont="1" applyFill="1" applyBorder="1" applyAlignment="1">
      <alignment horizontal="center" vertical="center"/>
    </xf>
    <xf numFmtId="10" fontId="47" fillId="56" borderId="20" xfId="0" applyNumberFormat="1" applyFont="1" applyFill="1" applyBorder="1" applyAlignment="1">
      <alignment horizontal="center" vertical="center" wrapText="1"/>
    </xf>
    <xf numFmtId="10" fontId="47" fillId="56" borderId="25" xfId="0" applyNumberFormat="1" applyFont="1" applyFill="1" applyBorder="1" applyAlignment="1">
      <alignment horizontal="center" vertical="center" wrapText="1"/>
    </xf>
    <xf numFmtId="0" fontId="47" fillId="56" borderId="20" xfId="0" applyFont="1" applyFill="1" applyBorder="1" applyAlignment="1">
      <alignment horizontal="center" vertical="center"/>
    </xf>
    <xf numFmtId="0" fontId="47" fillId="56" borderId="25" xfId="0" applyFont="1" applyFill="1" applyBorder="1" applyAlignment="1">
      <alignment horizontal="center" vertical="center"/>
    </xf>
    <xf numFmtId="0" fontId="47" fillId="56" borderId="20" xfId="0" applyFont="1" applyFill="1" applyBorder="1" applyAlignment="1">
      <alignment horizontal="center" vertical="center" wrapText="1"/>
    </xf>
    <xf numFmtId="0" fontId="47" fillId="56" borderId="44" xfId="0" applyFont="1" applyFill="1" applyBorder="1" applyAlignment="1">
      <alignment horizontal="center" vertical="center" wrapText="1"/>
    </xf>
    <xf numFmtId="0" fontId="47" fillId="56" borderId="25" xfId="0" applyFont="1" applyFill="1" applyBorder="1" applyAlignment="1">
      <alignment horizontal="center" vertical="center" wrapText="1"/>
    </xf>
    <xf numFmtId="173" fontId="47" fillId="56" borderId="20" xfId="0" applyNumberFormat="1" applyFont="1" applyFill="1" applyBorder="1" applyAlignment="1">
      <alignment horizontal="center" vertical="center" wrapText="1"/>
    </xf>
    <xf numFmtId="173" fontId="47" fillId="56" borderId="25" xfId="0" applyNumberFormat="1" applyFont="1" applyFill="1" applyBorder="1" applyAlignment="1">
      <alignment horizontal="center" vertical="center" wrapText="1"/>
    </xf>
    <xf numFmtId="0" fontId="16" fillId="37" borderId="0" xfId="0" applyFont="1" applyFill="1" applyAlignment="1" applyProtection="1">
      <alignment horizontal="center" vertical="center"/>
      <protection locked="0"/>
    </xf>
    <xf numFmtId="0" fontId="16" fillId="41" borderId="0" xfId="0" applyFont="1" applyFill="1" applyAlignment="1" applyProtection="1">
      <alignment horizontal="center" vertical="center"/>
      <protection locked="0"/>
    </xf>
    <xf numFmtId="0" fontId="16" fillId="45" borderId="0" xfId="0" applyFont="1" applyFill="1" applyAlignment="1" applyProtection="1">
      <alignment horizontal="center" vertical="center"/>
      <protection locked="0"/>
    </xf>
    <xf numFmtId="1" fontId="19" fillId="36" borderId="14" xfId="1" applyNumberFormat="1" applyFont="1" applyFill="1" applyBorder="1" applyAlignment="1">
      <alignment horizontal="center"/>
    </xf>
    <xf numFmtId="1" fontId="19" fillId="36" borderId="33" xfId="1" applyNumberFormat="1" applyFont="1" applyFill="1" applyBorder="1" applyAlignment="1">
      <alignment horizontal="center"/>
    </xf>
    <xf numFmtId="1" fontId="19" fillId="36" borderId="31" xfId="1" applyNumberFormat="1" applyFont="1" applyFill="1" applyBorder="1" applyAlignment="1">
      <alignment horizontal="center"/>
    </xf>
    <xf numFmtId="164" fontId="19" fillId="35" borderId="13" xfId="0" applyNumberFormat="1" applyFont="1" applyFill="1" applyBorder="1" applyAlignment="1">
      <alignment horizontal="center"/>
    </xf>
  </cellXfs>
  <cellStyles count="51">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43" builtinId="3"/>
    <cellStyle name="Comma 2" xfId="48" xr:uid="{3948F8A4-EDBC-4B7A-B61C-56B05B1BA05A}"/>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rmal 2" xfId="44" xr:uid="{2856D630-8303-42D7-B87D-6FA8C69F1554}"/>
    <cellStyle name="Normal 2 2" xfId="45" xr:uid="{220A2B48-0797-4AE5-8712-630F9625277B}"/>
    <cellStyle name="Normal 3" xfId="49" xr:uid="{51DA664E-AE49-493D-B4EE-C2A2391BBC29}"/>
    <cellStyle name="Normal 4" xfId="47" xr:uid="{C40D05B5-6324-4E41-8964-822703BEC873}"/>
    <cellStyle name="Note" xfId="16" builtinId="10" customBuiltin="1"/>
    <cellStyle name="Output" xfId="11" builtinId="21" customBuiltin="1"/>
    <cellStyle name="Percent" xfId="1" builtinId="5"/>
    <cellStyle name="Percent 2" xfId="46" xr:uid="{BF56B845-D9E7-4AFC-B99D-58910F3936F6}"/>
    <cellStyle name="Percent 4" xfId="50" xr:uid="{E8432464-9AB4-4D6D-8302-921FAE0E00F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sheetMetadata" Target="metadata.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Unemployment Rate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Unemp rate - base</c:v>
          </c:tx>
          <c:spPr>
            <a:ln w="28575" cap="rnd">
              <a:solidFill>
                <a:schemeClr val="accent1"/>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Baseline!$D$24:$D$102</c:f>
              <c:numCache>
                <c:formatCode>General</c:formatCode>
                <c:ptCount val="79"/>
                <c:pt idx="0">
                  <c:v>4.5</c:v>
                </c:pt>
                <c:pt idx="1">
                  <c:v>4.4000000000000004</c:v>
                </c:pt>
                <c:pt idx="2">
                  <c:v>4.7</c:v>
                </c:pt>
                <c:pt idx="3">
                  <c:v>4.7</c:v>
                </c:pt>
                <c:pt idx="4">
                  <c:v>4.9000000000000004</c:v>
                </c:pt>
                <c:pt idx="5">
                  <c:v>5.0999999999999996</c:v>
                </c:pt>
                <c:pt idx="6">
                  <c:v>5.4</c:v>
                </c:pt>
                <c:pt idx="7">
                  <c:v>5.0999999999999996</c:v>
                </c:pt>
                <c:pt idx="8">
                  <c:v>5.0999999999999996</c:v>
                </c:pt>
                <c:pt idx="9">
                  <c:v>4.9000000000000004</c:v>
                </c:pt>
                <c:pt idx="10">
                  <c:v>5.3</c:v>
                </c:pt>
                <c:pt idx="11">
                  <c:v>4.8</c:v>
                </c:pt>
                <c:pt idx="12">
                  <c:v>4.9000000000000004</c:v>
                </c:pt>
                <c:pt idx="13">
                  <c:v>5</c:v>
                </c:pt>
                <c:pt idx="14">
                  <c:v>5.9</c:v>
                </c:pt>
                <c:pt idx="15">
                  <c:v>6</c:v>
                </c:pt>
                <c:pt idx="16">
                  <c:v>6.9</c:v>
                </c:pt>
                <c:pt idx="17">
                  <c:v>7.5</c:v>
                </c:pt>
                <c:pt idx="18">
                  <c:v>7.8</c:v>
                </c:pt>
                <c:pt idx="19">
                  <c:v>7.4</c:v>
                </c:pt>
                <c:pt idx="20">
                  <c:v>7.8</c:v>
                </c:pt>
                <c:pt idx="21">
                  <c:v>7.5</c:v>
                </c:pt>
                <c:pt idx="22">
                  <c:v>7.8</c:v>
                </c:pt>
                <c:pt idx="23">
                  <c:v>7.6</c:v>
                </c:pt>
                <c:pt idx="24">
                  <c:v>7.6</c:v>
                </c:pt>
                <c:pt idx="25">
                  <c:v>7.7</c:v>
                </c:pt>
                <c:pt idx="26">
                  <c:v>8.4</c:v>
                </c:pt>
                <c:pt idx="27">
                  <c:v>8</c:v>
                </c:pt>
                <c:pt idx="28">
                  <c:v>7.9</c:v>
                </c:pt>
                <c:pt idx="29">
                  <c:v>7.8</c:v>
                </c:pt>
                <c:pt idx="30">
                  <c:v>7.9</c:v>
                </c:pt>
                <c:pt idx="31">
                  <c:v>7.4</c:v>
                </c:pt>
                <c:pt idx="32">
                  <c:v>7.5</c:v>
                </c:pt>
                <c:pt idx="33">
                  <c:v>7.5</c:v>
                </c:pt>
                <c:pt idx="34">
                  <c:v>7.6</c:v>
                </c:pt>
                <c:pt idx="35">
                  <c:v>6.9</c:v>
                </c:pt>
                <c:pt idx="36">
                  <c:v>6.5</c:v>
                </c:pt>
                <c:pt idx="37">
                  <c:v>6</c:v>
                </c:pt>
                <c:pt idx="38">
                  <c:v>6.1</c:v>
                </c:pt>
                <c:pt idx="39">
                  <c:v>5.4</c:v>
                </c:pt>
                <c:pt idx="40">
                  <c:v>5.3</c:v>
                </c:pt>
                <c:pt idx="41">
                  <c:v>5.3</c:v>
                </c:pt>
                <c:pt idx="42">
                  <c:v>5.3</c:v>
                </c:pt>
                <c:pt idx="43">
                  <c:v>4.7</c:v>
                </c:pt>
                <c:pt idx="44">
                  <c:v>4.9000000000000004</c:v>
                </c:pt>
                <c:pt idx="45">
                  <c:v>4.7</c:v>
                </c:pt>
                <c:pt idx="46">
                  <c:v>4.9000000000000004</c:v>
                </c:pt>
                <c:pt idx="47">
                  <c:v>4.5</c:v>
                </c:pt>
                <c:pt idx="48">
                  <c:v>4.3</c:v>
                </c:pt>
                <c:pt idx="49">
                  <c:v>4.2</c:v>
                </c:pt>
                <c:pt idx="50">
                  <c:v>4.4000000000000004</c:v>
                </c:pt>
                <c:pt idx="51">
                  <c:v>4.0999999999999996</c:v>
                </c:pt>
                <c:pt idx="52">
                  <c:v>4</c:v>
                </c:pt>
                <c:pt idx="53">
                  <c:v>3.8</c:v>
                </c:pt>
                <c:pt idx="54">
                  <c:v>4.0999999999999996</c:v>
                </c:pt>
                <c:pt idx="55">
                  <c:v>3.8</c:v>
                </c:pt>
                <c:pt idx="56">
                  <c:v>3.6</c:v>
                </c:pt>
                <c:pt idx="57">
                  <c:v>3.6</c:v>
                </c:pt>
                <c:pt idx="58">
                  <c:v>4</c:v>
                </c:pt>
                <c:pt idx="59">
                  <c:v>3.7</c:v>
                </c:pt>
                <c:pt idx="60">
                  <c:v>3.8</c:v>
                </c:pt>
                <c:pt idx="61">
                  <c:v>3.7</c:v>
                </c:pt>
                <c:pt idx="62">
                  <c:v>4.7</c:v>
                </c:pt>
                <c:pt idx="63">
                  <c:v>4.8</c:v>
                </c:pt>
                <c:pt idx="64">
                  <c:v>4.4000000000000004</c:v>
                </c:pt>
                <c:pt idx="65">
                  <c:v>4.2</c:v>
                </c:pt>
                <c:pt idx="66">
                  <c:v>4.92</c:v>
                </c:pt>
                <c:pt idx="67">
                  <c:v>3.8</c:v>
                </c:pt>
                <c:pt idx="68">
                  <c:v>3.9285590107467714</c:v>
                </c:pt>
                <c:pt idx="69">
                  <c:v>3.947763056247616</c:v>
                </c:pt>
                <c:pt idx="70">
                  <c:v>4.0777406028440826</c:v>
                </c:pt>
                <c:pt idx="71">
                  <c:v>4.1535782816406392</c:v>
                </c:pt>
                <c:pt idx="72">
                  <c:v>4.2369568972781879</c:v>
                </c:pt>
                <c:pt idx="73">
                  <c:v>4.5590156818058452</c:v>
                </c:pt>
                <c:pt idx="74">
                  <c:v>4.6896766727251871</c:v>
                </c:pt>
                <c:pt idx="75">
                  <c:v>4.7399335702979783</c:v>
                </c:pt>
                <c:pt idx="76">
                  <c:v>4.7742246928015355</c:v>
                </c:pt>
              </c:numCache>
            </c:numRef>
          </c:val>
          <c:smooth val="0"/>
          <c:extLst>
            <c:ext xmlns:c16="http://schemas.microsoft.com/office/drawing/2014/chart" uri="{C3380CC4-5D6E-409C-BE32-E72D297353CC}">
              <c16:uniqueId val="{00000000-1FBD-49A4-8106-256DA7659331}"/>
            </c:ext>
          </c:extLst>
        </c:ser>
        <c:ser>
          <c:idx val="2"/>
          <c:order val="1"/>
          <c:tx>
            <c:v>Unemp rate - Sev Adv</c:v>
          </c:tx>
          <c:spPr>
            <a:ln w="28575" cap="rnd">
              <a:solidFill>
                <a:schemeClr val="accent4"/>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1FBD-49A4-8106-256DA7659331}"/>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Inflation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Inflation-Baseline</c:v>
          </c:tx>
          <c:spPr>
            <a:ln w="28575" cap="rnd">
              <a:solidFill>
                <a:schemeClr val="accent1"/>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Baseline!#REF!</c:f>
              <c:numCache>
                <c:formatCode>General</c:formatCode>
                <c:ptCount val="1"/>
                <c:pt idx="0">
                  <c:v>1</c:v>
                </c:pt>
              </c:numCache>
            </c:numRef>
          </c:val>
          <c:smooth val="0"/>
          <c:extLst>
            <c:ext xmlns:c16="http://schemas.microsoft.com/office/drawing/2014/chart" uri="{C3380CC4-5D6E-409C-BE32-E72D297353CC}">
              <c16:uniqueId val="{00000000-D9CB-4A30-988B-8B2856472F28}"/>
            </c:ext>
          </c:extLst>
        </c:ser>
        <c:ser>
          <c:idx val="2"/>
          <c:order val="1"/>
          <c:tx>
            <c:v>Inflation- Sev Adv</c:v>
          </c:tx>
          <c:spPr>
            <a:ln w="28575" cap="rnd">
              <a:solidFill>
                <a:schemeClr val="accent4"/>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D9CB-4A30-988B-8B2856472F28}"/>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GDP Growth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GDP-Baseline</c:v>
          </c:tx>
          <c:spPr>
            <a:ln w="28575" cap="rnd">
              <a:solidFill>
                <a:schemeClr val="accent1"/>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Baseline!$C$24:$C$102</c:f>
              <c:numCache>
                <c:formatCode>0.00</c:formatCode>
                <c:ptCount val="79"/>
                <c:pt idx="0">
                  <c:v>1.7026348988588236E-2</c:v>
                </c:pt>
                <c:pt idx="1">
                  <c:v>2.5999321278863619E-2</c:v>
                </c:pt>
                <c:pt idx="2">
                  <c:v>3.5967532591475671E-2</c:v>
                </c:pt>
                <c:pt idx="3">
                  <c:v>4.8058653006965324E-2</c:v>
                </c:pt>
                <c:pt idx="4">
                  <c:v>4.347456967604546E-2</c:v>
                </c:pt>
                <c:pt idx="5">
                  <c:v>3.3253127671419191E-2</c:v>
                </c:pt>
                <c:pt idx="6">
                  <c:v>2.2666817133921269E-2</c:v>
                </c:pt>
                <c:pt idx="7">
                  <c:v>1.2788280888372583E-2</c:v>
                </c:pt>
                <c:pt idx="8">
                  <c:v>1.8174997061987552E-2</c:v>
                </c:pt>
                <c:pt idx="9">
                  <c:v>2.191668413779424E-2</c:v>
                </c:pt>
                <c:pt idx="10">
                  <c:v>2.8792126924072958E-2</c:v>
                </c:pt>
                <c:pt idx="11">
                  <c:v>2.8296053339068816E-2</c:v>
                </c:pt>
                <c:pt idx="12">
                  <c:v>2.4314233837493759E-2</c:v>
                </c:pt>
                <c:pt idx="13">
                  <c:v>1.2355755761497056E-2</c:v>
                </c:pt>
                <c:pt idx="14">
                  <c:v>-1.1150756298841991E-2</c:v>
                </c:pt>
                <c:pt idx="15">
                  <c:v>-3.611470602332989E-2</c:v>
                </c:pt>
                <c:pt idx="16">
                  <c:v>-5.8066361556064039E-2</c:v>
                </c:pt>
                <c:pt idx="17">
                  <c:v>-5.5117320967854377E-2</c:v>
                </c:pt>
                <c:pt idx="18">
                  <c:v>-3.9425682256893357E-2</c:v>
                </c:pt>
                <c:pt idx="19">
                  <c:v>-1.6224915575286047E-2</c:v>
                </c:pt>
                <c:pt idx="20">
                  <c:v>7.6493756269038204E-3</c:v>
                </c:pt>
                <c:pt idx="21">
                  <c:v>2.0229787508821095E-2</c:v>
                </c:pt>
                <c:pt idx="22">
                  <c:v>2.6267151541967904E-2</c:v>
                </c:pt>
                <c:pt idx="23">
                  <c:v>2.3844973209444342E-2</c:v>
                </c:pt>
                <c:pt idx="24">
                  <c:v>2.3767069024956511E-2</c:v>
                </c:pt>
                <c:pt idx="25">
                  <c:v>1.4618323198987371E-2</c:v>
                </c:pt>
                <c:pt idx="26">
                  <c:v>1.10593635195948E-2</c:v>
                </c:pt>
                <c:pt idx="27">
                  <c:v>1.2297859544081469E-2</c:v>
                </c:pt>
                <c:pt idx="28">
                  <c:v>1.2439480744227849E-2</c:v>
                </c:pt>
                <c:pt idx="29">
                  <c:v>1.0635904085265491E-2</c:v>
                </c:pt>
                <c:pt idx="30">
                  <c:v>1.9757956153150902E-2</c:v>
                </c:pt>
                <c:pt idx="31">
                  <c:v>1.6300661071281253E-2</c:v>
                </c:pt>
                <c:pt idx="32">
                  <c:v>1.6310967886887129E-2</c:v>
                </c:pt>
                <c:pt idx="33">
                  <c:v>2.2564595453132608E-2</c:v>
                </c:pt>
                <c:pt idx="34">
                  <c:v>1.983904866654318E-2</c:v>
                </c:pt>
                <c:pt idx="35">
                  <c:v>2.6832359376056658E-2</c:v>
                </c:pt>
                <c:pt idx="36">
                  <c:v>2.6979111128449862E-2</c:v>
                </c:pt>
                <c:pt idx="37">
                  <c:v>2.8202049294302034E-2</c:v>
                </c:pt>
                <c:pt idx="38">
                  <c:v>2.4435455970477582E-2</c:v>
                </c:pt>
                <c:pt idx="39">
                  <c:v>2.4724901219356665E-2</c:v>
                </c:pt>
                <c:pt idx="40">
                  <c:v>2.3379101050561069E-2</c:v>
                </c:pt>
                <c:pt idx="41">
                  <c:v>2.3962729767752933E-2</c:v>
                </c:pt>
                <c:pt idx="42">
                  <c:v>2.2476735265668291E-2</c:v>
                </c:pt>
                <c:pt idx="43">
                  <c:v>2.438953602872429E-2</c:v>
                </c:pt>
                <c:pt idx="44">
                  <c:v>2.0716819269157805E-2</c:v>
                </c:pt>
                <c:pt idx="45">
                  <c:v>1.8868581303826071E-2</c:v>
                </c:pt>
                <c:pt idx="46">
                  <c:v>1.9079347085903864E-2</c:v>
                </c:pt>
                <c:pt idx="47">
                  <c:v>1.8089868540344556E-2</c:v>
                </c:pt>
                <c:pt idx="48">
                  <c:v>2.225809449537941E-2</c:v>
                </c:pt>
                <c:pt idx="49">
                  <c:v>1.9417475728155331E-2</c:v>
                </c:pt>
                <c:pt idx="50">
                  <c:v>1.829800174457219E-2</c:v>
                </c:pt>
                <c:pt idx="51">
                  <c:v>1.5764794278478877E-2</c:v>
                </c:pt>
                <c:pt idx="52">
                  <c:v>1.0543832500301331E-2</c:v>
                </c:pt>
                <c:pt idx="53">
                  <c:v>1.3318745009906152E-2</c:v>
                </c:pt>
                <c:pt idx="54">
                  <c:v>1.5809989351293297E-2</c:v>
                </c:pt>
                <c:pt idx="55">
                  <c:v>1.3936995855299505E-2</c:v>
                </c:pt>
                <c:pt idx="56">
                  <c:v>2.0003207397353506E-2</c:v>
                </c:pt>
                <c:pt idx="57">
                  <c:v>1.4085301676423301E-2</c:v>
                </c:pt>
                <c:pt idx="58">
                  <c:v>1.3324204251599081E-2</c:v>
                </c:pt>
                <c:pt idx="59">
                  <c:v>1.1157302329890317E-2</c:v>
                </c:pt>
                <c:pt idx="60">
                  <c:v>-1.7425116864092538E-2</c:v>
                </c:pt>
                <c:pt idx="61">
                  <c:v>-0.19500000000000001</c:v>
                </c:pt>
                <c:pt idx="62">
                  <c:v>0.16899999999999998</c:v>
                </c:pt>
                <c:pt idx="63">
                  <c:v>1.3000000000000001E-2</c:v>
                </c:pt>
                <c:pt idx="64">
                  <c:v>-1.6E-2</c:v>
                </c:pt>
                <c:pt idx="65">
                  <c:v>4.8000000000000001E-2</c:v>
                </c:pt>
                <c:pt idx="66">
                  <c:v>1.2999999999999999E-2</c:v>
                </c:pt>
                <c:pt idx="67">
                  <c:v>0.01</c:v>
                </c:pt>
                <c:pt idx="68">
                  <c:v>8.0000000000000487E-3</c:v>
                </c:pt>
                <c:pt idx="69" formatCode="0.00%">
                  <c:v>5.6831000000112696E-4</c:v>
                </c:pt>
                <c:pt idx="70" formatCode="0.00%">
                  <c:v>-8.7559999999818497E-4</c:v>
                </c:pt>
                <c:pt idx="71" formatCode="0.00%">
                  <c:v>2.5000000000009463E-3</c:v>
                </c:pt>
                <c:pt idx="72" formatCode="0.00%">
                  <c:v>4.6551335764823659E-3</c:v>
                </c:pt>
                <c:pt idx="73" formatCode="0.00%">
                  <c:v>1.5939474670149716E-2</c:v>
                </c:pt>
                <c:pt idx="74" formatCode="0.00%">
                  <c:v>1.3884068458604916E-2</c:v>
                </c:pt>
                <c:pt idx="75" formatCode="0.00%">
                  <c:v>9.7423042718366281E-3</c:v>
                </c:pt>
                <c:pt idx="76" formatCode="0.00%">
                  <c:v>1.1245971950586091E-2</c:v>
                </c:pt>
              </c:numCache>
            </c:numRef>
          </c:val>
          <c:smooth val="0"/>
          <c:extLst>
            <c:ext xmlns:c16="http://schemas.microsoft.com/office/drawing/2014/chart" uri="{C3380CC4-5D6E-409C-BE32-E72D297353CC}">
              <c16:uniqueId val="{00000000-5EB1-41CA-A0CA-0EE94E28896D}"/>
            </c:ext>
          </c:extLst>
        </c:ser>
        <c:ser>
          <c:idx val="3"/>
          <c:order val="1"/>
          <c:tx>
            <c:v>GDP-SevAdv</c:v>
          </c:tx>
          <c:spPr>
            <a:ln w="28575" cap="rnd">
              <a:solidFill>
                <a:schemeClr val="accent4"/>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5EB1-41CA-A0CA-0EE94E28896D}"/>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PD Projections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Moody's TTC PD</c:v>
          </c:tx>
          <c:spPr>
            <a:ln w="28575" cap="rnd">
              <a:solidFill>
                <a:schemeClr val="accent1"/>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Baseline!$U$24:$U$102</c:f>
              <c:numCache>
                <c:formatCode>0.00%</c:formatCode>
                <c:ptCount val="79"/>
                <c:pt idx="0">
                  <c:v>1.7000000000000001E-2</c:v>
                </c:pt>
                <c:pt idx="1">
                  <c:v>1.7000000000000001E-2</c:v>
                </c:pt>
                <c:pt idx="2">
                  <c:v>1.7000000000000001E-2</c:v>
                </c:pt>
                <c:pt idx="3">
                  <c:v>1.7000000000000001E-2</c:v>
                </c:pt>
                <c:pt idx="4">
                  <c:v>1.7000000000000001E-2</c:v>
                </c:pt>
                <c:pt idx="5">
                  <c:v>1.7000000000000001E-2</c:v>
                </c:pt>
                <c:pt idx="6">
                  <c:v>1.7000000000000001E-2</c:v>
                </c:pt>
                <c:pt idx="7">
                  <c:v>1.7000000000000001E-2</c:v>
                </c:pt>
                <c:pt idx="8">
                  <c:v>1.7000000000000001E-2</c:v>
                </c:pt>
                <c:pt idx="9">
                  <c:v>1.7000000000000001E-2</c:v>
                </c:pt>
                <c:pt idx="10">
                  <c:v>1.7000000000000001E-2</c:v>
                </c:pt>
                <c:pt idx="11">
                  <c:v>1.7000000000000001E-2</c:v>
                </c:pt>
                <c:pt idx="12">
                  <c:v>1.7000000000000001E-2</c:v>
                </c:pt>
                <c:pt idx="13">
                  <c:v>1.7000000000000001E-2</c:v>
                </c:pt>
                <c:pt idx="14">
                  <c:v>1.7000000000000001E-2</c:v>
                </c:pt>
                <c:pt idx="15">
                  <c:v>1.7000000000000001E-2</c:v>
                </c:pt>
                <c:pt idx="16">
                  <c:v>1.7000000000000001E-2</c:v>
                </c:pt>
                <c:pt idx="17">
                  <c:v>1.7000000000000001E-2</c:v>
                </c:pt>
                <c:pt idx="18">
                  <c:v>1.7000000000000001E-2</c:v>
                </c:pt>
                <c:pt idx="19">
                  <c:v>1.7000000000000001E-2</c:v>
                </c:pt>
                <c:pt idx="20">
                  <c:v>1.7000000000000001E-2</c:v>
                </c:pt>
                <c:pt idx="21">
                  <c:v>1.7000000000000001E-2</c:v>
                </c:pt>
                <c:pt idx="22">
                  <c:v>1.7000000000000001E-2</c:v>
                </c:pt>
                <c:pt idx="23">
                  <c:v>1.7000000000000001E-2</c:v>
                </c:pt>
                <c:pt idx="24">
                  <c:v>1.7000000000000001E-2</c:v>
                </c:pt>
                <c:pt idx="25">
                  <c:v>1.7000000000000001E-2</c:v>
                </c:pt>
                <c:pt idx="26">
                  <c:v>1.7000000000000001E-2</c:v>
                </c:pt>
                <c:pt idx="27">
                  <c:v>1.7000000000000001E-2</c:v>
                </c:pt>
                <c:pt idx="28">
                  <c:v>1.7000000000000001E-2</c:v>
                </c:pt>
                <c:pt idx="29">
                  <c:v>1.7000000000000001E-2</c:v>
                </c:pt>
                <c:pt idx="30">
                  <c:v>1.7000000000000001E-2</c:v>
                </c:pt>
                <c:pt idx="31">
                  <c:v>1.7000000000000001E-2</c:v>
                </c:pt>
                <c:pt idx="32">
                  <c:v>1.7000000000000001E-2</c:v>
                </c:pt>
                <c:pt idx="33">
                  <c:v>1.7000000000000001E-2</c:v>
                </c:pt>
                <c:pt idx="34">
                  <c:v>1.7000000000000001E-2</c:v>
                </c:pt>
                <c:pt idx="35">
                  <c:v>1.7000000000000001E-2</c:v>
                </c:pt>
                <c:pt idx="36">
                  <c:v>1.7000000000000001E-2</c:v>
                </c:pt>
                <c:pt idx="37">
                  <c:v>1.7000000000000001E-2</c:v>
                </c:pt>
                <c:pt idx="38">
                  <c:v>1.7000000000000001E-2</c:v>
                </c:pt>
                <c:pt idx="39">
                  <c:v>1.7000000000000001E-2</c:v>
                </c:pt>
                <c:pt idx="40">
                  <c:v>1.7000000000000001E-2</c:v>
                </c:pt>
                <c:pt idx="41">
                  <c:v>1.7000000000000001E-2</c:v>
                </c:pt>
                <c:pt idx="42">
                  <c:v>1.7000000000000001E-2</c:v>
                </c:pt>
                <c:pt idx="43">
                  <c:v>1.7000000000000001E-2</c:v>
                </c:pt>
                <c:pt idx="44">
                  <c:v>1.7000000000000001E-2</c:v>
                </c:pt>
                <c:pt idx="45">
                  <c:v>1.7000000000000001E-2</c:v>
                </c:pt>
                <c:pt idx="46">
                  <c:v>1.7000000000000001E-2</c:v>
                </c:pt>
                <c:pt idx="47">
                  <c:v>1.7000000000000001E-2</c:v>
                </c:pt>
                <c:pt idx="48">
                  <c:v>1.7000000000000001E-2</c:v>
                </c:pt>
                <c:pt idx="49">
                  <c:v>1.7000000000000001E-2</c:v>
                </c:pt>
                <c:pt idx="50">
                  <c:v>1.7000000000000001E-2</c:v>
                </c:pt>
                <c:pt idx="51">
                  <c:v>1.7000000000000001E-2</c:v>
                </c:pt>
                <c:pt idx="52">
                  <c:v>1.7000000000000001E-2</c:v>
                </c:pt>
                <c:pt idx="53">
                  <c:v>1.7000000000000001E-2</c:v>
                </c:pt>
                <c:pt idx="54">
                  <c:v>1.7000000000000001E-2</c:v>
                </c:pt>
                <c:pt idx="55">
                  <c:v>1.7000000000000001E-2</c:v>
                </c:pt>
                <c:pt idx="56">
                  <c:v>1.7000000000000001E-2</c:v>
                </c:pt>
                <c:pt idx="57">
                  <c:v>1.7000000000000001E-2</c:v>
                </c:pt>
                <c:pt idx="58">
                  <c:v>1.7000000000000001E-2</c:v>
                </c:pt>
                <c:pt idx="59">
                  <c:v>1.7000000000000001E-2</c:v>
                </c:pt>
                <c:pt idx="60">
                  <c:v>1.7000000000000001E-2</c:v>
                </c:pt>
                <c:pt idx="61">
                  <c:v>1.7000000000000001E-2</c:v>
                </c:pt>
                <c:pt idx="62">
                  <c:v>1.7000000000000001E-2</c:v>
                </c:pt>
                <c:pt idx="63">
                  <c:v>1.7000000000000001E-2</c:v>
                </c:pt>
                <c:pt idx="64">
                  <c:v>1.7000000000000001E-2</c:v>
                </c:pt>
                <c:pt idx="65">
                  <c:v>1.7000000000000001E-2</c:v>
                </c:pt>
                <c:pt idx="66">
                  <c:v>1.7000000000000001E-2</c:v>
                </c:pt>
                <c:pt idx="67">
                  <c:v>1.7000000000000001E-2</c:v>
                </c:pt>
                <c:pt idx="68">
                  <c:v>1.7000000000000001E-2</c:v>
                </c:pt>
                <c:pt idx="69">
                  <c:v>1.7000000000000001E-2</c:v>
                </c:pt>
                <c:pt idx="70">
                  <c:v>1.7000000000000001E-2</c:v>
                </c:pt>
                <c:pt idx="71">
                  <c:v>1.7000000000000001E-2</c:v>
                </c:pt>
                <c:pt idx="72">
                  <c:v>1.7000000000000001E-2</c:v>
                </c:pt>
                <c:pt idx="73">
                  <c:v>1.7000000000000001E-2</c:v>
                </c:pt>
                <c:pt idx="74">
                  <c:v>1.7000000000000001E-2</c:v>
                </c:pt>
                <c:pt idx="75">
                  <c:v>1.7000000000000001E-2</c:v>
                </c:pt>
                <c:pt idx="76">
                  <c:v>1.7000000000000001E-2</c:v>
                </c:pt>
              </c:numCache>
            </c:numRef>
          </c:val>
          <c:smooth val="0"/>
          <c:extLst>
            <c:ext xmlns:c16="http://schemas.microsoft.com/office/drawing/2014/chart" uri="{C3380CC4-5D6E-409C-BE32-E72D297353CC}">
              <c16:uniqueId val="{00000000-8F25-4385-B25A-85478394DF9F}"/>
            </c:ext>
          </c:extLst>
        </c:ser>
        <c:ser>
          <c:idx val="2"/>
          <c:order val="1"/>
          <c:tx>
            <c:v>Moody's PIT PD</c:v>
          </c:tx>
          <c:spPr>
            <a:ln w="28575" cap="rnd">
              <a:solidFill>
                <a:schemeClr val="accent3"/>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Baseline!$W$24:$W$79</c:f>
              <c:numCache>
                <c:formatCode>0.00%</c:formatCode>
                <c:ptCount val="56"/>
                <c:pt idx="0">
                  <c:v>1.04E-2</c:v>
                </c:pt>
                <c:pt idx="1">
                  <c:v>1.11E-2</c:v>
                </c:pt>
                <c:pt idx="2">
                  <c:v>1.01E-2</c:v>
                </c:pt>
                <c:pt idx="3">
                  <c:v>1.04E-2</c:v>
                </c:pt>
                <c:pt idx="4">
                  <c:v>1.09E-2</c:v>
                </c:pt>
                <c:pt idx="5">
                  <c:v>1.04E-2</c:v>
                </c:pt>
                <c:pt idx="6">
                  <c:v>1.15E-2</c:v>
                </c:pt>
                <c:pt idx="7">
                  <c:v>1.0999999999999999E-2</c:v>
                </c:pt>
                <c:pt idx="8">
                  <c:v>1.0999999999999999E-2</c:v>
                </c:pt>
                <c:pt idx="9">
                  <c:v>1.2E-2</c:v>
                </c:pt>
                <c:pt idx="10">
                  <c:v>1.2500000000000001E-2</c:v>
                </c:pt>
                <c:pt idx="11">
                  <c:v>1.4500000000000001E-2</c:v>
                </c:pt>
                <c:pt idx="12">
                  <c:v>1.7899999999999999E-2</c:v>
                </c:pt>
                <c:pt idx="13">
                  <c:v>1.8200000000000001E-2</c:v>
                </c:pt>
                <c:pt idx="14">
                  <c:v>2.2200000000000001E-2</c:v>
                </c:pt>
                <c:pt idx="15">
                  <c:v>2.8000000000000001E-2</c:v>
                </c:pt>
                <c:pt idx="16">
                  <c:v>2.6599999999999999E-2</c:v>
                </c:pt>
                <c:pt idx="17">
                  <c:v>2.5499999999999998E-2</c:v>
                </c:pt>
                <c:pt idx="18">
                  <c:v>2.2499999999999999E-2</c:v>
                </c:pt>
                <c:pt idx="19">
                  <c:v>1.8499999999999999E-2</c:v>
                </c:pt>
                <c:pt idx="20">
                  <c:v>1.6400000000000001E-2</c:v>
                </c:pt>
                <c:pt idx="21">
                  <c:v>1.54E-2</c:v>
                </c:pt>
                <c:pt idx="22">
                  <c:v>1.4500000000000001E-2</c:v>
                </c:pt>
                <c:pt idx="23">
                  <c:v>1.3599999999999999E-2</c:v>
                </c:pt>
                <c:pt idx="24">
                  <c:v>1.09E-2</c:v>
                </c:pt>
                <c:pt idx="25">
                  <c:v>1.09E-2</c:v>
                </c:pt>
                <c:pt idx="26">
                  <c:v>1.1599999999999999E-2</c:v>
                </c:pt>
                <c:pt idx="27">
                  <c:v>1.29E-2</c:v>
                </c:pt>
                <c:pt idx="28">
                  <c:v>1.26E-2</c:v>
                </c:pt>
                <c:pt idx="29">
                  <c:v>1.26E-2</c:v>
                </c:pt>
                <c:pt idx="30">
                  <c:v>1.3100000000000001E-2</c:v>
                </c:pt>
                <c:pt idx="31">
                  <c:v>1.3299999999999999E-2</c:v>
                </c:pt>
                <c:pt idx="32">
                  <c:v>1.2200000000000001E-2</c:v>
                </c:pt>
                <c:pt idx="33">
                  <c:v>1.11E-2</c:v>
                </c:pt>
                <c:pt idx="34">
                  <c:v>1.0999999999999999E-2</c:v>
                </c:pt>
                <c:pt idx="35">
                  <c:v>1.09E-2</c:v>
                </c:pt>
                <c:pt idx="36">
                  <c:v>1.0200000000000001E-2</c:v>
                </c:pt>
                <c:pt idx="37">
                  <c:v>8.9999999999999993E-3</c:v>
                </c:pt>
                <c:pt idx="38">
                  <c:v>9.7000000000000003E-3</c:v>
                </c:pt>
                <c:pt idx="39">
                  <c:v>1.11E-2</c:v>
                </c:pt>
                <c:pt idx="40">
                  <c:v>1.0999999999999999E-2</c:v>
                </c:pt>
                <c:pt idx="41">
                  <c:v>1.1900000000000001E-2</c:v>
                </c:pt>
                <c:pt idx="42">
                  <c:v>1.2699999999999999E-2</c:v>
                </c:pt>
                <c:pt idx="43">
                  <c:v>1.32E-2</c:v>
                </c:pt>
                <c:pt idx="44">
                  <c:v>1.6299999999999999E-2</c:v>
                </c:pt>
                <c:pt idx="45">
                  <c:v>1.77E-2</c:v>
                </c:pt>
                <c:pt idx="46">
                  <c:v>1.6500000000000001E-2</c:v>
                </c:pt>
                <c:pt idx="47">
                  <c:v>1.47E-2</c:v>
                </c:pt>
                <c:pt idx="48">
                  <c:v>1.4999999999999999E-2</c:v>
                </c:pt>
                <c:pt idx="49">
                  <c:v>1.49E-2</c:v>
                </c:pt>
                <c:pt idx="50">
                  <c:v>1.35E-2</c:v>
                </c:pt>
                <c:pt idx="51">
                  <c:v>1.44E-2</c:v>
                </c:pt>
                <c:pt idx="52">
                  <c:v>1.47E-2</c:v>
                </c:pt>
                <c:pt idx="53">
                  <c:v>1.46E-2</c:v>
                </c:pt>
                <c:pt idx="54">
                  <c:v>1.4800000000000001E-2</c:v>
                </c:pt>
                <c:pt idx="55">
                  <c:v>1.72E-2</c:v>
                </c:pt>
              </c:numCache>
            </c:numRef>
          </c:val>
          <c:smooth val="0"/>
          <c:extLst>
            <c:ext xmlns:c16="http://schemas.microsoft.com/office/drawing/2014/chart" uri="{C3380CC4-5D6E-409C-BE32-E72D297353CC}">
              <c16:uniqueId val="{00000001-8F25-4385-B25A-85478394DF9F}"/>
            </c:ext>
          </c:extLst>
        </c:ser>
        <c:ser>
          <c:idx val="3"/>
          <c:order val="2"/>
          <c:tx>
            <c:v>Baseline PD</c:v>
          </c:tx>
          <c:spPr>
            <a:ln w="28575" cap="rnd">
              <a:solidFill>
                <a:schemeClr val="accent6"/>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Baseline!$Y$24:$Y$102</c:f>
              <c:numCache>
                <c:formatCode>0.00%</c:formatCode>
                <c:ptCount val="79"/>
                <c:pt idx="0">
                  <c:v>1.0188322710703277E-2</c:v>
                </c:pt>
                <c:pt idx="1">
                  <c:v>9.3872200416364026E-3</c:v>
                </c:pt>
                <c:pt idx="2">
                  <c:v>5.9462530023917928E-3</c:v>
                </c:pt>
                <c:pt idx="3">
                  <c:v>3.3422017557567635E-3</c:v>
                </c:pt>
                <c:pt idx="4">
                  <c:v>2.8357018304656788E-3</c:v>
                </c:pt>
                <c:pt idx="5">
                  <c:v>3.0134336804031776E-3</c:v>
                </c:pt>
                <c:pt idx="6">
                  <c:v>3.7602050032854105E-3</c:v>
                </c:pt>
                <c:pt idx="7">
                  <c:v>6.8267162568770674E-3</c:v>
                </c:pt>
                <c:pt idx="8">
                  <c:v>8.0190571099066216E-3</c:v>
                </c:pt>
                <c:pt idx="9">
                  <c:v>8.0414937808519042E-3</c:v>
                </c:pt>
                <c:pt idx="10">
                  <c:v>4.9227112904244403E-3</c:v>
                </c:pt>
                <c:pt idx="11">
                  <c:v>3.8405109012949134E-3</c:v>
                </c:pt>
                <c:pt idx="12">
                  <c:v>4.4719380305115134E-3</c:v>
                </c:pt>
                <c:pt idx="13">
                  <c:v>1.0639802180957865E-2</c:v>
                </c:pt>
                <c:pt idx="14">
                  <c:v>1.9565879563431181E-2</c:v>
                </c:pt>
                <c:pt idx="15">
                  <c:v>2.9099594046597527E-2</c:v>
                </c:pt>
                <c:pt idx="16">
                  <c:v>3.5691787677960621E-2</c:v>
                </c:pt>
                <c:pt idx="17">
                  <c:v>3.9540017336679827E-2</c:v>
                </c:pt>
                <c:pt idx="18">
                  <c:v>4.2192256680141677E-2</c:v>
                </c:pt>
                <c:pt idx="19">
                  <c:v>3.8759880572336029E-2</c:v>
                </c:pt>
                <c:pt idx="20">
                  <c:v>3.2009142067228498E-2</c:v>
                </c:pt>
                <c:pt idx="21">
                  <c:v>2.0250583272075195E-2</c:v>
                </c:pt>
                <c:pt idx="22">
                  <c:v>1.1737443522777518E-2</c:v>
                </c:pt>
                <c:pt idx="23">
                  <c:v>7.0454779119002641E-3</c:v>
                </c:pt>
                <c:pt idx="24">
                  <c:v>6.9874646034657623E-3</c:v>
                </c:pt>
                <c:pt idx="25">
                  <c:v>1.0931789103150943E-2</c:v>
                </c:pt>
                <c:pt idx="26">
                  <c:v>1.6544470145314825E-2</c:v>
                </c:pt>
                <c:pt idx="27">
                  <c:v>2.1659235794843416E-2</c:v>
                </c:pt>
                <c:pt idx="28">
                  <c:v>2.3293553377405452E-2</c:v>
                </c:pt>
                <c:pt idx="29">
                  <c:v>2.3295802371922813E-2</c:v>
                </c:pt>
                <c:pt idx="30">
                  <c:v>1.9961551465865996E-2</c:v>
                </c:pt>
                <c:pt idx="31">
                  <c:v>1.8060071082375655E-2</c:v>
                </c:pt>
                <c:pt idx="32">
                  <c:v>1.4869424695777322E-2</c:v>
                </c:pt>
                <c:pt idx="33">
                  <c:v>1.3360568985010856E-2</c:v>
                </c:pt>
                <c:pt idx="34">
                  <c:v>1.1405455637737311E-2</c:v>
                </c:pt>
                <c:pt idx="35">
                  <c:v>8.1005150532468418E-3</c:v>
                </c:pt>
                <c:pt idx="36">
                  <c:v>6.8681100397508417E-3</c:v>
                </c:pt>
                <c:pt idx="37">
                  <c:v>4.8430172741080477E-3</c:v>
                </c:pt>
                <c:pt idx="38">
                  <c:v>5.1014811640565328E-3</c:v>
                </c:pt>
                <c:pt idx="39">
                  <c:v>5.4587215667919846E-3</c:v>
                </c:pt>
                <c:pt idx="40">
                  <c:v>6.9433142737652456E-3</c:v>
                </c:pt>
                <c:pt idx="41">
                  <c:v>7.779073795366266E-3</c:v>
                </c:pt>
                <c:pt idx="42">
                  <c:v>9.0683400437755884E-3</c:v>
                </c:pt>
                <c:pt idx="43">
                  <c:v>8.3098014073221468E-3</c:v>
                </c:pt>
                <c:pt idx="44">
                  <c:v>8.6901785423314781E-3</c:v>
                </c:pt>
                <c:pt idx="45">
                  <c:v>9.1504101503456416E-3</c:v>
                </c:pt>
                <c:pt idx="46">
                  <c:v>1.1189738164840438E-2</c:v>
                </c:pt>
                <c:pt idx="47">
                  <c:v>1.1785992068737461E-2</c:v>
                </c:pt>
                <c:pt idx="48">
                  <c:v>1.027777862390989E-2</c:v>
                </c:pt>
                <c:pt idx="49">
                  <c:v>8.686053289526709E-3</c:v>
                </c:pt>
                <c:pt idx="50">
                  <c:v>7.7375747836632329E-3</c:v>
                </c:pt>
                <c:pt idx="51">
                  <c:v>8.1111812489292941E-3</c:v>
                </c:pt>
                <c:pt idx="52">
                  <c:v>1.1121243699939387E-2</c:v>
                </c:pt>
                <c:pt idx="53">
                  <c:v>1.2718837943468675E-2</c:v>
                </c:pt>
                <c:pt idx="54">
                  <c:v>1.2879188477023391E-2</c:v>
                </c:pt>
                <c:pt idx="55">
                  <c:v>1.1628006465333565E-2</c:v>
                </c:pt>
                <c:pt idx="56">
                  <c:v>8.2226428344255136E-3</c:v>
                </c:pt>
                <c:pt idx="57">
                  <c:v>1.1002413144635119E-2</c:v>
                </c:pt>
                <c:pt idx="58">
                  <c:v>1.3470711312739938E-2</c:v>
                </c:pt>
                <c:pt idx="59">
                  <c:v>1.7384500636348429E-2</c:v>
                </c:pt>
                <c:pt idx="60">
                  <c:v>2.2963490593105131E-2</c:v>
                </c:pt>
                <c:pt idx="61">
                  <c:v>2.8435229577867916E-2</c:v>
                </c:pt>
                <c:pt idx="62">
                  <c:v>1.6576118112262655E-2</c:v>
                </c:pt>
                <c:pt idx="68">
                  <c:v>1.6725238627307723E-2</c:v>
                </c:pt>
                <c:pt idx="69">
                  <c:v>1.3219388810763852E-2</c:v>
                </c:pt>
                <c:pt idx="70">
                  <c:v>1.8177925730135734E-2</c:v>
                </c:pt>
                <c:pt idx="71">
                  <c:v>1.9422047193577357E-2</c:v>
                </c:pt>
                <c:pt idx="72">
                  <c:v>2.2825435398067064E-2</c:v>
                </c:pt>
                <c:pt idx="73">
                  <c:v>1.5477461677886844E-2</c:v>
                </c:pt>
                <c:pt idx="74">
                  <c:v>1.3635805276746318E-2</c:v>
                </c:pt>
                <c:pt idx="75">
                  <c:v>1.3684431226004767E-2</c:v>
                </c:pt>
                <c:pt idx="76">
                  <c:v>1.7343466428030595E-2</c:v>
                </c:pt>
              </c:numCache>
            </c:numRef>
          </c:val>
          <c:smooth val="0"/>
          <c:extLst>
            <c:ext xmlns:c16="http://schemas.microsoft.com/office/drawing/2014/chart" uri="{C3380CC4-5D6E-409C-BE32-E72D297353CC}">
              <c16:uniqueId val="{00000002-8F25-4385-B25A-85478394DF9F}"/>
            </c:ext>
          </c:extLst>
        </c:ser>
        <c:ser>
          <c:idx val="1"/>
          <c:order val="3"/>
          <c:tx>
            <c:v>Sev Adverse PD</c:v>
          </c:tx>
          <c:spPr>
            <a:ln w="28575" cap="rnd">
              <a:solidFill>
                <a:schemeClr val="accent2"/>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3-8F25-4385-B25A-85478394DF9F}"/>
            </c:ext>
          </c:extLst>
        </c:ser>
        <c:ser>
          <c:idx val="4"/>
          <c:order val="4"/>
          <c:tx>
            <c:v>Final Weighted PD</c:v>
          </c:tx>
          <c:spPr>
            <a:ln w="28575" cap="rnd">
              <a:solidFill>
                <a:srgbClr val="7030A0"/>
              </a:solidFill>
              <a:round/>
            </a:ln>
            <a:effectLst/>
          </c:spPr>
          <c:marker>
            <c:symbol val="none"/>
          </c:marker>
          <c:cat>
            <c:strRef>
              <c:f>Baseline!$B$24:$B$102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Baseline!$X$24:$X$102</c:f>
              <c:numCache>
                <c:formatCode>0.00%</c:formatCode>
                <c:ptCount val="79"/>
                <c:pt idx="0">
                  <c:v>1.0188322710703277E-2</c:v>
                </c:pt>
                <c:pt idx="1">
                  <c:v>9.3872200416364026E-3</c:v>
                </c:pt>
                <c:pt idx="2">
                  <c:v>5.9462530023917928E-3</c:v>
                </c:pt>
                <c:pt idx="3">
                  <c:v>3.3422017557567635E-3</c:v>
                </c:pt>
                <c:pt idx="4">
                  <c:v>2.8357018304656788E-3</c:v>
                </c:pt>
                <c:pt idx="5">
                  <c:v>3.0134336804031776E-3</c:v>
                </c:pt>
                <c:pt idx="6">
                  <c:v>3.7602050032854105E-3</c:v>
                </c:pt>
                <c:pt idx="7">
                  <c:v>6.8267162568770674E-3</c:v>
                </c:pt>
                <c:pt idx="8">
                  <c:v>8.0190571099066216E-3</c:v>
                </c:pt>
                <c:pt idx="9">
                  <c:v>8.0414937808519042E-3</c:v>
                </c:pt>
                <c:pt idx="10">
                  <c:v>4.9227112904244403E-3</c:v>
                </c:pt>
                <c:pt idx="11">
                  <c:v>3.8405109012949134E-3</c:v>
                </c:pt>
                <c:pt idx="12">
                  <c:v>4.4719380305115134E-3</c:v>
                </c:pt>
                <c:pt idx="13">
                  <c:v>1.0639802180957865E-2</c:v>
                </c:pt>
                <c:pt idx="14">
                  <c:v>1.9565879563431181E-2</c:v>
                </c:pt>
                <c:pt idx="15">
                  <c:v>2.9099594046597527E-2</c:v>
                </c:pt>
                <c:pt idx="16">
                  <c:v>3.5691787677960621E-2</c:v>
                </c:pt>
                <c:pt idx="17">
                  <c:v>3.9540017336679827E-2</c:v>
                </c:pt>
                <c:pt idx="18">
                  <c:v>4.2192256680141677E-2</c:v>
                </c:pt>
                <c:pt idx="19">
                  <c:v>3.8759880572336029E-2</c:v>
                </c:pt>
                <c:pt idx="20">
                  <c:v>3.2009142067228498E-2</c:v>
                </c:pt>
                <c:pt idx="21">
                  <c:v>2.0250583272075195E-2</c:v>
                </c:pt>
                <c:pt idx="22">
                  <c:v>1.1737443522777518E-2</c:v>
                </c:pt>
                <c:pt idx="23">
                  <c:v>7.0454779119002641E-3</c:v>
                </c:pt>
                <c:pt idx="24">
                  <c:v>6.9874646034657623E-3</c:v>
                </c:pt>
                <c:pt idx="25">
                  <c:v>1.0931789103150943E-2</c:v>
                </c:pt>
                <c:pt idx="26">
                  <c:v>1.6544470145314825E-2</c:v>
                </c:pt>
                <c:pt idx="27">
                  <c:v>2.1659235794843416E-2</c:v>
                </c:pt>
                <c:pt idx="28">
                  <c:v>2.3293553377405452E-2</c:v>
                </c:pt>
                <c:pt idx="29">
                  <c:v>2.3295802371922813E-2</c:v>
                </c:pt>
                <c:pt idx="30">
                  <c:v>1.9961551465865996E-2</c:v>
                </c:pt>
                <c:pt idx="31">
                  <c:v>1.8060071082375655E-2</c:v>
                </c:pt>
                <c:pt idx="32">
                  <c:v>1.4869424695777322E-2</c:v>
                </c:pt>
                <c:pt idx="33">
                  <c:v>1.3360568985010856E-2</c:v>
                </c:pt>
                <c:pt idx="34">
                  <c:v>1.1405455637737311E-2</c:v>
                </c:pt>
                <c:pt idx="35">
                  <c:v>8.1005150532468418E-3</c:v>
                </c:pt>
                <c:pt idx="36">
                  <c:v>6.8681100397508417E-3</c:v>
                </c:pt>
                <c:pt idx="37">
                  <c:v>4.8430172741080477E-3</c:v>
                </c:pt>
                <c:pt idx="38">
                  <c:v>5.1014811640565328E-3</c:v>
                </c:pt>
                <c:pt idx="39">
                  <c:v>5.4587215667919846E-3</c:v>
                </c:pt>
                <c:pt idx="40">
                  <c:v>6.9433142737652456E-3</c:v>
                </c:pt>
                <c:pt idx="41">
                  <c:v>7.779073795366266E-3</c:v>
                </c:pt>
                <c:pt idx="42">
                  <c:v>9.0683400437755884E-3</c:v>
                </c:pt>
                <c:pt idx="43">
                  <c:v>8.3098014073221468E-3</c:v>
                </c:pt>
                <c:pt idx="44">
                  <c:v>8.6901785423314781E-3</c:v>
                </c:pt>
                <c:pt idx="45">
                  <c:v>9.1504101503456416E-3</c:v>
                </c:pt>
                <c:pt idx="46">
                  <c:v>1.1189738164840438E-2</c:v>
                </c:pt>
                <c:pt idx="47">
                  <c:v>1.1785992068737461E-2</c:v>
                </c:pt>
                <c:pt idx="48">
                  <c:v>1.027777862390989E-2</c:v>
                </c:pt>
                <c:pt idx="49">
                  <c:v>8.686053289526709E-3</c:v>
                </c:pt>
                <c:pt idx="50">
                  <c:v>7.7375747836632329E-3</c:v>
                </c:pt>
                <c:pt idx="51">
                  <c:v>8.1111812489292941E-3</c:v>
                </c:pt>
                <c:pt idx="52">
                  <c:v>1.1121243699939387E-2</c:v>
                </c:pt>
                <c:pt idx="53">
                  <c:v>1.2718837943468675E-2</c:v>
                </c:pt>
                <c:pt idx="54">
                  <c:v>1.2879188477023391E-2</c:v>
                </c:pt>
                <c:pt idx="55">
                  <c:v>1.1628006465333565E-2</c:v>
                </c:pt>
                <c:pt idx="56">
                  <c:v>0</c:v>
                </c:pt>
                <c:pt idx="57">
                  <c:v>0</c:v>
                </c:pt>
                <c:pt idx="58">
                  <c:v>0</c:v>
                </c:pt>
                <c:pt idx="59">
                  <c:v>0</c:v>
                </c:pt>
                <c:pt idx="60">
                  <c:v>0</c:v>
                </c:pt>
                <c:pt idx="61">
                  <c:v>0</c:v>
                </c:pt>
                <c:pt idx="62">
                  <c:v>0</c:v>
                </c:pt>
                <c:pt idx="68">
                  <c:v>0</c:v>
                </c:pt>
                <c:pt idx="69">
                  <c:v>0</c:v>
                </c:pt>
                <c:pt idx="70">
                  <c:v>0</c:v>
                </c:pt>
                <c:pt idx="71">
                  <c:v>0</c:v>
                </c:pt>
                <c:pt idx="72">
                  <c:v>0</c:v>
                </c:pt>
                <c:pt idx="73">
                  <c:v>0</c:v>
                </c:pt>
                <c:pt idx="74">
                  <c:v>0</c:v>
                </c:pt>
                <c:pt idx="75">
                  <c:v>0</c:v>
                </c:pt>
                <c:pt idx="76">
                  <c:v>0</c:v>
                </c:pt>
              </c:numCache>
            </c:numRef>
          </c:val>
          <c:smooth val="0"/>
          <c:extLst>
            <c:ext xmlns:c16="http://schemas.microsoft.com/office/drawing/2014/chart" uri="{C3380CC4-5D6E-409C-BE32-E72D297353CC}">
              <c16:uniqueId val="{00000004-8F25-4385-B25A-85478394DF9F}"/>
            </c:ext>
          </c:extLst>
        </c:ser>
        <c:dLbls>
          <c:showLegendKey val="0"/>
          <c:showVal val="0"/>
          <c:showCatName val="0"/>
          <c:showSerName val="0"/>
          <c:showPercent val="0"/>
          <c:showBubbleSize val="0"/>
        </c:dLbls>
        <c:smooth val="0"/>
        <c:axId val="1462917680"/>
        <c:axId val="103544928"/>
      </c:lineChart>
      <c:catAx>
        <c:axId val="14629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4928"/>
        <c:crosses val="autoZero"/>
        <c:auto val="1"/>
        <c:lblAlgn val="ctr"/>
        <c:lblOffset val="100"/>
        <c:noMultiLvlLbl val="0"/>
      </c:catAx>
      <c:valAx>
        <c:axId val="103544928"/>
        <c:scaling>
          <c:orientation val="minMax"/>
          <c:max val="8.0000000000000016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1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Unemployment Rate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Unemp rate - base</c:v>
          </c:tx>
          <c:spPr>
            <a:ln w="28575" cap="rnd">
              <a:solidFill>
                <a:schemeClr val="accent1"/>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Adv!$D$24:$D$102</c:f>
              <c:numCache>
                <c:formatCode>General</c:formatCode>
                <c:ptCount val="79"/>
                <c:pt idx="0">
                  <c:v>4.5</c:v>
                </c:pt>
                <c:pt idx="1">
                  <c:v>4.4000000000000004</c:v>
                </c:pt>
                <c:pt idx="2">
                  <c:v>4.7</c:v>
                </c:pt>
                <c:pt idx="3">
                  <c:v>4.7</c:v>
                </c:pt>
                <c:pt idx="4">
                  <c:v>4.9000000000000004</c:v>
                </c:pt>
                <c:pt idx="5">
                  <c:v>5.0999999999999996</c:v>
                </c:pt>
                <c:pt idx="6">
                  <c:v>5.4</c:v>
                </c:pt>
                <c:pt idx="7">
                  <c:v>5.0999999999999996</c:v>
                </c:pt>
                <c:pt idx="8">
                  <c:v>5.0999999999999996</c:v>
                </c:pt>
                <c:pt idx="9">
                  <c:v>4.9000000000000004</c:v>
                </c:pt>
                <c:pt idx="10">
                  <c:v>5.3</c:v>
                </c:pt>
                <c:pt idx="11">
                  <c:v>4.8</c:v>
                </c:pt>
                <c:pt idx="12">
                  <c:v>4.9000000000000004</c:v>
                </c:pt>
                <c:pt idx="13">
                  <c:v>5</c:v>
                </c:pt>
                <c:pt idx="14">
                  <c:v>5.9</c:v>
                </c:pt>
                <c:pt idx="15">
                  <c:v>6</c:v>
                </c:pt>
                <c:pt idx="16">
                  <c:v>6.9</c:v>
                </c:pt>
                <c:pt idx="17">
                  <c:v>7.5</c:v>
                </c:pt>
                <c:pt idx="18">
                  <c:v>7.8</c:v>
                </c:pt>
                <c:pt idx="19">
                  <c:v>7.4</c:v>
                </c:pt>
                <c:pt idx="20">
                  <c:v>7.8</c:v>
                </c:pt>
                <c:pt idx="21">
                  <c:v>7.5</c:v>
                </c:pt>
                <c:pt idx="22">
                  <c:v>7.8</c:v>
                </c:pt>
                <c:pt idx="23">
                  <c:v>7.6</c:v>
                </c:pt>
                <c:pt idx="24">
                  <c:v>7.6</c:v>
                </c:pt>
                <c:pt idx="25">
                  <c:v>7.7</c:v>
                </c:pt>
                <c:pt idx="26">
                  <c:v>8.4</c:v>
                </c:pt>
                <c:pt idx="27">
                  <c:v>8</c:v>
                </c:pt>
                <c:pt idx="28">
                  <c:v>7.9</c:v>
                </c:pt>
                <c:pt idx="29">
                  <c:v>7.8</c:v>
                </c:pt>
                <c:pt idx="30">
                  <c:v>7.9</c:v>
                </c:pt>
                <c:pt idx="31">
                  <c:v>7.4</c:v>
                </c:pt>
                <c:pt idx="32">
                  <c:v>7.5</c:v>
                </c:pt>
                <c:pt idx="33">
                  <c:v>7.5</c:v>
                </c:pt>
                <c:pt idx="34">
                  <c:v>7.6</c:v>
                </c:pt>
                <c:pt idx="35">
                  <c:v>6.9</c:v>
                </c:pt>
                <c:pt idx="36">
                  <c:v>6.5</c:v>
                </c:pt>
                <c:pt idx="37">
                  <c:v>6</c:v>
                </c:pt>
                <c:pt idx="38">
                  <c:v>6.1</c:v>
                </c:pt>
                <c:pt idx="39">
                  <c:v>5.4</c:v>
                </c:pt>
                <c:pt idx="40">
                  <c:v>5.3</c:v>
                </c:pt>
                <c:pt idx="41">
                  <c:v>5.3</c:v>
                </c:pt>
                <c:pt idx="42">
                  <c:v>5.3</c:v>
                </c:pt>
                <c:pt idx="43">
                  <c:v>4.7</c:v>
                </c:pt>
                <c:pt idx="44">
                  <c:v>4.9000000000000004</c:v>
                </c:pt>
                <c:pt idx="45">
                  <c:v>4.7</c:v>
                </c:pt>
                <c:pt idx="46">
                  <c:v>4.9000000000000004</c:v>
                </c:pt>
                <c:pt idx="47">
                  <c:v>4.5</c:v>
                </c:pt>
                <c:pt idx="48">
                  <c:v>4.3</c:v>
                </c:pt>
                <c:pt idx="49">
                  <c:v>4.2</c:v>
                </c:pt>
                <c:pt idx="50">
                  <c:v>4.4000000000000004</c:v>
                </c:pt>
                <c:pt idx="51">
                  <c:v>4.0999999999999996</c:v>
                </c:pt>
                <c:pt idx="52">
                  <c:v>4</c:v>
                </c:pt>
                <c:pt idx="53">
                  <c:v>3.8</c:v>
                </c:pt>
                <c:pt idx="54">
                  <c:v>4.0999999999999996</c:v>
                </c:pt>
                <c:pt idx="55">
                  <c:v>3.8</c:v>
                </c:pt>
                <c:pt idx="56">
                  <c:v>3.6</c:v>
                </c:pt>
                <c:pt idx="57">
                  <c:v>3.6</c:v>
                </c:pt>
                <c:pt idx="58">
                  <c:v>4</c:v>
                </c:pt>
                <c:pt idx="59">
                  <c:v>3.7</c:v>
                </c:pt>
                <c:pt idx="60">
                  <c:v>3.8</c:v>
                </c:pt>
                <c:pt idx="61">
                  <c:v>3.7</c:v>
                </c:pt>
                <c:pt idx="62">
                  <c:v>4.7</c:v>
                </c:pt>
                <c:pt idx="63">
                  <c:v>4.8</c:v>
                </c:pt>
                <c:pt idx="64">
                  <c:v>4.4000000000000004</c:v>
                </c:pt>
                <c:pt idx="65">
                  <c:v>4.2</c:v>
                </c:pt>
                <c:pt idx="66">
                  <c:v>4.92</c:v>
                </c:pt>
                <c:pt idx="67">
                  <c:v>3.8</c:v>
                </c:pt>
                <c:pt idx="68">
                  <c:v>3.9285590107467714</c:v>
                </c:pt>
                <c:pt idx="69">
                  <c:v>4.2075419090457586</c:v>
                </c:pt>
                <c:pt idx="70">
                  <c:v>5.0028351276576064</c:v>
                </c:pt>
                <c:pt idx="71">
                  <c:v>5.5970714641503694</c:v>
                </c:pt>
                <c:pt idx="72">
                  <c:v>6.1430582269537721</c:v>
                </c:pt>
                <c:pt idx="73">
                  <c:v>7.2532885632423696</c:v>
                </c:pt>
                <c:pt idx="74">
                  <c:v>7.3544192275306264</c:v>
                </c:pt>
                <c:pt idx="75">
                  <c:v>6.9548503895390725</c:v>
                </c:pt>
                <c:pt idx="76">
                  <c:v>6.2863065276386019</c:v>
                </c:pt>
              </c:numCache>
            </c:numRef>
          </c:val>
          <c:smooth val="0"/>
          <c:extLst>
            <c:ext xmlns:c16="http://schemas.microsoft.com/office/drawing/2014/chart" uri="{C3380CC4-5D6E-409C-BE32-E72D297353CC}">
              <c16:uniqueId val="{00000000-20F7-461E-A9F2-3880347966D9}"/>
            </c:ext>
          </c:extLst>
        </c:ser>
        <c:ser>
          <c:idx val="2"/>
          <c:order val="1"/>
          <c:tx>
            <c:v>Unemp rate - Sev Adv</c:v>
          </c:tx>
          <c:spPr>
            <a:ln w="28575" cap="rnd">
              <a:solidFill>
                <a:schemeClr val="accent4"/>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20F7-461E-A9F2-3880347966D9}"/>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Inflation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Inflation-Baseline</c:v>
          </c:tx>
          <c:spPr>
            <a:ln w="28575" cap="rnd">
              <a:solidFill>
                <a:schemeClr val="accent1"/>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Baseline!#REF!</c:f>
              <c:numCache>
                <c:formatCode>General</c:formatCode>
                <c:ptCount val="1"/>
                <c:pt idx="0">
                  <c:v>1</c:v>
                </c:pt>
              </c:numCache>
            </c:numRef>
          </c:val>
          <c:smooth val="0"/>
          <c:extLst>
            <c:ext xmlns:c16="http://schemas.microsoft.com/office/drawing/2014/chart" uri="{C3380CC4-5D6E-409C-BE32-E72D297353CC}">
              <c16:uniqueId val="{00000000-C027-4DB6-8ABD-73F7F06A23A3}"/>
            </c:ext>
          </c:extLst>
        </c:ser>
        <c:ser>
          <c:idx val="2"/>
          <c:order val="1"/>
          <c:tx>
            <c:v>Inflation- Sev Adv</c:v>
          </c:tx>
          <c:spPr>
            <a:ln w="28575" cap="rnd">
              <a:solidFill>
                <a:schemeClr val="accent4"/>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C027-4DB6-8ABD-73F7F06A23A3}"/>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GDP Growth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GDP-Baseline</c:v>
          </c:tx>
          <c:spPr>
            <a:ln w="28575" cap="rnd">
              <a:solidFill>
                <a:schemeClr val="accent1"/>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Adv!$C$24:$C$102</c:f>
              <c:numCache>
                <c:formatCode>0.00</c:formatCode>
                <c:ptCount val="79"/>
                <c:pt idx="0">
                  <c:v>1.7026348988588236E-2</c:v>
                </c:pt>
                <c:pt idx="1">
                  <c:v>2.5999321278863619E-2</c:v>
                </c:pt>
                <c:pt idx="2">
                  <c:v>3.5967532591475671E-2</c:v>
                </c:pt>
                <c:pt idx="3">
                  <c:v>4.8058653006965324E-2</c:v>
                </c:pt>
                <c:pt idx="4">
                  <c:v>4.347456967604546E-2</c:v>
                </c:pt>
                <c:pt idx="5">
                  <c:v>3.3253127671419191E-2</c:v>
                </c:pt>
                <c:pt idx="6">
                  <c:v>2.2666817133921269E-2</c:v>
                </c:pt>
                <c:pt idx="7">
                  <c:v>1.2788280888372583E-2</c:v>
                </c:pt>
                <c:pt idx="8">
                  <c:v>1.8174997061987552E-2</c:v>
                </c:pt>
                <c:pt idx="9">
                  <c:v>2.191668413779424E-2</c:v>
                </c:pt>
                <c:pt idx="10">
                  <c:v>2.8792126924072958E-2</c:v>
                </c:pt>
                <c:pt idx="11">
                  <c:v>2.8296053339068816E-2</c:v>
                </c:pt>
                <c:pt idx="12">
                  <c:v>2.4314233837493759E-2</c:v>
                </c:pt>
                <c:pt idx="13">
                  <c:v>1.2355755761497056E-2</c:v>
                </c:pt>
                <c:pt idx="14">
                  <c:v>-1.1150756298841991E-2</c:v>
                </c:pt>
                <c:pt idx="15">
                  <c:v>-3.611470602332989E-2</c:v>
                </c:pt>
                <c:pt idx="16">
                  <c:v>-5.8066361556064039E-2</c:v>
                </c:pt>
                <c:pt idx="17">
                  <c:v>-5.5117320967854377E-2</c:v>
                </c:pt>
                <c:pt idx="18">
                  <c:v>-3.9425682256893357E-2</c:v>
                </c:pt>
                <c:pt idx="19">
                  <c:v>-1.6224915575286047E-2</c:v>
                </c:pt>
                <c:pt idx="20">
                  <c:v>7.6493756269038204E-3</c:v>
                </c:pt>
                <c:pt idx="21">
                  <c:v>2.0229787508821095E-2</c:v>
                </c:pt>
                <c:pt idx="22">
                  <c:v>2.6267151541967904E-2</c:v>
                </c:pt>
                <c:pt idx="23">
                  <c:v>2.3844973209444342E-2</c:v>
                </c:pt>
                <c:pt idx="24">
                  <c:v>2.3767069024956511E-2</c:v>
                </c:pt>
                <c:pt idx="25">
                  <c:v>1.4618323198987371E-2</c:v>
                </c:pt>
                <c:pt idx="26">
                  <c:v>1.10593635195948E-2</c:v>
                </c:pt>
                <c:pt idx="27">
                  <c:v>1.2297859544081469E-2</c:v>
                </c:pt>
                <c:pt idx="28">
                  <c:v>1.2439480744227849E-2</c:v>
                </c:pt>
                <c:pt idx="29">
                  <c:v>1.0635904085265491E-2</c:v>
                </c:pt>
                <c:pt idx="30">
                  <c:v>1.9757956153150902E-2</c:v>
                </c:pt>
                <c:pt idx="31">
                  <c:v>1.6300661071281253E-2</c:v>
                </c:pt>
                <c:pt idx="32">
                  <c:v>1.6310967886887129E-2</c:v>
                </c:pt>
                <c:pt idx="33">
                  <c:v>2.2564595453132608E-2</c:v>
                </c:pt>
                <c:pt idx="34">
                  <c:v>1.983904866654318E-2</c:v>
                </c:pt>
                <c:pt idx="35">
                  <c:v>2.6832359376056658E-2</c:v>
                </c:pt>
                <c:pt idx="36">
                  <c:v>2.6979111128449862E-2</c:v>
                </c:pt>
                <c:pt idx="37">
                  <c:v>2.8202049294302034E-2</c:v>
                </c:pt>
                <c:pt idx="38">
                  <c:v>2.4435455970477582E-2</c:v>
                </c:pt>
                <c:pt idx="39">
                  <c:v>2.4724901219356665E-2</c:v>
                </c:pt>
                <c:pt idx="40">
                  <c:v>2.3379101050561069E-2</c:v>
                </c:pt>
                <c:pt idx="41">
                  <c:v>2.3962729767752933E-2</c:v>
                </c:pt>
                <c:pt idx="42">
                  <c:v>2.2476735265668291E-2</c:v>
                </c:pt>
                <c:pt idx="43">
                  <c:v>2.438953602872429E-2</c:v>
                </c:pt>
                <c:pt idx="44">
                  <c:v>2.0716819269157805E-2</c:v>
                </c:pt>
                <c:pt idx="45">
                  <c:v>1.8868581303826071E-2</c:v>
                </c:pt>
                <c:pt idx="46">
                  <c:v>1.9079347085903864E-2</c:v>
                </c:pt>
                <c:pt idx="47">
                  <c:v>1.8089868540344556E-2</c:v>
                </c:pt>
                <c:pt idx="48">
                  <c:v>2.225809449537941E-2</c:v>
                </c:pt>
                <c:pt idx="49">
                  <c:v>1.9417475728155331E-2</c:v>
                </c:pt>
                <c:pt idx="50">
                  <c:v>1.829800174457219E-2</c:v>
                </c:pt>
                <c:pt idx="51">
                  <c:v>1.5764794278478877E-2</c:v>
                </c:pt>
                <c:pt idx="52">
                  <c:v>1.0543832500301331E-2</c:v>
                </c:pt>
                <c:pt idx="53">
                  <c:v>1.3318745009906152E-2</c:v>
                </c:pt>
                <c:pt idx="54">
                  <c:v>1.5809989351293297E-2</c:v>
                </c:pt>
                <c:pt idx="55">
                  <c:v>1.3936995855299505E-2</c:v>
                </c:pt>
                <c:pt idx="56">
                  <c:v>2.0003207397353506E-2</c:v>
                </c:pt>
                <c:pt idx="57">
                  <c:v>1.4085301676423301E-2</c:v>
                </c:pt>
                <c:pt idx="58">
                  <c:v>1.3324204251599081E-2</c:v>
                </c:pt>
                <c:pt idx="59">
                  <c:v>1.1157302329890317E-2</c:v>
                </c:pt>
                <c:pt idx="60">
                  <c:v>-1.7425116864092538E-2</c:v>
                </c:pt>
                <c:pt idx="61">
                  <c:v>-0.19500000000000001</c:v>
                </c:pt>
                <c:pt idx="62">
                  <c:v>0.16899999999999998</c:v>
                </c:pt>
                <c:pt idx="63">
                  <c:v>1.3000000000000001E-2</c:v>
                </c:pt>
                <c:pt idx="64">
                  <c:v>-1.6E-2</c:v>
                </c:pt>
                <c:pt idx="65">
                  <c:v>4.8000000000000001E-2</c:v>
                </c:pt>
                <c:pt idx="66">
                  <c:v>1.2999999999999999E-2</c:v>
                </c:pt>
                <c:pt idx="67">
                  <c:v>0.01</c:v>
                </c:pt>
                <c:pt idx="68">
                  <c:v>8.0000000000000487E-3</c:v>
                </c:pt>
                <c:pt idx="69">
                  <c:v>-1.0077646732842813E-2</c:v>
                </c:pt>
                <c:pt idx="70">
                  <c:v>-2.1191485540414071E-2</c:v>
                </c:pt>
                <c:pt idx="71">
                  <c:v>-1.7264223832748688E-2</c:v>
                </c:pt>
                <c:pt idx="72">
                  <c:v>-7.3280660060510705E-3</c:v>
                </c:pt>
                <c:pt idx="73">
                  <c:v>1.757745765297411E-2</c:v>
                </c:pt>
                <c:pt idx="74">
                  <c:v>2.47620474217537E-2</c:v>
                </c:pt>
                <c:pt idx="75">
                  <c:v>9.7883986003664183E-3</c:v>
                </c:pt>
                <c:pt idx="76">
                  <c:v>1.0350312445631933E-2</c:v>
                </c:pt>
              </c:numCache>
            </c:numRef>
          </c:val>
          <c:smooth val="0"/>
          <c:extLst>
            <c:ext xmlns:c16="http://schemas.microsoft.com/office/drawing/2014/chart" uri="{C3380CC4-5D6E-409C-BE32-E72D297353CC}">
              <c16:uniqueId val="{00000000-B4EC-4501-B4E2-3BB9ECB81933}"/>
            </c:ext>
          </c:extLst>
        </c:ser>
        <c:ser>
          <c:idx val="3"/>
          <c:order val="1"/>
          <c:tx>
            <c:v>GDP-SevAdv</c:v>
          </c:tx>
          <c:spPr>
            <a:ln w="28575" cap="rnd">
              <a:solidFill>
                <a:schemeClr val="accent4"/>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B4EC-4501-B4E2-3BB9ECB81933}"/>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PD Projections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Moody's TTC PD</c:v>
          </c:tx>
          <c:spPr>
            <a:ln w="28575" cap="rnd">
              <a:solidFill>
                <a:schemeClr val="accent1"/>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Adv!$U$24:$U$102</c:f>
              <c:numCache>
                <c:formatCode>0.00%</c:formatCode>
                <c:ptCount val="79"/>
                <c:pt idx="0">
                  <c:v>1.7000000000000001E-2</c:v>
                </c:pt>
                <c:pt idx="1">
                  <c:v>1.7000000000000001E-2</c:v>
                </c:pt>
                <c:pt idx="2">
                  <c:v>1.7000000000000001E-2</c:v>
                </c:pt>
                <c:pt idx="3">
                  <c:v>1.7000000000000001E-2</c:v>
                </c:pt>
                <c:pt idx="4">
                  <c:v>1.7000000000000001E-2</c:v>
                </c:pt>
                <c:pt idx="5">
                  <c:v>1.7000000000000001E-2</c:v>
                </c:pt>
                <c:pt idx="6">
                  <c:v>1.7000000000000001E-2</c:v>
                </c:pt>
                <c:pt idx="7">
                  <c:v>1.7000000000000001E-2</c:v>
                </c:pt>
                <c:pt idx="8">
                  <c:v>1.7000000000000001E-2</c:v>
                </c:pt>
                <c:pt idx="9">
                  <c:v>1.7000000000000001E-2</c:v>
                </c:pt>
                <c:pt idx="10">
                  <c:v>1.7000000000000001E-2</c:v>
                </c:pt>
                <c:pt idx="11">
                  <c:v>1.7000000000000001E-2</c:v>
                </c:pt>
                <c:pt idx="12">
                  <c:v>1.7000000000000001E-2</c:v>
                </c:pt>
                <c:pt idx="13">
                  <c:v>1.7000000000000001E-2</c:v>
                </c:pt>
                <c:pt idx="14">
                  <c:v>1.7000000000000001E-2</c:v>
                </c:pt>
                <c:pt idx="15">
                  <c:v>1.7000000000000001E-2</c:v>
                </c:pt>
                <c:pt idx="16">
                  <c:v>1.7000000000000001E-2</c:v>
                </c:pt>
                <c:pt idx="17">
                  <c:v>1.7000000000000001E-2</c:v>
                </c:pt>
                <c:pt idx="18">
                  <c:v>1.7000000000000001E-2</c:v>
                </c:pt>
                <c:pt idx="19">
                  <c:v>1.7000000000000001E-2</c:v>
                </c:pt>
                <c:pt idx="20">
                  <c:v>1.7000000000000001E-2</c:v>
                </c:pt>
                <c:pt idx="21">
                  <c:v>1.7000000000000001E-2</c:v>
                </c:pt>
                <c:pt idx="22">
                  <c:v>1.7000000000000001E-2</c:v>
                </c:pt>
                <c:pt idx="23">
                  <c:v>1.7000000000000001E-2</c:v>
                </c:pt>
                <c:pt idx="24">
                  <c:v>1.7000000000000001E-2</c:v>
                </c:pt>
                <c:pt idx="25">
                  <c:v>1.7000000000000001E-2</c:v>
                </c:pt>
                <c:pt idx="26">
                  <c:v>1.7000000000000001E-2</c:v>
                </c:pt>
                <c:pt idx="27">
                  <c:v>1.7000000000000001E-2</c:v>
                </c:pt>
                <c:pt idx="28">
                  <c:v>1.7000000000000001E-2</c:v>
                </c:pt>
                <c:pt idx="29">
                  <c:v>1.7000000000000001E-2</c:v>
                </c:pt>
                <c:pt idx="30">
                  <c:v>1.7000000000000001E-2</c:v>
                </c:pt>
                <c:pt idx="31">
                  <c:v>1.7000000000000001E-2</c:v>
                </c:pt>
                <c:pt idx="32">
                  <c:v>1.7000000000000001E-2</c:v>
                </c:pt>
                <c:pt idx="33">
                  <c:v>1.7000000000000001E-2</c:v>
                </c:pt>
                <c:pt idx="34">
                  <c:v>1.7000000000000001E-2</c:v>
                </c:pt>
                <c:pt idx="35">
                  <c:v>1.7000000000000001E-2</c:v>
                </c:pt>
                <c:pt idx="36">
                  <c:v>1.7000000000000001E-2</c:v>
                </c:pt>
                <c:pt idx="37">
                  <c:v>1.7000000000000001E-2</c:v>
                </c:pt>
                <c:pt idx="38">
                  <c:v>1.7000000000000001E-2</c:v>
                </c:pt>
                <c:pt idx="39">
                  <c:v>1.7000000000000001E-2</c:v>
                </c:pt>
                <c:pt idx="40">
                  <c:v>1.7000000000000001E-2</c:v>
                </c:pt>
                <c:pt idx="41">
                  <c:v>1.7000000000000001E-2</c:v>
                </c:pt>
                <c:pt idx="42">
                  <c:v>1.7000000000000001E-2</c:v>
                </c:pt>
                <c:pt idx="43">
                  <c:v>1.7000000000000001E-2</c:v>
                </c:pt>
                <c:pt idx="44">
                  <c:v>1.7000000000000001E-2</c:v>
                </c:pt>
                <c:pt idx="45">
                  <c:v>1.7000000000000001E-2</c:v>
                </c:pt>
                <c:pt idx="46">
                  <c:v>1.7000000000000001E-2</c:v>
                </c:pt>
                <c:pt idx="47">
                  <c:v>1.7000000000000001E-2</c:v>
                </c:pt>
                <c:pt idx="48">
                  <c:v>1.7000000000000001E-2</c:v>
                </c:pt>
                <c:pt idx="49">
                  <c:v>1.7000000000000001E-2</c:v>
                </c:pt>
                <c:pt idx="50">
                  <c:v>1.7000000000000001E-2</c:v>
                </c:pt>
                <c:pt idx="51">
                  <c:v>1.7000000000000001E-2</c:v>
                </c:pt>
                <c:pt idx="52">
                  <c:v>1.7000000000000001E-2</c:v>
                </c:pt>
                <c:pt idx="53">
                  <c:v>1.7000000000000001E-2</c:v>
                </c:pt>
                <c:pt idx="54">
                  <c:v>1.7000000000000001E-2</c:v>
                </c:pt>
                <c:pt idx="55">
                  <c:v>1.7000000000000001E-2</c:v>
                </c:pt>
                <c:pt idx="56">
                  <c:v>1.7000000000000001E-2</c:v>
                </c:pt>
                <c:pt idx="57">
                  <c:v>1.7000000000000001E-2</c:v>
                </c:pt>
                <c:pt idx="58">
                  <c:v>1.7000000000000001E-2</c:v>
                </c:pt>
                <c:pt idx="59">
                  <c:v>1.7000000000000001E-2</c:v>
                </c:pt>
                <c:pt idx="60">
                  <c:v>1.7000000000000001E-2</c:v>
                </c:pt>
                <c:pt idx="61">
                  <c:v>1.7000000000000001E-2</c:v>
                </c:pt>
                <c:pt idx="62">
                  <c:v>1.7000000000000001E-2</c:v>
                </c:pt>
                <c:pt idx="63">
                  <c:v>1.7000000000000001E-2</c:v>
                </c:pt>
                <c:pt idx="64">
                  <c:v>1.7000000000000001E-2</c:v>
                </c:pt>
                <c:pt idx="65">
                  <c:v>1.7000000000000001E-2</c:v>
                </c:pt>
                <c:pt idx="66">
                  <c:v>1.7000000000000001E-2</c:v>
                </c:pt>
                <c:pt idx="67">
                  <c:v>1.7000000000000001E-2</c:v>
                </c:pt>
                <c:pt idx="68">
                  <c:v>1.7000000000000001E-2</c:v>
                </c:pt>
                <c:pt idx="69">
                  <c:v>1.7000000000000001E-2</c:v>
                </c:pt>
                <c:pt idx="70">
                  <c:v>1.7000000000000001E-2</c:v>
                </c:pt>
                <c:pt idx="71">
                  <c:v>1.7000000000000001E-2</c:v>
                </c:pt>
                <c:pt idx="72">
                  <c:v>1.7000000000000001E-2</c:v>
                </c:pt>
                <c:pt idx="73">
                  <c:v>1.7000000000000001E-2</c:v>
                </c:pt>
                <c:pt idx="74">
                  <c:v>1.7000000000000001E-2</c:v>
                </c:pt>
                <c:pt idx="75">
                  <c:v>1.7000000000000001E-2</c:v>
                </c:pt>
                <c:pt idx="76">
                  <c:v>1.7000000000000001E-2</c:v>
                </c:pt>
              </c:numCache>
            </c:numRef>
          </c:val>
          <c:smooth val="0"/>
          <c:extLst>
            <c:ext xmlns:c16="http://schemas.microsoft.com/office/drawing/2014/chart" uri="{C3380CC4-5D6E-409C-BE32-E72D297353CC}">
              <c16:uniqueId val="{00000000-8D42-4732-91CC-DEBC4C3E4777}"/>
            </c:ext>
          </c:extLst>
        </c:ser>
        <c:ser>
          <c:idx val="2"/>
          <c:order val="1"/>
          <c:tx>
            <c:v>Moody's PIT PD</c:v>
          </c:tx>
          <c:spPr>
            <a:ln w="28575" cap="rnd">
              <a:solidFill>
                <a:schemeClr val="accent3"/>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Adv!$W$24:$W$79</c:f>
              <c:numCache>
                <c:formatCode>0.00%</c:formatCode>
                <c:ptCount val="56"/>
                <c:pt idx="0">
                  <c:v>1.04E-2</c:v>
                </c:pt>
                <c:pt idx="1">
                  <c:v>1.11E-2</c:v>
                </c:pt>
                <c:pt idx="2">
                  <c:v>1.01E-2</c:v>
                </c:pt>
                <c:pt idx="3">
                  <c:v>1.04E-2</c:v>
                </c:pt>
                <c:pt idx="4">
                  <c:v>1.09E-2</c:v>
                </c:pt>
                <c:pt idx="5">
                  <c:v>1.04E-2</c:v>
                </c:pt>
                <c:pt idx="6">
                  <c:v>1.15E-2</c:v>
                </c:pt>
                <c:pt idx="7">
                  <c:v>1.0999999999999999E-2</c:v>
                </c:pt>
                <c:pt idx="8">
                  <c:v>1.0999999999999999E-2</c:v>
                </c:pt>
                <c:pt idx="9">
                  <c:v>1.2E-2</c:v>
                </c:pt>
                <c:pt idx="10">
                  <c:v>1.2500000000000001E-2</c:v>
                </c:pt>
                <c:pt idx="11">
                  <c:v>1.4500000000000001E-2</c:v>
                </c:pt>
                <c:pt idx="12">
                  <c:v>1.7899999999999999E-2</c:v>
                </c:pt>
                <c:pt idx="13">
                  <c:v>1.8200000000000001E-2</c:v>
                </c:pt>
                <c:pt idx="14">
                  <c:v>2.2200000000000001E-2</c:v>
                </c:pt>
                <c:pt idx="15">
                  <c:v>2.8000000000000001E-2</c:v>
                </c:pt>
                <c:pt idx="16">
                  <c:v>2.6599999999999999E-2</c:v>
                </c:pt>
                <c:pt idx="17">
                  <c:v>2.5499999999999998E-2</c:v>
                </c:pt>
                <c:pt idx="18">
                  <c:v>2.2499999999999999E-2</c:v>
                </c:pt>
                <c:pt idx="19">
                  <c:v>1.8499999999999999E-2</c:v>
                </c:pt>
                <c:pt idx="20">
                  <c:v>1.6400000000000001E-2</c:v>
                </c:pt>
                <c:pt idx="21">
                  <c:v>1.54E-2</c:v>
                </c:pt>
                <c:pt idx="22">
                  <c:v>1.4500000000000001E-2</c:v>
                </c:pt>
                <c:pt idx="23">
                  <c:v>1.3599999999999999E-2</c:v>
                </c:pt>
                <c:pt idx="24">
                  <c:v>1.09E-2</c:v>
                </c:pt>
                <c:pt idx="25">
                  <c:v>1.09E-2</c:v>
                </c:pt>
                <c:pt idx="26">
                  <c:v>1.1599999999999999E-2</c:v>
                </c:pt>
                <c:pt idx="27">
                  <c:v>1.29E-2</c:v>
                </c:pt>
                <c:pt idx="28">
                  <c:v>1.26E-2</c:v>
                </c:pt>
                <c:pt idx="29">
                  <c:v>1.26E-2</c:v>
                </c:pt>
                <c:pt idx="30">
                  <c:v>1.3100000000000001E-2</c:v>
                </c:pt>
                <c:pt idx="31">
                  <c:v>1.3299999999999999E-2</c:v>
                </c:pt>
                <c:pt idx="32">
                  <c:v>1.2200000000000001E-2</c:v>
                </c:pt>
                <c:pt idx="33">
                  <c:v>1.11E-2</c:v>
                </c:pt>
                <c:pt idx="34">
                  <c:v>1.0999999999999999E-2</c:v>
                </c:pt>
                <c:pt idx="35">
                  <c:v>1.09E-2</c:v>
                </c:pt>
                <c:pt idx="36">
                  <c:v>1.0200000000000001E-2</c:v>
                </c:pt>
                <c:pt idx="37">
                  <c:v>8.9999999999999993E-3</c:v>
                </c:pt>
                <c:pt idx="38">
                  <c:v>9.7000000000000003E-3</c:v>
                </c:pt>
                <c:pt idx="39">
                  <c:v>1.11E-2</c:v>
                </c:pt>
                <c:pt idx="40">
                  <c:v>1.0999999999999999E-2</c:v>
                </c:pt>
                <c:pt idx="41">
                  <c:v>1.1900000000000001E-2</c:v>
                </c:pt>
                <c:pt idx="42">
                  <c:v>1.2699999999999999E-2</c:v>
                </c:pt>
                <c:pt idx="43">
                  <c:v>1.32E-2</c:v>
                </c:pt>
                <c:pt idx="44">
                  <c:v>1.6299999999999999E-2</c:v>
                </c:pt>
                <c:pt idx="45">
                  <c:v>1.77E-2</c:v>
                </c:pt>
                <c:pt idx="46">
                  <c:v>1.6500000000000001E-2</c:v>
                </c:pt>
                <c:pt idx="47">
                  <c:v>1.47E-2</c:v>
                </c:pt>
                <c:pt idx="48">
                  <c:v>1.4999999999999999E-2</c:v>
                </c:pt>
                <c:pt idx="49">
                  <c:v>1.49E-2</c:v>
                </c:pt>
                <c:pt idx="50">
                  <c:v>1.35E-2</c:v>
                </c:pt>
                <c:pt idx="51">
                  <c:v>1.44E-2</c:v>
                </c:pt>
                <c:pt idx="52">
                  <c:v>1.47E-2</c:v>
                </c:pt>
                <c:pt idx="53">
                  <c:v>1.46E-2</c:v>
                </c:pt>
                <c:pt idx="54">
                  <c:v>1.4800000000000001E-2</c:v>
                </c:pt>
                <c:pt idx="55">
                  <c:v>1.72E-2</c:v>
                </c:pt>
              </c:numCache>
            </c:numRef>
          </c:val>
          <c:smooth val="0"/>
          <c:extLst>
            <c:ext xmlns:c16="http://schemas.microsoft.com/office/drawing/2014/chart" uri="{C3380CC4-5D6E-409C-BE32-E72D297353CC}">
              <c16:uniqueId val="{00000001-8D42-4732-91CC-DEBC4C3E4777}"/>
            </c:ext>
          </c:extLst>
        </c:ser>
        <c:ser>
          <c:idx val="3"/>
          <c:order val="2"/>
          <c:tx>
            <c:v>Baseline PD</c:v>
          </c:tx>
          <c:spPr>
            <a:ln w="28575" cap="rnd">
              <a:solidFill>
                <a:schemeClr val="accent6"/>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Adv!$Y$24:$Y$102</c:f>
              <c:numCache>
                <c:formatCode>0.00%</c:formatCode>
                <c:ptCount val="79"/>
                <c:pt idx="0">
                  <c:v>1.0217556972930572E-2</c:v>
                </c:pt>
                <c:pt idx="1">
                  <c:v>9.4131537811771721E-3</c:v>
                </c:pt>
                <c:pt idx="2">
                  <c:v>5.9470529861494056E-3</c:v>
                </c:pt>
                <c:pt idx="3">
                  <c:v>3.2200516355880789E-3</c:v>
                </c:pt>
                <c:pt idx="4">
                  <c:v>2.6989537418853574E-3</c:v>
                </c:pt>
                <c:pt idx="5">
                  <c:v>2.8746810974182289E-3</c:v>
                </c:pt>
                <c:pt idx="6">
                  <c:v>3.6281151152911099E-3</c:v>
                </c:pt>
                <c:pt idx="7">
                  <c:v>6.5254294997579192E-3</c:v>
                </c:pt>
                <c:pt idx="8">
                  <c:v>7.7383507286354495E-3</c:v>
                </c:pt>
                <c:pt idx="9">
                  <c:v>7.75763874542425E-3</c:v>
                </c:pt>
                <c:pt idx="10">
                  <c:v>4.8212360111563272E-3</c:v>
                </c:pt>
                <c:pt idx="11">
                  <c:v>3.7108653629225573E-3</c:v>
                </c:pt>
                <c:pt idx="12">
                  <c:v>4.3500961607630707E-3</c:v>
                </c:pt>
                <c:pt idx="13">
                  <c:v>1.0151189672582451E-2</c:v>
                </c:pt>
                <c:pt idx="14">
                  <c:v>1.8500490401613692E-2</c:v>
                </c:pt>
                <c:pt idx="15">
                  <c:v>2.7996527251401431E-2</c:v>
                </c:pt>
                <c:pt idx="16">
                  <c:v>3.4920388002359963E-2</c:v>
                </c:pt>
                <c:pt idx="17">
                  <c:v>3.9333462130684498E-2</c:v>
                </c:pt>
                <c:pt idx="18">
                  <c:v>4.1836279841057644E-2</c:v>
                </c:pt>
                <c:pt idx="19">
                  <c:v>3.7949770017914768E-2</c:v>
                </c:pt>
                <c:pt idx="20">
                  <c:v>3.1285427646961121E-2</c:v>
                </c:pt>
                <c:pt idx="21">
                  <c:v>1.9780656309035877E-2</c:v>
                </c:pt>
                <c:pt idx="22">
                  <c:v>1.1777950621282902E-2</c:v>
                </c:pt>
                <c:pt idx="23">
                  <c:v>7.0961747767855536E-3</c:v>
                </c:pt>
                <c:pt idx="24">
                  <c:v>6.9843978315496423E-3</c:v>
                </c:pt>
                <c:pt idx="25">
                  <c:v>1.0891044719065683E-2</c:v>
                </c:pt>
                <c:pt idx="26">
                  <c:v>1.6172118586908188E-2</c:v>
                </c:pt>
                <c:pt idx="27">
                  <c:v>2.0994026450703907E-2</c:v>
                </c:pt>
                <c:pt idx="28">
                  <c:v>2.2471290344878311E-2</c:v>
                </c:pt>
                <c:pt idx="29">
                  <c:v>2.2669399072347541E-2</c:v>
                </c:pt>
                <c:pt idx="30">
                  <c:v>1.964183385511924E-2</c:v>
                </c:pt>
                <c:pt idx="31">
                  <c:v>1.8100445542713089E-2</c:v>
                </c:pt>
                <c:pt idx="32">
                  <c:v>1.5169326962982926E-2</c:v>
                </c:pt>
                <c:pt idx="33">
                  <c:v>1.3676612510223002E-2</c:v>
                </c:pt>
                <c:pt idx="34">
                  <c:v>1.1628811925115312E-2</c:v>
                </c:pt>
                <c:pt idx="35">
                  <c:v>8.123908636303875E-3</c:v>
                </c:pt>
                <c:pt idx="36">
                  <c:v>6.8307210455898467E-3</c:v>
                </c:pt>
                <c:pt idx="37">
                  <c:v>4.6930295902607019E-3</c:v>
                </c:pt>
                <c:pt idx="38">
                  <c:v>4.9632895789140713E-3</c:v>
                </c:pt>
                <c:pt idx="39">
                  <c:v>5.3522341602069918E-3</c:v>
                </c:pt>
                <c:pt idx="40">
                  <c:v>6.8542203495693572E-3</c:v>
                </c:pt>
                <c:pt idx="41">
                  <c:v>7.6919326975371698E-3</c:v>
                </c:pt>
                <c:pt idx="42">
                  <c:v>8.9590806471271777E-3</c:v>
                </c:pt>
                <c:pt idx="43">
                  <c:v>8.2215345339743517E-3</c:v>
                </c:pt>
                <c:pt idx="44">
                  <c:v>8.5807293464553319E-3</c:v>
                </c:pt>
                <c:pt idx="45">
                  <c:v>9.0314483710948589E-3</c:v>
                </c:pt>
                <c:pt idx="46">
                  <c:v>1.1013492962099773E-2</c:v>
                </c:pt>
                <c:pt idx="47">
                  <c:v>1.1623073402291134E-2</c:v>
                </c:pt>
                <c:pt idx="48">
                  <c:v>1.0141493206325229E-2</c:v>
                </c:pt>
                <c:pt idx="49">
                  <c:v>8.6350998453576921E-3</c:v>
                </c:pt>
                <c:pt idx="50">
                  <c:v>7.7238562485159312E-3</c:v>
                </c:pt>
                <c:pt idx="51">
                  <c:v>8.0948081834105335E-3</c:v>
                </c:pt>
                <c:pt idx="52">
                  <c:v>1.0951688400602485E-2</c:v>
                </c:pt>
                <c:pt idx="53">
                  <c:v>1.25101612837172E-2</c:v>
                </c:pt>
                <c:pt idx="54">
                  <c:v>1.2712538772822199E-2</c:v>
                </c:pt>
                <c:pt idx="55">
                  <c:v>1.1633276642562135E-2</c:v>
                </c:pt>
                <c:pt idx="56">
                  <c:v>8.3778431570381909E-3</c:v>
                </c:pt>
                <c:pt idx="57">
                  <c:v>1.1115179292756409E-2</c:v>
                </c:pt>
                <c:pt idx="58">
                  <c:v>1.3318599448875382E-2</c:v>
                </c:pt>
                <c:pt idx="59">
                  <c:v>1.6968710466036804E-2</c:v>
                </c:pt>
                <c:pt idx="60">
                  <c:v>2.2267165818842704E-2</c:v>
                </c:pt>
                <c:pt idx="61">
                  <c:v>2.8070833405764994E-2</c:v>
                </c:pt>
                <c:pt idx="62">
                  <c:v>1.6329034610039036E-2</c:v>
                </c:pt>
                <c:pt idx="68">
                  <c:v>1.7050848699084548E-2</c:v>
                </c:pt>
                <c:pt idx="69">
                  <c:v>1.685048495977437E-2</c:v>
                </c:pt>
                <c:pt idx="70">
                  <c:v>1.6162303102873962E-2</c:v>
                </c:pt>
                <c:pt idx="71">
                  <c:v>2.4132547220399626E-2</c:v>
                </c:pt>
                <c:pt idx="72">
                  <c:v>3.0292161964592702E-2</c:v>
                </c:pt>
                <c:pt idx="73">
                  <c:v>2.5319845914478924E-2</c:v>
                </c:pt>
                <c:pt idx="74">
                  <c:v>1.5739276825278481E-2</c:v>
                </c:pt>
                <c:pt idx="75">
                  <c:v>1.5016563254471069E-2</c:v>
                </c:pt>
                <c:pt idx="76">
                  <c:v>1.3943529934921869E-2</c:v>
                </c:pt>
              </c:numCache>
            </c:numRef>
          </c:val>
          <c:smooth val="0"/>
          <c:extLst>
            <c:ext xmlns:c16="http://schemas.microsoft.com/office/drawing/2014/chart" uri="{C3380CC4-5D6E-409C-BE32-E72D297353CC}">
              <c16:uniqueId val="{00000002-8D42-4732-91CC-DEBC4C3E4777}"/>
            </c:ext>
          </c:extLst>
        </c:ser>
        <c:ser>
          <c:idx val="1"/>
          <c:order val="3"/>
          <c:tx>
            <c:v>Sev Adverse PD</c:v>
          </c:tx>
          <c:spPr>
            <a:ln w="28575" cap="rnd">
              <a:solidFill>
                <a:schemeClr val="accent2"/>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3-8D42-4732-91CC-DEBC4C3E4777}"/>
            </c:ext>
          </c:extLst>
        </c:ser>
        <c:ser>
          <c:idx val="4"/>
          <c:order val="4"/>
          <c:tx>
            <c:v>Final Weighted PD</c:v>
          </c:tx>
          <c:spPr>
            <a:ln w="28575" cap="rnd">
              <a:solidFill>
                <a:srgbClr val="7030A0"/>
              </a:solidFill>
              <a:round/>
            </a:ln>
            <a:effectLst/>
          </c:spPr>
          <c:marker>
            <c:symbol val="none"/>
          </c:marker>
          <c:cat>
            <c:strRef>
              <c:f>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Adv!$X$24:$X$102</c:f>
              <c:numCache>
                <c:formatCode>0.00%</c:formatCode>
                <c:ptCount val="79"/>
                <c:pt idx="0">
                  <c:v>1.0217556972930572E-2</c:v>
                </c:pt>
                <c:pt idx="1">
                  <c:v>9.4131537811771721E-3</c:v>
                </c:pt>
                <c:pt idx="2">
                  <c:v>5.9470529861494056E-3</c:v>
                </c:pt>
                <c:pt idx="3">
                  <c:v>3.2200516355880789E-3</c:v>
                </c:pt>
                <c:pt idx="4">
                  <c:v>2.6989537418853574E-3</c:v>
                </c:pt>
                <c:pt idx="5">
                  <c:v>2.8746810974182289E-3</c:v>
                </c:pt>
                <c:pt idx="6">
                  <c:v>3.6281151152911099E-3</c:v>
                </c:pt>
                <c:pt idx="7">
                  <c:v>6.5254294997579192E-3</c:v>
                </c:pt>
                <c:pt idx="8">
                  <c:v>7.7383507286354495E-3</c:v>
                </c:pt>
                <c:pt idx="9">
                  <c:v>7.75763874542425E-3</c:v>
                </c:pt>
                <c:pt idx="10">
                  <c:v>4.8212360111563272E-3</c:v>
                </c:pt>
                <c:pt idx="11">
                  <c:v>3.7108653629225573E-3</c:v>
                </c:pt>
                <c:pt idx="12">
                  <c:v>4.3500961607630707E-3</c:v>
                </c:pt>
                <c:pt idx="13">
                  <c:v>1.0151189672582451E-2</c:v>
                </c:pt>
                <c:pt idx="14">
                  <c:v>1.8500490401613692E-2</c:v>
                </c:pt>
                <c:pt idx="15">
                  <c:v>2.7996527251401431E-2</c:v>
                </c:pt>
                <c:pt idx="16">
                  <c:v>3.4920388002359963E-2</c:v>
                </c:pt>
                <c:pt idx="17">
                  <c:v>3.9333462130684498E-2</c:v>
                </c:pt>
                <c:pt idx="18">
                  <c:v>4.1836279841057644E-2</c:v>
                </c:pt>
                <c:pt idx="19">
                  <c:v>3.7949770017914768E-2</c:v>
                </c:pt>
                <c:pt idx="20">
                  <c:v>3.1285427646961121E-2</c:v>
                </c:pt>
                <c:pt idx="21">
                  <c:v>1.9780656309035877E-2</c:v>
                </c:pt>
                <c:pt idx="22">
                  <c:v>1.1777950621282902E-2</c:v>
                </c:pt>
                <c:pt idx="23">
                  <c:v>7.0961747767855536E-3</c:v>
                </c:pt>
                <c:pt idx="24">
                  <c:v>6.9843978315496423E-3</c:v>
                </c:pt>
                <c:pt idx="25">
                  <c:v>1.0891044719065683E-2</c:v>
                </c:pt>
                <c:pt idx="26">
                  <c:v>1.6172118586908188E-2</c:v>
                </c:pt>
                <c:pt idx="27">
                  <c:v>2.0994026450703907E-2</c:v>
                </c:pt>
                <c:pt idx="28">
                  <c:v>2.2471290344878311E-2</c:v>
                </c:pt>
                <c:pt idx="29">
                  <c:v>2.2669399072347541E-2</c:v>
                </c:pt>
                <c:pt idx="30">
                  <c:v>1.964183385511924E-2</c:v>
                </c:pt>
                <c:pt idx="31">
                  <c:v>1.8100445542713089E-2</c:v>
                </c:pt>
                <c:pt idx="32">
                  <c:v>1.5169326962982926E-2</c:v>
                </c:pt>
                <c:pt idx="33">
                  <c:v>1.3676612510223002E-2</c:v>
                </c:pt>
                <c:pt idx="34">
                  <c:v>1.1628811925115312E-2</c:v>
                </c:pt>
                <c:pt idx="35">
                  <c:v>8.123908636303875E-3</c:v>
                </c:pt>
                <c:pt idx="36">
                  <c:v>6.8307210455898467E-3</c:v>
                </c:pt>
                <c:pt idx="37">
                  <c:v>4.6930295902607019E-3</c:v>
                </c:pt>
                <c:pt idx="38">
                  <c:v>4.9632895789140713E-3</c:v>
                </c:pt>
                <c:pt idx="39">
                  <c:v>5.3522341602069918E-3</c:v>
                </c:pt>
                <c:pt idx="40">
                  <c:v>6.8542203495693572E-3</c:v>
                </c:pt>
                <c:pt idx="41">
                  <c:v>7.6919326975371698E-3</c:v>
                </c:pt>
                <c:pt idx="42">
                  <c:v>8.9590806471271777E-3</c:v>
                </c:pt>
                <c:pt idx="43">
                  <c:v>8.2215345339743517E-3</c:v>
                </c:pt>
                <c:pt idx="44">
                  <c:v>8.5807293464553319E-3</c:v>
                </c:pt>
                <c:pt idx="45">
                  <c:v>9.0314483710948589E-3</c:v>
                </c:pt>
                <c:pt idx="46">
                  <c:v>1.1013492962099773E-2</c:v>
                </c:pt>
                <c:pt idx="47">
                  <c:v>1.1623073402291134E-2</c:v>
                </c:pt>
                <c:pt idx="48">
                  <c:v>1.0141493206325229E-2</c:v>
                </c:pt>
                <c:pt idx="49">
                  <c:v>8.6350998453576921E-3</c:v>
                </c:pt>
                <c:pt idx="50">
                  <c:v>7.7238562485159312E-3</c:v>
                </c:pt>
                <c:pt idx="51">
                  <c:v>8.0948081834105335E-3</c:v>
                </c:pt>
                <c:pt idx="52">
                  <c:v>1.0951688400602485E-2</c:v>
                </c:pt>
                <c:pt idx="53">
                  <c:v>1.25101612837172E-2</c:v>
                </c:pt>
                <c:pt idx="54">
                  <c:v>1.2712538772822199E-2</c:v>
                </c:pt>
                <c:pt idx="55">
                  <c:v>1.1633276642562135E-2</c:v>
                </c:pt>
                <c:pt idx="56">
                  <c:v>0</c:v>
                </c:pt>
                <c:pt idx="57">
                  <c:v>0</c:v>
                </c:pt>
                <c:pt idx="58">
                  <c:v>0</c:v>
                </c:pt>
                <c:pt idx="59">
                  <c:v>0</c:v>
                </c:pt>
                <c:pt idx="60">
                  <c:v>0</c:v>
                </c:pt>
                <c:pt idx="61">
                  <c:v>0</c:v>
                </c:pt>
                <c:pt idx="62">
                  <c:v>0</c:v>
                </c:pt>
                <c:pt idx="68">
                  <c:v>0</c:v>
                </c:pt>
                <c:pt idx="69">
                  <c:v>0</c:v>
                </c:pt>
                <c:pt idx="70">
                  <c:v>0</c:v>
                </c:pt>
                <c:pt idx="71">
                  <c:v>0</c:v>
                </c:pt>
                <c:pt idx="72">
                  <c:v>0</c:v>
                </c:pt>
                <c:pt idx="73">
                  <c:v>0</c:v>
                </c:pt>
                <c:pt idx="74">
                  <c:v>0</c:v>
                </c:pt>
                <c:pt idx="75">
                  <c:v>0</c:v>
                </c:pt>
                <c:pt idx="76">
                  <c:v>0</c:v>
                </c:pt>
              </c:numCache>
            </c:numRef>
          </c:val>
          <c:smooth val="0"/>
          <c:extLst>
            <c:ext xmlns:c16="http://schemas.microsoft.com/office/drawing/2014/chart" uri="{C3380CC4-5D6E-409C-BE32-E72D297353CC}">
              <c16:uniqueId val="{00000004-8D42-4732-91CC-DEBC4C3E4777}"/>
            </c:ext>
          </c:extLst>
        </c:ser>
        <c:dLbls>
          <c:showLegendKey val="0"/>
          <c:showVal val="0"/>
          <c:showCatName val="0"/>
          <c:showSerName val="0"/>
          <c:showPercent val="0"/>
          <c:showBubbleSize val="0"/>
        </c:dLbls>
        <c:smooth val="0"/>
        <c:axId val="1462917680"/>
        <c:axId val="103544928"/>
      </c:lineChart>
      <c:catAx>
        <c:axId val="14629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4928"/>
        <c:crosses val="autoZero"/>
        <c:auto val="1"/>
        <c:lblAlgn val="ctr"/>
        <c:lblOffset val="100"/>
        <c:noMultiLvlLbl val="0"/>
      </c:catAx>
      <c:valAx>
        <c:axId val="103544928"/>
        <c:scaling>
          <c:orientation val="minMax"/>
          <c:max val="8.0000000000000016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1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Unemployment Rate</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Unemp rate - base</c:v>
          </c:tx>
          <c:spPr>
            <a:ln w="28575" cap="rnd">
              <a:solidFill>
                <a:schemeClr val="accent1"/>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SevAdv!$D$24:$D$102</c:f>
              <c:numCache>
                <c:formatCode>General</c:formatCode>
                <c:ptCount val="79"/>
                <c:pt idx="0">
                  <c:v>4.5</c:v>
                </c:pt>
                <c:pt idx="1">
                  <c:v>4.4000000000000004</c:v>
                </c:pt>
                <c:pt idx="2">
                  <c:v>4.7</c:v>
                </c:pt>
                <c:pt idx="3">
                  <c:v>4.7</c:v>
                </c:pt>
                <c:pt idx="4">
                  <c:v>4.9000000000000004</c:v>
                </c:pt>
                <c:pt idx="5">
                  <c:v>5.0999999999999996</c:v>
                </c:pt>
                <c:pt idx="6">
                  <c:v>5.4</c:v>
                </c:pt>
                <c:pt idx="7">
                  <c:v>5.0999999999999996</c:v>
                </c:pt>
                <c:pt idx="8">
                  <c:v>5.0999999999999996</c:v>
                </c:pt>
                <c:pt idx="9">
                  <c:v>4.9000000000000004</c:v>
                </c:pt>
                <c:pt idx="10">
                  <c:v>5.3</c:v>
                </c:pt>
                <c:pt idx="11">
                  <c:v>4.8</c:v>
                </c:pt>
                <c:pt idx="12">
                  <c:v>4.9000000000000004</c:v>
                </c:pt>
                <c:pt idx="13">
                  <c:v>5</c:v>
                </c:pt>
                <c:pt idx="14">
                  <c:v>5.9</c:v>
                </c:pt>
                <c:pt idx="15">
                  <c:v>6</c:v>
                </c:pt>
                <c:pt idx="16">
                  <c:v>6.9</c:v>
                </c:pt>
                <c:pt idx="17">
                  <c:v>7.5</c:v>
                </c:pt>
                <c:pt idx="18">
                  <c:v>7.8</c:v>
                </c:pt>
                <c:pt idx="19">
                  <c:v>7.4</c:v>
                </c:pt>
                <c:pt idx="20">
                  <c:v>7.8</c:v>
                </c:pt>
                <c:pt idx="21">
                  <c:v>7.5</c:v>
                </c:pt>
                <c:pt idx="22">
                  <c:v>7.8</c:v>
                </c:pt>
                <c:pt idx="23">
                  <c:v>7.6</c:v>
                </c:pt>
                <c:pt idx="24">
                  <c:v>7.6</c:v>
                </c:pt>
                <c:pt idx="25">
                  <c:v>7.7</c:v>
                </c:pt>
                <c:pt idx="26">
                  <c:v>8.4</c:v>
                </c:pt>
                <c:pt idx="27">
                  <c:v>8</c:v>
                </c:pt>
                <c:pt idx="28">
                  <c:v>7.9</c:v>
                </c:pt>
                <c:pt idx="29">
                  <c:v>7.8</c:v>
                </c:pt>
                <c:pt idx="30">
                  <c:v>7.9</c:v>
                </c:pt>
                <c:pt idx="31">
                  <c:v>7.4</c:v>
                </c:pt>
                <c:pt idx="32">
                  <c:v>7.5</c:v>
                </c:pt>
                <c:pt idx="33">
                  <c:v>7.5</c:v>
                </c:pt>
                <c:pt idx="34">
                  <c:v>7.6</c:v>
                </c:pt>
                <c:pt idx="35">
                  <c:v>6.9</c:v>
                </c:pt>
                <c:pt idx="36">
                  <c:v>6.5</c:v>
                </c:pt>
                <c:pt idx="37">
                  <c:v>6</c:v>
                </c:pt>
                <c:pt idx="38">
                  <c:v>6.1</c:v>
                </c:pt>
                <c:pt idx="39">
                  <c:v>5.4</c:v>
                </c:pt>
                <c:pt idx="40">
                  <c:v>5.3</c:v>
                </c:pt>
                <c:pt idx="41">
                  <c:v>5.3</c:v>
                </c:pt>
                <c:pt idx="42">
                  <c:v>5.3</c:v>
                </c:pt>
                <c:pt idx="43">
                  <c:v>4.7</c:v>
                </c:pt>
                <c:pt idx="44">
                  <c:v>4.9000000000000004</c:v>
                </c:pt>
                <c:pt idx="45">
                  <c:v>4.7</c:v>
                </c:pt>
                <c:pt idx="46">
                  <c:v>4.9000000000000004</c:v>
                </c:pt>
                <c:pt idx="47">
                  <c:v>4.5</c:v>
                </c:pt>
                <c:pt idx="48">
                  <c:v>4.3</c:v>
                </c:pt>
                <c:pt idx="49">
                  <c:v>4.2</c:v>
                </c:pt>
                <c:pt idx="50">
                  <c:v>4.4000000000000004</c:v>
                </c:pt>
                <c:pt idx="51">
                  <c:v>4.0999999999999996</c:v>
                </c:pt>
                <c:pt idx="52">
                  <c:v>4</c:v>
                </c:pt>
                <c:pt idx="53">
                  <c:v>3.8</c:v>
                </c:pt>
                <c:pt idx="54">
                  <c:v>4.0999999999999996</c:v>
                </c:pt>
                <c:pt idx="55">
                  <c:v>3.8</c:v>
                </c:pt>
                <c:pt idx="56">
                  <c:v>3.6</c:v>
                </c:pt>
                <c:pt idx="57">
                  <c:v>3.6</c:v>
                </c:pt>
                <c:pt idx="58">
                  <c:v>4</c:v>
                </c:pt>
                <c:pt idx="59">
                  <c:v>3.7</c:v>
                </c:pt>
                <c:pt idx="60">
                  <c:v>3.8</c:v>
                </c:pt>
                <c:pt idx="61">
                  <c:v>3.7</c:v>
                </c:pt>
                <c:pt idx="62">
                  <c:v>4.7</c:v>
                </c:pt>
                <c:pt idx="63">
                  <c:v>4.8</c:v>
                </c:pt>
                <c:pt idx="64">
                  <c:v>4.4000000000000004</c:v>
                </c:pt>
                <c:pt idx="65">
                  <c:v>4.2</c:v>
                </c:pt>
                <c:pt idx="66">
                  <c:v>4.92</c:v>
                </c:pt>
                <c:pt idx="67">
                  <c:v>3.8</c:v>
                </c:pt>
                <c:pt idx="68">
                  <c:v>3.9285590107467714</c:v>
                </c:pt>
                <c:pt idx="69">
                  <c:v>4.4363849918629414</c:v>
                </c:pt>
                <c:pt idx="70">
                  <c:v>5.2323952338893376</c:v>
                </c:pt>
                <c:pt idx="71">
                  <c:v>6.5213167556615579</c:v>
                </c:pt>
                <c:pt idx="72">
                  <c:v>7.3732752819154825</c:v>
                </c:pt>
                <c:pt idx="73">
                  <c:v>8.3792653849341914</c:v>
                </c:pt>
                <c:pt idx="74">
                  <c:v>8.148169756449807</c:v>
                </c:pt>
                <c:pt idx="75">
                  <c:v>8.0580393563556534</c:v>
                </c:pt>
                <c:pt idx="76">
                  <c:v>7.3430445570976035</c:v>
                </c:pt>
              </c:numCache>
            </c:numRef>
          </c:val>
          <c:smooth val="0"/>
          <c:extLst>
            <c:ext xmlns:c16="http://schemas.microsoft.com/office/drawing/2014/chart" uri="{C3380CC4-5D6E-409C-BE32-E72D297353CC}">
              <c16:uniqueId val="{00000000-03AF-4223-AE81-4709A0AA2500}"/>
            </c:ext>
          </c:extLst>
        </c:ser>
        <c:ser>
          <c:idx val="2"/>
          <c:order val="1"/>
          <c:tx>
            <c:v>Unemp rate - Sev Adv</c:v>
          </c:tx>
          <c:spPr>
            <a:ln w="28575" cap="rnd">
              <a:solidFill>
                <a:schemeClr val="accent4"/>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03AF-4223-AE81-4709A0AA2500}"/>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Inflation</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v>Inflation-Baseline</c:v>
          </c:tx>
          <c:spPr>
            <a:ln w="28575" cap="rnd">
              <a:solidFill>
                <a:schemeClr val="accent1"/>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Baseline!#REF!</c:f>
              <c:numCache>
                <c:formatCode>General</c:formatCode>
                <c:ptCount val="1"/>
                <c:pt idx="0">
                  <c:v>1</c:v>
                </c:pt>
              </c:numCache>
            </c:numRef>
          </c:val>
          <c:smooth val="0"/>
          <c:extLst>
            <c:ext xmlns:c16="http://schemas.microsoft.com/office/drawing/2014/chart" uri="{C3380CC4-5D6E-409C-BE32-E72D297353CC}">
              <c16:uniqueId val="{00000000-705D-400D-8493-074460BB4D5E}"/>
            </c:ext>
          </c:extLst>
        </c:ser>
        <c:ser>
          <c:idx val="2"/>
          <c:order val="1"/>
          <c:tx>
            <c:v>Inflation- Sev Adv</c:v>
          </c:tx>
          <c:spPr>
            <a:ln w="28575" cap="rnd">
              <a:solidFill>
                <a:schemeClr val="accent4"/>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705D-400D-8493-074460BB4D5E}"/>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Raw Macrovariable</a:t>
            </a:r>
            <a:r>
              <a:rPr lang="en-US" b="1" baseline="0"/>
              <a:t> Projections - GDP Growth</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GDP-Baseline</c:v>
          </c:tx>
          <c:spPr>
            <a:ln w="28575" cap="rnd">
              <a:solidFill>
                <a:schemeClr val="accent1"/>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SevAdv!$C$24:$C$102</c:f>
              <c:numCache>
                <c:formatCode>0.00</c:formatCode>
                <c:ptCount val="79"/>
                <c:pt idx="0">
                  <c:v>1.7026348988588236E-2</c:v>
                </c:pt>
                <c:pt idx="1">
                  <c:v>2.5999321278863619E-2</c:v>
                </c:pt>
                <c:pt idx="2">
                  <c:v>3.5967532591475671E-2</c:v>
                </c:pt>
                <c:pt idx="3">
                  <c:v>4.8058653006965324E-2</c:v>
                </c:pt>
                <c:pt idx="4">
                  <c:v>4.347456967604546E-2</c:v>
                </c:pt>
                <c:pt idx="5">
                  <c:v>3.3253127671419191E-2</c:v>
                </c:pt>
                <c:pt idx="6">
                  <c:v>2.2666817133921269E-2</c:v>
                </c:pt>
                <c:pt idx="7">
                  <c:v>1.2788280888372583E-2</c:v>
                </c:pt>
                <c:pt idx="8">
                  <c:v>1.8174997061987552E-2</c:v>
                </c:pt>
                <c:pt idx="9">
                  <c:v>2.191668413779424E-2</c:v>
                </c:pt>
                <c:pt idx="10">
                  <c:v>2.8792126924072958E-2</c:v>
                </c:pt>
                <c:pt idx="11">
                  <c:v>2.8296053339068816E-2</c:v>
                </c:pt>
                <c:pt idx="12">
                  <c:v>2.4314233837493759E-2</c:v>
                </c:pt>
                <c:pt idx="13">
                  <c:v>1.2355755761497056E-2</c:v>
                </c:pt>
                <c:pt idx="14">
                  <c:v>-1.1150756298841991E-2</c:v>
                </c:pt>
                <c:pt idx="15">
                  <c:v>-3.611470602332989E-2</c:v>
                </c:pt>
                <c:pt idx="16">
                  <c:v>-5.8066361556064039E-2</c:v>
                </c:pt>
                <c:pt idx="17">
                  <c:v>-5.5117320967854377E-2</c:v>
                </c:pt>
                <c:pt idx="18">
                  <c:v>-3.9425682256893357E-2</c:v>
                </c:pt>
                <c:pt idx="19">
                  <c:v>-1.6224915575286047E-2</c:v>
                </c:pt>
                <c:pt idx="20">
                  <c:v>7.6493756269038204E-3</c:v>
                </c:pt>
                <c:pt idx="21">
                  <c:v>2.0229787508821095E-2</c:v>
                </c:pt>
                <c:pt idx="22">
                  <c:v>2.6267151541967904E-2</c:v>
                </c:pt>
                <c:pt idx="23">
                  <c:v>2.3844973209444342E-2</c:v>
                </c:pt>
                <c:pt idx="24">
                  <c:v>2.3767069024956511E-2</c:v>
                </c:pt>
                <c:pt idx="25">
                  <c:v>1.4618323198987371E-2</c:v>
                </c:pt>
                <c:pt idx="26">
                  <c:v>1.10593635195948E-2</c:v>
                </c:pt>
                <c:pt idx="27">
                  <c:v>1.2297859544081469E-2</c:v>
                </c:pt>
                <c:pt idx="28">
                  <c:v>1.2439480744227849E-2</c:v>
                </c:pt>
                <c:pt idx="29">
                  <c:v>1.0635904085265491E-2</c:v>
                </c:pt>
                <c:pt idx="30">
                  <c:v>1.9757956153150902E-2</c:v>
                </c:pt>
                <c:pt idx="31">
                  <c:v>1.6300661071281253E-2</c:v>
                </c:pt>
                <c:pt idx="32">
                  <c:v>1.6310967886887129E-2</c:v>
                </c:pt>
                <c:pt idx="33">
                  <c:v>2.2564595453132608E-2</c:v>
                </c:pt>
                <c:pt idx="34">
                  <c:v>1.983904866654318E-2</c:v>
                </c:pt>
                <c:pt idx="35">
                  <c:v>2.6832359376056658E-2</c:v>
                </c:pt>
                <c:pt idx="36">
                  <c:v>2.6979111128449862E-2</c:v>
                </c:pt>
                <c:pt idx="37">
                  <c:v>2.8202049294302034E-2</c:v>
                </c:pt>
                <c:pt idx="38">
                  <c:v>2.4435455970477582E-2</c:v>
                </c:pt>
                <c:pt idx="39">
                  <c:v>2.4724901219356665E-2</c:v>
                </c:pt>
                <c:pt idx="40">
                  <c:v>2.3379101050561069E-2</c:v>
                </c:pt>
                <c:pt idx="41">
                  <c:v>2.3962729767752933E-2</c:v>
                </c:pt>
                <c:pt idx="42">
                  <c:v>2.2476735265668291E-2</c:v>
                </c:pt>
                <c:pt idx="43">
                  <c:v>2.438953602872429E-2</c:v>
                </c:pt>
                <c:pt idx="44">
                  <c:v>2.0716819269157805E-2</c:v>
                </c:pt>
                <c:pt idx="45">
                  <c:v>1.8868581303826071E-2</c:v>
                </c:pt>
                <c:pt idx="46">
                  <c:v>1.9079347085903864E-2</c:v>
                </c:pt>
                <c:pt idx="47">
                  <c:v>1.8089868540344556E-2</c:v>
                </c:pt>
                <c:pt idx="48">
                  <c:v>2.225809449537941E-2</c:v>
                </c:pt>
                <c:pt idx="49">
                  <c:v>1.9417475728155331E-2</c:v>
                </c:pt>
                <c:pt idx="50">
                  <c:v>1.829800174457219E-2</c:v>
                </c:pt>
                <c:pt idx="51">
                  <c:v>1.5764794278478877E-2</c:v>
                </c:pt>
                <c:pt idx="52">
                  <c:v>1.0543832500301331E-2</c:v>
                </c:pt>
                <c:pt idx="53">
                  <c:v>1.3318745009906152E-2</c:v>
                </c:pt>
                <c:pt idx="54">
                  <c:v>1.5809989351293297E-2</c:v>
                </c:pt>
                <c:pt idx="55">
                  <c:v>1.3936995855299505E-2</c:v>
                </c:pt>
                <c:pt idx="56">
                  <c:v>2.0003207397353506E-2</c:v>
                </c:pt>
                <c:pt idx="57">
                  <c:v>1.4085301676423301E-2</c:v>
                </c:pt>
                <c:pt idx="58">
                  <c:v>1.3324204251599081E-2</c:v>
                </c:pt>
                <c:pt idx="59">
                  <c:v>1.1157302329890317E-2</c:v>
                </c:pt>
                <c:pt idx="60">
                  <c:v>-1.7425116864092538E-2</c:v>
                </c:pt>
                <c:pt idx="61">
                  <c:v>-0.19500000000000001</c:v>
                </c:pt>
                <c:pt idx="62">
                  <c:v>0.16899999999999998</c:v>
                </c:pt>
                <c:pt idx="63">
                  <c:v>1.3000000000000001E-2</c:v>
                </c:pt>
                <c:pt idx="64">
                  <c:v>-1.6E-2</c:v>
                </c:pt>
                <c:pt idx="65">
                  <c:v>4.8000000000000001E-2</c:v>
                </c:pt>
                <c:pt idx="66">
                  <c:v>1.2999999999999999E-2</c:v>
                </c:pt>
                <c:pt idx="67">
                  <c:v>0.01</c:v>
                </c:pt>
                <c:pt idx="68">
                  <c:v>8.0000000000000487E-3</c:v>
                </c:pt>
                <c:pt idx="69">
                  <c:v>-1.2812203854276187E-2</c:v>
                </c:pt>
                <c:pt idx="70">
                  <c:v>-2.4645512484968782E-2</c:v>
                </c:pt>
                <c:pt idx="71">
                  <c:v>-2.1297153889820848E-2</c:v>
                </c:pt>
                <c:pt idx="72">
                  <c:v>-1.2756549656557647E-2</c:v>
                </c:pt>
                <c:pt idx="73">
                  <c:v>8.9349136362056644E-4</c:v>
                </c:pt>
                <c:pt idx="74">
                  <c:v>3.510071753587813E-2</c:v>
                </c:pt>
                <c:pt idx="75">
                  <c:v>1.8617740485544598E-2</c:v>
                </c:pt>
                <c:pt idx="76">
                  <c:v>1.0999725721133767E-2</c:v>
                </c:pt>
              </c:numCache>
            </c:numRef>
          </c:val>
          <c:smooth val="0"/>
          <c:extLst>
            <c:ext xmlns:c16="http://schemas.microsoft.com/office/drawing/2014/chart" uri="{C3380CC4-5D6E-409C-BE32-E72D297353CC}">
              <c16:uniqueId val="{00000000-66EF-4DE8-AB75-D1868845BCD5}"/>
            </c:ext>
          </c:extLst>
        </c:ser>
        <c:ser>
          <c:idx val="3"/>
          <c:order val="1"/>
          <c:tx>
            <c:v>GDP-SevAdv</c:v>
          </c:tx>
          <c:spPr>
            <a:ln w="28575" cap="rnd">
              <a:solidFill>
                <a:schemeClr val="accent4"/>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1-66EF-4DE8-AB75-D1868845BCD5}"/>
            </c:ext>
          </c:extLst>
        </c:ser>
        <c:dLbls>
          <c:showLegendKey val="0"/>
          <c:showVal val="0"/>
          <c:showCatName val="0"/>
          <c:showSerName val="0"/>
          <c:showPercent val="0"/>
          <c:showBubbleSize val="0"/>
        </c:dLbls>
        <c:smooth val="0"/>
        <c:axId val="139009184"/>
        <c:axId val="1684406800"/>
      </c:lineChart>
      <c:catAx>
        <c:axId val="1390091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84406800"/>
        <c:crosses val="autoZero"/>
        <c:auto val="1"/>
        <c:lblAlgn val="ctr"/>
        <c:lblOffset val="100"/>
        <c:noMultiLvlLbl val="0"/>
      </c:catAx>
      <c:valAx>
        <c:axId val="16844068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00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PD Projections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Moody's TTC PD</c:v>
          </c:tx>
          <c:spPr>
            <a:ln w="28575" cap="rnd">
              <a:solidFill>
                <a:schemeClr val="accent1"/>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SevAdv!$U$24:$U$102</c:f>
              <c:numCache>
                <c:formatCode>0.00%</c:formatCode>
                <c:ptCount val="79"/>
                <c:pt idx="0">
                  <c:v>1.7000000000000001E-2</c:v>
                </c:pt>
                <c:pt idx="1">
                  <c:v>1.7000000000000001E-2</c:v>
                </c:pt>
                <c:pt idx="2">
                  <c:v>1.7000000000000001E-2</c:v>
                </c:pt>
                <c:pt idx="3">
                  <c:v>1.7000000000000001E-2</c:v>
                </c:pt>
                <c:pt idx="4">
                  <c:v>1.7000000000000001E-2</c:v>
                </c:pt>
                <c:pt idx="5">
                  <c:v>1.7000000000000001E-2</c:v>
                </c:pt>
                <c:pt idx="6">
                  <c:v>1.7000000000000001E-2</c:v>
                </c:pt>
                <c:pt idx="7">
                  <c:v>1.7000000000000001E-2</c:v>
                </c:pt>
                <c:pt idx="8">
                  <c:v>1.7000000000000001E-2</c:v>
                </c:pt>
                <c:pt idx="9">
                  <c:v>1.7000000000000001E-2</c:v>
                </c:pt>
                <c:pt idx="10">
                  <c:v>1.7000000000000001E-2</c:v>
                </c:pt>
                <c:pt idx="11">
                  <c:v>1.7000000000000001E-2</c:v>
                </c:pt>
                <c:pt idx="12">
                  <c:v>1.7000000000000001E-2</c:v>
                </c:pt>
                <c:pt idx="13">
                  <c:v>1.7000000000000001E-2</c:v>
                </c:pt>
                <c:pt idx="14">
                  <c:v>1.7000000000000001E-2</c:v>
                </c:pt>
                <c:pt idx="15">
                  <c:v>1.7000000000000001E-2</c:v>
                </c:pt>
                <c:pt idx="16">
                  <c:v>1.7000000000000001E-2</c:v>
                </c:pt>
                <c:pt idx="17">
                  <c:v>1.7000000000000001E-2</c:v>
                </c:pt>
                <c:pt idx="18">
                  <c:v>1.7000000000000001E-2</c:v>
                </c:pt>
                <c:pt idx="19">
                  <c:v>1.7000000000000001E-2</c:v>
                </c:pt>
                <c:pt idx="20">
                  <c:v>1.7000000000000001E-2</c:v>
                </c:pt>
                <c:pt idx="21">
                  <c:v>1.7000000000000001E-2</c:v>
                </c:pt>
                <c:pt idx="22">
                  <c:v>1.7000000000000001E-2</c:v>
                </c:pt>
                <c:pt idx="23">
                  <c:v>1.7000000000000001E-2</c:v>
                </c:pt>
                <c:pt idx="24">
                  <c:v>1.7000000000000001E-2</c:v>
                </c:pt>
                <c:pt idx="25">
                  <c:v>1.7000000000000001E-2</c:v>
                </c:pt>
                <c:pt idx="26">
                  <c:v>1.7000000000000001E-2</c:v>
                </c:pt>
                <c:pt idx="27">
                  <c:v>1.7000000000000001E-2</c:v>
                </c:pt>
                <c:pt idx="28">
                  <c:v>1.7000000000000001E-2</c:v>
                </c:pt>
                <c:pt idx="29">
                  <c:v>1.7000000000000001E-2</c:v>
                </c:pt>
                <c:pt idx="30">
                  <c:v>1.7000000000000001E-2</c:v>
                </c:pt>
                <c:pt idx="31">
                  <c:v>1.7000000000000001E-2</c:v>
                </c:pt>
                <c:pt idx="32">
                  <c:v>1.7000000000000001E-2</c:v>
                </c:pt>
                <c:pt idx="33">
                  <c:v>1.7000000000000001E-2</c:v>
                </c:pt>
                <c:pt idx="34">
                  <c:v>1.7000000000000001E-2</c:v>
                </c:pt>
                <c:pt idx="35">
                  <c:v>1.7000000000000001E-2</c:v>
                </c:pt>
                <c:pt idx="36">
                  <c:v>1.7000000000000001E-2</c:v>
                </c:pt>
                <c:pt idx="37">
                  <c:v>1.7000000000000001E-2</c:v>
                </c:pt>
                <c:pt idx="38">
                  <c:v>1.7000000000000001E-2</c:v>
                </c:pt>
                <c:pt idx="39">
                  <c:v>1.7000000000000001E-2</c:v>
                </c:pt>
                <c:pt idx="40">
                  <c:v>1.7000000000000001E-2</c:v>
                </c:pt>
                <c:pt idx="41">
                  <c:v>1.7000000000000001E-2</c:v>
                </c:pt>
                <c:pt idx="42">
                  <c:v>1.7000000000000001E-2</c:v>
                </c:pt>
                <c:pt idx="43">
                  <c:v>1.7000000000000001E-2</c:v>
                </c:pt>
                <c:pt idx="44">
                  <c:v>1.7000000000000001E-2</c:v>
                </c:pt>
                <c:pt idx="45">
                  <c:v>1.7000000000000001E-2</c:v>
                </c:pt>
                <c:pt idx="46">
                  <c:v>1.7000000000000001E-2</c:v>
                </c:pt>
                <c:pt idx="47">
                  <c:v>1.7000000000000001E-2</c:v>
                </c:pt>
                <c:pt idx="48">
                  <c:v>1.7000000000000001E-2</c:v>
                </c:pt>
                <c:pt idx="49">
                  <c:v>1.7000000000000001E-2</c:v>
                </c:pt>
                <c:pt idx="50">
                  <c:v>1.7000000000000001E-2</c:v>
                </c:pt>
                <c:pt idx="51">
                  <c:v>1.7000000000000001E-2</c:v>
                </c:pt>
                <c:pt idx="52">
                  <c:v>1.7000000000000001E-2</c:v>
                </c:pt>
                <c:pt idx="53">
                  <c:v>1.7000000000000001E-2</c:v>
                </c:pt>
                <c:pt idx="54">
                  <c:v>1.7000000000000001E-2</c:v>
                </c:pt>
                <c:pt idx="55">
                  <c:v>1.7000000000000001E-2</c:v>
                </c:pt>
                <c:pt idx="56">
                  <c:v>1.7000000000000001E-2</c:v>
                </c:pt>
                <c:pt idx="57">
                  <c:v>1.7000000000000001E-2</c:v>
                </c:pt>
                <c:pt idx="58">
                  <c:v>1.7000000000000001E-2</c:v>
                </c:pt>
                <c:pt idx="59">
                  <c:v>1.7000000000000001E-2</c:v>
                </c:pt>
                <c:pt idx="60">
                  <c:v>1.7000000000000001E-2</c:v>
                </c:pt>
                <c:pt idx="61">
                  <c:v>1.7000000000000001E-2</c:v>
                </c:pt>
                <c:pt idx="62">
                  <c:v>1.7000000000000001E-2</c:v>
                </c:pt>
                <c:pt idx="63">
                  <c:v>1.7000000000000001E-2</c:v>
                </c:pt>
                <c:pt idx="64">
                  <c:v>1.7000000000000001E-2</c:v>
                </c:pt>
                <c:pt idx="65">
                  <c:v>1.7000000000000001E-2</c:v>
                </c:pt>
                <c:pt idx="66">
                  <c:v>1.7000000000000001E-2</c:v>
                </c:pt>
                <c:pt idx="67">
                  <c:v>1.7000000000000001E-2</c:v>
                </c:pt>
                <c:pt idx="68">
                  <c:v>1.7000000000000001E-2</c:v>
                </c:pt>
                <c:pt idx="69">
                  <c:v>1.7000000000000001E-2</c:v>
                </c:pt>
                <c:pt idx="70">
                  <c:v>1.7000000000000001E-2</c:v>
                </c:pt>
                <c:pt idx="71">
                  <c:v>1.7000000000000001E-2</c:v>
                </c:pt>
                <c:pt idx="72">
                  <c:v>1.7000000000000001E-2</c:v>
                </c:pt>
                <c:pt idx="73">
                  <c:v>1.7000000000000001E-2</c:v>
                </c:pt>
                <c:pt idx="74">
                  <c:v>1.7000000000000001E-2</c:v>
                </c:pt>
                <c:pt idx="75">
                  <c:v>1.7000000000000001E-2</c:v>
                </c:pt>
                <c:pt idx="76">
                  <c:v>1.7000000000000001E-2</c:v>
                </c:pt>
              </c:numCache>
            </c:numRef>
          </c:val>
          <c:smooth val="0"/>
          <c:extLst>
            <c:ext xmlns:c16="http://schemas.microsoft.com/office/drawing/2014/chart" uri="{C3380CC4-5D6E-409C-BE32-E72D297353CC}">
              <c16:uniqueId val="{00000000-2FAA-42FF-B6B0-69E8CFB85496}"/>
            </c:ext>
          </c:extLst>
        </c:ser>
        <c:ser>
          <c:idx val="2"/>
          <c:order val="1"/>
          <c:tx>
            <c:v>Moody's PIT PD</c:v>
          </c:tx>
          <c:spPr>
            <a:ln w="28575" cap="rnd">
              <a:solidFill>
                <a:schemeClr val="accent3"/>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SevAdv!$W$24:$W$79</c:f>
              <c:numCache>
                <c:formatCode>0.00%</c:formatCode>
                <c:ptCount val="56"/>
                <c:pt idx="0">
                  <c:v>1.04E-2</c:v>
                </c:pt>
                <c:pt idx="1">
                  <c:v>1.11E-2</c:v>
                </c:pt>
                <c:pt idx="2">
                  <c:v>1.01E-2</c:v>
                </c:pt>
                <c:pt idx="3">
                  <c:v>1.04E-2</c:v>
                </c:pt>
                <c:pt idx="4">
                  <c:v>1.09E-2</c:v>
                </c:pt>
                <c:pt idx="5">
                  <c:v>1.04E-2</c:v>
                </c:pt>
                <c:pt idx="6">
                  <c:v>1.15E-2</c:v>
                </c:pt>
                <c:pt idx="7">
                  <c:v>1.0999999999999999E-2</c:v>
                </c:pt>
                <c:pt idx="8">
                  <c:v>1.0999999999999999E-2</c:v>
                </c:pt>
                <c:pt idx="9">
                  <c:v>1.2E-2</c:v>
                </c:pt>
                <c:pt idx="10">
                  <c:v>1.2500000000000001E-2</c:v>
                </c:pt>
                <c:pt idx="11">
                  <c:v>1.4500000000000001E-2</c:v>
                </c:pt>
                <c:pt idx="12">
                  <c:v>1.7899999999999999E-2</c:v>
                </c:pt>
                <c:pt idx="13">
                  <c:v>1.8200000000000001E-2</c:v>
                </c:pt>
                <c:pt idx="14">
                  <c:v>2.2200000000000001E-2</c:v>
                </c:pt>
                <c:pt idx="15">
                  <c:v>2.8000000000000001E-2</c:v>
                </c:pt>
                <c:pt idx="16">
                  <c:v>2.6599999999999999E-2</c:v>
                </c:pt>
                <c:pt idx="17">
                  <c:v>2.5499999999999998E-2</c:v>
                </c:pt>
                <c:pt idx="18">
                  <c:v>2.2499999999999999E-2</c:v>
                </c:pt>
                <c:pt idx="19">
                  <c:v>1.8499999999999999E-2</c:v>
                </c:pt>
                <c:pt idx="20">
                  <c:v>1.6400000000000001E-2</c:v>
                </c:pt>
                <c:pt idx="21">
                  <c:v>1.54E-2</c:v>
                </c:pt>
                <c:pt idx="22">
                  <c:v>1.4500000000000001E-2</c:v>
                </c:pt>
                <c:pt idx="23">
                  <c:v>1.3599999999999999E-2</c:v>
                </c:pt>
                <c:pt idx="24">
                  <c:v>1.09E-2</c:v>
                </c:pt>
                <c:pt idx="25">
                  <c:v>1.09E-2</c:v>
                </c:pt>
                <c:pt idx="26">
                  <c:v>1.1599999999999999E-2</c:v>
                </c:pt>
                <c:pt idx="27">
                  <c:v>1.29E-2</c:v>
                </c:pt>
                <c:pt idx="28">
                  <c:v>1.26E-2</c:v>
                </c:pt>
                <c:pt idx="29">
                  <c:v>1.26E-2</c:v>
                </c:pt>
                <c:pt idx="30">
                  <c:v>1.3100000000000001E-2</c:v>
                </c:pt>
                <c:pt idx="31">
                  <c:v>1.3299999999999999E-2</c:v>
                </c:pt>
                <c:pt idx="32">
                  <c:v>1.2200000000000001E-2</c:v>
                </c:pt>
                <c:pt idx="33">
                  <c:v>1.11E-2</c:v>
                </c:pt>
                <c:pt idx="34">
                  <c:v>1.0999999999999999E-2</c:v>
                </c:pt>
                <c:pt idx="35">
                  <c:v>1.09E-2</c:v>
                </c:pt>
                <c:pt idx="36">
                  <c:v>1.0200000000000001E-2</c:v>
                </c:pt>
                <c:pt idx="37">
                  <c:v>8.9999999999999993E-3</c:v>
                </c:pt>
                <c:pt idx="38">
                  <c:v>9.7000000000000003E-3</c:v>
                </c:pt>
                <c:pt idx="39">
                  <c:v>1.11E-2</c:v>
                </c:pt>
                <c:pt idx="40">
                  <c:v>1.0999999999999999E-2</c:v>
                </c:pt>
                <c:pt idx="41">
                  <c:v>1.1900000000000001E-2</c:v>
                </c:pt>
                <c:pt idx="42">
                  <c:v>1.2699999999999999E-2</c:v>
                </c:pt>
                <c:pt idx="43">
                  <c:v>1.32E-2</c:v>
                </c:pt>
                <c:pt idx="44">
                  <c:v>1.6299999999999999E-2</c:v>
                </c:pt>
                <c:pt idx="45">
                  <c:v>1.77E-2</c:v>
                </c:pt>
                <c:pt idx="46">
                  <c:v>1.6500000000000001E-2</c:v>
                </c:pt>
                <c:pt idx="47">
                  <c:v>1.47E-2</c:v>
                </c:pt>
                <c:pt idx="48">
                  <c:v>1.4999999999999999E-2</c:v>
                </c:pt>
                <c:pt idx="49">
                  <c:v>1.49E-2</c:v>
                </c:pt>
                <c:pt idx="50">
                  <c:v>1.35E-2</c:v>
                </c:pt>
                <c:pt idx="51">
                  <c:v>1.44E-2</c:v>
                </c:pt>
                <c:pt idx="52">
                  <c:v>1.47E-2</c:v>
                </c:pt>
                <c:pt idx="53">
                  <c:v>1.46E-2</c:v>
                </c:pt>
                <c:pt idx="54">
                  <c:v>1.4800000000000001E-2</c:v>
                </c:pt>
                <c:pt idx="55">
                  <c:v>1.72E-2</c:v>
                </c:pt>
              </c:numCache>
            </c:numRef>
          </c:val>
          <c:smooth val="0"/>
          <c:extLst>
            <c:ext xmlns:c16="http://schemas.microsoft.com/office/drawing/2014/chart" uri="{C3380CC4-5D6E-409C-BE32-E72D297353CC}">
              <c16:uniqueId val="{00000001-2FAA-42FF-B6B0-69E8CFB85496}"/>
            </c:ext>
          </c:extLst>
        </c:ser>
        <c:ser>
          <c:idx val="3"/>
          <c:order val="2"/>
          <c:tx>
            <c:v>Baseline PD</c:v>
          </c:tx>
          <c:spPr>
            <a:ln w="28575" cap="rnd">
              <a:solidFill>
                <a:schemeClr val="accent6"/>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SevAdv!$Y$24:$Y$102</c:f>
              <c:numCache>
                <c:formatCode>0.00%</c:formatCode>
                <c:ptCount val="79"/>
                <c:pt idx="0">
                  <c:v>1.005268582250836E-2</c:v>
                </c:pt>
                <c:pt idx="1">
                  <c:v>9.3092587811259928E-3</c:v>
                </c:pt>
                <c:pt idx="2">
                  <c:v>5.9055149364882998E-3</c:v>
                </c:pt>
                <c:pt idx="3">
                  <c:v>3.2299611760216156E-3</c:v>
                </c:pt>
                <c:pt idx="4">
                  <c:v>2.6932806546417602E-3</c:v>
                </c:pt>
                <c:pt idx="5">
                  <c:v>2.8933420277550605E-3</c:v>
                </c:pt>
                <c:pt idx="6">
                  <c:v>3.6210147213550973E-3</c:v>
                </c:pt>
                <c:pt idx="7">
                  <c:v>6.4445286149152998E-3</c:v>
                </c:pt>
                <c:pt idx="8">
                  <c:v>7.6598120500285709E-3</c:v>
                </c:pt>
                <c:pt idx="9">
                  <c:v>7.6796857189921977E-3</c:v>
                </c:pt>
                <c:pt idx="10">
                  <c:v>4.8255505531821941E-3</c:v>
                </c:pt>
                <c:pt idx="11">
                  <c:v>3.7213500168802797E-3</c:v>
                </c:pt>
                <c:pt idx="12">
                  <c:v>4.3729918316901756E-3</c:v>
                </c:pt>
                <c:pt idx="13">
                  <c:v>1.0186309897032715E-2</c:v>
                </c:pt>
                <c:pt idx="14">
                  <c:v>1.8020822786516972E-2</c:v>
                </c:pt>
                <c:pt idx="15">
                  <c:v>2.751687023959486E-2</c:v>
                </c:pt>
                <c:pt idx="16">
                  <c:v>3.4311818316382255E-2</c:v>
                </c:pt>
                <c:pt idx="17">
                  <c:v>3.9036611261556317E-2</c:v>
                </c:pt>
                <c:pt idx="18">
                  <c:v>4.1229380490736309E-2</c:v>
                </c:pt>
                <c:pt idx="19">
                  <c:v>3.728679001639193E-2</c:v>
                </c:pt>
                <c:pt idx="20">
                  <c:v>3.0554561574742029E-2</c:v>
                </c:pt>
                <c:pt idx="21">
                  <c:v>1.9343523628632023E-2</c:v>
                </c:pt>
                <c:pt idx="22">
                  <c:v>1.1527230191316408E-2</c:v>
                </c:pt>
                <c:pt idx="23">
                  <c:v>7.0552543917953127E-3</c:v>
                </c:pt>
                <c:pt idx="24">
                  <c:v>6.954869167530256E-3</c:v>
                </c:pt>
                <c:pt idx="25">
                  <c:v>1.0807738111918763E-2</c:v>
                </c:pt>
                <c:pt idx="26">
                  <c:v>1.6069223731860389E-2</c:v>
                </c:pt>
                <c:pt idx="27">
                  <c:v>2.0836579064532918E-2</c:v>
                </c:pt>
                <c:pt idx="28">
                  <c:v>2.2279128384694435E-2</c:v>
                </c:pt>
                <c:pt idx="29">
                  <c:v>2.2602141652068131E-2</c:v>
                </c:pt>
                <c:pt idx="30">
                  <c:v>1.956558301894298E-2</c:v>
                </c:pt>
                <c:pt idx="31">
                  <c:v>1.7991476711063589E-2</c:v>
                </c:pt>
                <c:pt idx="32">
                  <c:v>1.4887836149775869E-2</c:v>
                </c:pt>
                <c:pt idx="33">
                  <c:v>1.3432888390364084E-2</c:v>
                </c:pt>
                <c:pt idx="34">
                  <c:v>1.1415053724247358E-2</c:v>
                </c:pt>
                <c:pt idx="35">
                  <c:v>8.0265711035587429E-3</c:v>
                </c:pt>
                <c:pt idx="36">
                  <c:v>6.7940375676557351E-3</c:v>
                </c:pt>
                <c:pt idx="37">
                  <c:v>4.757389050909549E-3</c:v>
                </c:pt>
                <c:pt idx="38">
                  <c:v>4.9950823686325356E-3</c:v>
                </c:pt>
                <c:pt idx="39">
                  <c:v>5.3459242604099871E-3</c:v>
                </c:pt>
                <c:pt idx="40">
                  <c:v>6.8118737313433682E-3</c:v>
                </c:pt>
                <c:pt idx="41">
                  <c:v>7.6567263217478228E-3</c:v>
                </c:pt>
                <c:pt idx="42">
                  <c:v>8.9396021899594749E-3</c:v>
                </c:pt>
                <c:pt idx="43">
                  <c:v>8.203820198094517E-3</c:v>
                </c:pt>
                <c:pt idx="44">
                  <c:v>8.5625312627620777E-3</c:v>
                </c:pt>
                <c:pt idx="45">
                  <c:v>9.0128526678866158E-3</c:v>
                </c:pt>
                <c:pt idx="46">
                  <c:v>1.0993045928532763E-2</c:v>
                </c:pt>
                <c:pt idx="47">
                  <c:v>1.1674623499984648E-2</c:v>
                </c:pt>
                <c:pt idx="48">
                  <c:v>1.0175765853910364E-2</c:v>
                </c:pt>
                <c:pt idx="49">
                  <c:v>8.6588469890073998E-3</c:v>
                </c:pt>
                <c:pt idx="50">
                  <c:v>7.7523870059117428E-3</c:v>
                </c:pt>
                <c:pt idx="51">
                  <c:v>8.1292427223356931E-3</c:v>
                </c:pt>
                <c:pt idx="52">
                  <c:v>1.1124737380293072E-2</c:v>
                </c:pt>
                <c:pt idx="53">
                  <c:v>1.2584767824538675E-2</c:v>
                </c:pt>
                <c:pt idx="54">
                  <c:v>1.2761343491678179E-2</c:v>
                </c:pt>
                <c:pt idx="55">
                  <c:v>1.1552174871379781E-2</c:v>
                </c:pt>
                <c:pt idx="56">
                  <c:v>8.3252589978471819E-3</c:v>
                </c:pt>
                <c:pt idx="57">
                  <c:v>1.1048004958259243E-2</c:v>
                </c:pt>
                <c:pt idx="58">
                  <c:v>1.323960160120982E-2</c:v>
                </c:pt>
                <c:pt idx="59">
                  <c:v>1.6908507105499241E-2</c:v>
                </c:pt>
                <c:pt idx="60">
                  <c:v>2.1865571648508882E-2</c:v>
                </c:pt>
                <c:pt idx="61">
                  <c:v>2.7668190742982407E-2</c:v>
                </c:pt>
                <c:pt idx="62">
                  <c:v>1.6009522186072541E-2</c:v>
                </c:pt>
                <c:pt idx="68">
                  <c:v>1.6619885722213287E-2</c:v>
                </c:pt>
                <c:pt idx="69">
                  <c:v>1.7005410811341742E-2</c:v>
                </c:pt>
                <c:pt idx="70">
                  <c:v>1.5850994876553347E-2</c:v>
                </c:pt>
                <c:pt idx="71">
                  <c:v>2.4910126745656586E-2</c:v>
                </c:pt>
                <c:pt idx="72">
                  <c:v>3.2383029766720632E-2</c:v>
                </c:pt>
                <c:pt idx="73">
                  <c:v>3.7693559712584833E-2</c:v>
                </c:pt>
                <c:pt idx="74">
                  <c:v>2.2008219730969794E-2</c:v>
                </c:pt>
                <c:pt idx="75">
                  <c:v>1.6734692379586347E-2</c:v>
                </c:pt>
                <c:pt idx="76">
                  <c:v>1.182466356371124E-2</c:v>
                </c:pt>
              </c:numCache>
            </c:numRef>
          </c:val>
          <c:smooth val="0"/>
          <c:extLst>
            <c:ext xmlns:c16="http://schemas.microsoft.com/office/drawing/2014/chart" uri="{C3380CC4-5D6E-409C-BE32-E72D297353CC}">
              <c16:uniqueId val="{00000002-2FAA-42FF-B6B0-69E8CFB85496}"/>
            </c:ext>
          </c:extLst>
        </c:ser>
        <c:ser>
          <c:idx val="1"/>
          <c:order val="3"/>
          <c:tx>
            <c:v>Sev Adverse PD</c:v>
          </c:tx>
          <c:spPr>
            <a:ln w="28575" cap="rnd">
              <a:solidFill>
                <a:schemeClr val="accent2"/>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#REF!</c:f>
              <c:numCache>
                <c:formatCode>General</c:formatCode>
                <c:ptCount val="1"/>
                <c:pt idx="0">
                  <c:v>1</c:v>
                </c:pt>
              </c:numCache>
            </c:numRef>
          </c:val>
          <c:smooth val="0"/>
          <c:extLst>
            <c:ext xmlns:c16="http://schemas.microsoft.com/office/drawing/2014/chart" uri="{C3380CC4-5D6E-409C-BE32-E72D297353CC}">
              <c16:uniqueId val="{00000003-2FAA-42FF-B6B0-69E8CFB85496}"/>
            </c:ext>
          </c:extLst>
        </c:ser>
        <c:ser>
          <c:idx val="4"/>
          <c:order val="4"/>
          <c:tx>
            <c:v>Final Weighted PD</c:v>
          </c:tx>
          <c:spPr>
            <a:ln w="28575" cap="rnd">
              <a:solidFill>
                <a:srgbClr val="7030A0"/>
              </a:solidFill>
              <a:round/>
            </a:ln>
            <a:effectLst/>
          </c:spPr>
          <c:marker>
            <c:symbol val="none"/>
          </c:marker>
          <c:cat>
            <c:strRef>
              <c:f>SevAdv!$B$24:$B$102</c:f>
              <c:strCache>
                <c:ptCount val="77"/>
                <c:pt idx="0">
                  <c:v>2005 Q1</c:v>
                </c:pt>
                <c:pt idx="1">
                  <c:v>2005 Q2</c:v>
                </c:pt>
                <c:pt idx="2">
                  <c:v>2005 Q3</c:v>
                </c:pt>
                <c:pt idx="3">
                  <c:v>2005 Q4</c:v>
                </c:pt>
                <c:pt idx="4">
                  <c:v>2006 Q1</c:v>
                </c:pt>
                <c:pt idx="5">
                  <c:v>2006 Q2</c:v>
                </c:pt>
                <c:pt idx="6">
                  <c:v>2006 Q3</c:v>
                </c:pt>
                <c:pt idx="7">
                  <c:v>2006 Q4</c:v>
                </c:pt>
                <c:pt idx="8">
                  <c:v>2007 Q1</c:v>
                </c:pt>
                <c:pt idx="9">
                  <c:v>2007 Q2</c:v>
                </c:pt>
                <c:pt idx="10">
                  <c:v>2007 Q3</c:v>
                </c:pt>
                <c:pt idx="11">
                  <c:v>2007 Q4</c:v>
                </c:pt>
                <c:pt idx="12">
                  <c:v>2008 Q1</c:v>
                </c:pt>
                <c:pt idx="13">
                  <c:v>2008 Q2</c:v>
                </c:pt>
                <c:pt idx="14">
                  <c:v>2008 Q3</c:v>
                </c:pt>
                <c:pt idx="15">
                  <c:v>2008 Q4</c:v>
                </c:pt>
                <c:pt idx="16">
                  <c:v>2009 Q1</c:v>
                </c:pt>
                <c:pt idx="17">
                  <c:v>2009 Q2</c:v>
                </c:pt>
                <c:pt idx="18">
                  <c:v>2009 Q3</c:v>
                </c:pt>
                <c:pt idx="19">
                  <c:v>2009 Q4</c:v>
                </c:pt>
                <c:pt idx="20">
                  <c:v>2010 Q1</c:v>
                </c:pt>
                <c:pt idx="21">
                  <c:v>2010 Q2</c:v>
                </c:pt>
                <c:pt idx="22">
                  <c:v>2010 Q3</c:v>
                </c:pt>
                <c:pt idx="23">
                  <c:v>2010 Q4</c:v>
                </c:pt>
                <c:pt idx="24">
                  <c:v>2011 Q1</c:v>
                </c:pt>
                <c:pt idx="25">
                  <c:v>2011 Q2</c:v>
                </c:pt>
                <c:pt idx="26">
                  <c:v>2011 Q3</c:v>
                </c:pt>
                <c:pt idx="27">
                  <c:v>2011 Q4</c:v>
                </c:pt>
                <c:pt idx="28">
                  <c:v>2012 Q1</c:v>
                </c:pt>
                <c:pt idx="29">
                  <c:v>2012 Q2</c:v>
                </c:pt>
                <c:pt idx="30">
                  <c:v>2012 Q3</c:v>
                </c:pt>
                <c:pt idx="31">
                  <c:v>2012 Q4</c:v>
                </c:pt>
                <c:pt idx="32">
                  <c:v>2013 Q1</c:v>
                </c:pt>
                <c:pt idx="33">
                  <c:v>2013 Q2</c:v>
                </c:pt>
                <c:pt idx="34">
                  <c:v>2013 Q3</c:v>
                </c:pt>
                <c:pt idx="35">
                  <c:v>2013 Q4</c:v>
                </c:pt>
                <c:pt idx="36">
                  <c:v>2014 Q1</c:v>
                </c:pt>
                <c:pt idx="37">
                  <c:v>2014 Q2</c:v>
                </c:pt>
                <c:pt idx="38">
                  <c:v>2014 Q3</c:v>
                </c:pt>
                <c:pt idx="39">
                  <c:v>2014 Q4</c:v>
                </c:pt>
                <c:pt idx="40">
                  <c:v>2015 Q1</c:v>
                </c:pt>
                <c:pt idx="41">
                  <c:v>2015 Q2</c:v>
                </c:pt>
                <c:pt idx="42">
                  <c:v>2015 Q3</c:v>
                </c:pt>
                <c:pt idx="43">
                  <c:v>2015 Q4</c:v>
                </c:pt>
                <c:pt idx="44">
                  <c:v>2016 Q1</c:v>
                </c:pt>
                <c:pt idx="45">
                  <c:v>2016 Q2</c:v>
                </c:pt>
                <c:pt idx="46">
                  <c:v>2016 Q3</c:v>
                </c:pt>
                <c:pt idx="47">
                  <c:v>2016 Q4</c:v>
                </c:pt>
                <c:pt idx="48">
                  <c:v>2017 Q1</c:v>
                </c:pt>
                <c:pt idx="49">
                  <c:v>2017 Q2</c:v>
                </c:pt>
                <c:pt idx="50">
                  <c:v>2017 Q3</c:v>
                </c:pt>
                <c:pt idx="51">
                  <c:v>2017 Q4</c:v>
                </c:pt>
                <c:pt idx="52">
                  <c:v>2018 Q1</c:v>
                </c:pt>
                <c:pt idx="53">
                  <c:v>2018 Q2</c:v>
                </c:pt>
                <c:pt idx="54">
                  <c:v>2018 Q3</c:v>
                </c:pt>
                <c:pt idx="55">
                  <c:v>2018 Q4</c:v>
                </c:pt>
                <c:pt idx="56">
                  <c:v>2019 Q1</c:v>
                </c:pt>
                <c:pt idx="57">
                  <c:v>2019 Q2</c:v>
                </c:pt>
                <c:pt idx="58">
                  <c:v>2019 Q3</c:v>
                </c:pt>
                <c:pt idx="59">
                  <c:v>2019 Q4</c:v>
                </c:pt>
                <c:pt idx="60">
                  <c:v>2020 Q1</c:v>
                </c:pt>
                <c:pt idx="61">
                  <c:v>2020 Q2</c:v>
                </c:pt>
                <c:pt idx="62">
                  <c:v>2020 Q3</c:v>
                </c:pt>
                <c:pt idx="63">
                  <c:v>2020 Q4</c:v>
                </c:pt>
                <c:pt idx="64">
                  <c:v>2021 Q1</c:v>
                </c:pt>
                <c:pt idx="65">
                  <c:v>2021 Q2</c:v>
                </c:pt>
                <c:pt idx="66">
                  <c:v>2021 Q3</c:v>
                </c:pt>
                <c:pt idx="67">
                  <c:v>2021 Q4</c:v>
                </c:pt>
                <c:pt idx="68">
                  <c:v>2022 Q1</c:v>
                </c:pt>
                <c:pt idx="69">
                  <c:v>2022 Q2</c:v>
                </c:pt>
                <c:pt idx="70">
                  <c:v>2022 Q3</c:v>
                </c:pt>
                <c:pt idx="71">
                  <c:v>2022 Q4</c:v>
                </c:pt>
                <c:pt idx="72">
                  <c:v>2023 Q1</c:v>
                </c:pt>
                <c:pt idx="73">
                  <c:v>2024 Q1</c:v>
                </c:pt>
                <c:pt idx="74">
                  <c:v>2025 Q1</c:v>
                </c:pt>
                <c:pt idx="75">
                  <c:v>2026 Q1</c:v>
                </c:pt>
                <c:pt idx="76">
                  <c:v>2027 Q1</c:v>
                </c:pt>
              </c:strCache>
            </c:strRef>
          </c:cat>
          <c:val>
            <c:numRef>
              <c:f>SevAdv!$X$24:$X$102</c:f>
              <c:numCache>
                <c:formatCode>0.00%</c:formatCode>
                <c:ptCount val="79"/>
                <c:pt idx="0">
                  <c:v>1.005268582250836E-2</c:v>
                </c:pt>
                <c:pt idx="1">
                  <c:v>9.3092587811259928E-3</c:v>
                </c:pt>
                <c:pt idx="2">
                  <c:v>5.9055149364882998E-3</c:v>
                </c:pt>
                <c:pt idx="3">
                  <c:v>3.2299611760216156E-3</c:v>
                </c:pt>
                <c:pt idx="4">
                  <c:v>2.6932806546417602E-3</c:v>
                </c:pt>
                <c:pt idx="5">
                  <c:v>2.8933420277550605E-3</c:v>
                </c:pt>
                <c:pt idx="6">
                  <c:v>3.6210147213550973E-3</c:v>
                </c:pt>
                <c:pt idx="7">
                  <c:v>6.4445286149152998E-3</c:v>
                </c:pt>
                <c:pt idx="8">
                  <c:v>7.6598120500285709E-3</c:v>
                </c:pt>
                <c:pt idx="9">
                  <c:v>7.6796857189921977E-3</c:v>
                </c:pt>
                <c:pt idx="10">
                  <c:v>4.8255505531821941E-3</c:v>
                </c:pt>
                <c:pt idx="11">
                  <c:v>3.7213500168802797E-3</c:v>
                </c:pt>
                <c:pt idx="12">
                  <c:v>4.3729918316901756E-3</c:v>
                </c:pt>
                <c:pt idx="13">
                  <c:v>1.0186309897032715E-2</c:v>
                </c:pt>
                <c:pt idx="14">
                  <c:v>1.8020822786516972E-2</c:v>
                </c:pt>
                <c:pt idx="15">
                  <c:v>2.751687023959486E-2</c:v>
                </c:pt>
                <c:pt idx="16">
                  <c:v>3.4311818316382255E-2</c:v>
                </c:pt>
                <c:pt idx="17">
                  <c:v>3.9036611261556317E-2</c:v>
                </c:pt>
                <c:pt idx="18">
                  <c:v>4.1229380490736309E-2</c:v>
                </c:pt>
                <c:pt idx="19">
                  <c:v>3.728679001639193E-2</c:v>
                </c:pt>
                <c:pt idx="20">
                  <c:v>3.0554561574742029E-2</c:v>
                </c:pt>
                <c:pt idx="21">
                  <c:v>1.9343523628632023E-2</c:v>
                </c:pt>
                <c:pt idx="22">
                  <c:v>1.1527230191316408E-2</c:v>
                </c:pt>
                <c:pt idx="23">
                  <c:v>7.0552543917953127E-3</c:v>
                </c:pt>
                <c:pt idx="24">
                  <c:v>6.954869167530256E-3</c:v>
                </c:pt>
                <c:pt idx="25">
                  <c:v>1.0807738111918763E-2</c:v>
                </c:pt>
                <c:pt idx="26">
                  <c:v>1.6069223731860389E-2</c:v>
                </c:pt>
                <c:pt idx="27">
                  <c:v>2.0836579064532918E-2</c:v>
                </c:pt>
                <c:pt idx="28">
                  <c:v>2.2279128384694435E-2</c:v>
                </c:pt>
                <c:pt idx="29">
                  <c:v>2.2602141652068131E-2</c:v>
                </c:pt>
                <c:pt idx="30">
                  <c:v>1.956558301894298E-2</c:v>
                </c:pt>
                <c:pt idx="31">
                  <c:v>1.7991476711063589E-2</c:v>
                </c:pt>
                <c:pt idx="32">
                  <c:v>1.4887836149775869E-2</c:v>
                </c:pt>
                <c:pt idx="33">
                  <c:v>1.3432888390364084E-2</c:v>
                </c:pt>
                <c:pt idx="34">
                  <c:v>1.1415053724247358E-2</c:v>
                </c:pt>
                <c:pt idx="35">
                  <c:v>8.0265711035587429E-3</c:v>
                </c:pt>
                <c:pt idx="36">
                  <c:v>6.7940375676557351E-3</c:v>
                </c:pt>
                <c:pt idx="37">
                  <c:v>4.757389050909549E-3</c:v>
                </c:pt>
                <c:pt idx="38">
                  <c:v>4.9950823686325356E-3</c:v>
                </c:pt>
                <c:pt idx="39">
                  <c:v>5.3459242604099871E-3</c:v>
                </c:pt>
                <c:pt idx="40">
                  <c:v>6.8118737313433682E-3</c:v>
                </c:pt>
                <c:pt idx="41">
                  <c:v>7.6567263217478228E-3</c:v>
                </c:pt>
                <c:pt idx="42">
                  <c:v>8.9396021899594749E-3</c:v>
                </c:pt>
                <c:pt idx="43">
                  <c:v>8.203820198094517E-3</c:v>
                </c:pt>
                <c:pt idx="44">
                  <c:v>8.5625312627620777E-3</c:v>
                </c:pt>
                <c:pt idx="45">
                  <c:v>9.0128526678866158E-3</c:v>
                </c:pt>
                <c:pt idx="46">
                  <c:v>1.0993045928532763E-2</c:v>
                </c:pt>
                <c:pt idx="47">
                  <c:v>1.1674623499984648E-2</c:v>
                </c:pt>
                <c:pt idx="48">
                  <c:v>1.0175765853910364E-2</c:v>
                </c:pt>
                <c:pt idx="49">
                  <c:v>8.6588469890073998E-3</c:v>
                </c:pt>
                <c:pt idx="50">
                  <c:v>7.7523870059117428E-3</c:v>
                </c:pt>
                <c:pt idx="51">
                  <c:v>8.1292427223356931E-3</c:v>
                </c:pt>
                <c:pt idx="52">
                  <c:v>1.1124737380293072E-2</c:v>
                </c:pt>
                <c:pt idx="53">
                  <c:v>1.2584767824538675E-2</c:v>
                </c:pt>
                <c:pt idx="54">
                  <c:v>1.2761343491678179E-2</c:v>
                </c:pt>
                <c:pt idx="55">
                  <c:v>1.1552174871379781E-2</c:v>
                </c:pt>
                <c:pt idx="56">
                  <c:v>0</c:v>
                </c:pt>
                <c:pt idx="57">
                  <c:v>0</c:v>
                </c:pt>
                <c:pt idx="58">
                  <c:v>0</c:v>
                </c:pt>
                <c:pt idx="59">
                  <c:v>0</c:v>
                </c:pt>
                <c:pt idx="60">
                  <c:v>0</c:v>
                </c:pt>
                <c:pt idx="61">
                  <c:v>0</c:v>
                </c:pt>
                <c:pt idx="62">
                  <c:v>0</c:v>
                </c:pt>
                <c:pt idx="68">
                  <c:v>0</c:v>
                </c:pt>
                <c:pt idx="69">
                  <c:v>0</c:v>
                </c:pt>
                <c:pt idx="70">
                  <c:v>0</c:v>
                </c:pt>
                <c:pt idx="71">
                  <c:v>0</c:v>
                </c:pt>
                <c:pt idx="72">
                  <c:v>0</c:v>
                </c:pt>
                <c:pt idx="73">
                  <c:v>0</c:v>
                </c:pt>
                <c:pt idx="74">
                  <c:v>0</c:v>
                </c:pt>
                <c:pt idx="75">
                  <c:v>0</c:v>
                </c:pt>
                <c:pt idx="76">
                  <c:v>0</c:v>
                </c:pt>
              </c:numCache>
            </c:numRef>
          </c:val>
          <c:smooth val="0"/>
          <c:extLst>
            <c:ext xmlns:c16="http://schemas.microsoft.com/office/drawing/2014/chart" uri="{C3380CC4-5D6E-409C-BE32-E72D297353CC}">
              <c16:uniqueId val="{00000004-2FAA-42FF-B6B0-69E8CFB85496}"/>
            </c:ext>
          </c:extLst>
        </c:ser>
        <c:dLbls>
          <c:showLegendKey val="0"/>
          <c:showVal val="0"/>
          <c:showCatName val="0"/>
          <c:showSerName val="0"/>
          <c:showPercent val="0"/>
          <c:showBubbleSize val="0"/>
        </c:dLbls>
        <c:smooth val="0"/>
        <c:axId val="1462917680"/>
        <c:axId val="103544928"/>
      </c:lineChart>
      <c:catAx>
        <c:axId val="14629176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544928"/>
        <c:crosses val="autoZero"/>
        <c:auto val="1"/>
        <c:lblAlgn val="ctr"/>
        <c:lblOffset val="100"/>
        <c:noMultiLvlLbl val="0"/>
      </c:catAx>
      <c:valAx>
        <c:axId val="103544928"/>
        <c:scaling>
          <c:orientation val="minMax"/>
          <c:max val="8.0000000000000016E-2"/>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29176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title>
      <c:tx>
        <c:rich>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r>
              <a:rPr lang="en-US" sz="1200"/>
              <a:t>Moody's</a:t>
            </a:r>
            <a:r>
              <a:rPr lang="en-US" sz="1200" baseline="0"/>
              <a:t> VS ON - GODFREY CONSTRUCTION (LONDON) LTD</a:t>
            </a:r>
            <a:endParaRPr lang="en-US" sz="1200"/>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'Summary - PD'!$I$2</c:f>
              <c:strCache>
                <c:ptCount val="1"/>
                <c:pt idx="0">
                  <c:v>Moody's Quant</c:v>
                </c:pt>
              </c:strCache>
            </c:strRef>
          </c:tx>
          <c:spPr>
            <a:ln w="28575" cap="rnd">
              <a:solidFill>
                <a:schemeClr val="accent6">
                  <a:shade val="65000"/>
                </a:schemeClr>
              </a:solidFill>
              <a:round/>
            </a:ln>
            <a:effectLst/>
          </c:spPr>
          <c:marker>
            <c:symbol val="none"/>
          </c:marker>
          <c:dLbls>
            <c:dLbl>
              <c:idx val="0"/>
              <c:layout>
                <c:manualLayout>
                  <c:x val="-8.2096296216306278E-2"/>
                  <c:y val="-5.013853922626430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FC2A-4268-89AB-2B1CFE77B3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 PD'!$AA$36:$AE$36</c:f>
              <c:numCache>
                <c:formatCode>0.00%</c:formatCode>
                <c:ptCount val="5"/>
                <c:pt idx="0">
                  <c:v>0.12889999999999999</c:v>
                </c:pt>
                <c:pt idx="1">
                  <c:v>0.215</c:v>
                </c:pt>
                <c:pt idx="2">
                  <c:v>0.28570000000000001</c:v>
                </c:pt>
                <c:pt idx="3">
                  <c:v>0.34610000000000002</c:v>
                </c:pt>
                <c:pt idx="4">
                  <c:v>0.39889999999999998</c:v>
                </c:pt>
              </c:numCache>
            </c:numRef>
          </c:val>
          <c:smooth val="0"/>
          <c:extLst>
            <c:ext xmlns:c16="http://schemas.microsoft.com/office/drawing/2014/chart" uri="{C3380CC4-5D6E-409C-BE32-E72D297353CC}">
              <c16:uniqueId val="{00000000-FC2A-4268-89AB-2B1CFE77B35B}"/>
            </c:ext>
          </c:extLst>
        </c:ser>
        <c:ser>
          <c:idx val="1"/>
          <c:order val="1"/>
          <c:tx>
            <c:strRef>
              <c:f>'Summary - PD'!$I$3</c:f>
              <c:strCache>
                <c:ptCount val="1"/>
                <c:pt idx="0">
                  <c:v>Moody's Qual Adj</c:v>
                </c:pt>
              </c:strCache>
            </c:strRef>
          </c:tx>
          <c:spPr>
            <a:ln w="28575" cap="rnd">
              <a:solidFill>
                <a:schemeClr val="accent6"/>
              </a:solidFill>
              <a:round/>
            </a:ln>
            <a:effectLst/>
          </c:spPr>
          <c:marker>
            <c:symbol val="none"/>
          </c:marker>
          <c:dLbls>
            <c:dLbl>
              <c:idx val="0"/>
              <c:layout>
                <c:manualLayout>
                  <c:x val="-9.7629695678533357E-2"/>
                  <c:y val="2.710954402499864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FC2A-4268-89AB-2B1CFE77B35B}"/>
                </c:ext>
              </c:extLst>
            </c:dLbl>
            <c:dLbl>
              <c:idx val="1"/>
              <c:layout>
                <c:manualLayout>
                  <c:x val="-1.1869433983142743E-2"/>
                  <c:y val="9.35780086911822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02A1-4CDB-9927-787A64569309}"/>
                </c:ext>
              </c:extLst>
            </c:dLbl>
            <c:dLbl>
              <c:idx val="2"/>
              <c:layout>
                <c:manualLayout>
                  <c:x val="-9.4955471865142294E-3"/>
                  <c:y val="8.256883119810186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2A1-4CDB-9927-787A64569309}"/>
                </c:ext>
              </c:extLst>
            </c:dLbl>
            <c:dLbl>
              <c:idx val="3"/>
              <c:layout>
                <c:manualLayout>
                  <c:x val="8.7041510365425151E-17"/>
                  <c:y val="6.605506495848152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2A1-4CDB-9927-787A6456930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 PD'!$AA$23:$AE$23</c:f>
              <c:numCache>
                <c:formatCode>0.00%</c:formatCode>
                <c:ptCount val="5"/>
                <c:pt idx="0">
                  <c:v>7.2956455365388376E-2</c:v>
                </c:pt>
                <c:pt idx="1">
                  <c:v>0.12168842438757566</c:v>
                </c:pt>
                <c:pt idx="2">
                  <c:v>0.16170410626758311</c:v>
                </c:pt>
                <c:pt idx="3">
                  <c:v>0.1958900636304183</c:v>
                </c:pt>
                <c:pt idx="4">
                  <c:v>0.2257744766893206</c:v>
                </c:pt>
              </c:numCache>
            </c:numRef>
          </c:val>
          <c:smooth val="0"/>
          <c:extLst>
            <c:ext xmlns:c16="http://schemas.microsoft.com/office/drawing/2014/chart" uri="{C3380CC4-5D6E-409C-BE32-E72D297353CC}">
              <c16:uniqueId val="{00000001-FC2A-4268-89AB-2B1CFE77B35B}"/>
            </c:ext>
          </c:extLst>
        </c:ser>
        <c:ser>
          <c:idx val="2"/>
          <c:order val="2"/>
          <c:tx>
            <c:strRef>
              <c:f>'Summary - PD'!$I$4</c:f>
              <c:strCache>
                <c:ptCount val="1"/>
                <c:pt idx="0">
                  <c:v>ON PD</c:v>
                </c:pt>
              </c:strCache>
            </c:strRef>
          </c:tx>
          <c:spPr>
            <a:ln w="28575" cap="rnd">
              <a:solidFill>
                <a:schemeClr val="accent6">
                  <a:tint val="65000"/>
                </a:schemeClr>
              </a:solidFill>
              <a:round/>
            </a:ln>
            <a:effectLst/>
          </c:spPr>
          <c:marker>
            <c:symbol val="none"/>
          </c:marker>
          <c:dLbls>
            <c:dLbl>
              <c:idx val="0"/>
              <c:layout>
                <c:manualLayout>
                  <c:x val="-8.4594178908996662E-2"/>
                  <c:y val="-2.63323499830630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FC2A-4268-89AB-2B1CFE77B35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 - PD'!$AA$22:$AE$22</c:f>
              <c:numCache>
                <c:formatCode>0.00%</c:formatCode>
                <c:ptCount val="5"/>
                <c:pt idx="0">
                  <c:v>0.08</c:v>
                </c:pt>
                <c:pt idx="1">
                  <c:v>0.08</c:v>
                </c:pt>
                <c:pt idx="2">
                  <c:v>0.08</c:v>
                </c:pt>
                <c:pt idx="3">
                  <c:v>0.08</c:v>
                </c:pt>
                <c:pt idx="4">
                  <c:v>0.08</c:v>
                </c:pt>
              </c:numCache>
            </c:numRef>
          </c:val>
          <c:smooth val="0"/>
          <c:extLst>
            <c:ext xmlns:c16="http://schemas.microsoft.com/office/drawing/2014/chart" uri="{C3380CC4-5D6E-409C-BE32-E72D297353CC}">
              <c16:uniqueId val="{00000002-FC2A-4268-89AB-2B1CFE77B35B}"/>
            </c:ext>
          </c:extLst>
        </c:ser>
        <c:dLbls>
          <c:showLegendKey val="0"/>
          <c:showVal val="0"/>
          <c:showCatName val="0"/>
          <c:showSerName val="0"/>
          <c:showPercent val="0"/>
          <c:showBubbleSize val="0"/>
        </c:dLbls>
        <c:smooth val="0"/>
        <c:axId val="2098611072"/>
        <c:axId val="1923200400"/>
      </c:lineChart>
      <c:catAx>
        <c:axId val="2098611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3200400"/>
        <c:crosses val="autoZero"/>
        <c:auto val="1"/>
        <c:lblAlgn val="ctr"/>
        <c:lblOffset val="100"/>
        <c:noMultiLvlLbl val="0"/>
      </c:catAx>
      <c:valAx>
        <c:axId val="192320040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86110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26</xdr:col>
      <xdr:colOff>0</xdr:colOff>
      <xdr:row>48</xdr:row>
      <xdr:rowOff>0</xdr:rowOff>
    </xdr:from>
    <xdr:to>
      <xdr:col>31</xdr:col>
      <xdr:colOff>395346</xdr:colOff>
      <xdr:row>62</xdr:row>
      <xdr:rowOff>66332</xdr:rowOff>
    </xdr:to>
    <xdr:pic>
      <xdr:nvPicPr>
        <xdr:cNvPr id="3" name="Picture 2">
          <a:extLst>
            <a:ext uri="{FF2B5EF4-FFF2-40B4-BE49-F238E27FC236}">
              <a16:creationId xmlns:a16="http://schemas.microsoft.com/office/drawing/2014/main" id="{373DE39A-8E2E-49F6-8AD8-A81E3CE559A5}"/>
            </a:ext>
          </a:extLst>
        </xdr:cNvPr>
        <xdr:cNvPicPr>
          <a:picLocks noChangeAspect="1"/>
        </xdr:cNvPicPr>
      </xdr:nvPicPr>
      <xdr:blipFill>
        <a:blip xmlns:r="http://schemas.openxmlformats.org/officeDocument/2006/relationships" r:embed="rId1"/>
        <a:stretch>
          <a:fillRect/>
        </a:stretch>
      </xdr:blipFill>
      <xdr:spPr>
        <a:xfrm>
          <a:off x="13462000" y="1905000"/>
          <a:ext cx="3771429" cy="2733333"/>
        </a:xfrm>
        <a:prstGeom prst="rect">
          <a:avLst/>
        </a:prstGeom>
      </xdr:spPr>
    </xdr:pic>
    <xdr:clientData/>
  </xdr:twoCellAnchor>
  <xdr:twoCellAnchor editAs="oneCell">
    <xdr:from>
      <xdr:col>32</xdr:col>
      <xdr:colOff>0</xdr:colOff>
      <xdr:row>4</xdr:row>
      <xdr:rowOff>0</xdr:rowOff>
    </xdr:from>
    <xdr:to>
      <xdr:col>38</xdr:col>
      <xdr:colOff>164619</xdr:colOff>
      <xdr:row>27</xdr:row>
      <xdr:rowOff>138000</xdr:rowOff>
    </xdr:to>
    <xdr:pic>
      <xdr:nvPicPr>
        <xdr:cNvPr id="4" name="Picture 3">
          <a:extLst>
            <a:ext uri="{FF2B5EF4-FFF2-40B4-BE49-F238E27FC236}">
              <a16:creationId xmlns:a16="http://schemas.microsoft.com/office/drawing/2014/main" id="{025998B2-F6CB-4194-AA1D-0E2F8111E274}"/>
            </a:ext>
          </a:extLst>
        </xdr:cNvPr>
        <xdr:cNvPicPr>
          <a:picLocks noChangeAspect="1"/>
        </xdr:cNvPicPr>
      </xdr:nvPicPr>
      <xdr:blipFill>
        <a:blip xmlns:r="http://schemas.openxmlformats.org/officeDocument/2006/relationships" r:embed="rId2"/>
        <a:stretch>
          <a:fillRect/>
        </a:stretch>
      </xdr:blipFill>
      <xdr:spPr>
        <a:xfrm>
          <a:off x="17451917" y="762000"/>
          <a:ext cx="3847619" cy="51333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259913</xdr:colOff>
      <xdr:row>20</xdr:row>
      <xdr:rowOff>92642</xdr:rowOff>
    </xdr:to>
    <xdr:pic>
      <xdr:nvPicPr>
        <xdr:cNvPr id="2" name="Picture 1">
          <a:extLst>
            <a:ext uri="{FF2B5EF4-FFF2-40B4-BE49-F238E27FC236}">
              <a16:creationId xmlns:a16="http://schemas.microsoft.com/office/drawing/2014/main" id="{0C9F096F-F9A4-4446-98FA-B9406A28A9D6}"/>
            </a:ext>
          </a:extLst>
        </xdr:cNvPr>
        <xdr:cNvPicPr>
          <a:picLocks noChangeAspect="1"/>
        </xdr:cNvPicPr>
      </xdr:nvPicPr>
      <xdr:blipFill>
        <a:blip xmlns:r="http://schemas.openxmlformats.org/officeDocument/2006/relationships" r:embed="rId1"/>
        <a:stretch>
          <a:fillRect/>
        </a:stretch>
      </xdr:blipFill>
      <xdr:spPr>
        <a:xfrm>
          <a:off x="0" y="0"/>
          <a:ext cx="9403913" cy="3775642"/>
        </a:xfrm>
        <a:prstGeom prst="rect">
          <a:avLst/>
        </a:prstGeom>
      </xdr:spPr>
    </xdr:pic>
    <xdr:clientData/>
  </xdr:twoCellAnchor>
  <xdr:oneCellAnchor>
    <xdr:from>
      <xdr:col>7</xdr:col>
      <xdr:colOff>562258</xdr:colOff>
      <xdr:row>24</xdr:row>
      <xdr:rowOff>63052</xdr:rowOff>
    </xdr:from>
    <xdr:ext cx="7890296" cy="2222948"/>
    <xdr:pic>
      <xdr:nvPicPr>
        <xdr:cNvPr id="3" name="Picture 2">
          <a:extLst>
            <a:ext uri="{FF2B5EF4-FFF2-40B4-BE49-F238E27FC236}">
              <a16:creationId xmlns:a16="http://schemas.microsoft.com/office/drawing/2014/main" id="{5101FFCE-64D0-4C0E-B229-07B1F3967A3E}"/>
            </a:ext>
          </a:extLst>
        </xdr:cNvPr>
        <xdr:cNvPicPr>
          <a:picLocks noChangeAspect="1"/>
        </xdr:cNvPicPr>
      </xdr:nvPicPr>
      <xdr:blipFill>
        <a:blip xmlns:r="http://schemas.openxmlformats.org/officeDocument/2006/relationships" r:embed="rId2"/>
        <a:stretch>
          <a:fillRect/>
        </a:stretch>
      </xdr:blipFill>
      <xdr:spPr>
        <a:xfrm>
          <a:off x="5724808" y="10985052"/>
          <a:ext cx="7890296" cy="2222948"/>
        </a:xfrm>
        <a:prstGeom prst="rect">
          <a:avLst/>
        </a:prstGeom>
      </xdr:spPr>
    </xdr:pic>
    <xdr:clientData/>
  </xdr:oneCellAnchor>
  <xdr:oneCellAnchor>
    <xdr:from>
      <xdr:col>0</xdr:col>
      <xdr:colOff>275168</xdr:colOff>
      <xdr:row>41</xdr:row>
      <xdr:rowOff>84667</xdr:rowOff>
    </xdr:from>
    <xdr:ext cx="8295635" cy="4719756"/>
    <xdr:pic>
      <xdr:nvPicPr>
        <xdr:cNvPr id="4" name="Picture 3">
          <a:extLst>
            <a:ext uri="{FF2B5EF4-FFF2-40B4-BE49-F238E27FC236}">
              <a16:creationId xmlns:a16="http://schemas.microsoft.com/office/drawing/2014/main" id="{CB0F794A-3689-4CB7-9006-9338DD5FA6E4}"/>
            </a:ext>
          </a:extLst>
        </xdr:cNvPr>
        <xdr:cNvPicPr>
          <a:picLocks noChangeAspect="1"/>
        </xdr:cNvPicPr>
      </xdr:nvPicPr>
      <xdr:blipFill>
        <a:blip xmlns:r="http://schemas.openxmlformats.org/officeDocument/2006/relationships" r:embed="rId3"/>
        <a:stretch>
          <a:fillRect/>
        </a:stretch>
      </xdr:blipFill>
      <xdr:spPr>
        <a:xfrm>
          <a:off x="275168" y="14137217"/>
          <a:ext cx="8295635" cy="4719756"/>
        </a:xfrm>
        <a:prstGeom prst="rect">
          <a:avLst/>
        </a:prstGeom>
      </xdr:spPr>
    </xdr:pic>
    <xdr:clientData/>
  </xdr:oneCellAnchor>
  <xdr:oneCellAnchor>
    <xdr:from>
      <xdr:col>11</xdr:col>
      <xdr:colOff>455084</xdr:colOff>
      <xdr:row>40</xdr:row>
      <xdr:rowOff>179917</xdr:rowOff>
    </xdr:from>
    <xdr:ext cx="7461043" cy="4664174"/>
    <xdr:pic>
      <xdr:nvPicPr>
        <xdr:cNvPr id="5" name="Picture 4">
          <a:extLst>
            <a:ext uri="{FF2B5EF4-FFF2-40B4-BE49-F238E27FC236}">
              <a16:creationId xmlns:a16="http://schemas.microsoft.com/office/drawing/2014/main" id="{3C44124D-ADA7-43D2-B674-004C8930C7AC}"/>
            </a:ext>
          </a:extLst>
        </xdr:cNvPr>
        <xdr:cNvPicPr>
          <a:picLocks noChangeAspect="1"/>
        </xdr:cNvPicPr>
      </xdr:nvPicPr>
      <xdr:blipFill>
        <a:blip xmlns:r="http://schemas.openxmlformats.org/officeDocument/2006/relationships" r:embed="rId4"/>
        <a:stretch>
          <a:fillRect/>
        </a:stretch>
      </xdr:blipFill>
      <xdr:spPr>
        <a:xfrm>
          <a:off x="8906934" y="14048317"/>
          <a:ext cx="7461043" cy="4664174"/>
        </a:xfrm>
        <a:prstGeom prst="rect">
          <a:avLst/>
        </a:prstGeom>
      </xdr:spPr>
    </xdr:pic>
    <xdr:clientData/>
  </xdr:oneCellAnchor>
  <xdr:oneCellAnchor>
    <xdr:from>
      <xdr:col>1</xdr:col>
      <xdr:colOff>0</xdr:colOff>
      <xdr:row>78</xdr:row>
      <xdr:rowOff>0</xdr:rowOff>
    </xdr:from>
    <xdr:ext cx="8692446" cy="3792222"/>
    <xdr:pic>
      <xdr:nvPicPr>
        <xdr:cNvPr id="6" name="Picture 5">
          <a:extLst>
            <a:ext uri="{FF2B5EF4-FFF2-40B4-BE49-F238E27FC236}">
              <a16:creationId xmlns:a16="http://schemas.microsoft.com/office/drawing/2014/main" id="{201C4C67-4A3F-4DBF-A96B-5C0253B45ECB}"/>
            </a:ext>
          </a:extLst>
        </xdr:cNvPr>
        <xdr:cNvPicPr>
          <a:picLocks noChangeAspect="1"/>
        </xdr:cNvPicPr>
      </xdr:nvPicPr>
      <xdr:blipFill>
        <a:blip xmlns:r="http://schemas.openxmlformats.org/officeDocument/2006/relationships" r:embed="rId5"/>
        <a:stretch>
          <a:fillRect/>
        </a:stretch>
      </xdr:blipFill>
      <xdr:spPr>
        <a:xfrm>
          <a:off x="457200" y="20866100"/>
          <a:ext cx="8692446" cy="3792222"/>
        </a:xfrm>
        <a:prstGeom prst="rect">
          <a:avLst/>
        </a:prstGeom>
      </xdr:spPr>
    </xdr:pic>
    <xdr:clientData/>
  </xdr:oneCellAnchor>
  <xdr:oneCellAnchor>
    <xdr:from>
      <xdr:col>1</xdr:col>
      <xdr:colOff>0</xdr:colOff>
      <xdr:row>103</xdr:row>
      <xdr:rowOff>0</xdr:rowOff>
    </xdr:from>
    <xdr:ext cx="8816255" cy="3716032"/>
    <xdr:pic>
      <xdr:nvPicPr>
        <xdr:cNvPr id="7" name="Picture 6">
          <a:extLst>
            <a:ext uri="{FF2B5EF4-FFF2-40B4-BE49-F238E27FC236}">
              <a16:creationId xmlns:a16="http://schemas.microsoft.com/office/drawing/2014/main" id="{264F29D4-7EA1-4650-B4AA-E4CA1F8EFB17}"/>
            </a:ext>
          </a:extLst>
        </xdr:cNvPr>
        <xdr:cNvPicPr>
          <a:picLocks noChangeAspect="1"/>
        </xdr:cNvPicPr>
      </xdr:nvPicPr>
      <xdr:blipFill>
        <a:blip xmlns:r="http://schemas.openxmlformats.org/officeDocument/2006/relationships" r:embed="rId6"/>
        <a:stretch>
          <a:fillRect/>
        </a:stretch>
      </xdr:blipFill>
      <xdr:spPr>
        <a:xfrm>
          <a:off x="457200" y="25469850"/>
          <a:ext cx="8816255" cy="3716032"/>
        </a:xfrm>
        <a:prstGeom prst="rect">
          <a:avLst/>
        </a:prstGeom>
      </xdr:spPr>
    </xdr:pic>
    <xdr:clientData/>
  </xdr:oneCellAnchor>
  <xdr:oneCellAnchor>
    <xdr:from>
      <xdr:col>1</xdr:col>
      <xdr:colOff>0</xdr:colOff>
      <xdr:row>124</xdr:row>
      <xdr:rowOff>0</xdr:rowOff>
    </xdr:from>
    <xdr:ext cx="8597207" cy="3029968"/>
    <xdr:pic>
      <xdr:nvPicPr>
        <xdr:cNvPr id="8" name="Picture 7">
          <a:extLst>
            <a:ext uri="{FF2B5EF4-FFF2-40B4-BE49-F238E27FC236}">
              <a16:creationId xmlns:a16="http://schemas.microsoft.com/office/drawing/2014/main" id="{F3E8D7C8-5B78-4D11-BA63-D0465A168162}"/>
            </a:ext>
          </a:extLst>
        </xdr:cNvPr>
        <xdr:cNvPicPr>
          <a:picLocks noChangeAspect="1"/>
        </xdr:cNvPicPr>
      </xdr:nvPicPr>
      <xdr:blipFill>
        <a:blip xmlns:r="http://schemas.openxmlformats.org/officeDocument/2006/relationships" r:embed="rId7"/>
        <a:stretch>
          <a:fillRect/>
        </a:stretch>
      </xdr:blipFill>
      <xdr:spPr>
        <a:xfrm>
          <a:off x="457200" y="29337000"/>
          <a:ext cx="8597207" cy="3029968"/>
        </a:xfrm>
        <a:prstGeom prst="rect">
          <a:avLst/>
        </a:prstGeom>
      </xdr:spPr>
    </xdr:pic>
    <xdr:clientData/>
  </xdr:oneCellAnchor>
</xdr:wsDr>
</file>

<file path=xl/drawings/drawing3.xml><?xml version="1.0" encoding="utf-8"?>
<xdr:wsDr xmlns:xdr="http://schemas.openxmlformats.org/drawingml/2006/spreadsheetDrawing" xmlns:a="http://schemas.openxmlformats.org/drawingml/2006/main">
  <xdr:twoCellAnchor>
    <xdr:from>
      <xdr:col>37</xdr:col>
      <xdr:colOff>214313</xdr:colOff>
      <xdr:row>49</xdr:row>
      <xdr:rowOff>119058</xdr:rowOff>
    </xdr:from>
    <xdr:to>
      <xdr:col>50</xdr:col>
      <xdr:colOff>297657</xdr:colOff>
      <xdr:row>60</xdr:row>
      <xdr:rowOff>23810</xdr:rowOff>
    </xdr:to>
    <xdr:graphicFrame macro="">
      <xdr:nvGraphicFramePr>
        <xdr:cNvPr id="2" name="Chart 1">
          <a:extLst>
            <a:ext uri="{FF2B5EF4-FFF2-40B4-BE49-F238E27FC236}">
              <a16:creationId xmlns:a16="http://schemas.microsoft.com/office/drawing/2014/main" id="{D0483555-3588-4833-85F4-2A54D6616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571499</xdr:colOff>
      <xdr:row>61</xdr:row>
      <xdr:rowOff>107153</xdr:rowOff>
    </xdr:from>
    <xdr:to>
      <xdr:col>37</xdr:col>
      <xdr:colOff>83343</xdr:colOff>
      <xdr:row>71</xdr:row>
      <xdr:rowOff>166684</xdr:rowOff>
    </xdr:to>
    <xdr:graphicFrame macro="">
      <xdr:nvGraphicFramePr>
        <xdr:cNvPr id="3" name="Chart 2">
          <a:extLst>
            <a:ext uri="{FF2B5EF4-FFF2-40B4-BE49-F238E27FC236}">
              <a16:creationId xmlns:a16="http://schemas.microsoft.com/office/drawing/2014/main" id="{3BE4337C-0CBC-447F-ABE1-FB2313CA78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595314</xdr:colOff>
      <xdr:row>49</xdr:row>
      <xdr:rowOff>130966</xdr:rowOff>
    </xdr:from>
    <xdr:to>
      <xdr:col>37</xdr:col>
      <xdr:colOff>47624</xdr:colOff>
      <xdr:row>59</xdr:row>
      <xdr:rowOff>190497</xdr:rowOff>
    </xdr:to>
    <xdr:graphicFrame macro="">
      <xdr:nvGraphicFramePr>
        <xdr:cNvPr id="4" name="Chart 3">
          <a:extLst>
            <a:ext uri="{FF2B5EF4-FFF2-40B4-BE49-F238E27FC236}">
              <a16:creationId xmlns:a16="http://schemas.microsoft.com/office/drawing/2014/main" id="{B8F2882B-13C1-4AF4-A005-38279474BB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440531</xdr:colOff>
      <xdr:row>0</xdr:row>
      <xdr:rowOff>166686</xdr:rowOff>
    </xdr:from>
    <xdr:to>
      <xdr:col>47</xdr:col>
      <xdr:colOff>309561</xdr:colOff>
      <xdr:row>15</xdr:row>
      <xdr:rowOff>142875</xdr:rowOff>
    </xdr:to>
    <xdr:graphicFrame macro="">
      <xdr:nvGraphicFramePr>
        <xdr:cNvPr id="5" name="Chart 4">
          <a:extLst>
            <a:ext uri="{FF2B5EF4-FFF2-40B4-BE49-F238E27FC236}">
              <a16:creationId xmlns:a16="http://schemas.microsoft.com/office/drawing/2014/main" id="{4F15F439-F177-4CB1-87CE-912D5FFD78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51</xdr:col>
      <xdr:colOff>0</xdr:colOff>
      <xdr:row>34</xdr:row>
      <xdr:rowOff>0</xdr:rowOff>
    </xdr:from>
    <xdr:to>
      <xdr:col>59</xdr:col>
      <xdr:colOff>75583</xdr:colOff>
      <xdr:row>48</xdr:row>
      <xdr:rowOff>133000</xdr:rowOff>
    </xdr:to>
    <xdr:pic>
      <xdr:nvPicPr>
        <xdr:cNvPr id="6" name="Picture 5">
          <a:extLst>
            <a:ext uri="{FF2B5EF4-FFF2-40B4-BE49-F238E27FC236}">
              <a16:creationId xmlns:a16="http://schemas.microsoft.com/office/drawing/2014/main" id="{52EAF621-B7E8-4CE8-B57C-CAACA5C68B0F}"/>
            </a:ext>
          </a:extLst>
        </xdr:cNvPr>
        <xdr:cNvPicPr>
          <a:picLocks noChangeAspect="1"/>
        </xdr:cNvPicPr>
      </xdr:nvPicPr>
      <xdr:blipFill>
        <a:blip xmlns:r="http://schemas.openxmlformats.org/officeDocument/2006/relationships" r:embed="rId5"/>
        <a:stretch>
          <a:fillRect/>
        </a:stretch>
      </xdr:blipFill>
      <xdr:spPr>
        <a:xfrm>
          <a:off x="35966400" y="6496050"/>
          <a:ext cx="4723783" cy="2800000"/>
        </a:xfrm>
        <a:prstGeom prst="rect">
          <a:avLst/>
        </a:prstGeom>
      </xdr:spPr>
    </xdr:pic>
    <xdr:clientData/>
  </xdr:twoCellAnchor>
  <xdr:twoCellAnchor editAs="oneCell">
    <xdr:from>
      <xdr:col>59</xdr:col>
      <xdr:colOff>476250</xdr:colOff>
      <xdr:row>33</xdr:row>
      <xdr:rowOff>11906</xdr:rowOff>
    </xdr:from>
    <xdr:to>
      <xdr:col>69</xdr:col>
      <xdr:colOff>204062</xdr:colOff>
      <xdr:row>49</xdr:row>
      <xdr:rowOff>30573</xdr:rowOff>
    </xdr:to>
    <xdr:pic>
      <xdr:nvPicPr>
        <xdr:cNvPr id="7" name="Picture 6">
          <a:extLst>
            <a:ext uri="{FF2B5EF4-FFF2-40B4-BE49-F238E27FC236}">
              <a16:creationId xmlns:a16="http://schemas.microsoft.com/office/drawing/2014/main" id="{5BA27ACA-7DB2-4CBC-96B4-081620000D77}"/>
            </a:ext>
          </a:extLst>
        </xdr:cNvPr>
        <xdr:cNvPicPr>
          <a:picLocks noChangeAspect="1"/>
        </xdr:cNvPicPr>
      </xdr:nvPicPr>
      <xdr:blipFill>
        <a:blip xmlns:r="http://schemas.openxmlformats.org/officeDocument/2006/relationships" r:embed="rId6"/>
        <a:stretch>
          <a:fillRect/>
        </a:stretch>
      </xdr:blipFill>
      <xdr:spPr>
        <a:xfrm>
          <a:off x="41090850" y="6317456"/>
          <a:ext cx="5538062" cy="306666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37</xdr:col>
      <xdr:colOff>214313</xdr:colOff>
      <xdr:row>49</xdr:row>
      <xdr:rowOff>119058</xdr:rowOff>
    </xdr:from>
    <xdr:to>
      <xdr:col>50</xdr:col>
      <xdr:colOff>297657</xdr:colOff>
      <xdr:row>60</xdr:row>
      <xdr:rowOff>23810</xdr:rowOff>
    </xdr:to>
    <xdr:graphicFrame macro="">
      <xdr:nvGraphicFramePr>
        <xdr:cNvPr id="2" name="Chart 1">
          <a:extLst>
            <a:ext uri="{FF2B5EF4-FFF2-40B4-BE49-F238E27FC236}">
              <a16:creationId xmlns:a16="http://schemas.microsoft.com/office/drawing/2014/main" id="{8182735D-76E8-4E06-B42A-D17430366B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571499</xdr:colOff>
      <xdr:row>61</xdr:row>
      <xdr:rowOff>107153</xdr:rowOff>
    </xdr:from>
    <xdr:to>
      <xdr:col>37</xdr:col>
      <xdr:colOff>83343</xdr:colOff>
      <xdr:row>71</xdr:row>
      <xdr:rowOff>166684</xdr:rowOff>
    </xdr:to>
    <xdr:graphicFrame macro="">
      <xdr:nvGraphicFramePr>
        <xdr:cNvPr id="3" name="Chart 2">
          <a:extLst>
            <a:ext uri="{FF2B5EF4-FFF2-40B4-BE49-F238E27FC236}">
              <a16:creationId xmlns:a16="http://schemas.microsoft.com/office/drawing/2014/main" id="{E82BC03C-9CDA-46C6-A894-6FDECA656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595314</xdr:colOff>
      <xdr:row>49</xdr:row>
      <xdr:rowOff>130966</xdr:rowOff>
    </xdr:from>
    <xdr:to>
      <xdr:col>37</xdr:col>
      <xdr:colOff>47624</xdr:colOff>
      <xdr:row>59</xdr:row>
      <xdr:rowOff>190497</xdr:rowOff>
    </xdr:to>
    <xdr:graphicFrame macro="">
      <xdr:nvGraphicFramePr>
        <xdr:cNvPr id="4" name="Chart 3">
          <a:extLst>
            <a:ext uri="{FF2B5EF4-FFF2-40B4-BE49-F238E27FC236}">
              <a16:creationId xmlns:a16="http://schemas.microsoft.com/office/drawing/2014/main" id="{6CE521C1-8E45-4B82-B2F9-95A5B2BBDE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440531</xdr:colOff>
      <xdr:row>0</xdr:row>
      <xdr:rowOff>166686</xdr:rowOff>
    </xdr:from>
    <xdr:to>
      <xdr:col>47</xdr:col>
      <xdr:colOff>309561</xdr:colOff>
      <xdr:row>15</xdr:row>
      <xdr:rowOff>142875</xdr:rowOff>
    </xdr:to>
    <xdr:graphicFrame macro="">
      <xdr:nvGraphicFramePr>
        <xdr:cNvPr id="5" name="Chart 4">
          <a:extLst>
            <a:ext uri="{FF2B5EF4-FFF2-40B4-BE49-F238E27FC236}">
              <a16:creationId xmlns:a16="http://schemas.microsoft.com/office/drawing/2014/main" id="{5B476A69-CE8D-4407-9123-D5B0ECAB4D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51</xdr:col>
      <xdr:colOff>0</xdr:colOff>
      <xdr:row>34</xdr:row>
      <xdr:rowOff>0</xdr:rowOff>
    </xdr:from>
    <xdr:to>
      <xdr:col>59</xdr:col>
      <xdr:colOff>75583</xdr:colOff>
      <xdr:row>48</xdr:row>
      <xdr:rowOff>133000</xdr:rowOff>
    </xdr:to>
    <xdr:pic>
      <xdr:nvPicPr>
        <xdr:cNvPr id="6" name="Picture 5">
          <a:extLst>
            <a:ext uri="{FF2B5EF4-FFF2-40B4-BE49-F238E27FC236}">
              <a16:creationId xmlns:a16="http://schemas.microsoft.com/office/drawing/2014/main" id="{E121D81C-ADC1-4DF9-B406-3F4795612B14}"/>
            </a:ext>
          </a:extLst>
        </xdr:cNvPr>
        <xdr:cNvPicPr>
          <a:picLocks noChangeAspect="1"/>
        </xdr:cNvPicPr>
      </xdr:nvPicPr>
      <xdr:blipFill>
        <a:blip xmlns:r="http://schemas.openxmlformats.org/officeDocument/2006/relationships" r:embed="rId5"/>
        <a:stretch>
          <a:fillRect/>
        </a:stretch>
      </xdr:blipFill>
      <xdr:spPr>
        <a:xfrm>
          <a:off x="35966400" y="6496050"/>
          <a:ext cx="4723783" cy="2800000"/>
        </a:xfrm>
        <a:prstGeom prst="rect">
          <a:avLst/>
        </a:prstGeom>
      </xdr:spPr>
    </xdr:pic>
    <xdr:clientData/>
  </xdr:twoCellAnchor>
  <xdr:twoCellAnchor editAs="oneCell">
    <xdr:from>
      <xdr:col>59</xdr:col>
      <xdr:colOff>476250</xdr:colOff>
      <xdr:row>33</xdr:row>
      <xdr:rowOff>11906</xdr:rowOff>
    </xdr:from>
    <xdr:to>
      <xdr:col>69</xdr:col>
      <xdr:colOff>204062</xdr:colOff>
      <xdr:row>49</xdr:row>
      <xdr:rowOff>30573</xdr:rowOff>
    </xdr:to>
    <xdr:pic>
      <xdr:nvPicPr>
        <xdr:cNvPr id="7" name="Picture 6">
          <a:extLst>
            <a:ext uri="{FF2B5EF4-FFF2-40B4-BE49-F238E27FC236}">
              <a16:creationId xmlns:a16="http://schemas.microsoft.com/office/drawing/2014/main" id="{1EA966F6-F3C9-4E1D-B2F9-6ED3568D22E1}"/>
            </a:ext>
          </a:extLst>
        </xdr:cNvPr>
        <xdr:cNvPicPr>
          <a:picLocks noChangeAspect="1"/>
        </xdr:cNvPicPr>
      </xdr:nvPicPr>
      <xdr:blipFill>
        <a:blip xmlns:r="http://schemas.openxmlformats.org/officeDocument/2006/relationships" r:embed="rId6"/>
        <a:stretch>
          <a:fillRect/>
        </a:stretch>
      </xdr:blipFill>
      <xdr:spPr>
        <a:xfrm>
          <a:off x="41090850" y="6317456"/>
          <a:ext cx="5538062" cy="306666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37</xdr:col>
      <xdr:colOff>214313</xdr:colOff>
      <xdr:row>49</xdr:row>
      <xdr:rowOff>119058</xdr:rowOff>
    </xdr:from>
    <xdr:to>
      <xdr:col>50</xdr:col>
      <xdr:colOff>297657</xdr:colOff>
      <xdr:row>60</xdr:row>
      <xdr:rowOff>23810</xdr:rowOff>
    </xdr:to>
    <xdr:graphicFrame macro="">
      <xdr:nvGraphicFramePr>
        <xdr:cNvPr id="2" name="Chart 1">
          <a:extLst>
            <a:ext uri="{FF2B5EF4-FFF2-40B4-BE49-F238E27FC236}">
              <a16:creationId xmlns:a16="http://schemas.microsoft.com/office/drawing/2014/main" id="{DC942E36-047E-4C3F-87BD-49EF9CA558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25</xdr:col>
      <xdr:colOff>571499</xdr:colOff>
      <xdr:row>61</xdr:row>
      <xdr:rowOff>107153</xdr:rowOff>
    </xdr:from>
    <xdr:to>
      <xdr:col>37</xdr:col>
      <xdr:colOff>83343</xdr:colOff>
      <xdr:row>71</xdr:row>
      <xdr:rowOff>166684</xdr:rowOff>
    </xdr:to>
    <xdr:graphicFrame macro="">
      <xdr:nvGraphicFramePr>
        <xdr:cNvPr id="3" name="Chart 2">
          <a:extLst>
            <a:ext uri="{FF2B5EF4-FFF2-40B4-BE49-F238E27FC236}">
              <a16:creationId xmlns:a16="http://schemas.microsoft.com/office/drawing/2014/main" id="{9631D63D-C098-4C61-A9B4-E3D5B2DC6B2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25</xdr:col>
      <xdr:colOff>595314</xdr:colOff>
      <xdr:row>49</xdr:row>
      <xdr:rowOff>130966</xdr:rowOff>
    </xdr:from>
    <xdr:to>
      <xdr:col>37</xdr:col>
      <xdr:colOff>47624</xdr:colOff>
      <xdr:row>59</xdr:row>
      <xdr:rowOff>190497</xdr:rowOff>
    </xdr:to>
    <xdr:graphicFrame macro="">
      <xdr:nvGraphicFramePr>
        <xdr:cNvPr id="4" name="Chart 3">
          <a:extLst>
            <a:ext uri="{FF2B5EF4-FFF2-40B4-BE49-F238E27FC236}">
              <a16:creationId xmlns:a16="http://schemas.microsoft.com/office/drawing/2014/main" id="{5B85D7B3-0341-43F1-A98C-B5886AF98C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34</xdr:col>
      <xdr:colOff>440531</xdr:colOff>
      <xdr:row>0</xdr:row>
      <xdr:rowOff>166686</xdr:rowOff>
    </xdr:from>
    <xdr:to>
      <xdr:col>47</xdr:col>
      <xdr:colOff>309561</xdr:colOff>
      <xdr:row>15</xdr:row>
      <xdr:rowOff>142875</xdr:rowOff>
    </xdr:to>
    <xdr:graphicFrame macro="">
      <xdr:nvGraphicFramePr>
        <xdr:cNvPr id="5" name="Chart 4">
          <a:extLst>
            <a:ext uri="{FF2B5EF4-FFF2-40B4-BE49-F238E27FC236}">
              <a16:creationId xmlns:a16="http://schemas.microsoft.com/office/drawing/2014/main" id="{065CD32A-72F0-4637-A117-0FA30210B3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51</xdr:col>
      <xdr:colOff>0</xdr:colOff>
      <xdr:row>34</xdr:row>
      <xdr:rowOff>0</xdr:rowOff>
    </xdr:from>
    <xdr:to>
      <xdr:col>59</xdr:col>
      <xdr:colOff>75583</xdr:colOff>
      <xdr:row>48</xdr:row>
      <xdr:rowOff>133000</xdr:rowOff>
    </xdr:to>
    <xdr:pic>
      <xdr:nvPicPr>
        <xdr:cNvPr id="6" name="Picture 5">
          <a:extLst>
            <a:ext uri="{FF2B5EF4-FFF2-40B4-BE49-F238E27FC236}">
              <a16:creationId xmlns:a16="http://schemas.microsoft.com/office/drawing/2014/main" id="{9571F7AA-695E-4671-A300-0AC38B2E3878}"/>
            </a:ext>
          </a:extLst>
        </xdr:cNvPr>
        <xdr:cNvPicPr>
          <a:picLocks noChangeAspect="1"/>
        </xdr:cNvPicPr>
      </xdr:nvPicPr>
      <xdr:blipFill>
        <a:blip xmlns:r="http://schemas.openxmlformats.org/officeDocument/2006/relationships" r:embed="rId5"/>
        <a:stretch>
          <a:fillRect/>
        </a:stretch>
      </xdr:blipFill>
      <xdr:spPr>
        <a:xfrm>
          <a:off x="35966400" y="6496050"/>
          <a:ext cx="4723783" cy="2800000"/>
        </a:xfrm>
        <a:prstGeom prst="rect">
          <a:avLst/>
        </a:prstGeom>
      </xdr:spPr>
    </xdr:pic>
    <xdr:clientData/>
  </xdr:twoCellAnchor>
  <xdr:twoCellAnchor editAs="oneCell">
    <xdr:from>
      <xdr:col>59</xdr:col>
      <xdr:colOff>476250</xdr:colOff>
      <xdr:row>33</xdr:row>
      <xdr:rowOff>11906</xdr:rowOff>
    </xdr:from>
    <xdr:to>
      <xdr:col>69</xdr:col>
      <xdr:colOff>204062</xdr:colOff>
      <xdr:row>49</xdr:row>
      <xdr:rowOff>30573</xdr:rowOff>
    </xdr:to>
    <xdr:pic>
      <xdr:nvPicPr>
        <xdr:cNvPr id="7" name="Picture 6">
          <a:extLst>
            <a:ext uri="{FF2B5EF4-FFF2-40B4-BE49-F238E27FC236}">
              <a16:creationId xmlns:a16="http://schemas.microsoft.com/office/drawing/2014/main" id="{4D795048-996F-4F06-A4DA-9F6AF43AB441}"/>
            </a:ext>
          </a:extLst>
        </xdr:cNvPr>
        <xdr:cNvPicPr>
          <a:picLocks noChangeAspect="1"/>
        </xdr:cNvPicPr>
      </xdr:nvPicPr>
      <xdr:blipFill>
        <a:blip xmlns:r="http://schemas.openxmlformats.org/officeDocument/2006/relationships" r:embed="rId6"/>
        <a:stretch>
          <a:fillRect/>
        </a:stretch>
      </xdr:blipFill>
      <xdr:spPr>
        <a:xfrm>
          <a:off x="41090850" y="6317456"/>
          <a:ext cx="5538062" cy="306666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4</xdr:col>
      <xdr:colOff>799044</xdr:colOff>
      <xdr:row>5</xdr:row>
      <xdr:rowOff>116418</xdr:rowOff>
    </xdr:from>
    <xdr:to>
      <xdr:col>9</xdr:col>
      <xdr:colOff>222251</xdr:colOff>
      <xdr:row>17</xdr:row>
      <xdr:rowOff>21166</xdr:rowOff>
    </xdr:to>
    <xdr:graphicFrame macro="">
      <xdr:nvGraphicFramePr>
        <xdr:cNvPr id="2" name="Chart 1">
          <a:extLst>
            <a:ext uri="{FF2B5EF4-FFF2-40B4-BE49-F238E27FC236}">
              <a16:creationId xmlns:a16="http://schemas.microsoft.com/office/drawing/2014/main" id="{B3002B65-B409-4C7A-98CD-296D1AC584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10584</xdr:colOff>
      <xdr:row>184</xdr:row>
      <xdr:rowOff>0</xdr:rowOff>
    </xdr:from>
    <xdr:to>
      <xdr:col>6</xdr:col>
      <xdr:colOff>370417</xdr:colOff>
      <xdr:row>187</xdr:row>
      <xdr:rowOff>95249</xdr:rowOff>
    </xdr:to>
    <xdr:sp macro="" textlink="">
      <xdr:nvSpPr>
        <xdr:cNvPr id="3" name="Rectangle 2">
          <a:extLst>
            <a:ext uri="{FF2B5EF4-FFF2-40B4-BE49-F238E27FC236}">
              <a16:creationId xmlns:a16="http://schemas.microsoft.com/office/drawing/2014/main" id="{1728C952-F6EF-454E-A239-D4DCD6A524B4}"/>
            </a:ext>
          </a:extLst>
        </xdr:cNvPr>
        <xdr:cNvSpPr/>
      </xdr:nvSpPr>
      <xdr:spPr>
        <a:xfrm>
          <a:off x="349251" y="21547667"/>
          <a:ext cx="7302499" cy="6667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lang="en-US" sz="1100" baseline="0">
              <a:solidFill>
                <a:sysClr val="windowText" lastClr="000000"/>
              </a:solidFill>
            </a:rPr>
            <a:t>1. In some loans there is significant difference in PDs post Qual adjustment</a:t>
          </a:r>
        </a:p>
        <a:p>
          <a:pPr marL="0" marR="0" lvl="0" indent="0" algn="l" defTabSz="914400" eaLnBrk="1" fontAlgn="auto" latinLnBrk="0" hangingPunct="1">
            <a:lnSpc>
              <a:spcPct val="100000"/>
            </a:lnSpc>
            <a:spcBef>
              <a:spcPts val="0"/>
            </a:spcBef>
            <a:spcAft>
              <a:spcPts val="0"/>
            </a:spcAft>
            <a:buClrTx/>
            <a:buSzTx/>
            <a:buFontTx/>
            <a:buNone/>
            <a:tabLst/>
            <a:defRPr/>
          </a:pPr>
          <a:r>
            <a:rPr lang="en-US" sz="1100" baseline="0">
              <a:solidFill>
                <a:sysClr val="windowText" lastClr="000000"/>
              </a:solidFill>
            </a:rPr>
            <a:t>2. We can apply some capping/flooring adjustment where Qual factors significantly affect the PD ? - Observe and raise the variances</a:t>
          </a:r>
        </a:p>
      </xdr:txBody>
    </xdr:sp>
    <xdr:clientData/>
  </xdr:twoCellAnchor>
  <xdr:twoCellAnchor>
    <xdr:from>
      <xdr:col>6</xdr:col>
      <xdr:colOff>613834</xdr:colOff>
      <xdr:row>214</xdr:row>
      <xdr:rowOff>148167</xdr:rowOff>
    </xdr:from>
    <xdr:to>
      <xdr:col>10</xdr:col>
      <xdr:colOff>751417</xdr:colOff>
      <xdr:row>223</xdr:row>
      <xdr:rowOff>137583</xdr:rowOff>
    </xdr:to>
    <xdr:sp macro="" textlink="">
      <xdr:nvSpPr>
        <xdr:cNvPr id="5" name="Rectangle 4">
          <a:extLst>
            <a:ext uri="{FF2B5EF4-FFF2-40B4-BE49-F238E27FC236}">
              <a16:creationId xmlns:a16="http://schemas.microsoft.com/office/drawing/2014/main" id="{01340061-8791-45C1-9143-39FA51E22B1E}"/>
            </a:ext>
          </a:extLst>
        </xdr:cNvPr>
        <xdr:cNvSpPr/>
      </xdr:nvSpPr>
      <xdr:spPr>
        <a:xfrm>
          <a:off x="9048751" y="41412584"/>
          <a:ext cx="4825999" cy="2148416"/>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u="sng">
              <a:solidFill>
                <a:sysClr val="windowText" lastClr="000000"/>
              </a:solidFill>
            </a:rPr>
            <a:t>ON LGD Methodology</a:t>
          </a:r>
        </a:p>
        <a:p>
          <a:pPr algn="l"/>
          <a:endParaRPr lang="en-US" sz="1400" b="1" i="1" u="sng">
            <a:solidFill>
              <a:sysClr val="windowText" lastClr="000000"/>
            </a:solidFill>
          </a:endParaRPr>
        </a:p>
        <a:p>
          <a:pPr algn="l"/>
          <a:r>
            <a:rPr lang="en-US" sz="1400" b="0" i="0" u="none">
              <a:solidFill>
                <a:sysClr val="windowText" lastClr="000000"/>
              </a:solidFill>
            </a:rPr>
            <a:t>LGD</a:t>
          </a:r>
          <a:r>
            <a:rPr lang="en-US" sz="1400" b="0" i="0" u="none" baseline="0">
              <a:solidFill>
                <a:sysClr val="windowText" lastClr="000000"/>
              </a:solidFill>
            </a:rPr>
            <a:t> = 1- (Collateral amount after haircuts/Loan Amount)</a:t>
          </a:r>
        </a:p>
        <a:p>
          <a:pPr algn="l"/>
          <a:endParaRPr lang="en-US" sz="1400" b="0" i="0" u="none" baseline="0">
            <a:solidFill>
              <a:sysClr val="windowText" lastClr="000000"/>
            </a:solidFill>
          </a:endParaRPr>
        </a:p>
        <a:p>
          <a:pPr algn="l"/>
          <a:r>
            <a:rPr lang="en-US" sz="1400" b="1" i="1" u="sng">
              <a:solidFill>
                <a:sysClr val="windowText" lastClr="000000"/>
              </a:solidFill>
            </a:rPr>
            <a:t>Moody's LGD Methodology</a:t>
          </a:r>
        </a:p>
        <a:p>
          <a:pPr algn="l"/>
          <a:endParaRPr lang="en-US" sz="1400" b="1" i="1" u="sng">
            <a:solidFill>
              <a:sysClr val="windowText" lastClr="000000"/>
            </a:solidFill>
          </a:endParaRPr>
        </a:p>
        <a:p>
          <a:pPr algn="l"/>
          <a:r>
            <a:rPr lang="en-US" sz="1400" b="0" i="0" u="none">
              <a:solidFill>
                <a:sysClr val="windowText" lastClr="000000"/>
              </a:solidFill>
            </a:rPr>
            <a:t>LGD = 1- [(Secured recovery%</a:t>
          </a:r>
          <a:r>
            <a:rPr lang="en-US" sz="1400" b="0" i="0" u="none" baseline="0">
              <a:solidFill>
                <a:sysClr val="windowText" lastClr="000000"/>
              </a:solidFill>
            </a:rPr>
            <a:t> * </a:t>
          </a:r>
          <a:r>
            <a:rPr lang="en-US" sz="1400" b="0" i="0" u="none">
              <a:solidFill>
                <a:sysClr val="windowText" lastClr="000000"/>
              </a:solidFill>
            </a:rPr>
            <a:t>Collateral amount after haircuts)</a:t>
          </a:r>
          <a:r>
            <a:rPr lang="en-US" sz="1400" b="0" i="0" u="none" baseline="0">
              <a:solidFill>
                <a:sysClr val="windowText" lastClr="000000"/>
              </a:solidFill>
            </a:rPr>
            <a:t> + (unsecured amount * unsecured recovery %)]/Loan Amount </a:t>
          </a:r>
          <a:endParaRPr lang="en-US" sz="1400" b="1" i="1" u="sng">
            <a:solidFill>
              <a:sysClr val="windowText" lastClr="000000"/>
            </a:solidFill>
          </a:endParaRPr>
        </a:p>
        <a:p>
          <a:pPr algn="l"/>
          <a:endParaRPr lang="en-US" sz="1400" b="1" i="1" u="sng">
            <a:solidFill>
              <a:sysClr val="windowText" lastClr="000000"/>
            </a:solidFill>
          </a:endParaRPr>
        </a:p>
        <a:p>
          <a:pPr algn="l"/>
          <a:endParaRPr lang="en-US" sz="1400" b="0" i="0" u="none">
            <a:solidFill>
              <a:sysClr val="windowText" lastClr="000000"/>
            </a:solidFill>
          </a:endParaRPr>
        </a:p>
      </xdr:txBody>
    </xdr:sp>
    <xdr:clientData/>
  </xdr:twoCellAnchor>
  <xdr:twoCellAnchor>
    <xdr:from>
      <xdr:col>1</xdr:col>
      <xdr:colOff>21167</xdr:colOff>
      <xdr:row>237</xdr:row>
      <xdr:rowOff>169334</xdr:rowOff>
    </xdr:from>
    <xdr:to>
      <xdr:col>4</xdr:col>
      <xdr:colOff>693208</xdr:colOff>
      <xdr:row>250</xdr:row>
      <xdr:rowOff>169333</xdr:rowOff>
    </xdr:to>
    <xdr:sp macro="" textlink="">
      <xdr:nvSpPr>
        <xdr:cNvPr id="6" name="Rectangle 5">
          <a:extLst>
            <a:ext uri="{FF2B5EF4-FFF2-40B4-BE49-F238E27FC236}">
              <a16:creationId xmlns:a16="http://schemas.microsoft.com/office/drawing/2014/main" id="{2C1247C1-12A1-4C1D-8BA9-7D7CA4EC7739}"/>
            </a:ext>
          </a:extLst>
        </xdr:cNvPr>
        <xdr:cNvSpPr/>
      </xdr:nvSpPr>
      <xdr:spPr>
        <a:xfrm>
          <a:off x="359834" y="51752501"/>
          <a:ext cx="5307541" cy="2476499"/>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b="1" i="1" u="sng">
              <a:solidFill>
                <a:sysClr val="windowText" lastClr="000000"/>
              </a:solidFill>
            </a:rPr>
            <a:t>Key Points to finalize</a:t>
          </a:r>
        </a:p>
        <a:p>
          <a:pPr algn="l"/>
          <a:r>
            <a:rPr lang="en-US" sz="1400" b="0" i="0" u="none">
              <a:solidFill>
                <a:sysClr val="windowText" lastClr="000000"/>
              </a:solidFill>
            </a:rPr>
            <a:t>1.</a:t>
          </a:r>
          <a:r>
            <a:rPr lang="en-US" sz="1400" b="0" i="0" u="none" baseline="0">
              <a:solidFill>
                <a:sysClr val="windowText" lastClr="000000"/>
              </a:solidFill>
            </a:rPr>
            <a:t> To include ON debt in financials at the time of underwriting - Forecasted/Current statements ? Keep 2 set of PDs</a:t>
          </a:r>
        </a:p>
        <a:p>
          <a:pPr algn="l"/>
          <a:r>
            <a:rPr lang="en-US" sz="1400" b="1" i="1" u="sng">
              <a:solidFill>
                <a:sysClr val="windowText" lastClr="000000"/>
              </a:solidFill>
            </a:rPr>
            <a:t> </a:t>
          </a:r>
          <a:r>
            <a:rPr lang="en-US" sz="1400" b="0" i="0" u="none">
              <a:solidFill>
                <a:sysClr val="windowText" lastClr="000000"/>
              </a:solidFill>
            </a:rPr>
            <a:t>2.</a:t>
          </a:r>
          <a:r>
            <a:rPr lang="en-US" sz="1400" b="0" i="0" u="none" baseline="0">
              <a:solidFill>
                <a:sysClr val="windowText" lastClr="000000"/>
              </a:solidFill>
            </a:rPr>
            <a:t> To implement the model for Hotels/Fin companies ? - Yes; try to keep in Trading; cashflow reliant business</a:t>
          </a:r>
        </a:p>
        <a:p>
          <a:pPr algn="l"/>
          <a:r>
            <a:rPr lang="en-US" sz="1400" b="0" i="0" u="none" baseline="0">
              <a:solidFill>
                <a:sysClr val="windowText" lastClr="000000"/>
              </a:solidFill>
            </a:rPr>
            <a:t>3. Missing data cases </a:t>
          </a:r>
        </a:p>
        <a:p>
          <a:pPr algn="l"/>
          <a:r>
            <a:rPr lang="en-US" sz="1400" b="0" i="0" u="none" baseline="0">
              <a:solidFill>
                <a:sysClr val="windowText" lastClr="000000"/>
              </a:solidFill>
            </a:rPr>
            <a:t>4. Provisions - Use yearly PD or PD applicable till time remaining to maturity ? E.g., if time remaining to mat is 0.5 year - then use 1 year PD of say 2% or use applicable PD as 1% ?</a:t>
          </a:r>
        </a:p>
        <a:p>
          <a:pPr algn="l"/>
          <a:r>
            <a:rPr lang="en-US" sz="1400" b="0" i="0" u="none" baseline="0">
              <a:solidFill>
                <a:sysClr val="windowText" lastClr="000000"/>
              </a:solidFill>
            </a:rPr>
            <a:t>5. Provisions - Modelling expected Drawdowns  </a:t>
          </a:r>
          <a:endParaRPr lang="en-US" sz="1100">
            <a:solidFill>
              <a:sysClr val="windowText" lastClr="000000"/>
            </a:solidFill>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P:\Oaknorth\Moodys%20Implementation\Live_samples\Other_cases\Rosemary\Trading-CreditRiskCal-v1.1_Rosemar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P:\Oaknorth\Moodys%20Implementation\Live_samples\Fallons\Property\CRE-CreditRiskCal-v1.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Sheet1"/>
      <sheetName val="Internal Model &gt;&gt;&gt; "/>
      <sheetName val="Final PD_LGD"/>
      <sheetName val="PD"/>
      <sheetName val="LGD"/>
      <sheetName val="Assumptions"/>
      <sheetName val="Drop Down Lists"/>
      <sheetName val="Appendix - PD from Credit"/>
      <sheetName val="Moody's - RiskCalc &gt;&gt;&gt;"/>
      <sheetName val="EDF Inputs"/>
      <sheetName val="LGD Inputs"/>
      <sheetName val="SIC_Codes"/>
      <sheetName val="EDF Calculation"/>
      <sheetName val="LGD Calculation"/>
      <sheetName val="Batch_PD"/>
      <sheetName val="PD Scorecard Definitions"/>
      <sheetName val="Batch_LGD"/>
      <sheetName val="LGD Scorecard Definitions"/>
      <sheetName val="LGD Definitions"/>
      <sheetName val="PD Definitions"/>
      <sheetName val="PD_Parameters"/>
      <sheetName val="Mappings"/>
      <sheetName val="LGD_Parameters"/>
      <sheetName val="Lookups"/>
      <sheetName val="Private Country Mappings"/>
      <sheetName val="RC Model Metadata"/>
      <sheetName val="Trading-CreditRiskCal-v1"/>
      <sheetName val="Input PD LGD (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refreshError="1"/>
      <sheetData sheetId="9" refreshError="1"/>
      <sheetData sheetId="10"/>
      <sheetData sheetId="1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ow r="3">
          <cell r="E3" t="str">
            <v>On</v>
          </cell>
        </row>
        <row r="4">
          <cell r="E4" t="str">
            <v>Off</v>
          </cell>
        </row>
      </sheetData>
      <sheetData sheetId="22" refreshError="1"/>
      <sheetData sheetId="23">
        <row r="174">
          <cell r="B174" t="str">
            <v>Formal Checklist</v>
          </cell>
        </row>
      </sheetData>
      <sheetData sheetId="24">
        <row r="6">
          <cell r="B6" t="str">
            <v>Private</v>
          </cell>
          <cell r="F6" t="str">
            <v>Sector</v>
          </cell>
          <cell r="H6" t="str">
            <v>Subordinate Bond</v>
          </cell>
          <cell r="K6" t="str">
            <v>Unknown</v>
          </cell>
          <cell r="N6" t="str">
            <v>Unknown</v>
          </cell>
          <cell r="P6" t="str">
            <v>Unknown</v>
          </cell>
          <cell r="R6" t="str">
            <v>Post Default Price</v>
          </cell>
        </row>
        <row r="7">
          <cell r="F7" t="str">
            <v>NDY</v>
          </cell>
          <cell r="H7" t="str">
            <v>Junior Subordinate Bond</v>
          </cell>
          <cell r="K7" t="str">
            <v>Most Senior Debt</v>
          </cell>
          <cell r="N7" t="str">
            <v>Yes</v>
          </cell>
          <cell r="P7" t="str">
            <v>Yes</v>
          </cell>
          <cell r="R7" t="str">
            <v>Ultimate Recovery</v>
          </cell>
        </row>
        <row r="8">
          <cell r="F8" t="str">
            <v>NACE</v>
          </cell>
          <cell r="H8" t="str">
            <v>Senior Subordinate Bond</v>
          </cell>
          <cell r="K8" t="str">
            <v>Has Debt Above</v>
          </cell>
          <cell r="N8" t="str">
            <v>No</v>
          </cell>
          <cell r="P8" t="str">
            <v>No</v>
          </cell>
        </row>
        <row r="9">
          <cell r="F9" t="str">
            <v>NAICS</v>
          </cell>
          <cell r="H9" t="str">
            <v>Senior Secured Bond</v>
          </cell>
        </row>
        <row r="10">
          <cell r="F10" t="str">
            <v>SIC</v>
          </cell>
          <cell r="H10" t="str">
            <v>Equipment Trust</v>
          </cell>
        </row>
        <row r="11">
          <cell r="H11" t="str">
            <v>Senior Unsecured Bond</v>
          </cell>
        </row>
        <row r="12">
          <cell r="H12" t="str">
            <v>Industrial Revenue Bond</v>
          </cell>
        </row>
        <row r="13">
          <cell r="H13" t="str">
            <v>Secured Term Loan</v>
          </cell>
        </row>
        <row r="14">
          <cell r="H14" t="str">
            <v>Unsecured Term Loan</v>
          </cell>
        </row>
        <row r="15">
          <cell r="H15" t="str">
            <v>Secured Revolver</v>
          </cell>
        </row>
        <row r="16">
          <cell r="H16" t="str">
            <v>Unsecured Revolver</v>
          </cell>
        </row>
        <row r="17">
          <cell r="H17" t="str">
            <v>Mortgage Bond</v>
          </cell>
        </row>
        <row r="18">
          <cell r="H18" t="str">
            <v>Muni</v>
          </cell>
        </row>
        <row r="19">
          <cell r="H19" t="str">
            <v>Preferred Stock</v>
          </cell>
        </row>
      </sheetData>
      <sheetData sheetId="25">
        <row r="5">
          <cell r="H5" t="str">
            <v>LossCalc Country</v>
          </cell>
        </row>
        <row r="6">
          <cell r="H6" t="str">
            <v>Australia</v>
          </cell>
        </row>
        <row r="7">
          <cell r="H7" t="str">
            <v>Austria</v>
          </cell>
        </row>
        <row r="8">
          <cell r="H8" t="str">
            <v>Belgium</v>
          </cell>
        </row>
        <row r="9">
          <cell r="H9" t="str">
            <v>Canada</v>
          </cell>
        </row>
        <row r="10">
          <cell r="H10" t="str">
            <v>China</v>
          </cell>
        </row>
        <row r="11">
          <cell r="H11" t="str">
            <v>Denmark</v>
          </cell>
        </row>
        <row r="12">
          <cell r="H12" t="str">
            <v>Finland</v>
          </cell>
        </row>
        <row r="13">
          <cell r="H13" t="str">
            <v>France</v>
          </cell>
        </row>
        <row r="14">
          <cell r="H14" t="str">
            <v>Germany</v>
          </cell>
        </row>
        <row r="15">
          <cell r="H15" t="str">
            <v>Italy</v>
          </cell>
        </row>
        <row r="16">
          <cell r="H16" t="str">
            <v>Japan</v>
          </cell>
        </row>
        <row r="17">
          <cell r="H17" t="str">
            <v>Korea</v>
          </cell>
        </row>
        <row r="18">
          <cell r="H18" t="str">
            <v>Mexico</v>
          </cell>
        </row>
        <row r="19">
          <cell r="H19" t="str">
            <v>Netherlands</v>
          </cell>
        </row>
        <row r="20">
          <cell r="H20" t="str">
            <v>Norway</v>
          </cell>
        </row>
        <row r="21">
          <cell r="H21" t="str">
            <v>Portugal</v>
          </cell>
        </row>
        <row r="22">
          <cell r="H22" t="str">
            <v>Russia</v>
          </cell>
        </row>
        <row r="23">
          <cell r="H23" t="str">
            <v>Singapore</v>
          </cell>
        </row>
        <row r="24">
          <cell r="H24" t="str">
            <v>South Africa</v>
          </cell>
        </row>
        <row r="25">
          <cell r="H25" t="str">
            <v>Spain</v>
          </cell>
        </row>
        <row r="26">
          <cell r="H26" t="str">
            <v>Sweden</v>
          </cell>
        </row>
        <row r="27">
          <cell r="H27" t="str">
            <v>Switzerland</v>
          </cell>
        </row>
        <row r="28">
          <cell r="H28" t="str">
            <v>United Kingdom</v>
          </cell>
        </row>
        <row r="29">
          <cell r="H29" t="str">
            <v>United States</v>
          </cell>
        </row>
        <row r="30">
          <cell r="H30" t="str">
            <v>Algeria</v>
          </cell>
        </row>
        <row r="31">
          <cell r="H31" t="str">
            <v>Angola</v>
          </cell>
        </row>
        <row r="32">
          <cell r="H32" t="str">
            <v>Argentina</v>
          </cell>
        </row>
        <row r="33">
          <cell r="H33" t="str">
            <v>Azerbaijan</v>
          </cell>
        </row>
        <row r="34">
          <cell r="H34" t="str">
            <v>Bahrain</v>
          </cell>
        </row>
        <row r="35">
          <cell r="H35" t="str">
            <v>Bangladesh</v>
          </cell>
        </row>
        <row r="36">
          <cell r="H36" t="str">
            <v>Belarus</v>
          </cell>
        </row>
        <row r="37">
          <cell r="H37" t="str">
            <v>Bolivia</v>
          </cell>
        </row>
        <row r="38">
          <cell r="H38" t="str">
            <v>Brazil</v>
          </cell>
        </row>
        <row r="39">
          <cell r="H39" t="str">
            <v>Bulgaria</v>
          </cell>
        </row>
        <row r="40">
          <cell r="H40" t="str">
            <v>Burma</v>
          </cell>
        </row>
        <row r="41">
          <cell r="H41" t="str">
            <v>Cameroon</v>
          </cell>
        </row>
        <row r="42">
          <cell r="H42" t="str">
            <v>Chile</v>
          </cell>
        </row>
        <row r="43">
          <cell r="H43" t="str">
            <v>Colombia</v>
          </cell>
        </row>
        <row r="44">
          <cell r="H44" t="str">
            <v>Costa Rica</v>
          </cell>
        </row>
        <row r="45">
          <cell r="H45" t="str">
            <v>Cote d'Ivoire</v>
          </cell>
        </row>
        <row r="46">
          <cell r="H46" t="str">
            <v>Croatia</v>
          </cell>
        </row>
        <row r="47">
          <cell r="H47" t="str">
            <v>Cuba</v>
          </cell>
        </row>
        <row r="48">
          <cell r="H48" t="str">
            <v>Cyprus</v>
          </cell>
        </row>
        <row r="49">
          <cell r="H49" t="str">
            <v>Czech Republic</v>
          </cell>
        </row>
        <row r="50">
          <cell r="H50" t="str">
            <v>Dominican Republic</v>
          </cell>
        </row>
        <row r="51">
          <cell r="H51" t="str">
            <v>Ecuador</v>
          </cell>
        </row>
        <row r="52">
          <cell r="H52" t="str">
            <v>Egypt</v>
          </cell>
        </row>
        <row r="53">
          <cell r="H53" t="str">
            <v>El Salvador</v>
          </cell>
        </row>
        <row r="54">
          <cell r="H54" t="str">
            <v>Ethiopia</v>
          </cell>
        </row>
        <row r="55">
          <cell r="H55" t="str">
            <v>French Polynesia</v>
          </cell>
        </row>
        <row r="56">
          <cell r="H56" t="str">
            <v>Greece</v>
          </cell>
        </row>
        <row r="57">
          <cell r="H57" t="str">
            <v>Guatemala</v>
          </cell>
        </row>
        <row r="58">
          <cell r="H58" t="str">
            <v>Hong Kong</v>
          </cell>
        </row>
        <row r="59">
          <cell r="H59" t="str">
            <v>Hungary</v>
          </cell>
        </row>
        <row r="60">
          <cell r="H60" t="str">
            <v>Iceland</v>
          </cell>
        </row>
        <row r="61">
          <cell r="H61" t="str">
            <v>India</v>
          </cell>
        </row>
        <row r="62">
          <cell r="H62" t="str">
            <v>Indonesia</v>
          </cell>
        </row>
        <row r="63">
          <cell r="H63" t="str">
            <v>Iran</v>
          </cell>
        </row>
        <row r="64">
          <cell r="H64" t="str">
            <v>Iraq</v>
          </cell>
        </row>
        <row r="65">
          <cell r="H65" t="str">
            <v>Ireland</v>
          </cell>
        </row>
        <row r="66">
          <cell r="H66" t="str">
            <v>Israel</v>
          </cell>
        </row>
        <row r="67">
          <cell r="H67" t="str">
            <v>Jordan</v>
          </cell>
        </row>
        <row r="68">
          <cell r="H68" t="str">
            <v>Kazakhstan</v>
          </cell>
        </row>
        <row r="69">
          <cell r="H69" t="str">
            <v>Kenya</v>
          </cell>
        </row>
        <row r="70">
          <cell r="H70" t="str">
            <v>Kuwait</v>
          </cell>
        </row>
        <row r="71">
          <cell r="H71" t="str">
            <v>Lebanon</v>
          </cell>
        </row>
        <row r="72">
          <cell r="H72" t="str">
            <v>Libya</v>
          </cell>
        </row>
        <row r="73">
          <cell r="H73" t="str">
            <v>Liechtenstein</v>
          </cell>
        </row>
        <row r="74">
          <cell r="H74" t="str">
            <v>Lithuania</v>
          </cell>
        </row>
        <row r="75">
          <cell r="H75" t="str">
            <v>Malaysia</v>
          </cell>
        </row>
        <row r="76">
          <cell r="H76" t="str">
            <v>Malta</v>
          </cell>
        </row>
        <row r="77">
          <cell r="H77" t="str">
            <v>Mongolia</v>
          </cell>
        </row>
        <row r="78">
          <cell r="H78" t="str">
            <v>Morocco</v>
          </cell>
        </row>
        <row r="79">
          <cell r="H79" t="str">
            <v>New Zealand</v>
          </cell>
        </row>
        <row r="80">
          <cell r="H80" t="str">
            <v>Nigeria</v>
          </cell>
        </row>
        <row r="81">
          <cell r="H81" t="str">
            <v>Oman</v>
          </cell>
        </row>
        <row r="82">
          <cell r="H82" t="str">
            <v>Pakistan</v>
          </cell>
        </row>
        <row r="83">
          <cell r="H83" t="str">
            <v>Panama</v>
          </cell>
        </row>
        <row r="84">
          <cell r="H84" t="str">
            <v>Peru</v>
          </cell>
        </row>
        <row r="85">
          <cell r="H85" t="str">
            <v>Philippines</v>
          </cell>
        </row>
        <row r="86">
          <cell r="H86" t="str">
            <v>Poland</v>
          </cell>
        </row>
        <row r="87">
          <cell r="H87" t="str">
            <v>Puerto Rico</v>
          </cell>
        </row>
        <row r="88">
          <cell r="H88" t="str">
            <v>Qatar</v>
          </cell>
        </row>
        <row r="89">
          <cell r="H89" t="str">
            <v>Romania</v>
          </cell>
        </row>
        <row r="90">
          <cell r="H90" t="str">
            <v>Saint Lucia</v>
          </cell>
        </row>
        <row r="91">
          <cell r="H91" t="str">
            <v>Saudi Arabia</v>
          </cell>
        </row>
        <row r="92">
          <cell r="H92" t="str">
            <v>Serbia</v>
          </cell>
        </row>
        <row r="93">
          <cell r="H93" t="str">
            <v>Slovakia</v>
          </cell>
        </row>
        <row r="94">
          <cell r="H94" t="str">
            <v>Slovenia</v>
          </cell>
        </row>
        <row r="95">
          <cell r="H95" t="str">
            <v>Sri Lanka</v>
          </cell>
        </row>
        <row r="96">
          <cell r="H96" t="str">
            <v>Sudan</v>
          </cell>
        </row>
        <row r="97">
          <cell r="H97" t="str">
            <v>Syria</v>
          </cell>
        </row>
        <row r="98">
          <cell r="H98" t="str">
            <v>Taiwan</v>
          </cell>
        </row>
        <row r="99">
          <cell r="H99" t="str">
            <v>Tanzania</v>
          </cell>
        </row>
        <row r="100">
          <cell r="H100" t="str">
            <v>Thailand</v>
          </cell>
        </row>
        <row r="101">
          <cell r="H101" t="str">
            <v>Tunisia</v>
          </cell>
        </row>
        <row r="102">
          <cell r="H102" t="str">
            <v>Turkey</v>
          </cell>
        </row>
        <row r="103">
          <cell r="H103" t="str">
            <v>Uganda</v>
          </cell>
        </row>
        <row r="104">
          <cell r="H104" t="str">
            <v>Ukraine</v>
          </cell>
        </row>
        <row r="105">
          <cell r="H105" t="str">
            <v>United Arab Emirates</v>
          </cell>
        </row>
        <row r="106">
          <cell r="H106" t="str">
            <v>Uruguay</v>
          </cell>
        </row>
        <row r="107">
          <cell r="H107" t="str">
            <v>Uzbekistan</v>
          </cell>
        </row>
        <row r="108">
          <cell r="H108" t="str">
            <v>Venezuela</v>
          </cell>
        </row>
        <row r="109">
          <cell r="H109" t="str">
            <v>Vietnam</v>
          </cell>
        </row>
        <row r="110">
          <cell r="H110" t="str">
            <v>Yemen</v>
          </cell>
        </row>
      </sheetData>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elp"/>
      <sheetName val="Sheet1"/>
      <sheetName val="Internal Model &gt;&gt;&gt; "/>
      <sheetName val="Final PD_LGD"/>
      <sheetName val="PD"/>
      <sheetName val="LGD"/>
      <sheetName val="Moodys_GetData"/>
      <sheetName val="Assumptions"/>
      <sheetName val="Annex II"/>
      <sheetName val="EDF Calculation"/>
      <sheetName val="LGD Calculation"/>
      <sheetName val="Batch_LGD"/>
      <sheetName val="LGD Scorecard Definitions"/>
      <sheetName val="LGD Definitions"/>
      <sheetName val="PD Definitions"/>
      <sheetName val="PD_Parameters"/>
      <sheetName val="LGD_Parameters"/>
      <sheetName val="Lookups"/>
      <sheetName val="Private Country Mappings"/>
      <sheetName val="RC Model Metadata"/>
      <sheetName val=""/>
    </sheetNames>
    <sheetDataSet>
      <sheetData sheetId="0" refreshError="1"/>
      <sheetData sheetId="1" refreshError="1"/>
      <sheetData sheetId="2" refreshError="1"/>
      <sheetData sheetId="3" refreshError="1"/>
      <sheetData sheetId="4"/>
      <sheetData sheetId="5"/>
      <sheetData sheetId="6">
        <row r="77">
          <cell r="D77">
            <v>43951</v>
          </cell>
        </row>
      </sheetData>
      <sheetData sheetId="7">
        <row r="3">
          <cell r="N3" t="str">
            <v>n/a</v>
          </cell>
        </row>
        <row r="4">
          <cell r="N4">
            <v>1</v>
          </cell>
        </row>
        <row r="5">
          <cell r="N5">
            <v>2</v>
          </cell>
        </row>
        <row r="6">
          <cell r="N6">
            <v>3</v>
          </cell>
        </row>
        <row r="7">
          <cell r="N7">
            <v>4</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ow r="174">
          <cell r="B174" t="str">
            <v>Formal Checklist</v>
          </cell>
        </row>
      </sheetData>
      <sheetData sheetId="17">
        <row r="6">
          <cell r="B6" t="str">
            <v>Private</v>
          </cell>
        </row>
      </sheetData>
      <sheetData sheetId="18">
        <row r="5">
          <cell r="H5" t="str">
            <v>LossCalc Country</v>
          </cell>
        </row>
      </sheetData>
      <sheetData sheetId="19" refreshError="1"/>
      <sheetData sheetId="20" refreshError="1"/>
    </sheetDataSet>
  </externalBook>
</externalLink>
</file>

<file path=xl/persons/person.xml><?xml version="1.0" encoding="utf-8"?>
<personList xmlns="http://schemas.microsoft.com/office/spreadsheetml/2018/threadedcomments" xmlns:x="http://schemas.openxmlformats.org/spreadsheetml/2006/main">
  <person displayName="Smriti Ratwaya" id="{035B49DE-3D18-4E14-9045-2BC47FA82D11}" userId="S::Smriti.Ratwaya@oaknorth.co.uk::c530eaf3-c719-4e6a-a1de-4dd7cba28476" providerId="AD"/>
  <person displayName="Kshitij Pathak" id="{67FAADDD-1A06-481C-B61C-54581FFAEAC1}" userId="S::kshitij.pathak@oaknorth.co.uk::0fb7850b-0e95-4211-bc90-269d302546ea"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M1" dT="2022-05-24T09:04:33.98" personId="{67FAADDD-1A06-481C-B61C-54581FFAEAC1}" id="{A8E0E46F-EA1B-4DCE-A21A-43F7E0018088}">
    <text>UPDATE LGD MAPPING IN LGD DATA TAB</text>
  </threadedComment>
  <threadedComment ref="M46" dT="2021-04-28T07:26:02.65" personId="{035B49DE-3D18-4E14-9045-2BC47FA82D11}" id="{1744C1DB-E677-498D-9451-9006ADE41BF0}">
    <text>Updated in April 2021</text>
  </threadedComment>
  <threadedComment ref="N46" dT="2021-04-28T07:26:02.65" personId="{035B49DE-3D18-4E14-9045-2BC47FA82D11}" id="{046C1FAF-A301-4F0E-86A0-F8E344EB5AA7}">
    <text>Updated in April 2021</text>
  </threadedComment>
</ThreadedComments>
</file>

<file path=xl/threadedComments/threadedComment2.xml><?xml version="1.0" encoding="utf-8"?>
<ThreadedComments xmlns="http://schemas.microsoft.com/office/spreadsheetml/2018/threadedcomments" xmlns:x="http://schemas.openxmlformats.org/spreadsheetml/2006/main">
  <threadedComment ref="I1" dT="2022-05-24T09:42:14.15" personId="{67FAADDD-1A06-481C-B61C-54581FFAEAC1}" id="{61DBC33C-EBA9-4A2A-8271-F98DB52C849E}">
    <text>Verify cumulative formula</text>
  </threadedComment>
  <threadedComment ref="R11" dT="2021-02-01T09:07:07.99" personId="{035B49DE-3D18-4E14-9045-2BC47FA82D11}" id="{78A20703-EA93-4A54-A101-FBA69AB98944}">
    <text>To be discussed. also, apply this on column I to M</text>
  </threadedComment>
  <threadedComment ref="AP11" dT="2021-02-01T09:07:07.99" personId="{035B49DE-3D18-4E14-9045-2BC47FA82D11}" id="{4C0D97A3-426C-4FC1-9036-0422FE83E341}">
    <text>To be discussed. also, apply this on column I to M</text>
  </threadedComment>
  <threadedComment ref="BF11" dT="2021-02-01T09:07:07.99" personId="{035B49DE-3D18-4E14-9045-2BC47FA82D11}" id="{1ACBAB9B-12B1-4E39-8B82-6685988EBF32}">
    <text>To be discussed. also, apply this on column I to M</text>
  </threadedComment>
  <threadedComment ref="BU11" dT="2021-02-01T09:07:07.99" personId="{035B49DE-3D18-4E14-9045-2BC47FA82D11}" id="{E668FAC3-9E10-4F81-A562-27D829CD65E9}">
    <text>To be discussed. also, apply this on column I to M</text>
  </threadedComment>
  <threadedComment ref="H17" dT="2021-02-01T09:11:11.89" personId="{035B49DE-3D18-4E14-9045-2BC47FA82D11}" id="{1CACA348-157A-4ECD-A68A-399F3B0B8596}">
    <text>Updated from NCino as 2.89%</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 Id="rId4" Type="http://schemas.microsoft.com/office/2017/10/relationships/threadedComment" Target="../threadedComments/threadedComment1.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7.bin"/><Relationship Id="rId4" Type="http://schemas.microsoft.com/office/2017/10/relationships/threadedComment" Target="../threadedComments/threadedComment2.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7.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20.bin"/><Relationship Id="rId4" Type="http://schemas.openxmlformats.org/officeDocument/2006/relationships/comments" Target="../comments5.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21.bin"/><Relationship Id="rId4" Type="http://schemas.openxmlformats.org/officeDocument/2006/relationships/comments" Target="../comments6.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22.bin"/><Relationship Id="rId4" Type="http://schemas.openxmlformats.org/officeDocument/2006/relationships/comments" Target="../comments7.x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8E4D6-5723-4957-822D-6EEB405184C5}">
  <sheetPr codeName="Sheet1"/>
  <dimension ref="A2:P38"/>
  <sheetViews>
    <sheetView showGridLines="0" zoomScale="80" zoomScaleNormal="80" workbookViewId="0"/>
  </sheetViews>
  <sheetFormatPr defaultRowHeight="15" x14ac:dyDescent="0.25"/>
  <cols>
    <col min="1" max="1" width="6.28515625" customWidth="1"/>
    <col min="2" max="2" width="30" customWidth="1"/>
    <col min="4" max="4" width="0" hidden="1" customWidth="1"/>
    <col min="5" max="5" width="16.28515625" bestFit="1" customWidth="1"/>
    <col min="6" max="6" width="17.85546875" bestFit="1" customWidth="1"/>
    <col min="7" max="7" width="12.42578125" hidden="1" customWidth="1"/>
    <col min="8" max="8" width="12.42578125" customWidth="1"/>
    <col min="9" max="9" width="15.85546875" bestFit="1" customWidth="1"/>
    <col min="10" max="10" width="17.140625" bestFit="1" customWidth="1"/>
    <col min="11" max="11" width="18.42578125" bestFit="1" customWidth="1"/>
    <col min="12" max="12" width="18.42578125" customWidth="1"/>
    <col min="13" max="13" width="20.7109375" customWidth="1"/>
    <col min="14" max="14" width="20.28515625" customWidth="1"/>
    <col min="15" max="15" width="13.85546875" bestFit="1" customWidth="1"/>
    <col min="16" max="16" width="11.7109375" bestFit="1" customWidth="1"/>
  </cols>
  <sheetData>
    <row r="2" spans="1:16" x14ac:dyDescent="0.25">
      <c r="B2" s="95" t="s">
        <v>1738</v>
      </c>
    </row>
    <row r="3" spans="1:16" x14ac:dyDescent="0.25">
      <c r="J3" s="146"/>
    </row>
    <row r="4" spans="1:16" x14ac:dyDescent="0.25">
      <c r="B4" s="146"/>
      <c r="C4" s="146"/>
      <c r="D4" s="146"/>
      <c r="E4" s="146"/>
      <c r="F4" s="565" t="s">
        <v>1015</v>
      </c>
      <c r="G4" s="565"/>
      <c r="H4" s="565"/>
      <c r="I4" s="565"/>
      <c r="J4" s="256"/>
      <c r="K4" s="146"/>
      <c r="P4" s="3"/>
    </row>
    <row r="5" spans="1:16" x14ac:dyDescent="0.25">
      <c r="B5" s="258" t="s">
        <v>174</v>
      </c>
      <c r="C5" s="246" t="s">
        <v>150</v>
      </c>
      <c r="D5" s="246" t="s">
        <v>987</v>
      </c>
      <c r="E5" s="246" t="s">
        <v>984</v>
      </c>
      <c r="F5" s="246" t="s">
        <v>985</v>
      </c>
      <c r="G5" s="247" t="s">
        <v>986</v>
      </c>
      <c r="H5" s="247" t="s">
        <v>357</v>
      </c>
      <c r="I5" s="246" t="s">
        <v>367</v>
      </c>
    </row>
    <row r="6" spans="1:16" x14ac:dyDescent="0.25">
      <c r="B6" s="147">
        <v>1</v>
      </c>
      <c r="C6" s="257">
        <f>COUNTIF('Data Summary'!L:L,Results_Summary!B6)</f>
        <v>116</v>
      </c>
      <c r="D6" s="248" t="e" cm="1">
        <f t="array" ref="D6">SUMPRODUCT(--('Data Summary'!$L:$L=Results_Summary!$B6),'Data Summary'!$C:$C,'Data Summary'!#REF!)/SUMPRODUCT(--('Data Summary'!$L:$L=Results_Summary!$B6),'Data Summary'!$C:$C)</f>
        <v>#REF!</v>
      </c>
      <c r="E6" s="249">
        <f>SUMIF('Data Summary'!$L:$L,1,'Data Summary'!$C:$C)/10^6</f>
        <v>607.28521812999998</v>
      </c>
      <c r="F6" s="250" cm="1">
        <f t="array" ref="F6">SUMPRODUCT(--('Data Summary'!$L:$L=Results_Summary!$B6),'Data Summary'!$C:$C,'Data Summary'!$F:$F)/SUMPRODUCT(--('Data Summary'!$L:$L=Results_Summary!$B6),'Data Summary'!$C:$C)</f>
        <v>4.3622135046539411E-2</v>
      </c>
      <c r="G6" s="251" t="e" cm="1">
        <f t="array" ref="G6">SUMPRODUCT(--('Data Summary'!$L:$L=Results_Summary!$B6),'Data Summary'!C:C,'Data Summary'!#REF!)/SUMPRODUCT(--('Data Summary'!L:L=Results_Summary!$B6),'Data Summary'!C:C)</f>
        <v>#REF!</v>
      </c>
      <c r="H6" s="454" cm="1">
        <f t="array" ref="H6">SUMPRODUCT(--('Data Summary'!$L:$L=Results_Summary!$B6),'Data Summary'!C:C,'Data Summary'!G:G)/SUMPRODUCT(--('Data Summary'!L:L=Results_Summary!$B6),'Data Summary'!C:C)</f>
        <v>0.22785327383873893</v>
      </c>
      <c r="I6" s="249">
        <f>SUMIF('Data Summary'!$L:$L,1,'Data Summary'!$J:$J)</f>
        <v>3315582.0293135322</v>
      </c>
      <c r="O6" s="1"/>
    </row>
    <row r="7" spans="1:16" x14ac:dyDescent="0.25">
      <c r="B7" s="147">
        <v>2</v>
      </c>
      <c r="C7" s="257">
        <f>COUNTIF('Data Summary'!L:L,Results_Summary!B7)</f>
        <v>3</v>
      </c>
      <c r="D7" s="248" t="e" cm="1">
        <f t="array" ref="D7">SUMPRODUCT(--('Data Summary'!$L:$L=Results_Summary!$B7),'Data Summary'!$C:$C,'Data Summary'!#REF!)/SUMPRODUCT(--('Data Summary'!$L:$L=Results_Summary!$B7),'Data Summary'!$C:$C)</f>
        <v>#REF!</v>
      </c>
      <c r="E7" s="249">
        <f>SUMIF('Data Summary'!$L:$L,2,'Data Summary'!$C:$C)/10^6</f>
        <v>25</v>
      </c>
      <c r="F7" s="250" cm="1">
        <f t="array" ref="F7">SUMPRODUCT(--('Data Summary'!$L:$L=Results_Summary!$B7),'Data Summary'!$C:$C,'Data Summary'!$F:$F)/SUMPRODUCT(--('Data Summary'!$L:$L=Results_Summary!$B7),'Data Summary'!$C:$C)</f>
        <v>0.1411</v>
      </c>
      <c r="G7" s="251" t="e" cm="1">
        <f t="array" ref="G7">SUMPRODUCT(--('Data Summary'!$L:$L=Results_Summary!$B7),'Data Summary'!C:C,'Data Summary'!#REF!)/SUMPRODUCT(--('Data Summary'!L:L=Results_Summary!$B7),'Data Summary'!C:C)</f>
        <v>#REF!</v>
      </c>
      <c r="H7" s="454" cm="1">
        <f t="array" ref="H7">SUMPRODUCT(--('Data Summary'!$L:$L=Results_Summary!$B7),'Data Summary'!C:C,'Data Summary'!G:G)/SUMPRODUCT(--('Data Summary'!L:L=Results_Summary!$B7),'Data Summary'!C:C)</f>
        <v>0.33850601215969006</v>
      </c>
      <c r="I7" s="249">
        <f>SUMIF('Data Summary'!$L:$L,2,'Data Summary'!$J:$J)</f>
        <v>333461.25242918433</v>
      </c>
      <c r="O7" s="1"/>
    </row>
    <row r="8" spans="1:16" x14ac:dyDescent="0.25">
      <c r="B8" s="246" t="s">
        <v>601</v>
      </c>
      <c r="C8" s="259">
        <f>C7+C6</f>
        <v>119</v>
      </c>
      <c r="D8" s="252" t="e">
        <f>SUMPRODUCT(D6:D7,$E$6:$E$7)/SUM($E$6:$E$7)</f>
        <v>#REF!</v>
      </c>
      <c r="E8" s="275">
        <f>E6+E7</f>
        <v>632.28521812999998</v>
      </c>
      <c r="F8" s="254">
        <f>SUMPRODUCT(F6:F7,$E$6:$E$7)/SUM($E$6:$E$7)</f>
        <v>4.7476323874555741E-2</v>
      </c>
      <c r="G8" s="255" t="e">
        <f>SUMPRODUCT(G6:G7,$E$6:$E$7)/SUM($E$6:$E$7)</f>
        <v>#REF!</v>
      </c>
      <c r="H8" s="255">
        <f>SUMPRODUCT(H6:H7,$E$6:$E$7)/SUM($E$6:$E$7)</f>
        <v>0.23222838554260769</v>
      </c>
      <c r="I8" s="253">
        <f>I7+I6</f>
        <v>3649043.2817427167</v>
      </c>
      <c r="O8" s="1"/>
    </row>
    <row r="9" spans="1:16" ht="15.75" thickBot="1" x14ac:dyDescent="0.3">
      <c r="N9" s="67"/>
    </row>
    <row r="10" spans="1:16" x14ac:dyDescent="0.25">
      <c r="A10" s="149"/>
      <c r="B10" s="150"/>
      <c r="C10" s="150"/>
      <c r="D10" s="150"/>
      <c r="E10" s="150"/>
      <c r="F10" s="150"/>
      <c r="G10" s="150"/>
      <c r="H10" s="150"/>
      <c r="I10" s="150"/>
      <c r="J10" s="150"/>
      <c r="K10" s="150"/>
      <c r="L10" s="150"/>
      <c r="M10" s="150"/>
      <c r="N10" s="151"/>
    </row>
    <row r="11" spans="1:16" x14ac:dyDescent="0.25">
      <c r="A11" s="152"/>
      <c r="B11" s="158" t="s">
        <v>1148</v>
      </c>
      <c r="C11" s="153"/>
      <c r="D11" s="153"/>
      <c r="E11" s="153"/>
      <c r="F11" s="153"/>
      <c r="G11" s="153"/>
      <c r="H11" s="153"/>
      <c r="I11" s="153"/>
      <c r="J11" s="153"/>
      <c r="K11" s="153"/>
      <c r="L11" s="153"/>
      <c r="M11" s="153"/>
      <c r="N11" s="155"/>
    </row>
    <row r="12" spans="1:16" x14ac:dyDescent="0.25">
      <c r="A12" s="152"/>
      <c r="B12" s="158" t="s">
        <v>1149</v>
      </c>
      <c r="C12" s="153"/>
      <c r="D12" s="153"/>
      <c r="E12" s="153"/>
      <c r="F12" s="153"/>
      <c r="G12" s="153"/>
      <c r="H12" s="153"/>
      <c r="I12" s="153"/>
      <c r="J12" s="153"/>
      <c r="K12" s="153"/>
      <c r="L12" s="153"/>
      <c r="M12" s="153"/>
      <c r="N12" s="155"/>
    </row>
    <row r="13" spans="1:16" x14ac:dyDescent="0.25">
      <c r="A13" s="152"/>
      <c r="B13" s="153" t="s">
        <v>1145</v>
      </c>
      <c r="C13" s="153"/>
      <c r="D13" s="153"/>
      <c r="E13" s="153"/>
      <c r="F13" s="153"/>
      <c r="G13" s="153"/>
      <c r="H13" s="153"/>
      <c r="I13" s="153"/>
      <c r="J13" s="153"/>
      <c r="K13" s="153"/>
      <c r="L13" s="153"/>
      <c r="M13" s="154"/>
      <c r="N13" s="155"/>
    </row>
    <row r="14" spans="1:16" x14ac:dyDescent="0.25">
      <c r="A14" s="152"/>
      <c r="B14" s="156" t="s">
        <v>1125</v>
      </c>
      <c r="C14" s="153"/>
      <c r="D14" s="153"/>
      <c r="E14" s="153"/>
      <c r="F14" s="153"/>
      <c r="G14" s="153"/>
      <c r="H14" s="153"/>
      <c r="I14" s="153"/>
      <c r="J14" s="153"/>
      <c r="K14" s="153"/>
      <c r="L14" s="153"/>
      <c r="M14" s="153"/>
      <c r="N14" s="155"/>
    </row>
    <row r="15" spans="1:16" x14ac:dyDescent="0.25">
      <c r="A15" s="152"/>
      <c r="B15" s="156" t="s">
        <v>1144</v>
      </c>
      <c r="C15" s="153"/>
      <c r="D15" s="153"/>
      <c r="E15" s="153"/>
      <c r="F15" s="153"/>
      <c r="G15" s="153"/>
      <c r="H15" s="153"/>
      <c r="I15" s="153"/>
      <c r="J15" s="153"/>
      <c r="K15" s="153"/>
      <c r="L15" s="153"/>
      <c r="M15" s="153"/>
      <c r="N15" s="155"/>
    </row>
    <row r="16" spans="1:16" x14ac:dyDescent="0.25">
      <c r="A16" s="152"/>
      <c r="B16" s="156" t="s">
        <v>1158</v>
      </c>
      <c r="C16" s="153"/>
      <c r="D16" s="153"/>
      <c r="E16" s="153"/>
      <c r="F16" s="153"/>
      <c r="G16" s="153"/>
      <c r="H16" s="153"/>
      <c r="I16" s="153"/>
      <c r="J16" s="153"/>
      <c r="K16" s="153"/>
      <c r="L16" s="153"/>
      <c r="M16" s="153"/>
      <c r="N16" s="155"/>
    </row>
    <row r="17" spans="1:14" x14ac:dyDescent="0.25">
      <c r="A17" s="152"/>
      <c r="B17" s="156" t="s">
        <v>1146</v>
      </c>
      <c r="C17" s="153"/>
      <c r="D17" s="153"/>
      <c r="E17" s="153"/>
      <c r="F17" s="153"/>
      <c r="G17" s="153"/>
      <c r="H17" s="153"/>
      <c r="I17" s="153"/>
      <c r="J17" s="153"/>
      <c r="K17" s="153"/>
      <c r="L17" s="153"/>
      <c r="M17" s="153"/>
      <c r="N17" s="155"/>
    </row>
    <row r="18" spans="1:14" x14ac:dyDescent="0.25">
      <c r="A18" s="152"/>
      <c r="B18" s="156" t="s">
        <v>1126</v>
      </c>
      <c r="C18" s="153"/>
      <c r="D18" s="153"/>
      <c r="E18" s="153"/>
      <c r="F18" s="153"/>
      <c r="G18" s="153"/>
      <c r="H18" s="153"/>
      <c r="I18" s="153"/>
      <c r="J18" s="153"/>
      <c r="K18" s="153"/>
      <c r="L18" s="153"/>
      <c r="M18" s="153"/>
      <c r="N18" s="155"/>
    </row>
    <row r="19" spans="1:14" x14ac:dyDescent="0.25">
      <c r="A19" s="152"/>
      <c r="B19" s="157" t="s">
        <v>1127</v>
      </c>
      <c r="C19" s="153"/>
      <c r="D19" s="153"/>
      <c r="E19" s="153"/>
      <c r="F19" s="153"/>
      <c r="G19" s="153"/>
      <c r="H19" s="153"/>
      <c r="I19" s="153"/>
      <c r="J19" s="153"/>
      <c r="K19" s="153"/>
      <c r="L19" s="153"/>
      <c r="M19" s="153"/>
      <c r="N19" s="155"/>
    </row>
    <row r="20" spans="1:14" x14ac:dyDescent="0.25">
      <c r="A20" s="152"/>
      <c r="B20" s="158" t="s">
        <v>1128</v>
      </c>
      <c r="C20" s="153"/>
      <c r="D20" s="153"/>
      <c r="E20" s="153"/>
      <c r="F20" s="153"/>
      <c r="G20" s="153"/>
      <c r="H20" s="153"/>
      <c r="I20" s="153"/>
      <c r="J20" s="153"/>
      <c r="K20" s="153"/>
      <c r="L20" s="153"/>
      <c r="M20" s="153"/>
      <c r="N20" s="155"/>
    </row>
    <row r="21" spans="1:14" x14ac:dyDescent="0.25">
      <c r="A21" s="152"/>
      <c r="B21" s="158" t="s">
        <v>1129</v>
      </c>
      <c r="C21" s="153"/>
      <c r="D21" s="153"/>
      <c r="E21" s="153"/>
      <c r="F21" s="153"/>
      <c r="G21" s="153"/>
      <c r="H21" s="153"/>
      <c r="I21" s="153"/>
      <c r="J21" s="153"/>
      <c r="K21" s="153"/>
      <c r="L21" s="153"/>
      <c r="M21" s="153"/>
      <c r="N21" s="155"/>
    </row>
    <row r="22" spans="1:14" x14ac:dyDescent="0.25">
      <c r="A22" s="152"/>
      <c r="B22" s="158" t="s">
        <v>1130</v>
      </c>
      <c r="C22" s="153"/>
      <c r="D22" s="153"/>
      <c r="E22" s="153"/>
      <c r="F22" s="153"/>
      <c r="G22" s="153"/>
      <c r="H22" s="153"/>
      <c r="I22" s="153"/>
      <c r="J22" s="153"/>
      <c r="K22" s="153"/>
      <c r="L22" s="153"/>
      <c r="M22" s="153"/>
      <c r="N22" s="155"/>
    </row>
    <row r="23" spans="1:14" x14ac:dyDescent="0.25">
      <c r="A23" s="152"/>
      <c r="B23" s="158" t="s">
        <v>1141</v>
      </c>
      <c r="C23" s="153"/>
      <c r="D23" s="153"/>
      <c r="E23" s="153"/>
      <c r="F23" s="153"/>
      <c r="G23" s="153"/>
      <c r="H23" s="153"/>
      <c r="I23" s="153"/>
      <c r="J23" s="153"/>
      <c r="K23" s="153"/>
      <c r="L23" s="153"/>
      <c r="M23" s="153"/>
      <c r="N23" s="155"/>
    </row>
    <row r="24" spans="1:14" x14ac:dyDescent="0.25">
      <c r="A24" s="152"/>
      <c r="B24" s="158" t="s">
        <v>1131</v>
      </c>
      <c r="C24" s="153"/>
      <c r="D24" s="153"/>
      <c r="E24" s="153"/>
      <c r="F24" s="153"/>
      <c r="G24" s="153"/>
      <c r="H24" s="153"/>
      <c r="I24" s="153"/>
      <c r="J24" s="153"/>
      <c r="K24" s="153"/>
      <c r="L24" s="153"/>
      <c r="M24" s="153"/>
      <c r="N24" s="155"/>
    </row>
    <row r="25" spans="1:14" x14ac:dyDescent="0.25">
      <c r="A25" s="152"/>
      <c r="B25" s="158" t="s">
        <v>1132</v>
      </c>
      <c r="C25" s="153"/>
      <c r="D25" s="153"/>
      <c r="E25" s="153"/>
      <c r="F25" s="153"/>
      <c r="G25" s="153"/>
      <c r="H25" s="153"/>
      <c r="I25" s="153"/>
      <c r="J25" s="153"/>
      <c r="K25" s="153"/>
      <c r="L25" s="153"/>
      <c r="M25" s="153"/>
      <c r="N25" s="155"/>
    </row>
    <row r="26" spans="1:14" x14ac:dyDescent="0.25">
      <c r="A26" s="152"/>
      <c r="B26" s="158" t="s">
        <v>1133</v>
      </c>
      <c r="C26" s="153"/>
      <c r="D26" s="153"/>
      <c r="E26" s="153"/>
      <c r="F26" s="153"/>
      <c r="G26" s="153"/>
      <c r="H26" s="153"/>
      <c r="I26" s="153"/>
      <c r="J26" s="153"/>
      <c r="K26" s="153"/>
      <c r="L26" s="153"/>
      <c r="M26" s="153"/>
      <c r="N26" s="155"/>
    </row>
    <row r="27" spans="1:14" x14ac:dyDescent="0.25">
      <c r="A27" s="152"/>
      <c r="B27" s="158" t="s">
        <v>1134</v>
      </c>
      <c r="C27" s="153"/>
      <c r="D27" s="153"/>
      <c r="E27" s="153"/>
      <c r="F27" s="153"/>
      <c r="G27" s="153"/>
      <c r="H27" s="153"/>
      <c r="I27" s="153"/>
      <c r="J27" s="153"/>
      <c r="K27" s="153"/>
      <c r="L27" s="153"/>
      <c r="M27" s="153"/>
      <c r="N27" s="155"/>
    </row>
    <row r="28" spans="1:14" x14ac:dyDescent="0.25">
      <c r="A28" s="152"/>
      <c r="B28" s="158" t="s">
        <v>1138</v>
      </c>
      <c r="C28" s="153"/>
      <c r="D28" s="153"/>
      <c r="E28" s="153"/>
      <c r="F28" s="153"/>
      <c r="G28" s="153"/>
      <c r="H28" s="153"/>
      <c r="I28" s="153"/>
      <c r="J28" s="153"/>
      <c r="K28" s="153"/>
      <c r="L28" s="153"/>
      <c r="M28" s="153"/>
      <c r="N28" s="155"/>
    </row>
    <row r="29" spans="1:14" x14ac:dyDescent="0.25">
      <c r="A29" s="152"/>
      <c r="B29" s="158" t="s">
        <v>1135</v>
      </c>
      <c r="C29" s="153"/>
      <c r="D29" s="153"/>
      <c r="E29" s="153"/>
      <c r="F29" s="153"/>
      <c r="G29" s="153"/>
      <c r="H29" s="153"/>
      <c r="I29" s="153"/>
      <c r="J29" s="153"/>
      <c r="K29" s="153"/>
      <c r="L29" s="153"/>
      <c r="M29" s="153"/>
      <c r="N29" s="155"/>
    </row>
    <row r="30" spans="1:14" x14ac:dyDescent="0.25">
      <c r="A30" s="152"/>
      <c r="B30" s="158" t="s">
        <v>1136</v>
      </c>
      <c r="C30" s="153"/>
      <c r="D30" s="153"/>
      <c r="E30" s="153"/>
      <c r="F30" s="153"/>
      <c r="G30" s="153"/>
      <c r="H30" s="153"/>
      <c r="I30" s="153"/>
      <c r="J30" s="153"/>
      <c r="K30" s="153"/>
      <c r="L30" s="153"/>
      <c r="M30" s="153"/>
      <c r="N30" s="155"/>
    </row>
    <row r="31" spans="1:14" x14ac:dyDescent="0.25">
      <c r="A31" s="152"/>
      <c r="B31" s="158" t="s">
        <v>1137</v>
      </c>
      <c r="C31" s="153"/>
      <c r="D31" s="153"/>
      <c r="E31" s="153"/>
      <c r="F31" s="153"/>
      <c r="G31" s="153"/>
      <c r="H31" s="153"/>
      <c r="I31" s="153"/>
      <c r="J31" s="153"/>
      <c r="K31" s="153"/>
      <c r="L31" s="153"/>
      <c r="M31" s="153"/>
      <c r="N31" s="155"/>
    </row>
    <row r="32" spans="1:14" x14ac:dyDescent="0.25">
      <c r="A32" s="152"/>
      <c r="B32" s="153" t="s">
        <v>1147</v>
      </c>
      <c r="C32" s="153"/>
      <c r="D32" s="153"/>
      <c r="E32" s="153"/>
      <c r="F32" s="153"/>
      <c r="G32" s="153"/>
      <c r="H32" s="153"/>
      <c r="I32" s="153"/>
      <c r="J32" s="153"/>
      <c r="K32" s="153"/>
      <c r="L32" s="153"/>
      <c r="M32" s="153"/>
      <c r="N32" s="155"/>
    </row>
    <row r="33" spans="1:14" x14ac:dyDescent="0.25">
      <c r="A33" s="152"/>
      <c r="B33" s="153" t="s">
        <v>1139</v>
      </c>
      <c r="C33" s="153"/>
      <c r="D33" s="153"/>
      <c r="E33" s="153"/>
      <c r="F33" s="153"/>
      <c r="G33" s="153"/>
      <c r="H33" s="153"/>
      <c r="I33" s="153"/>
      <c r="J33" s="153"/>
      <c r="K33" s="153"/>
      <c r="L33" s="153"/>
      <c r="M33" s="153"/>
      <c r="N33" s="155"/>
    </row>
    <row r="34" spans="1:14" x14ac:dyDescent="0.25">
      <c r="A34" s="152"/>
      <c r="B34" s="153" t="s">
        <v>1140</v>
      </c>
      <c r="C34" s="153"/>
      <c r="D34" s="153"/>
      <c r="E34" s="153"/>
      <c r="F34" s="153"/>
      <c r="G34" s="153"/>
      <c r="H34" s="153"/>
      <c r="I34" s="153"/>
      <c r="J34" s="153"/>
      <c r="K34" s="153"/>
      <c r="L34" s="153"/>
      <c r="M34" s="153"/>
      <c r="N34" s="155"/>
    </row>
    <row r="35" spans="1:14" x14ac:dyDescent="0.25">
      <c r="A35" s="152"/>
      <c r="B35" s="153" t="s">
        <v>1142</v>
      </c>
      <c r="C35" s="153"/>
      <c r="D35" s="153"/>
      <c r="E35" s="153"/>
      <c r="F35" s="153"/>
      <c r="G35" s="153"/>
      <c r="H35" s="153"/>
      <c r="I35" s="153"/>
      <c r="J35" s="153"/>
      <c r="K35" s="153"/>
      <c r="L35" s="153"/>
      <c r="M35" s="153"/>
      <c r="N35" s="155"/>
    </row>
    <row r="36" spans="1:14" x14ac:dyDescent="0.25">
      <c r="A36" s="152"/>
      <c r="B36" s="153" t="s">
        <v>1143</v>
      </c>
      <c r="C36" s="153"/>
      <c r="D36" s="153"/>
      <c r="E36" s="153"/>
      <c r="F36" s="153"/>
      <c r="G36" s="153"/>
      <c r="H36" s="153"/>
      <c r="I36" s="153"/>
      <c r="J36" s="153"/>
      <c r="K36" s="153"/>
      <c r="L36" s="153"/>
      <c r="M36" s="153"/>
      <c r="N36" s="155"/>
    </row>
    <row r="37" spans="1:14" x14ac:dyDescent="0.25">
      <c r="A37" s="152"/>
      <c r="B37" s="163" t="s">
        <v>1157</v>
      </c>
      <c r="C37" s="153"/>
      <c r="D37" s="153"/>
      <c r="E37" s="153"/>
      <c r="F37" s="153"/>
      <c r="G37" s="153"/>
      <c r="H37" s="153"/>
      <c r="I37" s="153"/>
      <c r="J37" s="153"/>
      <c r="K37" s="153"/>
      <c r="L37" s="153"/>
      <c r="M37" s="153"/>
      <c r="N37" s="155"/>
    </row>
    <row r="38" spans="1:14" ht="15.75" thickBot="1" x14ac:dyDescent="0.3">
      <c r="A38" s="159"/>
      <c r="B38" s="162"/>
      <c r="C38" s="160"/>
      <c r="D38" s="160"/>
      <c r="E38" s="160"/>
      <c r="F38" s="160"/>
      <c r="G38" s="160"/>
      <c r="H38" s="160"/>
      <c r="I38" s="160"/>
      <c r="J38" s="160"/>
      <c r="K38" s="160"/>
      <c r="L38" s="160"/>
      <c r="M38" s="160"/>
      <c r="N38" s="161"/>
    </row>
  </sheetData>
  <mergeCells count="1">
    <mergeCell ref="F4:I4"/>
  </mergeCells>
  <pageMargins left="0.7" right="0.7" top="0.75" bottom="0.75" header="0.3" footer="0.3"/>
  <pageSetup orientation="portrait" horizontalDpi="4294967293" r:id="rId1"/>
  <ignoredErrors>
    <ignoredError sqref="E8"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A0DB4-27F4-4EA7-B4AE-9CEA3FE51DB3}">
  <sheetPr codeName="Sheet2"/>
  <dimension ref="A1:U82"/>
  <sheetViews>
    <sheetView zoomScale="90" zoomScaleNormal="90" workbookViewId="0">
      <selection activeCell="A2" sqref="A2"/>
    </sheetView>
  </sheetViews>
  <sheetFormatPr defaultRowHeight="15" x14ac:dyDescent="0.25"/>
  <cols>
    <col min="1" max="9" width="9.140625" style="346"/>
    <col min="10" max="10" width="22.140625" style="346" bestFit="1" customWidth="1"/>
    <col min="11" max="16384" width="9.140625" style="346"/>
  </cols>
  <sheetData>
    <row r="1" spans="1:21" x14ac:dyDescent="0.25">
      <c r="A1" s="346" t="s">
        <v>0</v>
      </c>
      <c r="B1" s="346" t="s">
        <v>174</v>
      </c>
      <c r="C1" s="346" t="s">
        <v>685</v>
      </c>
      <c r="D1" s="346" t="s">
        <v>686</v>
      </c>
      <c r="E1" s="346" t="s">
        <v>1006</v>
      </c>
      <c r="F1" s="346" t="s">
        <v>1007</v>
      </c>
      <c r="G1" s="346" t="s">
        <v>1008</v>
      </c>
      <c r="H1" s="346" t="s">
        <v>1009</v>
      </c>
      <c r="I1" s="346" t="s">
        <v>1200</v>
      </c>
      <c r="J1" s="346" t="s">
        <v>1201</v>
      </c>
      <c r="K1" s="346" t="s">
        <v>1202</v>
      </c>
      <c r="L1" s="346" t="s">
        <v>1203</v>
      </c>
      <c r="M1" s="346" t="s">
        <v>1204</v>
      </c>
      <c r="U1" s="346" t="s">
        <v>0</v>
      </c>
    </row>
    <row r="2" spans="1:21" x14ac:dyDescent="0.25">
      <c r="A2" s="346" t="s">
        <v>163</v>
      </c>
      <c r="B2" s="346" t="s">
        <v>1058</v>
      </c>
      <c r="C2" s="346">
        <v>1.1545181371533901</v>
      </c>
      <c r="D2" s="346">
        <v>0</v>
      </c>
      <c r="E2" s="68">
        <v>3.0889055430644276E-2</v>
      </c>
      <c r="F2" s="68">
        <v>5.4610221542813919E-2</v>
      </c>
      <c r="G2" s="68">
        <v>5.612344217150389E-2</v>
      </c>
      <c r="H2" s="68">
        <v>5.7800000000000004E-2</v>
      </c>
      <c r="I2" s="346">
        <f>IFERROR(VLOOKUP(A2,U:U,1,FALSE),0)</f>
        <v>0</v>
      </c>
      <c r="J2" s="351">
        <f t="shared" ref="J2:M33" si="0">E2/$H2</f>
        <v>0.53441272371356874</v>
      </c>
      <c r="K2" s="351">
        <f t="shared" si="0"/>
        <v>0.94481352150197084</v>
      </c>
      <c r="L2" s="351">
        <f t="shared" si="0"/>
        <v>0.97099380919556899</v>
      </c>
      <c r="M2" s="351">
        <f t="shared" si="0"/>
        <v>1</v>
      </c>
      <c r="N2" s="351"/>
      <c r="O2" s="346" t="s">
        <v>1186</v>
      </c>
      <c r="P2" s="349">
        <f>AVERAGEIFS(J:J,$B:$B,1,$I:$I,0)</f>
        <v>0.55396267219471307</v>
      </c>
      <c r="U2" s="346" t="s">
        <v>127</v>
      </c>
    </row>
    <row r="3" spans="1:21" x14ac:dyDescent="0.25">
      <c r="A3" s="346" t="s">
        <v>103</v>
      </c>
      <c r="B3" s="346">
        <v>1</v>
      </c>
      <c r="C3" s="346">
        <v>0.85403158493038633</v>
      </c>
      <c r="D3" s="346">
        <v>23000000</v>
      </c>
      <c r="E3" s="68">
        <v>1.1809159922592963E-2</v>
      </c>
      <c r="F3" s="68">
        <v>2.0732546020071019E-2</v>
      </c>
      <c r="G3" s="68">
        <v>2.1138172401423794E-2</v>
      </c>
      <c r="H3" s="68">
        <v>2.1600000000000001E-2</v>
      </c>
      <c r="I3" s="346">
        <f t="shared" ref="I3:I66" si="1">IFERROR(VLOOKUP(A3,U:U,1,FALSE),0)</f>
        <v>0</v>
      </c>
      <c r="J3" s="351">
        <f t="shared" si="0"/>
        <v>0.54672036678671121</v>
      </c>
      <c r="K3" s="351">
        <f t="shared" si="0"/>
        <v>0.95984009352180633</v>
      </c>
      <c r="L3" s="351">
        <f t="shared" si="0"/>
        <v>0.97861909265850888</v>
      </c>
      <c r="M3" s="351">
        <f t="shared" si="0"/>
        <v>1</v>
      </c>
      <c r="N3" s="351"/>
      <c r="O3" s="346" t="s">
        <v>1187</v>
      </c>
      <c r="P3" s="263">
        <f>AVERAGEIFS(K:K,$B:$B,1,$I:$I,0)</f>
        <v>0.96707639851680061</v>
      </c>
      <c r="U3" s="346" t="s">
        <v>1057</v>
      </c>
    </row>
    <row r="4" spans="1:21" x14ac:dyDescent="0.25">
      <c r="A4" s="346" t="s">
        <v>108</v>
      </c>
      <c r="B4" s="346" t="s">
        <v>1058</v>
      </c>
      <c r="C4" s="346">
        <v>0.81585332932930932</v>
      </c>
      <c r="D4" s="346">
        <v>0</v>
      </c>
      <c r="E4" s="68">
        <v>5.6360630054274365E-3</v>
      </c>
      <c r="F4" s="68">
        <v>9.8161318463929614E-3</v>
      </c>
      <c r="G4" s="68">
        <v>9.9654162480383723E-3</v>
      </c>
      <c r="H4" s="68">
        <v>1.0100000000000001E-2</v>
      </c>
      <c r="I4" s="346">
        <f t="shared" si="1"/>
        <v>0</v>
      </c>
      <c r="J4" s="351">
        <f t="shared" si="0"/>
        <v>0.55802604014133028</v>
      </c>
      <c r="K4" s="351">
        <f t="shared" si="0"/>
        <v>0.97189424221712473</v>
      </c>
      <c r="L4" s="351">
        <f t="shared" si="0"/>
        <v>0.98667487604340309</v>
      </c>
      <c r="M4" s="351">
        <f t="shared" si="0"/>
        <v>1</v>
      </c>
      <c r="N4" s="351"/>
      <c r="O4" s="346" t="s">
        <v>1188</v>
      </c>
      <c r="P4" s="349">
        <f>AVERAGEIFS(L:L,$B:$B,1,$I:$I,0)</f>
        <v>0.98472408020506108</v>
      </c>
      <c r="U4" s="346" t="s">
        <v>1056</v>
      </c>
    </row>
    <row r="5" spans="1:21" x14ac:dyDescent="0.25">
      <c r="A5" s="346" t="s">
        <v>109</v>
      </c>
      <c r="B5" s="346" t="s">
        <v>1058</v>
      </c>
      <c r="C5" s="346">
        <v>0.84869464907204939</v>
      </c>
      <c r="D5" s="346">
        <v>0</v>
      </c>
      <c r="E5" s="68">
        <v>1.1474064745395045E-2</v>
      </c>
      <c r="F5" s="68">
        <v>2.0138466273161737E-2</v>
      </c>
      <c r="G5" s="68">
        <v>2.0528520564093489E-2</v>
      </c>
      <c r="H5" s="68">
        <v>2.98E-2</v>
      </c>
      <c r="I5" s="346" t="str">
        <f t="shared" si="1"/>
        <v>Daisy Green Food Limited</v>
      </c>
      <c r="J5" s="351">
        <f t="shared" si="0"/>
        <v>0.38503572971124311</v>
      </c>
      <c r="K5" s="351">
        <f t="shared" si="0"/>
        <v>0.67578745883093072</v>
      </c>
      <c r="L5" s="351">
        <f t="shared" si="0"/>
        <v>0.68887652899642582</v>
      </c>
      <c r="M5" s="351">
        <f t="shared" si="0"/>
        <v>1</v>
      </c>
      <c r="N5" s="351"/>
      <c r="O5" s="346" t="s">
        <v>1189</v>
      </c>
      <c r="P5" s="349">
        <f>AVERAGEIFS(M:M,$B:$B,1,$I:$I,0)</f>
        <v>1</v>
      </c>
      <c r="U5" s="346" t="s">
        <v>123</v>
      </c>
    </row>
    <row r="6" spans="1:21" x14ac:dyDescent="0.25">
      <c r="A6" s="346" t="s">
        <v>111</v>
      </c>
      <c r="B6" s="346">
        <v>1</v>
      </c>
      <c r="C6" s="346">
        <v>1.0454567534063925</v>
      </c>
      <c r="D6" s="346">
        <v>477091.47</v>
      </c>
      <c r="E6" s="68">
        <v>5.3535002548060337E-3</v>
      </c>
      <c r="F6" s="68">
        <v>9.3185338002594875E-3</v>
      </c>
      <c r="G6" s="68">
        <v>9.457864634658697E-3</v>
      </c>
      <c r="H6" s="68">
        <v>9.6000000000000009E-3</v>
      </c>
      <c r="I6" s="346">
        <f t="shared" si="1"/>
        <v>0</v>
      </c>
      <c r="J6" s="351">
        <f t="shared" si="0"/>
        <v>0.5576562765422951</v>
      </c>
      <c r="K6" s="351">
        <f t="shared" si="0"/>
        <v>0.97068060419369651</v>
      </c>
      <c r="L6" s="351">
        <f t="shared" si="0"/>
        <v>0.98519423277694751</v>
      </c>
      <c r="M6" s="351">
        <f t="shared" si="0"/>
        <v>1</v>
      </c>
      <c r="N6" s="351"/>
      <c r="P6" s="351"/>
      <c r="U6" s="346" t="s">
        <v>122</v>
      </c>
    </row>
    <row r="7" spans="1:21" x14ac:dyDescent="0.25">
      <c r="A7" s="346" t="s">
        <v>112</v>
      </c>
      <c r="B7" s="346">
        <v>1</v>
      </c>
      <c r="C7" s="346">
        <v>0.7507237169889841</v>
      </c>
      <c r="D7" s="346">
        <v>5416666.6399999997</v>
      </c>
      <c r="E7" s="68">
        <v>1.1538630666407732E-2</v>
      </c>
      <c r="F7" s="68">
        <v>2.0252924240271031E-2</v>
      </c>
      <c r="G7" s="68">
        <v>2.0645965795571097E-2</v>
      </c>
      <c r="H7" s="68">
        <v>2.1000000000000001E-2</v>
      </c>
      <c r="I7" s="346">
        <f t="shared" si="1"/>
        <v>0</v>
      </c>
      <c r="J7" s="351">
        <f t="shared" si="0"/>
        <v>0.54945860316227291</v>
      </c>
      <c r="K7" s="351">
        <f t="shared" si="0"/>
        <v>0.96442496382242993</v>
      </c>
      <c r="L7" s="351">
        <f t="shared" si="0"/>
        <v>0.98314122836052842</v>
      </c>
      <c r="M7" s="351">
        <f t="shared" si="0"/>
        <v>1</v>
      </c>
      <c r="N7" s="351"/>
      <c r="U7" s="346" t="s">
        <v>137</v>
      </c>
    </row>
    <row r="8" spans="1:21" x14ac:dyDescent="0.25">
      <c r="A8" s="346" t="s">
        <v>113</v>
      </c>
      <c r="B8" s="346">
        <v>1</v>
      </c>
      <c r="C8" s="346">
        <v>0.89934196499461283</v>
      </c>
      <c r="D8" s="346">
        <v>1756250</v>
      </c>
      <c r="E8" s="68">
        <v>4.2539997702239016E-3</v>
      </c>
      <c r="F8" s="68">
        <v>7.3851369849777804E-3</v>
      </c>
      <c r="G8" s="68">
        <v>7.4875749243784595E-3</v>
      </c>
      <c r="H8" s="68">
        <v>7.6E-3</v>
      </c>
      <c r="I8" s="346">
        <f t="shared" si="1"/>
        <v>0</v>
      </c>
      <c r="J8" s="351">
        <f t="shared" si="0"/>
        <v>0.55973681187156599</v>
      </c>
      <c r="K8" s="351">
        <f t="shared" si="0"/>
        <v>0.9717285506549711</v>
      </c>
      <c r="L8" s="351">
        <f t="shared" si="0"/>
        <v>0.98520722689190254</v>
      </c>
      <c r="M8" s="351">
        <f t="shared" si="0"/>
        <v>1</v>
      </c>
      <c r="N8" s="351"/>
      <c r="U8" s="346" t="s">
        <v>966</v>
      </c>
    </row>
    <row r="9" spans="1:21" x14ac:dyDescent="0.25">
      <c r="A9" s="346" t="s">
        <v>116</v>
      </c>
      <c r="B9" s="346" t="s">
        <v>1058</v>
      </c>
      <c r="C9" s="346">
        <v>0.78436891229494543</v>
      </c>
      <c r="D9" s="346">
        <v>0</v>
      </c>
      <c r="E9" s="68">
        <v>2.5508031644601793E-2</v>
      </c>
      <c r="F9" s="68">
        <v>4.5059357237058117E-2</v>
      </c>
      <c r="G9" s="68">
        <v>4.6222473857863933E-2</v>
      </c>
      <c r="H9" s="68">
        <v>4.7500000000000001E-2</v>
      </c>
      <c r="I9" s="346">
        <f t="shared" si="1"/>
        <v>0</v>
      </c>
      <c r="J9" s="351">
        <f t="shared" si="0"/>
        <v>0.5370111925179325</v>
      </c>
      <c r="K9" s="351">
        <f t="shared" si="0"/>
        <v>0.94861804709596032</v>
      </c>
      <c r="L9" s="351">
        <f t="shared" si="0"/>
        <v>0.9731047127971354</v>
      </c>
      <c r="M9" s="351">
        <f t="shared" si="0"/>
        <v>1</v>
      </c>
      <c r="N9" s="351"/>
      <c r="U9" s="346" t="s">
        <v>1159</v>
      </c>
    </row>
    <row r="10" spans="1:21" x14ac:dyDescent="0.25">
      <c r="A10" s="346" t="s">
        <v>117</v>
      </c>
      <c r="B10" s="346">
        <v>1</v>
      </c>
      <c r="C10" s="346">
        <v>0.52254496867006539</v>
      </c>
      <c r="D10" s="346">
        <v>3950000</v>
      </c>
      <c r="E10" s="68">
        <v>6.8298383176428534E-3</v>
      </c>
      <c r="F10" s="68">
        <v>1.1921095667560944E-2</v>
      </c>
      <c r="G10" s="68">
        <v>1.2114381524748197E-2</v>
      </c>
      <c r="H10" s="68">
        <v>1.23E-2</v>
      </c>
      <c r="I10" s="346">
        <f t="shared" si="1"/>
        <v>0</v>
      </c>
      <c r="J10" s="351">
        <f t="shared" si="0"/>
        <v>0.55527140793844332</v>
      </c>
      <c r="K10" s="351">
        <f t="shared" si="0"/>
        <v>0.96919476972040186</v>
      </c>
      <c r="L10" s="351">
        <f t="shared" si="0"/>
        <v>0.98490906705269887</v>
      </c>
      <c r="M10" s="351">
        <f t="shared" si="0"/>
        <v>1</v>
      </c>
      <c r="N10" s="351"/>
      <c r="U10" s="346" t="s">
        <v>1160</v>
      </c>
    </row>
    <row r="11" spans="1:21" x14ac:dyDescent="0.25">
      <c r="A11" s="346" t="s">
        <v>120</v>
      </c>
      <c r="B11" s="346">
        <v>1</v>
      </c>
      <c r="C11" s="346">
        <v>1.0291201241817902</v>
      </c>
      <c r="D11" s="346">
        <v>1666666.58</v>
      </c>
      <c r="E11" s="68">
        <v>1.1032310407182883E-2</v>
      </c>
      <c r="F11" s="68">
        <v>1.9355475090230945E-2</v>
      </c>
      <c r="G11" s="68">
        <v>1.9725261459270782E-2</v>
      </c>
      <c r="H11" s="68">
        <v>2.01E-2</v>
      </c>
      <c r="I11" s="346">
        <f t="shared" si="1"/>
        <v>0</v>
      </c>
      <c r="J11" s="351">
        <f t="shared" si="0"/>
        <v>0.5488711645364619</v>
      </c>
      <c r="K11" s="351">
        <f t="shared" si="0"/>
        <v>0.96295895971298229</v>
      </c>
      <c r="L11" s="351">
        <f t="shared" si="0"/>
        <v>0.98135629150600912</v>
      </c>
      <c r="M11" s="351">
        <f t="shared" si="0"/>
        <v>1</v>
      </c>
      <c r="N11" s="351"/>
      <c r="U11" s="346" t="s">
        <v>1161</v>
      </c>
    </row>
    <row r="12" spans="1:21" x14ac:dyDescent="0.25">
      <c r="A12" s="346" t="s">
        <v>121</v>
      </c>
      <c r="B12" s="346">
        <v>1</v>
      </c>
      <c r="C12" s="346">
        <v>0.96246960278082039</v>
      </c>
      <c r="D12" s="346">
        <v>17000000</v>
      </c>
      <c r="E12" s="68">
        <v>5.8600997987296099E-3</v>
      </c>
      <c r="F12" s="68">
        <v>1.0210851266657994E-2</v>
      </c>
      <c r="G12" s="68">
        <v>1.0368157066734773E-2</v>
      </c>
      <c r="H12" s="68">
        <v>1.0500000000000001E-2</v>
      </c>
      <c r="I12" s="346">
        <f t="shared" si="1"/>
        <v>0</v>
      </c>
      <c r="J12" s="351">
        <f t="shared" si="0"/>
        <v>0.55810474273615329</v>
      </c>
      <c r="K12" s="351">
        <f t="shared" si="0"/>
        <v>0.97246202539599935</v>
      </c>
      <c r="L12" s="351">
        <f t="shared" si="0"/>
        <v>0.98744353016521647</v>
      </c>
      <c r="M12" s="351">
        <f t="shared" si="0"/>
        <v>1</v>
      </c>
      <c r="N12" s="351"/>
      <c r="U12" s="346" t="s">
        <v>1162</v>
      </c>
    </row>
    <row r="13" spans="1:21" x14ac:dyDescent="0.25">
      <c r="A13" s="346" t="s">
        <v>122</v>
      </c>
      <c r="B13" s="346">
        <v>1</v>
      </c>
      <c r="C13" s="346">
        <v>0.74540929022034119</v>
      </c>
      <c r="D13" s="346">
        <v>9454642.5500000007</v>
      </c>
      <c r="E13" s="68">
        <v>8.6558547387227767E-3</v>
      </c>
      <c r="F13" s="68">
        <v>1.5147637261710645E-2</v>
      </c>
      <c r="G13" s="68">
        <v>1.541377665085597E-2</v>
      </c>
      <c r="H13" s="68">
        <v>1.5800000000000002E-2</v>
      </c>
      <c r="I13" s="346" t="str">
        <f t="shared" si="1"/>
        <v>LV Group Limited - Facility A</v>
      </c>
      <c r="J13" s="351">
        <f t="shared" si="0"/>
        <v>0.54783890751409969</v>
      </c>
      <c r="K13" s="351">
        <f t="shared" si="0"/>
        <v>0.9587112190956103</v>
      </c>
      <c r="L13" s="351">
        <f t="shared" si="0"/>
        <v>0.97555548423139038</v>
      </c>
      <c r="M13" s="351">
        <f t="shared" si="0"/>
        <v>1</v>
      </c>
      <c r="N13" s="351"/>
      <c r="U13" s="346" t="s">
        <v>1163</v>
      </c>
    </row>
    <row r="14" spans="1:21" x14ac:dyDescent="0.25">
      <c r="A14" s="346" t="s">
        <v>123</v>
      </c>
      <c r="B14" s="346" t="s">
        <v>1058</v>
      </c>
      <c r="C14" s="346">
        <v>2.7159072346361133</v>
      </c>
      <c r="D14" s="346">
        <v>0</v>
      </c>
      <c r="E14" s="68">
        <v>6.5871899460003807E-3</v>
      </c>
      <c r="F14" s="68">
        <v>1.1492914331379778E-2</v>
      </c>
      <c r="G14" s="68">
        <v>1.1677010797481735E-2</v>
      </c>
      <c r="H14" s="68">
        <v>1.1899999999999999E-2</v>
      </c>
      <c r="I14" s="346" t="str">
        <f t="shared" si="1"/>
        <v>Little Explorers Day Care Nursery Limited</v>
      </c>
      <c r="J14" s="351">
        <f t="shared" si="0"/>
        <v>0.55354537361347744</v>
      </c>
      <c r="K14" s="351">
        <f t="shared" si="0"/>
        <v>0.96579112028401504</v>
      </c>
      <c r="L14" s="351">
        <f t="shared" si="0"/>
        <v>0.98126141155308699</v>
      </c>
      <c r="M14" s="351">
        <f t="shared" si="0"/>
        <v>1</v>
      </c>
      <c r="N14" s="351"/>
      <c r="U14" s="346" t="s">
        <v>1165</v>
      </c>
    </row>
    <row r="15" spans="1:21" x14ac:dyDescent="0.25">
      <c r="A15" s="346" t="s">
        <v>124</v>
      </c>
      <c r="B15" s="346">
        <v>1</v>
      </c>
      <c r="C15" s="346">
        <v>0.78908700495327666</v>
      </c>
      <c r="D15" s="346">
        <v>3797160</v>
      </c>
      <c r="E15" s="68">
        <v>3.7166955995157493E-2</v>
      </c>
      <c r="F15" s="68">
        <v>6.5734882994641475E-2</v>
      </c>
      <c r="G15" s="68">
        <v>6.7686635480165847E-2</v>
      </c>
      <c r="H15" s="68">
        <v>6.9800000000000001E-2</v>
      </c>
      <c r="I15" s="346">
        <f t="shared" si="1"/>
        <v>0</v>
      </c>
      <c r="J15" s="351">
        <f t="shared" si="0"/>
        <v>0.53247787958678361</v>
      </c>
      <c r="K15" s="351">
        <f t="shared" si="0"/>
        <v>0.94176050135589506</v>
      </c>
      <c r="L15" s="351">
        <f t="shared" si="0"/>
        <v>0.96972257134908091</v>
      </c>
      <c r="M15" s="351">
        <f t="shared" si="0"/>
        <v>1</v>
      </c>
      <c r="N15" s="351"/>
      <c r="U15" s="346" t="s">
        <v>1166</v>
      </c>
    </row>
    <row r="16" spans="1:21" x14ac:dyDescent="0.25">
      <c r="A16" s="346" t="s">
        <v>125</v>
      </c>
      <c r="B16" s="346" t="s">
        <v>1058</v>
      </c>
      <c r="C16" s="346">
        <v>1.0187073577966501</v>
      </c>
      <c r="D16" s="346">
        <v>0</v>
      </c>
      <c r="E16" s="68">
        <v>1.1241099189794958E-2</v>
      </c>
      <c r="F16" s="68">
        <v>1.9725517904079282E-2</v>
      </c>
      <c r="G16" s="68">
        <v>2.0104846308039548E-2</v>
      </c>
      <c r="H16" s="68">
        <v>2.0500000000000001E-2</v>
      </c>
      <c r="I16" s="346">
        <f t="shared" si="1"/>
        <v>0</v>
      </c>
      <c r="J16" s="351">
        <f t="shared" si="0"/>
        <v>0.54834630194121747</v>
      </c>
      <c r="K16" s="351">
        <f t="shared" si="0"/>
        <v>0.96222038556484302</v>
      </c>
      <c r="L16" s="351">
        <f t="shared" si="0"/>
        <v>0.9807242101482706</v>
      </c>
      <c r="M16" s="351">
        <f t="shared" si="0"/>
        <v>1</v>
      </c>
      <c r="N16" s="351"/>
      <c r="U16" s="346" t="s">
        <v>1167</v>
      </c>
    </row>
    <row r="17" spans="1:21" x14ac:dyDescent="0.25">
      <c r="A17" s="346" t="s">
        <v>127</v>
      </c>
      <c r="B17" s="346" t="s">
        <v>1058</v>
      </c>
      <c r="C17" s="346">
        <v>1.2145665284918603</v>
      </c>
      <c r="D17" s="346">
        <v>0</v>
      </c>
      <c r="E17" s="68">
        <v>9.1737798059555384E-3</v>
      </c>
      <c r="F17" s="68">
        <v>1.6063977985877886E-2</v>
      </c>
      <c r="G17" s="68">
        <v>1.6351897610913158E-2</v>
      </c>
      <c r="H17" s="68">
        <v>2.8899999999999999E-2</v>
      </c>
      <c r="I17" s="346" t="str">
        <f t="shared" si="1"/>
        <v>Leon Restaurants Ltd.</v>
      </c>
      <c r="J17" s="351">
        <f t="shared" si="0"/>
        <v>0.31743182719569341</v>
      </c>
      <c r="K17" s="351">
        <f t="shared" si="0"/>
        <v>0.55584698913072272</v>
      </c>
      <c r="L17" s="351">
        <f t="shared" si="0"/>
        <v>0.56580960591395013</v>
      </c>
      <c r="M17" s="351">
        <f t="shared" si="0"/>
        <v>1</v>
      </c>
      <c r="N17" s="351"/>
      <c r="U17" s="346" t="s">
        <v>1164</v>
      </c>
    </row>
    <row r="18" spans="1:21" x14ac:dyDescent="0.25">
      <c r="A18" s="346" t="s">
        <v>129</v>
      </c>
      <c r="B18" s="346">
        <v>1</v>
      </c>
      <c r="C18" s="346">
        <v>0.65723468572252564</v>
      </c>
      <c r="D18" s="346">
        <v>37500000</v>
      </c>
      <c r="E18" s="68">
        <v>2.8395445132020872E-2</v>
      </c>
      <c r="F18" s="68">
        <v>5.0185693871108827E-2</v>
      </c>
      <c r="G18" s="68">
        <v>5.1533518122467314E-2</v>
      </c>
      <c r="H18" s="68">
        <v>5.3000000000000005E-2</v>
      </c>
      <c r="I18" s="346">
        <f t="shared" si="1"/>
        <v>0</v>
      </c>
      <c r="J18" s="351">
        <f t="shared" si="0"/>
        <v>0.53576311569850699</v>
      </c>
      <c r="K18" s="351">
        <f t="shared" si="0"/>
        <v>0.94689988436054384</v>
      </c>
      <c r="L18" s="351">
        <f t="shared" si="0"/>
        <v>0.97233053061259078</v>
      </c>
      <c r="M18" s="351">
        <f t="shared" si="0"/>
        <v>1</v>
      </c>
      <c r="N18" s="351"/>
      <c r="U18" s="346" t="s">
        <v>1171</v>
      </c>
    </row>
    <row r="19" spans="1:21" x14ac:dyDescent="0.25">
      <c r="A19" s="346" t="s">
        <v>130</v>
      </c>
      <c r="B19" s="346">
        <v>1</v>
      </c>
      <c r="C19" s="346">
        <v>0.76</v>
      </c>
      <c r="D19" s="346">
        <v>9250000</v>
      </c>
      <c r="E19" s="68">
        <v>1.6948390810571846E-2</v>
      </c>
      <c r="F19" s="68">
        <v>2.9854022766386157E-2</v>
      </c>
      <c r="G19" s="68">
        <v>3.05180309903198E-2</v>
      </c>
      <c r="H19" s="68">
        <v>3.1200000000000002E-2</v>
      </c>
      <c r="I19" s="346">
        <f t="shared" si="1"/>
        <v>0</v>
      </c>
      <c r="J19" s="351">
        <f t="shared" si="0"/>
        <v>0.54321765418499501</v>
      </c>
      <c r="K19" s="351">
        <f t="shared" si="0"/>
        <v>0.95685970405083831</v>
      </c>
      <c r="L19" s="351">
        <f t="shared" si="0"/>
        <v>0.97814201892050634</v>
      </c>
      <c r="M19" s="351">
        <f t="shared" si="0"/>
        <v>1</v>
      </c>
      <c r="N19" s="351"/>
      <c r="U19" s="346" t="s">
        <v>1168</v>
      </c>
    </row>
    <row r="20" spans="1:21" x14ac:dyDescent="0.25">
      <c r="A20" s="346" t="s">
        <v>131</v>
      </c>
      <c r="B20" s="346">
        <v>1</v>
      </c>
      <c r="C20" s="346">
        <v>1.3683710192013654</v>
      </c>
      <c r="D20" s="346">
        <v>262500</v>
      </c>
      <c r="E20" s="68">
        <v>3.79604031723673E-3</v>
      </c>
      <c r="F20" s="68">
        <v>6.581406946946422E-3</v>
      </c>
      <c r="G20" s="68">
        <v>6.669407857079146E-3</v>
      </c>
      <c r="H20" s="68">
        <v>6.7000000000000002E-3</v>
      </c>
      <c r="I20" s="346">
        <f t="shared" si="1"/>
        <v>0</v>
      </c>
      <c r="J20" s="351">
        <f t="shared" si="0"/>
        <v>0.56657318167712389</v>
      </c>
      <c r="K20" s="351">
        <f t="shared" si="0"/>
        <v>0.98229954432036148</v>
      </c>
      <c r="L20" s="351">
        <f t="shared" si="0"/>
        <v>0.99543400851927544</v>
      </c>
      <c r="M20" s="351">
        <f t="shared" si="0"/>
        <v>1</v>
      </c>
      <c r="N20" s="351"/>
      <c r="U20" s="346" t="s">
        <v>1169</v>
      </c>
    </row>
    <row r="21" spans="1:21" x14ac:dyDescent="0.25">
      <c r="A21" s="346" t="s">
        <v>132</v>
      </c>
      <c r="B21" s="346">
        <v>1</v>
      </c>
      <c r="C21" s="346">
        <v>0.71935355830559344</v>
      </c>
      <c r="D21" s="346">
        <v>6656684</v>
      </c>
      <c r="E21" s="68">
        <v>3.7211081082512976E-2</v>
      </c>
      <c r="F21" s="68">
        <v>6.5812988893224178E-2</v>
      </c>
      <c r="G21" s="68">
        <v>6.7767929003388017E-2</v>
      </c>
      <c r="H21" s="68">
        <v>6.9900000000000004E-2</v>
      </c>
      <c r="I21" s="346">
        <f t="shared" si="1"/>
        <v>0</v>
      </c>
      <c r="J21" s="351">
        <f t="shared" si="0"/>
        <v>0.53234736884854039</v>
      </c>
      <c r="K21" s="351">
        <f t="shared" si="0"/>
        <v>0.94153059933081795</v>
      </c>
      <c r="L21" s="351">
        <f t="shared" si="0"/>
        <v>0.96949826900412039</v>
      </c>
      <c r="M21" s="351">
        <f t="shared" si="0"/>
        <v>1</v>
      </c>
      <c r="N21" s="351"/>
      <c r="U21" s="346" t="s">
        <v>170</v>
      </c>
    </row>
    <row r="22" spans="1:21" x14ac:dyDescent="0.25">
      <c r="A22" s="346" t="s">
        <v>176</v>
      </c>
      <c r="B22" s="346">
        <v>1</v>
      </c>
      <c r="C22" s="346">
        <v>1.3816201312998841</v>
      </c>
      <c r="D22" s="346">
        <v>32980754.98</v>
      </c>
      <c r="E22" s="68">
        <v>4.0554502640469531E-3</v>
      </c>
      <c r="F22" s="68">
        <v>7.0365515728980643E-3</v>
      </c>
      <c r="G22" s="68">
        <v>7.1326592962085433E-3</v>
      </c>
      <c r="H22" s="68">
        <v>7.2000000000000007E-3</v>
      </c>
      <c r="I22" s="346">
        <f t="shared" si="1"/>
        <v>0</v>
      </c>
      <c r="J22" s="351">
        <f t="shared" si="0"/>
        <v>0.56325698111763234</v>
      </c>
      <c r="K22" s="351">
        <f t="shared" si="0"/>
        <v>0.97729882956917546</v>
      </c>
      <c r="L22" s="351">
        <f t="shared" si="0"/>
        <v>0.99064712447340875</v>
      </c>
      <c r="M22" s="351">
        <f t="shared" si="0"/>
        <v>1</v>
      </c>
      <c r="N22" s="351"/>
      <c r="U22" s="346" t="s">
        <v>274</v>
      </c>
    </row>
    <row r="23" spans="1:21" x14ac:dyDescent="0.25">
      <c r="A23" s="346" t="s">
        <v>135</v>
      </c>
      <c r="B23" s="346">
        <v>1</v>
      </c>
      <c r="C23" s="346">
        <v>0.6711905190758346</v>
      </c>
      <c r="D23" s="346">
        <v>1671055</v>
      </c>
      <c r="E23" s="68">
        <v>1.736667776826669E-2</v>
      </c>
      <c r="F23" s="68">
        <v>3.0596975191391929E-2</v>
      </c>
      <c r="G23" s="68">
        <v>3.1283503946050284E-2</v>
      </c>
      <c r="H23" s="68">
        <v>3.2000000000000001E-2</v>
      </c>
      <c r="I23" s="346">
        <f t="shared" si="1"/>
        <v>0</v>
      </c>
      <c r="J23" s="351">
        <f t="shared" si="0"/>
        <v>0.54270868025833408</v>
      </c>
      <c r="K23" s="351">
        <f t="shared" si="0"/>
        <v>0.95615547473099771</v>
      </c>
      <c r="L23" s="351">
        <f t="shared" si="0"/>
        <v>0.9776094983140714</v>
      </c>
      <c r="M23" s="351">
        <f t="shared" si="0"/>
        <v>1</v>
      </c>
      <c r="N23" s="351"/>
      <c r="U23" s="346" t="s">
        <v>217</v>
      </c>
    </row>
    <row r="24" spans="1:21" x14ac:dyDescent="0.25">
      <c r="A24" s="346" t="s">
        <v>136</v>
      </c>
      <c r="B24" s="346">
        <v>1</v>
      </c>
      <c r="C24" s="346">
        <v>1.3224997108141425</v>
      </c>
      <c r="D24" s="346">
        <v>5241148</v>
      </c>
      <c r="E24" s="68">
        <v>1.3846850846653505E-2</v>
      </c>
      <c r="F24" s="68">
        <v>2.434724501370289E-2</v>
      </c>
      <c r="G24" s="68">
        <v>2.4851075748128726E-2</v>
      </c>
      <c r="H24" s="68">
        <v>2.5400000000000002E-2</v>
      </c>
      <c r="I24" s="346">
        <f t="shared" si="1"/>
        <v>0</v>
      </c>
      <c r="J24" s="351">
        <f t="shared" si="0"/>
        <v>0.54515160813596475</v>
      </c>
      <c r="K24" s="351">
        <f t="shared" si="0"/>
        <v>0.95855295329538925</v>
      </c>
      <c r="L24" s="351">
        <f t="shared" si="0"/>
        <v>0.97838880898144576</v>
      </c>
      <c r="M24" s="351">
        <f t="shared" si="0"/>
        <v>1</v>
      </c>
      <c r="N24" s="351"/>
      <c r="U24" s="346" t="s">
        <v>1170</v>
      </c>
    </row>
    <row r="25" spans="1:21" x14ac:dyDescent="0.25">
      <c r="A25" s="346" t="s">
        <v>137</v>
      </c>
      <c r="B25" s="346">
        <v>1</v>
      </c>
      <c r="C25" s="346">
        <v>0.75</v>
      </c>
      <c r="D25" s="346">
        <v>5291416.6500000004</v>
      </c>
      <c r="E25" s="68">
        <v>7.9377377404320701E-3</v>
      </c>
      <c r="F25" s="68">
        <v>1.3877904138104635E-2</v>
      </c>
      <c r="G25" s="68">
        <v>1.4114639578007959E-2</v>
      </c>
      <c r="H25" s="68">
        <v>1.5800000000000002E-2</v>
      </c>
      <c r="I25" s="346" t="str">
        <f t="shared" si="1"/>
        <v>LV Group Limited - Facility B</v>
      </c>
      <c r="J25" s="351">
        <f t="shared" si="0"/>
        <v>0.50238846458430819</v>
      </c>
      <c r="K25" s="351">
        <f t="shared" si="0"/>
        <v>0.87834836317117937</v>
      </c>
      <c r="L25" s="351">
        <f t="shared" si="0"/>
        <v>0.89333161886126311</v>
      </c>
      <c r="M25" s="351">
        <f t="shared" si="0"/>
        <v>1</v>
      </c>
      <c r="N25" s="351"/>
      <c r="U25" s="346" t="s">
        <v>1183</v>
      </c>
    </row>
    <row r="26" spans="1:21" x14ac:dyDescent="0.25">
      <c r="A26" s="346" t="s">
        <v>138</v>
      </c>
      <c r="B26" s="346">
        <v>1</v>
      </c>
      <c r="C26" s="346">
        <v>1.0074253539494913</v>
      </c>
      <c r="D26" s="346">
        <v>30000000</v>
      </c>
      <c r="E26" s="68">
        <v>1.8452867271696181E-2</v>
      </c>
      <c r="F26" s="68">
        <v>3.2526431761582097E-2</v>
      </c>
      <c r="G26" s="68">
        <v>3.32724050915576E-2</v>
      </c>
      <c r="H26" s="68">
        <v>3.4099999999999998E-2</v>
      </c>
      <c r="I26" s="346">
        <f t="shared" si="1"/>
        <v>0</v>
      </c>
      <c r="J26" s="351">
        <f t="shared" si="0"/>
        <v>0.54113980268903761</v>
      </c>
      <c r="K26" s="351">
        <f t="shared" si="0"/>
        <v>0.95385430385871262</v>
      </c>
      <c r="L26" s="351">
        <f t="shared" si="0"/>
        <v>0.975730354591132</v>
      </c>
      <c r="M26" s="351">
        <f t="shared" si="0"/>
        <v>1</v>
      </c>
      <c r="N26" s="351"/>
      <c r="U26" s="346" t="s">
        <v>1184</v>
      </c>
    </row>
    <row r="27" spans="1:21" x14ac:dyDescent="0.25">
      <c r="A27" s="346" t="s">
        <v>139</v>
      </c>
      <c r="B27" s="346">
        <v>1</v>
      </c>
      <c r="C27" s="346">
        <v>0.82275104963175039</v>
      </c>
      <c r="D27" s="346">
        <v>2630000</v>
      </c>
      <c r="E27" s="68">
        <v>5.353382155624713E-3</v>
      </c>
      <c r="F27" s="68">
        <v>9.3183258825453308E-3</v>
      </c>
      <c r="G27" s="68">
        <v>9.4576525955263335E-3</v>
      </c>
      <c r="H27" s="68">
        <v>9.6000000000000009E-3</v>
      </c>
      <c r="I27" s="346">
        <f t="shared" si="1"/>
        <v>0</v>
      </c>
      <c r="J27" s="351">
        <f t="shared" si="0"/>
        <v>0.55764397454424086</v>
      </c>
      <c r="K27" s="351">
        <f t="shared" si="0"/>
        <v>0.97065894609847192</v>
      </c>
      <c r="L27" s="351">
        <f t="shared" si="0"/>
        <v>0.98517214536732634</v>
      </c>
      <c r="M27" s="351">
        <f t="shared" si="0"/>
        <v>1</v>
      </c>
      <c r="N27" s="351"/>
      <c r="U27" s="346" t="s">
        <v>109</v>
      </c>
    </row>
    <row r="28" spans="1:21" x14ac:dyDescent="0.25">
      <c r="A28" s="346" t="s">
        <v>141</v>
      </c>
      <c r="B28" s="346">
        <v>1</v>
      </c>
      <c r="C28" s="346">
        <v>1.1000000000000001</v>
      </c>
      <c r="D28" s="346">
        <v>500000</v>
      </c>
      <c r="E28" s="68">
        <v>1.7492049619456232E-2</v>
      </c>
      <c r="F28" s="68">
        <v>3.0819666923926792E-2</v>
      </c>
      <c r="G28" s="68">
        <v>3.151298634620725E-2</v>
      </c>
      <c r="H28" s="68">
        <v>2.4400000000000002E-2</v>
      </c>
      <c r="I28" s="346" t="str">
        <f t="shared" si="1"/>
        <v>Bright Minds Daycare Limited</v>
      </c>
      <c r="J28" s="351">
        <f t="shared" si="0"/>
        <v>0.71688727948591113</v>
      </c>
      <c r="K28" s="351">
        <f t="shared" si="0"/>
        <v>1.2631011034396225</v>
      </c>
      <c r="L28" s="351">
        <f t="shared" si="0"/>
        <v>1.2915158338609527</v>
      </c>
      <c r="M28" s="351">
        <f t="shared" si="0"/>
        <v>1</v>
      </c>
      <c r="N28" s="351"/>
      <c r="U28" s="346" t="s">
        <v>1195</v>
      </c>
    </row>
    <row r="29" spans="1:21" x14ac:dyDescent="0.25">
      <c r="A29" s="346" t="s">
        <v>164</v>
      </c>
      <c r="B29" s="346">
        <v>1</v>
      </c>
      <c r="C29" s="346">
        <v>1.3148073656223973</v>
      </c>
      <c r="D29" s="346">
        <v>399317</v>
      </c>
      <c r="E29" s="68">
        <v>4.995730950633525E-2</v>
      </c>
      <c r="F29" s="68">
        <v>8.8313658541849582E-2</v>
      </c>
      <c r="G29" s="68">
        <v>9.1243880811429201E-2</v>
      </c>
      <c r="H29" s="68">
        <v>9.4500000000000001E-2</v>
      </c>
      <c r="I29" s="346">
        <f t="shared" si="1"/>
        <v>0</v>
      </c>
      <c r="J29" s="351">
        <f t="shared" si="0"/>
        <v>0.52864877784481745</v>
      </c>
      <c r="K29" s="351">
        <f t="shared" si="0"/>
        <v>0.93453606922592147</v>
      </c>
      <c r="L29" s="351">
        <f t="shared" si="0"/>
        <v>0.96554371229025604</v>
      </c>
      <c r="M29" s="351">
        <f t="shared" si="0"/>
        <v>1</v>
      </c>
      <c r="N29" s="351"/>
      <c r="U29" s="346" t="s">
        <v>1196</v>
      </c>
    </row>
    <row r="30" spans="1:21" x14ac:dyDescent="0.25">
      <c r="A30" s="346" t="s">
        <v>165</v>
      </c>
      <c r="B30" s="346">
        <v>1</v>
      </c>
      <c r="C30" s="346">
        <v>0.8437182233467917</v>
      </c>
      <c r="D30" s="346">
        <v>64383.22</v>
      </c>
      <c r="E30" s="68">
        <v>6.0270893700652903E-3</v>
      </c>
      <c r="F30" s="68">
        <v>1.0505164059112282E-2</v>
      </c>
      <c r="G30" s="68">
        <v>1.0668521576887358E-2</v>
      </c>
      <c r="H30" s="68">
        <v>1.0800000000000001E-2</v>
      </c>
      <c r="I30" s="346">
        <f t="shared" si="1"/>
        <v>0</v>
      </c>
      <c r="J30" s="351">
        <f t="shared" si="0"/>
        <v>0.55806383056160092</v>
      </c>
      <c r="K30" s="351">
        <f t="shared" si="0"/>
        <v>0.9727003758437297</v>
      </c>
      <c r="L30" s="351">
        <f t="shared" si="0"/>
        <v>0.9878260719340145</v>
      </c>
      <c r="M30" s="351">
        <f t="shared" si="0"/>
        <v>1</v>
      </c>
      <c r="N30" s="351"/>
      <c r="U30" s="346" t="s">
        <v>141</v>
      </c>
    </row>
    <row r="31" spans="1:21" x14ac:dyDescent="0.25">
      <c r="A31" s="346" t="s">
        <v>166</v>
      </c>
      <c r="B31" s="346">
        <v>3</v>
      </c>
      <c r="C31" s="346">
        <v>0.56599267157011934</v>
      </c>
      <c r="D31" s="346">
        <v>204174.34</v>
      </c>
      <c r="E31" s="68">
        <v>4.2520937719020841E-3</v>
      </c>
      <c r="F31" s="68">
        <v>7.3817898205805754E-3</v>
      </c>
      <c r="G31" s="68">
        <v>7.4841664866237556E-3</v>
      </c>
      <c r="H31" s="68">
        <v>7.6E-3</v>
      </c>
      <c r="I31" s="346">
        <f t="shared" si="1"/>
        <v>0</v>
      </c>
      <c r="J31" s="351">
        <f t="shared" si="0"/>
        <v>0.55948602261869529</v>
      </c>
      <c r="K31" s="351">
        <f t="shared" si="0"/>
        <v>0.97128813428691785</v>
      </c>
      <c r="L31" s="351">
        <f t="shared" si="0"/>
        <v>0.9847587482399679</v>
      </c>
      <c r="M31" s="351">
        <f t="shared" si="0"/>
        <v>1</v>
      </c>
      <c r="N31" s="351"/>
      <c r="U31" s="346" t="s">
        <v>976</v>
      </c>
    </row>
    <row r="32" spans="1:21" x14ac:dyDescent="0.25">
      <c r="A32" s="346" t="s">
        <v>168</v>
      </c>
      <c r="B32" s="346">
        <v>1</v>
      </c>
      <c r="C32" s="346">
        <v>0.78661174093249575</v>
      </c>
      <c r="D32" s="346">
        <v>225008</v>
      </c>
      <c r="E32" s="68">
        <v>2.5518176449807674E-2</v>
      </c>
      <c r="F32" s="68">
        <v>4.5077373107666907E-2</v>
      </c>
      <c r="G32" s="68">
        <v>4.6241125341402234E-2</v>
      </c>
      <c r="H32" s="68">
        <v>4.7500000000000001E-2</v>
      </c>
      <c r="I32" s="346">
        <f t="shared" si="1"/>
        <v>0</v>
      </c>
      <c r="J32" s="351">
        <f t="shared" si="0"/>
        <v>0.53722476736437208</v>
      </c>
      <c r="K32" s="351">
        <f t="shared" si="0"/>
        <v>0.94899732858246122</v>
      </c>
      <c r="L32" s="351">
        <f t="shared" si="0"/>
        <v>0.97349737560846805</v>
      </c>
      <c r="M32" s="351">
        <f t="shared" si="0"/>
        <v>1</v>
      </c>
      <c r="N32" s="351"/>
    </row>
    <row r="33" spans="1:14" x14ac:dyDescent="0.25">
      <c r="A33" s="346" t="s">
        <v>169</v>
      </c>
      <c r="B33" s="346" t="s">
        <v>1058</v>
      </c>
      <c r="C33" s="346">
        <v>1.0728288139972908</v>
      </c>
      <c r="D33" s="346">
        <v>0</v>
      </c>
      <c r="E33" s="68">
        <v>1.02332743171863E-2</v>
      </c>
      <c r="F33" s="68">
        <v>1.793979511683641E-2</v>
      </c>
      <c r="G33" s="68">
        <v>1.827369522847988E-2</v>
      </c>
      <c r="H33" s="68">
        <v>1.8600000000000002E-2</v>
      </c>
      <c r="I33" s="346">
        <f t="shared" si="1"/>
        <v>0</v>
      </c>
      <c r="J33" s="351">
        <f t="shared" si="0"/>
        <v>0.55017603855840314</v>
      </c>
      <c r="K33" s="351">
        <f t="shared" si="0"/>
        <v>0.96450511380840909</v>
      </c>
      <c r="L33" s="351">
        <f t="shared" si="0"/>
        <v>0.98245673271397194</v>
      </c>
      <c r="M33" s="351">
        <f t="shared" si="0"/>
        <v>1</v>
      </c>
      <c r="N33" s="351"/>
    </row>
    <row r="34" spans="1:14" x14ac:dyDescent="0.25">
      <c r="A34" s="346" t="s">
        <v>175</v>
      </c>
      <c r="B34" s="346">
        <v>1</v>
      </c>
      <c r="C34" s="346">
        <v>1.1828351624093423</v>
      </c>
      <c r="D34" s="346">
        <v>17793750</v>
      </c>
      <c r="E34" s="68">
        <v>4.337666666102716E-3</v>
      </c>
      <c r="F34" s="68">
        <v>7.5320825809754854E-3</v>
      </c>
      <c r="G34" s="68">
        <v>7.6372197519508633E-3</v>
      </c>
      <c r="H34" s="68">
        <v>7.7000000000000002E-3</v>
      </c>
      <c r="I34" s="346">
        <f t="shared" si="1"/>
        <v>0</v>
      </c>
      <c r="J34" s="351">
        <f t="shared" ref="J34:M66" si="2">E34/$H34</f>
        <v>0.56333333326009294</v>
      </c>
      <c r="K34" s="351">
        <f t="shared" si="2"/>
        <v>0.97819254298382929</v>
      </c>
      <c r="L34" s="351">
        <f t="shared" si="2"/>
        <v>0.99184672103257965</v>
      </c>
      <c r="M34" s="351">
        <f t="shared" si="2"/>
        <v>1</v>
      </c>
      <c r="N34" s="351"/>
    </row>
    <row r="35" spans="1:14" x14ac:dyDescent="0.25">
      <c r="A35" s="346" t="s">
        <v>170</v>
      </c>
      <c r="B35" s="346">
        <v>2</v>
      </c>
      <c r="C35" s="346">
        <v>0.94</v>
      </c>
      <c r="D35" s="346">
        <v>6700000</v>
      </c>
      <c r="E35" s="68">
        <v>1.8272566672602464E-2</v>
      </c>
      <c r="F35" s="68">
        <v>3.2206138394744288E-2</v>
      </c>
      <c r="G35" s="68">
        <v>3.2942149359362682E-2</v>
      </c>
      <c r="H35" s="68">
        <v>3.3779083477909366E-2</v>
      </c>
      <c r="I35" s="346" t="str">
        <f t="shared" si="1"/>
        <v>First Belgravia &amp; Knightsbridge 422 / Elandis - Term Loan A</v>
      </c>
      <c r="J35" s="351">
        <f t="shared" si="2"/>
        <v>0.54094323442944336</v>
      </c>
      <c r="K35" s="351">
        <f t="shared" si="2"/>
        <v>0.95343434690305484</v>
      </c>
      <c r="L35" s="351">
        <f t="shared" si="2"/>
        <v>0.97522330293259685</v>
      </c>
      <c r="M35" s="351">
        <f t="shared" si="2"/>
        <v>1</v>
      </c>
      <c r="N35" s="351"/>
    </row>
    <row r="36" spans="1:14" x14ac:dyDescent="0.25">
      <c r="A36" s="346" t="s">
        <v>171</v>
      </c>
      <c r="B36" s="346">
        <v>1</v>
      </c>
      <c r="C36" s="346">
        <v>1.1498226766207214</v>
      </c>
      <c r="D36" s="346">
        <v>2306250</v>
      </c>
      <c r="E36" s="68">
        <v>2.6336600408283523E-3</v>
      </c>
      <c r="F36" s="68">
        <v>4.546763249044794E-3</v>
      </c>
      <c r="G36" s="68">
        <v>4.6009224584941943E-3</v>
      </c>
      <c r="H36" s="68">
        <v>4.5999999999999999E-3</v>
      </c>
      <c r="I36" s="346">
        <f t="shared" si="1"/>
        <v>0</v>
      </c>
      <c r="J36" s="351">
        <f t="shared" si="2"/>
        <v>0.57253479148442443</v>
      </c>
      <c r="K36" s="351">
        <f t="shared" si="2"/>
        <v>0.98842679327060745</v>
      </c>
      <c r="L36" s="351">
        <f t="shared" si="2"/>
        <v>1.0002005344552596</v>
      </c>
      <c r="M36" s="351">
        <f t="shared" si="2"/>
        <v>1</v>
      </c>
      <c r="N36" s="351"/>
    </row>
    <row r="37" spans="1:14" x14ac:dyDescent="0.25">
      <c r="A37" s="346" t="s">
        <v>173</v>
      </c>
      <c r="B37" s="346">
        <v>1</v>
      </c>
      <c r="C37" s="346">
        <v>1.2225130134723676</v>
      </c>
      <c r="D37" s="346">
        <v>2130000</v>
      </c>
      <c r="E37" s="68">
        <v>3.6921673050025372E-3</v>
      </c>
      <c r="F37" s="68">
        <v>6.3992553525265006E-3</v>
      </c>
      <c r="G37" s="68">
        <v>6.4840635889139575E-3</v>
      </c>
      <c r="H37" s="68">
        <v>6.5000000000000006E-3</v>
      </c>
      <c r="I37" s="346">
        <f t="shared" si="1"/>
        <v>0</v>
      </c>
      <c r="J37" s="351">
        <f t="shared" si="2"/>
        <v>0.56802573923115951</v>
      </c>
      <c r="K37" s="351">
        <f t="shared" si="2"/>
        <v>0.9845008234656154</v>
      </c>
      <c r="L37" s="351">
        <f t="shared" si="2"/>
        <v>0.99754824444830104</v>
      </c>
      <c r="M37" s="351">
        <f t="shared" si="2"/>
        <v>1</v>
      </c>
      <c r="N37" s="351"/>
    </row>
    <row r="38" spans="1:14" x14ac:dyDescent="0.25">
      <c r="A38" s="346" t="s">
        <v>218</v>
      </c>
      <c r="B38" s="346">
        <v>1</v>
      </c>
      <c r="C38" s="346">
        <v>0.95</v>
      </c>
      <c r="D38" s="346">
        <v>19950000</v>
      </c>
      <c r="E38" s="68">
        <v>3.1068869673263858E-3</v>
      </c>
      <c r="F38" s="68">
        <v>5.3740580338249577E-3</v>
      </c>
      <c r="G38" s="68">
        <v>5.4414776906989148E-3</v>
      </c>
      <c r="H38" s="68">
        <v>5.5000000000000005E-3</v>
      </c>
      <c r="I38" s="346">
        <f t="shared" si="1"/>
        <v>0</v>
      </c>
      <c r="J38" s="351">
        <f t="shared" si="2"/>
        <v>0.56488853951388829</v>
      </c>
      <c r="K38" s="351">
        <f t="shared" si="2"/>
        <v>0.97710146069544679</v>
      </c>
      <c r="L38" s="351">
        <f t="shared" si="2"/>
        <v>0.98935958012707537</v>
      </c>
      <c r="M38" s="351">
        <f t="shared" si="2"/>
        <v>1</v>
      </c>
      <c r="N38" s="351"/>
    </row>
    <row r="39" spans="1:14" x14ac:dyDescent="0.25">
      <c r="A39" s="346" t="s">
        <v>223</v>
      </c>
      <c r="B39" s="346" t="s">
        <v>1058</v>
      </c>
      <c r="C39" s="346">
        <v>1.0102294706837931</v>
      </c>
      <c r="D39" s="346">
        <v>0</v>
      </c>
      <c r="E39" s="68">
        <v>2.0670272452595392E-3</v>
      </c>
      <c r="F39" s="68">
        <v>3.5585189109857973E-3</v>
      </c>
      <c r="G39" s="68">
        <v>3.5978505213494216E-3</v>
      </c>
      <c r="H39" s="68">
        <v>3.6000000000000003E-3</v>
      </c>
      <c r="I39" s="346">
        <f t="shared" si="1"/>
        <v>0</v>
      </c>
      <c r="J39" s="351">
        <f t="shared" si="2"/>
        <v>0.5741742347943164</v>
      </c>
      <c r="K39" s="351">
        <f t="shared" si="2"/>
        <v>0.98847747527383245</v>
      </c>
      <c r="L39" s="351">
        <f t="shared" si="2"/>
        <v>0.99940292259706143</v>
      </c>
      <c r="M39" s="351">
        <f t="shared" si="2"/>
        <v>1</v>
      </c>
      <c r="N39" s="351"/>
    </row>
    <row r="40" spans="1:14" x14ac:dyDescent="0.25">
      <c r="A40" s="346" t="s">
        <v>224</v>
      </c>
      <c r="B40" s="346">
        <v>1</v>
      </c>
      <c r="C40" s="346">
        <v>1.5343185280567562</v>
      </c>
      <c r="D40" s="346">
        <v>10000000</v>
      </c>
      <c r="E40" s="68">
        <v>4.0032812166679223E-3</v>
      </c>
      <c r="F40" s="68">
        <v>6.9449918779044273E-3</v>
      </c>
      <c r="G40" s="68">
        <v>7.0394541850847814E-3</v>
      </c>
      <c r="H40" s="68">
        <v>7.1000000000000004E-3</v>
      </c>
      <c r="I40" s="346">
        <f t="shared" si="1"/>
        <v>0</v>
      </c>
      <c r="J40" s="351">
        <f t="shared" si="2"/>
        <v>0.56384242488280589</v>
      </c>
      <c r="K40" s="351">
        <f t="shared" si="2"/>
        <v>0.97816787012738404</v>
      </c>
      <c r="L40" s="351">
        <f t="shared" si="2"/>
        <v>0.99147242043447614</v>
      </c>
      <c r="M40" s="351">
        <f t="shared" si="2"/>
        <v>1</v>
      </c>
      <c r="N40" s="351"/>
    </row>
    <row r="41" spans="1:14" x14ac:dyDescent="0.25">
      <c r="A41" s="346" t="s">
        <v>225</v>
      </c>
      <c r="B41" s="346">
        <v>1</v>
      </c>
      <c r="C41" s="346">
        <v>1.6862165525927839</v>
      </c>
      <c r="D41" s="346">
        <v>25000000</v>
      </c>
      <c r="E41" s="68">
        <v>4.258651864556511E-3</v>
      </c>
      <c r="F41" s="68">
        <v>7.3933066975464534E-3</v>
      </c>
      <c r="G41" s="68">
        <v>7.4958942316118993E-3</v>
      </c>
      <c r="H41" s="68">
        <v>7.6E-3</v>
      </c>
      <c r="I41" s="346">
        <f t="shared" si="1"/>
        <v>0</v>
      </c>
      <c r="J41" s="351">
        <f t="shared" si="2"/>
        <v>0.5603489295469094</v>
      </c>
      <c r="K41" s="351">
        <f t="shared" si="2"/>
        <v>0.97280351283505961</v>
      </c>
      <c r="L41" s="351">
        <f t="shared" si="2"/>
        <v>0.98630187258051305</v>
      </c>
      <c r="M41" s="351">
        <f t="shared" si="2"/>
        <v>1</v>
      </c>
      <c r="N41" s="351"/>
    </row>
    <row r="42" spans="1:14" x14ac:dyDescent="0.25">
      <c r="A42" s="346" t="s">
        <v>1185</v>
      </c>
      <c r="B42" s="346" t="s">
        <v>1058</v>
      </c>
      <c r="C42" s="346">
        <v>1.8199100146115723</v>
      </c>
      <c r="D42" s="346">
        <v>0</v>
      </c>
      <c r="E42" s="68">
        <v>4.7375863354971529E-3</v>
      </c>
      <c r="F42" s="68">
        <v>8.2348920123510583E-3</v>
      </c>
      <c r="G42" s="68">
        <v>8.353183524568597E-3</v>
      </c>
      <c r="H42" s="68">
        <v>8.4000000000000012E-3</v>
      </c>
      <c r="I42" s="346">
        <f t="shared" si="1"/>
        <v>0</v>
      </c>
      <c r="J42" s="351">
        <f t="shared" si="2"/>
        <v>0.56399837327347047</v>
      </c>
      <c r="K42" s="351">
        <f t="shared" si="2"/>
        <v>0.98034428718464961</v>
      </c>
      <c r="L42" s="351">
        <f t="shared" si="2"/>
        <v>0.99442661006768995</v>
      </c>
      <c r="M42" s="351">
        <f t="shared" si="2"/>
        <v>1</v>
      </c>
      <c r="N42" s="351"/>
    </row>
    <row r="43" spans="1:14" x14ac:dyDescent="0.25">
      <c r="A43" s="346" t="s">
        <v>228</v>
      </c>
      <c r="B43" s="346">
        <v>1</v>
      </c>
      <c r="C43" s="346">
        <v>1.0752004928575709</v>
      </c>
      <c r="D43" s="346">
        <v>20000000</v>
      </c>
      <c r="E43" s="68">
        <v>1.4945842237306462E-3</v>
      </c>
      <c r="F43" s="68">
        <v>2.5634484261969348E-3</v>
      </c>
      <c r="G43" s="68">
        <v>2.5891354889450158E-3</v>
      </c>
      <c r="H43" s="68">
        <v>2.6000000000000003E-3</v>
      </c>
      <c r="I43" s="346">
        <f t="shared" si="1"/>
        <v>0</v>
      </c>
      <c r="J43" s="351">
        <f t="shared" si="2"/>
        <v>0.5748400860502485</v>
      </c>
      <c r="K43" s="351">
        <f t="shared" si="2"/>
        <v>0.98594170238343637</v>
      </c>
      <c r="L43" s="351">
        <f t="shared" si="2"/>
        <v>0.99582134190192906</v>
      </c>
      <c r="M43" s="351">
        <f t="shared" si="2"/>
        <v>1</v>
      </c>
      <c r="N43" s="351"/>
    </row>
    <row r="44" spans="1:14" x14ac:dyDescent="0.25">
      <c r="A44" s="346" t="s">
        <v>229</v>
      </c>
      <c r="B44" s="346">
        <v>1</v>
      </c>
      <c r="C44" s="346">
        <v>0.66441730183620729</v>
      </c>
      <c r="D44" s="346">
        <v>4000000</v>
      </c>
      <c r="E44" s="68">
        <v>1.6311656995517164E-3</v>
      </c>
      <c r="F44" s="68">
        <v>2.8005087028293296E-3</v>
      </c>
      <c r="G44" s="68">
        <v>2.8293164868798959E-3</v>
      </c>
      <c r="H44" s="68">
        <v>2.8E-3</v>
      </c>
      <c r="I44" s="346">
        <f t="shared" si="1"/>
        <v>0</v>
      </c>
      <c r="J44" s="351">
        <f t="shared" si="2"/>
        <v>0.58255917841132732</v>
      </c>
      <c r="K44" s="351">
        <f t="shared" si="2"/>
        <v>1.0001816795819034</v>
      </c>
      <c r="L44" s="351">
        <f t="shared" si="2"/>
        <v>1.0104701738856772</v>
      </c>
      <c r="M44" s="351">
        <f t="shared" si="2"/>
        <v>1</v>
      </c>
      <c r="N44" s="351"/>
    </row>
    <row r="45" spans="1:14" x14ac:dyDescent="0.25">
      <c r="A45" s="346" t="s">
        <v>230</v>
      </c>
      <c r="B45" s="346" t="s">
        <v>1058</v>
      </c>
      <c r="C45" s="346">
        <v>1.0234006301191947</v>
      </c>
      <c r="D45" s="346">
        <v>0</v>
      </c>
      <c r="E45" s="68">
        <v>7.8464480417133227E-3</v>
      </c>
      <c r="F45" s="68">
        <v>1.371656314715719E-2</v>
      </c>
      <c r="G45" s="68">
        <v>1.3949628838608064E-2</v>
      </c>
      <c r="H45" s="68">
        <v>1.4200000000000001E-2</v>
      </c>
      <c r="I45" s="346">
        <f t="shared" si="1"/>
        <v>0</v>
      </c>
      <c r="J45" s="351">
        <f t="shared" si="2"/>
        <v>0.55256676350093814</v>
      </c>
      <c r="K45" s="351">
        <f t="shared" si="2"/>
        <v>0.96595515120825282</v>
      </c>
      <c r="L45" s="351">
        <f t="shared" si="2"/>
        <v>0.98236822807099033</v>
      </c>
      <c r="M45" s="351">
        <f t="shared" si="2"/>
        <v>1</v>
      </c>
      <c r="N45" s="351"/>
    </row>
    <row r="46" spans="1:14" x14ac:dyDescent="0.25">
      <c r="A46" s="346" t="s">
        <v>217</v>
      </c>
      <c r="B46" s="346">
        <v>1</v>
      </c>
      <c r="C46" s="346">
        <v>1.1769169321683133</v>
      </c>
      <c r="D46" s="346">
        <v>869850</v>
      </c>
      <c r="E46" s="68">
        <v>2.7912882430622642E-3</v>
      </c>
      <c r="F46" s="68">
        <v>4.8221495545263116E-3</v>
      </c>
      <c r="G46" s="68">
        <v>4.8806417380399258E-3</v>
      </c>
      <c r="H46" s="68">
        <v>6.6E-3</v>
      </c>
      <c r="I46" s="346" t="str">
        <f t="shared" si="1"/>
        <v>DSW Capital Limited</v>
      </c>
      <c r="J46" s="351">
        <f t="shared" si="2"/>
        <v>0.42292246107004</v>
      </c>
      <c r="K46" s="351">
        <f t="shared" si="2"/>
        <v>0.73062872038277449</v>
      </c>
      <c r="L46" s="351">
        <f t="shared" si="2"/>
        <v>0.73949117243029183</v>
      </c>
      <c r="M46" s="351">
        <f t="shared" si="2"/>
        <v>1</v>
      </c>
      <c r="N46" s="351"/>
    </row>
    <row r="47" spans="1:14" x14ac:dyDescent="0.25">
      <c r="A47" s="346" t="s">
        <v>274</v>
      </c>
      <c r="B47" s="346">
        <v>2</v>
      </c>
      <c r="C47" s="346">
        <v>0.94</v>
      </c>
      <c r="D47" s="346">
        <v>5050000</v>
      </c>
      <c r="E47" s="68">
        <v>1.8272566672602464E-2</v>
      </c>
      <c r="F47" s="68">
        <v>3.2206138394744288E-2</v>
      </c>
      <c r="G47" s="68">
        <v>3.2942149359362682E-2</v>
      </c>
      <c r="H47" s="68">
        <v>3.3779083477909366E-2</v>
      </c>
      <c r="I47" s="346" t="str">
        <f t="shared" si="1"/>
        <v>First Belgravia &amp; Knightsbridge 422 / Elandis - RCF</v>
      </c>
      <c r="J47" s="351">
        <f t="shared" si="2"/>
        <v>0.54094323442944336</v>
      </c>
      <c r="K47" s="351">
        <f t="shared" si="2"/>
        <v>0.95343434690305484</v>
      </c>
      <c r="L47" s="351">
        <f t="shared" si="2"/>
        <v>0.97522330293259685</v>
      </c>
      <c r="M47" s="351">
        <f t="shared" si="2"/>
        <v>1</v>
      </c>
      <c r="N47" s="351"/>
    </row>
    <row r="48" spans="1:14" x14ac:dyDescent="0.25">
      <c r="A48" s="346" t="s">
        <v>325</v>
      </c>
      <c r="B48" s="346">
        <v>1</v>
      </c>
      <c r="C48" s="346">
        <v>1.1828351624093423</v>
      </c>
      <c r="D48" s="346">
        <v>9032290</v>
      </c>
      <c r="E48" s="68">
        <v>4.337666666102716E-3</v>
      </c>
      <c r="F48" s="68">
        <v>7.5320825809754854E-3</v>
      </c>
      <c r="G48" s="68">
        <v>7.6372197519508633E-3</v>
      </c>
      <c r="H48" s="68">
        <v>7.7000000000000002E-3</v>
      </c>
      <c r="I48" s="346">
        <f t="shared" si="1"/>
        <v>0</v>
      </c>
      <c r="J48" s="351">
        <f t="shared" si="2"/>
        <v>0.56333333326009294</v>
      </c>
      <c r="K48" s="351">
        <f t="shared" si="2"/>
        <v>0.97819254298382929</v>
      </c>
      <c r="L48" s="351">
        <f t="shared" si="2"/>
        <v>0.99184672103257965</v>
      </c>
      <c r="M48" s="351">
        <f t="shared" si="2"/>
        <v>1</v>
      </c>
      <c r="N48" s="351"/>
    </row>
    <row r="49" spans="1:14" x14ac:dyDescent="0.25">
      <c r="A49" s="346" t="s">
        <v>321</v>
      </c>
      <c r="B49" s="346">
        <v>1</v>
      </c>
      <c r="C49" s="346">
        <v>1.3683710192013654</v>
      </c>
      <c r="D49" s="346">
        <v>100000</v>
      </c>
      <c r="E49" s="68">
        <v>3.79604031723673E-3</v>
      </c>
      <c r="F49" s="68">
        <v>6.581406946946422E-3</v>
      </c>
      <c r="G49" s="68">
        <v>6.669407857079146E-3</v>
      </c>
      <c r="H49" s="68">
        <v>6.7000000000000002E-3</v>
      </c>
      <c r="I49" s="346">
        <f t="shared" si="1"/>
        <v>0</v>
      </c>
      <c r="J49" s="351">
        <f t="shared" si="2"/>
        <v>0.56657318167712389</v>
      </c>
      <c r="K49" s="351">
        <f t="shared" si="2"/>
        <v>0.98229954432036148</v>
      </c>
      <c r="L49" s="351">
        <f t="shared" si="2"/>
        <v>0.99543400851927544</v>
      </c>
      <c r="M49" s="351">
        <f t="shared" si="2"/>
        <v>1</v>
      </c>
      <c r="N49" s="351"/>
    </row>
    <row r="50" spans="1:14" x14ac:dyDescent="0.25">
      <c r="A50" s="346" t="s">
        <v>965</v>
      </c>
      <c r="B50" s="346">
        <v>1</v>
      </c>
      <c r="C50" s="346">
        <v>0.85</v>
      </c>
      <c r="D50" s="346">
        <v>1650624</v>
      </c>
      <c r="E50" s="68">
        <v>1.1798482986091576E-3</v>
      </c>
      <c r="F50" s="68">
        <v>2.0181965973189442E-3</v>
      </c>
      <c r="G50" s="68">
        <v>2.0370518999599518E-3</v>
      </c>
      <c r="H50" s="68">
        <v>2E-3</v>
      </c>
      <c r="I50" s="346">
        <f t="shared" si="1"/>
        <v>0</v>
      </c>
      <c r="J50" s="351">
        <f t="shared" si="2"/>
        <v>0.58992414930457882</v>
      </c>
      <c r="K50" s="351">
        <f t="shared" si="2"/>
        <v>1.0090982986594721</v>
      </c>
      <c r="L50" s="351">
        <f t="shared" si="2"/>
        <v>1.0185259499799759</v>
      </c>
      <c r="M50" s="351">
        <f t="shared" si="2"/>
        <v>1</v>
      </c>
      <c r="N50" s="351"/>
    </row>
    <row r="51" spans="1:14" x14ac:dyDescent="0.25">
      <c r="A51" s="346" t="s">
        <v>977</v>
      </c>
      <c r="B51" s="346">
        <v>1</v>
      </c>
      <c r="C51" s="346">
        <v>0.85</v>
      </c>
      <c r="D51" s="346">
        <v>3700000</v>
      </c>
      <c r="E51" s="68">
        <v>1.6691572583040922E-3</v>
      </c>
      <c r="F51" s="68">
        <v>2.8664924186520002E-3</v>
      </c>
      <c r="G51" s="68">
        <v>2.8961839766858954E-3</v>
      </c>
      <c r="H51" s="68">
        <v>2.9000000000000002E-3</v>
      </c>
      <c r="I51" s="346">
        <f t="shared" si="1"/>
        <v>0</v>
      </c>
      <c r="J51" s="351">
        <f t="shared" si="2"/>
        <v>0.57557146838072137</v>
      </c>
      <c r="K51" s="351">
        <f t="shared" si="2"/>
        <v>0.98844566160413794</v>
      </c>
      <c r="L51" s="351">
        <f t="shared" si="2"/>
        <v>0.99868412989168798</v>
      </c>
      <c r="M51" s="351">
        <f t="shared" si="2"/>
        <v>1</v>
      </c>
      <c r="N51" s="351"/>
    </row>
    <row r="52" spans="1:14" x14ac:dyDescent="0.25">
      <c r="A52" s="346" t="s">
        <v>978</v>
      </c>
      <c r="B52" s="346">
        <v>1</v>
      </c>
      <c r="C52" s="346">
        <v>0.85</v>
      </c>
      <c r="D52" s="346">
        <v>30000000</v>
      </c>
      <c r="E52" s="68">
        <v>2.5044488767214644E-3</v>
      </c>
      <c r="F52" s="68">
        <v>4.3211673603231748E-3</v>
      </c>
      <c r="G52" s="68">
        <v>4.3718400098893273E-3</v>
      </c>
      <c r="H52" s="68">
        <v>4.4000000000000003E-3</v>
      </c>
      <c r="I52" s="346">
        <f t="shared" si="1"/>
        <v>0</v>
      </c>
      <c r="J52" s="351">
        <f t="shared" si="2"/>
        <v>0.56919292652760545</v>
      </c>
      <c r="K52" s="351">
        <f t="shared" si="2"/>
        <v>0.98208349098253966</v>
      </c>
      <c r="L52" s="351">
        <f t="shared" si="2"/>
        <v>0.99360000224757428</v>
      </c>
      <c r="M52" s="351">
        <f t="shared" si="2"/>
        <v>1</v>
      </c>
      <c r="N52" s="351"/>
    </row>
    <row r="53" spans="1:14" x14ac:dyDescent="0.25">
      <c r="A53" s="346" t="s">
        <v>979</v>
      </c>
      <c r="B53" s="346" t="s">
        <v>1058</v>
      </c>
      <c r="C53" s="346">
        <v>0.85</v>
      </c>
      <c r="D53" s="346">
        <v>0</v>
      </c>
      <c r="E53" s="68">
        <v>8.8321126003664367E-3</v>
      </c>
      <c r="F53" s="68">
        <v>1.5459430968783328E-2</v>
      </c>
      <c r="G53" s="68">
        <v>1.5732929632278125E-2</v>
      </c>
      <c r="H53" s="68">
        <v>1.6E-2</v>
      </c>
      <c r="I53" s="346">
        <f t="shared" si="1"/>
        <v>0</v>
      </c>
      <c r="J53" s="351">
        <f t="shared" si="2"/>
        <v>0.55200703752290226</v>
      </c>
      <c r="K53" s="351">
        <f t="shared" si="2"/>
        <v>0.96621443554895792</v>
      </c>
      <c r="L53" s="351">
        <f t="shared" si="2"/>
        <v>0.98330810201738283</v>
      </c>
      <c r="M53" s="351">
        <f t="shared" si="2"/>
        <v>1</v>
      </c>
      <c r="N53" s="351"/>
    </row>
    <row r="54" spans="1:14" x14ac:dyDescent="0.25">
      <c r="A54" s="346" t="s">
        <v>967</v>
      </c>
      <c r="B54" s="346">
        <v>1</v>
      </c>
      <c r="C54" s="346">
        <v>0.85</v>
      </c>
      <c r="D54" s="346">
        <v>2100000</v>
      </c>
      <c r="E54" s="68">
        <v>1.9481139859430349E-3</v>
      </c>
      <c r="F54" s="68">
        <v>3.3515081605325348E-3</v>
      </c>
      <c r="G54" s="68">
        <v>3.387887519408106E-3</v>
      </c>
      <c r="H54" s="68">
        <v>3.4000000000000002E-3</v>
      </c>
      <c r="I54" s="346">
        <f t="shared" si="1"/>
        <v>0</v>
      </c>
      <c r="J54" s="351">
        <f t="shared" si="2"/>
        <v>0.5729747017479514</v>
      </c>
      <c r="K54" s="351">
        <f t="shared" si="2"/>
        <v>0.98573769427427482</v>
      </c>
      <c r="L54" s="351">
        <f t="shared" si="2"/>
        <v>0.99643750570826639</v>
      </c>
      <c r="M54" s="351">
        <f t="shared" si="2"/>
        <v>1</v>
      </c>
      <c r="N54" s="351"/>
    </row>
    <row r="55" spans="1:14" x14ac:dyDescent="0.25">
      <c r="A55" s="346" t="s">
        <v>964</v>
      </c>
      <c r="B55" s="346">
        <v>3</v>
      </c>
      <c r="C55" s="346">
        <v>0.85</v>
      </c>
      <c r="D55" s="346">
        <v>1</v>
      </c>
      <c r="E55" s="68">
        <v>8.7652252241160276E-3</v>
      </c>
      <c r="F55" s="68">
        <v>1.5341103277812684E-2</v>
      </c>
      <c r="G55" s="68">
        <v>1.5611802720740253E-2</v>
      </c>
      <c r="H55" s="68">
        <v>1.5900000000000001E-2</v>
      </c>
      <c r="I55" s="346">
        <f t="shared" si="1"/>
        <v>0</v>
      </c>
      <c r="J55" s="351">
        <f t="shared" si="2"/>
        <v>0.55127202667396391</v>
      </c>
      <c r="K55" s="351">
        <f t="shared" si="2"/>
        <v>0.96484926275551464</v>
      </c>
      <c r="L55" s="351">
        <f t="shared" si="2"/>
        <v>0.98187438495221713</v>
      </c>
      <c r="M55" s="351">
        <f t="shared" si="2"/>
        <v>1</v>
      </c>
      <c r="N55" s="351"/>
    </row>
    <row r="56" spans="1:14" x14ac:dyDescent="0.25">
      <c r="A56" s="346" t="s">
        <v>211</v>
      </c>
      <c r="B56" s="346">
        <v>1</v>
      </c>
      <c r="C56" s="346">
        <v>0.85</v>
      </c>
      <c r="D56" s="346">
        <v>9722974.0099999998</v>
      </c>
      <c r="E56" s="68">
        <v>5.3704542475061887E-2</v>
      </c>
      <c r="F56" s="68">
        <v>9.4902279860143435E-2</v>
      </c>
      <c r="G56" s="68">
        <v>9.8137924534381304E-2</v>
      </c>
      <c r="H56" s="68">
        <v>0.1017</v>
      </c>
      <c r="I56" s="346">
        <f t="shared" si="1"/>
        <v>0</v>
      </c>
      <c r="J56" s="351">
        <f t="shared" si="2"/>
        <v>0.52806826425822895</v>
      </c>
      <c r="K56" s="351">
        <f t="shared" si="2"/>
        <v>0.93315909400337693</v>
      </c>
      <c r="L56" s="351">
        <f t="shared" si="2"/>
        <v>0.96497467585429009</v>
      </c>
      <c r="M56" s="351">
        <f t="shared" si="2"/>
        <v>1</v>
      </c>
      <c r="N56" s="351"/>
    </row>
    <row r="57" spans="1:14" x14ac:dyDescent="0.25">
      <c r="A57" s="346" t="s">
        <v>212</v>
      </c>
      <c r="B57" s="346">
        <v>1</v>
      </c>
      <c r="C57" s="346">
        <v>0.85</v>
      </c>
      <c r="D57" s="346">
        <v>40860670.920000002</v>
      </c>
      <c r="E57" s="68">
        <v>2.0177724531364955E-3</v>
      </c>
      <c r="F57" s="68">
        <v>3.4727557989602253E-3</v>
      </c>
      <c r="G57" s="68">
        <v>3.5108574718653029E-3</v>
      </c>
      <c r="H57" s="68">
        <v>3.5000000000000001E-3</v>
      </c>
      <c r="I57" s="346">
        <f t="shared" si="1"/>
        <v>0</v>
      </c>
      <c r="J57" s="351">
        <f t="shared" si="2"/>
        <v>0.57650641518185586</v>
      </c>
      <c r="K57" s="351">
        <f t="shared" si="2"/>
        <v>0.9922159425600644</v>
      </c>
      <c r="L57" s="351">
        <f t="shared" si="2"/>
        <v>1.003102134818658</v>
      </c>
      <c r="M57" s="351">
        <f t="shared" si="2"/>
        <v>1</v>
      </c>
      <c r="N57" s="351"/>
    </row>
    <row r="58" spans="1:14" x14ac:dyDescent="0.25">
      <c r="A58" s="346" t="s">
        <v>966</v>
      </c>
      <c r="B58" s="346" t="s">
        <v>1058</v>
      </c>
      <c r="C58" s="346">
        <v>0.85</v>
      </c>
      <c r="D58" s="346">
        <v>0</v>
      </c>
      <c r="E58" s="68">
        <v>2.0873979409373029E-3</v>
      </c>
      <c r="F58" s="68">
        <v>3.5939957746798923E-3</v>
      </c>
      <c r="G58" s="68">
        <v>3.6338389524405157E-3</v>
      </c>
      <c r="H58" s="68">
        <v>1.1899999999999999E-2</v>
      </c>
      <c r="I58" s="346" t="str">
        <f t="shared" si="1"/>
        <v>Little Explorers Day Care Nursery Limited - CBILS</v>
      </c>
      <c r="J58" s="351">
        <f t="shared" si="2"/>
        <v>0.17541159167540363</v>
      </c>
      <c r="K58" s="351">
        <f t="shared" si="2"/>
        <v>0.3020164516537725</v>
      </c>
      <c r="L58" s="351">
        <f t="shared" si="2"/>
        <v>0.30536461785214419</v>
      </c>
      <c r="M58" s="351">
        <f t="shared" si="2"/>
        <v>1</v>
      </c>
      <c r="N58" s="351"/>
    </row>
    <row r="59" spans="1:14" x14ac:dyDescent="0.25">
      <c r="A59" s="346" t="s">
        <v>968</v>
      </c>
      <c r="B59" s="346">
        <v>1</v>
      </c>
      <c r="C59" s="346">
        <v>0.85</v>
      </c>
      <c r="D59" s="346">
        <v>1027839.57</v>
      </c>
      <c r="E59" s="68">
        <v>2.3147651985241532E-2</v>
      </c>
      <c r="F59" s="68">
        <v>4.0866949715400391E-2</v>
      </c>
      <c r="G59" s="68">
        <v>4.1884853476904738E-2</v>
      </c>
      <c r="H59" s="68">
        <v>4.3000000000000003E-2</v>
      </c>
      <c r="I59" s="346">
        <f t="shared" si="1"/>
        <v>0</v>
      </c>
      <c r="J59" s="351">
        <f t="shared" si="2"/>
        <v>0.5383174880288728</v>
      </c>
      <c r="K59" s="351">
        <f t="shared" si="2"/>
        <v>0.95039417942791604</v>
      </c>
      <c r="L59" s="351">
        <f t="shared" si="2"/>
        <v>0.97406635992801704</v>
      </c>
      <c r="M59" s="351">
        <f t="shared" si="2"/>
        <v>1</v>
      </c>
      <c r="N59" s="351"/>
    </row>
    <row r="60" spans="1:14" x14ac:dyDescent="0.25">
      <c r="A60" s="346" t="s">
        <v>969</v>
      </c>
      <c r="B60" s="346">
        <v>1</v>
      </c>
      <c r="C60" s="346">
        <v>0.85</v>
      </c>
      <c r="D60" s="346">
        <v>1974999.96</v>
      </c>
      <c r="E60" s="68">
        <v>2.3147651985241532E-2</v>
      </c>
      <c r="F60" s="68">
        <v>4.0866949715400391E-2</v>
      </c>
      <c r="G60" s="68">
        <v>4.1884853476904738E-2</v>
      </c>
      <c r="H60" s="68">
        <v>4.3000000000000003E-2</v>
      </c>
      <c r="I60" s="346">
        <f t="shared" si="1"/>
        <v>0</v>
      </c>
      <c r="J60" s="351">
        <f t="shared" si="2"/>
        <v>0.5383174880288728</v>
      </c>
      <c r="K60" s="351">
        <f t="shared" si="2"/>
        <v>0.95039417942791604</v>
      </c>
      <c r="L60" s="351">
        <f t="shared" si="2"/>
        <v>0.97406635992801704</v>
      </c>
      <c r="M60" s="351">
        <f t="shared" si="2"/>
        <v>1</v>
      </c>
      <c r="N60" s="351"/>
    </row>
    <row r="61" spans="1:14" x14ac:dyDescent="0.25">
      <c r="A61" s="346" t="s">
        <v>973</v>
      </c>
      <c r="B61" s="346">
        <v>1</v>
      </c>
      <c r="C61" s="346">
        <v>0.84869464907204939</v>
      </c>
      <c r="D61" s="346">
        <v>4191803</v>
      </c>
      <c r="E61" s="68">
        <v>1.1474064745395045E-2</v>
      </c>
      <c r="F61" s="68">
        <v>2.0138466273161737E-2</v>
      </c>
      <c r="G61" s="68">
        <v>2.0528520564093489E-2</v>
      </c>
      <c r="H61" s="68">
        <v>2.0900000000000002E-2</v>
      </c>
      <c r="I61" s="346">
        <f t="shared" si="1"/>
        <v>0</v>
      </c>
      <c r="J61" s="351">
        <f t="shared" si="2"/>
        <v>0.54899831317679637</v>
      </c>
      <c r="K61" s="351">
        <f t="shared" si="2"/>
        <v>0.96356297957711656</v>
      </c>
      <c r="L61" s="351">
        <f t="shared" si="2"/>
        <v>0.98222586431069314</v>
      </c>
      <c r="M61" s="351">
        <f t="shared" si="2"/>
        <v>1</v>
      </c>
      <c r="N61" s="351"/>
    </row>
    <row r="62" spans="1:14" x14ac:dyDescent="0.25">
      <c r="A62" s="346" t="s">
        <v>971</v>
      </c>
      <c r="B62" s="346">
        <v>1</v>
      </c>
      <c r="C62" s="346">
        <v>1.0454567534063925</v>
      </c>
      <c r="D62" s="346">
        <v>529567.98</v>
      </c>
      <c r="E62" s="68">
        <v>5.3535002548060337E-3</v>
      </c>
      <c r="F62" s="68">
        <v>9.3185338002594875E-3</v>
      </c>
      <c r="G62" s="68">
        <v>9.457864634658697E-3</v>
      </c>
      <c r="H62" s="68">
        <v>9.6000000000000009E-3</v>
      </c>
      <c r="I62" s="346">
        <f t="shared" si="1"/>
        <v>0</v>
      </c>
      <c r="J62" s="351">
        <f t="shared" si="2"/>
        <v>0.5576562765422951</v>
      </c>
      <c r="K62" s="351">
        <f t="shared" si="2"/>
        <v>0.97068060419369651</v>
      </c>
      <c r="L62" s="351">
        <f t="shared" si="2"/>
        <v>0.98519423277694751</v>
      </c>
      <c r="M62" s="351">
        <f t="shared" si="2"/>
        <v>1</v>
      </c>
      <c r="N62" s="351"/>
    </row>
    <row r="63" spans="1:14" x14ac:dyDescent="0.25">
      <c r="A63" s="346" t="s">
        <v>972</v>
      </c>
      <c r="B63" s="346">
        <v>1</v>
      </c>
      <c r="C63" s="346">
        <v>0.52254496867006539</v>
      </c>
      <c r="D63" s="346">
        <v>4998648</v>
      </c>
      <c r="E63" s="68">
        <v>6.8298383176428534E-3</v>
      </c>
      <c r="F63" s="68">
        <v>1.1921095667560944E-2</v>
      </c>
      <c r="G63" s="68">
        <v>1.2114381524748197E-2</v>
      </c>
      <c r="H63" s="68">
        <v>1.23E-2</v>
      </c>
      <c r="I63" s="346">
        <f t="shared" si="1"/>
        <v>0</v>
      </c>
      <c r="J63" s="351">
        <f t="shared" si="2"/>
        <v>0.55527140793844332</v>
      </c>
      <c r="K63" s="351">
        <f t="shared" si="2"/>
        <v>0.96919476972040186</v>
      </c>
      <c r="L63" s="351">
        <f t="shared" si="2"/>
        <v>0.98490906705269887</v>
      </c>
      <c r="M63" s="351">
        <f t="shared" si="2"/>
        <v>1</v>
      </c>
      <c r="N63" s="351"/>
    </row>
    <row r="64" spans="1:14" x14ac:dyDescent="0.25">
      <c r="A64" s="346" t="s">
        <v>976</v>
      </c>
      <c r="B64" s="346">
        <v>1</v>
      </c>
      <c r="C64" s="346">
        <v>1.1000000000000001</v>
      </c>
      <c r="D64" s="346">
        <v>400000</v>
      </c>
      <c r="E64" s="68">
        <v>1.7492049619456232E-2</v>
      </c>
      <c r="F64" s="68">
        <v>3.0819666923926792E-2</v>
      </c>
      <c r="G64" s="68">
        <v>3.151298634620725E-2</v>
      </c>
      <c r="H64" s="68">
        <v>2.4400000000000002E-2</v>
      </c>
      <c r="I64" s="346" t="str">
        <f t="shared" si="1"/>
        <v>Bright Minds Daycare Limited - CBILS</v>
      </c>
      <c r="J64" s="351">
        <f t="shared" si="2"/>
        <v>0.71688727948591113</v>
      </c>
      <c r="K64" s="351">
        <f t="shared" si="2"/>
        <v>1.2631011034396225</v>
      </c>
      <c r="L64" s="351">
        <f t="shared" si="2"/>
        <v>1.2915158338609527</v>
      </c>
      <c r="M64" s="351">
        <f t="shared" si="2"/>
        <v>1</v>
      </c>
      <c r="N64" s="351"/>
    </row>
    <row r="65" spans="1:14" x14ac:dyDescent="0.25">
      <c r="A65" s="346" t="s">
        <v>974</v>
      </c>
      <c r="B65" s="346">
        <v>1</v>
      </c>
      <c r="C65" s="346">
        <v>1.3816201312998841</v>
      </c>
      <c r="D65" s="346">
        <v>4982996.5999999996</v>
      </c>
      <c r="E65" s="68">
        <v>4.0554502640469531E-3</v>
      </c>
      <c r="F65" s="68">
        <v>7.0365515728980643E-3</v>
      </c>
      <c r="G65" s="68">
        <v>7.1326592962085433E-3</v>
      </c>
      <c r="H65" s="68">
        <v>7.2000000000000007E-3</v>
      </c>
      <c r="I65" s="346">
        <f t="shared" si="1"/>
        <v>0</v>
      </c>
      <c r="J65" s="351">
        <f t="shared" si="2"/>
        <v>0.56325698111763234</v>
      </c>
      <c r="K65" s="351">
        <f t="shared" si="2"/>
        <v>0.97729882956917546</v>
      </c>
      <c r="L65" s="351">
        <f t="shared" si="2"/>
        <v>0.99064712447340875</v>
      </c>
      <c r="M65" s="351">
        <f t="shared" si="2"/>
        <v>1</v>
      </c>
      <c r="N65" s="351"/>
    </row>
    <row r="66" spans="1:14" x14ac:dyDescent="0.25">
      <c r="A66" s="346" t="s">
        <v>970</v>
      </c>
      <c r="B66" s="346">
        <v>1</v>
      </c>
      <c r="C66" s="346">
        <v>0.65723468572252564</v>
      </c>
      <c r="D66" s="346">
        <v>3500000</v>
      </c>
      <c r="E66" s="68">
        <v>2.8395445132020872E-2</v>
      </c>
      <c r="F66" s="68">
        <v>5.0185693871108827E-2</v>
      </c>
      <c r="G66" s="68">
        <v>5.1533518122467314E-2</v>
      </c>
      <c r="H66" s="68">
        <v>5.3000000000000005E-2</v>
      </c>
      <c r="I66" s="346">
        <f t="shared" si="1"/>
        <v>0</v>
      </c>
      <c r="J66" s="351">
        <f t="shared" si="2"/>
        <v>0.53576311569850699</v>
      </c>
      <c r="K66" s="351">
        <f>F66/$H66</f>
        <v>0.94689988436054384</v>
      </c>
      <c r="L66" s="351">
        <f>G66/$H66</f>
        <v>0.97233053061259078</v>
      </c>
      <c r="M66" s="351">
        <f>H66/$H66</f>
        <v>1</v>
      </c>
      <c r="N66" s="351"/>
    </row>
    <row r="67" spans="1:14" x14ac:dyDescent="0.25">
      <c r="A67" s="346" t="s">
        <v>208</v>
      </c>
      <c r="B67" s="346">
        <v>1</v>
      </c>
      <c r="C67" s="346">
        <v>0.85</v>
      </c>
      <c r="D67" s="346">
        <v>40000000</v>
      </c>
      <c r="E67" s="68">
        <v>1.5361520213888528E-2</v>
      </c>
      <c r="F67" s="68">
        <v>2.7035984319513706E-2</v>
      </c>
      <c r="G67" s="68">
        <v>2.7616502481371152E-2</v>
      </c>
      <c r="H67" s="68">
        <v>2.8200000000000003E-2</v>
      </c>
      <c r="I67" s="346">
        <f t="shared" ref="I67:I82" si="3">IFERROR(VLOOKUP(A67,U:U,1,FALSE),0)</f>
        <v>0</v>
      </c>
      <c r="J67" s="351">
        <f t="shared" ref="J67:M82" si="4">E67/$H67</f>
        <v>0.54473475935774918</v>
      </c>
      <c r="K67" s="351">
        <f t="shared" si="4"/>
        <v>0.95872284820970577</v>
      </c>
      <c r="L67" s="351">
        <f t="shared" si="4"/>
        <v>0.9793085986301826</v>
      </c>
      <c r="M67" s="351">
        <f t="shared" si="4"/>
        <v>1</v>
      </c>
      <c r="N67" s="351"/>
    </row>
    <row r="68" spans="1:14" x14ac:dyDescent="0.25">
      <c r="A68" s="346" t="s">
        <v>365</v>
      </c>
      <c r="B68" s="346" t="s">
        <v>1058</v>
      </c>
      <c r="C68" s="346">
        <v>0.85</v>
      </c>
      <c r="D68" s="346">
        <v>0</v>
      </c>
      <c r="E68" s="68" t="e">
        <v>#NUM!</v>
      </c>
      <c r="F68" s="68" t="e">
        <v>#NUM!</v>
      </c>
      <c r="G68" s="68" t="e">
        <v>#NUM!</v>
      </c>
      <c r="H68" s="68" t="e">
        <v>#NUM!</v>
      </c>
      <c r="I68" s="346">
        <f t="shared" si="3"/>
        <v>0</v>
      </c>
      <c r="J68" s="351" t="e">
        <f t="shared" si="4"/>
        <v>#NUM!</v>
      </c>
      <c r="K68" s="351" t="e">
        <f t="shared" si="4"/>
        <v>#NUM!</v>
      </c>
      <c r="L68" s="351" t="e">
        <f t="shared" si="4"/>
        <v>#NUM!</v>
      </c>
      <c r="M68" s="351" t="e">
        <f t="shared" si="4"/>
        <v>#NUM!</v>
      </c>
      <c r="N68" s="351"/>
    </row>
    <row r="69" spans="1:14" x14ac:dyDescent="0.25">
      <c r="A69" s="346" t="s">
        <v>975</v>
      </c>
      <c r="B69" s="346">
        <v>1</v>
      </c>
      <c r="C69" s="346">
        <v>0.85</v>
      </c>
      <c r="D69" s="346">
        <v>3800000</v>
      </c>
      <c r="E69" s="68">
        <v>1.7761977833346314E-2</v>
      </c>
      <c r="F69" s="68">
        <v>3.1299139482867888E-2</v>
      </c>
      <c r="G69" s="68">
        <v>3.2007142412084244E-2</v>
      </c>
      <c r="H69" s="68">
        <v>3.2800000000000003E-2</v>
      </c>
      <c r="I69" s="346">
        <f t="shared" si="3"/>
        <v>0</v>
      </c>
      <c r="J69" s="351">
        <f t="shared" si="4"/>
        <v>0.54152371443128999</v>
      </c>
      <c r="K69" s="351">
        <f t="shared" si="4"/>
        <v>0.95424205740450874</v>
      </c>
      <c r="L69" s="351">
        <f t="shared" si="4"/>
        <v>0.97582751256354394</v>
      </c>
      <c r="M69" s="351">
        <f t="shared" si="4"/>
        <v>1</v>
      </c>
      <c r="N69" s="351"/>
    </row>
    <row r="70" spans="1:14" x14ac:dyDescent="0.25">
      <c r="A70" s="346" t="s">
        <v>980</v>
      </c>
      <c r="B70" s="346" t="s">
        <v>1058</v>
      </c>
      <c r="C70" s="346">
        <v>0.85</v>
      </c>
      <c r="D70" s="346">
        <v>0</v>
      </c>
      <c r="E70" s="68" t="e">
        <v>#NUM!</v>
      </c>
      <c r="F70" s="68" t="e">
        <v>#NUM!</v>
      </c>
      <c r="G70" s="68" t="e">
        <v>#NUM!</v>
      </c>
      <c r="H70" s="68" t="e">
        <v>#NUM!</v>
      </c>
      <c r="I70" s="346">
        <f t="shared" si="3"/>
        <v>0</v>
      </c>
      <c r="J70" s="351" t="e">
        <f t="shared" si="4"/>
        <v>#NUM!</v>
      </c>
      <c r="K70" s="351" t="e">
        <f t="shared" si="4"/>
        <v>#NUM!</v>
      </c>
      <c r="L70" s="351" t="e">
        <f t="shared" si="4"/>
        <v>#NUM!</v>
      </c>
      <c r="M70" s="351" t="e">
        <f t="shared" si="4"/>
        <v>#NUM!</v>
      </c>
      <c r="N70" s="351"/>
    </row>
    <row r="71" spans="1:14" x14ac:dyDescent="0.25">
      <c r="A71" s="346" t="s">
        <v>988</v>
      </c>
      <c r="B71" s="346">
        <v>1</v>
      </c>
      <c r="C71" s="346">
        <v>0.85</v>
      </c>
      <c r="D71" s="346">
        <v>256633</v>
      </c>
      <c r="E71" s="68">
        <v>1.5361520213888528E-2</v>
      </c>
      <c r="F71" s="68">
        <v>2.7035984319513706E-2</v>
      </c>
      <c r="G71" s="68">
        <v>2.7616502481371152E-2</v>
      </c>
      <c r="H71" s="68">
        <v>2.8200000000000003E-2</v>
      </c>
      <c r="I71" s="346">
        <f t="shared" si="3"/>
        <v>0</v>
      </c>
      <c r="J71" s="351">
        <f t="shared" si="4"/>
        <v>0.54473475935774918</v>
      </c>
      <c r="K71" s="351">
        <f t="shared" si="4"/>
        <v>0.95872284820970577</v>
      </c>
      <c r="L71" s="351">
        <f t="shared" si="4"/>
        <v>0.9793085986301826</v>
      </c>
      <c r="M71" s="351">
        <f t="shared" si="4"/>
        <v>1</v>
      </c>
      <c r="N71" s="351"/>
    </row>
    <row r="72" spans="1:14" x14ac:dyDescent="0.25">
      <c r="A72" s="346" t="s">
        <v>989</v>
      </c>
      <c r="B72" s="346" t="s">
        <v>1058</v>
      </c>
      <c r="C72" s="346">
        <v>0.85</v>
      </c>
      <c r="D72" s="346">
        <v>0</v>
      </c>
      <c r="E72" s="68">
        <v>1.5361520213888528E-2</v>
      </c>
      <c r="F72" s="68">
        <v>2.7035984319513706E-2</v>
      </c>
      <c r="G72" s="68">
        <v>2.7616502481371152E-2</v>
      </c>
      <c r="H72" s="68">
        <v>2.8200000000000003E-2</v>
      </c>
      <c r="I72" s="346">
        <f t="shared" si="3"/>
        <v>0</v>
      </c>
      <c r="J72" s="351">
        <f t="shared" si="4"/>
        <v>0.54473475935774918</v>
      </c>
      <c r="K72" s="351">
        <f t="shared" si="4"/>
        <v>0.95872284820970577</v>
      </c>
      <c r="L72" s="351">
        <f t="shared" si="4"/>
        <v>0.9793085986301826</v>
      </c>
      <c r="M72" s="351">
        <f t="shared" si="4"/>
        <v>1</v>
      </c>
      <c r="N72" s="351"/>
    </row>
    <row r="73" spans="1:14" x14ac:dyDescent="0.25">
      <c r="A73" s="346" t="s">
        <v>990</v>
      </c>
      <c r="B73" s="346" t="s">
        <v>1058</v>
      </c>
      <c r="C73" s="346">
        <v>0.85</v>
      </c>
      <c r="D73" s="346">
        <v>0</v>
      </c>
      <c r="E73" s="68" t="e">
        <v>#NUM!</v>
      </c>
      <c r="F73" s="68" t="e">
        <v>#NUM!</v>
      </c>
      <c r="G73" s="68" t="e">
        <v>#NUM!</v>
      </c>
      <c r="H73" s="68" t="e">
        <v>#NUM!</v>
      </c>
      <c r="I73" s="346">
        <f t="shared" si="3"/>
        <v>0</v>
      </c>
      <c r="J73" s="351" t="e">
        <f t="shared" si="4"/>
        <v>#NUM!</v>
      </c>
      <c r="K73" s="351" t="e">
        <f t="shared" si="4"/>
        <v>#NUM!</v>
      </c>
      <c r="L73" s="351" t="e">
        <f t="shared" si="4"/>
        <v>#NUM!</v>
      </c>
      <c r="M73" s="351" t="e">
        <f t="shared" si="4"/>
        <v>#NUM!</v>
      </c>
      <c r="N73" s="351"/>
    </row>
    <row r="74" spans="1:14" x14ac:dyDescent="0.25">
      <c r="A74" s="346" t="s">
        <v>991</v>
      </c>
      <c r="B74" s="346">
        <v>1</v>
      </c>
      <c r="C74" s="346">
        <v>0.85</v>
      </c>
      <c r="D74" s="346">
        <v>1580000</v>
      </c>
      <c r="E74" s="68">
        <v>3.8859816087464696E-3</v>
      </c>
      <c r="F74" s="68">
        <v>6.7391737046109679E-3</v>
      </c>
      <c r="G74" s="68">
        <v>6.8299639821063352E-3</v>
      </c>
      <c r="H74" s="68">
        <v>6.9000000000000008E-3</v>
      </c>
      <c r="I74" s="346">
        <f t="shared" si="3"/>
        <v>0</v>
      </c>
      <c r="J74" s="351">
        <f t="shared" si="4"/>
        <v>0.56318574039803904</v>
      </c>
      <c r="K74" s="351">
        <f t="shared" si="4"/>
        <v>0.97669184124796626</v>
      </c>
      <c r="L74" s="351">
        <f t="shared" si="4"/>
        <v>0.98984985247917889</v>
      </c>
      <c r="M74" s="351">
        <f t="shared" si="4"/>
        <v>1</v>
      </c>
      <c r="N74" s="351"/>
    </row>
    <row r="75" spans="1:14" x14ac:dyDescent="0.25">
      <c r="A75" s="346" t="s">
        <v>1018</v>
      </c>
      <c r="B75" s="346">
        <v>1</v>
      </c>
      <c r="C75" s="346">
        <v>0.6711905190758346</v>
      </c>
      <c r="D75" s="346">
        <v>2100000</v>
      </c>
      <c r="E75" s="68">
        <v>1.736667776826669E-2</v>
      </c>
      <c r="F75" s="68">
        <v>3.0596975191391929E-2</v>
      </c>
      <c r="G75" s="68">
        <v>3.1283503946050284E-2</v>
      </c>
      <c r="H75" s="68">
        <v>3.2000000000000001E-2</v>
      </c>
      <c r="I75" s="346">
        <f t="shared" si="3"/>
        <v>0</v>
      </c>
      <c r="J75" s="351">
        <f t="shared" si="4"/>
        <v>0.54270868025833408</v>
      </c>
      <c r="K75" s="351">
        <f t="shared" si="4"/>
        <v>0.95615547473099771</v>
      </c>
      <c r="L75" s="351">
        <f t="shared" si="4"/>
        <v>0.9776094983140714</v>
      </c>
      <c r="M75" s="351">
        <f t="shared" si="4"/>
        <v>1</v>
      </c>
      <c r="N75" s="351"/>
    </row>
    <row r="76" spans="1:14" x14ac:dyDescent="0.25">
      <c r="A76" s="346" t="s">
        <v>1019</v>
      </c>
      <c r="B76" s="346">
        <v>1</v>
      </c>
      <c r="C76" s="346">
        <v>0.85</v>
      </c>
      <c r="D76" s="346">
        <v>1300000</v>
      </c>
      <c r="E76" s="68">
        <v>1.9502215244014933E-2</v>
      </c>
      <c r="F76" s="68">
        <v>3.4390622580910857E-2</v>
      </c>
      <c r="G76" s="68">
        <v>3.5195309479280512E-2</v>
      </c>
      <c r="H76" s="68">
        <v>3.61E-2</v>
      </c>
      <c r="I76" s="346">
        <f t="shared" si="3"/>
        <v>0</v>
      </c>
      <c r="J76" s="351">
        <f t="shared" si="4"/>
        <v>0.54022756908628622</v>
      </c>
      <c r="K76" s="351">
        <f t="shared" si="4"/>
        <v>0.95264882495597936</v>
      </c>
      <c r="L76" s="351">
        <f t="shared" si="4"/>
        <v>0.9749393207556929</v>
      </c>
      <c r="M76" s="351">
        <f t="shared" si="4"/>
        <v>1</v>
      </c>
      <c r="N76" s="351"/>
    </row>
    <row r="77" spans="1:14" x14ac:dyDescent="0.25">
      <c r="A77" s="346" t="s">
        <v>1021</v>
      </c>
      <c r="B77" s="346">
        <v>1</v>
      </c>
      <c r="C77" s="346">
        <v>0.78908700495327666</v>
      </c>
      <c r="D77" s="346">
        <v>20115000</v>
      </c>
      <c r="E77" s="68">
        <v>3.7166955995157493E-2</v>
      </c>
      <c r="F77" s="68">
        <v>6.5734882994641475E-2</v>
      </c>
      <c r="G77" s="68">
        <v>6.7686635480165847E-2</v>
      </c>
      <c r="H77" s="68">
        <v>6.9800000000000001E-2</v>
      </c>
      <c r="I77" s="346">
        <f t="shared" si="3"/>
        <v>0</v>
      </c>
      <c r="J77" s="351">
        <f t="shared" si="4"/>
        <v>0.53247787958678361</v>
      </c>
      <c r="K77" s="351">
        <f t="shared" si="4"/>
        <v>0.94176050135589506</v>
      </c>
      <c r="L77" s="351">
        <f t="shared" si="4"/>
        <v>0.96972257134908091</v>
      </c>
      <c r="M77" s="351">
        <f t="shared" si="4"/>
        <v>1</v>
      </c>
      <c r="N77" s="351"/>
    </row>
    <row r="78" spans="1:14" x14ac:dyDescent="0.25">
      <c r="A78" s="346" t="s">
        <v>1022</v>
      </c>
      <c r="B78" s="346">
        <v>1</v>
      </c>
      <c r="C78" s="346">
        <v>0.78908700495327666</v>
      </c>
      <c r="D78" s="346">
        <v>100000</v>
      </c>
      <c r="E78" s="68">
        <v>3.7166955995157493E-2</v>
      </c>
      <c r="F78" s="68">
        <v>6.5734882994641475E-2</v>
      </c>
      <c r="G78" s="68">
        <v>6.7686635480165847E-2</v>
      </c>
      <c r="H78" s="68">
        <v>6.9800000000000001E-2</v>
      </c>
      <c r="I78" s="346">
        <f t="shared" si="3"/>
        <v>0</v>
      </c>
      <c r="J78" s="351">
        <f t="shared" si="4"/>
        <v>0.53247787958678361</v>
      </c>
      <c r="K78" s="351">
        <f t="shared" si="4"/>
        <v>0.94176050135589506</v>
      </c>
      <c r="L78" s="351">
        <f t="shared" si="4"/>
        <v>0.96972257134908091</v>
      </c>
      <c r="M78" s="351">
        <f t="shared" si="4"/>
        <v>1</v>
      </c>
      <c r="N78" s="351"/>
    </row>
    <row r="79" spans="1:14" x14ac:dyDescent="0.25">
      <c r="A79" s="346" t="s">
        <v>1023</v>
      </c>
      <c r="B79" s="346">
        <v>1</v>
      </c>
      <c r="C79" s="346">
        <v>0.85</v>
      </c>
      <c r="D79" s="346">
        <v>470001</v>
      </c>
      <c r="E79" s="68">
        <v>1.0563984878452334E-2</v>
      </c>
      <c r="F79" s="68">
        <v>1.852563097453519E-2</v>
      </c>
      <c r="G79" s="68">
        <v>1.887426107466228E-2</v>
      </c>
      <c r="H79" s="68">
        <v>1.9200000000000002E-2</v>
      </c>
      <c r="I79" s="346">
        <f t="shared" si="3"/>
        <v>0</v>
      </c>
      <c r="J79" s="351">
        <f t="shared" si="4"/>
        <v>0.55020754575272568</v>
      </c>
      <c r="K79" s="351">
        <f t="shared" si="4"/>
        <v>0.9648766132570411</v>
      </c>
      <c r="L79" s="351">
        <f t="shared" si="4"/>
        <v>0.98303443097199361</v>
      </c>
      <c r="M79" s="351">
        <f t="shared" si="4"/>
        <v>1</v>
      </c>
      <c r="N79" s="351"/>
    </row>
    <row r="80" spans="1:14" x14ac:dyDescent="0.25">
      <c r="A80" s="346" t="s">
        <v>1024</v>
      </c>
      <c r="B80" s="346">
        <v>1</v>
      </c>
      <c r="C80" s="346">
        <v>0.82275104963175039</v>
      </c>
      <c r="D80" s="346">
        <v>4000000</v>
      </c>
      <c r="E80" s="68">
        <v>5.353382155624713E-3</v>
      </c>
      <c r="F80" s="68">
        <v>9.3183258825453308E-3</v>
      </c>
      <c r="G80" s="68">
        <v>9.4576525955263335E-3</v>
      </c>
      <c r="H80" s="68">
        <v>9.6000000000000009E-3</v>
      </c>
      <c r="I80" s="346">
        <f t="shared" si="3"/>
        <v>0</v>
      </c>
      <c r="J80" s="351">
        <f t="shared" si="4"/>
        <v>0.55764397454424086</v>
      </c>
      <c r="K80" s="351">
        <f t="shared" si="4"/>
        <v>0.97065894609847192</v>
      </c>
      <c r="L80" s="351">
        <f t="shared" si="4"/>
        <v>0.98517214536732634</v>
      </c>
      <c r="M80" s="351">
        <f t="shared" si="4"/>
        <v>1</v>
      </c>
      <c r="N80" s="351"/>
    </row>
    <row r="81" spans="1:14" x14ac:dyDescent="0.25">
      <c r="A81" s="346" t="s">
        <v>1027</v>
      </c>
      <c r="B81" s="346">
        <v>1</v>
      </c>
      <c r="C81" s="346">
        <v>0.85</v>
      </c>
      <c r="D81" s="346">
        <v>30000000</v>
      </c>
      <c r="E81" s="68">
        <v>2.2265491192525479E-3</v>
      </c>
      <c r="F81" s="68">
        <v>3.8364443551553995E-3</v>
      </c>
      <c r="G81" s="68">
        <v>3.8798264178583342E-3</v>
      </c>
      <c r="H81" s="68">
        <v>3.9000000000000003E-3</v>
      </c>
      <c r="I81" s="346">
        <f t="shared" si="3"/>
        <v>0</v>
      </c>
      <c r="J81" s="351">
        <f t="shared" si="4"/>
        <v>0.57091003057757639</v>
      </c>
      <c r="K81" s="351">
        <f t="shared" si="4"/>
        <v>0.98370368080907677</v>
      </c>
      <c r="L81" s="351">
        <f t="shared" si="4"/>
        <v>0.99482728663034203</v>
      </c>
      <c r="M81" s="351">
        <f t="shared" si="4"/>
        <v>1</v>
      </c>
      <c r="N81" s="351"/>
    </row>
    <row r="82" spans="1:14" x14ac:dyDescent="0.25">
      <c r="A82" s="346" t="s">
        <v>1014</v>
      </c>
      <c r="B82" s="346">
        <v>1</v>
      </c>
      <c r="C82" s="346">
        <v>0.85</v>
      </c>
      <c r="D82" s="346">
        <v>30000000</v>
      </c>
      <c r="E82" s="68">
        <v>6.071070101945489E-3</v>
      </c>
      <c r="F82" s="68">
        <v>1.0582692477672295E-2</v>
      </c>
      <c r="G82" s="68">
        <v>1.0747654066570522E-2</v>
      </c>
      <c r="H82" s="68">
        <v>1.09E-2</v>
      </c>
      <c r="I82" s="346">
        <f t="shared" si="3"/>
        <v>0</v>
      </c>
      <c r="J82" s="351">
        <f t="shared" si="4"/>
        <v>0.55697890843536602</v>
      </c>
      <c r="K82" s="351">
        <f t="shared" si="4"/>
        <v>0.97088921813507301</v>
      </c>
      <c r="L82" s="351">
        <f t="shared" si="4"/>
        <v>0.98602330885968092</v>
      </c>
      <c r="M82" s="351">
        <f t="shared" si="4"/>
        <v>1</v>
      </c>
      <c r="N82" s="351"/>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6F550A-80F6-4B7A-9D0F-C043DAFEEFE1}">
  <sheetPr codeName="Sheet3"/>
  <dimension ref="B2:D14"/>
  <sheetViews>
    <sheetView tabSelected="1" zoomScale="80" zoomScaleNormal="80" workbookViewId="0">
      <selection activeCell="C623" sqref="C623"/>
    </sheetView>
  </sheetViews>
  <sheetFormatPr defaultColWidth="8.7109375" defaultRowHeight="15" x14ac:dyDescent="0.25"/>
  <cols>
    <col min="1" max="1" width="3" style="346" customWidth="1"/>
    <col min="2" max="2" width="4.42578125" style="346" bestFit="1" customWidth="1"/>
    <col min="3" max="3" width="30.5703125" style="346" bestFit="1" customWidth="1"/>
    <col min="4" max="4" width="138.42578125" style="346" customWidth="1"/>
    <col min="5" max="16384" width="8.7109375" style="346"/>
  </cols>
  <sheetData>
    <row r="2" spans="2:4" x14ac:dyDescent="0.25">
      <c r="B2" s="363" t="s">
        <v>1837</v>
      </c>
      <c r="C2" s="363" t="s">
        <v>1838</v>
      </c>
      <c r="D2" s="363" t="s">
        <v>1839</v>
      </c>
    </row>
    <row r="3" spans="2:4" x14ac:dyDescent="0.25">
      <c r="B3" s="354">
        <v>1</v>
      </c>
      <c r="C3" s="354" t="s">
        <v>1840</v>
      </c>
      <c r="D3" s="354" t="s">
        <v>1841</v>
      </c>
    </row>
    <row r="4" spans="2:4" x14ac:dyDescent="0.25">
      <c r="B4" s="354">
        <v>2</v>
      </c>
      <c r="C4" s="354" t="s">
        <v>1860</v>
      </c>
      <c r="D4" s="354" t="s">
        <v>1858</v>
      </c>
    </row>
    <row r="5" spans="2:4" x14ac:dyDescent="0.25">
      <c r="B5" s="354">
        <v>3</v>
      </c>
      <c r="C5" s="354" t="s">
        <v>1859</v>
      </c>
      <c r="D5" s="354" t="s">
        <v>1861</v>
      </c>
    </row>
    <row r="6" spans="2:4" x14ac:dyDescent="0.25">
      <c r="B6" s="354">
        <v>4</v>
      </c>
      <c r="C6" s="354" t="s">
        <v>1846</v>
      </c>
      <c r="D6" s="354" t="s">
        <v>1862</v>
      </c>
    </row>
    <row r="7" spans="2:4" x14ac:dyDescent="0.25">
      <c r="B7" s="354">
        <v>5</v>
      </c>
      <c r="C7" s="354" t="s">
        <v>1842</v>
      </c>
      <c r="D7" s="354" t="s">
        <v>1843</v>
      </c>
    </row>
    <row r="8" spans="2:4" x14ac:dyDescent="0.25">
      <c r="B8" s="354">
        <v>6</v>
      </c>
      <c r="C8" s="354" t="s">
        <v>1844</v>
      </c>
      <c r="D8" s="354" t="s">
        <v>1845</v>
      </c>
    </row>
    <row r="9" spans="2:4" x14ac:dyDescent="0.25">
      <c r="B9" s="354">
        <v>7</v>
      </c>
      <c r="C9" s="354" t="s">
        <v>1863</v>
      </c>
      <c r="D9" s="354" t="s">
        <v>1847</v>
      </c>
    </row>
    <row r="10" spans="2:4" x14ac:dyDescent="0.25">
      <c r="B10" s="354">
        <v>8</v>
      </c>
      <c r="C10" s="354" t="s">
        <v>1848</v>
      </c>
      <c r="D10" s="354" t="s">
        <v>1849</v>
      </c>
    </row>
    <row r="11" spans="2:4" x14ac:dyDescent="0.25">
      <c r="B11" s="354">
        <v>9</v>
      </c>
      <c r="C11" s="354" t="s">
        <v>1850</v>
      </c>
      <c r="D11" s="354" t="s">
        <v>1851</v>
      </c>
    </row>
    <row r="12" spans="2:4" x14ac:dyDescent="0.25">
      <c r="B12" s="354">
        <v>10</v>
      </c>
      <c r="C12" s="354" t="s">
        <v>1852</v>
      </c>
      <c r="D12" s="354" t="s">
        <v>1853</v>
      </c>
    </row>
    <row r="13" spans="2:4" x14ac:dyDescent="0.25">
      <c r="B13" s="354">
        <v>11</v>
      </c>
      <c r="C13" s="354" t="s">
        <v>1854</v>
      </c>
      <c r="D13" s="354" t="s">
        <v>1855</v>
      </c>
    </row>
    <row r="14" spans="2:4" x14ac:dyDescent="0.25">
      <c r="B14" s="354">
        <v>12</v>
      </c>
      <c r="C14" s="354" t="s">
        <v>1856</v>
      </c>
      <c r="D14" s="354" t="s">
        <v>1857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9E215-5908-4D72-B3F1-2512D7272B27}">
  <sheetPr codeName="Sheet4"/>
  <dimension ref="A1:AF123"/>
  <sheetViews>
    <sheetView showGridLines="0" zoomScale="80" zoomScaleNormal="80" workbookViewId="0">
      <pane xSplit="1" topLeftCell="B1" activePane="topRight" state="frozen"/>
      <selection activeCell="C623" sqref="C623"/>
      <selection pane="topRight" activeCell="A2" sqref="A2"/>
    </sheetView>
  </sheetViews>
  <sheetFormatPr defaultColWidth="8.7109375" defaultRowHeight="15" x14ac:dyDescent="0.25"/>
  <cols>
    <col min="1" max="1" width="22.85546875" customWidth="1"/>
    <col min="2" max="2" width="48.7109375" customWidth="1"/>
    <col min="3" max="3" width="13.140625" bestFit="1" customWidth="1"/>
    <col min="4" max="4" width="16.140625" bestFit="1" customWidth="1"/>
    <col min="5" max="5" width="28.140625" bestFit="1" customWidth="1"/>
    <col min="6" max="6" width="11.42578125" bestFit="1" customWidth="1"/>
    <col min="7" max="7" width="12" bestFit="1" customWidth="1"/>
    <col min="8" max="8" width="12.42578125" bestFit="1" customWidth="1"/>
    <col min="9" max="9" width="14.85546875" bestFit="1" customWidth="1"/>
    <col min="10" max="10" width="11.42578125" bestFit="1" customWidth="1"/>
    <col min="11" max="11" width="12.140625" customWidth="1"/>
    <col min="12" max="12" width="7.140625" bestFit="1" customWidth="1"/>
    <col min="13" max="13" width="11.140625" hidden="1" customWidth="1"/>
    <col min="14" max="14" width="9.42578125" hidden="1" customWidth="1"/>
    <col min="15" max="15" width="12.5703125" hidden="1" customWidth="1"/>
    <col min="16" max="16" width="9.42578125" hidden="1" customWidth="1"/>
    <col min="17" max="17" width="9.5703125" hidden="1" customWidth="1"/>
    <col min="18" max="18" width="10.140625" hidden="1" customWidth="1"/>
    <col min="19" max="19" width="55.85546875" hidden="1" customWidth="1"/>
    <col min="20" max="20" width="24.5703125" hidden="1" customWidth="1"/>
    <col min="21" max="22" width="0" hidden="1" customWidth="1"/>
    <col min="23" max="23" width="42.42578125" hidden="1" customWidth="1"/>
    <col min="24" max="24" width="43.7109375" hidden="1" customWidth="1"/>
    <col min="25" max="25" width="0" hidden="1" customWidth="1"/>
    <col min="27" max="27" width="12.28515625" bestFit="1" customWidth="1"/>
    <col min="30" max="30" width="13.42578125" bestFit="1" customWidth="1"/>
  </cols>
  <sheetData>
    <row r="1" spans="1:31" s="166" customFormat="1" x14ac:dyDescent="0.25">
      <c r="A1" s="167"/>
      <c r="B1" s="167"/>
      <c r="C1" s="431"/>
      <c r="D1" s="431"/>
      <c r="E1" s="431"/>
      <c r="F1" s="566" t="s">
        <v>1181</v>
      </c>
      <c r="G1" s="566"/>
      <c r="H1" s="566"/>
      <c r="I1" s="566"/>
      <c r="J1" s="566"/>
      <c r="K1" s="167"/>
      <c r="L1" s="167"/>
      <c r="M1" s="566" t="s">
        <v>1179</v>
      </c>
      <c r="N1" s="566"/>
      <c r="O1" s="566"/>
      <c r="P1" s="173"/>
      <c r="Q1" s="173"/>
      <c r="R1" s="167"/>
      <c r="S1" s="167"/>
      <c r="T1" s="187" t="s">
        <v>1194</v>
      </c>
    </row>
    <row r="2" spans="1:31" s="166" customFormat="1" x14ac:dyDescent="0.25">
      <c r="A2" s="164" t="s">
        <v>1721</v>
      </c>
      <c r="B2" s="164" t="s">
        <v>1172</v>
      </c>
      <c r="C2" s="188" t="s">
        <v>240</v>
      </c>
      <c r="D2" s="188" t="s">
        <v>241</v>
      </c>
      <c r="E2" s="188" t="s">
        <v>1031</v>
      </c>
      <c r="F2" s="213" t="s">
        <v>375</v>
      </c>
      <c r="G2" s="213" t="s">
        <v>461</v>
      </c>
      <c r="H2" s="214" t="s">
        <v>1030</v>
      </c>
      <c r="I2" s="214" t="s">
        <v>1150</v>
      </c>
      <c r="J2" s="214" t="s">
        <v>1151</v>
      </c>
      <c r="K2" s="164" t="s">
        <v>1152</v>
      </c>
      <c r="L2" s="188" t="s">
        <v>174</v>
      </c>
      <c r="M2" s="215" t="s">
        <v>462</v>
      </c>
      <c r="N2" s="215" t="s">
        <v>357</v>
      </c>
      <c r="O2" s="216" t="s">
        <v>1180</v>
      </c>
      <c r="P2" s="165" t="s">
        <v>1153</v>
      </c>
      <c r="Q2" s="165" t="s">
        <v>1154</v>
      </c>
      <c r="R2" s="188" t="s">
        <v>1155</v>
      </c>
      <c r="S2" s="188" t="s">
        <v>151</v>
      </c>
      <c r="T2" s="167"/>
      <c r="Z2" s="167" t="s">
        <v>1010</v>
      </c>
      <c r="AA2" s="167" t="s">
        <v>962</v>
      </c>
    </row>
    <row r="3" spans="1:31" s="166" customFormat="1" x14ac:dyDescent="0.25">
      <c r="A3" s="279">
        <v>1100000141</v>
      </c>
      <c r="B3" s="167" t="str">
        <f>VLOOKUP(A3,'Ref-Data'!A:AD,30,FALSE)</f>
        <v>NOTES: MUSIC &amp; COFFEE LIMITED</v>
      </c>
      <c r="C3" s="190">
        <f>VLOOKUP('Data Summary'!$A3,'Ref-Data'!$A:$U,2,FALSE)</f>
        <v>70000</v>
      </c>
      <c r="D3" s="190">
        <f>VLOOKUP(A3,'Ref-Data'!A:C,3,FALSE)</f>
        <v>70000</v>
      </c>
      <c r="E3" s="190">
        <f>VLOOKUP('Data Summary'!$A3,'Ref-Data'!$A:$U,15,FALSE)</f>
        <v>0</v>
      </c>
      <c r="F3" s="226">
        <f>VLOOKUP('Data Summary'!$A3,'Ref-Data'!$A:$U,12,FALSE)</f>
        <v>3.7200000000000004E-2</v>
      </c>
      <c r="G3" s="226">
        <f>VLOOKUP('Data Summary'!$A3,'Ref-Data'!$A:$U,14,FALSE)</f>
        <v>0.37514320519767774</v>
      </c>
      <c r="H3" s="190">
        <f>VLOOKUP(A3,'Code Results'!A:B,2,FALSE)</f>
        <v>212.613136358872</v>
      </c>
      <c r="I3" s="190">
        <f>IFERROR(VLOOKUP($A3,'Code Results'!$A:$C,13,FALSE),VLOOKUP('Data Summary'!$A3,'Ref-Data'!$A:$U,18,FALSE))</f>
        <v>0</v>
      </c>
      <c r="J3" s="190">
        <f t="shared" ref="J3" si="0">IFERROR(H3+I3, "")</f>
        <v>212.613136358872</v>
      </c>
      <c r="K3" s="167" t="s">
        <v>1156</v>
      </c>
      <c r="L3" s="190">
        <f>VLOOKUP(A3, 'Ref-Data'!$A:$I,9,FALSE)</f>
        <v>1</v>
      </c>
      <c r="M3" s="173">
        <v>4.7500000000000001E-2</v>
      </c>
      <c r="N3" s="173">
        <v>0.37514320519767774</v>
      </c>
      <c r="O3" s="192">
        <v>3502.9172331077216</v>
      </c>
      <c r="P3" s="191">
        <f t="shared" ref="P3" si="1">F3-M3</f>
        <v>-1.0299999999999997E-2</v>
      </c>
      <c r="Q3" s="191">
        <f t="shared" ref="Q3" si="2">G3-N3</f>
        <v>0</v>
      </c>
      <c r="R3" s="193">
        <f t="shared" ref="R3" si="3">J3-O3</f>
        <v>-3290.3040967488496</v>
      </c>
      <c r="S3" s="354"/>
      <c r="T3" s="167"/>
      <c r="Z3" s="445">
        <f>VLOOKUP(A3,'Ref-Data'!$A:$F,6,FALSE)</f>
        <v>0.52566735112936347</v>
      </c>
      <c r="AA3" s="390">
        <f>IF('Ref-Data'!$Z$2="ON",VLOOKUP('Data Summary'!A3,'MacroPD-Cal'!$A:$O,15,FALSE),IF('Ref-Data'!$Z$5="Baseline",VLOOKUP(A3,'Model Output_TTC'!$A:$AU,47,FALSE),IF('Ref-Data'!$Z$5="90th Percentile",VLOOKUP(A3,'Model Output_TTC'!$A:$BP,68,FALSE),IF('Ref-Data'!$Z$5="96th Percentile",VLOOKUP('Data Summary'!A3,'Model Output_TTC'!$A:$Z,26,FALSE),""))))</f>
        <v>3.7200000000000004E-2</v>
      </c>
      <c r="AE3" s="325"/>
    </row>
    <row r="4" spans="1:31" s="166" customFormat="1" x14ac:dyDescent="0.25">
      <c r="A4" s="279">
        <v>1100000145</v>
      </c>
      <c r="B4" s="167" t="str">
        <f>VLOOKUP(A4,'Ref-Data'!A:AD,30,FALSE)</f>
        <v>Z HOTELS HOLBORN LIMITED</v>
      </c>
      <c r="C4" s="190">
        <f>VLOOKUP('Data Summary'!$A4,'Ref-Data'!$A:$U,2,FALSE)</f>
        <v>9722974.0099999998</v>
      </c>
      <c r="D4" s="190">
        <f>VLOOKUP(A4,'Ref-Data'!A:C,3,FALSE)</f>
        <v>9722974.0099999998</v>
      </c>
      <c r="E4" s="190">
        <f>VLOOKUP('Data Summary'!$A4,'Ref-Data'!$A:$U,15,FALSE)</f>
        <v>0</v>
      </c>
      <c r="F4" s="226">
        <f>VLOOKUP('Data Summary'!$A4,'Ref-Data'!$A:$U,12,FALSE)</f>
        <v>0.1283</v>
      </c>
      <c r="G4" s="226">
        <f>VLOOKUP('Data Summary'!$A4,'Ref-Data'!$A:$U,14,FALSE)</f>
        <v>0.2402</v>
      </c>
      <c r="H4" s="190">
        <f>VLOOKUP(A4,'Code Results'!A:B,2,FALSE)</f>
        <v>280305.099355946</v>
      </c>
      <c r="I4" s="190">
        <f>IFERROR(VLOOKUP($A4,'Code Results'!$A:$C,13,FALSE),VLOOKUP('Data Summary'!$A4,'Ref-Data'!$A:$U,18,FALSE))</f>
        <v>0</v>
      </c>
      <c r="J4" s="190">
        <f t="shared" ref="J4:J67" si="4">IFERROR(H4+I4, "")</f>
        <v>280305.099355946</v>
      </c>
      <c r="K4" s="167" t="s">
        <v>1156</v>
      </c>
      <c r="L4" s="190">
        <f>VLOOKUP(A4, 'Ref-Data'!$A:$I,9,FALSE)</f>
        <v>1</v>
      </c>
      <c r="M4" s="173">
        <v>4.7500000000000001E-2</v>
      </c>
      <c r="N4" s="173">
        <v>0.37514320519767774</v>
      </c>
      <c r="O4" s="192">
        <v>3502.9172331077216</v>
      </c>
      <c r="P4" s="191">
        <f t="shared" ref="P4:P67" si="5">F4-M4</f>
        <v>8.0799999999999997E-2</v>
      </c>
      <c r="Q4" s="191">
        <f t="shared" ref="Q4:Q67" si="6">G4-N4</f>
        <v>-0.13494320519767775</v>
      </c>
      <c r="R4" s="193">
        <f t="shared" ref="R4:R67" si="7">J4-O4</f>
        <v>276802.18212283828</v>
      </c>
      <c r="S4" s="354"/>
      <c r="T4" s="167"/>
      <c r="U4" s="355"/>
      <c r="V4" s="355"/>
      <c r="W4" s="355"/>
      <c r="X4" s="355"/>
      <c r="Y4" s="355"/>
      <c r="Z4" s="445">
        <f>VLOOKUP(A4,'Ref-Data'!$A:$F,6,FALSE)</f>
        <v>5.4757015742642023E-2</v>
      </c>
      <c r="AA4" s="390">
        <f>IF('Ref-Data'!$Z$2="ON",VLOOKUP('Data Summary'!A4,'MacroPD-Cal'!$A:$O,15,FALSE),IF('Ref-Data'!$Z$5="Baseline",VLOOKUP(A4,'Model Output_TTC'!$A:$AU,47,FALSE),IF('Ref-Data'!$Z$5="90th Percentile",VLOOKUP(A4,'Model Output_TTC'!$A:$BP,68,FALSE),IF('Ref-Data'!$Z$5="96th Percentile",VLOOKUP('Data Summary'!A4,'Model Output_TTC'!$A:$Z,26,FALSE),""))))</f>
        <v>0.1283</v>
      </c>
      <c r="AD4" s="477"/>
    </row>
    <row r="5" spans="1:31" s="166" customFormat="1" x14ac:dyDescent="0.25">
      <c r="A5" s="279">
        <v>1100000199</v>
      </c>
      <c r="B5" s="167" t="str">
        <f>VLOOKUP(A5,'Ref-Data'!A:AD,30,FALSE)</f>
        <v>WHISKEY (BIDCO) LIMITED</v>
      </c>
      <c r="C5" s="190">
        <f>VLOOKUP('Data Summary'!$A5,'Ref-Data'!$A:$U,2,FALSE)</f>
        <v>552635</v>
      </c>
      <c r="D5" s="190">
        <f>VLOOKUP(A5,'Ref-Data'!A:C,3,FALSE)</f>
        <v>552635</v>
      </c>
      <c r="E5" s="190">
        <f>VLOOKUP('Data Summary'!$A5,'Ref-Data'!$A:$U,15,FALSE)</f>
        <v>0</v>
      </c>
      <c r="F5" s="226">
        <f>VLOOKUP('Data Summary'!$A5,'Ref-Data'!$A:$U,12,FALSE)</f>
        <v>7.3000000000000001E-3</v>
      </c>
      <c r="G5" s="226">
        <f>VLOOKUP('Data Summary'!$A5,'Ref-Data'!$A:$U,14,FALSE)</f>
        <v>0.42375534614710542</v>
      </c>
      <c r="H5" s="190">
        <f>VLOOKUP(A5,'Code Results'!A:B,2,FALSE)</f>
        <v>692.95375878442201</v>
      </c>
      <c r="I5" s="190">
        <f>IFERROR(VLOOKUP($A5,'Code Results'!$A:$C,13,FALSE),VLOOKUP('Data Summary'!$A5,'Ref-Data'!$A:$U,18,FALSE))</f>
        <v>0</v>
      </c>
      <c r="J5" s="190">
        <f t="shared" si="4"/>
        <v>692.95375878442201</v>
      </c>
      <c r="K5" s="167" t="s">
        <v>1156</v>
      </c>
      <c r="L5" s="190">
        <f>VLOOKUP(A5, 'Ref-Data'!$A:$I,9,FALSE)</f>
        <v>1</v>
      </c>
      <c r="M5" s="173">
        <v>4.7500000000000001E-2</v>
      </c>
      <c r="N5" s="173">
        <v>0.37514320519767774</v>
      </c>
      <c r="O5" s="192">
        <v>3502.9172331077216</v>
      </c>
      <c r="P5" s="191">
        <f t="shared" si="5"/>
        <v>-4.02E-2</v>
      </c>
      <c r="Q5" s="191">
        <f t="shared" si="6"/>
        <v>4.8612140949427673E-2</v>
      </c>
      <c r="R5" s="193">
        <f t="shared" si="7"/>
        <v>-2809.9634743232996</v>
      </c>
      <c r="S5" s="354"/>
      <c r="T5" s="167"/>
      <c r="U5" s="355"/>
      <c r="V5" s="355"/>
      <c r="W5" s="355"/>
      <c r="X5" s="355"/>
      <c r="Y5" s="355"/>
      <c r="Z5" s="445">
        <f>VLOOKUP(A5,'Ref-Data'!$A:$F,6,FALSE)</f>
        <v>0.67351129363449691</v>
      </c>
      <c r="AA5" s="390">
        <f>IF('Ref-Data'!$Z$2="ON",VLOOKUP('Data Summary'!A5,'MacroPD-Cal'!$A:$O,15,FALSE),IF('Ref-Data'!$Z$5="Baseline",VLOOKUP(A5,'Model Output_TTC'!$A:$AU,47,FALSE),IF('Ref-Data'!$Z$5="90th Percentile",VLOOKUP(A5,'Model Output_TTC'!$A:$BP,68,FALSE),IF('Ref-Data'!$Z$5="96th Percentile",VLOOKUP('Data Summary'!A5,'Model Output_TTC'!$A:$Z,26,FALSE),""))))</f>
        <v>7.3000000000000001E-3</v>
      </c>
    </row>
    <row r="6" spans="1:31" s="166" customFormat="1" x14ac:dyDescent="0.25">
      <c r="A6" s="279">
        <v>1100000198</v>
      </c>
      <c r="B6" s="167" t="str">
        <f>VLOOKUP(A6,'Ref-Data'!A:AD,30,FALSE)</f>
        <v>WHISKEY (BIDCO) LIMITED</v>
      </c>
      <c r="C6" s="190">
        <f>VLOOKUP('Data Summary'!$A6,'Ref-Data'!$A:$U,2,FALSE)</f>
        <v>750000</v>
      </c>
      <c r="D6" s="190">
        <f>VLOOKUP(A6,'Ref-Data'!A:C,3,FALSE)</f>
        <v>750000</v>
      </c>
      <c r="E6" s="190">
        <f>VLOOKUP('Data Summary'!$A6,'Ref-Data'!$A:$U,15,FALSE)</f>
        <v>0</v>
      </c>
      <c r="F6" s="226">
        <f>VLOOKUP('Data Summary'!$A6,'Ref-Data'!$A:$U,12,FALSE)</f>
        <v>7.3000000000000001E-3</v>
      </c>
      <c r="G6" s="226">
        <f>VLOOKUP('Data Summary'!$A6,'Ref-Data'!$A:$U,14,FALSE)</f>
        <v>0.42375534614710542</v>
      </c>
      <c r="H6" s="190">
        <f>VLOOKUP(A6,'Code Results'!A:B,2,FALSE)</f>
        <v>1317.83155371716</v>
      </c>
      <c r="I6" s="190">
        <f>IFERROR(VLOOKUP($A6,'Code Results'!$A:$C,13,FALSE),VLOOKUP('Data Summary'!$A6,'Ref-Data'!$A:$U,18,FALSE))</f>
        <v>0</v>
      </c>
      <c r="J6" s="190">
        <f t="shared" si="4"/>
        <v>1317.83155371716</v>
      </c>
      <c r="K6" s="167" t="s">
        <v>1156</v>
      </c>
      <c r="L6" s="190">
        <f>VLOOKUP(A6, 'Ref-Data'!$A:$I,9,FALSE)</f>
        <v>1</v>
      </c>
      <c r="M6" s="173">
        <v>4.7500000000000001E-2</v>
      </c>
      <c r="N6" s="173">
        <v>0.37514320519767774</v>
      </c>
      <c r="O6" s="192">
        <v>3502.9172331077216</v>
      </c>
      <c r="P6" s="191">
        <f t="shared" si="5"/>
        <v>-4.02E-2</v>
      </c>
      <c r="Q6" s="191">
        <f t="shared" si="6"/>
        <v>4.8612140949427673E-2</v>
      </c>
      <c r="R6" s="193">
        <f t="shared" si="7"/>
        <v>-2185.0856793905614</v>
      </c>
      <c r="S6" s="354"/>
      <c r="T6" s="167"/>
      <c r="U6" s="355"/>
      <c r="V6" s="355"/>
      <c r="W6" s="355"/>
      <c r="X6" s="355"/>
      <c r="Y6" s="355"/>
      <c r="Z6" s="445">
        <f>VLOOKUP(A6,'Ref-Data'!$A:$F,6,FALSE)</f>
        <v>0.67351129363449691</v>
      </c>
      <c r="AA6" s="390">
        <f>IF('Ref-Data'!$Z$2="ON",VLOOKUP('Data Summary'!A6,'MacroPD-Cal'!$A:$O,15,FALSE),IF('Ref-Data'!$Z$5="Baseline",VLOOKUP(A6,'Model Output_TTC'!$A:$AU,47,FALSE),IF('Ref-Data'!$Z$5="90th Percentile",VLOOKUP(A6,'Model Output_TTC'!$A:$BP,68,FALSE),IF('Ref-Data'!$Z$5="96th Percentile",VLOOKUP('Data Summary'!A6,'Model Output_TTC'!$A:$Z,26,FALSE),""))))</f>
        <v>7.3000000000000001E-3</v>
      </c>
    </row>
    <row r="7" spans="1:31" s="166" customFormat="1" x14ac:dyDescent="0.25">
      <c r="A7" s="279">
        <v>1100000205</v>
      </c>
      <c r="B7" s="167" t="str">
        <f>VLOOKUP(A7,'Ref-Data'!A:AD,30,FALSE)</f>
        <v>INCEPTION VENTURES GROUP LIMITED &amp; BEDFORD STREET BAR TRADING LIMITED &amp; NEWMAN STREET BAR TRADING LIMITED &amp; BROADGATE CIRCLE  BAR TRADING LIMITED</v>
      </c>
      <c r="C7" s="190">
        <f>VLOOKUP('Data Summary'!$A7,'Ref-Data'!$A:$U,2,FALSE)</f>
        <v>2016664.01</v>
      </c>
      <c r="D7" s="190">
        <f>VLOOKUP(A7,'Ref-Data'!A:C,3,FALSE)</f>
        <v>2016664.01</v>
      </c>
      <c r="E7" s="190">
        <f>VLOOKUP('Data Summary'!$A7,'Ref-Data'!$A:$U,15,FALSE)</f>
        <v>0</v>
      </c>
      <c r="F7" s="226">
        <f>VLOOKUP('Data Summary'!$A7,'Ref-Data'!$A:$U,12,FALSE)</f>
        <v>1.03E-2</v>
      </c>
      <c r="G7" s="226">
        <f>VLOOKUP('Data Summary'!$A7,'Ref-Data'!$A:$U,14,FALSE)</f>
        <v>0.3637959654763534</v>
      </c>
      <c r="H7" s="190">
        <f>VLOOKUP(A7,'Code Results'!A:B,2,FALSE)</f>
        <v>3475.7134008901198</v>
      </c>
      <c r="I7" s="190">
        <f>IFERROR(VLOOKUP($A7,'Code Results'!$A:$C,13,FALSE),VLOOKUP('Data Summary'!$A7,'Ref-Data'!$A:$U,18,FALSE))</f>
        <v>0</v>
      </c>
      <c r="J7" s="190">
        <f t="shared" si="4"/>
        <v>3475.7134008901198</v>
      </c>
      <c r="K7" s="167" t="s">
        <v>1156</v>
      </c>
      <c r="L7" s="190">
        <f>VLOOKUP(A7, 'Ref-Data'!$A:$I,9,FALSE)</f>
        <v>1</v>
      </c>
      <c r="M7" s="173">
        <v>4.7500000000000001E-2</v>
      </c>
      <c r="N7" s="173">
        <v>0.37514320519767774</v>
      </c>
      <c r="O7" s="192">
        <v>3502.9172331077216</v>
      </c>
      <c r="P7" s="191">
        <f t="shared" si="5"/>
        <v>-3.7199999999999997E-2</v>
      </c>
      <c r="Q7" s="191">
        <f t="shared" si="6"/>
        <v>-1.1347239721324343E-2</v>
      </c>
      <c r="R7" s="193">
        <f t="shared" si="7"/>
        <v>-27.203832217601757</v>
      </c>
      <c r="S7" s="354"/>
      <c r="T7" s="167"/>
      <c r="U7" s="355"/>
      <c r="V7" s="355"/>
      <c r="W7" s="355"/>
      <c r="X7" s="355"/>
      <c r="Y7" s="355"/>
      <c r="Z7" s="445">
        <f>VLOOKUP(A7,'Ref-Data'!$A:$F,6,FALSE)</f>
        <v>1.2046543463381245</v>
      </c>
      <c r="AA7" s="390">
        <f>IF('Ref-Data'!$Z$2="ON",VLOOKUP('Data Summary'!A7,'MacroPD-Cal'!$A:$O,15,FALSE),IF('Ref-Data'!$Z$5="Baseline",VLOOKUP(A7,'Model Output_TTC'!$A:$AU,47,FALSE),IF('Ref-Data'!$Z$5="90th Percentile",VLOOKUP(A7,'Model Output_TTC'!$A:$BP,68,FALSE),IF('Ref-Data'!$Z$5="96th Percentile",VLOOKUP('Data Summary'!A7,'Model Output_TTC'!$A:$Z,26,FALSE),""))))</f>
        <v>1.5700000000000002E-2</v>
      </c>
    </row>
    <row r="8" spans="1:31" s="166" customFormat="1" x14ac:dyDescent="0.25">
      <c r="A8" s="279">
        <v>1100000168</v>
      </c>
      <c r="B8" s="167" t="str">
        <f>VLOOKUP(A8,'Ref-Data'!A:AD,30,FALSE)</f>
        <v>Z HOTELS ZHT LTD</v>
      </c>
      <c r="C8" s="190">
        <f>VLOOKUP('Data Summary'!$A8,'Ref-Data'!$A:$U,2,FALSE)</f>
        <v>6474308</v>
      </c>
      <c r="D8" s="190">
        <f>VLOOKUP(A8,'Ref-Data'!A:C,3,FALSE)</f>
        <v>6474308</v>
      </c>
      <c r="E8" s="190">
        <f>VLOOKUP('Data Summary'!$A8,'Ref-Data'!$A:$U,15,FALSE)</f>
        <v>0</v>
      </c>
      <c r="F8" s="226">
        <f>VLOOKUP('Data Summary'!$A8,'Ref-Data'!$A:$U,12,FALSE)</f>
        <v>0.1086</v>
      </c>
      <c r="G8" s="226">
        <f>VLOOKUP('Data Summary'!$A8,'Ref-Data'!$A:$U,14,FALSE)</f>
        <v>0.1</v>
      </c>
      <c r="H8" s="190">
        <f>VLOOKUP(A8,'Code Results'!A:B,2,FALSE)</f>
        <v>67092.271685727494</v>
      </c>
      <c r="I8" s="190">
        <f>IFERROR(VLOOKUP($A8,'Code Results'!$A:$C,13,FALSE),VLOOKUP('Data Summary'!$A8,'Ref-Data'!$A:$U,18,FALSE))</f>
        <v>0</v>
      </c>
      <c r="J8" s="190">
        <f t="shared" si="4"/>
        <v>67092.271685727494</v>
      </c>
      <c r="K8" s="167" t="s">
        <v>1156</v>
      </c>
      <c r="L8" s="190">
        <f>VLOOKUP(A8, 'Ref-Data'!$A:$I,9,FALSE)</f>
        <v>1</v>
      </c>
      <c r="M8" s="173">
        <v>4.7500000000000001E-2</v>
      </c>
      <c r="N8" s="173">
        <v>0.37514320519767774</v>
      </c>
      <c r="O8" s="192">
        <v>3502.9172331077216</v>
      </c>
      <c r="P8" s="191">
        <f t="shared" si="5"/>
        <v>6.1100000000000002E-2</v>
      </c>
      <c r="Q8" s="191">
        <f t="shared" si="6"/>
        <v>-0.27514320519767776</v>
      </c>
      <c r="R8" s="193">
        <f t="shared" si="7"/>
        <v>63589.354452619773</v>
      </c>
      <c r="S8" s="354"/>
      <c r="T8" s="167"/>
      <c r="U8" s="355"/>
      <c r="V8" s="355"/>
      <c r="W8" s="355"/>
      <c r="X8" s="355"/>
      <c r="Y8" s="355"/>
      <c r="Z8" s="445">
        <f>VLOOKUP(A8,'Ref-Data'!$A:$F,6,FALSE)</f>
        <v>2.9158110882956878</v>
      </c>
      <c r="AA8" s="390">
        <f>IF('Ref-Data'!$Z$2="ON",VLOOKUP('Data Summary'!A8,'MacroPD-Cal'!$A:$O,15,FALSE),IF('Ref-Data'!$Z$5="Baseline",VLOOKUP(A8,'Model Output_TTC'!$A:$AU,47,FALSE),IF('Ref-Data'!$Z$5="90th Percentile",VLOOKUP(A8,'Model Output_TTC'!$A:$BP,68,FALSE),IF('Ref-Data'!$Z$5="96th Percentile",VLOOKUP('Data Summary'!A8,'Model Output_TTC'!$A:$Z,26,FALSE),""))))</f>
        <v>0.1835</v>
      </c>
    </row>
    <row r="9" spans="1:31" s="166" customFormat="1" x14ac:dyDescent="0.25">
      <c r="A9" s="279">
        <v>1100000209</v>
      </c>
      <c r="B9" s="167" t="str">
        <f>VLOOKUP(A9,'Ref-Data'!A:AD,30,FALSE)</f>
        <v>INN COLLECTION BIDCO LIMITED</v>
      </c>
      <c r="C9" s="190">
        <f>VLOOKUP('Data Summary'!$A9,'Ref-Data'!$A:$U,2,FALSE)</f>
        <v>1500000</v>
      </c>
      <c r="D9" s="190">
        <f>VLOOKUP(A9,'Ref-Data'!A:C,3,FALSE)</f>
        <v>0</v>
      </c>
      <c r="E9" s="190">
        <f>VLOOKUP('Data Summary'!$A9,'Ref-Data'!$A:$U,15,FALSE)</f>
        <v>1500000</v>
      </c>
      <c r="F9" s="226">
        <f>VLOOKUP('Data Summary'!$A9,'Ref-Data'!$A:$U,12,FALSE)</f>
        <v>2.29E-2</v>
      </c>
      <c r="G9" s="226">
        <f>VLOOKUP('Data Summary'!$A9,'Ref-Data'!$A:$U,14,FALSE)</f>
        <v>0.35859999999999997</v>
      </c>
      <c r="H9" s="564">
        <f>VLOOKUP(A9,'Code Results'!A:B,2,FALSE)</f>
        <v>0</v>
      </c>
      <c r="I9" s="190">
        <f>IFERROR(VLOOKUP($A9,'Code Results'!$A:$C,13,FALSE),VLOOKUP('Data Summary'!$A9,'Ref-Data'!$A:$U,18,FALSE))</f>
        <v>6158.954999999999</v>
      </c>
      <c r="J9" s="190">
        <f t="shared" si="4"/>
        <v>6158.954999999999</v>
      </c>
      <c r="K9" s="167" t="s">
        <v>1156</v>
      </c>
      <c r="L9" s="190">
        <f>VLOOKUP(A9, 'Ref-Data'!$A:$I,9,FALSE)</f>
        <v>1</v>
      </c>
      <c r="M9" s="173">
        <v>4.7500000000000001E-2</v>
      </c>
      <c r="N9" s="173">
        <v>0.37514320519767774</v>
      </c>
      <c r="O9" s="192">
        <v>3502.9172331077216</v>
      </c>
      <c r="P9" s="191">
        <f t="shared" si="5"/>
        <v>-2.46E-2</v>
      </c>
      <c r="Q9" s="191">
        <f t="shared" si="6"/>
        <v>-1.6543205197677768E-2</v>
      </c>
      <c r="R9" s="193">
        <f t="shared" si="7"/>
        <v>2656.0377668922774</v>
      </c>
      <c r="S9" s="354"/>
      <c r="T9" s="167"/>
      <c r="U9" s="355"/>
      <c r="V9" s="355"/>
      <c r="W9" s="355"/>
      <c r="X9" s="355"/>
      <c r="Y9" s="355"/>
      <c r="Z9" s="445">
        <f>VLOOKUP(A9,'Ref-Data'!$A:$F,6,FALSE)</f>
        <v>3.5044490075290895</v>
      </c>
      <c r="AA9" s="390">
        <f>IF('Ref-Data'!$Z$2="ON",VLOOKUP('Data Summary'!A9,'MacroPD-Cal'!$A:$O,15,FALSE),IF('Ref-Data'!$Z$5="Baseline",VLOOKUP(A9,'Model Output_TTC'!$A:$AU,47,FALSE),IF('Ref-Data'!$Z$5="90th Percentile",VLOOKUP(A9,'Model Output_TTC'!$A:$BP,68,FALSE),IF('Ref-Data'!$Z$5="96th Percentile",VLOOKUP('Data Summary'!A9,'Model Output_TTC'!$A:$Z,26,FALSE),""))))</f>
        <v>4.9700000000000001E-2</v>
      </c>
    </row>
    <row r="10" spans="1:31" s="166" customFormat="1" x14ac:dyDescent="0.25">
      <c r="A10" s="279">
        <v>1100000175</v>
      </c>
      <c r="B10" s="167" t="str">
        <f>VLOOKUP(A10,'Ref-Data'!A:AD,30,FALSE)</f>
        <v>SBH PARK HOLDING LIMITED</v>
      </c>
      <c r="C10" s="190">
        <f>VLOOKUP('Data Summary'!$A10,'Ref-Data'!$A:$U,2,FALSE)</f>
        <v>20011058.510000002</v>
      </c>
      <c r="D10" s="190">
        <f>VLOOKUP(A10,'Ref-Data'!A:C,3,FALSE)</f>
        <v>20011058.510000002</v>
      </c>
      <c r="E10" s="190">
        <f>VLOOKUP('Data Summary'!$A10,'Ref-Data'!$A:$U,15,FALSE)</f>
        <v>0</v>
      </c>
      <c r="F10" s="226">
        <f>VLOOKUP('Data Summary'!$A10,'Ref-Data'!$A:$U,12,FALSE)</f>
        <v>0.1885</v>
      </c>
      <c r="G10" s="226">
        <f>VLOOKUP('Data Summary'!$A10,'Ref-Data'!$A:$U,14,FALSE)</f>
        <v>0.15358983630422796</v>
      </c>
      <c r="H10" s="190">
        <f>VLOOKUP(A10,'Code Results'!A:B,2,FALSE)</f>
        <v>558148.25873491704</v>
      </c>
      <c r="I10" s="190">
        <f>IFERROR(VLOOKUP($A10,'Code Results'!$A:$C,13,FALSE),VLOOKUP('Data Summary'!$A10,'Ref-Data'!$A:$U,18,FALSE))</f>
        <v>0</v>
      </c>
      <c r="J10" s="190">
        <f t="shared" si="4"/>
        <v>558148.25873491704</v>
      </c>
      <c r="K10" s="167" t="s">
        <v>1156</v>
      </c>
      <c r="L10" s="190">
        <f>VLOOKUP(A10, 'Ref-Data'!$A:$I,9,FALSE)</f>
        <v>1</v>
      </c>
      <c r="M10" s="173">
        <v>4.7500000000000001E-2</v>
      </c>
      <c r="N10" s="173">
        <v>0.37514320519767774</v>
      </c>
      <c r="O10" s="192">
        <v>3502.9172331077216</v>
      </c>
      <c r="P10" s="191">
        <f t="shared" si="5"/>
        <v>0.14100000000000001</v>
      </c>
      <c r="Q10" s="191">
        <f t="shared" si="6"/>
        <v>-0.22155336889344979</v>
      </c>
      <c r="R10" s="193">
        <f t="shared" si="7"/>
        <v>554645.34150180931</v>
      </c>
      <c r="S10" s="354"/>
      <c r="T10" s="167"/>
      <c r="U10" s="355"/>
      <c r="V10" s="355"/>
      <c r="W10" s="355"/>
      <c r="X10" s="355"/>
      <c r="Y10" s="355"/>
      <c r="Z10" s="445">
        <f>VLOOKUP(A10,'Ref-Data'!$A:$F,6,FALSE)</f>
        <v>1.0212183436002737</v>
      </c>
      <c r="AA10" s="390">
        <f>IF('Ref-Data'!$Z$2="ON",VLOOKUP('Data Summary'!A10,'MacroPD-Cal'!$A:$O,15,FALSE),IF('Ref-Data'!$Z$5="Baseline",VLOOKUP(A10,'Model Output_TTC'!$A:$AU,47,FALSE),IF('Ref-Data'!$Z$5="90th Percentile",VLOOKUP(A10,'Model Output_TTC'!$A:$BP,68,FALSE),IF('Ref-Data'!$Z$5="96th Percentile",VLOOKUP('Data Summary'!A10,'Model Output_TTC'!$A:$Z,26,FALSE),""))))</f>
        <v>0.28870000000000001</v>
      </c>
    </row>
    <row r="11" spans="1:31" s="166" customFormat="1" x14ac:dyDescent="0.25">
      <c r="A11" s="279">
        <v>1100000144</v>
      </c>
      <c r="B11" s="167" t="str">
        <f>VLOOKUP(A11,'Ref-Data'!A:AD,30,FALSE)</f>
        <v>GRANITE BIDCO LIMITED</v>
      </c>
      <c r="C11" s="190">
        <f>VLOOKUP('Data Summary'!$A11,'Ref-Data'!$A:$U,2,FALSE)</f>
        <v>4468749.95</v>
      </c>
      <c r="D11" s="190">
        <f>VLOOKUP(A11,'Ref-Data'!A:C,3,FALSE)</f>
        <v>4468749.95</v>
      </c>
      <c r="E11" s="190">
        <f>VLOOKUP('Data Summary'!$A11,'Ref-Data'!$A:$U,15,FALSE)</f>
        <v>0</v>
      </c>
      <c r="F11" s="226">
        <f>VLOOKUP('Data Summary'!$A11,'Ref-Data'!$A:$U,12,FALSE)</f>
        <v>3.5000000000000001E-3</v>
      </c>
      <c r="G11" s="226">
        <f>VLOOKUP('Data Summary'!$A11,'Ref-Data'!$A:$U,14,FALSE)</f>
        <v>0.42289867849075702</v>
      </c>
      <c r="H11" s="190">
        <f>VLOOKUP(A11,'Code Results'!A:B,2,FALSE)</f>
        <v>6111.0905959493502</v>
      </c>
      <c r="I11" s="190">
        <f>IFERROR(VLOOKUP($A11,'Code Results'!$A:$C,13,FALSE),VLOOKUP('Data Summary'!$A11,'Ref-Data'!$A:$U,18,FALSE))</f>
        <v>0</v>
      </c>
      <c r="J11" s="190">
        <f t="shared" si="4"/>
        <v>6111.0905959493502</v>
      </c>
      <c r="K11" s="167" t="s">
        <v>1156</v>
      </c>
      <c r="L11" s="190">
        <f>VLOOKUP(A11, 'Ref-Data'!$A:$I,9,FALSE)</f>
        <v>1</v>
      </c>
      <c r="M11" s="173">
        <v>4.7500000000000001E-2</v>
      </c>
      <c r="N11" s="173">
        <v>0.37514320519767774</v>
      </c>
      <c r="O11" s="192">
        <v>3502.9172331077216</v>
      </c>
      <c r="P11" s="191">
        <f t="shared" si="5"/>
        <v>-4.3999999999999997E-2</v>
      </c>
      <c r="Q11" s="191">
        <f t="shared" si="6"/>
        <v>4.7755473293079276E-2</v>
      </c>
      <c r="R11" s="193">
        <f t="shared" si="7"/>
        <v>2608.1733628416287</v>
      </c>
      <c r="S11" s="354"/>
      <c r="T11" s="167"/>
      <c r="U11" s="355"/>
      <c r="V11" s="355"/>
      <c r="W11" s="355"/>
      <c r="X11" s="355"/>
      <c r="Y11" s="355"/>
      <c r="Z11" s="445">
        <f>VLOOKUP(A11,'Ref-Data'!$A:$F,6,FALSE)</f>
        <v>2.3025325119780971</v>
      </c>
      <c r="AA11" s="390">
        <f>IF('Ref-Data'!$Z$2="ON",VLOOKUP('Data Summary'!A11,'MacroPD-Cal'!$A:$O,15,FALSE),IF('Ref-Data'!$Z$5="Baseline",VLOOKUP(A11,'Model Output_TTC'!$A:$AU,47,FALSE),IF('Ref-Data'!$Z$5="90th Percentile",VLOOKUP(A11,'Model Output_TTC'!$A:$BP,68,FALSE),IF('Ref-Data'!$Z$5="96th Percentile",VLOOKUP('Data Summary'!A11,'Model Output_TTC'!$A:$Z,26,FALSE),""))))</f>
        <v>6.3E-3</v>
      </c>
    </row>
    <row r="12" spans="1:31" s="166" customFormat="1" x14ac:dyDescent="0.25">
      <c r="A12" s="279">
        <v>1100000143</v>
      </c>
      <c r="B12" s="167" t="str">
        <f>VLOOKUP(A12,'Ref-Data'!A:AD,30,FALSE)</f>
        <v>THORNROSE LIMITED</v>
      </c>
      <c r="C12" s="190">
        <f>VLOOKUP('Data Summary'!$A12,'Ref-Data'!$A:$U,2,FALSE)</f>
        <v>206110.05</v>
      </c>
      <c r="D12" s="190">
        <f>VLOOKUP(A12,'Ref-Data'!A:C,3,FALSE)</f>
        <v>206110.05</v>
      </c>
      <c r="E12" s="190">
        <f>VLOOKUP('Data Summary'!$A12,'Ref-Data'!$A:$U,15,FALSE)</f>
        <v>0</v>
      </c>
      <c r="F12" s="226">
        <f>VLOOKUP('Data Summary'!$A12,'Ref-Data'!$A:$U,12,FALSE)</f>
        <v>8.8300000000000003E-2</v>
      </c>
      <c r="G12" s="226">
        <f>VLOOKUP('Data Summary'!$A12,'Ref-Data'!$A:$U,14,FALSE)</f>
        <v>0.256405868273481</v>
      </c>
      <c r="H12" s="190">
        <f>VLOOKUP(A12,'Code Results'!A:B,2,FALSE)</f>
        <v>1772.7806343855</v>
      </c>
      <c r="I12" s="190">
        <f>IFERROR(VLOOKUP($A12,'Code Results'!$A:$C,13,FALSE),VLOOKUP('Data Summary'!$A12,'Ref-Data'!$A:$U,18,FALSE))</f>
        <v>0</v>
      </c>
      <c r="J12" s="190">
        <f t="shared" si="4"/>
        <v>1772.7806343855</v>
      </c>
      <c r="K12" s="167" t="s">
        <v>1156</v>
      </c>
      <c r="L12" s="190">
        <f>VLOOKUP(A12, 'Ref-Data'!$A:$I,9,FALSE)</f>
        <v>1</v>
      </c>
      <c r="M12" s="173">
        <v>4.7500000000000001E-2</v>
      </c>
      <c r="N12" s="173">
        <v>0.37514320519767774</v>
      </c>
      <c r="O12" s="192">
        <v>3502.9172331077216</v>
      </c>
      <c r="P12" s="191">
        <f t="shared" si="5"/>
        <v>4.0800000000000003E-2</v>
      </c>
      <c r="Q12" s="191">
        <f t="shared" si="6"/>
        <v>-0.11873733692419675</v>
      </c>
      <c r="R12" s="193">
        <f t="shared" si="7"/>
        <v>-1730.1365987222216</v>
      </c>
      <c r="S12" s="354"/>
      <c r="T12" s="167"/>
      <c r="U12" s="355"/>
      <c r="V12" s="355"/>
      <c r="W12" s="355"/>
      <c r="X12" s="355"/>
      <c r="Y12" s="355"/>
      <c r="Z12" s="445">
        <f>VLOOKUP(A12,'Ref-Data'!$A:$F,6,FALSE)</f>
        <v>0.63244353182751545</v>
      </c>
      <c r="AA12" s="390">
        <f>IF('Ref-Data'!$Z$2="ON",VLOOKUP('Data Summary'!A12,'MacroPD-Cal'!$A:$O,15,FALSE),IF('Ref-Data'!$Z$5="Baseline",VLOOKUP(A12,'Model Output_TTC'!$A:$AU,47,FALSE),IF('Ref-Data'!$Z$5="90th Percentile",VLOOKUP(A12,'Model Output_TTC'!$A:$BP,68,FALSE),IF('Ref-Data'!$Z$5="96th Percentile",VLOOKUP('Data Summary'!A12,'Model Output_TTC'!$A:$Z,26,FALSE),""))))</f>
        <v>8.8300000000000003E-2</v>
      </c>
    </row>
    <row r="13" spans="1:31" s="166" customFormat="1" x14ac:dyDescent="0.25">
      <c r="A13" s="279">
        <v>1100000153</v>
      </c>
      <c r="B13" s="167" t="str">
        <f>VLOOKUP(A13,'Ref-Data'!A:AD,30,FALSE)</f>
        <v>Z CHA HOLDCO LTD</v>
      </c>
      <c r="C13" s="190">
        <f>VLOOKUP('Data Summary'!$A13,'Ref-Data'!$A:$U,2,FALSE)</f>
        <v>40245859.899999999</v>
      </c>
      <c r="D13" s="190">
        <f>VLOOKUP(A13,'Ref-Data'!A:C,3,FALSE)</f>
        <v>40245859.899999999</v>
      </c>
      <c r="E13" s="190">
        <f>VLOOKUP('Data Summary'!$A13,'Ref-Data'!$A:$U,15,FALSE)</f>
        <v>0</v>
      </c>
      <c r="F13" s="226">
        <f>VLOOKUP('Data Summary'!$A13,'Ref-Data'!$A:$U,12,FALSE)</f>
        <v>0.1283</v>
      </c>
      <c r="G13" s="226">
        <f>VLOOKUP('Data Summary'!$A13,'Ref-Data'!$A:$U,14,FALSE)</f>
        <v>0.1613</v>
      </c>
      <c r="H13" s="190">
        <f>VLOOKUP(A13,'Code Results'!A:B,2,FALSE)</f>
        <v>55160.471376536698</v>
      </c>
      <c r="I13" s="190">
        <f>IFERROR(VLOOKUP($A13,'Code Results'!$A:$C,13,FALSE),VLOOKUP('Data Summary'!$A13,'Ref-Data'!$A:$U,18,FALSE))</f>
        <v>0</v>
      </c>
      <c r="J13" s="190">
        <f t="shared" si="4"/>
        <v>55160.471376536698</v>
      </c>
      <c r="K13" s="167" t="s">
        <v>1156</v>
      </c>
      <c r="L13" s="190">
        <f>VLOOKUP(A13, 'Ref-Data'!$A:$I,9,FALSE)</f>
        <v>1</v>
      </c>
      <c r="M13" s="173">
        <v>4.7500000000000001E-2</v>
      </c>
      <c r="N13" s="173">
        <v>0.37514320519767774</v>
      </c>
      <c r="O13" s="192">
        <v>3502.9172331077216</v>
      </c>
      <c r="P13" s="191">
        <f t="shared" si="5"/>
        <v>8.0799999999999997E-2</v>
      </c>
      <c r="Q13" s="191">
        <f t="shared" si="6"/>
        <v>-0.21384320519767774</v>
      </c>
      <c r="R13" s="193">
        <f t="shared" si="7"/>
        <v>51657.554143428977</v>
      </c>
      <c r="S13" s="354"/>
      <c r="T13" s="167"/>
      <c r="U13" s="355"/>
      <c r="V13" s="355"/>
      <c r="W13" s="355"/>
      <c r="X13" s="355"/>
      <c r="Y13" s="355"/>
      <c r="Z13" s="445">
        <f>VLOOKUP(A13,'Ref-Data'!$A:$F,6,FALSE)</f>
        <v>1.4045174537987679</v>
      </c>
      <c r="AA13" s="390">
        <f>IF('Ref-Data'!$Z$2="ON",VLOOKUP('Data Summary'!A13,'MacroPD-Cal'!$A:$O,15,FALSE),IF('Ref-Data'!$Z$5="Baseline",VLOOKUP(A13,'Model Output_TTC'!$A:$AU,47,FALSE),IF('Ref-Data'!$Z$5="90th Percentile",VLOOKUP(A13,'Model Output_TTC'!$A:$BP,68,FALSE),IF('Ref-Data'!$Z$5="96th Percentile",VLOOKUP('Data Summary'!A13,'Model Output_TTC'!$A:$Z,26,FALSE),""))))</f>
        <v>0.1852</v>
      </c>
    </row>
    <row r="14" spans="1:31" s="166" customFormat="1" x14ac:dyDescent="0.25">
      <c r="A14" s="279">
        <v>1100000151</v>
      </c>
      <c r="B14" s="167" t="str">
        <f>VLOOKUP(A14,'Ref-Data'!A:AD,30,FALSE)</f>
        <v>CARE CONCERN MANAGEMENT OA LIMITED (f.k.a. CARE CONCERN (LEEDS) LIMITED)</v>
      </c>
      <c r="C14" s="190">
        <f>VLOOKUP('Data Summary'!$A14,'Ref-Data'!$A:$U,2,FALSE)</f>
        <v>16818750</v>
      </c>
      <c r="D14" s="190">
        <f>VLOOKUP(A14,'Ref-Data'!A:C,3,FALSE)</f>
        <v>16818750</v>
      </c>
      <c r="E14" s="190">
        <f>VLOOKUP('Data Summary'!$A14,'Ref-Data'!$A:$U,15,FALSE)</f>
        <v>0</v>
      </c>
      <c r="F14" s="226">
        <f>VLOOKUP('Data Summary'!$A14,'Ref-Data'!$A:$U,12,FALSE)</f>
        <v>2.9000000000000002E-3</v>
      </c>
      <c r="G14" s="226">
        <f>VLOOKUP('Data Summary'!$A14,'Ref-Data'!$A:$U,14,FALSE)</f>
        <v>0.1</v>
      </c>
      <c r="H14" s="190">
        <f>VLOOKUP(A14,'Code Results'!A:B,2,FALSE)</f>
        <v>4559.4190816851296</v>
      </c>
      <c r="I14" s="190">
        <f>IFERROR(VLOOKUP($A14,'Code Results'!$A:$C,13,FALSE),VLOOKUP('Data Summary'!$A14,'Ref-Data'!$A:$U,18,FALSE))</f>
        <v>0</v>
      </c>
      <c r="J14" s="190">
        <f t="shared" si="4"/>
        <v>4559.4190816851296</v>
      </c>
      <c r="K14" s="167" t="s">
        <v>1156</v>
      </c>
      <c r="L14" s="190">
        <f>VLOOKUP(A14, 'Ref-Data'!$A:$I,9,FALSE)</f>
        <v>1</v>
      </c>
      <c r="M14" s="173">
        <v>4.7500000000000001E-2</v>
      </c>
      <c r="N14" s="173">
        <v>0.37514320519767774</v>
      </c>
      <c r="O14" s="192">
        <v>3502.9172331077216</v>
      </c>
      <c r="P14" s="191">
        <f t="shared" si="5"/>
        <v>-4.4600000000000001E-2</v>
      </c>
      <c r="Q14" s="191">
        <f t="shared" si="6"/>
        <v>-0.27514320519767776</v>
      </c>
      <c r="R14" s="193">
        <f t="shared" si="7"/>
        <v>1056.5018485774081</v>
      </c>
      <c r="S14" s="354"/>
      <c r="T14" s="167"/>
      <c r="U14" s="355"/>
      <c r="V14" s="355"/>
      <c r="W14" s="355"/>
      <c r="X14" s="355"/>
      <c r="Y14" s="355"/>
      <c r="Z14" s="445">
        <f>VLOOKUP(A14,'Ref-Data'!$A:$F,6,FALSE)</f>
        <v>2.0588637919233403</v>
      </c>
      <c r="AA14" s="390">
        <f>IF('Ref-Data'!$Z$2="ON",VLOOKUP('Data Summary'!A14,'MacroPD-Cal'!$A:$O,15,FALSE),IF('Ref-Data'!$Z$5="Baseline",VLOOKUP(A14,'Model Output_TTC'!$A:$AU,47,FALSE),IF('Ref-Data'!$Z$5="90th Percentile",VLOOKUP(A14,'Model Output_TTC'!$A:$BP,68,FALSE),IF('Ref-Data'!$Z$5="96th Percentile",VLOOKUP('Data Summary'!A14,'Model Output_TTC'!$A:$Z,26,FALSE),""))))</f>
        <v>5.0000000000000001E-3</v>
      </c>
    </row>
    <row r="15" spans="1:31" s="166" customFormat="1" x14ac:dyDescent="0.25">
      <c r="A15" s="279">
        <v>1100000186</v>
      </c>
      <c r="B15" s="167" t="str">
        <f>VLOOKUP(A15,'Ref-Data'!A:AD,30,FALSE)</f>
        <v>ONCOREIT LIMITED</v>
      </c>
      <c r="C15" s="190">
        <f>VLOOKUP('Data Summary'!$A15,'Ref-Data'!$A:$U,2,FALSE)</f>
        <v>172500</v>
      </c>
      <c r="D15" s="190">
        <f>VLOOKUP(A15,'Ref-Data'!A:C,3,FALSE)</f>
        <v>172500</v>
      </c>
      <c r="E15" s="190">
        <f>VLOOKUP('Data Summary'!$A15,'Ref-Data'!$A:$U,15,FALSE)</f>
        <v>0</v>
      </c>
      <c r="F15" s="226">
        <f>VLOOKUP('Data Summary'!$A15,'Ref-Data'!$A:$U,12,FALSE)</f>
        <v>1.9E-3</v>
      </c>
      <c r="G15" s="226">
        <f>VLOOKUP('Data Summary'!$A15,'Ref-Data'!$A:$U,14,FALSE)</f>
        <v>0.30073707995253063</v>
      </c>
      <c r="H15" s="190">
        <f>VLOOKUP(A15,'Code Results'!A:B,2,FALSE)</f>
        <v>65.846125401003306</v>
      </c>
      <c r="I15" s="190">
        <f>IFERROR(VLOOKUP($A15,'Code Results'!$A:$C,13,FALSE),VLOOKUP('Data Summary'!$A15,'Ref-Data'!$A:$U,18,FALSE))</f>
        <v>0</v>
      </c>
      <c r="J15" s="190">
        <f t="shared" si="4"/>
        <v>65.846125401003306</v>
      </c>
      <c r="K15" s="167" t="s">
        <v>1156</v>
      </c>
      <c r="L15" s="190">
        <f>VLOOKUP(A15, 'Ref-Data'!$A:$I,9,FALSE)</f>
        <v>1</v>
      </c>
      <c r="M15" s="173">
        <v>4.7500000000000001E-2</v>
      </c>
      <c r="N15" s="173">
        <v>0.37514320519767774</v>
      </c>
      <c r="O15" s="192">
        <v>3502.9172331077216</v>
      </c>
      <c r="P15" s="191">
        <f t="shared" si="5"/>
        <v>-4.5600000000000002E-2</v>
      </c>
      <c r="Q15" s="191">
        <f t="shared" si="6"/>
        <v>-7.4406125245147114E-2</v>
      </c>
      <c r="R15" s="193">
        <f t="shared" si="7"/>
        <v>-3437.0711077067181</v>
      </c>
      <c r="S15" s="354"/>
      <c r="T15" s="167"/>
      <c r="U15" s="355"/>
      <c r="V15" s="355"/>
      <c r="W15" s="355"/>
      <c r="X15" s="355"/>
      <c r="Y15" s="355"/>
      <c r="Z15" s="445">
        <f>VLOOKUP(A15,'Ref-Data'!$A:$F,6,FALSE)</f>
        <v>1.8562628336755647</v>
      </c>
      <c r="AA15" s="390">
        <f>IF('Ref-Data'!$Z$2="ON",VLOOKUP('Data Summary'!A15,'MacroPD-Cal'!$A:$O,15,FALSE),IF('Ref-Data'!$Z$5="Baseline",VLOOKUP(A15,'Model Output_TTC'!$A:$AU,47,FALSE),IF('Ref-Data'!$Z$5="90th Percentile",VLOOKUP(A15,'Model Output_TTC'!$A:$BP,68,FALSE),IF('Ref-Data'!$Z$5="96th Percentile",VLOOKUP('Data Summary'!A15,'Model Output_TTC'!$A:$Z,26,FALSE),""))))</f>
        <v>2.9000000000000002E-3</v>
      </c>
    </row>
    <row r="16" spans="1:31" s="166" customFormat="1" x14ac:dyDescent="0.25">
      <c r="A16" s="279">
        <v>1100000187</v>
      </c>
      <c r="B16" s="167" t="str">
        <f>VLOOKUP(A16,'Ref-Data'!A:AD,30,FALSE)</f>
        <v>ONCOREIT LIMITED</v>
      </c>
      <c r="C16" s="190">
        <f>VLOOKUP('Data Summary'!$A16,'Ref-Data'!$A:$U,2,FALSE)</f>
        <v>100000</v>
      </c>
      <c r="D16" s="190">
        <f>VLOOKUP(A16,'Ref-Data'!A:C,3,FALSE)</f>
        <v>0</v>
      </c>
      <c r="E16" s="190">
        <f>VLOOKUP('Data Summary'!$A16,'Ref-Data'!$A:$U,15,FALSE)</f>
        <v>0</v>
      </c>
      <c r="F16" s="226">
        <f>VLOOKUP('Data Summary'!$A16,'Ref-Data'!$A:$U,12,FALSE)</f>
        <v>1.9E-3</v>
      </c>
      <c r="G16" s="226">
        <f>VLOOKUP('Data Summary'!$A16,'Ref-Data'!$A:$U,14,FALSE)</f>
        <v>0.30073707995253063</v>
      </c>
      <c r="H16" s="190">
        <f>VLOOKUP(A16,'Code Results'!A:B,2,FALSE)</f>
        <v>0</v>
      </c>
      <c r="I16" s="190">
        <f>IFERROR(VLOOKUP($A16,'Code Results'!$A:$C,13,FALSE),VLOOKUP('Data Summary'!$A16,'Ref-Data'!$A:$U,18,FALSE))</f>
        <v>0</v>
      </c>
      <c r="J16" s="190">
        <f t="shared" si="4"/>
        <v>0</v>
      </c>
      <c r="K16" s="167" t="s">
        <v>1156</v>
      </c>
      <c r="L16" s="190">
        <f>VLOOKUP(A16, 'Ref-Data'!$A:$I,9,FALSE)</f>
        <v>1</v>
      </c>
      <c r="M16" s="173">
        <v>4.7500000000000001E-2</v>
      </c>
      <c r="N16" s="173">
        <v>0.37514320519767774</v>
      </c>
      <c r="O16" s="192">
        <v>3502.9172331077216</v>
      </c>
      <c r="P16" s="191">
        <f t="shared" si="5"/>
        <v>-4.5600000000000002E-2</v>
      </c>
      <c r="Q16" s="191">
        <f t="shared" si="6"/>
        <v>-7.4406125245147114E-2</v>
      </c>
      <c r="R16" s="193">
        <f t="shared" si="7"/>
        <v>-3502.9172331077216</v>
      </c>
      <c r="S16" s="354"/>
      <c r="T16" s="167"/>
      <c r="U16" s="355"/>
      <c r="V16" s="355"/>
      <c r="W16" s="355"/>
      <c r="X16" s="355"/>
      <c r="Y16" s="355"/>
      <c r="Z16" s="445">
        <f>VLOOKUP(A16,'Ref-Data'!$A:$F,6,FALSE)</f>
        <v>1.8562628336755647</v>
      </c>
      <c r="AA16" s="390">
        <f>IF('Ref-Data'!$Z$2="ON",VLOOKUP('Data Summary'!A16,'MacroPD-Cal'!$A:$O,15,FALSE),IF('Ref-Data'!$Z$5="Baseline",VLOOKUP(A16,'Model Output_TTC'!$A:$AU,47,FALSE),IF('Ref-Data'!$Z$5="90th Percentile",VLOOKUP(A16,'Model Output_TTC'!$A:$BP,68,FALSE),IF('Ref-Data'!$Z$5="96th Percentile",VLOOKUP('Data Summary'!A16,'Model Output_TTC'!$A:$Z,26,FALSE),""))))</f>
        <v>2.9000000000000002E-3</v>
      </c>
    </row>
    <row r="17" spans="1:27" s="166" customFormat="1" x14ac:dyDescent="0.25">
      <c r="A17" s="279">
        <v>1100000171</v>
      </c>
      <c r="B17" s="167" t="str">
        <f>VLOOKUP(A17,'Ref-Data'!A:AD,30,FALSE)</f>
        <v>NINE GATWICK HOTEL LIMITED</v>
      </c>
      <c r="C17" s="190">
        <f>VLOOKUP('Data Summary'!$A17,'Ref-Data'!$A:$U,2,FALSE)</f>
        <v>4965593</v>
      </c>
      <c r="D17" s="190">
        <f>VLOOKUP(A17,'Ref-Data'!A:C,3,FALSE)</f>
        <v>4965593</v>
      </c>
      <c r="E17" s="190">
        <f>VLOOKUP('Data Summary'!$A17,'Ref-Data'!$A:$U,15,FALSE)</f>
        <v>0</v>
      </c>
      <c r="F17" s="226">
        <f>VLOOKUP('Data Summary'!$A17,'Ref-Data'!$A:$U,12,FALSE)</f>
        <v>1.4400000000000001E-2</v>
      </c>
      <c r="G17" s="226">
        <f>VLOOKUP('Data Summary'!$A17,'Ref-Data'!$A:$U,14,FALSE)</f>
        <v>0.15</v>
      </c>
      <c r="H17" s="190">
        <f>VLOOKUP(A17,'Code Results'!A:B,2,FALSE)</f>
        <v>2731.0592433920601</v>
      </c>
      <c r="I17" s="190">
        <f>IFERROR(VLOOKUP($A17,'Code Results'!$A:$C,13,FALSE),VLOOKUP('Data Summary'!$A17,'Ref-Data'!$A:$U,18,FALSE))</f>
        <v>0</v>
      </c>
      <c r="J17" s="190">
        <f t="shared" si="4"/>
        <v>2731.0592433920601</v>
      </c>
      <c r="K17" s="167" t="s">
        <v>1156</v>
      </c>
      <c r="L17" s="190">
        <f>VLOOKUP(A17, 'Ref-Data'!$A:$I,9,FALSE)</f>
        <v>1</v>
      </c>
      <c r="M17" s="173">
        <v>4.7500000000000001E-2</v>
      </c>
      <c r="N17" s="173">
        <v>0.37514320519767774</v>
      </c>
      <c r="O17" s="192">
        <v>3502.9172331077216</v>
      </c>
      <c r="P17" s="191">
        <f t="shared" si="5"/>
        <v>-3.3099999999999997E-2</v>
      </c>
      <c r="Q17" s="191">
        <f t="shared" si="6"/>
        <v>-0.22514320519767775</v>
      </c>
      <c r="R17" s="193">
        <f t="shared" si="7"/>
        <v>-771.85798971566146</v>
      </c>
      <c r="S17" s="354"/>
      <c r="T17" s="167"/>
      <c r="U17" s="355"/>
      <c r="V17" s="355"/>
      <c r="W17" s="355"/>
      <c r="X17" s="355"/>
      <c r="Y17" s="355"/>
      <c r="Z17" s="445">
        <f>VLOOKUP(A17,'Ref-Data'!$A:$F,6,FALSE)</f>
        <v>0.34223134839151265</v>
      </c>
      <c r="AA17" s="390">
        <f>IF('Ref-Data'!$Z$2="ON",VLOOKUP('Data Summary'!A17,'MacroPD-Cal'!$A:$O,15,FALSE),IF('Ref-Data'!$Z$5="Baseline",VLOOKUP(A17,'Model Output_TTC'!$A:$AU,47,FALSE),IF('Ref-Data'!$Z$5="90th Percentile",VLOOKUP(A17,'Model Output_TTC'!$A:$BP,68,FALSE),IF('Ref-Data'!$Z$5="96th Percentile",VLOOKUP('Data Summary'!A17,'Model Output_TTC'!$A:$Z,26,FALSE),""))))</f>
        <v>1.4400000000000001E-2</v>
      </c>
    </row>
    <row r="18" spans="1:27" s="166" customFormat="1" x14ac:dyDescent="0.25">
      <c r="A18" s="279">
        <v>1100000223</v>
      </c>
      <c r="B18" s="167" t="str">
        <f>VLOOKUP(A18,'Ref-Data'!A:AD,30,FALSE)</f>
        <v>HEATHCOCK COURT PROPERTY LIMITED</v>
      </c>
      <c r="C18" s="190">
        <f>VLOOKUP('Data Summary'!$A18,'Ref-Data'!$A:$U,2,FALSE)</f>
        <v>25500000</v>
      </c>
      <c r="D18" s="190">
        <f>VLOOKUP(A18,'Ref-Data'!A:C,3,FALSE)</f>
        <v>25500000</v>
      </c>
      <c r="E18" s="190">
        <f>VLOOKUP('Data Summary'!$A18,'Ref-Data'!$A:$U,15,FALSE)</f>
        <v>0</v>
      </c>
      <c r="F18" s="226">
        <f>VLOOKUP('Data Summary'!$A18,'Ref-Data'!$A:$U,12,FALSE)</f>
        <v>1.84E-2</v>
      </c>
      <c r="G18" s="226">
        <f>VLOOKUP('Data Summary'!$A18,'Ref-Data'!$A:$U,14,FALSE)</f>
        <v>0.15002895299620464</v>
      </c>
      <c r="H18" s="190">
        <f>VLOOKUP(A18,'Code Results'!A:B,2,FALSE)</f>
        <v>4066.3503594537701</v>
      </c>
      <c r="I18" s="190">
        <f>IFERROR(VLOOKUP($A18,'Code Results'!$A:$C,13,FALSE),VLOOKUP('Data Summary'!$A18,'Ref-Data'!$A:$U,18,FALSE))</f>
        <v>0</v>
      </c>
      <c r="J18" s="190">
        <f t="shared" si="4"/>
        <v>4066.3503594537701</v>
      </c>
      <c r="K18" s="167" t="s">
        <v>1156</v>
      </c>
      <c r="L18" s="190">
        <f>VLOOKUP(A18, 'Ref-Data'!$A:$I,9,FALSE)</f>
        <v>1</v>
      </c>
      <c r="M18" s="173">
        <v>4.7500000000000001E-2</v>
      </c>
      <c r="N18" s="173">
        <v>0.37514320519767774</v>
      </c>
      <c r="O18" s="192">
        <v>3502.9172331077216</v>
      </c>
      <c r="P18" s="191">
        <f t="shared" si="5"/>
        <v>-2.9100000000000001E-2</v>
      </c>
      <c r="Q18" s="191">
        <f t="shared" si="6"/>
        <v>-0.2251142522014731</v>
      </c>
      <c r="R18" s="193">
        <f t="shared" si="7"/>
        <v>563.43312634604854</v>
      </c>
      <c r="S18" s="354"/>
      <c r="T18" s="167"/>
      <c r="U18" s="355"/>
      <c r="V18" s="355"/>
      <c r="W18" s="355"/>
      <c r="X18" s="355"/>
      <c r="Y18" s="355"/>
      <c r="Z18" s="445">
        <f>VLOOKUP(A18,'Ref-Data'!$A:$F,6,FALSE)</f>
        <v>2.1437371663244353</v>
      </c>
      <c r="AA18" s="390">
        <f>IF('Ref-Data'!$Z$2="ON",VLOOKUP('Data Summary'!A18,'MacroPD-Cal'!$A:$O,15,FALSE),IF('Ref-Data'!$Z$5="Baseline",VLOOKUP(A18,'Model Output_TTC'!$A:$AU,47,FALSE),IF('Ref-Data'!$Z$5="90th Percentile",VLOOKUP(A18,'Model Output_TTC'!$A:$BP,68,FALSE),IF('Ref-Data'!$Z$5="96th Percentile",VLOOKUP('Data Summary'!A18,'Model Output_TTC'!$A:$Z,26,FALSE),""))))</f>
        <v>3.3700000000000001E-2</v>
      </c>
    </row>
    <row r="19" spans="1:27" s="166" customFormat="1" x14ac:dyDescent="0.25">
      <c r="A19" s="279">
        <v>1100000185</v>
      </c>
      <c r="B19" s="167" t="str">
        <f>VLOOKUP(A19,'Ref-Data'!A:AD,30,FALSE)</f>
        <v>LINCOLN PLAZA HOTEL CO LIMITED</v>
      </c>
      <c r="C19" s="190">
        <f>VLOOKUP('Data Summary'!$A19,'Ref-Data'!$A:$U,2,FALSE)</f>
        <v>17000000</v>
      </c>
      <c r="D19" s="190">
        <f>VLOOKUP(A19,'Ref-Data'!A:C,3,FALSE)</f>
        <v>17000000</v>
      </c>
      <c r="E19" s="190">
        <f>VLOOKUP('Data Summary'!$A19,'Ref-Data'!$A:$U,15,FALSE)</f>
        <v>0</v>
      </c>
      <c r="F19" s="226">
        <f>VLOOKUP('Data Summary'!$A19,'Ref-Data'!$A:$U,12,FALSE)</f>
        <v>0.1411</v>
      </c>
      <c r="G19" s="226">
        <f>VLOOKUP('Data Summary'!$A19,'Ref-Data'!$A:$U,14,FALSE)</f>
        <v>0.33850601215969001</v>
      </c>
      <c r="H19" s="190">
        <f>VLOOKUP(A19,'Code Results'!A:B,2,FALSE)</f>
        <v>228818.11875088501</v>
      </c>
      <c r="I19" s="190">
        <f>IFERROR(VLOOKUP($A19,'Code Results'!$A:$C,13,FALSE),VLOOKUP('Data Summary'!$A19,'Ref-Data'!$A:$U,18,FALSE))</f>
        <v>0</v>
      </c>
      <c r="J19" s="190">
        <f t="shared" si="4"/>
        <v>228818.11875088501</v>
      </c>
      <c r="K19" s="167" t="s">
        <v>1156</v>
      </c>
      <c r="L19" s="190">
        <f>VLOOKUP(A19, 'Ref-Data'!$A:$I,9,FALSE)</f>
        <v>2</v>
      </c>
      <c r="M19" s="173">
        <v>4.7500000000000001E-2</v>
      </c>
      <c r="N19" s="173">
        <v>0.37514320519767774</v>
      </c>
      <c r="O19" s="192">
        <v>3502.9172331077216</v>
      </c>
      <c r="P19" s="191">
        <f t="shared" si="5"/>
        <v>9.3600000000000003E-2</v>
      </c>
      <c r="Q19" s="191">
        <f t="shared" si="6"/>
        <v>-3.6637193037987736E-2</v>
      </c>
      <c r="R19" s="193">
        <f t="shared" si="7"/>
        <v>225315.20151777728</v>
      </c>
      <c r="S19" s="354"/>
      <c r="T19" s="167"/>
      <c r="U19" s="355"/>
      <c r="V19" s="355"/>
      <c r="W19" s="355"/>
      <c r="X19" s="355"/>
      <c r="Y19" s="355"/>
      <c r="Z19" s="445">
        <f>VLOOKUP(A19,'Ref-Data'!$A:$F,6,FALSE)</f>
        <v>0.33401779603011633</v>
      </c>
      <c r="AA19" s="390">
        <f>IF('Ref-Data'!$Z$2="ON",VLOOKUP('Data Summary'!A19,'MacroPD-Cal'!$A:$O,15,FALSE),IF('Ref-Data'!$Z$5="Baseline",VLOOKUP(A19,'Model Output_TTC'!$A:$AU,47,FALSE),IF('Ref-Data'!$Z$5="90th Percentile",VLOOKUP(A19,'Model Output_TTC'!$A:$BP,68,FALSE),IF('Ref-Data'!$Z$5="96th Percentile",VLOOKUP('Data Summary'!A19,'Model Output_TTC'!$A:$Z,26,FALSE),""))))</f>
        <v>0.1411</v>
      </c>
    </row>
    <row r="20" spans="1:27" s="166" customFormat="1" x14ac:dyDescent="0.25">
      <c r="A20" s="279">
        <v>1100000152</v>
      </c>
      <c r="B20" s="167" t="str">
        <f>VLOOKUP(A20,'Ref-Data'!A:AD,30,FALSE)</f>
        <v>CARE CONCERN MANAGEMENT OA LIMITED (f.k.a. CARE CONCERN (LEEDS) LIMITED)</v>
      </c>
      <c r="C20" s="190">
        <f>VLOOKUP('Data Summary'!$A20,'Ref-Data'!$A:$U,2,FALSE)</f>
        <v>8561038</v>
      </c>
      <c r="D20" s="190">
        <f>VLOOKUP(A20,'Ref-Data'!A:C,3,FALSE)</f>
        <v>8561038</v>
      </c>
      <c r="E20" s="190">
        <f>VLOOKUP('Data Summary'!$A20,'Ref-Data'!$A:$U,15,FALSE)</f>
        <v>0</v>
      </c>
      <c r="F20" s="226">
        <f>VLOOKUP('Data Summary'!$A20,'Ref-Data'!$A:$U,12,FALSE)</f>
        <v>2.9000000000000002E-3</v>
      </c>
      <c r="G20" s="226">
        <f>VLOOKUP('Data Summary'!$A20,'Ref-Data'!$A:$U,14,FALSE)</f>
        <v>0.1</v>
      </c>
      <c r="H20" s="190">
        <f>VLOOKUP(A20,'Code Results'!A:B,2,FALSE)</f>
        <v>44.109440236315002</v>
      </c>
      <c r="I20" s="190">
        <f>IFERROR(VLOOKUP($A20,'Code Results'!$A:$C,13,FALSE),VLOOKUP('Data Summary'!$A20,'Ref-Data'!$A:$U,18,FALSE))</f>
        <v>0</v>
      </c>
      <c r="J20" s="190">
        <f t="shared" si="4"/>
        <v>44.109440236315002</v>
      </c>
      <c r="K20" s="167" t="s">
        <v>1156</v>
      </c>
      <c r="L20" s="190">
        <f>VLOOKUP(A20, 'Ref-Data'!$A:$I,9,FALSE)</f>
        <v>1</v>
      </c>
      <c r="M20" s="173">
        <v>4.7500000000000001E-2</v>
      </c>
      <c r="N20" s="173">
        <v>0.37514320519767774</v>
      </c>
      <c r="O20" s="192">
        <v>3502.9172331077216</v>
      </c>
      <c r="P20" s="191">
        <f t="shared" si="5"/>
        <v>-4.4600000000000001E-2</v>
      </c>
      <c r="Q20" s="191">
        <f t="shared" si="6"/>
        <v>-0.27514320519767776</v>
      </c>
      <c r="R20" s="193">
        <f t="shared" si="7"/>
        <v>-3458.8077928714065</v>
      </c>
      <c r="S20" s="354"/>
      <c r="T20" s="167"/>
      <c r="U20" s="355"/>
      <c r="V20" s="355"/>
      <c r="W20" s="355"/>
      <c r="X20" s="355"/>
      <c r="Y20" s="355"/>
      <c r="Z20" s="445">
        <f>VLOOKUP(A20,'Ref-Data'!$A:$F,6,FALSE)</f>
        <v>2.1464750171115674</v>
      </c>
      <c r="AA20" s="390">
        <f>IF('Ref-Data'!$Z$2="ON",VLOOKUP('Data Summary'!A20,'MacroPD-Cal'!$A:$O,15,FALSE),IF('Ref-Data'!$Z$5="Baseline",VLOOKUP(A20,'Model Output_TTC'!$A:$AU,47,FALSE),IF('Ref-Data'!$Z$5="90th Percentile",VLOOKUP(A20,'Model Output_TTC'!$A:$BP,68,FALSE),IF('Ref-Data'!$Z$5="96th Percentile",VLOOKUP('Data Summary'!A20,'Model Output_TTC'!$A:$Z,26,FALSE),""))))</f>
        <v>5.0000000000000001E-3</v>
      </c>
    </row>
    <row r="21" spans="1:27" s="166" customFormat="1" x14ac:dyDescent="0.25">
      <c r="A21" s="279">
        <v>1100000002</v>
      </c>
      <c r="B21" s="167" t="str">
        <f>VLOOKUP(A21,'Ref-Data'!A:AD,30,FALSE)</f>
        <v>SLATTERS DEVELOPMENT LIMITED</v>
      </c>
      <c r="C21" s="190">
        <f>VLOOKUP('Data Summary'!$A21,'Ref-Data'!$A:$U,2,FALSE)</f>
        <v>1713309.8</v>
      </c>
      <c r="D21" s="190">
        <f>VLOOKUP(A21,'Ref-Data'!A:C,3,FALSE)</f>
        <v>1713309.8</v>
      </c>
      <c r="E21" s="190">
        <f>VLOOKUP('Data Summary'!$A21,'Ref-Data'!$A:$U,15,FALSE)</f>
        <v>0</v>
      </c>
      <c r="F21" s="226">
        <f>VLOOKUP('Data Summary'!$A21,'Ref-Data'!$A:$U,12,FALSE)</f>
        <v>1.03E-2</v>
      </c>
      <c r="G21" s="226">
        <f>VLOOKUP('Data Summary'!$A21,'Ref-Data'!$A:$U,14,FALSE)</f>
        <v>0.15</v>
      </c>
      <c r="H21" s="190">
        <f>VLOOKUP(A21,'Code Results'!A:B,2,FALSE)</f>
        <v>147.60346993450801</v>
      </c>
      <c r="I21" s="190">
        <f>IFERROR(VLOOKUP($A21,'Code Results'!$A:$C,13,FALSE),VLOOKUP('Data Summary'!$A21,'Ref-Data'!$A:$U,18,FALSE))</f>
        <v>0</v>
      </c>
      <c r="J21" s="190">
        <f t="shared" si="4"/>
        <v>147.60346993450801</v>
      </c>
      <c r="K21" s="167" t="s">
        <v>1156</v>
      </c>
      <c r="L21" s="190">
        <f>VLOOKUP(A21, 'Ref-Data'!$A:$I,9,FALSE)</f>
        <v>1</v>
      </c>
      <c r="M21" s="173">
        <v>4.7500000000000001E-2</v>
      </c>
      <c r="N21" s="173">
        <v>0.37514320519767774</v>
      </c>
      <c r="O21" s="192">
        <v>3502.9172331077216</v>
      </c>
      <c r="P21" s="191">
        <f t="shared" si="5"/>
        <v>-3.7199999999999997E-2</v>
      </c>
      <c r="Q21" s="191">
        <f t="shared" si="6"/>
        <v>-0.22514320519767775</v>
      </c>
      <c r="R21" s="193">
        <f t="shared" si="7"/>
        <v>-3355.3137631732134</v>
      </c>
      <c r="S21" s="354"/>
      <c r="T21" s="167"/>
      <c r="U21" s="355"/>
      <c r="V21" s="355"/>
      <c r="W21" s="355"/>
      <c r="X21" s="355"/>
      <c r="Y21" s="355"/>
      <c r="Z21" s="445">
        <f>VLOOKUP(A21,'Ref-Data'!$A:$F,6,FALSE)</f>
        <v>2.6529774127310062</v>
      </c>
      <c r="AA21" s="390">
        <f>IF('Ref-Data'!$Z$2="ON",VLOOKUP('Data Summary'!A21,'MacroPD-Cal'!$A:$O,15,FALSE),IF('Ref-Data'!$Z$5="Baseline",VLOOKUP(A21,'Model Output_TTC'!$A:$AU,47,FALSE),IF('Ref-Data'!$Z$5="90th Percentile",VLOOKUP(A21,'Model Output_TTC'!$A:$BP,68,FALSE),IF('Ref-Data'!$Z$5="96th Percentile",VLOOKUP('Data Summary'!A21,'Model Output_TTC'!$A:$Z,26,FALSE),""))))</f>
        <v>1.8600000000000002E-2</v>
      </c>
    </row>
    <row r="22" spans="1:27" s="166" customFormat="1" x14ac:dyDescent="0.25">
      <c r="A22" s="279">
        <v>1100000202</v>
      </c>
      <c r="B22" s="167" t="str">
        <f>VLOOKUP(A22,'Ref-Data'!A:AD,30,FALSE)</f>
        <v>ZEAL HOTEL (BRIDGWATER J23) LIMITED</v>
      </c>
      <c r="C22" s="190">
        <f>VLOOKUP('Data Summary'!$A22,'Ref-Data'!$A:$U,2,FALSE)</f>
        <v>1875502.42</v>
      </c>
      <c r="D22" s="190">
        <f>VLOOKUP(A22,'Ref-Data'!A:C,3,FALSE)</f>
        <v>1875502.42</v>
      </c>
      <c r="E22" s="190">
        <f>VLOOKUP('Data Summary'!$A22,'Ref-Data'!$A:$U,15,FALSE)</f>
        <v>0</v>
      </c>
      <c r="F22" s="226">
        <f>VLOOKUP('Data Summary'!$A22,'Ref-Data'!$A:$U,12,FALSE)</f>
        <v>1.7600000000000001E-2</v>
      </c>
      <c r="G22" s="226">
        <f>VLOOKUP('Data Summary'!$A22,'Ref-Data'!$A:$U,14,FALSE)</f>
        <v>0.15</v>
      </c>
      <c r="H22" s="190">
        <f>VLOOKUP(A22,'Code Results'!A:B,2,FALSE)</f>
        <v>4724.2455285310598</v>
      </c>
      <c r="I22" s="190">
        <f>IFERROR(VLOOKUP($A22,'Code Results'!$A:$C,13,FALSE),VLOOKUP('Data Summary'!$A22,'Ref-Data'!$A:$U,18,FALSE))</f>
        <v>0</v>
      </c>
      <c r="J22" s="190">
        <f t="shared" si="4"/>
        <v>4724.2455285310598</v>
      </c>
      <c r="K22" s="167" t="s">
        <v>1156</v>
      </c>
      <c r="L22" s="190">
        <f>VLOOKUP(A22, 'Ref-Data'!$A:$I,9,FALSE)</f>
        <v>1</v>
      </c>
      <c r="M22" s="173">
        <v>4.7500000000000001E-2</v>
      </c>
      <c r="N22" s="173">
        <v>0.37514320519767774</v>
      </c>
      <c r="O22" s="192">
        <v>3502.9172331077216</v>
      </c>
      <c r="P22" s="191">
        <f t="shared" si="5"/>
        <v>-2.9899999999999999E-2</v>
      </c>
      <c r="Q22" s="191">
        <f t="shared" si="6"/>
        <v>-0.22514320519767775</v>
      </c>
      <c r="R22" s="193">
        <f t="shared" si="7"/>
        <v>1221.3282954233382</v>
      </c>
      <c r="S22" s="354"/>
      <c r="T22" s="167"/>
      <c r="U22" s="355"/>
      <c r="V22" s="355"/>
      <c r="W22" s="355"/>
      <c r="X22" s="355"/>
      <c r="Y22" s="355"/>
      <c r="Z22" s="445">
        <f>VLOOKUP(A22,'Ref-Data'!$A:$F,6,FALSE)</f>
        <v>2.5681040383299112</v>
      </c>
      <c r="AA22" s="390">
        <f>IF('Ref-Data'!$Z$2="ON",VLOOKUP('Data Summary'!A22,'MacroPD-Cal'!$A:$O,15,FALSE),IF('Ref-Data'!$Z$5="Baseline",VLOOKUP(A22,'Model Output_TTC'!$A:$AU,47,FALSE),IF('Ref-Data'!$Z$5="90th Percentile",VLOOKUP(A22,'Model Output_TTC'!$A:$BP,68,FALSE),IF('Ref-Data'!$Z$5="96th Percentile",VLOOKUP('Data Summary'!A22,'Model Output_TTC'!$A:$Z,26,FALSE),""))))</f>
        <v>3.3100000000000004E-2</v>
      </c>
    </row>
    <row r="23" spans="1:27" s="166" customFormat="1" x14ac:dyDescent="0.25">
      <c r="A23" s="279">
        <v>1100000203</v>
      </c>
      <c r="B23" s="167" t="str">
        <f>VLOOKUP(A23,'Ref-Data'!A:AD,30,FALSE)</f>
        <v>CASA ITALIAN RESTAURANTS LTD</v>
      </c>
      <c r="C23" s="190">
        <f>VLOOKUP('Data Summary'!$A23,'Ref-Data'!$A:$U,2,FALSE)</f>
        <v>420249.57</v>
      </c>
      <c r="D23" s="190">
        <f>VLOOKUP(A23,'Ref-Data'!A:C,3,FALSE)</f>
        <v>420249.57</v>
      </c>
      <c r="E23" s="190">
        <f>VLOOKUP('Data Summary'!$A23,'Ref-Data'!$A:$U,15,FALSE)</f>
        <v>0</v>
      </c>
      <c r="F23" s="226">
        <f>VLOOKUP('Data Summary'!$A23,'Ref-Data'!$A:$U,12,FALSE)</f>
        <v>3.5000000000000001E-3</v>
      </c>
      <c r="G23" s="226">
        <f>VLOOKUP('Data Summary'!$A23,'Ref-Data'!$A:$U,14,FALSE)</f>
        <v>0.28376064624326203</v>
      </c>
      <c r="H23" s="190">
        <f>VLOOKUP(A23,'Code Results'!A:B,2,FALSE)</f>
        <v>371.08705849217603</v>
      </c>
      <c r="I23" s="190">
        <f>IFERROR(VLOOKUP($A23,'Code Results'!$A:$C,13,FALSE),VLOOKUP('Data Summary'!$A23,'Ref-Data'!$A:$U,18,FALSE))</f>
        <v>0</v>
      </c>
      <c r="J23" s="190">
        <f t="shared" si="4"/>
        <v>371.08705849217603</v>
      </c>
      <c r="K23" s="167" t="s">
        <v>1156</v>
      </c>
      <c r="L23" s="190">
        <f>VLOOKUP(A23, 'Ref-Data'!$A:$I,9,FALSE)</f>
        <v>1</v>
      </c>
      <c r="M23" s="173">
        <v>4.7500000000000001E-2</v>
      </c>
      <c r="N23" s="173">
        <v>0.37514320519767774</v>
      </c>
      <c r="O23" s="192">
        <v>3502.9172331077216</v>
      </c>
      <c r="P23" s="191">
        <f t="shared" si="5"/>
        <v>-4.3999999999999997E-2</v>
      </c>
      <c r="Q23" s="191">
        <f t="shared" si="6"/>
        <v>-9.1382558954415716E-2</v>
      </c>
      <c r="R23" s="193">
        <f t="shared" si="7"/>
        <v>-3131.8301746155457</v>
      </c>
      <c r="S23" s="354"/>
      <c r="T23" s="167"/>
      <c r="U23" s="355"/>
      <c r="V23" s="355"/>
      <c r="W23" s="355"/>
      <c r="X23" s="355"/>
      <c r="Y23" s="355"/>
      <c r="Z23" s="445">
        <f>VLOOKUP(A23,'Ref-Data'!$A:$F,6,FALSE)</f>
        <v>2.3655030800821355</v>
      </c>
      <c r="AA23" s="390">
        <f>IF('Ref-Data'!$Z$2="ON",VLOOKUP('Data Summary'!A23,'MacroPD-Cal'!$A:$O,15,FALSE),IF('Ref-Data'!$Z$5="Baseline",VLOOKUP(A23,'Model Output_TTC'!$A:$AU,47,FALSE),IF('Ref-Data'!$Z$5="90th Percentile",VLOOKUP(A23,'Model Output_TTC'!$A:$BP,68,FALSE),IF('Ref-Data'!$Z$5="96th Percentile",VLOOKUP('Data Summary'!A23,'Model Output_TTC'!$A:$Z,26,FALSE),""))))</f>
        <v>6.8000000000000005E-3</v>
      </c>
    </row>
    <row r="24" spans="1:27" s="166" customFormat="1" x14ac:dyDescent="0.25">
      <c r="A24" s="279">
        <v>1100000184</v>
      </c>
      <c r="B24" s="167" t="str">
        <f>VLOOKUP(A24,'Ref-Data'!A:AD,30,FALSE)</f>
        <v>NEPTUNE 789 LIMITED</v>
      </c>
      <c r="C24" s="190">
        <f>VLOOKUP('Data Summary'!$A24,'Ref-Data'!$A:$U,2,FALSE)</f>
        <v>5250000</v>
      </c>
      <c r="D24" s="190">
        <f>VLOOKUP(A24,'Ref-Data'!A:C,3,FALSE)</f>
        <v>5250000</v>
      </c>
      <c r="E24" s="190">
        <f>VLOOKUP('Data Summary'!$A24,'Ref-Data'!$A:$U,15,FALSE)</f>
        <v>0</v>
      </c>
      <c r="F24" s="226">
        <f>VLOOKUP('Data Summary'!$A24,'Ref-Data'!$A:$U,12,FALSE)</f>
        <v>5.7600000000000005E-2</v>
      </c>
      <c r="G24" s="226">
        <f>VLOOKUP('Data Summary'!$A24,'Ref-Data'!$A:$U,14,FALSE)</f>
        <v>0.28722729829082327</v>
      </c>
      <c r="H24" s="190">
        <f>VLOOKUP(A24,'Code Results'!A:B,2,FALSE)</f>
        <v>74519.260374617807</v>
      </c>
      <c r="I24" s="190">
        <f>IFERROR(VLOOKUP($A24,'Code Results'!$A:$C,13,FALSE),VLOOKUP('Data Summary'!$A24,'Ref-Data'!$A:$U,18,FALSE))</f>
        <v>0</v>
      </c>
      <c r="J24" s="190">
        <f t="shared" si="4"/>
        <v>74519.260374617807</v>
      </c>
      <c r="K24" s="167" t="s">
        <v>1156</v>
      </c>
      <c r="L24" s="190">
        <f>VLOOKUP(A24, 'Ref-Data'!$A:$I,9,FALSE)</f>
        <v>1</v>
      </c>
      <c r="M24" s="173">
        <v>4.7500000000000001E-2</v>
      </c>
      <c r="N24" s="173">
        <v>0.37514320519767774</v>
      </c>
      <c r="O24" s="192">
        <v>3502.9172331077216</v>
      </c>
      <c r="P24" s="191">
        <f t="shared" si="5"/>
        <v>1.0100000000000005E-2</v>
      </c>
      <c r="Q24" s="191">
        <f t="shared" si="6"/>
        <v>-8.7915906906854469E-2</v>
      </c>
      <c r="R24" s="193">
        <f t="shared" si="7"/>
        <v>71016.343141510079</v>
      </c>
      <c r="S24" s="354"/>
      <c r="T24" s="167"/>
      <c r="U24" s="355"/>
      <c r="V24" s="355"/>
      <c r="W24" s="355"/>
      <c r="X24" s="355"/>
      <c r="Y24" s="355"/>
      <c r="Z24" s="445">
        <f>VLOOKUP(A24,'Ref-Data'!$A:$F,6,FALSE)</f>
        <v>2.516084873374401</v>
      </c>
      <c r="AA24" s="390">
        <f>IF('Ref-Data'!$Z$2="ON",VLOOKUP('Data Summary'!A24,'MacroPD-Cal'!$A:$O,15,FALSE),IF('Ref-Data'!$Z$5="Baseline",VLOOKUP(A24,'Model Output_TTC'!$A:$AU,47,FALSE),IF('Ref-Data'!$Z$5="90th Percentile",VLOOKUP(A24,'Model Output_TTC'!$A:$BP,68,FALSE),IF('Ref-Data'!$Z$5="96th Percentile",VLOOKUP('Data Summary'!A24,'Model Output_TTC'!$A:$Z,26,FALSE),""))))</f>
        <v>9.6000000000000002E-2</v>
      </c>
    </row>
    <row r="25" spans="1:27" s="183" customFormat="1" x14ac:dyDescent="0.25">
      <c r="A25" s="279">
        <v>1100000182</v>
      </c>
      <c r="B25" s="167" t="str">
        <f>VLOOKUP(A25,'Ref-Data'!A:AD,30,FALSE)</f>
        <v>NEPTUNE 789 LIMITED</v>
      </c>
      <c r="C25" s="190">
        <f>VLOOKUP('Data Summary'!$A25,'Ref-Data'!$A:$U,2,FALSE)</f>
        <v>1000000</v>
      </c>
      <c r="D25" s="190">
        <f>VLOOKUP(A25,'Ref-Data'!A:C,3,FALSE)</f>
        <v>0</v>
      </c>
      <c r="E25" s="190">
        <f>VLOOKUP('Data Summary'!$A25,'Ref-Data'!$A:$U,15,FALSE)</f>
        <v>0</v>
      </c>
      <c r="F25" s="226">
        <f>VLOOKUP('Data Summary'!$A25,'Ref-Data'!$A:$U,12,FALSE)</f>
        <v>5.7600000000000005E-2</v>
      </c>
      <c r="G25" s="226">
        <f>VLOOKUP('Data Summary'!$A25,'Ref-Data'!$A:$U,14,FALSE)</f>
        <v>0.28722729829082327</v>
      </c>
      <c r="H25" s="190">
        <f>VLOOKUP(A25,'Code Results'!A:B,2,FALSE)</f>
        <v>0</v>
      </c>
      <c r="I25" s="190">
        <f>IFERROR(VLOOKUP($A25,'Code Results'!$A:$C,13,FALSE),VLOOKUP('Data Summary'!$A25,'Ref-Data'!$A:$U,18,FALSE))</f>
        <v>0</v>
      </c>
      <c r="J25" s="190">
        <f t="shared" si="4"/>
        <v>0</v>
      </c>
      <c r="K25" s="167" t="s">
        <v>1156</v>
      </c>
      <c r="L25" s="190">
        <f>VLOOKUP(A25, 'Ref-Data'!$A:$I,9,FALSE)</f>
        <v>1</v>
      </c>
      <c r="M25" s="173">
        <v>4.7500000000000001E-2</v>
      </c>
      <c r="N25" s="173">
        <v>0.37514320519767774</v>
      </c>
      <c r="O25" s="192">
        <v>3502.9172331077216</v>
      </c>
      <c r="P25" s="191">
        <f t="shared" si="5"/>
        <v>1.0100000000000005E-2</v>
      </c>
      <c r="Q25" s="191">
        <f t="shared" si="6"/>
        <v>-8.7915906906854469E-2</v>
      </c>
      <c r="R25" s="193">
        <f t="shared" si="7"/>
        <v>-3502.9172331077216</v>
      </c>
      <c r="S25" s="354"/>
      <c r="T25" s="167"/>
      <c r="U25" s="355"/>
      <c r="V25" s="355"/>
      <c r="W25" s="355"/>
      <c r="X25" s="355"/>
      <c r="Y25" s="355"/>
      <c r="Z25" s="445">
        <f>VLOOKUP(A25,'Ref-Data'!$A:$F,6,FALSE)</f>
        <v>2.516084873374401</v>
      </c>
      <c r="AA25" s="390">
        <f>IF('Ref-Data'!$Z$2="ON",VLOOKUP('Data Summary'!A25,'MacroPD-Cal'!$A:$O,15,FALSE),IF('Ref-Data'!$Z$5="Baseline",VLOOKUP(A25,'Model Output_TTC'!$A:$AU,47,FALSE),IF('Ref-Data'!$Z$5="90th Percentile",VLOOKUP(A25,'Model Output_TTC'!$A:$BP,68,FALSE),IF('Ref-Data'!$Z$5="96th Percentile",VLOOKUP('Data Summary'!A25,'Model Output_TTC'!$A:$Z,26,FALSE),""))))</f>
        <v>9.6000000000000002E-2</v>
      </c>
    </row>
    <row r="26" spans="1:27" s="166" customFormat="1" x14ac:dyDescent="0.25">
      <c r="A26" s="279">
        <v>1100000130</v>
      </c>
      <c r="B26" s="167" t="str">
        <f>VLOOKUP(A26,'Ref-Data'!A:AD,30,FALSE)</f>
        <v>MOORLANDS HEALTHCARE LIMITED</v>
      </c>
      <c r="C26" s="190">
        <f>VLOOKUP('Data Summary'!$A26,'Ref-Data'!$A:$U,2,FALSE)</f>
        <v>2306250</v>
      </c>
      <c r="D26" s="190">
        <f>VLOOKUP(A26,'Ref-Data'!A:C,3,FALSE)</f>
        <v>2306250</v>
      </c>
      <c r="E26" s="190">
        <f>VLOOKUP('Data Summary'!$A26,'Ref-Data'!$A:$U,15,FALSE)</f>
        <v>0</v>
      </c>
      <c r="F26" s="226">
        <f>VLOOKUP('Data Summary'!$A26,'Ref-Data'!$A:$U,12,FALSE)</f>
        <v>6.0000000000000001E-3</v>
      </c>
      <c r="G26" s="226">
        <f>VLOOKUP('Data Summary'!$A26,'Ref-Data'!$A:$U,14,FALSE)</f>
        <v>0.15189421709416262</v>
      </c>
      <c r="H26" s="190">
        <f>VLOOKUP(A26,'Code Results'!A:B,2,FALSE)</f>
        <v>1977.14345624367</v>
      </c>
      <c r="I26" s="190">
        <f>IFERROR(VLOOKUP($A26,'Code Results'!$A:$C,13,FALSE),VLOOKUP('Data Summary'!$A26,'Ref-Data'!$A:$U,18,FALSE))</f>
        <v>0</v>
      </c>
      <c r="J26" s="190">
        <f t="shared" si="4"/>
        <v>1977.14345624367</v>
      </c>
      <c r="K26" s="167" t="s">
        <v>1156</v>
      </c>
      <c r="L26" s="190">
        <f>VLOOKUP(A26, 'Ref-Data'!$A:$I,9,FALSE)</f>
        <v>1</v>
      </c>
      <c r="M26" s="173">
        <v>4.7500000000000001E-2</v>
      </c>
      <c r="N26" s="173">
        <v>0.37514320519767774</v>
      </c>
      <c r="O26" s="192">
        <v>3502.9172331077216</v>
      </c>
      <c r="P26" s="191">
        <f t="shared" si="5"/>
        <v>-4.1500000000000002E-2</v>
      </c>
      <c r="Q26" s="191">
        <f t="shared" si="6"/>
        <v>-0.22324898810351512</v>
      </c>
      <c r="R26" s="193">
        <f t="shared" si="7"/>
        <v>-1525.7737768640516</v>
      </c>
      <c r="S26" s="354"/>
      <c r="T26" s="167"/>
      <c r="U26" s="355"/>
      <c r="V26" s="355"/>
      <c r="W26" s="355"/>
      <c r="X26" s="355"/>
      <c r="Y26" s="355"/>
      <c r="Z26" s="445">
        <f>VLOOKUP(A26,'Ref-Data'!$A:$F,6,FALSE)</f>
        <v>5.4757015742642023E-2</v>
      </c>
      <c r="AA26" s="390">
        <f>IF('Ref-Data'!$Z$2="ON",VLOOKUP('Data Summary'!A26,'MacroPD-Cal'!$A:$O,15,FALSE),IF('Ref-Data'!$Z$5="Baseline",VLOOKUP(A26,'Model Output_TTC'!$A:$AU,47,FALSE),IF('Ref-Data'!$Z$5="90th Percentile",VLOOKUP(A26,'Model Output_TTC'!$A:$BP,68,FALSE),IF('Ref-Data'!$Z$5="96th Percentile",VLOOKUP('Data Summary'!A26,'Model Output_TTC'!$A:$Z,26,FALSE),""))))</f>
        <v>6.0000000000000001E-3</v>
      </c>
    </row>
    <row r="27" spans="1:27" s="166" customFormat="1" x14ac:dyDescent="0.25">
      <c r="A27" s="279">
        <v>1100000190</v>
      </c>
      <c r="B27" s="167" t="str">
        <f>VLOOKUP(A27,'Ref-Data'!A:AD,30,FALSE)</f>
        <v>AP BRISTOL NUMBER 3 LIMITED</v>
      </c>
      <c r="C27" s="190">
        <f>VLOOKUP('Data Summary'!$A27,'Ref-Data'!$A:$U,2,FALSE)</f>
        <v>16000000</v>
      </c>
      <c r="D27" s="190">
        <f>VLOOKUP(A27,'Ref-Data'!A:C,3,FALSE)</f>
        <v>16000000</v>
      </c>
      <c r="E27" s="190">
        <f>VLOOKUP('Data Summary'!$A27,'Ref-Data'!$A:$U,15,FALSE)</f>
        <v>0</v>
      </c>
      <c r="F27" s="226">
        <f>VLOOKUP('Data Summary'!$A27,'Ref-Data'!$A:$U,12,FALSE)</f>
        <v>2.1899999999999999E-2</v>
      </c>
      <c r="G27" s="226">
        <f>VLOOKUP('Data Summary'!$A27,'Ref-Data'!$A:$U,14,FALSE)</f>
        <v>0.1</v>
      </c>
      <c r="H27" s="190">
        <f>VLOOKUP(A27,'Code Results'!A:B,2,FALSE)</f>
        <v>23272.796752348499</v>
      </c>
      <c r="I27" s="190">
        <f>IFERROR(VLOOKUP($A27,'Code Results'!$A:$C,13,FALSE),VLOOKUP('Data Summary'!$A27,'Ref-Data'!$A:$U,18,FALSE))</f>
        <v>0</v>
      </c>
      <c r="J27" s="190">
        <f t="shared" si="4"/>
        <v>23272.796752348499</v>
      </c>
      <c r="K27" s="167" t="s">
        <v>1156</v>
      </c>
      <c r="L27" s="190">
        <f>VLOOKUP(A27, 'Ref-Data'!$A:$I,9,FALSE)</f>
        <v>1</v>
      </c>
      <c r="M27" s="173">
        <v>4.7500000000000001E-2</v>
      </c>
      <c r="N27" s="173">
        <v>0.37514320519767774</v>
      </c>
      <c r="O27" s="192">
        <v>3502.9172331077216</v>
      </c>
      <c r="P27" s="191">
        <f t="shared" si="5"/>
        <v>-2.5600000000000001E-2</v>
      </c>
      <c r="Q27" s="191">
        <f t="shared" si="6"/>
        <v>-0.27514320519767776</v>
      </c>
      <c r="R27" s="193">
        <f t="shared" si="7"/>
        <v>19769.879519240778</v>
      </c>
      <c r="S27" s="354"/>
      <c r="T27" s="167"/>
      <c r="U27" s="355"/>
      <c r="V27" s="355"/>
      <c r="W27" s="355"/>
      <c r="X27" s="355"/>
      <c r="Y27" s="355"/>
      <c r="Z27" s="445">
        <f>VLOOKUP(A27,'Ref-Data'!$A:$F,6,FALSE)</f>
        <v>0.75564681724845995</v>
      </c>
      <c r="AA27" s="390">
        <f>IF('Ref-Data'!$Z$2="ON",VLOOKUP('Data Summary'!A27,'MacroPD-Cal'!$A:$O,15,FALSE),IF('Ref-Data'!$Z$5="Baseline",VLOOKUP(A27,'Model Output_TTC'!$A:$AU,47,FALSE),IF('Ref-Data'!$Z$5="90th Percentile",VLOOKUP(A27,'Model Output_TTC'!$A:$BP,68,FALSE),IF('Ref-Data'!$Z$5="96th Percentile",VLOOKUP('Data Summary'!A27,'Model Output_TTC'!$A:$Z,26,FALSE),""))))</f>
        <v>2.1899999999999999E-2</v>
      </c>
    </row>
    <row r="28" spans="1:27" s="166" customFormat="1" x14ac:dyDescent="0.25">
      <c r="A28" s="279">
        <v>1100000191</v>
      </c>
      <c r="B28" s="167" t="str">
        <f>VLOOKUP(A28,'Ref-Data'!A:AD,30,FALSE)</f>
        <v>AP BRISTOL NUMBER 3 LIMITED</v>
      </c>
      <c r="C28" s="190">
        <f>VLOOKUP('Data Summary'!$A28,'Ref-Data'!$A:$U,2,FALSE)</f>
        <v>3950000</v>
      </c>
      <c r="D28" s="190">
        <f>VLOOKUP(A28,'Ref-Data'!A:C,3,FALSE)</f>
        <v>0</v>
      </c>
      <c r="E28" s="190">
        <f>VLOOKUP('Data Summary'!$A28,'Ref-Data'!$A:$U,15,FALSE)</f>
        <v>0</v>
      </c>
      <c r="F28" s="226">
        <f>VLOOKUP('Data Summary'!$A28,'Ref-Data'!$A:$U,12,FALSE)</f>
        <v>2.1899999999999999E-2</v>
      </c>
      <c r="G28" s="226">
        <f>VLOOKUP('Data Summary'!$A28,'Ref-Data'!$A:$U,14,FALSE)</f>
        <v>0.1</v>
      </c>
      <c r="H28" s="190">
        <f>VLOOKUP(A28,'Code Results'!A:B,2,FALSE)</f>
        <v>0</v>
      </c>
      <c r="I28" s="190">
        <f>IFERROR(VLOOKUP($A28,'Code Results'!$A:$C,13,FALSE),VLOOKUP('Data Summary'!$A28,'Ref-Data'!$A:$U,18,FALSE))</f>
        <v>0</v>
      </c>
      <c r="J28" s="190">
        <f t="shared" si="4"/>
        <v>0</v>
      </c>
      <c r="K28" s="167" t="s">
        <v>1156</v>
      </c>
      <c r="L28" s="190">
        <f>VLOOKUP(A28, 'Ref-Data'!$A:$I,9,FALSE)</f>
        <v>1</v>
      </c>
      <c r="M28" s="173">
        <v>4.7500000000000001E-2</v>
      </c>
      <c r="N28" s="173">
        <v>0.37514320519767774</v>
      </c>
      <c r="O28" s="192">
        <v>3502.9172331077216</v>
      </c>
      <c r="P28" s="191">
        <f t="shared" si="5"/>
        <v>-2.5600000000000001E-2</v>
      </c>
      <c r="Q28" s="191">
        <f t="shared" si="6"/>
        <v>-0.27514320519767776</v>
      </c>
      <c r="R28" s="193">
        <f t="shared" si="7"/>
        <v>-3502.9172331077216</v>
      </c>
      <c r="S28" s="354"/>
      <c r="T28" s="167"/>
      <c r="U28" s="355"/>
      <c r="V28" s="355"/>
      <c r="W28" s="355"/>
      <c r="X28" s="355"/>
      <c r="Y28" s="355"/>
      <c r="Z28" s="445">
        <f>VLOOKUP(A28,'Ref-Data'!$A:$F,6,FALSE)</f>
        <v>0.75564681724845995</v>
      </c>
      <c r="AA28" s="390">
        <f>IF('Ref-Data'!$Z$2="ON",VLOOKUP('Data Summary'!A28,'MacroPD-Cal'!$A:$O,15,FALSE),IF('Ref-Data'!$Z$5="Baseline",VLOOKUP(A28,'Model Output_TTC'!$A:$AU,47,FALSE),IF('Ref-Data'!$Z$5="90th Percentile",VLOOKUP(A28,'Model Output_TTC'!$A:$BP,68,FALSE),IF('Ref-Data'!$Z$5="96th Percentile",VLOOKUP('Data Summary'!A28,'Model Output_TTC'!$A:$Z,26,FALSE),""))))</f>
        <v>2.1899999999999999E-2</v>
      </c>
    </row>
    <row r="29" spans="1:27" s="166" customFormat="1" x14ac:dyDescent="0.25">
      <c r="A29" s="279">
        <v>1100000004</v>
      </c>
      <c r="B29" s="167" t="str">
        <f>VLOOKUP(A29,'Ref-Data'!A:AD,30,FALSE)</f>
        <v>BASIL JAMES DEMEROUTIS</v>
      </c>
      <c r="C29" s="190">
        <f>VLOOKUP('Data Summary'!$A29,'Ref-Data'!$A:$U,2,FALSE)</f>
        <v>1254060</v>
      </c>
      <c r="D29" s="190">
        <f>VLOOKUP(A29,'Ref-Data'!A:C,3,FALSE)</f>
        <v>1254060</v>
      </c>
      <c r="E29" s="190">
        <f>VLOOKUP('Data Summary'!$A29,'Ref-Data'!$A:$U,15,FALSE)</f>
        <v>0</v>
      </c>
      <c r="F29" s="226">
        <f>VLOOKUP('Data Summary'!$A29,'Ref-Data'!$A:$U,12,FALSE)</f>
        <v>2.6000000000000003E-3</v>
      </c>
      <c r="G29" s="226">
        <f>VLOOKUP('Data Summary'!$A29,'Ref-Data'!$A:$U,14,FALSE)</f>
        <v>0.40369925783208194</v>
      </c>
      <c r="H29" s="190">
        <f>VLOOKUP(A29,'Code Results'!A:B,2,FALSE)</f>
        <v>1178.16972326166</v>
      </c>
      <c r="I29" s="190">
        <f>IFERROR(VLOOKUP($A29,'Code Results'!$A:$C,13,FALSE),VLOOKUP('Data Summary'!$A29,'Ref-Data'!$A:$U,18,FALSE))</f>
        <v>0</v>
      </c>
      <c r="J29" s="190">
        <f t="shared" si="4"/>
        <v>1178.16972326166</v>
      </c>
      <c r="K29" s="167" t="s">
        <v>1156</v>
      </c>
      <c r="L29" s="190">
        <f>VLOOKUP(A29, 'Ref-Data'!$A:$I,9,FALSE)</f>
        <v>1</v>
      </c>
      <c r="M29" s="173">
        <v>4.7500000000000001E-2</v>
      </c>
      <c r="N29" s="173">
        <v>0.37514320519767774</v>
      </c>
      <c r="O29" s="192">
        <v>3502.9172331077216</v>
      </c>
      <c r="P29" s="191">
        <f t="shared" si="5"/>
        <v>-4.4900000000000002E-2</v>
      </c>
      <c r="Q29" s="191">
        <f t="shared" si="6"/>
        <v>2.8556052634404194E-2</v>
      </c>
      <c r="R29" s="193">
        <f t="shared" si="7"/>
        <v>-2324.7475098460618</v>
      </c>
      <c r="S29" s="354"/>
      <c r="T29" s="167"/>
      <c r="U29" s="355"/>
      <c r="V29" s="355"/>
      <c r="W29" s="355"/>
      <c r="X29" s="355"/>
      <c r="Y29" s="355"/>
      <c r="Z29" s="445">
        <f>VLOOKUP(A29,'Ref-Data'!$A:$F,6,FALSE)</f>
        <v>3.3347022587268995</v>
      </c>
      <c r="AA29" s="390">
        <f>IF('Ref-Data'!$Z$2="ON",VLOOKUP('Data Summary'!A29,'MacroPD-Cal'!$A:$O,15,FALSE),IF('Ref-Data'!$Z$5="Baseline",VLOOKUP(A29,'Model Output_TTC'!$A:$AU,47,FALSE),IF('Ref-Data'!$Z$5="90th Percentile",VLOOKUP(A29,'Model Output_TTC'!$A:$BP,68,FALSE),IF('Ref-Data'!$Z$5="96th Percentile",VLOOKUP('Data Summary'!A29,'Model Output_TTC'!$A:$Z,26,FALSE),""))))</f>
        <v>8.0999999999999996E-3</v>
      </c>
    </row>
    <row r="30" spans="1:27" s="166" customFormat="1" x14ac:dyDescent="0.25">
      <c r="A30" s="279">
        <v>1100000005</v>
      </c>
      <c r="B30" s="167" t="str">
        <f>VLOOKUP(A30,'Ref-Data'!A:AD,30,FALSE)</f>
        <v>KHALIDA KHALID</v>
      </c>
      <c r="C30" s="190">
        <f>VLOOKUP('Data Summary'!$A30,'Ref-Data'!$A:$U,2,FALSE)</f>
        <v>2107734</v>
      </c>
      <c r="D30" s="190">
        <f>VLOOKUP(A30,'Ref-Data'!A:C,3,FALSE)</f>
        <v>1865639.33</v>
      </c>
      <c r="E30" s="190">
        <f>VLOOKUP('Data Summary'!$A30,'Ref-Data'!$A:$U,15,FALSE)</f>
        <v>0</v>
      </c>
      <c r="F30" s="226">
        <f>VLOOKUP('Data Summary'!$A30,'Ref-Data'!$A:$U,12,FALSE)</f>
        <v>9.300000000000001E-3</v>
      </c>
      <c r="G30" s="226">
        <f>VLOOKUP('Data Summary'!$A30,'Ref-Data'!$A:$U,14,FALSE)</f>
        <v>0.1</v>
      </c>
      <c r="H30" s="190">
        <f>VLOOKUP(A30,'Code Results'!A:B,2,FALSE)</f>
        <v>1708.3050829987801</v>
      </c>
      <c r="I30" s="190">
        <f>IFERROR(VLOOKUP($A30,'Code Results'!$A:$C,13,FALSE),VLOOKUP('Data Summary'!$A30,'Ref-Data'!$A:$U,18,FALSE))</f>
        <v>0</v>
      </c>
      <c r="J30" s="190">
        <f t="shared" si="4"/>
        <v>1708.3050829987801</v>
      </c>
      <c r="K30" s="167" t="s">
        <v>1156</v>
      </c>
      <c r="L30" s="190">
        <f>VLOOKUP(A30, 'Ref-Data'!$A:$I,9,FALSE)</f>
        <v>1</v>
      </c>
      <c r="M30" s="173">
        <v>4.7500000000000001E-2</v>
      </c>
      <c r="N30" s="173">
        <v>0.37514320519767774</v>
      </c>
      <c r="O30" s="192">
        <v>3502.9172331077216</v>
      </c>
      <c r="P30" s="191">
        <f t="shared" si="5"/>
        <v>-3.8199999999999998E-2</v>
      </c>
      <c r="Q30" s="191">
        <f t="shared" si="6"/>
        <v>-0.27514320519767776</v>
      </c>
      <c r="R30" s="193">
        <f t="shared" si="7"/>
        <v>-1794.6121501089415</v>
      </c>
      <c r="S30" s="354"/>
      <c r="T30" s="167"/>
      <c r="U30" s="355"/>
      <c r="V30" s="355"/>
      <c r="W30" s="355"/>
      <c r="X30" s="355"/>
      <c r="Y30" s="355"/>
      <c r="Z30" s="445">
        <f>VLOOKUP(A30,'Ref-Data'!$A:$F,6,FALSE)</f>
        <v>4.470910335386721</v>
      </c>
      <c r="AA30" s="390">
        <f>IF('Ref-Data'!$Z$2="ON",VLOOKUP('Data Summary'!A30,'MacroPD-Cal'!$A:$O,15,FALSE),IF('Ref-Data'!$Z$5="Baseline",VLOOKUP(A30,'Model Output_TTC'!$A:$AU,47,FALSE),IF('Ref-Data'!$Z$5="90th Percentile",VLOOKUP(A30,'Model Output_TTC'!$A:$BP,68,FALSE),IF('Ref-Data'!$Z$5="96th Percentile",VLOOKUP('Data Summary'!A30,'Model Output_TTC'!$A:$Z,26,FALSE),""))))</f>
        <v>3.1900000000000005E-2</v>
      </c>
    </row>
    <row r="31" spans="1:27" s="166" customFormat="1" x14ac:dyDescent="0.25">
      <c r="A31" s="279">
        <v>1200000152</v>
      </c>
      <c r="B31" s="167" t="str">
        <f>VLOOKUP(A31,'Ref-Data'!A:AD,30,FALSE)</f>
        <v>INN COLLECTION BIDCO LIMITED</v>
      </c>
      <c r="C31" s="190">
        <f>VLOOKUP('Data Summary'!$A31,'Ref-Data'!$A:$U,2,FALSE)</f>
        <v>3500000</v>
      </c>
      <c r="D31" s="190">
        <f>VLOOKUP(A31,'Ref-Data'!A:C,3,FALSE)</f>
        <v>3500000</v>
      </c>
      <c r="E31" s="190">
        <f>VLOOKUP('Data Summary'!$A31,'Ref-Data'!$A:$U,15,FALSE)</f>
        <v>0</v>
      </c>
      <c r="F31" s="226">
        <f>VLOOKUP('Data Summary'!$A31,'Ref-Data'!$A:$U,12,FALSE)</f>
        <v>2.29E-2</v>
      </c>
      <c r="G31" s="226">
        <f>VLOOKUP('Data Summary'!$A31,'Ref-Data'!$A:$U,14,FALSE)</f>
        <v>0.1</v>
      </c>
      <c r="H31" s="564">
        <f>VLOOKUP(A31,'Code Results'!A:B,2,FALSE)</f>
        <v>7749.0201959825899</v>
      </c>
      <c r="I31" s="190">
        <f>IFERROR(VLOOKUP($A31,'Code Results'!$A:$C,13,FALSE),VLOOKUP('Data Summary'!$A31,'Ref-Data'!$A:$U,18,FALSE))</f>
        <v>0</v>
      </c>
      <c r="J31" s="190">
        <f t="shared" si="4"/>
        <v>7749.0201959825899</v>
      </c>
      <c r="K31" s="167" t="s">
        <v>1156</v>
      </c>
      <c r="L31" s="190">
        <f>VLOOKUP(A31, 'Ref-Data'!$A:$I,9,FALSE)</f>
        <v>1</v>
      </c>
      <c r="M31" s="173">
        <v>4.7500000000000001E-2</v>
      </c>
      <c r="N31" s="173">
        <v>0.37514320519767774</v>
      </c>
      <c r="O31" s="192">
        <v>3502.9172331077216</v>
      </c>
      <c r="P31" s="191">
        <f t="shared" si="5"/>
        <v>-2.46E-2</v>
      </c>
      <c r="Q31" s="191">
        <f t="shared" si="6"/>
        <v>-0.27514320519767776</v>
      </c>
      <c r="R31" s="193">
        <f t="shared" si="7"/>
        <v>4246.1029628748684</v>
      </c>
      <c r="S31" s="354"/>
      <c r="T31" s="167"/>
      <c r="U31" s="355"/>
      <c r="V31" s="355"/>
      <c r="W31" s="355"/>
      <c r="X31" s="355"/>
      <c r="Y31" s="355"/>
      <c r="Z31" s="445">
        <f>VLOOKUP(A31,'Ref-Data'!$A:$F,6,FALSE)</f>
        <v>0.99657768651608492</v>
      </c>
      <c r="AA31" s="390">
        <f>IF('Ref-Data'!$Z$2="ON",VLOOKUP('Data Summary'!A31,'MacroPD-Cal'!$A:$O,15,FALSE),IF('Ref-Data'!$Z$5="Baseline",VLOOKUP(A31,'Model Output_TTC'!$A:$AU,47,FALSE),IF('Ref-Data'!$Z$5="90th Percentile",VLOOKUP(A31,'Model Output_TTC'!$A:$BP,68,FALSE),IF('Ref-Data'!$Z$5="96th Percentile",VLOOKUP('Data Summary'!A31,'Model Output_TTC'!$A:$Z,26,FALSE),""))))</f>
        <v>2.29E-2</v>
      </c>
    </row>
    <row r="32" spans="1:27" s="166" customFormat="1" x14ac:dyDescent="0.25">
      <c r="A32" s="279">
        <v>1200000128</v>
      </c>
      <c r="B32" s="167" t="str">
        <f>VLOOKUP(A32,'Ref-Data'!A:AD,30,FALSE)</f>
        <v>+VENTURE BATTERSEA LIMITED</v>
      </c>
      <c r="C32" s="190">
        <f>VLOOKUP('Data Summary'!$A32,'Ref-Data'!$A:$U,2,FALSE)</f>
        <v>1027839.57</v>
      </c>
      <c r="D32" s="190">
        <f>VLOOKUP(A32,'Ref-Data'!A:C,3,FALSE)</f>
        <v>1027839.57</v>
      </c>
      <c r="E32" s="190">
        <f>VLOOKUP('Data Summary'!$A32,'Ref-Data'!$A:$U,15,FALSE)</f>
        <v>0</v>
      </c>
      <c r="F32" s="226">
        <f>VLOOKUP('Data Summary'!$A32,'Ref-Data'!$A:$U,12,FALSE)</f>
        <v>9.9000000000000008E-3</v>
      </c>
      <c r="G32" s="226">
        <f>VLOOKUP('Data Summary'!$A32,'Ref-Data'!$A:$U,14,FALSE)</f>
        <v>0.34429999999999999</v>
      </c>
      <c r="H32" s="190">
        <f>VLOOKUP(A32,'Code Results'!A:B,2,FALSE)</f>
        <v>3472.5729620879802</v>
      </c>
      <c r="I32" s="190">
        <f>IFERROR(VLOOKUP($A32,'Code Results'!$A:$C,13,FALSE),VLOOKUP('Data Summary'!$A32,'Ref-Data'!$A:$U,18,FALSE))</f>
        <v>0</v>
      </c>
      <c r="J32" s="190">
        <f t="shared" si="4"/>
        <v>3472.5729620879802</v>
      </c>
      <c r="K32" s="167" t="s">
        <v>1156</v>
      </c>
      <c r="L32" s="190">
        <f>VLOOKUP(A32, 'Ref-Data'!$A:$I,9,FALSE)</f>
        <v>1</v>
      </c>
      <c r="M32" s="173">
        <v>4.7500000000000001E-2</v>
      </c>
      <c r="N32" s="173">
        <v>0.37514320519767774</v>
      </c>
      <c r="O32" s="192">
        <v>3502.9172331077216</v>
      </c>
      <c r="P32" s="191">
        <f t="shared" si="5"/>
        <v>-3.7600000000000001E-2</v>
      </c>
      <c r="Q32" s="191">
        <f t="shared" si="6"/>
        <v>-3.0843205197677748E-2</v>
      </c>
      <c r="R32" s="193">
        <f t="shared" si="7"/>
        <v>-30.344271019741427</v>
      </c>
      <c r="S32" s="354"/>
      <c r="T32" s="167"/>
      <c r="U32" s="355"/>
      <c r="V32" s="355"/>
      <c r="W32" s="355"/>
      <c r="X32" s="355"/>
      <c r="Y32" s="355"/>
      <c r="Z32" s="445">
        <f>VLOOKUP(A32,'Ref-Data'!$A:$F,6,FALSE)</f>
        <v>1.9548254620123204</v>
      </c>
      <c r="AA32" s="390">
        <f>IF('Ref-Data'!$Z$2="ON",VLOOKUP('Data Summary'!A32,'MacroPD-Cal'!$A:$O,15,FALSE),IF('Ref-Data'!$Z$5="Baseline",VLOOKUP(A32,'Model Output_TTC'!$A:$AU,47,FALSE),IF('Ref-Data'!$Z$5="90th Percentile",VLOOKUP(A32,'Model Output_TTC'!$A:$BP,68,FALSE),IF('Ref-Data'!$Z$5="96th Percentile",VLOOKUP('Data Summary'!A32,'Model Output_TTC'!$A:$Z,26,FALSE),""))))</f>
        <v>1.52E-2</v>
      </c>
    </row>
    <row r="33" spans="1:27" s="166" customFormat="1" x14ac:dyDescent="0.25">
      <c r="A33" s="279">
        <v>1200000130</v>
      </c>
      <c r="B33" s="167" t="str">
        <f>VLOOKUP(A33,'Ref-Data'!A:AD,30,FALSE)</f>
        <v>+VENTURE BATTERSEA LIMITED</v>
      </c>
      <c r="C33" s="190">
        <f>VLOOKUP('Data Summary'!$A33,'Ref-Data'!$A:$U,2,FALSE)</f>
        <v>1974999.96</v>
      </c>
      <c r="D33" s="190">
        <f>VLOOKUP(A33,'Ref-Data'!A:C,3,FALSE)</f>
        <v>1974999.96</v>
      </c>
      <c r="E33" s="190">
        <f>VLOOKUP('Data Summary'!$A33,'Ref-Data'!$A:$U,15,FALSE)</f>
        <v>0</v>
      </c>
      <c r="F33" s="226">
        <f>VLOOKUP('Data Summary'!$A33,'Ref-Data'!$A:$U,12,FALSE)</f>
        <v>9.9000000000000008E-3</v>
      </c>
      <c r="G33" s="226">
        <f>VLOOKUP('Data Summary'!$A33,'Ref-Data'!$A:$U,14,FALSE)</f>
        <v>0.34429999999999999</v>
      </c>
      <c r="H33" s="190">
        <f>VLOOKUP(A33,'Code Results'!A:B,2,FALSE)</f>
        <v>6662.3021213001703</v>
      </c>
      <c r="I33" s="190">
        <f>IFERROR(VLOOKUP($A33,'Code Results'!$A:$C,13,FALSE),VLOOKUP('Data Summary'!$A33,'Ref-Data'!$A:$U,18,FALSE))</f>
        <v>0</v>
      </c>
      <c r="J33" s="190">
        <f t="shared" si="4"/>
        <v>6662.3021213001703</v>
      </c>
      <c r="K33" s="167" t="s">
        <v>1156</v>
      </c>
      <c r="L33" s="190">
        <f>VLOOKUP(A33, 'Ref-Data'!$A:$I,9,FALSE)</f>
        <v>1</v>
      </c>
      <c r="M33" s="173">
        <v>4.7500000000000001E-2</v>
      </c>
      <c r="N33" s="173">
        <v>0.37514320519767774</v>
      </c>
      <c r="O33" s="192">
        <v>3502.9172331077216</v>
      </c>
      <c r="P33" s="191">
        <f t="shared" si="5"/>
        <v>-3.7600000000000001E-2</v>
      </c>
      <c r="Q33" s="191">
        <f t="shared" si="6"/>
        <v>-3.0843205197677748E-2</v>
      </c>
      <c r="R33" s="193">
        <f t="shared" si="7"/>
        <v>3159.3848881924487</v>
      </c>
      <c r="S33" s="354"/>
      <c r="T33" s="167"/>
      <c r="U33" s="355"/>
      <c r="V33" s="355"/>
      <c r="W33" s="355"/>
      <c r="X33" s="355"/>
      <c r="Y33" s="355"/>
      <c r="Z33" s="445">
        <f>VLOOKUP(A33,'Ref-Data'!$A:$F,6,FALSE)</f>
        <v>1.9548254620123204</v>
      </c>
      <c r="AA33" s="390">
        <f>IF('Ref-Data'!$Z$2="ON",VLOOKUP('Data Summary'!A33,'MacroPD-Cal'!$A:$O,15,FALSE),IF('Ref-Data'!$Z$5="Baseline",VLOOKUP(A33,'Model Output_TTC'!$A:$AU,47,FALSE),IF('Ref-Data'!$Z$5="90th Percentile",VLOOKUP(A33,'Model Output_TTC'!$A:$BP,68,FALSE),IF('Ref-Data'!$Z$5="96th Percentile",VLOOKUP('Data Summary'!A33,'Model Output_TTC'!$A:$Z,26,FALSE),""))))</f>
        <v>1.52E-2</v>
      </c>
    </row>
    <row r="34" spans="1:27" s="166" customFormat="1" x14ac:dyDescent="0.25">
      <c r="A34" s="279">
        <v>1200000001</v>
      </c>
      <c r="B34" s="167" t="str">
        <f>VLOOKUP(A34,'Ref-Data'!A:AD,30,FALSE)</f>
        <v>CASA ITALIAN RESTAURANTS LTD</v>
      </c>
      <c r="C34" s="190">
        <f>VLOOKUP('Data Summary'!$A34,'Ref-Data'!$A:$U,2,FALSE)</f>
        <v>529567.98</v>
      </c>
      <c r="D34" s="190">
        <f>VLOOKUP(A34,'Ref-Data'!A:C,3,FALSE)</f>
        <v>529567.98</v>
      </c>
      <c r="E34" s="190">
        <f>VLOOKUP('Data Summary'!$A34,'Ref-Data'!$A:$U,15,FALSE)</f>
        <v>0</v>
      </c>
      <c r="F34" s="226">
        <f>VLOOKUP('Data Summary'!$A34,'Ref-Data'!$A:$U,12,FALSE)</f>
        <v>3.5000000000000001E-3</v>
      </c>
      <c r="G34" s="226">
        <f>VLOOKUP('Data Summary'!$A34,'Ref-Data'!$A:$U,14,FALSE)</f>
        <v>0.2</v>
      </c>
      <c r="H34" s="190">
        <f>VLOOKUP(A34,'Code Results'!A:B,2,FALSE)</f>
        <v>361.50206447696399</v>
      </c>
      <c r="I34" s="190">
        <f>IFERROR(VLOOKUP($A34,'Code Results'!$A:$C,13,FALSE),VLOOKUP('Data Summary'!$A34,'Ref-Data'!$A:$U,18,FALSE))</f>
        <v>0</v>
      </c>
      <c r="J34" s="190">
        <f t="shared" si="4"/>
        <v>361.50206447696399</v>
      </c>
      <c r="K34" s="167" t="s">
        <v>1156</v>
      </c>
      <c r="L34" s="190">
        <f>VLOOKUP(A34, 'Ref-Data'!$A:$I,9,FALSE)</f>
        <v>1</v>
      </c>
      <c r="M34" s="173">
        <v>4.7500000000000001E-2</v>
      </c>
      <c r="N34" s="173">
        <v>0.37514320519767774</v>
      </c>
      <c r="O34" s="192">
        <v>3502.9172331077216</v>
      </c>
      <c r="P34" s="191">
        <f t="shared" si="5"/>
        <v>-4.3999999999999997E-2</v>
      </c>
      <c r="Q34" s="191">
        <f t="shared" si="6"/>
        <v>-0.17514320519767773</v>
      </c>
      <c r="R34" s="193">
        <f t="shared" si="7"/>
        <v>-3141.4151686307578</v>
      </c>
      <c r="S34" s="354"/>
      <c r="T34" s="167"/>
      <c r="U34" s="355"/>
      <c r="V34" s="355"/>
      <c r="W34" s="355"/>
      <c r="X34" s="355"/>
      <c r="Y34" s="355"/>
      <c r="Z34" s="445">
        <f>VLOOKUP(A34,'Ref-Data'!$A:$F,6,FALSE)</f>
        <v>2.3655030800821355</v>
      </c>
      <c r="AA34" s="390">
        <f>IF('Ref-Data'!$Z$2="ON",VLOOKUP('Data Summary'!A34,'MacroPD-Cal'!$A:$O,15,FALSE),IF('Ref-Data'!$Z$5="Baseline",VLOOKUP(A34,'Model Output_TTC'!$A:$AU,47,FALSE),IF('Ref-Data'!$Z$5="90th Percentile",VLOOKUP(A34,'Model Output_TTC'!$A:$BP,68,FALSE),IF('Ref-Data'!$Z$5="96th Percentile",VLOOKUP('Data Summary'!A34,'Model Output_TTC'!$A:$Z,26,FALSE),""))))</f>
        <v>6.8000000000000005E-3</v>
      </c>
    </row>
    <row r="35" spans="1:27" s="166" customFormat="1" x14ac:dyDescent="0.25">
      <c r="A35" s="279">
        <v>1200000131</v>
      </c>
      <c r="B35" s="167" t="str">
        <f>VLOOKUP(A35,'Ref-Data'!A:AD,30,FALSE)</f>
        <v>NINE GATWICK HOTEL LIMITED</v>
      </c>
      <c r="C35" s="190">
        <f>VLOOKUP('Data Summary'!$A35,'Ref-Data'!$A:$U,2,FALSE)</f>
        <v>4262424.9000000004</v>
      </c>
      <c r="D35" s="190">
        <f>VLOOKUP(A35,'Ref-Data'!A:C,3,FALSE)</f>
        <v>4262424.9000000004</v>
      </c>
      <c r="E35" s="190">
        <f>VLOOKUP('Data Summary'!$A35,'Ref-Data'!$A:$U,15,FALSE)</f>
        <v>0</v>
      </c>
      <c r="F35" s="226">
        <f>VLOOKUP('Data Summary'!$A35,'Ref-Data'!$A:$U,12,FALSE)</f>
        <v>1.4400000000000001E-2</v>
      </c>
      <c r="G35" s="226">
        <f>VLOOKUP('Data Summary'!$A35,'Ref-Data'!$A:$U,14,FALSE)</f>
        <v>0.15</v>
      </c>
      <c r="H35" s="190">
        <f>VLOOKUP(A35,'Code Results'!A:B,2,FALSE)</f>
        <v>8992.3257085140995</v>
      </c>
      <c r="I35" s="190">
        <f>IFERROR(VLOOKUP($A35,'Code Results'!$A:$C,13,FALSE),VLOOKUP('Data Summary'!$A35,'Ref-Data'!$A:$U,18,FALSE))</f>
        <v>0</v>
      </c>
      <c r="J35" s="190">
        <f t="shared" si="4"/>
        <v>8992.3257085140995</v>
      </c>
      <c r="K35" s="167" t="s">
        <v>1156</v>
      </c>
      <c r="L35" s="190">
        <f>VLOOKUP(A35, 'Ref-Data'!$A:$I,9,FALSE)</f>
        <v>1</v>
      </c>
      <c r="M35" s="173">
        <v>4.7500000000000001E-2</v>
      </c>
      <c r="N35" s="173">
        <v>0.37514320519767774</v>
      </c>
      <c r="O35" s="192">
        <v>3502.9172331077216</v>
      </c>
      <c r="P35" s="191">
        <f t="shared" si="5"/>
        <v>-3.3099999999999997E-2</v>
      </c>
      <c r="Q35" s="191">
        <f t="shared" si="6"/>
        <v>-0.22514320519767775</v>
      </c>
      <c r="R35" s="193">
        <f t="shared" si="7"/>
        <v>5489.4084754063779</v>
      </c>
      <c r="S35" s="354"/>
      <c r="T35" s="167"/>
      <c r="U35" s="355"/>
      <c r="V35" s="355"/>
      <c r="W35" s="355"/>
      <c r="X35" s="355"/>
      <c r="Y35" s="355"/>
      <c r="Z35" s="445">
        <f>VLOOKUP(A35,'Ref-Data'!$A:$F,6,FALSE)</f>
        <v>4.0027378507871321</v>
      </c>
      <c r="AA35" s="390">
        <f>IF('Ref-Data'!$Z$2="ON",VLOOKUP('Data Summary'!A35,'MacroPD-Cal'!$A:$O,15,FALSE),IF('Ref-Data'!$Z$5="Baseline",VLOOKUP(A35,'Model Output_TTC'!$A:$AU,47,FALSE),IF('Ref-Data'!$Z$5="90th Percentile",VLOOKUP(A35,'Model Output_TTC'!$A:$BP,68,FALSE),IF('Ref-Data'!$Z$5="96th Percentile",VLOOKUP('Data Summary'!A35,'Model Output_TTC'!$A:$Z,26,FALSE),""))))</f>
        <v>4.5400000000000003E-2</v>
      </c>
    </row>
    <row r="36" spans="1:27" s="166" customFormat="1" x14ac:dyDescent="0.25">
      <c r="A36" s="279">
        <v>1200000149</v>
      </c>
      <c r="B36" s="167" t="str">
        <f>VLOOKUP(A36,'Ref-Data'!A:AD,30,FALSE)</f>
        <v>INCEPTION VENTURES GROUP LIMITED &amp; BEDFORD STREET BAR TRADING LIMITED &amp; NEWMAN STREET BAR TRADING LIMITED &amp; BROADGATE CIRCLE  BAR TRADING LIMITED</v>
      </c>
      <c r="C36" s="190">
        <f>VLOOKUP('Data Summary'!$A36,'Ref-Data'!$A:$U,2,FALSE)</f>
        <v>998648</v>
      </c>
      <c r="D36" s="190">
        <f>VLOOKUP(A36,'Ref-Data'!A:C,3,FALSE)</f>
        <v>998648</v>
      </c>
      <c r="E36" s="190">
        <f>VLOOKUP('Data Summary'!$A36,'Ref-Data'!$A:$U,15,FALSE)</f>
        <v>0</v>
      </c>
      <c r="F36" s="226">
        <f>VLOOKUP('Data Summary'!$A36,'Ref-Data'!$A:$U,12,FALSE)</f>
        <v>1.03E-2</v>
      </c>
      <c r="G36" s="226">
        <f>VLOOKUP('Data Summary'!$A36,'Ref-Data'!$A:$U,14,FALSE)</f>
        <v>0.2</v>
      </c>
      <c r="H36" s="190">
        <f>VLOOKUP(A36,'Code Results'!A:B,2,FALSE)</f>
        <v>1918.52249801779</v>
      </c>
      <c r="I36" s="190">
        <f>IFERROR(VLOOKUP($A36,'Code Results'!$A:$C,13,FALSE),VLOOKUP('Data Summary'!$A36,'Ref-Data'!$A:$U,18,FALSE))</f>
        <v>0</v>
      </c>
      <c r="J36" s="190">
        <f t="shared" si="4"/>
        <v>1918.52249801779</v>
      </c>
      <c r="K36" s="167" t="s">
        <v>1156</v>
      </c>
      <c r="L36" s="190">
        <f>VLOOKUP(A36, 'Ref-Data'!$A:$I,9,FALSE)</f>
        <v>1</v>
      </c>
      <c r="M36" s="173">
        <v>4.7500000000000001E-2</v>
      </c>
      <c r="N36" s="173">
        <v>0.37514320519767774</v>
      </c>
      <c r="O36" s="192">
        <v>3502.9172331077216</v>
      </c>
      <c r="P36" s="191">
        <f t="shared" si="5"/>
        <v>-3.7199999999999997E-2</v>
      </c>
      <c r="Q36" s="191">
        <f t="shared" si="6"/>
        <v>-0.17514320519767773</v>
      </c>
      <c r="R36" s="193">
        <f t="shared" si="7"/>
        <v>-1584.3947350899316</v>
      </c>
      <c r="S36" s="354"/>
      <c r="T36" s="167"/>
      <c r="U36" s="355"/>
      <c r="V36" s="355"/>
      <c r="W36" s="355"/>
      <c r="X36" s="355"/>
      <c r="Y36" s="355"/>
      <c r="Z36" s="445">
        <f>VLOOKUP(A36,'Ref-Data'!$A:$F,6,FALSE)</f>
        <v>4.046543463381246</v>
      </c>
      <c r="AA36" s="390">
        <f>IF('Ref-Data'!$Z$2="ON",VLOOKUP('Data Summary'!A36,'MacroPD-Cal'!$A:$O,15,FALSE),IF('Ref-Data'!$Z$5="Baseline",VLOOKUP(A36,'Model Output_TTC'!$A:$AU,47,FALSE),IF('Ref-Data'!$Z$5="90th Percentile",VLOOKUP(A36,'Model Output_TTC'!$A:$BP,68,FALSE),IF('Ref-Data'!$Z$5="96th Percentile",VLOOKUP('Data Summary'!A36,'Model Output_TTC'!$A:$Z,26,FALSE),""))))</f>
        <v>3.5099999999999999E-2</v>
      </c>
    </row>
    <row r="37" spans="1:27" s="166" customFormat="1" x14ac:dyDescent="0.25">
      <c r="A37" s="279">
        <v>1200000148</v>
      </c>
      <c r="B37" s="167" t="str">
        <f>VLOOKUP(A37,'Ref-Data'!A:AD,30,FALSE)</f>
        <v>INCEPTION VENTURES GROUP LIMITED &amp; BEDFORD STREET BAR TRADING LIMITED &amp; NEWMAN STREET BAR TRADING LIMITED &amp; BROADGATE CIRCLE  BAR TRADING LIMITED</v>
      </c>
      <c r="C37" s="190">
        <f>VLOOKUP('Data Summary'!$A37,'Ref-Data'!$A:$U,2,FALSE)</f>
        <v>2000000</v>
      </c>
      <c r="D37" s="190">
        <f>VLOOKUP(A37,'Ref-Data'!A:C,3,FALSE)</f>
        <v>2000000</v>
      </c>
      <c r="E37" s="190">
        <f>VLOOKUP('Data Summary'!$A37,'Ref-Data'!$A:$U,15,FALSE)</f>
        <v>0</v>
      </c>
      <c r="F37" s="226">
        <f>VLOOKUP('Data Summary'!$A37,'Ref-Data'!$A:$U,12,FALSE)</f>
        <v>1.03E-2</v>
      </c>
      <c r="G37" s="226">
        <f>VLOOKUP('Data Summary'!$A37,'Ref-Data'!$A:$U,14,FALSE)</f>
        <v>0.2</v>
      </c>
      <c r="H37" s="190">
        <f>VLOOKUP(A37,'Code Results'!A:B,2,FALSE)</f>
        <v>3970.4825386981902</v>
      </c>
      <c r="I37" s="190">
        <f>IFERROR(VLOOKUP($A37,'Code Results'!$A:$C,13,FALSE),VLOOKUP('Data Summary'!$A37,'Ref-Data'!$A:$U,18,FALSE))</f>
        <v>0</v>
      </c>
      <c r="J37" s="190">
        <f t="shared" si="4"/>
        <v>3970.4825386981902</v>
      </c>
      <c r="K37" s="167" t="s">
        <v>1156</v>
      </c>
      <c r="L37" s="190">
        <f>VLOOKUP(A37, 'Ref-Data'!$A:$I,9,FALSE)</f>
        <v>1</v>
      </c>
      <c r="M37" s="173">
        <v>4.7500000000000001E-2</v>
      </c>
      <c r="N37" s="173">
        <v>0.37514320519767774</v>
      </c>
      <c r="O37" s="192">
        <v>3502.9172331077216</v>
      </c>
      <c r="P37" s="191">
        <f t="shared" si="5"/>
        <v>-3.7199999999999997E-2</v>
      </c>
      <c r="Q37" s="191">
        <f t="shared" si="6"/>
        <v>-0.17514320519767773</v>
      </c>
      <c r="R37" s="193">
        <f t="shared" si="7"/>
        <v>467.5653055904686</v>
      </c>
      <c r="S37" s="354"/>
      <c r="T37" s="167"/>
      <c r="U37" s="355"/>
      <c r="V37" s="355"/>
      <c r="W37" s="355"/>
      <c r="X37" s="355"/>
      <c r="Y37" s="355"/>
      <c r="Z37" s="445">
        <f>VLOOKUP(A37,'Ref-Data'!$A:$F,6,FALSE)</f>
        <v>4.046543463381246</v>
      </c>
      <c r="AA37" s="390">
        <f>IF('Ref-Data'!$Z$2="ON",VLOOKUP('Data Summary'!A37,'MacroPD-Cal'!$A:$O,15,FALSE),IF('Ref-Data'!$Z$5="Baseline",VLOOKUP(A37,'Model Output_TTC'!$A:$AU,47,FALSE),IF('Ref-Data'!$Z$5="90th Percentile",VLOOKUP(A37,'Model Output_TTC'!$A:$BP,68,FALSE),IF('Ref-Data'!$Z$5="96th Percentile",VLOOKUP('Data Summary'!A37,'Model Output_TTC'!$A:$Z,26,FALSE),""))))</f>
        <v>3.5099999999999999E-2</v>
      </c>
    </row>
    <row r="38" spans="1:27" s="166" customFormat="1" x14ac:dyDescent="0.25">
      <c r="A38" s="279">
        <v>1200000125</v>
      </c>
      <c r="B38" s="167" t="str">
        <f>VLOOKUP(A38,'Ref-Data'!A:AD,30,FALSE)</f>
        <v>DAISY GREEN FOOD LIMITED</v>
      </c>
      <c r="C38" s="190">
        <f>VLOOKUP('Data Summary'!$A38,'Ref-Data'!$A:$U,2,FALSE)</f>
        <v>980000</v>
      </c>
      <c r="D38" s="190">
        <f>VLOOKUP(A38,'Ref-Data'!A:C,3,FALSE)</f>
        <v>980000</v>
      </c>
      <c r="E38" s="190">
        <f>VLOOKUP('Data Summary'!$A38,'Ref-Data'!$A:$U,15,FALSE)</f>
        <v>0</v>
      </c>
      <c r="F38" s="226">
        <f>VLOOKUP('Data Summary'!$A38,'Ref-Data'!$A:$U,12,FALSE)</f>
        <v>1.9599999999999999E-2</v>
      </c>
      <c r="G38" s="226">
        <f>VLOOKUP('Data Summary'!$A38,'Ref-Data'!$A:$U,14,FALSE)</f>
        <v>0.44259999999999999</v>
      </c>
      <c r="H38" s="190">
        <f>VLOOKUP(A38,'Code Results'!A:B,2,FALSE)</f>
        <v>8250.3718681712107</v>
      </c>
      <c r="I38" s="190">
        <f>IFERROR(VLOOKUP($A38,'Code Results'!$A:$C,13,FALSE),VLOOKUP('Data Summary'!$A38,'Ref-Data'!$A:$U,18,FALSE))</f>
        <v>0</v>
      </c>
      <c r="J38" s="190">
        <f t="shared" si="4"/>
        <v>8250.3718681712107</v>
      </c>
      <c r="K38" s="167" t="s">
        <v>1156</v>
      </c>
      <c r="L38" s="190">
        <f>VLOOKUP(A38, 'Ref-Data'!$A:$I,9,FALSE)</f>
        <v>1</v>
      </c>
      <c r="M38" s="173">
        <v>4.7500000000000001E-2</v>
      </c>
      <c r="N38" s="173">
        <v>0.37514320519767774</v>
      </c>
      <c r="O38" s="192">
        <v>3502.9172331077216</v>
      </c>
      <c r="P38" s="191">
        <f t="shared" si="5"/>
        <v>-2.7900000000000001E-2</v>
      </c>
      <c r="Q38" s="191">
        <f t="shared" si="6"/>
        <v>6.7456794802322251E-2</v>
      </c>
      <c r="R38" s="193">
        <f t="shared" si="7"/>
        <v>4747.4546350634891</v>
      </c>
      <c r="S38" s="354"/>
      <c r="T38" s="167"/>
      <c r="U38" s="355"/>
      <c r="V38" s="355"/>
      <c r="W38" s="355"/>
      <c r="X38" s="355"/>
      <c r="Y38" s="355"/>
      <c r="Z38" s="445">
        <f>VLOOKUP(A38,'Ref-Data'!$A:$F,6,FALSE)</f>
        <v>3.0061601642710474</v>
      </c>
      <c r="AA38" s="390">
        <f>IF('Ref-Data'!$Z$2="ON",VLOOKUP('Data Summary'!A38,'MacroPD-Cal'!$A:$O,15,FALSE),IF('Ref-Data'!$Z$5="Baseline",VLOOKUP(A38,'Model Output_TTC'!$A:$AU,47,FALSE),IF('Ref-Data'!$Z$5="90th Percentile",VLOOKUP(A38,'Model Output_TTC'!$A:$BP,68,FALSE),IF('Ref-Data'!$Z$5="96th Percentile",VLOOKUP('Data Summary'!A38,'Model Output_TTC'!$A:$Z,26,FALSE),""))))</f>
        <v>5.2600000000000001E-2</v>
      </c>
    </row>
    <row r="39" spans="1:27" s="166" customFormat="1" x14ac:dyDescent="0.25">
      <c r="A39" s="279">
        <v>1200000124</v>
      </c>
      <c r="B39" s="167" t="str">
        <f>VLOOKUP(A39,'Ref-Data'!A:AD,30,FALSE)</f>
        <v>DAISY GREEN FOOD LIMITED</v>
      </c>
      <c r="C39" s="190">
        <f>VLOOKUP('Data Summary'!$A39,'Ref-Data'!$A:$U,2,FALSE)</f>
        <v>750000</v>
      </c>
      <c r="D39" s="190">
        <f>VLOOKUP(A39,'Ref-Data'!A:C,3,FALSE)</f>
        <v>750000</v>
      </c>
      <c r="E39" s="190">
        <f>VLOOKUP('Data Summary'!$A39,'Ref-Data'!$A:$U,15,FALSE)</f>
        <v>0</v>
      </c>
      <c r="F39" s="226">
        <f>VLOOKUP('Data Summary'!$A39,'Ref-Data'!$A:$U,12,FALSE)</f>
        <v>1.9599999999999999E-2</v>
      </c>
      <c r="G39" s="226">
        <f>VLOOKUP('Data Summary'!$A39,'Ref-Data'!$A:$U,14,FALSE)</f>
        <v>0.44259999999999999</v>
      </c>
      <c r="H39" s="190">
        <f>VLOOKUP(A39,'Code Results'!A:B,2,FALSE)</f>
        <v>6323.8966273768501</v>
      </c>
      <c r="I39" s="190">
        <f>IFERROR(VLOOKUP($A39,'Code Results'!$A:$C,13,FALSE),VLOOKUP('Data Summary'!$A39,'Ref-Data'!$A:$U,18,FALSE))</f>
        <v>0</v>
      </c>
      <c r="J39" s="190">
        <f t="shared" si="4"/>
        <v>6323.8966273768501</v>
      </c>
      <c r="K39" s="167" t="s">
        <v>1156</v>
      </c>
      <c r="L39" s="190">
        <f>VLOOKUP(A39, 'Ref-Data'!$A:$I,9,FALSE)</f>
        <v>1</v>
      </c>
      <c r="M39" s="173">
        <v>4.7500000000000001E-2</v>
      </c>
      <c r="N39" s="173">
        <v>0.37514320519767774</v>
      </c>
      <c r="O39" s="192">
        <v>3502.9172331077216</v>
      </c>
      <c r="P39" s="191">
        <f t="shared" si="5"/>
        <v>-2.7900000000000001E-2</v>
      </c>
      <c r="Q39" s="191">
        <f t="shared" si="6"/>
        <v>6.7456794802322251E-2</v>
      </c>
      <c r="R39" s="193">
        <f t="shared" si="7"/>
        <v>2820.9793942691285</v>
      </c>
      <c r="S39" s="354"/>
      <c r="T39" s="167"/>
      <c r="U39" s="355"/>
      <c r="V39" s="355"/>
      <c r="W39" s="355"/>
      <c r="X39" s="355"/>
      <c r="Y39" s="355"/>
      <c r="Z39" s="445">
        <f>VLOOKUP(A39,'Ref-Data'!$A:$F,6,FALSE)</f>
        <v>3.0061601642710474</v>
      </c>
      <c r="AA39" s="390">
        <f>IF('Ref-Data'!$Z$2="ON",VLOOKUP('Data Summary'!A39,'MacroPD-Cal'!$A:$O,15,FALSE),IF('Ref-Data'!$Z$5="Baseline",VLOOKUP(A39,'Model Output_TTC'!$A:$AU,47,FALSE),IF('Ref-Data'!$Z$5="90th Percentile",VLOOKUP(A39,'Model Output_TTC'!$A:$BP,68,FALSE),IF('Ref-Data'!$Z$5="96th Percentile",VLOOKUP('Data Summary'!A39,'Model Output_TTC'!$A:$Z,26,FALSE),""))))</f>
        <v>5.2600000000000001E-2</v>
      </c>
    </row>
    <row r="40" spans="1:27" s="166" customFormat="1" x14ac:dyDescent="0.25">
      <c r="A40" s="279">
        <v>1200000127</v>
      </c>
      <c r="B40" s="167" t="str">
        <f>VLOOKUP(A40,'Ref-Data'!A:AD,30,FALSE)</f>
        <v>DAISY GREEN FOOD LIMITED</v>
      </c>
      <c r="C40" s="190">
        <f>VLOOKUP('Data Summary'!$A40,'Ref-Data'!$A:$U,2,FALSE)</f>
        <v>902500</v>
      </c>
      <c r="D40" s="190">
        <f>VLOOKUP(A40,'Ref-Data'!A:C,3,FALSE)</f>
        <v>902500</v>
      </c>
      <c r="E40" s="190">
        <f>VLOOKUP('Data Summary'!$A40,'Ref-Data'!$A:$U,15,FALSE)</f>
        <v>0</v>
      </c>
      <c r="F40" s="226">
        <f>VLOOKUP('Data Summary'!$A40,'Ref-Data'!$A:$U,12,FALSE)</f>
        <v>1.9599999999999999E-2</v>
      </c>
      <c r="G40" s="226">
        <f>VLOOKUP('Data Summary'!$A40,'Ref-Data'!$A:$U,14,FALSE)</f>
        <v>0.44259999999999999</v>
      </c>
      <c r="H40" s="190">
        <f>VLOOKUP(A40,'Code Results'!A:B,2,FALSE)</f>
        <v>7602.6150420724698</v>
      </c>
      <c r="I40" s="190">
        <f>IFERROR(VLOOKUP($A40,'Code Results'!$A:$C,13,FALSE),VLOOKUP('Data Summary'!$A40,'Ref-Data'!$A:$U,18,FALSE))</f>
        <v>0</v>
      </c>
      <c r="J40" s="190">
        <f t="shared" si="4"/>
        <v>7602.6150420724698</v>
      </c>
      <c r="K40" s="167" t="s">
        <v>1156</v>
      </c>
      <c r="L40" s="190">
        <f>VLOOKUP(A40, 'Ref-Data'!$A:$I,9,FALSE)</f>
        <v>1</v>
      </c>
      <c r="M40" s="173">
        <v>4.7500000000000001E-2</v>
      </c>
      <c r="N40" s="173">
        <v>0.37514320519767774</v>
      </c>
      <c r="O40" s="192">
        <v>3502.9172331077216</v>
      </c>
      <c r="P40" s="191">
        <f t="shared" si="5"/>
        <v>-2.7900000000000001E-2</v>
      </c>
      <c r="Q40" s="191">
        <f t="shared" si="6"/>
        <v>6.7456794802322251E-2</v>
      </c>
      <c r="R40" s="193">
        <f t="shared" si="7"/>
        <v>4099.6978089647482</v>
      </c>
      <c r="S40" s="354"/>
      <c r="T40" s="167"/>
      <c r="U40" s="355"/>
      <c r="V40" s="355"/>
      <c r="W40" s="355"/>
      <c r="X40" s="355"/>
      <c r="Y40" s="355"/>
      <c r="Z40" s="445">
        <f>VLOOKUP(A40,'Ref-Data'!$A:$F,6,FALSE)</f>
        <v>3.0061601642710474</v>
      </c>
      <c r="AA40" s="390">
        <f>IF('Ref-Data'!$Z$2="ON",VLOOKUP('Data Summary'!A40,'MacroPD-Cal'!$A:$O,15,FALSE),IF('Ref-Data'!$Z$5="Baseline",VLOOKUP(A40,'Model Output_TTC'!$A:$AU,47,FALSE),IF('Ref-Data'!$Z$5="90th Percentile",VLOOKUP(A40,'Model Output_TTC'!$A:$BP,68,FALSE),IF('Ref-Data'!$Z$5="96th Percentile",VLOOKUP('Data Summary'!A40,'Model Output_TTC'!$A:$Z,26,FALSE),""))))</f>
        <v>5.2600000000000001E-2</v>
      </c>
    </row>
    <row r="41" spans="1:27" s="166" customFormat="1" x14ac:dyDescent="0.25">
      <c r="A41" s="279">
        <v>1200000132</v>
      </c>
      <c r="B41" s="167" t="str">
        <f>VLOOKUP(A41,'Ref-Data'!A:AD,30,FALSE)</f>
        <v>SBH PARK HOLDING LIMITED</v>
      </c>
      <c r="C41" s="190">
        <f>VLOOKUP('Data Summary'!$A41,'Ref-Data'!$A:$U,2,FALSE)</f>
        <v>3634267.09</v>
      </c>
      <c r="D41" s="190">
        <f>VLOOKUP(A41,'Ref-Data'!A:C,3,FALSE)</f>
        <v>3634267.09</v>
      </c>
      <c r="E41" s="190">
        <f>VLOOKUP('Data Summary'!$A41,'Ref-Data'!$A:$U,15,FALSE)</f>
        <v>0</v>
      </c>
      <c r="F41" s="226">
        <f>VLOOKUP('Data Summary'!$A41,'Ref-Data'!$A:$U,12,FALSE)</f>
        <v>0.1885</v>
      </c>
      <c r="G41" s="226">
        <f>VLOOKUP('Data Summary'!$A41,'Ref-Data'!$A:$U,14,FALSE)</f>
        <v>0.15373995174733182</v>
      </c>
      <c r="H41" s="190">
        <f>VLOOKUP(A41,'Code Results'!A:B,2,FALSE)</f>
        <v>103290.94019281599</v>
      </c>
      <c r="I41" s="190">
        <f>IFERROR(VLOOKUP($A41,'Code Results'!$A:$C,13,FALSE),VLOOKUP('Data Summary'!$A41,'Ref-Data'!$A:$U,18,FALSE))</f>
        <v>0</v>
      </c>
      <c r="J41" s="190">
        <f t="shared" si="4"/>
        <v>103290.94019281599</v>
      </c>
      <c r="K41" s="167" t="s">
        <v>1156</v>
      </c>
      <c r="L41" s="190">
        <f>VLOOKUP(A41, 'Ref-Data'!$A:$I,9,FALSE)</f>
        <v>1</v>
      </c>
      <c r="M41" s="173">
        <v>4.7500000000000001E-2</v>
      </c>
      <c r="N41" s="173">
        <v>0.37514320519767774</v>
      </c>
      <c r="O41" s="192">
        <v>3502.9172331077216</v>
      </c>
      <c r="P41" s="191">
        <f t="shared" si="5"/>
        <v>0.14100000000000001</v>
      </c>
      <c r="Q41" s="191">
        <f t="shared" si="6"/>
        <v>-0.22140325345034592</v>
      </c>
      <c r="R41" s="193">
        <f t="shared" si="7"/>
        <v>99788.022959708265</v>
      </c>
      <c r="S41" s="354"/>
      <c r="T41" s="167"/>
      <c r="U41" s="355"/>
      <c r="V41" s="355"/>
      <c r="W41" s="355"/>
      <c r="X41" s="355"/>
      <c r="Y41" s="355"/>
      <c r="Z41" s="445">
        <f>VLOOKUP(A41,'Ref-Data'!$A:$F,6,FALSE)</f>
        <v>4.0793976728268309</v>
      </c>
      <c r="AA41" s="390">
        <f>IF('Ref-Data'!$Z$2="ON",VLOOKUP('Data Summary'!A41,'MacroPD-Cal'!$A:$O,15,FALSE),IF('Ref-Data'!$Z$5="Baseline",VLOOKUP(A41,'Model Output_TTC'!$A:$AU,47,FALSE),IF('Ref-Data'!$Z$5="90th Percentile",VLOOKUP(A41,'Model Output_TTC'!$A:$BP,68,FALSE),IF('Ref-Data'!$Z$5="96th Percentile",VLOOKUP('Data Summary'!A41,'Model Output_TTC'!$A:$Z,26,FALSE),""))))</f>
        <v>0.52690000000000003</v>
      </c>
    </row>
    <row r="42" spans="1:27" s="166" customFormat="1" x14ac:dyDescent="0.25">
      <c r="A42" s="279">
        <v>1200000133</v>
      </c>
      <c r="B42" s="167" t="str">
        <f>VLOOKUP(A42,'Ref-Data'!A:AD,30,FALSE)</f>
        <v>LEISURE AND HOTEL INVESTMENTS LIMITED AND BIKE AND BOOT INNS LIMITED</v>
      </c>
      <c r="C42" s="190">
        <f>VLOOKUP('Data Summary'!$A42,'Ref-Data'!$A:$U,2,FALSE)</f>
        <v>500000</v>
      </c>
      <c r="D42" s="190">
        <f>VLOOKUP(A42,'Ref-Data'!A:C,3,FALSE)</f>
        <v>500000</v>
      </c>
      <c r="E42" s="190">
        <f>VLOOKUP('Data Summary'!$A42,'Ref-Data'!$A:$U,15,FALSE)</f>
        <v>0</v>
      </c>
      <c r="F42" s="226">
        <f>VLOOKUP('Data Summary'!$A42,'Ref-Data'!$A:$U,12,FALSE)</f>
        <v>8.7000000000000011E-3</v>
      </c>
      <c r="G42" s="226">
        <f>VLOOKUP('Data Summary'!$A42,'Ref-Data'!$A:$U,14,FALSE)</f>
        <v>0.15</v>
      </c>
      <c r="H42" s="190">
        <f>VLOOKUP(A42,'Code Results'!A:B,2,FALSE)</f>
        <v>635.46841712867695</v>
      </c>
      <c r="I42" s="190">
        <f>IFERROR(VLOOKUP($A42,'Code Results'!$A:$C,13,FALSE),VLOOKUP('Data Summary'!$A42,'Ref-Data'!$A:$U,18,FALSE))</f>
        <v>0</v>
      </c>
      <c r="J42" s="190">
        <f t="shared" si="4"/>
        <v>635.46841712867695</v>
      </c>
      <c r="K42" s="167" t="s">
        <v>1156</v>
      </c>
      <c r="L42" s="190">
        <f>VLOOKUP(A42, 'Ref-Data'!$A:$I,9,FALSE)</f>
        <v>1</v>
      </c>
      <c r="M42" s="173">
        <v>4.7500000000000001E-2</v>
      </c>
      <c r="N42" s="173">
        <v>0.37514320519767774</v>
      </c>
      <c r="O42" s="192">
        <v>3502.9172331077216</v>
      </c>
      <c r="P42" s="191">
        <f t="shared" si="5"/>
        <v>-3.8800000000000001E-2</v>
      </c>
      <c r="Q42" s="191">
        <f t="shared" si="6"/>
        <v>-0.22514320519767775</v>
      </c>
      <c r="R42" s="193">
        <f t="shared" si="7"/>
        <v>-2867.4488159790444</v>
      </c>
      <c r="S42" s="354"/>
      <c r="T42" s="167"/>
      <c r="U42" s="355"/>
      <c r="V42" s="355"/>
      <c r="W42" s="355"/>
      <c r="X42" s="355"/>
      <c r="Y42" s="355"/>
      <c r="Z42" s="445">
        <f>VLOOKUP(A42,'Ref-Data'!$A:$F,6,FALSE)</f>
        <v>4.0821355236139629</v>
      </c>
      <c r="AA42" s="390">
        <f>IF('Ref-Data'!$Z$2="ON",VLOOKUP('Data Summary'!A42,'MacroPD-Cal'!$A:$O,15,FALSE),IF('Ref-Data'!$Z$5="Baseline",VLOOKUP(A42,'Model Output_TTC'!$A:$AU,47,FALSE),IF('Ref-Data'!$Z$5="90th Percentile",VLOOKUP(A42,'Model Output_TTC'!$A:$BP,68,FALSE),IF('Ref-Data'!$Z$5="96th Percentile",VLOOKUP('Data Summary'!A42,'Model Output_TTC'!$A:$Z,26,FALSE),""))))</f>
        <v>3.7100000000000001E-2</v>
      </c>
    </row>
    <row r="43" spans="1:27" s="166" customFormat="1" x14ac:dyDescent="0.25">
      <c r="A43" s="279">
        <v>1200000134</v>
      </c>
      <c r="B43" s="167" t="str">
        <f>VLOOKUP(A43,'Ref-Data'!A:AD,30,FALSE)</f>
        <v>LEISURE AND HOTEL INVESTMENTS LIMITED AND BIKE AND BOOT INNS LIMITED</v>
      </c>
      <c r="C43" s="190">
        <f>VLOOKUP('Data Summary'!$A43,'Ref-Data'!$A:$U,2,FALSE)</f>
        <v>487998.51</v>
      </c>
      <c r="D43" s="190">
        <f>VLOOKUP(A43,'Ref-Data'!A:C,3,FALSE)</f>
        <v>487998.51</v>
      </c>
      <c r="E43" s="190">
        <f>VLOOKUP('Data Summary'!$A43,'Ref-Data'!$A:$U,15,FALSE)</f>
        <v>0</v>
      </c>
      <c r="F43" s="226">
        <f>VLOOKUP('Data Summary'!$A43,'Ref-Data'!$A:$U,12,FALSE)</f>
        <v>8.7000000000000011E-3</v>
      </c>
      <c r="G43" s="226">
        <f>VLOOKUP('Data Summary'!$A43,'Ref-Data'!$A:$U,14,FALSE)</f>
        <v>0.15</v>
      </c>
      <c r="H43" s="190">
        <f>VLOOKUP(A43,'Code Results'!A:B,2,FALSE)</f>
        <v>620.21529407904598</v>
      </c>
      <c r="I43" s="190">
        <f>IFERROR(VLOOKUP($A43,'Code Results'!$A:$C,13,FALSE),VLOOKUP('Data Summary'!$A43,'Ref-Data'!$A:$U,18,FALSE))</f>
        <v>0</v>
      </c>
      <c r="J43" s="190">
        <f t="shared" si="4"/>
        <v>620.21529407904598</v>
      </c>
      <c r="K43" s="167" t="s">
        <v>1156</v>
      </c>
      <c r="L43" s="190">
        <f>VLOOKUP(A43, 'Ref-Data'!$A:$I,9,FALSE)</f>
        <v>1</v>
      </c>
      <c r="M43" s="173">
        <v>4.7500000000000001E-2</v>
      </c>
      <c r="N43" s="173">
        <v>0.37514320519767774</v>
      </c>
      <c r="O43" s="192">
        <v>3502.9172331077216</v>
      </c>
      <c r="P43" s="191">
        <f t="shared" si="5"/>
        <v>-3.8800000000000001E-2</v>
      </c>
      <c r="Q43" s="191">
        <f t="shared" si="6"/>
        <v>-0.22514320519767775</v>
      </c>
      <c r="R43" s="193">
        <f t="shared" si="7"/>
        <v>-2882.7019390286755</v>
      </c>
      <c r="S43" s="354"/>
      <c r="T43" s="167"/>
      <c r="U43" s="355"/>
      <c r="V43" s="355"/>
      <c r="W43" s="355"/>
      <c r="X43" s="355"/>
      <c r="Y43" s="355"/>
      <c r="Z43" s="445">
        <f>VLOOKUP(A43,'Ref-Data'!$A:$F,6,FALSE)</f>
        <v>4.0821355236139629</v>
      </c>
      <c r="AA43" s="390">
        <f>IF('Ref-Data'!$Z$2="ON",VLOOKUP('Data Summary'!A43,'MacroPD-Cal'!$A:$O,15,FALSE),IF('Ref-Data'!$Z$5="Baseline",VLOOKUP(A43,'Model Output_TTC'!$A:$AU,47,FALSE),IF('Ref-Data'!$Z$5="90th Percentile",VLOOKUP(A43,'Model Output_TTC'!$A:$BP,68,FALSE),IF('Ref-Data'!$Z$5="96th Percentile",VLOOKUP('Data Summary'!A43,'Model Output_TTC'!$A:$Z,26,FALSE),""))))</f>
        <v>3.7100000000000001E-2</v>
      </c>
    </row>
    <row r="44" spans="1:27" s="166" customFormat="1" x14ac:dyDescent="0.25">
      <c r="A44" s="279">
        <v>1200000157</v>
      </c>
      <c r="B44" s="167" t="str">
        <f>VLOOKUP(A44,'Ref-Data'!A:AD,30,FALSE)</f>
        <v>OTTOLENGHI LIMITED</v>
      </c>
      <c r="C44" s="190">
        <f>VLOOKUP('Data Summary'!$A44,'Ref-Data'!$A:$U,2,FALSE)</f>
        <v>1882882.88</v>
      </c>
      <c r="D44" s="190">
        <f>VLOOKUP(A44,'Ref-Data'!A:C,3,FALSE)</f>
        <v>1882882.88</v>
      </c>
      <c r="E44" s="190">
        <f>VLOOKUP('Data Summary'!$A44,'Ref-Data'!$A:$U,15,FALSE)</f>
        <v>0</v>
      </c>
      <c r="F44" s="226">
        <f>VLOOKUP('Data Summary'!$A44,'Ref-Data'!$A:$U,12,FALSE)</f>
        <v>1.23E-2</v>
      </c>
      <c r="G44" s="226">
        <f>VLOOKUP('Data Summary'!$A44,'Ref-Data'!$A:$U,14,FALSE)</f>
        <v>0.42970000000000003</v>
      </c>
      <c r="H44" s="190">
        <f>VLOOKUP(A44,'Code Results'!A:B,2,FALSE)</f>
        <v>8046.0539684198202</v>
      </c>
      <c r="I44" s="190">
        <f>IFERROR(VLOOKUP($A44,'Code Results'!$A:$C,13,FALSE),VLOOKUP('Data Summary'!$A44,'Ref-Data'!$A:$U,18,FALSE))</f>
        <v>0</v>
      </c>
      <c r="J44" s="190">
        <f t="shared" si="4"/>
        <v>8046.0539684198202</v>
      </c>
      <c r="K44" s="167" t="s">
        <v>1156</v>
      </c>
      <c r="L44" s="190">
        <f>VLOOKUP(A44, 'Ref-Data'!$A:$I,9,FALSE)</f>
        <v>1</v>
      </c>
      <c r="M44" s="173">
        <v>4.7500000000000001E-2</v>
      </c>
      <c r="N44" s="173">
        <v>0.37514320519767774</v>
      </c>
      <c r="O44" s="192">
        <v>3502.9172331077216</v>
      </c>
      <c r="P44" s="191">
        <f t="shared" si="5"/>
        <v>-3.5200000000000002E-2</v>
      </c>
      <c r="Q44" s="191">
        <f t="shared" si="6"/>
        <v>5.4556794802322284E-2</v>
      </c>
      <c r="R44" s="193">
        <f t="shared" si="7"/>
        <v>4543.1367353120986</v>
      </c>
      <c r="S44" s="354"/>
      <c r="T44" s="167"/>
      <c r="U44" s="355"/>
      <c r="V44" s="355"/>
      <c r="W44" s="355"/>
      <c r="X44" s="355"/>
      <c r="Y44" s="355"/>
      <c r="Z44" s="445">
        <f>VLOOKUP(A44,'Ref-Data'!$A:$F,6,FALSE)</f>
        <v>3.1676933607118412</v>
      </c>
      <c r="AA44" s="390">
        <f>IF('Ref-Data'!$Z$2="ON",VLOOKUP('Data Summary'!A44,'MacroPD-Cal'!$A:$O,15,FALSE),IF('Ref-Data'!$Z$5="Baseline",VLOOKUP(A44,'Model Output_TTC'!$A:$AU,47,FALSE),IF('Ref-Data'!$Z$5="90th Percentile",VLOOKUP(A44,'Model Output_TTC'!$A:$BP,68,FALSE),IF('Ref-Data'!$Z$5="96th Percentile",VLOOKUP('Data Summary'!A44,'Model Output_TTC'!$A:$Z,26,FALSE),""))))</f>
        <v>3.1200000000000002E-2</v>
      </c>
    </row>
    <row r="45" spans="1:27" s="166" customFormat="1" x14ac:dyDescent="0.25">
      <c r="A45" s="279">
        <v>1200000002</v>
      </c>
      <c r="B45" s="167" t="str">
        <f>VLOOKUP(A45,'Ref-Data'!A:AD,30,FALSE)</f>
        <v>STAYCITY INVESTMENTS LIMITED</v>
      </c>
      <c r="C45" s="190">
        <f>VLOOKUP('Data Summary'!$A45,'Ref-Data'!$A:$U,2,FALSE)</f>
        <v>15000000</v>
      </c>
      <c r="D45" s="190">
        <f>VLOOKUP(A45,'Ref-Data'!A:C,3,FALSE)</f>
        <v>15000000</v>
      </c>
      <c r="E45" s="190">
        <f>VLOOKUP('Data Summary'!$A45,'Ref-Data'!$A:$U,15,FALSE)</f>
        <v>0</v>
      </c>
      <c r="F45" s="226">
        <f>VLOOKUP('Data Summary'!$A45,'Ref-Data'!$A:$U,12,FALSE)</f>
        <v>4.7000000000000002E-3</v>
      </c>
      <c r="G45" s="226">
        <f>VLOOKUP('Data Summary'!$A45,'Ref-Data'!$A:$U,14,FALSE)</f>
        <v>0.2</v>
      </c>
      <c r="H45" s="190">
        <f>VLOOKUP(A45,'Code Results'!A:B,2,FALSE)</f>
        <v>13842.822902845201</v>
      </c>
      <c r="I45" s="190">
        <f>IFERROR(VLOOKUP($A45,'Code Results'!$A:$C,13,FALSE),VLOOKUP('Data Summary'!$A45,'Ref-Data'!$A:$U,18,FALSE))</f>
        <v>0</v>
      </c>
      <c r="J45" s="190">
        <f t="shared" si="4"/>
        <v>13842.822902845201</v>
      </c>
      <c r="K45" s="167" t="s">
        <v>1156</v>
      </c>
      <c r="L45" s="190">
        <f>VLOOKUP(A45, 'Ref-Data'!$A:$I,9,FALSE)</f>
        <v>1</v>
      </c>
      <c r="M45" s="173">
        <v>4.7500000000000001E-2</v>
      </c>
      <c r="N45" s="173">
        <v>0.37514320519767774</v>
      </c>
      <c r="O45" s="192">
        <v>3502.9172331077216</v>
      </c>
      <c r="P45" s="191">
        <f t="shared" si="5"/>
        <v>-4.2799999999999998E-2</v>
      </c>
      <c r="Q45" s="191">
        <f t="shared" si="6"/>
        <v>-0.17514320519767773</v>
      </c>
      <c r="R45" s="193">
        <f t="shared" si="7"/>
        <v>10339.90566973748</v>
      </c>
      <c r="S45" s="354"/>
      <c r="T45" s="167"/>
      <c r="U45" s="355"/>
      <c r="V45" s="355"/>
      <c r="W45" s="355"/>
      <c r="X45" s="355"/>
      <c r="Y45" s="355"/>
      <c r="Z45" s="445">
        <f>VLOOKUP(A45,'Ref-Data'!$A:$F,6,FALSE)</f>
        <v>1.1663244353182751</v>
      </c>
      <c r="AA45" s="390">
        <f>IF('Ref-Data'!$Z$2="ON",VLOOKUP('Data Summary'!A45,'MacroPD-Cal'!$A:$O,15,FALSE),IF('Ref-Data'!$Z$5="Baseline",VLOOKUP(A45,'Model Output_TTC'!$A:$AU,47,FALSE),IF('Ref-Data'!$Z$5="90th Percentile",VLOOKUP(A45,'Model Output_TTC'!$A:$BP,68,FALSE),IF('Ref-Data'!$Z$5="96th Percentile",VLOOKUP('Data Summary'!A45,'Model Output_TTC'!$A:$Z,26,FALSE),""))))</f>
        <v>6.8000000000000005E-3</v>
      </c>
    </row>
    <row r="46" spans="1:27" s="166" customFormat="1" x14ac:dyDescent="0.25">
      <c r="A46" s="279">
        <v>1100000225</v>
      </c>
      <c r="B46" s="167" t="str">
        <f>VLOOKUP(A46,'Ref-Data'!A:AD,30,FALSE)</f>
        <v>STAYCITY INVESTMENTS LIMITED</v>
      </c>
      <c r="C46" s="190">
        <f>VLOOKUP('Data Summary'!$A46,'Ref-Data'!$A:$U,2,FALSE)</f>
        <v>15000000</v>
      </c>
      <c r="D46" s="190">
        <f>VLOOKUP(A46,'Ref-Data'!A:C,3,FALSE)</f>
        <v>15000000</v>
      </c>
      <c r="E46" s="190">
        <f>VLOOKUP('Data Summary'!$A46,'Ref-Data'!$A:$U,15,FALSE)</f>
        <v>0</v>
      </c>
      <c r="F46" s="226">
        <f>VLOOKUP('Data Summary'!$A46,'Ref-Data'!$A:$U,12,FALSE)</f>
        <v>4.7000000000000002E-3</v>
      </c>
      <c r="G46" s="226">
        <f>VLOOKUP('Data Summary'!$A46,'Ref-Data'!$A:$U,14,FALSE)</f>
        <v>0.2</v>
      </c>
      <c r="H46" s="190">
        <f>VLOOKUP(A46,'Code Results'!A:B,2,FALSE)</f>
        <v>13842.8228951705</v>
      </c>
      <c r="I46" s="190">
        <f>IFERROR(VLOOKUP($A46,'Code Results'!$A:$C,13,FALSE),VLOOKUP('Data Summary'!$A46,'Ref-Data'!$A:$U,18,FALSE))</f>
        <v>0</v>
      </c>
      <c r="J46" s="190">
        <f t="shared" si="4"/>
        <v>13842.8228951705</v>
      </c>
      <c r="K46" s="167" t="s">
        <v>1156</v>
      </c>
      <c r="L46" s="190">
        <f>VLOOKUP(A46, 'Ref-Data'!$A:$I,9,FALSE)</f>
        <v>1</v>
      </c>
      <c r="M46" s="173">
        <v>4.7500000000000001E-2</v>
      </c>
      <c r="N46" s="173">
        <v>0.37514320519767774</v>
      </c>
      <c r="O46" s="192">
        <v>3502.9172331077216</v>
      </c>
      <c r="P46" s="191">
        <f t="shared" si="5"/>
        <v>-4.2799999999999998E-2</v>
      </c>
      <c r="Q46" s="191">
        <f t="shared" si="6"/>
        <v>-0.17514320519767773</v>
      </c>
      <c r="R46" s="193">
        <f t="shared" si="7"/>
        <v>10339.905662062778</v>
      </c>
      <c r="S46" s="354"/>
      <c r="T46" s="167"/>
      <c r="U46" s="355"/>
      <c r="V46" s="355"/>
      <c r="W46" s="355"/>
      <c r="X46" s="355"/>
      <c r="Y46" s="355"/>
      <c r="Z46" s="445">
        <f>VLOOKUP(A46,'Ref-Data'!$A:$F,6,FALSE)</f>
        <v>1.1663244353182751</v>
      </c>
      <c r="AA46" s="390">
        <f>IF('Ref-Data'!$Z$2="ON",VLOOKUP('Data Summary'!A46,'MacroPD-Cal'!$A:$O,15,FALSE),IF('Ref-Data'!$Z$5="Baseline",VLOOKUP(A46,'Model Output_TTC'!$A:$AU,47,FALSE),IF('Ref-Data'!$Z$5="90th Percentile",VLOOKUP(A46,'Model Output_TTC'!$A:$BP,68,FALSE),IF('Ref-Data'!$Z$5="96th Percentile",VLOOKUP('Data Summary'!A46,'Model Output_TTC'!$A:$Z,26,FALSE),""))))</f>
        <v>6.8000000000000005E-3</v>
      </c>
    </row>
    <row r="47" spans="1:27" s="166" customFormat="1" x14ac:dyDescent="0.25">
      <c r="A47" s="279">
        <v>1100000111</v>
      </c>
      <c r="B47" s="167" t="str">
        <f>VLOOKUP(A47,'Ref-Data'!A:AD,30,FALSE)</f>
        <v>REMSONS HOLDINGS LTD</v>
      </c>
      <c r="C47" s="190">
        <f>VLOOKUP('Data Summary'!$A47,'Ref-Data'!$A:$U,2,FALSE)</f>
        <v>1000000</v>
      </c>
      <c r="D47" s="190">
        <f>VLOOKUP(A47,'Ref-Data'!A:C,3,FALSE)</f>
        <v>1000000</v>
      </c>
      <c r="E47" s="190">
        <f>VLOOKUP('Data Summary'!$A47,'Ref-Data'!$A:$U,15,FALSE)</f>
        <v>0</v>
      </c>
      <c r="F47" s="226">
        <f>VLOOKUP('Data Summary'!$A47,'Ref-Data'!$A:$U,12,FALSE)</f>
        <v>3.5000000000000001E-3</v>
      </c>
      <c r="G47" s="226">
        <f>VLOOKUP('Data Summary'!$A47,'Ref-Data'!$A:$U,14,FALSE)</f>
        <v>0.39429999999999998</v>
      </c>
      <c r="H47" s="190">
        <f>VLOOKUP(A47,'Code Results'!A:B,2,FALSE)</f>
        <v>1339.74332675553</v>
      </c>
      <c r="I47" s="190">
        <f>IFERROR(VLOOKUP($A47,'Code Results'!$A:$C,13,FALSE),VLOOKUP('Data Summary'!$A47,'Ref-Data'!$A:$U,18,FALSE))</f>
        <v>0</v>
      </c>
      <c r="J47" s="190">
        <f t="shared" si="4"/>
        <v>1339.74332675553</v>
      </c>
      <c r="K47" s="167" t="s">
        <v>1156</v>
      </c>
      <c r="L47" s="190">
        <f>VLOOKUP(A47, 'Ref-Data'!$A:$I,9,FALSE)</f>
        <v>1</v>
      </c>
      <c r="M47" s="173">
        <v>4.7500000000000001E-2</v>
      </c>
      <c r="N47" s="173">
        <v>0.37514320519767774</v>
      </c>
      <c r="O47" s="192">
        <v>3502.9172331077216</v>
      </c>
      <c r="P47" s="191">
        <f t="shared" si="5"/>
        <v>-4.3999999999999997E-2</v>
      </c>
      <c r="Q47" s="191">
        <f t="shared" si="6"/>
        <v>1.9156794802322241E-2</v>
      </c>
      <c r="R47" s="193">
        <f t="shared" si="7"/>
        <v>-2163.1739063521918</v>
      </c>
      <c r="S47" s="354"/>
      <c r="T47" s="167"/>
      <c r="U47" s="355"/>
      <c r="V47" s="355"/>
      <c r="W47" s="355"/>
      <c r="X47" s="355"/>
      <c r="Y47" s="355"/>
      <c r="Z47" s="445">
        <f>VLOOKUP(A47,'Ref-Data'!$A:$F,6,FALSE)</f>
        <v>1.3963039014373717</v>
      </c>
      <c r="AA47" s="390">
        <f>IF('Ref-Data'!$Z$2="ON",VLOOKUP('Data Summary'!A47,'MacroPD-Cal'!$A:$O,15,FALSE),IF('Ref-Data'!$Z$5="Baseline",VLOOKUP(A47,'Model Output_TTC'!$A:$AU,47,FALSE),IF('Ref-Data'!$Z$5="90th Percentile",VLOOKUP(A47,'Model Output_TTC'!$A:$BP,68,FALSE),IF('Ref-Data'!$Z$5="96th Percentile",VLOOKUP('Data Summary'!A47,'Model Output_TTC'!$A:$Z,26,FALSE),""))))</f>
        <v>5.7000000000000002E-3</v>
      </c>
    </row>
    <row r="48" spans="1:27" s="166" customFormat="1" x14ac:dyDescent="0.25">
      <c r="A48" s="279">
        <v>1100000110</v>
      </c>
      <c r="B48" s="167" t="str">
        <f>VLOOKUP(A48,'Ref-Data'!A:AD,30,FALSE)</f>
        <v>REMSONS HOLDINGS LTD</v>
      </c>
      <c r="C48" s="190">
        <f>VLOOKUP('Data Summary'!$A48,'Ref-Data'!$A:$U,2,FALSE)</f>
        <v>340000</v>
      </c>
      <c r="D48" s="190">
        <f>VLOOKUP(A48,'Ref-Data'!A:C,3,FALSE)</f>
        <v>340000</v>
      </c>
      <c r="E48" s="190">
        <f>VLOOKUP('Data Summary'!$A48,'Ref-Data'!$A:$U,15,FALSE)</f>
        <v>0</v>
      </c>
      <c r="F48" s="226">
        <f>VLOOKUP('Data Summary'!$A48,'Ref-Data'!$A:$U,12,FALSE)</f>
        <v>3.5000000000000001E-3</v>
      </c>
      <c r="G48" s="226">
        <f>VLOOKUP('Data Summary'!$A48,'Ref-Data'!$A:$U,14,FALSE)</f>
        <v>0.39429999999999998</v>
      </c>
      <c r="H48" s="190">
        <f>VLOOKUP(A48,'Code Results'!A:B,2,FALSE)</f>
        <v>276.71920815177901</v>
      </c>
      <c r="I48" s="190">
        <f>IFERROR(VLOOKUP($A48,'Code Results'!$A:$C,13,FALSE),VLOOKUP('Data Summary'!$A48,'Ref-Data'!$A:$U,18,FALSE))</f>
        <v>0</v>
      </c>
      <c r="J48" s="190">
        <f t="shared" si="4"/>
        <v>276.71920815177901</v>
      </c>
      <c r="K48" s="167" t="s">
        <v>1156</v>
      </c>
      <c r="L48" s="190">
        <f>VLOOKUP(A48, 'Ref-Data'!$A:$I,9,FALSE)</f>
        <v>1</v>
      </c>
      <c r="M48" s="173">
        <v>4.7500000000000001E-2</v>
      </c>
      <c r="N48" s="173">
        <v>0.37514320519767774</v>
      </c>
      <c r="O48" s="192">
        <v>3502.9172331077216</v>
      </c>
      <c r="P48" s="191">
        <f t="shared" si="5"/>
        <v>-4.3999999999999997E-2</v>
      </c>
      <c r="Q48" s="191">
        <f t="shared" si="6"/>
        <v>1.9156794802322241E-2</v>
      </c>
      <c r="R48" s="193">
        <f t="shared" si="7"/>
        <v>-3226.1980249559424</v>
      </c>
      <c r="S48" s="354"/>
      <c r="T48" s="167"/>
      <c r="U48" s="355"/>
      <c r="V48" s="355"/>
      <c r="W48" s="355"/>
      <c r="X48" s="355"/>
      <c r="Y48" s="355"/>
      <c r="Z48" s="445">
        <f>VLOOKUP(A48,'Ref-Data'!$A:$F,6,FALSE)</f>
        <v>1.3963039014373717</v>
      </c>
      <c r="AA48" s="390">
        <f>IF('Ref-Data'!$Z$2="ON",VLOOKUP('Data Summary'!A48,'MacroPD-Cal'!$A:$O,15,FALSE),IF('Ref-Data'!$Z$5="Baseline",VLOOKUP(A48,'Model Output_TTC'!$A:$AU,47,FALSE),IF('Ref-Data'!$Z$5="90th Percentile",VLOOKUP(A48,'Model Output_TTC'!$A:$BP,68,FALSE),IF('Ref-Data'!$Z$5="96th Percentile",VLOOKUP('Data Summary'!A48,'Model Output_TTC'!$A:$Z,26,FALSE),""))))</f>
        <v>5.7000000000000002E-3</v>
      </c>
    </row>
    <row r="49" spans="1:32" s="166" customFormat="1" x14ac:dyDescent="0.25">
      <c r="A49" s="279">
        <v>1200000147</v>
      </c>
      <c r="B49" s="167" t="str">
        <f>VLOOKUP(A49,'Ref-Data'!A:AD,30,FALSE)</f>
        <v>ZEAL HOTEL (BRIDGWATER J23) LIMITED</v>
      </c>
      <c r="C49" s="190">
        <f>VLOOKUP('Data Summary'!$A49,'Ref-Data'!$A:$U,2,FALSE)</f>
        <v>4762825.24</v>
      </c>
      <c r="D49" s="190">
        <f>VLOOKUP(A49,'Ref-Data'!A:C,3,FALSE)</f>
        <v>4762825.24</v>
      </c>
      <c r="E49" s="190">
        <f>VLOOKUP('Data Summary'!$A49,'Ref-Data'!$A:$U,15,FALSE)</f>
        <v>0</v>
      </c>
      <c r="F49" s="226">
        <f>VLOOKUP('Data Summary'!$A49,'Ref-Data'!$A:$U,12,FALSE)</f>
        <v>1.7600000000000001E-2</v>
      </c>
      <c r="G49" s="226">
        <f>VLOOKUP('Data Summary'!$A49,'Ref-Data'!$A:$U,14,FALSE)</f>
        <v>0.15</v>
      </c>
      <c r="H49" s="190">
        <f>VLOOKUP(A49,'Code Results'!A:B,2,FALSE)</f>
        <v>12307.9629461887</v>
      </c>
      <c r="I49" s="190">
        <f>IFERROR(VLOOKUP($A49,'Code Results'!$A:$C,13,FALSE),VLOOKUP('Data Summary'!$A49,'Ref-Data'!$A:$U,18,FALSE))</f>
        <v>0</v>
      </c>
      <c r="J49" s="190">
        <f t="shared" si="4"/>
        <v>12307.9629461887</v>
      </c>
      <c r="K49" s="167" t="s">
        <v>1156</v>
      </c>
      <c r="L49" s="190">
        <f>VLOOKUP(A49, 'Ref-Data'!$A:$I,9,FALSE)</f>
        <v>1</v>
      </c>
      <c r="M49" s="173">
        <v>4.7500000000000001E-2</v>
      </c>
      <c r="N49" s="173">
        <v>0.37514320519767774</v>
      </c>
      <c r="O49" s="192">
        <v>3502.9172331077216</v>
      </c>
      <c r="P49" s="191">
        <f t="shared" si="5"/>
        <v>-2.9899999999999999E-2</v>
      </c>
      <c r="Q49" s="191">
        <f t="shared" si="6"/>
        <v>-0.22514320519767775</v>
      </c>
      <c r="R49" s="193">
        <f t="shared" si="7"/>
        <v>8805.0457130809773</v>
      </c>
      <c r="S49" s="354"/>
      <c r="T49" s="167"/>
      <c r="U49" s="355"/>
      <c r="V49" s="355"/>
      <c r="W49" s="355"/>
      <c r="X49" s="355"/>
      <c r="Y49" s="355"/>
      <c r="Z49" s="445">
        <f>VLOOKUP(A49,'Ref-Data'!$A:$F,6,FALSE)</f>
        <v>4.4161533196440796</v>
      </c>
      <c r="AA49" s="390">
        <f>IF('Ref-Data'!$Z$2="ON",VLOOKUP('Data Summary'!A49,'MacroPD-Cal'!$A:$O,15,FALSE),IF('Ref-Data'!$Z$5="Baseline",VLOOKUP(A49,'Model Output_TTC'!$A:$AU,47,FALSE),IF('Ref-Data'!$Z$5="90th Percentile",VLOOKUP(A49,'Model Output_TTC'!$A:$BP,68,FALSE),IF('Ref-Data'!$Z$5="96th Percentile",VLOOKUP('Data Summary'!A49,'Model Output_TTC'!$A:$Z,26,FALSE),""))))</f>
        <v>6.1100000000000002E-2</v>
      </c>
    </row>
    <row r="50" spans="1:32" s="166" customFormat="1" x14ac:dyDescent="0.25">
      <c r="A50" s="279">
        <v>1200000146</v>
      </c>
      <c r="B50" s="167" t="str">
        <f>VLOOKUP(A50,'Ref-Data'!A:AD,30,FALSE)</f>
        <v>WHISKEY (BIDCO) LIMITED</v>
      </c>
      <c r="C50" s="190">
        <f>VLOOKUP('Data Summary'!$A50,'Ref-Data'!$A:$U,2,FALSE)</f>
        <v>2100000</v>
      </c>
      <c r="D50" s="190">
        <f>VLOOKUP(A50,'Ref-Data'!A:C,3,FALSE)</f>
        <v>2100000</v>
      </c>
      <c r="E50" s="190">
        <f>VLOOKUP('Data Summary'!$A50,'Ref-Data'!$A:$U,15,FALSE)</f>
        <v>0</v>
      </c>
      <c r="F50" s="226">
        <f>VLOOKUP('Data Summary'!$A50,'Ref-Data'!$A:$U,12,FALSE)</f>
        <v>7.3000000000000001E-3</v>
      </c>
      <c r="G50" s="226">
        <f>VLOOKUP('Data Summary'!$A50,'Ref-Data'!$A:$U,14,FALSE)</f>
        <v>0.43159999999999998</v>
      </c>
      <c r="H50" s="190">
        <f>VLOOKUP(A50,'Code Results'!A:B,2,FALSE)</f>
        <v>3754.0356238977602</v>
      </c>
      <c r="I50" s="190">
        <f>IFERROR(VLOOKUP($A50,'Code Results'!$A:$C,13,FALSE),VLOOKUP('Data Summary'!$A50,'Ref-Data'!$A:$U,18,FALSE))</f>
        <v>0</v>
      </c>
      <c r="J50" s="190">
        <f t="shared" si="4"/>
        <v>3754.0356238977602</v>
      </c>
      <c r="K50" s="167" t="s">
        <v>1156</v>
      </c>
      <c r="L50" s="190">
        <f>VLOOKUP(A50, 'Ref-Data'!$A:$I,9,FALSE)</f>
        <v>1</v>
      </c>
      <c r="M50" s="173">
        <v>4.7500000000000001E-2</v>
      </c>
      <c r="N50" s="173">
        <v>0.37514320519767774</v>
      </c>
      <c r="O50" s="192">
        <v>3502.9172331077216</v>
      </c>
      <c r="P50" s="191">
        <f t="shared" si="5"/>
        <v>-4.02E-2</v>
      </c>
      <c r="Q50" s="191">
        <f t="shared" si="6"/>
        <v>5.6456794802322241E-2</v>
      </c>
      <c r="R50" s="193">
        <f t="shared" si="7"/>
        <v>251.11839079003857</v>
      </c>
      <c r="S50" s="354"/>
      <c r="T50" s="167"/>
      <c r="U50" s="355"/>
      <c r="V50" s="355"/>
      <c r="W50" s="355"/>
      <c r="X50" s="355"/>
      <c r="Y50" s="355"/>
      <c r="Z50" s="445">
        <f>VLOOKUP(A50,'Ref-Data'!$A:$F,6,FALSE)</f>
        <v>0.67351129363449691</v>
      </c>
      <c r="AA50" s="390">
        <f>IF('Ref-Data'!$Z$2="ON",VLOOKUP('Data Summary'!A50,'MacroPD-Cal'!$A:$O,15,FALSE),IF('Ref-Data'!$Z$5="Baseline",VLOOKUP(A50,'Model Output_TTC'!$A:$AU,47,FALSE),IF('Ref-Data'!$Z$5="90th Percentile",VLOOKUP(A50,'Model Output_TTC'!$A:$BP,68,FALSE),IF('Ref-Data'!$Z$5="96th Percentile",VLOOKUP('Data Summary'!A50,'Model Output_TTC'!$A:$Z,26,FALSE),""))))</f>
        <v>7.3000000000000001E-3</v>
      </c>
    </row>
    <row r="51" spans="1:32" s="166" customFormat="1" x14ac:dyDescent="0.25">
      <c r="A51" s="279">
        <v>1200000116</v>
      </c>
      <c r="B51" s="167" t="str">
        <f>VLOOKUP(A51,'Ref-Data'!A:AD,30,FALSE)</f>
        <v>CONSTANT EQUITY ALPHA LIMITED</v>
      </c>
      <c r="C51" s="190">
        <f>VLOOKUP('Data Summary'!$A51,'Ref-Data'!$A:$U,2,FALSE)</f>
        <v>405001</v>
      </c>
      <c r="D51" s="190">
        <f>VLOOKUP(A51,'Ref-Data'!A:C,3,FALSE)</f>
        <v>405001</v>
      </c>
      <c r="E51" s="190">
        <f>VLOOKUP('Data Summary'!$A51,'Ref-Data'!$A:$U,15,FALSE)</f>
        <v>0</v>
      </c>
      <c r="F51" s="226">
        <f>VLOOKUP('Data Summary'!$A51,'Ref-Data'!$A:$U,12,FALSE)</f>
        <v>5.5999999999999999E-3</v>
      </c>
      <c r="G51" s="226">
        <f>VLOOKUP('Data Summary'!$A51,'Ref-Data'!$A:$U,14,FALSE)</f>
        <v>0.1</v>
      </c>
      <c r="H51" s="190">
        <f>VLOOKUP(A51,'Code Results'!A:B,2,FALSE)</f>
        <v>175.30353617594801</v>
      </c>
      <c r="I51" s="190">
        <f>IFERROR(VLOOKUP($A51,'Code Results'!$A:$C,13,FALSE),VLOOKUP('Data Summary'!$A51,'Ref-Data'!$A:$U,18,FALSE))</f>
        <v>0</v>
      </c>
      <c r="J51" s="190">
        <f t="shared" si="4"/>
        <v>175.30353617594801</v>
      </c>
      <c r="K51" s="167" t="s">
        <v>1156</v>
      </c>
      <c r="L51" s="190">
        <f>VLOOKUP(A51, 'Ref-Data'!$A:$I,9,FALSE)</f>
        <v>1</v>
      </c>
      <c r="M51" s="173">
        <v>4.7500000000000001E-2</v>
      </c>
      <c r="N51" s="173">
        <v>0.37514320519767774</v>
      </c>
      <c r="O51" s="192">
        <v>3502.9172331077216</v>
      </c>
      <c r="P51" s="191">
        <f t="shared" si="5"/>
        <v>-4.19E-2</v>
      </c>
      <c r="Q51" s="191">
        <f t="shared" si="6"/>
        <v>-0.27514320519767776</v>
      </c>
      <c r="R51" s="193">
        <f t="shared" si="7"/>
        <v>-3327.6136969317736</v>
      </c>
      <c r="S51" s="354"/>
      <c r="T51" s="167"/>
      <c r="U51" s="355"/>
      <c r="V51" s="355"/>
      <c r="W51" s="355"/>
      <c r="X51" s="355"/>
      <c r="Y51" s="355"/>
      <c r="Z51" s="445">
        <f>VLOOKUP(A51,'Ref-Data'!$A:$F,6,FALSE)</f>
        <v>3.2224503764544834</v>
      </c>
      <c r="AA51" s="390">
        <f>IF('Ref-Data'!$Z$2="ON",VLOOKUP('Data Summary'!A51,'MacroPD-Cal'!$A:$O,15,FALSE),IF('Ref-Data'!$Z$5="Baseline",VLOOKUP(A51,'Model Output_TTC'!$A:$AU,47,FALSE),IF('Ref-Data'!$Z$5="90th Percentile",VLOOKUP(A51,'Model Output_TTC'!$A:$BP,68,FALSE),IF('Ref-Data'!$Z$5="96th Percentile",VLOOKUP('Data Summary'!A51,'Model Output_TTC'!$A:$Z,26,FALSE),""))))</f>
        <v>1.78E-2</v>
      </c>
    </row>
    <row r="52" spans="1:32" s="166" customFormat="1" x14ac:dyDescent="0.25">
      <c r="A52" s="279">
        <v>1200000105</v>
      </c>
      <c r="B52" s="167" t="str">
        <f>VLOOKUP(A52,'Ref-Data'!A:AD,30,FALSE)</f>
        <v>ASHTON YATES LTD</v>
      </c>
      <c r="C52" s="190">
        <f>VLOOKUP('Data Summary'!$A52,'Ref-Data'!$A:$U,2,FALSE)</f>
        <v>1713000.72</v>
      </c>
      <c r="D52" s="190">
        <f>VLOOKUP(A52,'Ref-Data'!A:C,3,FALSE)</f>
        <v>1713000.72</v>
      </c>
      <c r="E52" s="190">
        <f>VLOOKUP('Data Summary'!$A52,'Ref-Data'!$A:$U,15,FALSE)</f>
        <v>0</v>
      </c>
      <c r="F52" s="226">
        <f>VLOOKUP('Data Summary'!$A52,'Ref-Data'!$A:$U,12,FALSE)</f>
        <v>7.0000000000000001E-3</v>
      </c>
      <c r="G52" s="226">
        <f>VLOOKUP('Data Summary'!$A52,'Ref-Data'!$A:$U,14,FALSE)</f>
        <v>0.15</v>
      </c>
      <c r="H52" s="190">
        <f>VLOOKUP(A52,'Code Results'!A:B,2,FALSE)</f>
        <v>121.79743352539199</v>
      </c>
      <c r="I52" s="190">
        <f>IFERROR(VLOOKUP($A52,'Code Results'!$A:$C,13,FALSE),VLOOKUP('Data Summary'!$A52,'Ref-Data'!$A:$U,18,FALSE))</f>
        <v>0</v>
      </c>
      <c r="J52" s="190">
        <f t="shared" si="4"/>
        <v>121.79743352539199</v>
      </c>
      <c r="K52" s="167" t="s">
        <v>1156</v>
      </c>
      <c r="L52" s="190">
        <f>VLOOKUP(A52, 'Ref-Data'!$A:$I,9,FALSE)</f>
        <v>1</v>
      </c>
      <c r="M52" s="173">
        <v>4.7500000000000001E-2</v>
      </c>
      <c r="N52" s="173">
        <v>0.37514320519767774</v>
      </c>
      <c r="O52" s="192">
        <v>3502.9172331077216</v>
      </c>
      <c r="P52" s="191">
        <f t="shared" si="5"/>
        <v>-4.0500000000000001E-2</v>
      </c>
      <c r="Q52" s="191">
        <f t="shared" si="6"/>
        <v>-0.22514320519767775</v>
      </c>
      <c r="R52" s="193">
        <f t="shared" si="7"/>
        <v>-3381.1197995823295</v>
      </c>
      <c r="S52" s="354"/>
      <c r="T52" s="167"/>
      <c r="U52" s="355"/>
      <c r="V52" s="355"/>
      <c r="W52" s="355"/>
      <c r="X52" s="355"/>
      <c r="Y52" s="355"/>
      <c r="Z52" s="445">
        <f>VLOOKUP(A52,'Ref-Data'!$A:$F,6,FALSE)</f>
        <v>3.6276522929500343</v>
      </c>
      <c r="AA52" s="390">
        <f>IF('Ref-Data'!$Z$2="ON",VLOOKUP('Data Summary'!A52,'MacroPD-Cal'!$A:$O,15,FALSE),IF('Ref-Data'!$Z$5="Baseline",VLOOKUP(A52,'Model Output_TTC'!$A:$AU,47,FALSE),IF('Ref-Data'!$Z$5="90th Percentile",VLOOKUP(A52,'Model Output_TTC'!$A:$BP,68,FALSE),IF('Ref-Data'!$Z$5="96th Percentile",VLOOKUP('Data Summary'!A52,'Model Output_TTC'!$A:$Z,26,FALSE),""))))</f>
        <v>1.9300000000000001E-2</v>
      </c>
    </row>
    <row r="53" spans="1:32" s="166" customFormat="1" x14ac:dyDescent="0.25">
      <c r="A53" s="279">
        <v>1200000106</v>
      </c>
      <c r="B53" s="167" t="str">
        <f>VLOOKUP(A53,'Ref-Data'!A:AD,30,FALSE)</f>
        <v>VISTA BIDCO LIMITED</v>
      </c>
      <c r="C53" s="190">
        <f>VLOOKUP('Data Summary'!$A53,'Ref-Data'!$A:$U,2,FALSE)</f>
        <v>4156853.67</v>
      </c>
      <c r="D53" s="190">
        <f>VLOOKUP(A53,'Ref-Data'!A:C,3,FALSE)</f>
        <v>4156853.67</v>
      </c>
      <c r="E53" s="190">
        <f>VLOOKUP('Data Summary'!$A53,'Ref-Data'!$A:$U,15,FALSE)</f>
        <v>0</v>
      </c>
      <c r="F53" s="226">
        <f>VLOOKUP('Data Summary'!$A53,'Ref-Data'!$A:$U,12,FALSE)</f>
        <v>0.10360000000000001</v>
      </c>
      <c r="G53" s="226">
        <f>VLOOKUP('Data Summary'!$A53,'Ref-Data'!$A:$U,14,FALSE)</f>
        <v>0.457881885879943</v>
      </c>
      <c r="H53" s="190">
        <f>VLOOKUP(A53,'Code Results'!A:B,2,FALSE)</f>
        <v>167651.19285157701</v>
      </c>
      <c r="I53" s="190">
        <f>IFERROR(VLOOKUP($A53,'Code Results'!$A:$C,13,FALSE),VLOOKUP('Data Summary'!$A53,'Ref-Data'!$A:$U,18,FALSE))</f>
        <v>0</v>
      </c>
      <c r="J53" s="190">
        <f t="shared" si="4"/>
        <v>167651.19285157701</v>
      </c>
      <c r="K53" s="167" t="s">
        <v>1156</v>
      </c>
      <c r="L53" s="190">
        <f>VLOOKUP(A53, 'Ref-Data'!$A:$I,9,FALSE)</f>
        <v>1</v>
      </c>
      <c r="M53" s="173">
        <v>4.7500000000000001E-2</v>
      </c>
      <c r="N53" s="173">
        <v>0.37514320519767774</v>
      </c>
      <c r="O53" s="192">
        <v>3502.9172331077216</v>
      </c>
      <c r="P53" s="191">
        <f t="shared" si="5"/>
        <v>5.6100000000000011E-2</v>
      </c>
      <c r="Q53" s="191">
        <f t="shared" si="6"/>
        <v>8.2738680682265253E-2</v>
      </c>
      <c r="R53" s="193">
        <f t="shared" si="7"/>
        <v>164148.27561846928</v>
      </c>
      <c r="S53" s="354"/>
      <c r="T53" s="167"/>
      <c r="U53" s="355"/>
      <c r="V53" s="355"/>
      <c r="W53" s="355"/>
      <c r="X53" s="355"/>
      <c r="Y53" s="355"/>
      <c r="Z53" s="445">
        <f>VLOOKUP(A53,'Ref-Data'!$A:$F,6,FALSE)</f>
        <v>3.378507871321013</v>
      </c>
      <c r="AA53" s="390">
        <f>IF('Ref-Data'!$Z$2="ON",VLOOKUP('Data Summary'!A53,'MacroPD-Cal'!$A:$O,15,FALSE),IF('Ref-Data'!$Z$5="Baseline",VLOOKUP(A53,'Model Output_TTC'!$A:$AU,47,FALSE),IF('Ref-Data'!$Z$5="90th Percentile",VLOOKUP(A53,'Model Output_TTC'!$A:$BP,68,FALSE),IF('Ref-Data'!$Z$5="96th Percentile",VLOOKUP('Data Summary'!A53,'Model Output_TTC'!$A:$Z,26,FALSE),""))))</f>
        <v>0.2228</v>
      </c>
    </row>
    <row r="54" spans="1:32" s="166" customFormat="1" x14ac:dyDescent="0.25">
      <c r="A54" s="279">
        <v>1200000135</v>
      </c>
      <c r="B54" s="167" t="str">
        <f>VLOOKUP(A54,'Ref-Data'!A:AD,30,FALSE)</f>
        <v>LINCOLN PLAZA HOTEL CO LIMITED</v>
      </c>
      <c r="C54" s="190">
        <f>VLOOKUP('Data Summary'!$A54,'Ref-Data'!$A:$U,2,FALSE)</f>
        <v>5000000</v>
      </c>
      <c r="D54" s="190">
        <f>VLOOKUP(A54,'Ref-Data'!A:C,3,FALSE)</f>
        <v>4178175.14</v>
      </c>
      <c r="E54" s="190">
        <f>VLOOKUP('Data Summary'!$A54,'Ref-Data'!$A:$U,15,FALSE)</f>
        <v>821824.86</v>
      </c>
      <c r="F54" s="226">
        <f>VLOOKUP('Data Summary'!$A54,'Ref-Data'!$A:$U,12,FALSE)</f>
        <v>0.1411</v>
      </c>
      <c r="G54" s="226">
        <f>VLOOKUP('Data Summary'!$A54,'Ref-Data'!$A:$U,14,FALSE)</f>
        <v>0.33850601215969001</v>
      </c>
      <c r="H54" s="190">
        <f>VLOOKUP(A54,'Code Results'!A:B,2,FALSE)</f>
        <v>56219.225871376402</v>
      </c>
      <c r="I54" s="190">
        <f>IFERROR(VLOOKUP($A54,'Code Results'!$A:$C,13,FALSE),VLOOKUP('Data Summary'!$A54,'Ref-Data'!$A:$U,18,FALSE))</f>
        <v>19626.491884489449</v>
      </c>
      <c r="J54" s="190">
        <f t="shared" si="4"/>
        <v>75845.717755865859</v>
      </c>
      <c r="K54" s="167" t="s">
        <v>1156</v>
      </c>
      <c r="L54" s="190">
        <f>VLOOKUP(A54, 'Ref-Data'!$A:$I,9,FALSE)</f>
        <v>2</v>
      </c>
      <c r="M54" s="173">
        <v>4.7500000000000001E-2</v>
      </c>
      <c r="N54" s="173">
        <v>0.37514320519767774</v>
      </c>
      <c r="O54" s="192">
        <v>3502.9172331077216</v>
      </c>
      <c r="P54" s="191">
        <f t="shared" si="5"/>
        <v>9.3600000000000003E-2</v>
      </c>
      <c r="Q54" s="191">
        <f t="shared" si="6"/>
        <v>-3.6637193037987736E-2</v>
      </c>
      <c r="R54" s="193">
        <f t="shared" si="7"/>
        <v>72342.800522758131</v>
      </c>
      <c r="S54" s="354"/>
      <c r="T54" s="167"/>
      <c r="U54" s="355"/>
      <c r="V54" s="355"/>
      <c r="W54" s="355"/>
      <c r="X54" s="355"/>
      <c r="Y54" s="355"/>
      <c r="Z54" s="445">
        <f>VLOOKUP(A54,'Ref-Data'!$A:$F,6,FALSE)</f>
        <v>0.33401779603011633</v>
      </c>
      <c r="AA54" s="390">
        <f>IF('Ref-Data'!$Z$2="ON",VLOOKUP('Data Summary'!A54,'MacroPD-Cal'!$A:$O,15,FALSE),IF('Ref-Data'!$Z$5="Baseline",VLOOKUP(A54,'Model Output_TTC'!$A:$AU,47,FALSE),IF('Ref-Data'!$Z$5="90th Percentile",VLOOKUP(A54,'Model Output_TTC'!$A:$BP,68,FALSE),IF('Ref-Data'!$Z$5="96th Percentile",VLOOKUP('Data Summary'!A54,'Model Output_TTC'!$A:$Z,26,FALSE),""))))</f>
        <v>0.1411</v>
      </c>
    </row>
    <row r="55" spans="1:32" s="166" customFormat="1" x14ac:dyDescent="0.25">
      <c r="A55" s="279">
        <v>1100000119</v>
      </c>
      <c r="B55" s="167" t="str">
        <f>VLOOKUP(A55,'Ref-Data'!A:AD,30,FALSE)</f>
        <v>CULLEN WEALTH HOLDINGS LIMITED</v>
      </c>
      <c r="C55" s="190">
        <f>VLOOKUP('Data Summary'!$A55,'Ref-Data'!$A:$U,2,FALSE)</f>
        <v>2999999.95</v>
      </c>
      <c r="D55" s="190">
        <f>VLOOKUP(A55,'Ref-Data'!A:C,3,FALSE)</f>
        <v>2999999.95</v>
      </c>
      <c r="E55" s="190">
        <f>VLOOKUP('Data Summary'!$A55,'Ref-Data'!$A:$U,15,FALSE)</f>
        <v>0</v>
      </c>
      <c r="F55" s="226">
        <f>VLOOKUP('Data Summary'!$A55,'Ref-Data'!$A:$U,12,FALSE)</f>
        <v>3.2000000000000001E-2</v>
      </c>
      <c r="G55" s="226">
        <f>VLOOKUP('Data Summary'!$A55,'Ref-Data'!$A:$U,14,FALSE)</f>
        <v>0.44950000000000001</v>
      </c>
      <c r="H55" s="190">
        <f>VLOOKUP(A55,'Code Results'!A:B,2,FALSE)</f>
        <v>35985.9010556219</v>
      </c>
      <c r="I55" s="190">
        <f>IFERROR(VLOOKUP($A55,'Code Results'!$A:$C,13,FALSE),VLOOKUP('Data Summary'!$A55,'Ref-Data'!$A:$U,18,FALSE))</f>
        <v>0</v>
      </c>
      <c r="J55" s="190">
        <f t="shared" si="4"/>
        <v>35985.9010556219</v>
      </c>
      <c r="K55" s="167" t="s">
        <v>1156</v>
      </c>
      <c r="L55" s="190">
        <f>VLOOKUP(A55, 'Ref-Data'!$A:$I,9,FALSE)</f>
        <v>1</v>
      </c>
      <c r="M55" s="173">
        <v>4.7500000000000001E-2</v>
      </c>
      <c r="N55" s="173">
        <v>0.37514320519767774</v>
      </c>
      <c r="O55" s="192">
        <v>3502.9172331077216</v>
      </c>
      <c r="P55" s="191">
        <f t="shared" si="5"/>
        <v>-1.55E-2</v>
      </c>
      <c r="Q55" s="191">
        <f t="shared" si="6"/>
        <v>7.4356794802322268E-2</v>
      </c>
      <c r="R55" s="193">
        <f t="shared" si="7"/>
        <v>32482.983822514179</v>
      </c>
      <c r="S55" s="354"/>
      <c r="T55" s="167"/>
      <c r="U55" s="355"/>
      <c r="V55" s="355"/>
      <c r="W55" s="355"/>
      <c r="X55" s="355"/>
      <c r="Y55" s="355"/>
      <c r="Z55" s="445">
        <f>VLOOKUP(A55,'Ref-Data'!$A:$F,6,FALSE)</f>
        <v>3.7207392197125255</v>
      </c>
      <c r="AA55" s="390">
        <f>IF('Ref-Data'!$Z$2="ON",VLOOKUP('Data Summary'!A55,'MacroPD-Cal'!$A:$O,15,FALSE),IF('Ref-Data'!$Z$5="Baseline",VLOOKUP(A55,'Model Output_TTC'!$A:$AU,47,FALSE),IF('Ref-Data'!$Z$5="90th Percentile",VLOOKUP(A55,'Model Output_TTC'!$A:$BP,68,FALSE),IF('Ref-Data'!$Z$5="96th Percentile",VLOOKUP('Data Summary'!A55,'Model Output_TTC'!$A:$Z,26,FALSE),""))))</f>
        <v>7.8399999999999997E-2</v>
      </c>
    </row>
    <row r="56" spans="1:32" s="166" customFormat="1" x14ac:dyDescent="0.25">
      <c r="A56" s="279">
        <v>1200000111</v>
      </c>
      <c r="B56" s="167" t="str">
        <f>VLOOKUP(A56,'Ref-Data'!A:AD,30,FALSE)</f>
        <v>LAR GROUP LIMITED</v>
      </c>
      <c r="C56" s="190">
        <f>VLOOKUP('Data Summary'!$A56,'Ref-Data'!$A:$U,2,FALSE)</f>
        <v>266666.56</v>
      </c>
      <c r="D56" s="190">
        <f>VLOOKUP(A56,'Ref-Data'!A:C,3,FALSE)</f>
        <v>266666.56</v>
      </c>
      <c r="E56" s="190">
        <f>VLOOKUP('Data Summary'!$A56,'Ref-Data'!$A:$U,15,FALSE)</f>
        <v>0</v>
      </c>
      <c r="F56" s="226">
        <f>VLOOKUP('Data Summary'!$A56,'Ref-Data'!$A:$U,12,FALSE)</f>
        <v>5.0000000000000001E-3</v>
      </c>
      <c r="G56" s="226">
        <f>VLOOKUP('Data Summary'!$A56,'Ref-Data'!$A:$U,14,FALSE)</f>
        <v>0.21205137936335117</v>
      </c>
      <c r="H56" s="190">
        <f>VLOOKUP(A56,'Code Results'!A:B,2,FALSE)</f>
        <v>71.573706280938595</v>
      </c>
      <c r="I56" s="190">
        <f>IFERROR(VLOOKUP($A56,'Code Results'!$A:$C,13,FALSE),VLOOKUP('Data Summary'!$A56,'Ref-Data'!$A:$U,18,FALSE))</f>
        <v>0</v>
      </c>
      <c r="J56" s="190">
        <f t="shared" si="4"/>
        <v>71.573706280938595</v>
      </c>
      <c r="K56" s="167" t="s">
        <v>1156</v>
      </c>
      <c r="L56" s="190">
        <f>VLOOKUP(A56, 'Ref-Data'!$A:$I,9,FALSE)</f>
        <v>1</v>
      </c>
      <c r="M56" s="173">
        <v>4.7500000000000001E-2</v>
      </c>
      <c r="N56" s="173">
        <v>0.37514320519767774</v>
      </c>
      <c r="O56" s="192">
        <v>3502.9172331077216</v>
      </c>
      <c r="P56" s="191">
        <f t="shared" si="5"/>
        <v>-4.2500000000000003E-2</v>
      </c>
      <c r="Q56" s="191">
        <f t="shared" si="6"/>
        <v>-0.16309182583432658</v>
      </c>
      <c r="R56" s="193">
        <f t="shared" si="7"/>
        <v>-3431.3435268267831</v>
      </c>
      <c r="S56" s="354"/>
      <c r="T56" s="167"/>
      <c r="U56" s="355"/>
      <c r="V56" s="355"/>
      <c r="W56" s="355"/>
      <c r="X56" s="355"/>
      <c r="Y56" s="355"/>
      <c r="Z56" s="445">
        <f>VLOOKUP(A56,'Ref-Data'!$A:$F,6,FALSE)</f>
        <v>0.7885010266940452</v>
      </c>
      <c r="AA56" s="390">
        <f>IF('Ref-Data'!$Z$2="ON",VLOOKUP('Data Summary'!A56,'MacroPD-Cal'!$A:$O,15,FALSE),IF('Ref-Data'!$Z$5="Baseline",VLOOKUP(A56,'Model Output_TTC'!$A:$AU,47,FALSE),IF('Ref-Data'!$Z$5="90th Percentile",VLOOKUP(A56,'Model Output_TTC'!$A:$BP,68,FALSE),IF('Ref-Data'!$Z$5="96th Percentile",VLOOKUP('Data Summary'!A56,'Model Output_TTC'!$A:$Z,26,FALSE),""))))</f>
        <v>5.0000000000000001E-3</v>
      </c>
    </row>
    <row r="57" spans="1:32" s="166" customFormat="1" x14ac:dyDescent="0.25">
      <c r="A57" s="279">
        <v>1200000112</v>
      </c>
      <c r="B57" s="167" t="str">
        <f>VLOOKUP(A57,'Ref-Data'!A:AD,30,FALSE)</f>
        <v>LAR GROUP LIMITED</v>
      </c>
      <c r="C57" s="190">
        <f>VLOOKUP('Data Summary'!$A57,'Ref-Data'!$A:$U,2,FALSE)</f>
        <v>300000</v>
      </c>
      <c r="D57" s="190">
        <f>VLOOKUP(A57,'Ref-Data'!A:C,3,FALSE)</f>
        <v>100</v>
      </c>
      <c r="E57" s="190">
        <f>VLOOKUP('Data Summary'!$A57,'Ref-Data'!$A:$U,15,FALSE)</f>
        <v>299900</v>
      </c>
      <c r="F57" s="226">
        <f>VLOOKUP('Data Summary'!$A57,'Ref-Data'!$A:$U,12,FALSE)</f>
        <v>5.0000000000000001E-3</v>
      </c>
      <c r="G57" s="226">
        <f>VLOOKUP('Data Summary'!$A57,'Ref-Data'!$A:$U,14,FALSE)</f>
        <v>0.21205137936335117</v>
      </c>
      <c r="H57" s="190">
        <f>VLOOKUP(A57,'Code Results'!A:B,2,FALSE)</f>
        <v>6.5214962184534903E-2</v>
      </c>
      <c r="I57" s="190">
        <f>IFERROR(VLOOKUP($A57,'Code Results'!$A:$C,13,FALSE),VLOOKUP('Data Summary'!$A57,'Ref-Data'!$A:$U,18,FALSE))</f>
        <v>158.98552167767255</v>
      </c>
      <c r="J57" s="190">
        <f t="shared" si="4"/>
        <v>159.05073663985709</v>
      </c>
      <c r="K57" s="167" t="s">
        <v>1156</v>
      </c>
      <c r="L57" s="190">
        <f>VLOOKUP(A57, 'Ref-Data'!$A:$I,9,FALSE)</f>
        <v>1</v>
      </c>
      <c r="M57" s="173">
        <v>4.7500000000000001E-2</v>
      </c>
      <c r="N57" s="173">
        <v>0.37514320519767774</v>
      </c>
      <c r="O57" s="192">
        <v>3502.9172331077216</v>
      </c>
      <c r="P57" s="191">
        <f t="shared" si="5"/>
        <v>-4.2500000000000003E-2</v>
      </c>
      <c r="Q57" s="191">
        <f t="shared" si="6"/>
        <v>-0.16309182583432658</v>
      </c>
      <c r="R57" s="193">
        <f t="shared" si="7"/>
        <v>-3343.8664964678646</v>
      </c>
      <c r="S57" s="354"/>
      <c r="T57" s="167"/>
      <c r="U57" s="355"/>
      <c r="V57" s="355"/>
      <c r="W57" s="355"/>
      <c r="X57" s="355"/>
      <c r="Y57" s="355"/>
      <c r="Z57" s="445">
        <f>VLOOKUP(A57,'Ref-Data'!$A:$F,6,FALSE)</f>
        <v>0.72553045859000687</v>
      </c>
      <c r="AA57" s="390">
        <f>IF('Ref-Data'!$Z$2="ON",VLOOKUP('Data Summary'!A57,'MacroPD-Cal'!$A:$O,15,FALSE),IF('Ref-Data'!$Z$5="Baseline",VLOOKUP(A57,'Model Output_TTC'!$A:$AU,47,FALSE),IF('Ref-Data'!$Z$5="90th Percentile",VLOOKUP(A57,'Model Output_TTC'!$A:$BP,68,FALSE),IF('Ref-Data'!$Z$5="96th Percentile",VLOOKUP('Data Summary'!A57,'Model Output_TTC'!$A:$Z,26,FALSE),""))))</f>
        <v>5.0000000000000001E-3</v>
      </c>
    </row>
    <row r="58" spans="1:32" s="166" customFormat="1" x14ac:dyDescent="0.25">
      <c r="A58" s="279">
        <v>1200000108</v>
      </c>
      <c r="B58" s="167" t="str">
        <f>VLOOKUP(A58,'Ref-Data'!A:AD,30,FALSE)</f>
        <v>BXTR LTD, BXTR MCH LTD, BXTR 3 LTD</v>
      </c>
      <c r="C58" s="190">
        <f>VLOOKUP('Data Summary'!$A58,'Ref-Data'!$A:$U,2,FALSE)</f>
        <v>992000</v>
      </c>
      <c r="D58" s="190">
        <f>VLOOKUP(A58,'Ref-Data'!A:C,3,FALSE)</f>
        <v>992000</v>
      </c>
      <c r="E58" s="190">
        <f>VLOOKUP('Data Summary'!$A58,'Ref-Data'!$A:$U,15,FALSE)</f>
        <v>0</v>
      </c>
      <c r="F58" s="226">
        <f>VLOOKUP('Data Summary'!$A58,'Ref-Data'!$A:$U,12,FALSE)</f>
        <v>1.3800000000000002E-2</v>
      </c>
      <c r="G58" s="226">
        <f>VLOOKUP('Data Summary'!$A58,'Ref-Data'!$A:$U,14,FALSE)</f>
        <v>0.44550000000000001</v>
      </c>
      <c r="H58" s="190">
        <f>VLOOKUP(A58,'Code Results'!A:B,2,FALSE)</f>
        <v>5525.86429624629</v>
      </c>
      <c r="I58" s="190">
        <f>IFERROR(VLOOKUP($A58,'Code Results'!$A:$C,13,FALSE),VLOOKUP('Data Summary'!$A58,'Ref-Data'!$A:$U,18,FALSE))</f>
        <v>0</v>
      </c>
      <c r="J58" s="190">
        <f t="shared" si="4"/>
        <v>5525.86429624629</v>
      </c>
      <c r="K58" s="167" t="s">
        <v>1156</v>
      </c>
      <c r="L58" s="190">
        <f>VLOOKUP(A58, 'Ref-Data'!$A:$I,9,FALSE)</f>
        <v>1</v>
      </c>
      <c r="M58" s="173">
        <v>4.7500000000000001E-2</v>
      </c>
      <c r="N58" s="173">
        <v>0.37514320519767774</v>
      </c>
      <c r="O58" s="192">
        <v>3502.9172331077216</v>
      </c>
      <c r="P58" s="191">
        <f t="shared" si="5"/>
        <v>-3.3700000000000001E-2</v>
      </c>
      <c r="Q58" s="191">
        <f t="shared" si="6"/>
        <v>7.0356794802322264E-2</v>
      </c>
      <c r="R58" s="193">
        <f t="shared" si="7"/>
        <v>2022.9470631385684</v>
      </c>
      <c r="S58" s="354"/>
      <c r="T58" s="167"/>
      <c r="U58" s="355"/>
      <c r="V58" s="355"/>
      <c r="W58" s="355"/>
      <c r="X58" s="355"/>
      <c r="Y58" s="355"/>
      <c r="Z58" s="445">
        <f>VLOOKUP(A58,'Ref-Data'!$A:$F,6,FALSE)</f>
        <v>2.0670773442847366</v>
      </c>
      <c r="AA58" s="390">
        <f>IF('Ref-Data'!$Z$2="ON",VLOOKUP('Data Summary'!A58,'MacroPD-Cal'!$A:$O,15,FALSE),IF('Ref-Data'!$Z$5="Baseline",VLOOKUP(A58,'Model Output_TTC'!$A:$AU,47,FALSE),IF('Ref-Data'!$Z$5="90th Percentile",VLOOKUP(A58,'Model Output_TTC'!$A:$BP,68,FALSE),IF('Ref-Data'!$Z$5="96th Percentile",VLOOKUP('Data Summary'!A58,'Model Output_TTC'!$A:$Z,26,FALSE),""))))</f>
        <v>2.6700000000000002E-2</v>
      </c>
    </row>
    <row r="59" spans="1:32" s="166" customFormat="1" x14ac:dyDescent="0.25">
      <c r="A59" s="279">
        <v>1100000126</v>
      </c>
      <c r="B59" s="167" t="str">
        <f>VLOOKUP(A59,'Ref-Data'!A:AD,30,FALSE)</f>
        <v>FARRELLY ENERGY SOLUTIONS LIMITED AND FBS INTELLIGENT ENGINEERING (IE) LIMITED</v>
      </c>
      <c r="C59" s="190">
        <f>VLOOKUP('Data Summary'!$A59,'Ref-Data'!$A:$U,2,FALSE)</f>
        <v>833332</v>
      </c>
      <c r="D59" s="190">
        <f>VLOOKUP(A59,'Ref-Data'!A:C,3,FALSE)</f>
        <v>833332</v>
      </c>
      <c r="E59" s="190">
        <f>VLOOKUP('Data Summary'!$A59,'Ref-Data'!$A:$U,15,FALSE)</f>
        <v>0</v>
      </c>
      <c r="F59" s="226">
        <f>VLOOKUP('Data Summary'!$A59,'Ref-Data'!$A:$U,12,FALSE)</f>
        <v>3.4000000000000002E-3</v>
      </c>
      <c r="G59" s="226">
        <f>VLOOKUP('Data Summary'!$A59,'Ref-Data'!$A:$U,14,FALSE)</f>
        <v>0.44550000000000001</v>
      </c>
      <c r="H59" s="190">
        <f>VLOOKUP(A59,'Code Results'!A:B,2,FALSE)</f>
        <v>804.26800890910499</v>
      </c>
      <c r="I59" s="190">
        <f>IFERROR(VLOOKUP($A59,'Code Results'!$A:$C,13,FALSE),VLOOKUP('Data Summary'!$A59,'Ref-Data'!$A:$U,18,FALSE))</f>
        <v>0</v>
      </c>
      <c r="J59" s="190">
        <f t="shared" si="4"/>
        <v>804.26800890910499</v>
      </c>
      <c r="K59" s="167" t="s">
        <v>1156</v>
      </c>
      <c r="L59" s="190">
        <f>VLOOKUP(A59, 'Ref-Data'!$A:$I,9,FALSE)</f>
        <v>1</v>
      </c>
      <c r="M59" s="173">
        <v>4.7500000000000001E-2</v>
      </c>
      <c r="N59" s="173">
        <v>0.37514320519767774</v>
      </c>
      <c r="O59" s="192">
        <v>3502.9172331077216</v>
      </c>
      <c r="P59" s="191">
        <f t="shared" si="5"/>
        <v>-4.41E-2</v>
      </c>
      <c r="Q59" s="191">
        <f t="shared" si="6"/>
        <v>7.0356794802322264E-2</v>
      </c>
      <c r="R59" s="193">
        <f t="shared" si="7"/>
        <v>-2698.6492241986166</v>
      </c>
      <c r="S59" s="354"/>
      <c r="T59" s="167"/>
      <c r="U59" s="355"/>
      <c r="V59" s="355"/>
      <c r="W59" s="355"/>
      <c r="X59" s="355"/>
      <c r="Y59" s="355"/>
      <c r="Z59" s="445">
        <f>VLOOKUP(A59,'Ref-Data'!$A:$F,6,FALSE)</f>
        <v>1.7522245037645447</v>
      </c>
      <c r="AA59" s="390">
        <f>IF('Ref-Data'!$Z$2="ON",VLOOKUP('Data Summary'!A59,'MacroPD-Cal'!$A:$O,15,FALSE),IF('Ref-Data'!$Z$5="Baseline",VLOOKUP(A59,'Model Output_TTC'!$A:$AU,47,FALSE),IF('Ref-Data'!$Z$5="90th Percentile",VLOOKUP(A59,'Model Output_TTC'!$A:$BP,68,FALSE),IF('Ref-Data'!$Z$5="96th Percentile",VLOOKUP('Data Summary'!A59,'Model Output_TTC'!$A:$Z,26,FALSE),""))))</f>
        <v>5.7000000000000002E-3</v>
      </c>
    </row>
    <row r="60" spans="1:32" s="166" customFormat="1" x14ac:dyDescent="0.25">
      <c r="A60" s="279">
        <v>1100000128</v>
      </c>
      <c r="B60" s="167" t="str">
        <f>VLOOKUP(A60,'Ref-Data'!A:AD,30,FALSE)</f>
        <v>LEARNING CURVE GROUP LIMITED / GENIUS BIDCO LIMITED / BOYD BIDCO LIMITED</v>
      </c>
      <c r="C60" s="190">
        <f>VLOOKUP('Data Summary'!$A60,'Ref-Data'!$A:$U,2,FALSE)</f>
        <v>5000000</v>
      </c>
      <c r="D60" s="190">
        <f>VLOOKUP(A60,'Ref-Data'!A:C,3,FALSE)</f>
        <v>0</v>
      </c>
      <c r="E60" s="190">
        <f>VLOOKUP('Data Summary'!$A60,'Ref-Data'!$A:$U,15,FALSE)</f>
        <v>5000000</v>
      </c>
      <c r="F60" s="226">
        <f>VLOOKUP('Data Summary'!$A60,'Ref-Data'!$A:$U,12,FALSE)</f>
        <v>7.3000000000000001E-3</v>
      </c>
      <c r="G60" s="226">
        <f>VLOOKUP('Data Summary'!$A60,'Ref-Data'!$A:$U,14,FALSE)</f>
        <v>0.40620000000000001</v>
      </c>
      <c r="H60" s="190">
        <f>VLOOKUP(A60,'Code Results'!A:B,2,FALSE)</f>
        <v>0</v>
      </c>
      <c r="I60" s="190">
        <f>IFERROR(VLOOKUP($A60,'Code Results'!$A:$C,13,FALSE),VLOOKUP('Data Summary'!$A60,'Ref-Data'!$A:$U,18,FALSE))</f>
        <v>7413.15</v>
      </c>
      <c r="J60" s="190">
        <f t="shared" si="4"/>
        <v>7413.15</v>
      </c>
      <c r="K60" s="167" t="s">
        <v>1156</v>
      </c>
      <c r="L60" s="190">
        <f>VLOOKUP(A60, 'Ref-Data'!$A:$I,9,FALSE)</f>
        <v>1</v>
      </c>
      <c r="M60" s="173">
        <v>4.7500000000000001E-2</v>
      </c>
      <c r="N60" s="173">
        <v>0.37514320519767774</v>
      </c>
      <c r="O60" s="192">
        <v>3502.9172331077216</v>
      </c>
      <c r="P60" s="191">
        <f t="shared" si="5"/>
        <v>-4.02E-2</v>
      </c>
      <c r="Q60" s="191">
        <f t="shared" si="6"/>
        <v>3.1056794802322263E-2</v>
      </c>
      <c r="R60" s="193">
        <f t="shared" si="7"/>
        <v>3910.2327668922781</v>
      </c>
      <c r="S60" s="354"/>
      <c r="T60" s="167"/>
      <c r="U60" s="355"/>
      <c r="V60" s="355"/>
      <c r="W60" s="355"/>
      <c r="X60" s="355"/>
      <c r="Y60" s="355"/>
      <c r="Z60" s="445">
        <f>VLOOKUP(A60,'Ref-Data'!$A:$F,6,FALSE)</f>
        <v>3.5455167693360714</v>
      </c>
      <c r="AA60" s="390">
        <f>IF('Ref-Data'!$Z$2="ON",VLOOKUP('Data Summary'!A60,'MacroPD-Cal'!$A:$O,15,FALSE),IF('Ref-Data'!$Z$5="Baseline",VLOOKUP(A60,'Model Output_TTC'!$A:$AU,47,FALSE),IF('Ref-Data'!$Z$5="90th Percentile",VLOOKUP(A60,'Model Output_TTC'!$A:$BP,68,FALSE),IF('Ref-Data'!$Z$5="96th Percentile",VLOOKUP('Data Summary'!A60,'Model Output_TTC'!$A:$Z,26,FALSE),""))))</f>
        <v>1.77E-2</v>
      </c>
    </row>
    <row r="61" spans="1:32" s="166" customFormat="1" x14ac:dyDescent="0.25">
      <c r="A61" s="279">
        <v>1100000136</v>
      </c>
      <c r="B61" s="167" t="str">
        <f>VLOOKUP(A61,'Ref-Data'!A:AD,30,FALSE)</f>
        <v>DUMBLETON HALL HOTEL PROPERTY COMPANY LIMITED</v>
      </c>
      <c r="C61" s="190">
        <f>VLOOKUP('Data Summary'!$A61,'Ref-Data'!$A:$U,2,FALSE)</f>
        <v>2312500</v>
      </c>
      <c r="D61" s="190">
        <f>VLOOKUP(A61,'Ref-Data'!A:C,3,FALSE)</f>
        <v>2312500</v>
      </c>
      <c r="E61" s="190">
        <f>VLOOKUP('Data Summary'!$A61,'Ref-Data'!$A:$U,15,FALSE)</f>
        <v>0</v>
      </c>
      <c r="F61" s="226">
        <f>VLOOKUP('Data Summary'!$A61,'Ref-Data'!$A:$U,12,FALSE)</f>
        <v>1.9300000000000001E-2</v>
      </c>
      <c r="G61" s="226">
        <f>VLOOKUP('Data Summary'!$A61,'Ref-Data'!$A:$U,14,FALSE)</f>
        <v>0.1</v>
      </c>
      <c r="H61" s="190">
        <f>VLOOKUP(A61,'Code Results'!A:B,2,FALSE)</f>
        <v>4322.9861230527504</v>
      </c>
      <c r="I61" s="190">
        <f>IFERROR(VLOOKUP($A61,'Code Results'!$A:$C,13,FALSE),VLOOKUP('Data Summary'!$A61,'Ref-Data'!$A:$U,18,FALSE))</f>
        <v>0</v>
      </c>
      <c r="J61" s="190">
        <f t="shared" si="4"/>
        <v>4322.9861230527504</v>
      </c>
      <c r="K61" s="167" t="s">
        <v>1156</v>
      </c>
      <c r="L61" s="190">
        <f>VLOOKUP(A61, 'Ref-Data'!$A:$I,9,FALSE)</f>
        <v>1</v>
      </c>
      <c r="M61" s="173">
        <v>4.7500000000000001E-2</v>
      </c>
      <c r="N61" s="173">
        <v>0.37514320519767774</v>
      </c>
      <c r="O61" s="192">
        <v>3502.9172331077216</v>
      </c>
      <c r="P61" s="191">
        <f t="shared" si="5"/>
        <v>-2.8199999999999999E-2</v>
      </c>
      <c r="Q61" s="191">
        <f t="shared" si="6"/>
        <v>-0.27514320519767776</v>
      </c>
      <c r="R61" s="193">
        <f t="shared" si="7"/>
        <v>820.06888994502879</v>
      </c>
      <c r="S61" s="354"/>
      <c r="T61" s="167"/>
      <c r="U61" s="355"/>
      <c r="V61" s="355"/>
      <c r="W61" s="355"/>
      <c r="X61" s="355"/>
      <c r="Y61" s="355"/>
      <c r="Z61" s="445">
        <f>VLOOKUP(A61,'Ref-Data'!$A:$F,6,FALSE)</f>
        <v>3.8193018480492813</v>
      </c>
      <c r="AA61" s="390">
        <f>IF('Ref-Data'!$Z$2="ON",VLOOKUP('Data Summary'!A61,'MacroPD-Cal'!$A:$O,15,FALSE),IF('Ref-Data'!$Z$5="Baseline",VLOOKUP(A61,'Model Output_TTC'!$A:$AU,47,FALSE),IF('Ref-Data'!$Z$5="90th Percentile",VLOOKUP(A61,'Model Output_TTC'!$A:$BP,68,FALSE),IF('Ref-Data'!$Z$5="96th Percentile",VLOOKUP('Data Summary'!A61,'Model Output_TTC'!$A:$Z,26,FALSE),""))))</f>
        <v>5.4300000000000001E-2</v>
      </c>
    </row>
    <row r="62" spans="1:32" s="166" customFormat="1" x14ac:dyDescent="0.25">
      <c r="A62" s="279">
        <v>1200000117</v>
      </c>
      <c r="B62" s="167" t="str">
        <f>VLOOKUP(A62,'Ref-Data'!A:AD,30,FALSE)</f>
        <v>SIGNET HOTELS (HAMPTON COURT - PROPERTY) LTD</v>
      </c>
      <c r="C62" s="190">
        <f>VLOOKUP('Data Summary'!$A62,'Ref-Data'!$A:$U,2,FALSE)</f>
        <v>3000000</v>
      </c>
      <c r="D62" s="190">
        <f>VLOOKUP(A62,'Ref-Data'!A:C,3,FALSE)</f>
        <v>3000000</v>
      </c>
      <c r="E62" s="190">
        <f>VLOOKUP('Data Summary'!$A62,'Ref-Data'!$A:$U,15,FALSE)</f>
        <v>0</v>
      </c>
      <c r="F62" s="226">
        <f>VLOOKUP('Data Summary'!$A62,'Ref-Data'!$A:$U,12,FALSE)</f>
        <v>1.2100000000000001E-2</v>
      </c>
      <c r="G62" s="226">
        <f>VLOOKUP('Data Summary'!$A62,'Ref-Data'!$A:$U,14,FALSE)</f>
        <v>0.15</v>
      </c>
      <c r="H62" s="190">
        <f>VLOOKUP(A62,'Code Results'!A:B,2,FALSE)</f>
        <v>5360.7233824511204</v>
      </c>
      <c r="I62" s="190">
        <f>IFERROR(VLOOKUP($A62,'Code Results'!$A:$C,13,FALSE),VLOOKUP('Data Summary'!$A62,'Ref-Data'!$A:$U,18,FALSE))</f>
        <v>0</v>
      </c>
      <c r="J62" s="190">
        <f t="shared" si="4"/>
        <v>5360.7233824511204</v>
      </c>
      <c r="K62" s="167" t="s">
        <v>1156</v>
      </c>
      <c r="L62" s="190">
        <f>VLOOKUP(A62, 'Ref-Data'!$A:$I,9,FALSE)</f>
        <v>1</v>
      </c>
      <c r="M62" s="173">
        <v>4.7500000000000001E-2</v>
      </c>
      <c r="N62" s="173">
        <v>0.37514320519767774</v>
      </c>
      <c r="O62" s="192">
        <v>3502.9172331077216</v>
      </c>
      <c r="P62" s="191">
        <f t="shared" si="5"/>
        <v>-3.5400000000000001E-2</v>
      </c>
      <c r="Q62" s="191">
        <f t="shared" si="6"/>
        <v>-0.22514320519767775</v>
      </c>
      <c r="R62" s="193">
        <f t="shared" si="7"/>
        <v>1857.8061493433988</v>
      </c>
      <c r="S62" s="354"/>
      <c r="T62" s="167"/>
      <c r="U62" s="355"/>
      <c r="V62" s="355"/>
      <c r="W62" s="355"/>
      <c r="X62" s="355"/>
      <c r="Y62" s="355"/>
      <c r="Z62" s="445">
        <f>VLOOKUP(A62,'Ref-Data'!$A:$F,6,FALSE)</f>
        <v>4.8651608487337441</v>
      </c>
      <c r="AA62" s="390">
        <f>IF('Ref-Data'!$Z$2="ON",VLOOKUP('Data Summary'!A62,'MacroPD-Cal'!$A:$O,15,FALSE),IF('Ref-Data'!$Z$5="Baseline",VLOOKUP(A62,'Model Output_TTC'!$A:$AU,47,FALSE),IF('Ref-Data'!$Z$5="90th Percentile",VLOOKUP(A62,'Model Output_TTC'!$A:$BP,68,FALSE),IF('Ref-Data'!$Z$5="96th Percentile",VLOOKUP('Data Summary'!A62,'Model Output_TTC'!$A:$Z,26,FALSE),""))))</f>
        <v>4.3700000000000003E-2</v>
      </c>
      <c r="AB62" s="453"/>
      <c r="AC62" s="226"/>
      <c r="AD62" s="190"/>
      <c r="AE62" s="190"/>
      <c r="AF62" s="190"/>
    </row>
    <row r="63" spans="1:32" s="166" customFormat="1" x14ac:dyDescent="0.25">
      <c r="A63" s="279">
        <v>1100000150</v>
      </c>
      <c r="B63" s="167" t="str">
        <f>VLOOKUP(A63,'Ref-Data'!A:AD,30,FALSE)</f>
        <v>SIGNET HOTELS (HAMPTON COURT - PROPERTY) LTD</v>
      </c>
      <c r="C63" s="190">
        <f>VLOOKUP('Data Summary'!$A63,'Ref-Data'!$A:$U,2,FALSE)</f>
        <v>3300873.9</v>
      </c>
      <c r="D63" s="190">
        <f>VLOOKUP(A63,'Ref-Data'!A:C,3,FALSE)</f>
        <v>3300873.9</v>
      </c>
      <c r="E63" s="190">
        <f>VLOOKUP('Data Summary'!$A63,'Ref-Data'!$A:$U,15,FALSE)</f>
        <v>0</v>
      </c>
      <c r="F63" s="226">
        <f>VLOOKUP('Data Summary'!$A63,'Ref-Data'!$A:$U,12,FALSE)</f>
        <v>1.2100000000000001E-2</v>
      </c>
      <c r="G63" s="226">
        <f>VLOOKUP('Data Summary'!$A63,'Ref-Data'!$A:$U,14,FALSE)</f>
        <v>0.15</v>
      </c>
      <c r="H63" s="190">
        <f>VLOOKUP(A63,'Code Results'!A:B,2,FALSE)</f>
        <v>5840.7406248402904</v>
      </c>
      <c r="I63" s="190">
        <f>IFERROR(VLOOKUP($A63,'Code Results'!$A:$C,13,FALSE),VLOOKUP('Data Summary'!$A63,'Ref-Data'!$A:$U,18,FALSE))</f>
        <v>0</v>
      </c>
      <c r="J63" s="190">
        <f t="shared" si="4"/>
        <v>5840.7406248402904</v>
      </c>
      <c r="K63" s="167" t="s">
        <v>1156</v>
      </c>
      <c r="L63" s="190">
        <f>VLOOKUP(A63, 'Ref-Data'!$A:$I,9,FALSE)</f>
        <v>1</v>
      </c>
      <c r="M63" s="173">
        <v>4.7500000000000001E-2</v>
      </c>
      <c r="N63" s="173">
        <v>0.37514320519767774</v>
      </c>
      <c r="O63" s="192">
        <v>3502.9172331077216</v>
      </c>
      <c r="P63" s="191">
        <f t="shared" si="5"/>
        <v>-3.5400000000000001E-2</v>
      </c>
      <c r="Q63" s="191">
        <f t="shared" si="6"/>
        <v>-0.22514320519767775</v>
      </c>
      <c r="R63" s="193">
        <f t="shared" si="7"/>
        <v>2337.8233917325688</v>
      </c>
      <c r="S63" s="354"/>
      <c r="T63" s="167"/>
      <c r="U63" s="355"/>
      <c r="V63" s="355"/>
      <c r="W63" s="355"/>
      <c r="X63" s="355"/>
      <c r="Y63" s="355"/>
      <c r="Z63" s="445">
        <f>VLOOKUP(A63,'Ref-Data'!$A:$F,6,FALSE)</f>
        <v>3.868583162217659</v>
      </c>
      <c r="AA63" s="390">
        <f>IF('Ref-Data'!$Z$2="ON",VLOOKUP('Data Summary'!A63,'MacroPD-Cal'!$A:$O,15,FALSE),IF('Ref-Data'!$Z$5="Baseline",VLOOKUP(A63,'Model Output_TTC'!$A:$AU,47,FALSE),IF('Ref-Data'!$Z$5="90th Percentile",VLOOKUP(A63,'Model Output_TTC'!$A:$BP,68,FALSE),IF('Ref-Data'!$Z$5="96th Percentile",VLOOKUP('Data Summary'!A63,'Model Output_TTC'!$A:$Z,26,FALSE),""))))</f>
        <v>3.3100000000000004E-2</v>
      </c>
    </row>
    <row r="64" spans="1:32" s="166" customFormat="1" x14ac:dyDescent="0.25">
      <c r="A64" s="279">
        <v>1200000118</v>
      </c>
      <c r="B64" s="167" t="str">
        <f>VLOOKUP(A64,'Ref-Data'!A:AD,30,FALSE)</f>
        <v>LYONS DAVIDSON LIMITED</v>
      </c>
      <c r="C64" s="190">
        <f>VLOOKUP('Data Summary'!$A64,'Ref-Data'!$A:$U,2,FALSE)</f>
        <v>5000000</v>
      </c>
      <c r="D64" s="190">
        <f>VLOOKUP(A64,'Ref-Data'!A:C,3,FALSE)</f>
        <v>5000000</v>
      </c>
      <c r="E64" s="190">
        <f>VLOOKUP('Data Summary'!$A64,'Ref-Data'!$A:$U,15,FALSE)</f>
        <v>0</v>
      </c>
      <c r="F64" s="226">
        <f>VLOOKUP('Data Summary'!$A64,'Ref-Data'!$A:$U,12,FALSE)</f>
        <v>2.23E-2</v>
      </c>
      <c r="G64" s="226">
        <f>VLOOKUP('Data Summary'!$A64,'Ref-Data'!$A:$U,14,FALSE)</f>
        <v>0.15</v>
      </c>
      <c r="H64" s="190">
        <f>VLOOKUP(A64,'Code Results'!A:B,2,FALSE)</f>
        <v>16236.4226208484</v>
      </c>
      <c r="I64" s="190">
        <f>IFERROR(VLOOKUP($A64,'Code Results'!$A:$C,13,FALSE),VLOOKUP('Data Summary'!$A64,'Ref-Data'!$A:$U,18,FALSE))</f>
        <v>0</v>
      </c>
      <c r="J64" s="190">
        <f t="shared" si="4"/>
        <v>16236.4226208484</v>
      </c>
      <c r="K64" s="167" t="s">
        <v>1156</v>
      </c>
      <c r="L64" s="190">
        <f>VLOOKUP(A64, 'Ref-Data'!$A:$I,9,FALSE)</f>
        <v>1</v>
      </c>
      <c r="M64" s="173">
        <v>4.7500000000000001E-2</v>
      </c>
      <c r="N64" s="173">
        <v>0.37514320519767774</v>
      </c>
      <c r="O64" s="192">
        <v>3502.9172331077216</v>
      </c>
      <c r="P64" s="191">
        <f t="shared" si="5"/>
        <v>-2.52E-2</v>
      </c>
      <c r="Q64" s="191">
        <f t="shared" si="6"/>
        <v>-0.22514320519767775</v>
      </c>
      <c r="R64" s="193">
        <f t="shared" si="7"/>
        <v>12733.505387740679</v>
      </c>
      <c r="S64" s="354"/>
      <c r="T64" s="167"/>
      <c r="U64" s="355"/>
      <c r="V64" s="355"/>
      <c r="W64" s="355"/>
      <c r="X64" s="355"/>
      <c r="Y64" s="355"/>
      <c r="Z64" s="445">
        <f>VLOOKUP(A64,'Ref-Data'!$A:$F,6,FALSE)</f>
        <v>3.9069130732375084</v>
      </c>
      <c r="AA64" s="390">
        <f>IF('Ref-Data'!$Z$2="ON",VLOOKUP('Data Summary'!A64,'MacroPD-Cal'!$A:$O,15,FALSE),IF('Ref-Data'!$Z$5="Baseline",VLOOKUP(A64,'Model Output_TTC'!$A:$AU,47,FALSE),IF('Ref-Data'!$Z$5="90th Percentile",VLOOKUP(A64,'Model Output_TTC'!$A:$BP,68,FALSE),IF('Ref-Data'!$Z$5="96th Percentile",VLOOKUP('Data Summary'!A64,'Model Output_TTC'!$A:$Z,26,FALSE),""))))</f>
        <v>6.2600000000000003E-2</v>
      </c>
    </row>
    <row r="65" spans="1:27" s="166" customFormat="1" x14ac:dyDescent="0.25">
      <c r="A65" s="279">
        <v>1100000157</v>
      </c>
      <c r="B65" s="167" t="str">
        <f>VLOOKUP(A65,'Ref-Data'!A:AD,30,FALSE)</f>
        <v>LYONS DAVIDSON LIMITED</v>
      </c>
      <c r="C65" s="190">
        <f>VLOOKUP('Data Summary'!$A65,'Ref-Data'!$A:$U,2,FALSE)</f>
        <v>1500000</v>
      </c>
      <c r="D65" s="190">
        <f>VLOOKUP(A65,'Ref-Data'!A:C,3,FALSE)</f>
        <v>1500000</v>
      </c>
      <c r="E65" s="190">
        <f>VLOOKUP('Data Summary'!$A65,'Ref-Data'!$A:$U,15,FALSE)</f>
        <v>0</v>
      </c>
      <c r="F65" s="226">
        <f>VLOOKUP('Data Summary'!$A65,'Ref-Data'!$A:$U,12,FALSE)</f>
        <v>2.23E-2</v>
      </c>
      <c r="G65" s="226">
        <f>VLOOKUP('Data Summary'!$A65,'Ref-Data'!$A:$U,14,FALSE)</f>
        <v>0.1</v>
      </c>
      <c r="H65" s="190">
        <f>VLOOKUP(A65,'Code Results'!A:B,2,FALSE)</f>
        <v>3323.4443446902101</v>
      </c>
      <c r="I65" s="190">
        <f>IFERROR(VLOOKUP($A65,'Code Results'!$A:$C,13,FALSE),VLOOKUP('Data Summary'!$A65,'Ref-Data'!$A:$U,18,FALSE))</f>
        <v>0</v>
      </c>
      <c r="J65" s="190">
        <f t="shared" si="4"/>
        <v>3323.4443446902101</v>
      </c>
      <c r="K65" s="167" t="s">
        <v>1156</v>
      </c>
      <c r="L65" s="190">
        <f>VLOOKUP(A65, 'Ref-Data'!$A:$I,9,FALSE)</f>
        <v>1</v>
      </c>
      <c r="M65" s="173">
        <v>4.7500000000000001E-2</v>
      </c>
      <c r="N65" s="173">
        <v>0.37514320519767774</v>
      </c>
      <c r="O65" s="192">
        <v>3502.9172331077216</v>
      </c>
      <c r="P65" s="191">
        <f t="shared" si="5"/>
        <v>-2.52E-2</v>
      </c>
      <c r="Q65" s="191">
        <f t="shared" si="6"/>
        <v>-0.27514320519767776</v>
      </c>
      <c r="R65" s="193">
        <f t="shared" si="7"/>
        <v>-179.47288841751151</v>
      </c>
      <c r="S65" s="354"/>
      <c r="T65" s="167"/>
      <c r="U65" s="355"/>
      <c r="V65" s="355"/>
      <c r="W65" s="355"/>
      <c r="X65" s="355"/>
      <c r="Y65" s="355"/>
      <c r="Z65" s="445">
        <f>VLOOKUP(A65,'Ref-Data'!$A:$F,6,FALSE)</f>
        <v>3.9069130732375084</v>
      </c>
      <c r="AA65" s="390">
        <f>IF('Ref-Data'!$Z$2="ON",VLOOKUP('Data Summary'!A65,'MacroPD-Cal'!$A:$O,15,FALSE),IF('Ref-Data'!$Z$5="Baseline",VLOOKUP(A65,'Model Output_TTC'!$A:$AU,47,FALSE),IF('Ref-Data'!$Z$5="90th Percentile",VLOOKUP(A65,'Model Output_TTC'!$A:$BP,68,FALSE),IF('Ref-Data'!$Z$5="96th Percentile",VLOOKUP('Data Summary'!A65,'Model Output_TTC'!$A:$Z,26,FALSE),""))))</f>
        <v>6.2600000000000003E-2</v>
      </c>
    </row>
    <row r="66" spans="1:27" s="166" customFormat="1" x14ac:dyDescent="0.25">
      <c r="A66" s="279">
        <v>1200000119</v>
      </c>
      <c r="B66" s="167" t="str">
        <f>VLOOKUP(A66,'Ref-Data'!A:AD,30,FALSE)</f>
        <v>SLATTERS DEVELOPMENT LIMITED</v>
      </c>
      <c r="C66" s="190">
        <f>VLOOKUP('Data Summary'!$A66,'Ref-Data'!$A:$U,2,FALSE)</f>
        <v>3260403</v>
      </c>
      <c r="D66" s="190">
        <f>VLOOKUP(A66,'Ref-Data'!A:C,3,FALSE)</f>
        <v>3260403</v>
      </c>
      <c r="E66" s="190">
        <f>VLOOKUP('Data Summary'!$A66,'Ref-Data'!$A:$U,15,FALSE)</f>
        <v>0</v>
      </c>
      <c r="F66" s="226">
        <f>VLOOKUP('Data Summary'!$A66,'Ref-Data'!$A:$U,12,FALSE)</f>
        <v>1.03E-2</v>
      </c>
      <c r="G66" s="226">
        <f>VLOOKUP('Data Summary'!$A66,'Ref-Data'!$A:$U,14,FALSE)</f>
        <v>0.15</v>
      </c>
      <c r="H66" s="190">
        <f>VLOOKUP(A66,'Code Results'!A:B,2,FALSE)</f>
        <v>279.69540239675899</v>
      </c>
      <c r="I66" s="190">
        <f>IFERROR(VLOOKUP($A66,'Code Results'!$A:$C,13,FALSE),VLOOKUP('Data Summary'!$A66,'Ref-Data'!$A:$U,18,FALSE))</f>
        <v>0</v>
      </c>
      <c r="J66" s="190">
        <f t="shared" si="4"/>
        <v>279.69540239675899</v>
      </c>
      <c r="K66" s="167" t="s">
        <v>1156</v>
      </c>
      <c r="L66" s="190">
        <f>VLOOKUP(A66, 'Ref-Data'!$A:$I,9,FALSE)</f>
        <v>1</v>
      </c>
      <c r="M66" s="173">
        <v>4.7500000000000001E-2</v>
      </c>
      <c r="N66" s="173">
        <v>0.37514320519767774</v>
      </c>
      <c r="O66" s="192">
        <v>3502.9172331077216</v>
      </c>
      <c r="P66" s="191">
        <f t="shared" si="5"/>
        <v>-3.7199999999999997E-2</v>
      </c>
      <c r="Q66" s="191">
        <f t="shared" si="6"/>
        <v>-0.22514320519767775</v>
      </c>
      <c r="R66" s="193">
        <f t="shared" si="7"/>
        <v>-3223.2218307109624</v>
      </c>
      <c r="S66" s="354"/>
      <c r="T66" s="167"/>
      <c r="U66" s="355"/>
      <c r="V66" s="355"/>
      <c r="W66" s="355"/>
      <c r="X66" s="355"/>
      <c r="Y66" s="355"/>
      <c r="Z66" s="445">
        <f>VLOOKUP(A66,'Ref-Data'!$A:$F,6,FALSE)</f>
        <v>4.8952772073921968</v>
      </c>
      <c r="AA66" s="390">
        <f>IF('Ref-Data'!$Z$2="ON",VLOOKUP('Data Summary'!A66,'MacroPD-Cal'!$A:$O,15,FALSE),IF('Ref-Data'!$Z$5="Baseline",VLOOKUP(A66,'Model Output_TTC'!$A:$AU,47,FALSE),IF('Ref-Data'!$Z$5="90th Percentile",VLOOKUP(A66,'Model Output_TTC'!$A:$BP,68,FALSE),IF('Ref-Data'!$Z$5="96th Percentile",VLOOKUP('Data Summary'!A66,'Model Output_TTC'!$A:$Z,26,FALSE),""))))</f>
        <v>3.3800000000000004E-2</v>
      </c>
    </row>
    <row r="67" spans="1:27" s="166" customFormat="1" x14ac:dyDescent="0.25">
      <c r="A67" s="279">
        <v>1200000120</v>
      </c>
      <c r="B67" s="167" t="str">
        <f>VLOOKUP(A67,'Ref-Data'!A:AD,30,FALSE)</f>
        <v>SLATTERS DEVELOPMENT LIMITED</v>
      </c>
      <c r="C67" s="190">
        <f>VLOOKUP('Data Summary'!$A67,'Ref-Data'!$A:$U,2,FALSE)</f>
        <v>1739597</v>
      </c>
      <c r="D67" s="190">
        <f>VLOOKUP(A67,'Ref-Data'!A:C,3,FALSE)</f>
        <v>1739597</v>
      </c>
      <c r="E67" s="190">
        <f>VLOOKUP('Data Summary'!$A67,'Ref-Data'!$A:$U,15,FALSE)</f>
        <v>0</v>
      </c>
      <c r="F67" s="226">
        <f>VLOOKUP('Data Summary'!$A67,'Ref-Data'!$A:$U,12,FALSE)</f>
        <v>1.03E-2</v>
      </c>
      <c r="G67" s="226">
        <f>VLOOKUP('Data Summary'!$A67,'Ref-Data'!$A:$U,14,FALSE)</f>
        <v>0.15</v>
      </c>
      <c r="H67" s="190">
        <f>VLOOKUP(A67,'Code Results'!A:B,2,FALSE)</f>
        <v>149.23225224709799</v>
      </c>
      <c r="I67" s="190">
        <f>IFERROR(VLOOKUP($A67,'Code Results'!$A:$C,13,FALSE),VLOOKUP('Data Summary'!$A67,'Ref-Data'!$A:$U,18,FALSE))</f>
        <v>0</v>
      </c>
      <c r="J67" s="190">
        <f t="shared" si="4"/>
        <v>149.23225224709799</v>
      </c>
      <c r="K67" s="167" t="s">
        <v>1156</v>
      </c>
      <c r="L67" s="190">
        <f>VLOOKUP(A67, 'Ref-Data'!$A:$I,9,FALSE)</f>
        <v>1</v>
      </c>
      <c r="M67" s="173">
        <v>4.7500000000000001E-2</v>
      </c>
      <c r="N67" s="173">
        <v>0.37514320519767774</v>
      </c>
      <c r="O67" s="192">
        <v>3502.9172331077216</v>
      </c>
      <c r="P67" s="191">
        <f t="shared" si="5"/>
        <v>-3.7199999999999997E-2</v>
      </c>
      <c r="Q67" s="191">
        <f t="shared" si="6"/>
        <v>-0.22514320519767775</v>
      </c>
      <c r="R67" s="193">
        <f t="shared" si="7"/>
        <v>-3353.6849808606235</v>
      </c>
      <c r="S67" s="354"/>
      <c r="T67" s="167"/>
      <c r="U67" s="355"/>
      <c r="V67" s="355"/>
      <c r="W67" s="355"/>
      <c r="X67" s="355"/>
      <c r="Y67" s="355"/>
      <c r="Z67" s="445">
        <f>VLOOKUP(A67,'Ref-Data'!$A:$F,6,FALSE)</f>
        <v>4.8952772073921968</v>
      </c>
      <c r="AA67" s="390">
        <f>IF('Ref-Data'!$Z$2="ON",VLOOKUP('Data Summary'!A67,'MacroPD-Cal'!$A:$O,15,FALSE),IF('Ref-Data'!$Z$5="Baseline",VLOOKUP(A67,'Model Output_TTC'!$A:$AU,47,FALSE),IF('Ref-Data'!$Z$5="90th Percentile",VLOOKUP(A67,'Model Output_TTC'!$A:$BP,68,FALSE),IF('Ref-Data'!$Z$5="96th Percentile",VLOOKUP('Data Summary'!A67,'Model Output_TTC'!$A:$Z,26,FALSE),""))))</f>
        <v>3.3800000000000004E-2</v>
      </c>
    </row>
    <row r="68" spans="1:27" s="166" customFormat="1" x14ac:dyDescent="0.25">
      <c r="A68" s="279">
        <v>1200000121</v>
      </c>
      <c r="B68" s="167" t="str">
        <f>VLOOKUP(A68,'Ref-Data'!A:AD,30,FALSE)</f>
        <v>LHH INVESTMENTS LIMITED</v>
      </c>
      <c r="C68" s="190">
        <f>VLOOKUP('Data Summary'!$A68,'Ref-Data'!$A:$U,2,FALSE)</f>
        <v>2300000</v>
      </c>
      <c r="D68" s="190">
        <f>VLOOKUP(A68,'Ref-Data'!A:C,3,FALSE)</f>
        <v>2300000</v>
      </c>
      <c r="E68" s="190">
        <f>VLOOKUP('Data Summary'!$A68,'Ref-Data'!$A:$U,15,FALSE)</f>
        <v>0</v>
      </c>
      <c r="F68" s="226">
        <f>VLOOKUP('Data Summary'!$A68,'Ref-Data'!$A:$U,12,FALSE)</f>
        <v>8.2000000000000007E-3</v>
      </c>
      <c r="G68" s="226">
        <f>VLOOKUP('Data Summary'!$A68,'Ref-Data'!$A:$U,14,FALSE)</f>
        <v>0.15</v>
      </c>
      <c r="H68" s="190">
        <f>VLOOKUP(A68,'Code Results'!A:B,2,FALSE)</f>
        <v>2743.27588020025</v>
      </c>
      <c r="I68" s="190">
        <f>IFERROR(VLOOKUP($A68,'Code Results'!$A:$C,13,FALSE),VLOOKUP('Data Summary'!$A68,'Ref-Data'!$A:$U,18,FALSE))</f>
        <v>0</v>
      </c>
      <c r="J68" s="190">
        <f t="shared" ref="J68:J72" si="8">IFERROR(H68+I68, "")</f>
        <v>2743.27588020025</v>
      </c>
      <c r="K68" s="167" t="s">
        <v>1156</v>
      </c>
      <c r="L68" s="190">
        <f>VLOOKUP(A68, 'Ref-Data'!$A:$I,9,FALSE)</f>
        <v>1</v>
      </c>
      <c r="M68" s="173">
        <v>4.7500000000000001E-2</v>
      </c>
      <c r="N68" s="173">
        <v>0.37514320519767774</v>
      </c>
      <c r="O68" s="192">
        <v>3502.9172331077216</v>
      </c>
      <c r="P68" s="191">
        <f t="shared" ref="P68:P72" si="9">F68-M68</f>
        <v>-3.9300000000000002E-2</v>
      </c>
      <c r="Q68" s="191">
        <f t="shared" ref="Q68:Q72" si="10">G68-N68</f>
        <v>-0.22514320519767775</v>
      </c>
      <c r="R68" s="193">
        <f t="shared" ref="R68:R72" si="11">J68-O68</f>
        <v>-759.64135290747163</v>
      </c>
      <c r="S68" s="354"/>
      <c r="T68" s="167"/>
      <c r="U68" s="355"/>
      <c r="V68" s="355"/>
      <c r="W68" s="355"/>
      <c r="X68" s="355"/>
      <c r="Y68" s="355"/>
      <c r="Z68" s="445">
        <f>VLOOKUP(A68,'Ref-Data'!$A:$F,6,FALSE)</f>
        <v>5.1416837782340865</v>
      </c>
      <c r="AA68" s="390">
        <f>IF('Ref-Data'!$Z$2="ON",VLOOKUP('Data Summary'!A68,'MacroPD-Cal'!$A:$O,15,FALSE),IF('Ref-Data'!$Z$5="Baseline",VLOOKUP(A68,'Model Output_TTC'!$A:$AU,47,FALSE),IF('Ref-Data'!$Z$5="90th Percentile",VLOOKUP(A68,'Model Output_TTC'!$A:$BP,68,FALSE),IF('Ref-Data'!$Z$5="96th Percentile",VLOOKUP('Data Summary'!A68,'Model Output_TTC'!$A:$Z,26,FALSE),""))))</f>
        <v>3.1699999999999999E-2</v>
      </c>
    </row>
    <row r="69" spans="1:27" s="166" customFormat="1" x14ac:dyDescent="0.25">
      <c r="A69" s="279">
        <v>1200000137</v>
      </c>
      <c r="B69" s="167" t="str">
        <f>VLOOKUP(A69,'Ref-Data'!A:AD,30,FALSE)</f>
        <v>DAISY GREEN FOOD LIMITED</v>
      </c>
      <c r="C69" s="190">
        <f>VLOOKUP('Data Summary'!$A69,'Ref-Data'!$A:$U,2,FALSE)</f>
        <v>1141302.73</v>
      </c>
      <c r="D69" s="190">
        <f>VLOOKUP(A69,'Ref-Data'!A:C,3,FALSE)</f>
        <v>1141302.73</v>
      </c>
      <c r="E69" s="190">
        <f>VLOOKUP('Data Summary'!$A69,'Ref-Data'!$A:$U,15,FALSE)</f>
        <v>0</v>
      </c>
      <c r="F69" s="226">
        <f>VLOOKUP('Data Summary'!$A69,'Ref-Data'!$A:$U,12,FALSE)</f>
        <v>1.9599999999999999E-2</v>
      </c>
      <c r="G69" s="226">
        <f>VLOOKUP('Data Summary'!$A69,'Ref-Data'!$A:$U,14,FALSE)</f>
        <v>0.44259999999999999</v>
      </c>
      <c r="H69" s="190">
        <f>VLOOKUP(A69,'Code Results'!A:B,2,FALSE)</f>
        <v>7460.5116800518999</v>
      </c>
      <c r="I69" s="190">
        <f>IFERROR(VLOOKUP($A69,'Code Results'!$A:$C,13,FALSE),VLOOKUP('Data Summary'!$A69,'Ref-Data'!$A:$U,18,FALSE))</f>
        <v>0</v>
      </c>
      <c r="J69" s="190">
        <f t="shared" si="8"/>
        <v>7460.5116800518999</v>
      </c>
      <c r="K69" s="167" t="s">
        <v>1156</v>
      </c>
      <c r="L69" s="190">
        <f>VLOOKUP(A69, 'Ref-Data'!$A:$I,9,FALSE)</f>
        <v>1</v>
      </c>
      <c r="M69" s="173">
        <v>4.7500000000000001E-2</v>
      </c>
      <c r="N69" s="173">
        <v>0.37514320519767774</v>
      </c>
      <c r="O69" s="192">
        <v>3502.9172331077216</v>
      </c>
      <c r="P69" s="191">
        <f t="shared" si="9"/>
        <v>-2.7900000000000001E-2</v>
      </c>
      <c r="Q69" s="191">
        <f t="shared" si="10"/>
        <v>6.7456794802322251E-2</v>
      </c>
      <c r="R69" s="193">
        <f t="shared" si="11"/>
        <v>3957.5944469441783</v>
      </c>
      <c r="S69" s="354"/>
      <c r="T69" s="167"/>
      <c r="U69" s="355"/>
      <c r="V69" s="355"/>
      <c r="W69" s="355"/>
      <c r="X69" s="355"/>
      <c r="Y69" s="355"/>
      <c r="Z69" s="445">
        <f>VLOOKUP(A69,'Ref-Data'!$A:$F,6,FALSE)</f>
        <v>4.9828884325804248</v>
      </c>
      <c r="AA69" s="390">
        <f>IF('Ref-Data'!$Z$2="ON",VLOOKUP('Data Summary'!A69,'MacroPD-Cal'!$A:$O,15,FALSE),IF('Ref-Data'!$Z$5="Baseline",VLOOKUP(A69,'Model Output_TTC'!$A:$AU,47,FALSE),IF('Ref-Data'!$Z$5="90th Percentile",VLOOKUP(A69,'Model Output_TTC'!$A:$BP,68,FALSE),IF('Ref-Data'!$Z$5="96th Percentile",VLOOKUP('Data Summary'!A69,'Model Output_TTC'!$A:$Z,26,FALSE),""))))</f>
        <v>6.8600000000000008E-2</v>
      </c>
    </row>
    <row r="70" spans="1:27" s="166" customFormat="1" x14ac:dyDescent="0.25">
      <c r="A70" s="279">
        <v>1200000138</v>
      </c>
      <c r="B70" s="167" t="str">
        <f>VLOOKUP(A70,'Ref-Data'!A:AD,30,FALSE)</f>
        <v>DAISY GREEN FOOD LIMITED</v>
      </c>
      <c r="C70" s="190">
        <f>VLOOKUP('Data Summary'!$A70,'Ref-Data'!$A:$U,2,FALSE)</f>
        <v>418000</v>
      </c>
      <c r="D70" s="190">
        <f>VLOOKUP(A70,'Ref-Data'!A:C,3,FALSE)</f>
        <v>50000</v>
      </c>
      <c r="E70" s="190">
        <f>VLOOKUP('Data Summary'!$A70,'Ref-Data'!$A:$U,15,FALSE)</f>
        <v>368000</v>
      </c>
      <c r="F70" s="226">
        <f>VLOOKUP('Data Summary'!$A70,'Ref-Data'!$A:$U,12,FALSE)</f>
        <v>1.9599999999999999E-2</v>
      </c>
      <c r="G70" s="226">
        <f>VLOOKUP('Data Summary'!$A70,'Ref-Data'!$A:$U,14,FALSE)</f>
        <v>0.44259999999999999</v>
      </c>
      <c r="H70" s="190">
        <f>VLOOKUP(A70,'Code Results'!A:B,2,FALSE)</f>
        <v>425.74047391365002</v>
      </c>
      <c r="I70" s="190">
        <f>IFERROR(VLOOKUP($A70,'Code Results'!$A:$C,13,FALSE),VLOOKUP('Data Summary'!$A70,'Ref-Data'!$A:$U,18,FALSE))</f>
        <v>1596.1926399999998</v>
      </c>
      <c r="J70" s="190">
        <f t="shared" si="8"/>
        <v>2021.9331139136498</v>
      </c>
      <c r="K70" s="167" t="s">
        <v>1156</v>
      </c>
      <c r="L70" s="190">
        <f>VLOOKUP(A70, 'Ref-Data'!$A:$I,9,FALSE)</f>
        <v>1</v>
      </c>
      <c r="M70" s="173">
        <v>4.7500000000000001E-2</v>
      </c>
      <c r="N70" s="173">
        <v>0.37514320519767774</v>
      </c>
      <c r="O70" s="192">
        <v>3502.9172331077216</v>
      </c>
      <c r="P70" s="191">
        <f t="shared" si="9"/>
        <v>-2.7900000000000001E-2</v>
      </c>
      <c r="Q70" s="191">
        <f t="shared" si="10"/>
        <v>6.7456794802322251E-2</v>
      </c>
      <c r="R70" s="193">
        <f t="shared" si="11"/>
        <v>-1480.9841191940718</v>
      </c>
      <c r="S70" s="354"/>
      <c r="T70" s="167"/>
      <c r="U70" s="355"/>
      <c r="V70" s="355"/>
      <c r="W70" s="355"/>
      <c r="X70" s="355"/>
      <c r="Y70" s="355"/>
      <c r="Z70" s="445">
        <f>VLOOKUP(A70,'Ref-Data'!$A:$F,6,FALSE)</f>
        <v>4.9828884325804248</v>
      </c>
      <c r="AA70" s="390">
        <f>IF('Ref-Data'!$Z$2="ON",VLOOKUP('Data Summary'!A70,'MacroPD-Cal'!$A:$O,15,FALSE),IF('Ref-Data'!$Z$5="Baseline",VLOOKUP(A70,'Model Output_TTC'!$A:$AU,47,FALSE),IF('Ref-Data'!$Z$5="90th Percentile",VLOOKUP(A70,'Model Output_TTC'!$A:$BP,68,FALSE),IF('Ref-Data'!$Z$5="96th Percentile",VLOOKUP('Data Summary'!A70,'Model Output_TTC'!$A:$Z,26,FALSE),""))))</f>
        <v>6.8600000000000008E-2</v>
      </c>
    </row>
    <row r="71" spans="1:27" s="166" customFormat="1" x14ac:dyDescent="0.25">
      <c r="A71" s="279">
        <v>1200000142</v>
      </c>
      <c r="B71" s="167" t="str">
        <f>VLOOKUP(A71,'Ref-Data'!A:AD,30,FALSE)</f>
        <v>SBH PARK HOLDING LIMITED</v>
      </c>
      <c r="C71" s="190">
        <f>VLOOKUP('Data Summary'!$A71,'Ref-Data'!$A:$U,2,FALSE)</f>
        <v>867000</v>
      </c>
      <c r="D71" s="190">
        <f>VLOOKUP(A71,'Ref-Data'!A:C,3,FALSE)</f>
        <v>867000</v>
      </c>
      <c r="E71" s="190">
        <f>VLOOKUP('Data Summary'!$A71,'Ref-Data'!$A:$U,15,FALSE)</f>
        <v>0</v>
      </c>
      <c r="F71" s="226">
        <f>VLOOKUP('Data Summary'!$A71,'Ref-Data'!$A:$U,12,FALSE)</f>
        <v>0.1885</v>
      </c>
      <c r="G71" s="226">
        <f>VLOOKUP('Data Summary'!$A71,'Ref-Data'!$A:$U,14,FALSE)</f>
        <v>0.15397009191929528</v>
      </c>
      <c r="H71" s="190">
        <f>VLOOKUP(A71,'Code Results'!A:B,2,FALSE)</f>
        <v>24798.370622460301</v>
      </c>
      <c r="I71" s="190">
        <f>IFERROR(VLOOKUP($A71,'Code Results'!$A:$C,13,FALSE),VLOOKUP('Data Summary'!$A71,'Ref-Data'!$A:$U,18,FALSE))</f>
        <v>0</v>
      </c>
      <c r="J71" s="190">
        <f t="shared" si="8"/>
        <v>24798.370622460301</v>
      </c>
      <c r="K71" s="167" t="s">
        <v>1156</v>
      </c>
      <c r="L71" s="190">
        <f>VLOOKUP(A71, 'Ref-Data'!$A:$I,9,FALSE)</f>
        <v>1</v>
      </c>
      <c r="M71" s="173">
        <v>4.7500000000000001E-2</v>
      </c>
      <c r="N71" s="173">
        <v>0.37514320519767774</v>
      </c>
      <c r="O71" s="192">
        <v>3502.9172331077216</v>
      </c>
      <c r="P71" s="191">
        <f t="shared" si="9"/>
        <v>0.14100000000000001</v>
      </c>
      <c r="Q71" s="191">
        <f t="shared" si="10"/>
        <v>-0.22117311327838246</v>
      </c>
      <c r="R71" s="193">
        <f t="shared" si="11"/>
        <v>21295.45338935258</v>
      </c>
      <c r="S71" s="354"/>
      <c r="T71" s="167"/>
      <c r="U71" s="355"/>
      <c r="V71" s="355"/>
      <c r="W71" s="355"/>
      <c r="X71" s="355"/>
      <c r="Y71" s="355"/>
      <c r="Z71" s="445">
        <f>VLOOKUP(A71,'Ref-Data'!$A:$F,6,FALSE)</f>
        <v>4.0793976728268309</v>
      </c>
      <c r="AA71" s="390">
        <f>IF('Ref-Data'!$Z$2="ON",VLOOKUP('Data Summary'!A71,'MacroPD-Cal'!$A:$O,15,FALSE),IF('Ref-Data'!$Z$5="Baseline",VLOOKUP(A71,'Model Output_TTC'!$A:$AU,47,FALSE),IF('Ref-Data'!$Z$5="90th Percentile",VLOOKUP(A71,'Model Output_TTC'!$A:$BP,68,FALSE),IF('Ref-Data'!$Z$5="96th Percentile",VLOOKUP('Data Summary'!A71,'Model Output_TTC'!$A:$Z,26,FALSE),""))))</f>
        <v>0.52690000000000003</v>
      </c>
    </row>
    <row r="72" spans="1:27" s="166" customFormat="1" x14ac:dyDescent="0.25">
      <c r="A72" s="279">
        <v>1200000143</v>
      </c>
      <c r="B72" s="167" t="str">
        <f>VLOOKUP(A72,'Ref-Data'!A:AD,30,FALSE)</f>
        <v>LEISURE AND HOTEL INVESTMENTS LIMITED AND BIKE AND BOOT INNS LIMITED</v>
      </c>
      <c r="C72" s="190">
        <f>VLOOKUP('Data Summary'!$A72,'Ref-Data'!$A:$U,2,FALSE)</f>
        <v>2462727.33</v>
      </c>
      <c r="D72" s="190">
        <f>VLOOKUP(A72,'Ref-Data'!A:C,3,FALSE)</f>
        <v>2462727.33</v>
      </c>
      <c r="E72" s="190">
        <f>VLOOKUP('Data Summary'!$A72,'Ref-Data'!$A:$U,15,FALSE)</f>
        <v>0</v>
      </c>
      <c r="F72" s="226">
        <f>VLOOKUP('Data Summary'!$A72,'Ref-Data'!$A:$U,12,FALSE)</f>
        <v>8.7000000000000011E-3</v>
      </c>
      <c r="G72" s="226">
        <f>VLOOKUP('Data Summary'!$A72,'Ref-Data'!$A:$U,14,FALSE)</f>
        <v>0.15</v>
      </c>
      <c r="H72" s="190">
        <f>VLOOKUP(A72,'Code Results'!A:B,2,FALSE)</f>
        <v>3058.9700098019398</v>
      </c>
      <c r="I72" s="190">
        <f>IFERROR(VLOOKUP($A72,'Code Results'!$A:$C,13,FALSE),VLOOKUP('Data Summary'!$A72,'Ref-Data'!$A:$U,18,FALSE))</f>
        <v>0</v>
      </c>
      <c r="J72" s="190">
        <f t="shared" si="8"/>
        <v>3058.9700098019398</v>
      </c>
      <c r="K72" s="167" t="s">
        <v>1156</v>
      </c>
      <c r="L72" s="190">
        <f>VLOOKUP(A72, 'Ref-Data'!$A:$I,9,FALSE)</f>
        <v>1</v>
      </c>
      <c r="M72" s="173">
        <v>4.7500000000000001E-2</v>
      </c>
      <c r="N72" s="173">
        <v>0.37514320519767774</v>
      </c>
      <c r="O72" s="192">
        <v>3502.9172331077216</v>
      </c>
      <c r="P72" s="191">
        <f t="shared" si="9"/>
        <v>-3.8800000000000001E-2</v>
      </c>
      <c r="Q72" s="191">
        <f t="shared" si="10"/>
        <v>-0.22514320519767775</v>
      </c>
      <c r="R72" s="193">
        <f t="shared" si="11"/>
        <v>-443.94722330578179</v>
      </c>
      <c r="S72" s="354"/>
      <c r="T72" s="167"/>
      <c r="U72" s="355"/>
      <c r="V72" s="355"/>
      <c r="W72" s="355"/>
      <c r="X72" s="355"/>
      <c r="Y72" s="355"/>
      <c r="Z72" s="445">
        <f>VLOOKUP(A72,'Ref-Data'!$A:$F,6,FALSE)</f>
        <v>4.991101984941821</v>
      </c>
      <c r="AA72" s="390">
        <f>IF('Ref-Data'!$Z$2="ON",VLOOKUP('Data Summary'!A72,'MacroPD-Cal'!$A:$O,15,FALSE),IF('Ref-Data'!$Z$5="Baseline",VLOOKUP(A72,'Model Output_TTC'!$A:$AU,47,FALSE),IF('Ref-Data'!$Z$5="90th Percentile",VLOOKUP(A72,'Model Output_TTC'!$A:$BP,68,FALSE),IF('Ref-Data'!$Z$5="96th Percentile",VLOOKUP('Data Summary'!A72,'Model Output_TTC'!$A:$Z,26,FALSE),""))))</f>
        <v>3.7100000000000001E-2</v>
      </c>
    </row>
    <row r="73" spans="1:27" x14ac:dyDescent="0.25">
      <c r="A73" s="354">
        <v>1200000144</v>
      </c>
      <c r="B73" s="167" t="str">
        <f>VLOOKUP(A73,'Ref-Data'!A:AD,30,FALSE)</f>
        <v>BXTR LTD, BXTR MCH LTD, BXTR 3 LTD</v>
      </c>
      <c r="C73" s="190">
        <f>VLOOKUP('Data Summary'!$A73,'Ref-Data'!$A:$U,2,FALSE)</f>
        <v>203978</v>
      </c>
      <c r="D73" s="190">
        <f>VLOOKUP(A73,'Ref-Data'!A:C,3,FALSE)</f>
        <v>203978</v>
      </c>
      <c r="E73" s="190">
        <f>VLOOKUP('Data Summary'!$A73,'Ref-Data'!$A:$U,15,FALSE)</f>
        <v>0</v>
      </c>
      <c r="F73" s="226">
        <f>VLOOKUP('Data Summary'!$A73,'Ref-Data'!$A:$U,12,FALSE)</f>
        <v>1.3800000000000002E-2</v>
      </c>
      <c r="G73" s="226">
        <f>VLOOKUP('Data Summary'!$A73,'Ref-Data'!$A:$U,14,FALSE)</f>
        <v>0.44550000000000001</v>
      </c>
      <c r="H73" s="190">
        <f>VLOOKUP(A73,'Code Results'!A:B,2,FALSE)</f>
        <v>1216.33927014856</v>
      </c>
      <c r="I73" s="190">
        <f>IFERROR(VLOOKUP($A73,'Code Results'!$A:$C,13,FALSE),VLOOKUP('Data Summary'!$A73,'Ref-Data'!$A:$U,18,FALSE))</f>
        <v>0</v>
      </c>
      <c r="J73" s="190">
        <f t="shared" ref="J73:J116" si="12">IFERROR(H73+I73, "")</f>
        <v>1216.33927014856</v>
      </c>
      <c r="K73" s="167" t="s">
        <v>1156</v>
      </c>
      <c r="L73" s="190">
        <f>VLOOKUP(A73, 'Ref-Data'!$A:$I,9,FALSE)</f>
        <v>1</v>
      </c>
      <c r="M73" s="173">
        <v>4.7500000000000001E-2</v>
      </c>
      <c r="N73" s="173">
        <v>0.37514320519767774</v>
      </c>
      <c r="O73" s="192">
        <v>3502.9172331077216</v>
      </c>
      <c r="P73" s="191">
        <f t="shared" ref="P73:P116" si="13">F73-M73</f>
        <v>-3.3700000000000001E-2</v>
      </c>
      <c r="Q73" s="191">
        <f t="shared" ref="Q73:Q116" si="14">G73-N73</f>
        <v>7.0356794802322264E-2</v>
      </c>
      <c r="R73" s="193">
        <f t="shared" ref="R73:R116" si="15">J73-O73</f>
        <v>-2286.5779629591616</v>
      </c>
      <c r="S73" s="354"/>
      <c r="T73" s="167"/>
      <c r="U73" s="355"/>
      <c r="V73" s="355"/>
      <c r="W73" s="355"/>
      <c r="X73" s="355"/>
      <c r="Y73" s="355"/>
      <c r="Z73" s="445">
        <f>VLOOKUP(A73,'Ref-Data'!$A:$F,6,FALSE)</f>
        <v>2.0670773442847366</v>
      </c>
      <c r="AA73" s="390">
        <f>IF('Ref-Data'!$Z$2="ON",VLOOKUP('Data Summary'!A73,'MacroPD-Cal'!$A:$O,15,FALSE),IF('Ref-Data'!$Z$5="Baseline",VLOOKUP(A73,'Model Output_TTC'!$A:$AU,47,FALSE),IF('Ref-Data'!$Z$5="90th Percentile",VLOOKUP(A73,'Model Output_TTC'!$A:$BP,68,FALSE),IF('Ref-Data'!$Z$5="96th Percentile",VLOOKUP('Data Summary'!A73,'Model Output_TTC'!$A:$Z,26,FALSE),""))))</f>
        <v>2.6700000000000002E-2</v>
      </c>
    </row>
    <row r="74" spans="1:27" x14ac:dyDescent="0.25">
      <c r="A74" s="354">
        <v>1200000139</v>
      </c>
      <c r="B74" s="167" t="str">
        <f>VLOOKUP(A74,'Ref-Data'!A:AD,30,FALSE)</f>
        <v>NICOL'S WORSTEDS LIMITED</v>
      </c>
      <c r="C74" s="190">
        <f>VLOOKUP('Data Summary'!$A74,'Ref-Data'!$A:$U,2,FALSE)</f>
        <v>5000000</v>
      </c>
      <c r="D74" s="190">
        <f>VLOOKUP(A74,'Ref-Data'!A:C,3,FALSE)</f>
        <v>5000000</v>
      </c>
      <c r="E74" s="190">
        <f>VLOOKUP('Data Summary'!$A74,'Ref-Data'!$A:$U,15,FALSE)</f>
        <v>0</v>
      </c>
      <c r="F74" s="226">
        <f>VLOOKUP('Data Summary'!$A74,'Ref-Data'!$A:$U,12,FALSE)</f>
        <v>2.69E-2</v>
      </c>
      <c r="G74" s="226">
        <f>VLOOKUP('Data Summary'!$A74,'Ref-Data'!$A:$U,14,FALSE)</f>
        <v>0.15</v>
      </c>
      <c r="H74" s="190">
        <f>VLOOKUP(A74,'Code Results'!A:B,2,FALSE)</f>
        <v>19475.546412752999</v>
      </c>
      <c r="I74" s="190">
        <f>IFERROR(VLOOKUP($A74,'Code Results'!$A:$C,13,FALSE),VLOOKUP('Data Summary'!$A74,'Ref-Data'!$A:$U,18,FALSE))</f>
        <v>0</v>
      </c>
      <c r="J74" s="190">
        <f t="shared" si="12"/>
        <v>19475.546412752999</v>
      </c>
      <c r="K74" s="167" t="s">
        <v>1156</v>
      </c>
      <c r="L74" s="190">
        <f>VLOOKUP(A74, 'Ref-Data'!$A:$I,9,FALSE)</f>
        <v>1</v>
      </c>
      <c r="M74" s="173">
        <v>4.7500000000000001E-2</v>
      </c>
      <c r="N74" s="173">
        <v>0.37514320519767774</v>
      </c>
      <c r="O74" s="192">
        <v>3502.9172331077216</v>
      </c>
      <c r="P74" s="191">
        <f t="shared" si="13"/>
        <v>-2.06E-2</v>
      </c>
      <c r="Q74" s="191">
        <f t="shared" si="14"/>
        <v>-0.22514320519767775</v>
      </c>
      <c r="R74" s="193">
        <f t="shared" si="15"/>
        <v>15972.629179645279</v>
      </c>
      <c r="S74" s="354"/>
      <c r="T74" s="167"/>
      <c r="U74" s="355"/>
      <c r="V74" s="355"/>
      <c r="W74" s="355"/>
      <c r="X74" s="355"/>
      <c r="Y74" s="355"/>
      <c r="Z74" s="445">
        <f>VLOOKUP(A74,'Ref-Data'!$A:$F,6,FALSE)</f>
        <v>2.1546885694729636</v>
      </c>
      <c r="AA74" s="390">
        <f>IF('Ref-Data'!$Z$2="ON",VLOOKUP('Data Summary'!A74,'MacroPD-Cal'!$A:$O,15,FALSE),IF('Ref-Data'!$Z$5="Baseline",VLOOKUP(A74,'Model Output_TTC'!$A:$AU,47,FALSE),IF('Ref-Data'!$Z$5="90th Percentile",VLOOKUP(A74,'Model Output_TTC'!$A:$BP,68,FALSE),IF('Ref-Data'!$Z$5="96th Percentile",VLOOKUP('Data Summary'!A74,'Model Output_TTC'!$A:$Z,26,FALSE),""))))</f>
        <v>4.8300000000000003E-2</v>
      </c>
    </row>
    <row r="75" spans="1:27" x14ac:dyDescent="0.25">
      <c r="A75" s="354">
        <v>1100000195</v>
      </c>
      <c r="B75" s="167" t="str">
        <f>VLOOKUP(A75,'Ref-Data'!A:AD,30,FALSE)</f>
        <v>KANSAS BIDCO LIMITED</v>
      </c>
      <c r="C75" s="190">
        <f>VLOOKUP('Data Summary'!$A75,'Ref-Data'!$A:$U,2,FALSE)</f>
        <v>3000000</v>
      </c>
      <c r="D75" s="190">
        <f>VLOOKUP(A75,'Ref-Data'!A:C,3,FALSE)</f>
        <v>3000000</v>
      </c>
      <c r="E75" s="190">
        <f>VLOOKUP('Data Summary'!$A75,'Ref-Data'!$A:$U,15,FALSE)</f>
        <v>0</v>
      </c>
      <c r="F75" s="226">
        <f>VLOOKUP('Data Summary'!$A75,'Ref-Data'!$A:$U,12,FALSE)</f>
        <v>4.9100000000000005E-2</v>
      </c>
      <c r="G75" s="226">
        <f>VLOOKUP('Data Summary'!$A75,'Ref-Data'!$A:$U,14,FALSE)</f>
        <v>0.38150000000000001</v>
      </c>
      <c r="H75" s="190">
        <f>VLOOKUP(A75,'Code Results'!A:B,2,FALSE)</f>
        <v>55570.973338045798</v>
      </c>
      <c r="I75" s="190">
        <f>IFERROR(VLOOKUP($A75,'Code Results'!$A:$C,13,FALSE),VLOOKUP('Data Summary'!$A75,'Ref-Data'!$A:$U,18,FALSE))</f>
        <v>0</v>
      </c>
      <c r="J75" s="190">
        <f t="shared" si="12"/>
        <v>55570.973338045798</v>
      </c>
      <c r="K75" s="167" t="s">
        <v>1156</v>
      </c>
      <c r="L75" s="190">
        <f>VLOOKUP(A75, 'Ref-Data'!$A:$I,9,FALSE)</f>
        <v>1</v>
      </c>
      <c r="M75" s="173">
        <v>4.7500000000000001E-2</v>
      </c>
      <c r="N75" s="173">
        <v>0.37514320519767774</v>
      </c>
      <c r="O75" s="192">
        <v>3502.9172331077216</v>
      </c>
      <c r="P75" s="191">
        <f t="shared" si="13"/>
        <v>1.6000000000000042E-3</v>
      </c>
      <c r="Q75" s="191">
        <f t="shared" si="14"/>
        <v>6.3567948023222631E-3</v>
      </c>
      <c r="R75" s="193">
        <f t="shared" si="15"/>
        <v>52068.056104938078</v>
      </c>
      <c r="S75" s="354"/>
      <c r="T75" s="167"/>
      <c r="U75" s="355"/>
      <c r="V75" s="355"/>
      <c r="W75" s="355"/>
      <c r="X75" s="355"/>
      <c r="Y75" s="355"/>
      <c r="Z75" s="445">
        <f>VLOOKUP(A75,'Ref-Data'!$A:$F,6,FALSE)</f>
        <v>4.0054757015742641</v>
      </c>
      <c r="AA75" s="390">
        <f>IF('Ref-Data'!$Z$2="ON",VLOOKUP('Data Summary'!A75,'MacroPD-Cal'!$A:$O,15,FALSE),IF('Ref-Data'!$Z$5="Baseline",VLOOKUP(A75,'Model Output_TTC'!$A:$AU,47,FALSE),IF('Ref-Data'!$Z$5="90th Percentile",VLOOKUP(A75,'Model Output_TTC'!$A:$BP,68,FALSE),IF('Ref-Data'!$Z$5="96th Percentile",VLOOKUP('Data Summary'!A75,'Model Output_TTC'!$A:$Z,26,FALSE),""))))</f>
        <v>0.1434</v>
      </c>
    </row>
    <row r="76" spans="1:27" x14ac:dyDescent="0.25">
      <c r="A76" s="354">
        <v>1100000224</v>
      </c>
      <c r="B76" s="167" t="str">
        <f>VLOOKUP(A76,'Ref-Data'!A:AD,30,FALSE)</f>
        <v>OCEAN HOUSE DEVELOPMENT LIMITED AND PINBOARD LIMITED PARTNERSHIP</v>
      </c>
      <c r="C76" s="190">
        <f>VLOOKUP('Data Summary'!$A76,'Ref-Data'!$A:$U,2,FALSE)</f>
        <v>32000000</v>
      </c>
      <c r="D76" s="190">
        <f>VLOOKUP(A76,'Ref-Data'!A:C,3,FALSE)</f>
        <v>32000000</v>
      </c>
      <c r="E76" s="190">
        <f>VLOOKUP('Data Summary'!$A76,'Ref-Data'!$A:$U,15,FALSE)</f>
        <v>0</v>
      </c>
      <c r="F76" s="226">
        <f>VLOOKUP('Data Summary'!$A76,'Ref-Data'!$A:$U,12,FALSE)</f>
        <v>2.8E-3</v>
      </c>
      <c r="G76" s="226">
        <f>VLOOKUP('Data Summary'!$A76,'Ref-Data'!$A:$U,14,FALSE)</f>
        <v>0.15</v>
      </c>
      <c r="H76" s="190">
        <f>VLOOKUP(A76,'Code Results'!A:B,2,FALSE)</f>
        <v>13163.2768280362</v>
      </c>
      <c r="I76" s="190">
        <f>IFERROR(VLOOKUP($A76,'Code Results'!$A:$C,13,FALSE),VLOOKUP('Data Summary'!$A76,'Ref-Data'!$A:$U,18,FALSE))</f>
        <v>0</v>
      </c>
      <c r="J76" s="190">
        <f t="shared" si="12"/>
        <v>13163.2768280362</v>
      </c>
      <c r="K76" s="167" t="s">
        <v>1156</v>
      </c>
      <c r="L76" s="190">
        <f>VLOOKUP(A76, 'Ref-Data'!$A:$I,9,FALSE)</f>
        <v>1</v>
      </c>
      <c r="M76" s="173">
        <v>4.7500000000000001E-2</v>
      </c>
      <c r="N76" s="173">
        <v>0.37514320519767774</v>
      </c>
      <c r="O76" s="192">
        <v>3502.9172331077216</v>
      </c>
      <c r="P76" s="191">
        <f t="shared" si="13"/>
        <v>-4.4700000000000004E-2</v>
      </c>
      <c r="Q76" s="191">
        <f t="shared" si="14"/>
        <v>-0.22514320519767775</v>
      </c>
      <c r="R76" s="193">
        <f t="shared" si="15"/>
        <v>9660.3595949284791</v>
      </c>
      <c r="S76" s="354"/>
      <c r="T76" s="167"/>
      <c r="U76" s="355"/>
      <c r="V76" s="355"/>
      <c r="W76" s="355"/>
      <c r="X76" s="355"/>
      <c r="Y76" s="355"/>
      <c r="Z76" s="445">
        <f>VLOOKUP(A76,'Ref-Data'!$A:$F,6,FALSE)</f>
        <v>4.4243668720054758</v>
      </c>
      <c r="AA76" s="390">
        <f>IF('Ref-Data'!$Z$2="ON",VLOOKUP('Data Summary'!A76,'MacroPD-Cal'!$A:$O,15,FALSE),IF('Ref-Data'!$Z$5="Baseline",VLOOKUP(A76,'Model Output_TTC'!$A:$AU,47,FALSE),IF('Ref-Data'!$Z$5="90th Percentile",VLOOKUP(A76,'Model Output_TTC'!$A:$BP,68,FALSE),IF('Ref-Data'!$Z$5="96th Percentile",VLOOKUP('Data Summary'!A76,'Model Output_TTC'!$A:$Z,26,FALSE),""))))</f>
        <v>1.0500000000000001E-2</v>
      </c>
    </row>
    <row r="77" spans="1:27" x14ac:dyDescent="0.25">
      <c r="A77" s="354">
        <v>1100000226</v>
      </c>
      <c r="B77" s="167" t="str">
        <f>VLOOKUP(A77,'Ref-Data'!A:AD,30,FALSE)</f>
        <v>T14H  GUERNSEY LIMITED</v>
      </c>
      <c r="C77" s="190">
        <f>VLOOKUP('Data Summary'!$A77,'Ref-Data'!$A:$U,2,FALSE)</f>
        <v>41800000</v>
      </c>
      <c r="D77" s="190">
        <f>VLOOKUP(A77,'Ref-Data'!A:C,3,FALSE)</f>
        <v>41800000</v>
      </c>
      <c r="E77" s="190">
        <f>VLOOKUP('Data Summary'!$A77,'Ref-Data'!$A:$U,15,FALSE)</f>
        <v>0</v>
      </c>
      <c r="F77" s="226">
        <f>VLOOKUP('Data Summary'!$A77,'Ref-Data'!$A:$U,12,FALSE)</f>
        <v>2.35E-2</v>
      </c>
      <c r="G77" s="226">
        <f>VLOOKUP('Data Summary'!$A77,'Ref-Data'!$A:$U,14,FALSE)</f>
        <v>0.1</v>
      </c>
      <c r="H77" s="190">
        <f>VLOOKUP(A77,'Code Results'!A:B,2,FALSE)</f>
        <v>50405.363704707597</v>
      </c>
      <c r="I77" s="190">
        <f>IFERROR(VLOOKUP($A77,'Code Results'!$A:$C,13,FALSE),VLOOKUP('Data Summary'!$A77,'Ref-Data'!$A:$U,18,FALSE))</f>
        <v>0</v>
      </c>
      <c r="J77" s="190">
        <f t="shared" si="12"/>
        <v>50405.363704707597</v>
      </c>
      <c r="K77" s="167" t="s">
        <v>1156</v>
      </c>
      <c r="L77" s="190">
        <f>VLOOKUP(A77, 'Ref-Data'!$A:$I,9,FALSE)</f>
        <v>1</v>
      </c>
      <c r="M77" s="173">
        <v>4.7500000000000001E-2</v>
      </c>
      <c r="N77" s="173">
        <v>0.37514320519767774</v>
      </c>
      <c r="O77" s="192">
        <v>3502.9172331077216</v>
      </c>
      <c r="P77" s="191">
        <f t="shared" si="13"/>
        <v>-2.4E-2</v>
      </c>
      <c r="Q77" s="191">
        <f t="shared" si="14"/>
        <v>-0.27514320519767776</v>
      </c>
      <c r="R77" s="193">
        <f t="shared" si="15"/>
        <v>46902.446471599877</v>
      </c>
      <c r="S77" s="354"/>
      <c r="T77" s="167"/>
      <c r="U77" s="355"/>
      <c r="V77" s="355"/>
      <c r="W77" s="355"/>
      <c r="X77" s="355"/>
      <c r="Y77" s="355"/>
      <c r="Z77" s="445">
        <f>VLOOKUP(A77,'Ref-Data'!$A:$F,6,FALSE)</f>
        <v>0.61054072553045857</v>
      </c>
      <c r="AA77" s="390">
        <f>IF('Ref-Data'!$Z$2="ON",VLOOKUP('Data Summary'!A77,'MacroPD-Cal'!$A:$O,15,FALSE),IF('Ref-Data'!$Z$5="Baseline",VLOOKUP(A77,'Model Output_TTC'!$A:$AU,47,FALSE),IF('Ref-Data'!$Z$5="90th Percentile",VLOOKUP(A77,'Model Output_TTC'!$A:$BP,68,FALSE),IF('Ref-Data'!$Z$5="96th Percentile",VLOOKUP('Data Summary'!A77,'Model Output_TTC'!$A:$Z,26,FALSE),""))))</f>
        <v>2.35E-2</v>
      </c>
    </row>
    <row r="78" spans="1:27" x14ac:dyDescent="0.25">
      <c r="A78" s="354">
        <v>1300000001</v>
      </c>
      <c r="B78" s="167" t="str">
        <f>VLOOKUP(A78,'Ref-Data'!A:AD,30,FALSE)</f>
        <v>Z CHA HOLDCO LTD</v>
      </c>
      <c r="C78" s="190">
        <f>VLOOKUP('Data Summary'!$A78,'Ref-Data'!$A:$U,2,FALSE)</f>
        <v>4500000</v>
      </c>
      <c r="D78" s="190">
        <f>VLOOKUP(A78,'Ref-Data'!A:C,3,FALSE)</f>
        <v>2822433</v>
      </c>
      <c r="E78" s="190">
        <f>VLOOKUP('Data Summary'!$A78,'Ref-Data'!$A:$U,15,FALSE)</f>
        <v>1677567</v>
      </c>
      <c r="F78" s="226">
        <f>VLOOKUP('Data Summary'!$A78,'Ref-Data'!$A:$U,12,FALSE)</f>
        <v>0.1283</v>
      </c>
      <c r="G78" s="226">
        <f>VLOOKUP('Data Summary'!$A78,'Ref-Data'!$A:$U,14,FALSE)</f>
        <v>0.1613</v>
      </c>
      <c r="H78" s="190">
        <f>VLOOKUP(A78,'Code Results'!A:B,2,FALSE)</f>
        <v>6644.6767536376001</v>
      </c>
      <c r="I78" s="190">
        <f>IFERROR(VLOOKUP($A78,'Code Results'!$A:$C,13,FALSE),VLOOKUP('Data Summary'!$A78,'Ref-Data'!$A:$U,18,FALSE))</f>
        <v>17358.448387965</v>
      </c>
      <c r="J78" s="190">
        <f t="shared" si="12"/>
        <v>24003.125141602599</v>
      </c>
      <c r="K78" s="167" t="s">
        <v>1156</v>
      </c>
      <c r="L78" s="190">
        <f>VLOOKUP(A78, 'Ref-Data'!$A:$I,9,FALSE)</f>
        <v>1</v>
      </c>
      <c r="M78" s="173">
        <v>4.7500000000000001E-2</v>
      </c>
      <c r="N78" s="173">
        <v>0.37514320519767774</v>
      </c>
      <c r="O78" s="192">
        <v>3502.9172331077216</v>
      </c>
      <c r="P78" s="191">
        <f t="shared" si="13"/>
        <v>8.0799999999999997E-2</v>
      </c>
      <c r="Q78" s="191">
        <f t="shared" si="14"/>
        <v>-0.21384320519767774</v>
      </c>
      <c r="R78" s="193">
        <f t="shared" si="15"/>
        <v>20500.207908494878</v>
      </c>
      <c r="S78" s="354"/>
      <c r="T78" s="167"/>
      <c r="U78" s="355"/>
      <c r="V78" s="355"/>
      <c r="W78" s="355"/>
      <c r="X78" s="355"/>
      <c r="Y78" s="355"/>
      <c r="Z78" s="445">
        <f>VLOOKUP(A78,'Ref-Data'!$A:$F,6,FALSE)</f>
        <v>0.11225188227241616</v>
      </c>
      <c r="AA78" s="390">
        <f>IF('Ref-Data'!$Z$2="ON",VLOOKUP('Data Summary'!A78,'MacroPD-Cal'!$A:$O,15,FALSE),IF('Ref-Data'!$Z$5="Baseline",VLOOKUP(A78,'Model Output_TTC'!$A:$AU,47,FALSE),IF('Ref-Data'!$Z$5="90th Percentile",VLOOKUP(A78,'Model Output_TTC'!$A:$BP,68,FALSE),IF('Ref-Data'!$Z$5="96th Percentile",VLOOKUP('Data Summary'!A78,'Model Output_TTC'!$A:$Z,26,FALSE),""))))</f>
        <v>0.1283</v>
      </c>
    </row>
    <row r="79" spans="1:27" x14ac:dyDescent="0.25">
      <c r="A79" s="354">
        <v>1100000234</v>
      </c>
      <c r="B79" s="167" t="str">
        <f>VLOOKUP(A79,'Ref-Data'!A:AD,30,FALSE)</f>
        <v>M&amp;E MILLS LIMITED</v>
      </c>
      <c r="C79" s="190">
        <f>VLOOKUP('Data Summary'!$A79,'Ref-Data'!$A:$U,2,FALSE)</f>
        <v>4500000</v>
      </c>
      <c r="D79" s="190">
        <f>VLOOKUP(A79,'Ref-Data'!A:C,3,FALSE)</f>
        <v>4500000</v>
      </c>
      <c r="E79" s="190">
        <f>VLOOKUP('Data Summary'!$A79,'Ref-Data'!$A:$U,15,FALSE)</f>
        <v>0</v>
      </c>
      <c r="F79" s="226">
        <f>VLOOKUP('Data Summary'!$A79,'Ref-Data'!$A:$U,12,FALSE)</f>
        <v>4.5999999999999999E-3</v>
      </c>
      <c r="G79" s="226">
        <f>VLOOKUP('Data Summary'!$A79,'Ref-Data'!$A:$U,14,FALSE)</f>
        <v>0.45</v>
      </c>
      <c r="H79" s="190">
        <f>VLOOKUP(A79,'Code Results'!A:B,2,FALSE)</f>
        <v>8439.0775470425706</v>
      </c>
      <c r="I79" s="190">
        <f>IFERROR(VLOOKUP($A79,'Code Results'!$A:$C,13,FALSE),VLOOKUP('Data Summary'!$A79,'Ref-Data'!$A:$U,18,FALSE))</f>
        <v>0</v>
      </c>
      <c r="J79" s="190">
        <f t="shared" si="12"/>
        <v>8439.0775470425706</v>
      </c>
      <c r="K79" s="167" t="s">
        <v>1156</v>
      </c>
      <c r="L79" s="190">
        <f>VLOOKUP(A79, 'Ref-Data'!$A:$I,9,FALSE)</f>
        <v>1</v>
      </c>
      <c r="M79" s="173">
        <v>4.7500000000000001E-2</v>
      </c>
      <c r="N79" s="173">
        <v>0.37514320519767774</v>
      </c>
      <c r="O79" s="192">
        <v>3502.9172331077216</v>
      </c>
      <c r="P79" s="191">
        <f t="shared" si="13"/>
        <v>-4.2900000000000001E-2</v>
      </c>
      <c r="Q79" s="191">
        <f t="shared" si="14"/>
        <v>7.4856794802322268E-2</v>
      </c>
      <c r="R79" s="193">
        <f t="shared" si="15"/>
        <v>4936.160313934849</v>
      </c>
      <c r="S79" s="354"/>
      <c r="T79" s="167"/>
      <c r="U79" s="355"/>
      <c r="V79" s="355"/>
      <c r="W79" s="355"/>
      <c r="X79" s="355"/>
      <c r="Y79" s="355"/>
      <c r="Z79" s="445">
        <f>VLOOKUP(A79,'Ref-Data'!$A:$F,6,FALSE)</f>
        <v>4.2546201232032859</v>
      </c>
      <c r="AA79" s="390">
        <f>IF('Ref-Data'!$Z$2="ON",VLOOKUP('Data Summary'!A79,'MacroPD-Cal'!$A:$O,15,FALSE),IF('Ref-Data'!$Z$5="Baseline",VLOOKUP(A79,'Model Output_TTC'!$A:$AU,47,FALSE),IF('Ref-Data'!$Z$5="90th Percentile",VLOOKUP(A79,'Model Output_TTC'!$A:$BP,68,FALSE),IF('Ref-Data'!$Z$5="96th Percentile",VLOOKUP('Data Summary'!A79,'Model Output_TTC'!$A:$Z,26,FALSE),""))))</f>
        <v>1.9E-2</v>
      </c>
    </row>
    <row r="80" spans="1:27" x14ac:dyDescent="0.25">
      <c r="A80" s="354">
        <v>1100000233</v>
      </c>
      <c r="B80" s="167" t="str">
        <f>VLOOKUP(A80,'Ref-Data'!A:AD,30,FALSE)</f>
        <v>M&amp;E MILLS LIMITED</v>
      </c>
      <c r="C80" s="190">
        <f>VLOOKUP('Data Summary'!$A80,'Ref-Data'!$A:$U,2,FALSE)</f>
        <v>500000</v>
      </c>
      <c r="D80" s="190">
        <f>VLOOKUP(A80,'Ref-Data'!A:C,3,FALSE)</f>
        <v>0</v>
      </c>
      <c r="E80" s="190">
        <f>VLOOKUP('Data Summary'!$A80,'Ref-Data'!$A:$U,15,FALSE)</f>
        <v>500000</v>
      </c>
      <c r="F80" s="226">
        <f>VLOOKUP('Data Summary'!$A80,'Ref-Data'!$A:$U,12,FALSE)</f>
        <v>4.5999999999999999E-3</v>
      </c>
      <c r="G80" s="226">
        <f>VLOOKUP('Data Summary'!$A80,'Ref-Data'!$A:$U,14,FALSE)</f>
        <v>0.45</v>
      </c>
      <c r="H80" s="190">
        <f>VLOOKUP(A80,'Code Results'!A:B,2,FALSE)</f>
        <v>0</v>
      </c>
      <c r="I80" s="190">
        <f>IFERROR(VLOOKUP($A80,'Code Results'!$A:$C,13,FALSE),VLOOKUP('Data Summary'!$A80,'Ref-Data'!$A:$U,18,FALSE))</f>
        <v>517.5</v>
      </c>
      <c r="J80" s="190">
        <f t="shared" si="12"/>
        <v>517.5</v>
      </c>
      <c r="K80" s="167" t="s">
        <v>1156</v>
      </c>
      <c r="L80" s="190">
        <f>VLOOKUP(A80, 'Ref-Data'!$A:$I,9,FALSE)</f>
        <v>1</v>
      </c>
      <c r="M80" s="173">
        <v>4.7500000000000001E-2</v>
      </c>
      <c r="N80" s="173">
        <v>0.37514320519767774</v>
      </c>
      <c r="O80" s="192">
        <v>3502.9172331077216</v>
      </c>
      <c r="P80" s="191">
        <f t="shared" si="13"/>
        <v>-4.2900000000000001E-2</v>
      </c>
      <c r="Q80" s="191">
        <f t="shared" si="14"/>
        <v>7.4856794802322268E-2</v>
      </c>
      <c r="R80" s="193">
        <f t="shared" si="15"/>
        <v>-2985.4172331077216</v>
      </c>
      <c r="S80" s="354"/>
      <c r="T80" s="167"/>
      <c r="U80" s="355"/>
      <c r="V80" s="355"/>
      <c r="W80" s="355"/>
      <c r="X80" s="355"/>
      <c r="Y80" s="355"/>
      <c r="Z80" s="445">
        <f>VLOOKUP(A80,'Ref-Data'!$A:$F,6,FALSE)</f>
        <v>4.2546201232032859</v>
      </c>
      <c r="AA80" s="390">
        <f>IF('Ref-Data'!$Z$2="ON",VLOOKUP('Data Summary'!A80,'MacroPD-Cal'!$A:$O,15,FALSE),IF('Ref-Data'!$Z$5="Baseline",VLOOKUP(A80,'Model Output_TTC'!$A:$AU,47,FALSE),IF('Ref-Data'!$Z$5="90th Percentile",VLOOKUP(A80,'Model Output_TTC'!$A:$BP,68,FALSE),IF('Ref-Data'!$Z$5="96th Percentile",VLOOKUP('Data Summary'!A80,'Model Output_TTC'!$A:$Z,26,FALSE),""))))</f>
        <v>1.9E-2</v>
      </c>
    </row>
    <row r="81" spans="1:27" x14ac:dyDescent="0.25">
      <c r="A81" s="354">
        <v>1100000235</v>
      </c>
      <c r="B81" s="167" t="str">
        <f>VLOOKUP(A81,'Ref-Data'!A:AD,30,FALSE)</f>
        <v>MELROSE EDUCATION LIMITED</v>
      </c>
      <c r="C81" s="190">
        <f>VLOOKUP('Data Summary'!$A81,'Ref-Data'!$A:$U,2,FALSE)</f>
        <v>10000000</v>
      </c>
      <c r="D81" s="190">
        <f>VLOOKUP(A81,'Ref-Data'!A:C,3,FALSE)</f>
        <v>5750500</v>
      </c>
      <c r="E81" s="190">
        <f>VLOOKUP('Data Summary'!$A81,'Ref-Data'!$A:$U,15,FALSE)</f>
        <v>4249500</v>
      </c>
      <c r="F81" s="226">
        <f>VLOOKUP('Data Summary'!$A81,'Ref-Data'!$A:$U,12,FALSE)</f>
        <v>2.4800000000000003E-2</v>
      </c>
      <c r="G81" s="226">
        <f>VLOOKUP('Data Summary'!$A81,'Ref-Data'!$A:$U,14,FALSE)</f>
        <v>0.42</v>
      </c>
      <c r="H81" s="190">
        <f>VLOOKUP(A81,'Code Results'!A:B,2,FALSE)</f>
        <v>58808.682109343499</v>
      </c>
      <c r="I81" s="190">
        <f>IFERROR(VLOOKUP($A81,'Code Results'!$A:$C,13,FALSE),VLOOKUP('Data Summary'!$A81,'Ref-Data'!$A:$U,18,FALSE))</f>
        <v>22131.396000000001</v>
      </c>
      <c r="J81" s="190">
        <f t="shared" si="12"/>
        <v>80940.078109343507</v>
      </c>
      <c r="K81" s="167" t="s">
        <v>1156</v>
      </c>
      <c r="L81" s="190">
        <f>VLOOKUP(A81, 'Ref-Data'!$A:$I,9,FALSE)</f>
        <v>1</v>
      </c>
      <c r="M81" s="173">
        <v>4.7500000000000001E-2</v>
      </c>
      <c r="N81" s="173">
        <v>0.37514320519767774</v>
      </c>
      <c r="O81" s="192">
        <v>3502.9172331077216</v>
      </c>
      <c r="P81" s="191">
        <f t="shared" si="13"/>
        <v>-2.2699999999999998E-2</v>
      </c>
      <c r="Q81" s="191">
        <f t="shared" si="14"/>
        <v>4.4856794802322242E-2</v>
      </c>
      <c r="R81" s="193">
        <f t="shared" si="15"/>
        <v>77437.160876235779</v>
      </c>
      <c r="S81" s="354"/>
      <c r="T81" s="167"/>
      <c r="U81" s="355"/>
      <c r="V81" s="355"/>
      <c r="W81" s="355"/>
      <c r="X81" s="355"/>
      <c r="Y81" s="355"/>
      <c r="Z81" s="445">
        <f>VLOOKUP(A81,'Ref-Data'!$A:$F,6,FALSE)</f>
        <v>4.2710472279260783</v>
      </c>
      <c r="AA81" s="390">
        <f>IF('Ref-Data'!$Z$2="ON",VLOOKUP('Data Summary'!A81,'MacroPD-Cal'!$A:$O,15,FALSE),IF('Ref-Data'!$Z$5="Baseline",VLOOKUP(A81,'Model Output_TTC'!$A:$AU,47,FALSE),IF('Ref-Data'!$Z$5="90th Percentile",VLOOKUP(A81,'Model Output_TTC'!$A:$BP,68,FALSE),IF('Ref-Data'!$Z$5="96th Percentile",VLOOKUP('Data Summary'!A81,'Model Output_TTC'!$A:$Z,26,FALSE),""))))</f>
        <v>7.6499999999999999E-2</v>
      </c>
    </row>
    <row r="82" spans="1:27" x14ac:dyDescent="0.25">
      <c r="A82" s="354">
        <v>1100000238</v>
      </c>
      <c r="B82" s="167" t="str">
        <f>VLOOKUP(A82,'Ref-Data'!A:AD,30,FALSE)</f>
        <v>TOPHAM BIDCO LIMITED</v>
      </c>
      <c r="C82" s="190">
        <f>VLOOKUP('Data Summary'!$A82,'Ref-Data'!$A:$U,2,FALSE)</f>
        <v>4000000</v>
      </c>
      <c r="D82" s="190">
        <f>VLOOKUP(A82,'Ref-Data'!A:C,3,FALSE)</f>
        <v>0</v>
      </c>
      <c r="E82" s="190">
        <f>VLOOKUP('Data Summary'!$A82,'Ref-Data'!$A:$U,15,FALSE)</f>
        <v>4000000</v>
      </c>
      <c r="F82" s="226">
        <f>VLOOKUP('Data Summary'!$A82,'Ref-Data'!$A:$U,12,FALSE)</f>
        <v>7.7899999999999997E-2</v>
      </c>
      <c r="G82" s="226">
        <f>VLOOKUP('Data Summary'!$A82,'Ref-Data'!$A:$U,14,FALSE)</f>
        <v>0.4264</v>
      </c>
      <c r="H82" s="190">
        <f>VLOOKUP(A82,'Code Results'!A:B,2,FALSE)</f>
        <v>0</v>
      </c>
      <c r="I82" s="190">
        <f>IFERROR(VLOOKUP($A82,'Code Results'!$A:$C,13,FALSE),VLOOKUP('Data Summary'!$A82,'Ref-Data'!$A:$U,18,FALSE))</f>
        <v>66433.119999999995</v>
      </c>
      <c r="J82" s="190">
        <f t="shared" si="12"/>
        <v>66433.119999999995</v>
      </c>
      <c r="K82" s="167" t="s">
        <v>1156</v>
      </c>
      <c r="L82" s="190">
        <f>VLOOKUP(A82, 'Ref-Data'!$A:$I,9,FALSE)</f>
        <v>1</v>
      </c>
      <c r="M82" s="173">
        <v>4.7500000000000001E-2</v>
      </c>
      <c r="N82" s="173">
        <v>0.37514320519767774</v>
      </c>
      <c r="O82" s="192">
        <v>3502.9172331077216</v>
      </c>
      <c r="P82" s="191">
        <f t="shared" si="13"/>
        <v>3.0399999999999996E-2</v>
      </c>
      <c r="Q82" s="191">
        <f t="shared" si="14"/>
        <v>5.1256794802322259E-2</v>
      </c>
      <c r="R82" s="193">
        <f t="shared" si="15"/>
        <v>62930.202766892275</v>
      </c>
      <c r="S82" s="354"/>
      <c r="T82" s="167"/>
      <c r="U82" s="355"/>
      <c r="V82" s="355"/>
      <c r="W82" s="355"/>
      <c r="X82" s="355"/>
      <c r="Y82" s="355"/>
      <c r="Z82" s="445">
        <f>VLOOKUP(A82,'Ref-Data'!$A:$F,6,FALSE)</f>
        <v>4.2956878850102669</v>
      </c>
      <c r="AA82" s="390">
        <f>IF('Ref-Data'!$Z$2="ON",VLOOKUP('Data Summary'!A82,'MacroPD-Cal'!$A:$O,15,FALSE),IF('Ref-Data'!$Z$5="Baseline",VLOOKUP(A82,'Model Output_TTC'!$A:$AU,47,FALSE),IF('Ref-Data'!$Z$5="90th Percentile",VLOOKUP(A82,'Model Output_TTC'!$A:$BP,68,FALSE),IF('Ref-Data'!$Z$5="96th Percentile",VLOOKUP('Data Summary'!A82,'Model Output_TTC'!$A:$Z,26,FALSE),""))))</f>
        <v>0.20860000000000001</v>
      </c>
    </row>
    <row r="83" spans="1:27" x14ac:dyDescent="0.25">
      <c r="A83" s="354">
        <v>1100000236</v>
      </c>
      <c r="B83" s="167" t="str">
        <f>VLOOKUP(A83,'Ref-Data'!A:AD,30,FALSE)</f>
        <v>TOPHAM BIDCO LIMITED</v>
      </c>
      <c r="C83" s="190">
        <f>VLOOKUP('Data Summary'!$A83,'Ref-Data'!$A:$U,2,FALSE)</f>
        <v>6750000</v>
      </c>
      <c r="D83" s="190">
        <f>VLOOKUP(A83,'Ref-Data'!A:C,3,FALSE)</f>
        <v>6750000</v>
      </c>
      <c r="E83" s="190">
        <f>VLOOKUP('Data Summary'!$A83,'Ref-Data'!$A:$U,15,FALSE)</f>
        <v>0</v>
      </c>
      <c r="F83" s="226">
        <f>VLOOKUP('Data Summary'!$A83,'Ref-Data'!$A:$U,12,FALSE)</f>
        <v>7.7899999999999997E-2</v>
      </c>
      <c r="G83" s="226">
        <f>VLOOKUP('Data Summary'!$A83,'Ref-Data'!$A:$U,14,FALSE)</f>
        <v>0.4264</v>
      </c>
      <c r="H83" s="190">
        <f>VLOOKUP(A83,'Code Results'!A:B,2,FALSE)</f>
        <v>191724.099162964</v>
      </c>
      <c r="I83" s="190">
        <f>IFERROR(VLOOKUP($A83,'Code Results'!$A:$C,13,FALSE),VLOOKUP('Data Summary'!$A83,'Ref-Data'!$A:$U,18,FALSE))</f>
        <v>0</v>
      </c>
      <c r="J83" s="190">
        <f t="shared" si="12"/>
        <v>191724.099162964</v>
      </c>
      <c r="K83" s="167" t="s">
        <v>1156</v>
      </c>
      <c r="L83" s="190">
        <f>VLOOKUP(A83, 'Ref-Data'!$A:$I,9,FALSE)</f>
        <v>1</v>
      </c>
      <c r="M83" s="173">
        <v>4.7500000000000001E-2</v>
      </c>
      <c r="N83" s="173">
        <v>0.37514320519767774</v>
      </c>
      <c r="O83" s="192">
        <v>3502.9172331077216</v>
      </c>
      <c r="P83" s="191">
        <f t="shared" si="13"/>
        <v>3.0399999999999996E-2</v>
      </c>
      <c r="Q83" s="191">
        <f t="shared" si="14"/>
        <v>5.1256794802322259E-2</v>
      </c>
      <c r="R83" s="193">
        <f t="shared" si="15"/>
        <v>188221.18192985628</v>
      </c>
      <c r="S83" s="354"/>
      <c r="T83" s="167"/>
      <c r="U83" s="355"/>
      <c r="V83" s="355"/>
      <c r="W83" s="355"/>
      <c r="X83" s="355"/>
      <c r="Y83" s="355"/>
      <c r="Z83" s="445">
        <f>VLOOKUP(A83,'Ref-Data'!$A:$F,6,FALSE)</f>
        <v>4.2956878850102669</v>
      </c>
      <c r="AA83" s="390">
        <f>IF('Ref-Data'!$Z$2="ON",VLOOKUP('Data Summary'!A83,'MacroPD-Cal'!$A:$O,15,FALSE),IF('Ref-Data'!$Z$5="Baseline",VLOOKUP(A83,'Model Output_TTC'!$A:$AU,47,FALSE),IF('Ref-Data'!$Z$5="90th Percentile",VLOOKUP(A83,'Model Output_TTC'!$A:$BP,68,FALSE),IF('Ref-Data'!$Z$5="96th Percentile",VLOOKUP('Data Summary'!A83,'Model Output_TTC'!$A:$Z,26,FALSE),""))))</f>
        <v>0.20860000000000001</v>
      </c>
    </row>
    <row r="84" spans="1:27" x14ac:dyDescent="0.25">
      <c r="A84" s="354">
        <v>1100000237</v>
      </c>
      <c r="B84" s="167" t="str">
        <f>VLOOKUP(A84,'Ref-Data'!A:AD,30,FALSE)</f>
        <v>TOPHAM BIDCO LIMITED</v>
      </c>
      <c r="C84" s="190">
        <f>VLOOKUP('Data Summary'!$A84,'Ref-Data'!$A:$U,2,FALSE)</f>
        <v>7500000</v>
      </c>
      <c r="D84" s="190">
        <f>VLOOKUP(A84,'Ref-Data'!A:C,3,FALSE)</f>
        <v>7500000</v>
      </c>
      <c r="E84" s="190">
        <f>VLOOKUP('Data Summary'!$A84,'Ref-Data'!$A:$U,15,FALSE)</f>
        <v>0</v>
      </c>
      <c r="F84" s="226">
        <f>VLOOKUP('Data Summary'!$A84,'Ref-Data'!$A:$U,12,FALSE)</f>
        <v>7.7899999999999997E-2</v>
      </c>
      <c r="G84" s="226">
        <f>VLOOKUP('Data Summary'!$A84,'Ref-Data'!$A:$U,14,FALSE)</f>
        <v>0.4264</v>
      </c>
      <c r="H84" s="190">
        <f>VLOOKUP(A84,'Code Results'!A:B,2,FALSE)</f>
        <v>246143.31023958101</v>
      </c>
      <c r="I84" s="190">
        <f>IFERROR(VLOOKUP($A84,'Code Results'!$A:$C,13,FALSE),VLOOKUP('Data Summary'!$A84,'Ref-Data'!$A:$U,18,FALSE))</f>
        <v>0</v>
      </c>
      <c r="J84" s="190">
        <f t="shared" si="12"/>
        <v>246143.31023958101</v>
      </c>
      <c r="K84" s="167" t="s">
        <v>1156</v>
      </c>
      <c r="L84" s="190">
        <f>VLOOKUP(A84, 'Ref-Data'!$A:$I,9,FALSE)</f>
        <v>1</v>
      </c>
      <c r="M84" s="173">
        <v>4.7500000000000001E-2</v>
      </c>
      <c r="N84" s="173">
        <v>0.37514320519767774</v>
      </c>
      <c r="O84" s="192">
        <v>3502.9172331077216</v>
      </c>
      <c r="P84" s="191">
        <f t="shared" si="13"/>
        <v>3.0399999999999996E-2</v>
      </c>
      <c r="Q84" s="191">
        <f t="shared" si="14"/>
        <v>5.1256794802322259E-2</v>
      </c>
      <c r="R84" s="193">
        <f t="shared" si="15"/>
        <v>242640.39300647328</v>
      </c>
      <c r="S84" s="354"/>
      <c r="T84" s="167"/>
      <c r="U84" s="355"/>
      <c r="V84" s="355"/>
      <c r="W84" s="355"/>
      <c r="X84" s="355"/>
      <c r="Y84" s="355"/>
      <c r="Z84" s="445">
        <f>VLOOKUP(A84,'Ref-Data'!$A:$F,6,FALSE)</f>
        <v>4.2956878850102669</v>
      </c>
      <c r="AA84" s="390">
        <f>IF('Ref-Data'!$Z$2="ON",VLOOKUP('Data Summary'!A84,'MacroPD-Cal'!$A:$O,15,FALSE),IF('Ref-Data'!$Z$5="Baseline",VLOOKUP(A84,'Model Output_TTC'!$A:$AU,47,FALSE),IF('Ref-Data'!$Z$5="90th Percentile",VLOOKUP(A84,'Model Output_TTC'!$A:$BP,68,FALSE),IF('Ref-Data'!$Z$5="96th Percentile",VLOOKUP('Data Summary'!A84,'Model Output_TTC'!$A:$Z,26,FALSE),""))))</f>
        <v>0.20860000000000001</v>
      </c>
    </row>
    <row r="85" spans="1:27" x14ac:dyDescent="0.25">
      <c r="A85" s="354">
        <v>1100000241</v>
      </c>
      <c r="B85" s="167" t="str">
        <f>VLOOKUP(A85,'Ref-Data'!A:AD,30,FALSE)</f>
        <v>PARK LANE HEALTHCARE (MAGNOLIA HOUSE) LIMITED &amp; PARK LANE HEALTHCARE (THE MANOR HOUSE) LIMITED &amp; PARK LANE HEALTHCARE (CROSTON PARK) LIMITED &amp; YORK HERITAGE (THE HALL THORNTON LE DALE ) LIMITED &amp; PLH MOORGATE HOLDCO LIMITED</v>
      </c>
      <c r="C85" s="190">
        <f>VLOOKUP('Data Summary'!$A85,'Ref-Data'!$A:$U,2,FALSE)</f>
        <v>4953225</v>
      </c>
      <c r="D85" s="190">
        <f>VLOOKUP(A85,'Ref-Data'!A:C,3,FALSE)</f>
        <v>4953225</v>
      </c>
      <c r="E85" s="190">
        <f>VLOOKUP('Data Summary'!$A85,'Ref-Data'!$A:$U,15,FALSE)</f>
        <v>0</v>
      </c>
      <c r="F85" s="226">
        <f>VLOOKUP('Data Summary'!$A85,'Ref-Data'!$A:$U,12,FALSE)</f>
        <v>3.6000000000000003E-3</v>
      </c>
      <c r="G85" s="226">
        <f>VLOOKUP('Data Summary'!$A85,'Ref-Data'!$A:$U,14,FALSE)</f>
        <v>0.15016858201638894</v>
      </c>
      <c r="H85" s="190">
        <f>VLOOKUP(A85,'Code Results'!A:B,2,FALSE)</f>
        <v>2594.3562068207898</v>
      </c>
      <c r="I85" s="190">
        <f>IFERROR(VLOOKUP($A85,'Code Results'!$A:$C,13,FALSE),VLOOKUP('Data Summary'!$A85,'Ref-Data'!$A:$U,18,FALSE))</f>
        <v>0</v>
      </c>
      <c r="J85" s="190">
        <f t="shared" si="12"/>
        <v>2594.3562068207898</v>
      </c>
      <c r="K85" s="167" t="s">
        <v>1156</v>
      </c>
      <c r="L85" s="190">
        <f>VLOOKUP(A85, 'Ref-Data'!$A:$I,9,FALSE)</f>
        <v>1</v>
      </c>
      <c r="M85" s="173">
        <v>4.7500000000000001E-2</v>
      </c>
      <c r="N85" s="173">
        <v>0.37514320519767774</v>
      </c>
      <c r="O85" s="192">
        <v>3502.9172331077216</v>
      </c>
      <c r="P85" s="191">
        <f t="shared" si="13"/>
        <v>-4.3900000000000002E-2</v>
      </c>
      <c r="Q85" s="191">
        <f t="shared" si="14"/>
        <v>-0.2249746231812888</v>
      </c>
      <c r="R85" s="193">
        <f t="shared" si="15"/>
        <v>-908.56102628693179</v>
      </c>
      <c r="S85" s="354"/>
      <c r="T85" s="167"/>
      <c r="U85" s="355"/>
      <c r="V85" s="355"/>
      <c r="W85" s="355"/>
      <c r="X85" s="355"/>
      <c r="Y85" s="355"/>
      <c r="Z85" s="445">
        <f>VLOOKUP(A85,'Ref-Data'!$A:$F,6,FALSE)</f>
        <v>4.4052019164955514</v>
      </c>
      <c r="AA85" s="390">
        <f>IF('Ref-Data'!$Z$2="ON",VLOOKUP('Data Summary'!A85,'MacroPD-Cal'!$A:$O,15,FALSE),IF('Ref-Data'!$Z$5="Baseline",VLOOKUP(A85,'Model Output_TTC'!$A:$AU,47,FALSE),IF('Ref-Data'!$Z$5="90th Percentile",VLOOKUP(A85,'Model Output_TTC'!$A:$BP,68,FALSE),IF('Ref-Data'!$Z$5="96th Percentile",VLOOKUP('Data Summary'!A85,'Model Output_TTC'!$A:$Z,26,FALSE),""))))</f>
        <v>1.2200000000000001E-2</v>
      </c>
    </row>
    <row r="86" spans="1:27" x14ac:dyDescent="0.25">
      <c r="A86" s="354">
        <v>1100000242</v>
      </c>
      <c r="B86" s="167" t="str">
        <f>VLOOKUP(A86,'Ref-Data'!A:AD,30,FALSE)</f>
        <v>PARK LANE HEALTHCARE (MAGNOLIA HOUSE) LIMITED &amp; PARK LANE HEALTHCARE (THE MANOR HOUSE) LIMITED &amp; PARK LANE HEALTHCARE (CROSTON PARK) LIMITED &amp; YORK HERITAGE (THE HALL THORNTON LE DALE ) LIMITED &amp; PLH MOORGATE HOLDCO LIMITED</v>
      </c>
      <c r="C86" s="190">
        <f>VLOOKUP('Data Summary'!$A86,'Ref-Data'!$A:$U,2,FALSE)</f>
        <v>1691086</v>
      </c>
      <c r="D86" s="190">
        <f>VLOOKUP(A86,'Ref-Data'!A:C,3,FALSE)</f>
        <v>1691086</v>
      </c>
      <c r="E86" s="190">
        <f>VLOOKUP('Data Summary'!$A86,'Ref-Data'!$A:$U,15,FALSE)</f>
        <v>0</v>
      </c>
      <c r="F86" s="226">
        <f>VLOOKUP('Data Summary'!$A86,'Ref-Data'!$A:$U,12,FALSE)</f>
        <v>3.6000000000000003E-3</v>
      </c>
      <c r="G86" s="226">
        <f>VLOOKUP('Data Summary'!$A86,'Ref-Data'!$A:$U,14,FALSE)</f>
        <v>0.15016858201638894</v>
      </c>
      <c r="H86" s="190">
        <f>VLOOKUP(A86,'Code Results'!A:B,2,FALSE)</f>
        <v>885.74084216103404</v>
      </c>
      <c r="I86" s="190">
        <f>IFERROR(VLOOKUP($A86,'Code Results'!$A:$C,13,FALSE),VLOOKUP('Data Summary'!$A86,'Ref-Data'!$A:$U,18,FALSE))</f>
        <v>0</v>
      </c>
      <c r="J86" s="190">
        <f t="shared" si="12"/>
        <v>885.74084216103404</v>
      </c>
      <c r="K86" s="167" t="s">
        <v>1156</v>
      </c>
      <c r="L86" s="190">
        <f>VLOOKUP(A86, 'Ref-Data'!$A:$I,9,FALSE)</f>
        <v>1</v>
      </c>
      <c r="M86" s="173">
        <v>4.7500000000000001E-2</v>
      </c>
      <c r="N86" s="173">
        <v>0.37514320519767774</v>
      </c>
      <c r="O86" s="192">
        <v>3502.9172331077216</v>
      </c>
      <c r="P86" s="191">
        <f t="shared" si="13"/>
        <v>-4.3900000000000002E-2</v>
      </c>
      <c r="Q86" s="191">
        <f t="shared" si="14"/>
        <v>-0.2249746231812888</v>
      </c>
      <c r="R86" s="193">
        <f t="shared" si="15"/>
        <v>-2617.1763909466877</v>
      </c>
      <c r="S86" s="354"/>
      <c r="T86" s="167"/>
      <c r="U86" s="355"/>
      <c r="V86" s="355"/>
      <c r="W86" s="355"/>
      <c r="X86" s="355"/>
      <c r="Y86" s="355"/>
      <c r="Z86" s="445">
        <f>VLOOKUP(A86,'Ref-Data'!$A:$F,6,FALSE)</f>
        <v>4.4052019164955514</v>
      </c>
      <c r="AA86" s="390">
        <f>IF('Ref-Data'!$Z$2="ON",VLOOKUP('Data Summary'!A86,'MacroPD-Cal'!$A:$O,15,FALSE),IF('Ref-Data'!$Z$5="Baseline",VLOOKUP(A86,'Model Output_TTC'!$A:$AU,47,FALSE),IF('Ref-Data'!$Z$5="90th Percentile",VLOOKUP(A86,'Model Output_TTC'!$A:$BP,68,FALSE),IF('Ref-Data'!$Z$5="96th Percentile",VLOOKUP('Data Summary'!A86,'Model Output_TTC'!$A:$Z,26,FALSE),""))))</f>
        <v>1.2200000000000001E-2</v>
      </c>
    </row>
    <row r="87" spans="1:27" x14ac:dyDescent="0.25">
      <c r="A87" s="354">
        <v>1100000243</v>
      </c>
      <c r="B87" s="167" t="str">
        <f>VLOOKUP(A87,'Ref-Data'!A:AD,30,FALSE)</f>
        <v>PARK LANE HEALTHCARE (MAGNOLIA HOUSE) LIMITED &amp; PARK LANE HEALTHCARE (THE MANOR HOUSE) LIMITED &amp; PARK LANE HEALTHCARE (CROSTON PARK) LIMITED &amp; YORK HERITAGE (THE HALL THORNTON LE DALE ) LIMITED &amp; PLH MOORGATE HOLDCO LIMITED</v>
      </c>
      <c r="C87" s="190">
        <f>VLOOKUP('Data Summary'!$A87,'Ref-Data'!$A:$U,2,FALSE)</f>
        <v>3695245</v>
      </c>
      <c r="D87" s="190">
        <f>VLOOKUP(A87,'Ref-Data'!A:C,3,FALSE)</f>
        <v>3695245</v>
      </c>
      <c r="E87" s="190">
        <f>VLOOKUP('Data Summary'!$A87,'Ref-Data'!$A:$U,15,FALSE)</f>
        <v>0</v>
      </c>
      <c r="F87" s="226">
        <f>VLOOKUP('Data Summary'!$A87,'Ref-Data'!$A:$U,12,FALSE)</f>
        <v>3.6000000000000003E-3</v>
      </c>
      <c r="G87" s="226">
        <f>VLOOKUP('Data Summary'!$A87,'Ref-Data'!$A:$U,14,FALSE)</f>
        <v>0.15016858201638894</v>
      </c>
      <c r="H87" s="190">
        <f>VLOOKUP(A87,'Code Results'!A:B,2,FALSE)</f>
        <v>1935.46182893428</v>
      </c>
      <c r="I87" s="190">
        <f>IFERROR(VLOOKUP($A87,'Code Results'!$A:$C,13,FALSE),VLOOKUP('Data Summary'!$A87,'Ref-Data'!$A:$U,18,FALSE))</f>
        <v>0</v>
      </c>
      <c r="J87" s="190">
        <f t="shared" si="12"/>
        <v>1935.46182893428</v>
      </c>
      <c r="K87" s="167" t="s">
        <v>1156</v>
      </c>
      <c r="L87" s="190">
        <f>VLOOKUP(A87, 'Ref-Data'!$A:$I,9,FALSE)</f>
        <v>1</v>
      </c>
      <c r="M87" s="173">
        <v>4.7500000000000001E-2</v>
      </c>
      <c r="N87" s="173">
        <v>0.37514320519767774</v>
      </c>
      <c r="O87" s="192">
        <v>3502.9172331077216</v>
      </c>
      <c r="P87" s="191">
        <f t="shared" si="13"/>
        <v>-4.3900000000000002E-2</v>
      </c>
      <c r="Q87" s="191">
        <f t="shared" si="14"/>
        <v>-0.2249746231812888</v>
      </c>
      <c r="R87" s="193">
        <f t="shared" si="15"/>
        <v>-1567.4554041734416</v>
      </c>
      <c r="S87" s="354"/>
      <c r="T87" s="167"/>
      <c r="U87" s="355"/>
      <c r="V87" s="355"/>
      <c r="W87" s="355"/>
      <c r="X87" s="355"/>
      <c r="Y87" s="355"/>
      <c r="Z87" s="445">
        <f>VLOOKUP(A87,'Ref-Data'!$A:$F,6,FALSE)</f>
        <v>4.4052019164955514</v>
      </c>
      <c r="AA87" s="390">
        <f>IF('Ref-Data'!$Z$2="ON",VLOOKUP('Data Summary'!A87,'MacroPD-Cal'!$A:$O,15,FALSE),IF('Ref-Data'!$Z$5="Baseline",VLOOKUP(A87,'Model Output_TTC'!$A:$AU,47,FALSE),IF('Ref-Data'!$Z$5="90th Percentile",VLOOKUP(A87,'Model Output_TTC'!$A:$BP,68,FALSE),IF('Ref-Data'!$Z$5="96th Percentile",VLOOKUP('Data Summary'!A87,'Model Output_TTC'!$A:$Z,26,FALSE),""))))</f>
        <v>1.2200000000000001E-2</v>
      </c>
    </row>
    <row r="88" spans="1:27" x14ac:dyDescent="0.25">
      <c r="A88" s="354">
        <v>1100000245</v>
      </c>
      <c r="B88" s="167" t="str">
        <f>VLOOKUP(A88,'Ref-Data'!A:AD,30,FALSE)</f>
        <v>PARK LANE HEALTHCARE (MAGNOLIA HOUSE) LIMITED &amp; PARK LANE HEALTHCARE (THE MANOR HOUSE) LIMITED &amp; PARK LANE HEALTHCARE (CROSTON PARK) LIMITED &amp; YORK HERITAGE (THE HALL THORNTON LE DALE ) LIMITED &amp; PLH MOORGATE HOLDCO LIMITED</v>
      </c>
      <c r="C88" s="190">
        <f>VLOOKUP('Data Summary'!$A88,'Ref-Data'!$A:$U,2,FALSE)</f>
        <v>2378209</v>
      </c>
      <c r="D88" s="190">
        <f>VLOOKUP(A88,'Ref-Data'!A:C,3,FALSE)</f>
        <v>2378209</v>
      </c>
      <c r="E88" s="190">
        <f>VLOOKUP('Data Summary'!$A88,'Ref-Data'!$A:$U,15,FALSE)</f>
        <v>0</v>
      </c>
      <c r="F88" s="226">
        <f>VLOOKUP('Data Summary'!$A88,'Ref-Data'!$A:$U,12,FALSE)</f>
        <v>3.6000000000000003E-3</v>
      </c>
      <c r="G88" s="226">
        <f>VLOOKUP('Data Summary'!$A88,'Ref-Data'!$A:$U,14,FALSE)</f>
        <v>0.15016858201638894</v>
      </c>
      <c r="H88" s="190">
        <f>VLOOKUP(A88,'Code Results'!A:B,2,FALSE)</f>
        <v>1245.6383840685801</v>
      </c>
      <c r="I88" s="190">
        <f>IFERROR(VLOOKUP($A88,'Code Results'!$A:$C,13,FALSE),VLOOKUP('Data Summary'!$A88,'Ref-Data'!$A:$U,18,FALSE))</f>
        <v>0</v>
      </c>
      <c r="J88" s="190">
        <f t="shared" si="12"/>
        <v>1245.6383840685801</v>
      </c>
      <c r="K88" s="167" t="s">
        <v>1156</v>
      </c>
      <c r="L88" s="190">
        <f>VLOOKUP(A88, 'Ref-Data'!$A:$I,9,FALSE)</f>
        <v>1</v>
      </c>
      <c r="M88" s="173">
        <v>4.7500000000000001E-2</v>
      </c>
      <c r="N88" s="173">
        <v>0.37514320519767774</v>
      </c>
      <c r="O88" s="192">
        <v>3502.9172331077216</v>
      </c>
      <c r="P88" s="191">
        <f t="shared" si="13"/>
        <v>-4.3900000000000002E-2</v>
      </c>
      <c r="Q88" s="191">
        <f t="shared" si="14"/>
        <v>-0.2249746231812888</v>
      </c>
      <c r="R88" s="193">
        <f t="shared" si="15"/>
        <v>-2257.2788490391413</v>
      </c>
      <c r="S88" s="354"/>
      <c r="T88" s="167"/>
      <c r="U88" s="355"/>
      <c r="V88" s="355"/>
      <c r="W88" s="355"/>
      <c r="X88" s="355"/>
      <c r="Y88" s="355"/>
      <c r="Z88" s="445">
        <f>VLOOKUP(A88,'Ref-Data'!$A:$F,6,FALSE)</f>
        <v>4.4052019164955514</v>
      </c>
      <c r="AA88" s="390">
        <f>IF('Ref-Data'!$Z$2="ON",VLOOKUP('Data Summary'!A88,'MacroPD-Cal'!$A:$O,15,FALSE),IF('Ref-Data'!$Z$5="Baseline",VLOOKUP(A88,'Model Output_TTC'!$A:$AU,47,FALSE),IF('Ref-Data'!$Z$5="90th Percentile",VLOOKUP(A88,'Model Output_TTC'!$A:$BP,68,FALSE),IF('Ref-Data'!$Z$5="96th Percentile",VLOOKUP('Data Summary'!A88,'Model Output_TTC'!$A:$Z,26,FALSE),""))))</f>
        <v>1.2200000000000001E-2</v>
      </c>
    </row>
    <row r="89" spans="1:27" x14ac:dyDescent="0.25">
      <c r="A89" s="354">
        <v>1100000244</v>
      </c>
      <c r="B89" s="167" t="str">
        <f>VLOOKUP(A89,'Ref-Data'!A:AD,30,FALSE)</f>
        <v>PARK LANE HEALTHCARE (MAGNOLIA HOUSE) LIMITED &amp; PARK LANE HEALTHCARE (THE MANOR HOUSE) LIMITED &amp; PARK LANE HEALTHCARE (CROSTON PARK) LIMITED &amp; YORK HERITAGE (THE HALL THORNTON LE DALE ) LIMITED &amp; PLH MOORGATE HOLDCO LIMITED</v>
      </c>
      <c r="C89" s="190">
        <f>VLOOKUP('Data Summary'!$A89,'Ref-Data'!$A:$U,2,FALSE)</f>
        <v>2879716</v>
      </c>
      <c r="D89" s="190">
        <f>VLOOKUP(A89,'Ref-Data'!A:C,3,FALSE)</f>
        <v>2879716</v>
      </c>
      <c r="E89" s="190">
        <f>VLOOKUP('Data Summary'!$A89,'Ref-Data'!$A:$U,15,FALSE)</f>
        <v>0</v>
      </c>
      <c r="F89" s="226">
        <f>VLOOKUP('Data Summary'!$A89,'Ref-Data'!$A:$U,12,FALSE)</f>
        <v>3.6000000000000003E-3</v>
      </c>
      <c r="G89" s="226">
        <f>VLOOKUP('Data Summary'!$A89,'Ref-Data'!$A:$U,14,FALSE)</f>
        <v>0.15016858201638894</v>
      </c>
      <c r="H89" s="190">
        <f>VLOOKUP(A89,'Code Results'!A:B,2,FALSE)</f>
        <v>1508.3128553332101</v>
      </c>
      <c r="I89" s="190">
        <f>IFERROR(VLOOKUP($A89,'Code Results'!$A:$C,13,FALSE),VLOOKUP('Data Summary'!$A89,'Ref-Data'!$A:$U,18,FALSE))</f>
        <v>0</v>
      </c>
      <c r="J89" s="190">
        <f t="shared" si="12"/>
        <v>1508.3128553332101</v>
      </c>
      <c r="K89" s="167" t="s">
        <v>1156</v>
      </c>
      <c r="L89" s="190">
        <f>VLOOKUP(A89, 'Ref-Data'!$A:$I,9,FALSE)</f>
        <v>1</v>
      </c>
      <c r="M89" s="173">
        <v>4.7500000000000001E-2</v>
      </c>
      <c r="N89" s="173">
        <v>0.37514320519767774</v>
      </c>
      <c r="O89" s="192">
        <v>3502.9172331077216</v>
      </c>
      <c r="P89" s="191">
        <f t="shared" si="13"/>
        <v>-4.3900000000000002E-2</v>
      </c>
      <c r="Q89" s="191">
        <f t="shared" si="14"/>
        <v>-0.2249746231812888</v>
      </c>
      <c r="R89" s="193">
        <f t="shared" si="15"/>
        <v>-1994.6043777745115</v>
      </c>
      <c r="S89" s="354"/>
      <c r="T89" s="167"/>
      <c r="U89" s="355"/>
      <c r="V89" s="355"/>
      <c r="W89" s="355"/>
      <c r="X89" s="355"/>
      <c r="Y89" s="355"/>
      <c r="Z89" s="445">
        <f>VLOOKUP(A89,'Ref-Data'!$A:$F,6,FALSE)</f>
        <v>4.4052019164955514</v>
      </c>
      <c r="AA89" s="390">
        <f>IF('Ref-Data'!$Z$2="ON",VLOOKUP('Data Summary'!A89,'MacroPD-Cal'!$A:$O,15,FALSE),IF('Ref-Data'!$Z$5="Baseline",VLOOKUP(A89,'Model Output_TTC'!$A:$AU,47,FALSE),IF('Ref-Data'!$Z$5="90th Percentile",VLOOKUP(A89,'Model Output_TTC'!$A:$BP,68,FALSE),IF('Ref-Data'!$Z$5="96th Percentile",VLOOKUP('Data Summary'!A89,'Model Output_TTC'!$A:$Z,26,FALSE),""))))</f>
        <v>1.2200000000000001E-2</v>
      </c>
    </row>
    <row r="90" spans="1:27" x14ac:dyDescent="0.25">
      <c r="A90" s="354">
        <v>1100000248</v>
      </c>
      <c r="B90" s="167" t="str">
        <f>VLOOKUP(A90,'Ref-Data'!A:AD,30,FALSE)</f>
        <v>INN COLLECTION BIDCO LIMITED</v>
      </c>
      <c r="C90" s="190">
        <f>VLOOKUP('Data Summary'!$A90,'Ref-Data'!$A:$U,2,FALSE)</f>
        <v>17992725.920000002</v>
      </c>
      <c r="D90" s="190">
        <f>VLOOKUP(A90,'Ref-Data'!A:C,3,FALSE)</f>
        <v>17992725.920000002</v>
      </c>
      <c r="E90" s="190">
        <f>VLOOKUP('Data Summary'!$A90,'Ref-Data'!$A:$U,15,FALSE)</f>
        <v>0</v>
      </c>
      <c r="F90" s="226">
        <f>VLOOKUP('Data Summary'!$A90,'Ref-Data'!$A:$U,12,FALSE)</f>
        <v>2.29E-2</v>
      </c>
      <c r="G90" s="226">
        <f>VLOOKUP('Data Summary'!$A90,'Ref-Data'!$A:$U,14,FALSE)</f>
        <v>0.35859999999999997</v>
      </c>
      <c r="H90" s="564">
        <f>VLOOKUP(A90,'Code Results'!A:B,2,FALSE)</f>
        <v>145601.27701193499</v>
      </c>
      <c r="I90" s="190">
        <f>IFERROR(VLOOKUP($A90,'Code Results'!$A:$C,13,FALSE),VLOOKUP('Data Summary'!$A90,'Ref-Data'!$A:$U,18,FALSE))</f>
        <v>0</v>
      </c>
      <c r="J90" s="190">
        <f t="shared" si="12"/>
        <v>145601.27701193499</v>
      </c>
      <c r="K90" s="167" t="s">
        <v>1156</v>
      </c>
      <c r="L90" s="190">
        <f>VLOOKUP(A90, 'Ref-Data'!$A:$I,9,FALSE)</f>
        <v>1</v>
      </c>
      <c r="M90" s="173">
        <v>4.7500000000000001E-2</v>
      </c>
      <c r="N90" s="173">
        <v>0.37514320519767774</v>
      </c>
      <c r="O90" s="192">
        <v>3502.9172331077216</v>
      </c>
      <c r="P90" s="191">
        <f t="shared" si="13"/>
        <v>-2.46E-2</v>
      </c>
      <c r="Q90" s="191">
        <f t="shared" si="14"/>
        <v>-1.6543205197677768E-2</v>
      </c>
      <c r="R90" s="193">
        <f t="shared" si="15"/>
        <v>142098.35977882726</v>
      </c>
      <c r="S90" s="354"/>
      <c r="T90" s="167"/>
      <c r="U90" s="355"/>
      <c r="V90" s="355"/>
      <c r="W90" s="355"/>
      <c r="X90" s="355"/>
      <c r="Y90" s="355"/>
      <c r="Z90" s="445">
        <f>VLOOKUP(A90,'Ref-Data'!$A:$F,6,FALSE)</f>
        <v>3.5044490075290895</v>
      </c>
      <c r="AA90" s="390">
        <f>IF('Ref-Data'!$Z$2="ON",VLOOKUP('Data Summary'!A90,'MacroPD-Cal'!$A:$O,15,FALSE),IF('Ref-Data'!$Z$5="Baseline",VLOOKUP(A90,'Model Output_TTC'!$A:$AU,47,FALSE),IF('Ref-Data'!$Z$5="90th Percentile",VLOOKUP(A90,'Model Output_TTC'!$A:$BP,68,FALSE),IF('Ref-Data'!$Z$5="96th Percentile",VLOOKUP('Data Summary'!A90,'Model Output_TTC'!$A:$Z,26,FALSE),""))))</f>
        <v>4.9700000000000001E-2</v>
      </c>
    </row>
    <row r="91" spans="1:27" x14ac:dyDescent="0.25">
      <c r="A91" s="354">
        <v>1100000249</v>
      </c>
      <c r="B91" s="167" t="str">
        <f>VLOOKUP(A91,'Ref-Data'!A:AD,30,FALSE)</f>
        <v>INN COLLECTION BIDCO LIMITED</v>
      </c>
      <c r="C91" s="190">
        <f>VLOOKUP('Data Summary'!$A91,'Ref-Data'!$A:$U,2,FALSE)</f>
        <v>2800000</v>
      </c>
      <c r="D91" s="190">
        <f>VLOOKUP(A91,'Ref-Data'!A:C,3,FALSE)</f>
        <v>2800000</v>
      </c>
      <c r="E91" s="190">
        <f>VLOOKUP('Data Summary'!$A91,'Ref-Data'!$A:$U,15,FALSE)</f>
        <v>0</v>
      </c>
      <c r="F91" s="226">
        <f>VLOOKUP('Data Summary'!$A91,'Ref-Data'!$A:$U,12,FALSE)</f>
        <v>2.29E-2</v>
      </c>
      <c r="G91" s="226">
        <f>VLOOKUP('Data Summary'!$A91,'Ref-Data'!$A:$U,14,FALSE)</f>
        <v>0.35859999999999997</v>
      </c>
      <c r="H91" s="564">
        <f>VLOOKUP(A91,'Code Results'!A:B,2,FALSE)</f>
        <v>22623.630290308702</v>
      </c>
      <c r="I91" s="190">
        <f>IFERROR(VLOOKUP($A91,'Code Results'!$A:$C,13,FALSE),VLOOKUP('Data Summary'!$A91,'Ref-Data'!$A:$U,18,FALSE))</f>
        <v>0</v>
      </c>
      <c r="J91" s="190">
        <f t="shared" si="12"/>
        <v>22623.630290308702</v>
      </c>
      <c r="K91" s="167" t="s">
        <v>1156</v>
      </c>
      <c r="L91" s="190">
        <f>VLOOKUP(A91, 'Ref-Data'!$A:$I,9,FALSE)</f>
        <v>1</v>
      </c>
      <c r="M91" s="173">
        <v>4.7500000000000001E-2</v>
      </c>
      <c r="N91" s="173">
        <v>0.37514320519767774</v>
      </c>
      <c r="O91" s="192">
        <v>3502.9172331077216</v>
      </c>
      <c r="P91" s="191">
        <f t="shared" si="13"/>
        <v>-2.46E-2</v>
      </c>
      <c r="Q91" s="191">
        <f t="shared" si="14"/>
        <v>-1.6543205197677768E-2</v>
      </c>
      <c r="R91" s="193">
        <f t="shared" si="15"/>
        <v>19120.713057200981</v>
      </c>
      <c r="S91" s="354"/>
      <c r="T91" s="167"/>
      <c r="U91" s="355"/>
      <c r="V91" s="355"/>
      <c r="W91" s="355"/>
      <c r="X91" s="355"/>
      <c r="Y91" s="355"/>
      <c r="Z91" s="445">
        <f>VLOOKUP(A91,'Ref-Data'!$A:$F,6,FALSE)</f>
        <v>3.5044490075290895</v>
      </c>
      <c r="AA91" s="390">
        <f>IF('Ref-Data'!$Z$2="ON",VLOOKUP('Data Summary'!A91,'MacroPD-Cal'!$A:$O,15,FALSE),IF('Ref-Data'!$Z$5="Baseline",VLOOKUP(A91,'Model Output_TTC'!$A:$AU,47,FALSE),IF('Ref-Data'!$Z$5="90th Percentile",VLOOKUP(A91,'Model Output_TTC'!$A:$BP,68,FALSE),IF('Ref-Data'!$Z$5="96th Percentile",VLOOKUP('Data Summary'!A91,'Model Output_TTC'!$A:$Z,26,FALSE),""))))</f>
        <v>4.9700000000000001E-2</v>
      </c>
    </row>
    <row r="92" spans="1:27" x14ac:dyDescent="0.25">
      <c r="A92" s="354">
        <v>1100000258</v>
      </c>
      <c r="B92" s="167" t="str">
        <f>VLOOKUP(A92,'Ref-Data'!A:AD,30,FALSE)</f>
        <v>INN COLLECTION BIDCO LIMITED</v>
      </c>
      <c r="C92" s="190">
        <f>VLOOKUP('Data Summary'!$A92,'Ref-Data'!$A:$U,2,FALSE)</f>
        <v>3150000</v>
      </c>
      <c r="D92" s="190">
        <f>VLOOKUP(A92,'Ref-Data'!A:C,3,FALSE)</f>
        <v>0</v>
      </c>
      <c r="E92" s="190">
        <f>VLOOKUP('Data Summary'!$A92,'Ref-Data'!$A:$U,15,FALSE)</f>
        <v>3150000</v>
      </c>
      <c r="F92" s="226">
        <f>VLOOKUP('Data Summary'!$A92,'Ref-Data'!$A:$U,12,FALSE)</f>
        <v>2.29E-2</v>
      </c>
      <c r="G92" s="226">
        <f>VLOOKUP('Data Summary'!$A92,'Ref-Data'!$A:$U,14,FALSE)</f>
        <v>0.35859999999999997</v>
      </c>
      <c r="H92" s="564">
        <f>VLOOKUP(A92,'Code Results'!A:B,2,FALSE)</f>
        <v>0</v>
      </c>
      <c r="I92" s="190">
        <f>IFERROR(VLOOKUP($A92,'Code Results'!$A:$C,13,FALSE),VLOOKUP('Data Summary'!$A92,'Ref-Data'!$A:$U,18,FALSE))</f>
        <v>12933.805499999999</v>
      </c>
      <c r="J92" s="190">
        <f t="shared" si="12"/>
        <v>12933.805499999999</v>
      </c>
      <c r="K92" s="167" t="s">
        <v>1156</v>
      </c>
      <c r="L92" s="190">
        <f>VLOOKUP(A92, 'Ref-Data'!$A:$I,9,FALSE)</f>
        <v>1</v>
      </c>
      <c r="M92" s="173">
        <v>4.7500000000000001E-2</v>
      </c>
      <c r="N92" s="173">
        <v>0.37514320519767774</v>
      </c>
      <c r="O92" s="192">
        <v>3502.9172331077216</v>
      </c>
      <c r="P92" s="191">
        <f t="shared" si="13"/>
        <v>-2.46E-2</v>
      </c>
      <c r="Q92" s="191">
        <f t="shared" si="14"/>
        <v>-1.6543205197677768E-2</v>
      </c>
      <c r="R92" s="193">
        <f t="shared" si="15"/>
        <v>9430.8882668922779</v>
      </c>
      <c r="S92" s="354"/>
      <c r="T92" s="167"/>
      <c r="U92" s="355"/>
      <c r="V92" s="355"/>
      <c r="W92" s="355"/>
      <c r="X92" s="355"/>
      <c r="Y92" s="355"/>
      <c r="Z92" s="445">
        <f>VLOOKUP(A92,'Ref-Data'!$A:$F,6,FALSE)</f>
        <v>3.5044490075290895</v>
      </c>
      <c r="AA92" s="390">
        <f>IF('Ref-Data'!$Z$2="ON",VLOOKUP('Data Summary'!A92,'MacroPD-Cal'!$A:$O,15,FALSE),IF('Ref-Data'!$Z$5="Baseline",VLOOKUP(A92,'Model Output_TTC'!$A:$AU,47,FALSE),IF('Ref-Data'!$Z$5="90th Percentile",VLOOKUP(A92,'Model Output_TTC'!$A:$BP,68,FALSE),IF('Ref-Data'!$Z$5="96th Percentile",VLOOKUP('Data Summary'!A92,'Model Output_TTC'!$A:$Z,26,FALSE),""))))</f>
        <v>4.9700000000000001E-2</v>
      </c>
    </row>
    <row r="93" spans="1:27" x14ac:dyDescent="0.25">
      <c r="A93" s="354">
        <v>1100000259</v>
      </c>
      <c r="B93" s="167" t="str">
        <f>VLOOKUP(A93,'Ref-Data'!A:AD,30,FALSE)</f>
        <v>INN COLLECTION BIDCO LIMITED</v>
      </c>
      <c r="C93" s="190">
        <f>VLOOKUP('Data Summary'!$A93,'Ref-Data'!$A:$U,2,FALSE)</f>
        <v>2450000</v>
      </c>
      <c r="D93" s="190">
        <f>VLOOKUP(A93,'Ref-Data'!A:C,3,FALSE)</f>
        <v>2450000</v>
      </c>
      <c r="E93" s="190">
        <f>VLOOKUP('Data Summary'!$A93,'Ref-Data'!$A:$U,15,FALSE)</f>
        <v>0</v>
      </c>
      <c r="F93" s="226">
        <f>VLOOKUP('Data Summary'!$A93,'Ref-Data'!$A:$U,12,FALSE)</f>
        <v>2.29E-2</v>
      </c>
      <c r="G93" s="226">
        <f>VLOOKUP('Data Summary'!$A93,'Ref-Data'!$A:$U,14,FALSE)</f>
        <v>0.35859999999999997</v>
      </c>
      <c r="H93" s="564">
        <f>VLOOKUP(A93,'Code Results'!A:B,2,FALSE)</f>
        <v>19795.6764320355</v>
      </c>
      <c r="I93" s="190">
        <f>IFERROR(VLOOKUP($A93,'Code Results'!$A:$C,13,FALSE),VLOOKUP('Data Summary'!$A93,'Ref-Data'!$A:$U,18,FALSE))</f>
        <v>0</v>
      </c>
      <c r="J93" s="190">
        <f t="shared" si="12"/>
        <v>19795.6764320355</v>
      </c>
      <c r="K93" s="167" t="s">
        <v>1156</v>
      </c>
      <c r="L93" s="190">
        <f>VLOOKUP(A93, 'Ref-Data'!$A:$I,9,FALSE)</f>
        <v>1</v>
      </c>
      <c r="M93" s="173">
        <v>4.7500000000000001E-2</v>
      </c>
      <c r="N93" s="173">
        <v>0.37514320519767774</v>
      </c>
      <c r="O93" s="192">
        <v>3502.9172331077216</v>
      </c>
      <c r="P93" s="191">
        <f t="shared" si="13"/>
        <v>-2.46E-2</v>
      </c>
      <c r="Q93" s="191">
        <f t="shared" si="14"/>
        <v>-1.6543205197677768E-2</v>
      </c>
      <c r="R93" s="193">
        <f t="shared" si="15"/>
        <v>16292.759198927779</v>
      </c>
      <c r="S93" s="354"/>
      <c r="T93" s="167"/>
      <c r="U93" s="355"/>
      <c r="V93" s="355"/>
      <c r="W93" s="355"/>
      <c r="X93" s="355"/>
      <c r="Y93" s="355"/>
      <c r="Z93" s="445">
        <f>VLOOKUP(A93,'Ref-Data'!$A:$F,6,FALSE)</f>
        <v>3.5044490075290895</v>
      </c>
      <c r="AA93" s="390">
        <f>IF('Ref-Data'!$Z$2="ON",VLOOKUP('Data Summary'!A93,'MacroPD-Cal'!$A:$O,15,FALSE),IF('Ref-Data'!$Z$5="Baseline",VLOOKUP(A93,'Model Output_TTC'!$A:$AU,47,FALSE),IF('Ref-Data'!$Z$5="90th Percentile",VLOOKUP(A93,'Model Output_TTC'!$A:$BP,68,FALSE),IF('Ref-Data'!$Z$5="96th Percentile",VLOOKUP('Data Summary'!A93,'Model Output_TTC'!$A:$Z,26,FALSE),""))))</f>
        <v>4.9700000000000001E-2</v>
      </c>
    </row>
    <row r="94" spans="1:27" x14ac:dyDescent="0.25">
      <c r="A94" s="354">
        <v>1100000253</v>
      </c>
      <c r="B94" s="167" t="str">
        <f>VLOOKUP(A94,'Ref-Data'!A:AD,30,FALSE)</f>
        <v>INN COLLECTION BIDCO LIMITED</v>
      </c>
      <c r="C94" s="190">
        <f>VLOOKUP('Data Summary'!$A94,'Ref-Data'!$A:$U,2,FALSE)</f>
        <v>6865000</v>
      </c>
      <c r="D94" s="190">
        <f>VLOOKUP(A94,'Ref-Data'!A:C,3,FALSE)</f>
        <v>0</v>
      </c>
      <c r="E94" s="190">
        <f>VLOOKUP('Data Summary'!$A94,'Ref-Data'!$A:$U,15,FALSE)</f>
        <v>6865000</v>
      </c>
      <c r="F94" s="226">
        <f>VLOOKUP('Data Summary'!$A94,'Ref-Data'!$A:$U,12,FALSE)</f>
        <v>2.29E-2</v>
      </c>
      <c r="G94" s="226">
        <f>VLOOKUP('Data Summary'!$A94,'Ref-Data'!$A:$U,14,FALSE)</f>
        <v>0.35859999999999997</v>
      </c>
      <c r="H94" s="564">
        <f>VLOOKUP(A94,'Code Results'!A:B,2,FALSE)</f>
        <v>0</v>
      </c>
      <c r="I94" s="190">
        <f>IFERROR(VLOOKUP($A94,'Code Results'!$A:$C,13,FALSE),VLOOKUP('Data Summary'!$A94,'Ref-Data'!$A:$U,18,FALSE))</f>
        <v>28187.484049999995</v>
      </c>
      <c r="J94" s="190">
        <f t="shared" si="12"/>
        <v>28187.484049999995</v>
      </c>
      <c r="K94" s="167" t="s">
        <v>1156</v>
      </c>
      <c r="L94" s="190">
        <f>VLOOKUP(A94, 'Ref-Data'!$A:$I,9,FALSE)</f>
        <v>1</v>
      </c>
      <c r="M94" s="173">
        <v>4.7500000000000001E-2</v>
      </c>
      <c r="N94" s="173">
        <v>0.37514320519767774</v>
      </c>
      <c r="O94" s="192">
        <v>3502.9172331077216</v>
      </c>
      <c r="P94" s="191">
        <f t="shared" si="13"/>
        <v>-2.46E-2</v>
      </c>
      <c r="Q94" s="191">
        <f t="shared" si="14"/>
        <v>-1.6543205197677768E-2</v>
      </c>
      <c r="R94" s="193">
        <f t="shared" si="15"/>
        <v>24684.566816892275</v>
      </c>
      <c r="S94" s="354"/>
      <c r="T94" s="167"/>
      <c r="U94" s="355"/>
      <c r="V94" s="355"/>
      <c r="W94" s="355"/>
      <c r="X94" s="355"/>
      <c r="Y94" s="355"/>
      <c r="Z94" s="445">
        <f>VLOOKUP(A94,'Ref-Data'!$A:$F,6,FALSE)</f>
        <v>3.5044490075290895</v>
      </c>
      <c r="AA94" s="390">
        <f>IF('Ref-Data'!$Z$2="ON",VLOOKUP('Data Summary'!A94,'MacroPD-Cal'!$A:$O,15,FALSE),IF('Ref-Data'!$Z$5="Baseline",VLOOKUP(A94,'Model Output_TTC'!$A:$AU,47,FALSE),IF('Ref-Data'!$Z$5="90th Percentile",VLOOKUP(A94,'Model Output_TTC'!$A:$BP,68,FALSE),IF('Ref-Data'!$Z$5="96th Percentile",VLOOKUP('Data Summary'!A94,'Model Output_TTC'!$A:$Z,26,FALSE),""))))</f>
        <v>4.9700000000000001E-2</v>
      </c>
    </row>
    <row r="95" spans="1:27" x14ac:dyDescent="0.25">
      <c r="A95" s="354">
        <v>1100000250</v>
      </c>
      <c r="B95" s="167" t="str">
        <f>VLOOKUP(A95,'Ref-Data'!A:AD,30,FALSE)</f>
        <v>INN COLLECTION BIDCO LIMITED</v>
      </c>
      <c r="C95" s="190">
        <f>VLOOKUP('Data Summary'!$A95,'Ref-Data'!$A:$U,2,FALSE)</f>
        <v>3245000</v>
      </c>
      <c r="D95" s="190">
        <f>VLOOKUP(A95,'Ref-Data'!A:C,3,FALSE)</f>
        <v>0</v>
      </c>
      <c r="E95" s="190">
        <f>VLOOKUP('Data Summary'!$A95,'Ref-Data'!$A:$U,15,FALSE)</f>
        <v>3245000</v>
      </c>
      <c r="F95" s="226">
        <f>VLOOKUP('Data Summary'!$A95,'Ref-Data'!$A:$U,12,FALSE)</f>
        <v>2.29E-2</v>
      </c>
      <c r="G95" s="226">
        <f>VLOOKUP('Data Summary'!$A95,'Ref-Data'!$A:$U,14,FALSE)</f>
        <v>0.35859999999999997</v>
      </c>
      <c r="H95" s="564">
        <f>VLOOKUP(A95,'Code Results'!A:B,2,FALSE)</f>
        <v>0</v>
      </c>
      <c r="I95" s="190">
        <f>IFERROR(VLOOKUP($A95,'Code Results'!$A:$C,13,FALSE),VLOOKUP('Data Summary'!$A95,'Ref-Data'!$A:$U,18,FALSE))</f>
        <v>13323.872649999999</v>
      </c>
      <c r="J95" s="190">
        <f t="shared" si="12"/>
        <v>13323.872649999999</v>
      </c>
      <c r="K95" s="167" t="s">
        <v>1156</v>
      </c>
      <c r="L95" s="190">
        <f>VLOOKUP(A95, 'Ref-Data'!$A:$I,9,FALSE)</f>
        <v>1</v>
      </c>
      <c r="M95" s="173">
        <v>4.7500000000000001E-2</v>
      </c>
      <c r="N95" s="173">
        <v>0.37514320519767774</v>
      </c>
      <c r="O95" s="192">
        <v>3502.9172331077216</v>
      </c>
      <c r="P95" s="191">
        <f t="shared" si="13"/>
        <v>-2.46E-2</v>
      </c>
      <c r="Q95" s="191">
        <f t="shared" si="14"/>
        <v>-1.6543205197677768E-2</v>
      </c>
      <c r="R95" s="193">
        <f t="shared" si="15"/>
        <v>9820.9554168922768</v>
      </c>
      <c r="S95" s="354"/>
      <c r="T95" s="167"/>
      <c r="U95" s="355"/>
      <c r="V95" s="355"/>
      <c r="W95" s="355"/>
      <c r="X95" s="355"/>
      <c r="Y95" s="355"/>
      <c r="Z95" s="445">
        <f>VLOOKUP(A95,'Ref-Data'!$A:$F,6,FALSE)</f>
        <v>3.5044490075290895</v>
      </c>
      <c r="AA95" s="390">
        <f>IF('Ref-Data'!$Z$2="ON",VLOOKUP('Data Summary'!A95,'MacroPD-Cal'!$A:$O,15,FALSE),IF('Ref-Data'!$Z$5="Baseline",VLOOKUP(A95,'Model Output_TTC'!$A:$AU,47,FALSE),IF('Ref-Data'!$Z$5="90th Percentile",VLOOKUP(A95,'Model Output_TTC'!$A:$BP,68,FALSE),IF('Ref-Data'!$Z$5="96th Percentile",VLOOKUP('Data Summary'!A95,'Model Output_TTC'!$A:$Z,26,FALSE),""))))</f>
        <v>4.9700000000000001E-2</v>
      </c>
    </row>
    <row r="96" spans="1:27" x14ac:dyDescent="0.25">
      <c r="A96" s="354">
        <v>1100000255</v>
      </c>
      <c r="B96" s="167" t="str">
        <f>VLOOKUP(A96,'Ref-Data'!A:AD,30,FALSE)</f>
        <v>INN COLLECTION BIDCO LIMITED</v>
      </c>
      <c r="C96" s="190">
        <f>VLOOKUP('Data Summary'!$A96,'Ref-Data'!$A:$U,2,FALSE)</f>
        <v>6640000</v>
      </c>
      <c r="D96" s="190">
        <f>VLOOKUP(A96,'Ref-Data'!A:C,3,FALSE)</f>
        <v>0</v>
      </c>
      <c r="E96" s="190">
        <f>VLOOKUP('Data Summary'!$A96,'Ref-Data'!$A:$U,15,FALSE)</f>
        <v>6640000</v>
      </c>
      <c r="F96" s="226">
        <f>VLOOKUP('Data Summary'!$A96,'Ref-Data'!$A:$U,12,FALSE)</f>
        <v>2.29E-2</v>
      </c>
      <c r="G96" s="226">
        <f>VLOOKUP('Data Summary'!$A96,'Ref-Data'!$A:$U,14,FALSE)</f>
        <v>0.35859999999999997</v>
      </c>
      <c r="H96" s="564">
        <f>VLOOKUP(A96,'Code Results'!A:B,2,FALSE)</f>
        <v>0</v>
      </c>
      <c r="I96" s="190">
        <f>IFERROR(VLOOKUP($A96,'Code Results'!$A:$C,13,FALSE),VLOOKUP('Data Summary'!$A96,'Ref-Data'!$A:$U,18,FALSE))</f>
        <v>27263.640799999997</v>
      </c>
      <c r="J96" s="190">
        <f t="shared" si="12"/>
        <v>27263.640799999997</v>
      </c>
      <c r="K96" s="167" t="s">
        <v>1156</v>
      </c>
      <c r="L96" s="190">
        <f>VLOOKUP(A96, 'Ref-Data'!$A:$I,9,FALSE)</f>
        <v>1</v>
      </c>
      <c r="M96" s="173">
        <v>4.7500000000000001E-2</v>
      </c>
      <c r="N96" s="173">
        <v>0.37514320519767774</v>
      </c>
      <c r="O96" s="192">
        <v>3502.9172331077216</v>
      </c>
      <c r="P96" s="191">
        <f t="shared" si="13"/>
        <v>-2.46E-2</v>
      </c>
      <c r="Q96" s="191">
        <f t="shared" si="14"/>
        <v>-1.6543205197677768E-2</v>
      </c>
      <c r="R96" s="193">
        <f t="shared" si="15"/>
        <v>23760.723566892277</v>
      </c>
      <c r="S96" s="354"/>
      <c r="T96" s="167"/>
      <c r="U96" s="355"/>
      <c r="V96" s="355"/>
      <c r="W96" s="355"/>
      <c r="X96" s="355"/>
      <c r="Y96" s="355"/>
      <c r="Z96" s="445">
        <f>VLOOKUP(A96,'Ref-Data'!$A:$F,6,FALSE)</f>
        <v>3.5044490075290895</v>
      </c>
      <c r="AA96" s="390">
        <f>IF('Ref-Data'!$Z$2="ON",VLOOKUP('Data Summary'!A96,'MacroPD-Cal'!$A:$O,15,FALSE),IF('Ref-Data'!$Z$5="Baseline",VLOOKUP(A96,'Model Output_TTC'!$A:$AU,47,FALSE),IF('Ref-Data'!$Z$5="90th Percentile",VLOOKUP(A96,'Model Output_TTC'!$A:$BP,68,FALSE),IF('Ref-Data'!$Z$5="96th Percentile",VLOOKUP('Data Summary'!A96,'Model Output_TTC'!$A:$Z,26,FALSE),""))))</f>
        <v>4.9700000000000001E-2</v>
      </c>
    </row>
    <row r="97" spans="1:27" x14ac:dyDescent="0.25">
      <c r="A97" s="354">
        <v>1100000252</v>
      </c>
      <c r="B97" s="167" t="str">
        <f>VLOOKUP(A97,'Ref-Data'!A:AD,30,FALSE)</f>
        <v>INN COLLECTION BIDCO LIMITED</v>
      </c>
      <c r="C97" s="190">
        <f>VLOOKUP('Data Summary'!$A97,'Ref-Data'!$A:$U,2,FALSE)</f>
        <v>4280000</v>
      </c>
      <c r="D97" s="190">
        <f>VLOOKUP(A97,'Ref-Data'!A:C,3,FALSE)</f>
        <v>0</v>
      </c>
      <c r="E97" s="190">
        <f>VLOOKUP('Data Summary'!$A97,'Ref-Data'!$A:$U,15,FALSE)</f>
        <v>4280000</v>
      </c>
      <c r="F97" s="226">
        <f>VLOOKUP('Data Summary'!$A97,'Ref-Data'!$A:$U,12,FALSE)</f>
        <v>2.29E-2</v>
      </c>
      <c r="G97" s="226">
        <f>VLOOKUP('Data Summary'!$A97,'Ref-Data'!$A:$U,14,FALSE)</f>
        <v>0.35859999999999997</v>
      </c>
      <c r="H97" s="564">
        <f>VLOOKUP(A97,'Code Results'!A:B,2,FALSE)</f>
        <v>0</v>
      </c>
      <c r="I97" s="190">
        <f>IFERROR(VLOOKUP($A97,'Code Results'!$A:$C,13,FALSE),VLOOKUP('Data Summary'!$A97,'Ref-Data'!$A:$U,18,FALSE))</f>
        <v>17573.551599999999</v>
      </c>
      <c r="J97" s="190">
        <f t="shared" si="12"/>
        <v>17573.551599999999</v>
      </c>
      <c r="K97" s="167" t="s">
        <v>1156</v>
      </c>
      <c r="L97" s="190">
        <f>VLOOKUP(A97, 'Ref-Data'!$A:$I,9,FALSE)</f>
        <v>1</v>
      </c>
      <c r="M97" s="173">
        <v>4.7500000000000001E-2</v>
      </c>
      <c r="N97" s="173">
        <v>0.37514320519767774</v>
      </c>
      <c r="O97" s="192">
        <v>3502.9172331077216</v>
      </c>
      <c r="P97" s="191">
        <f t="shared" si="13"/>
        <v>-2.46E-2</v>
      </c>
      <c r="Q97" s="191">
        <f t="shared" si="14"/>
        <v>-1.6543205197677768E-2</v>
      </c>
      <c r="R97" s="193">
        <f t="shared" si="15"/>
        <v>14070.634366892278</v>
      </c>
      <c r="S97" s="354"/>
      <c r="T97" s="167"/>
      <c r="U97" s="355"/>
      <c r="V97" s="355"/>
      <c r="W97" s="355"/>
      <c r="X97" s="355"/>
      <c r="Y97" s="355"/>
      <c r="Z97" s="445">
        <f>VLOOKUP(A97,'Ref-Data'!$A:$F,6,FALSE)</f>
        <v>3.5044490075290895</v>
      </c>
      <c r="AA97" s="390">
        <f>IF('Ref-Data'!$Z$2="ON",VLOOKUP('Data Summary'!A97,'MacroPD-Cal'!$A:$O,15,FALSE),IF('Ref-Data'!$Z$5="Baseline",VLOOKUP(A97,'Model Output_TTC'!$A:$AU,47,FALSE),IF('Ref-Data'!$Z$5="90th Percentile",VLOOKUP(A97,'Model Output_TTC'!$A:$BP,68,FALSE),IF('Ref-Data'!$Z$5="96th Percentile",VLOOKUP('Data Summary'!A97,'Model Output_TTC'!$A:$Z,26,FALSE),""))))</f>
        <v>4.9700000000000001E-2</v>
      </c>
    </row>
    <row r="98" spans="1:27" x14ac:dyDescent="0.25">
      <c r="A98" s="354">
        <v>1100000257</v>
      </c>
      <c r="B98" s="167" t="str">
        <f>VLOOKUP(A98,'Ref-Data'!A:AD,30,FALSE)</f>
        <v>INN COLLECTION BIDCO LIMITED</v>
      </c>
      <c r="C98" s="190">
        <f>VLOOKUP('Data Summary'!$A98,'Ref-Data'!$A:$U,2,FALSE)</f>
        <v>7774000</v>
      </c>
      <c r="D98" s="190">
        <f>VLOOKUP(A98,'Ref-Data'!A:C,3,FALSE)</f>
        <v>0</v>
      </c>
      <c r="E98" s="190">
        <f>VLOOKUP('Data Summary'!$A98,'Ref-Data'!$A:$U,15,FALSE)</f>
        <v>7774000</v>
      </c>
      <c r="F98" s="226">
        <f>VLOOKUP('Data Summary'!$A98,'Ref-Data'!$A:$U,12,FALSE)</f>
        <v>2.29E-2</v>
      </c>
      <c r="G98" s="226">
        <f>VLOOKUP('Data Summary'!$A98,'Ref-Data'!$A:$U,14,FALSE)</f>
        <v>0.35859999999999997</v>
      </c>
      <c r="H98" s="564">
        <f>VLOOKUP(A98,'Code Results'!A:B,2,FALSE)</f>
        <v>0</v>
      </c>
      <c r="I98" s="190">
        <f>IFERROR(VLOOKUP($A98,'Code Results'!$A:$C,13,FALSE),VLOOKUP('Data Summary'!$A98,'Ref-Data'!$A:$U,18,FALSE))</f>
        <v>31919.810779999996</v>
      </c>
      <c r="J98" s="190">
        <f t="shared" si="12"/>
        <v>31919.810779999996</v>
      </c>
      <c r="K98" s="167" t="s">
        <v>1156</v>
      </c>
      <c r="L98" s="190">
        <f>VLOOKUP(A98, 'Ref-Data'!$A:$I,9,FALSE)</f>
        <v>1</v>
      </c>
      <c r="M98" s="173">
        <v>4.7500000000000001E-2</v>
      </c>
      <c r="N98" s="173">
        <v>0.37514320519767774</v>
      </c>
      <c r="O98" s="192">
        <v>3502.9172331077216</v>
      </c>
      <c r="P98" s="191">
        <f t="shared" si="13"/>
        <v>-2.46E-2</v>
      </c>
      <c r="Q98" s="191">
        <f t="shared" si="14"/>
        <v>-1.6543205197677768E-2</v>
      </c>
      <c r="R98" s="193">
        <f t="shared" si="15"/>
        <v>28416.893546892275</v>
      </c>
      <c r="S98" s="354"/>
      <c r="T98" s="167"/>
      <c r="U98" s="355"/>
      <c r="V98" s="355"/>
      <c r="W98" s="355"/>
      <c r="X98" s="355"/>
      <c r="Y98" s="355"/>
      <c r="Z98" s="445">
        <f>VLOOKUP(A98,'Ref-Data'!$A:$F,6,FALSE)</f>
        <v>3.5044490075290895</v>
      </c>
      <c r="AA98" s="390">
        <f>IF('Ref-Data'!$Z$2="ON",VLOOKUP('Data Summary'!A98,'MacroPD-Cal'!$A:$O,15,FALSE),IF('Ref-Data'!$Z$5="Baseline",VLOOKUP(A98,'Model Output_TTC'!$A:$AU,47,FALSE),IF('Ref-Data'!$Z$5="90th Percentile",VLOOKUP(A98,'Model Output_TTC'!$A:$BP,68,FALSE),IF('Ref-Data'!$Z$5="96th Percentile",VLOOKUP('Data Summary'!A98,'Model Output_TTC'!$A:$Z,26,FALSE),""))))</f>
        <v>4.9700000000000001E-2</v>
      </c>
    </row>
    <row r="99" spans="1:27" x14ac:dyDescent="0.25">
      <c r="A99" s="354">
        <v>1100000251</v>
      </c>
      <c r="B99" s="167" t="str">
        <f>VLOOKUP(A99,'Ref-Data'!A:AD,30,FALSE)</f>
        <v>INN COLLECTION BIDCO LIMITED</v>
      </c>
      <c r="C99" s="190">
        <f>VLOOKUP('Data Summary'!$A99,'Ref-Data'!$A:$U,2,FALSE)</f>
        <v>796000</v>
      </c>
      <c r="D99" s="190">
        <f>VLOOKUP(A99,'Ref-Data'!A:C,3,FALSE)</f>
        <v>0</v>
      </c>
      <c r="E99" s="190">
        <f>VLOOKUP('Data Summary'!$A99,'Ref-Data'!$A:$U,15,FALSE)</f>
        <v>796000</v>
      </c>
      <c r="F99" s="226">
        <f>VLOOKUP('Data Summary'!$A99,'Ref-Data'!$A:$U,12,FALSE)</f>
        <v>2.29E-2</v>
      </c>
      <c r="G99" s="226">
        <f>VLOOKUP('Data Summary'!$A99,'Ref-Data'!$A:$U,14,FALSE)</f>
        <v>0.35859999999999997</v>
      </c>
      <c r="H99" s="564">
        <f>VLOOKUP(A99,'Code Results'!A:B,2,FALSE)</f>
        <v>0</v>
      </c>
      <c r="I99" s="190">
        <f>IFERROR(VLOOKUP($A99,'Code Results'!$A:$C,13,FALSE),VLOOKUP('Data Summary'!$A99,'Ref-Data'!$A:$U,18,FALSE))</f>
        <v>3268.3521199999996</v>
      </c>
      <c r="J99" s="190">
        <f t="shared" si="12"/>
        <v>3268.3521199999996</v>
      </c>
      <c r="K99" s="167" t="s">
        <v>1156</v>
      </c>
      <c r="L99" s="190">
        <f>VLOOKUP(A99, 'Ref-Data'!$A:$I,9,FALSE)</f>
        <v>1</v>
      </c>
      <c r="M99" s="173">
        <v>4.7500000000000001E-2</v>
      </c>
      <c r="N99" s="173">
        <v>0.37514320519767774</v>
      </c>
      <c r="O99" s="192">
        <v>3502.9172331077216</v>
      </c>
      <c r="P99" s="191">
        <f t="shared" si="13"/>
        <v>-2.46E-2</v>
      </c>
      <c r="Q99" s="191">
        <f t="shared" si="14"/>
        <v>-1.6543205197677768E-2</v>
      </c>
      <c r="R99" s="193">
        <f t="shared" si="15"/>
        <v>-234.56511310772203</v>
      </c>
      <c r="S99" s="354"/>
      <c r="T99" s="167"/>
      <c r="U99" s="355"/>
      <c r="V99" s="355"/>
      <c r="W99" s="355"/>
      <c r="X99" s="355"/>
      <c r="Y99" s="355"/>
      <c r="Z99" s="445">
        <f>VLOOKUP(A99,'Ref-Data'!$A:$F,6,FALSE)</f>
        <v>3.5044490075290895</v>
      </c>
      <c r="AA99" s="390">
        <f>IF('Ref-Data'!$Z$2="ON",VLOOKUP('Data Summary'!A99,'MacroPD-Cal'!$A:$O,15,FALSE),IF('Ref-Data'!$Z$5="Baseline",VLOOKUP(A99,'Model Output_TTC'!$A:$AU,47,FALSE),IF('Ref-Data'!$Z$5="90th Percentile",VLOOKUP(A99,'Model Output_TTC'!$A:$BP,68,FALSE),IF('Ref-Data'!$Z$5="96th Percentile",VLOOKUP('Data Summary'!A99,'Model Output_TTC'!$A:$Z,26,FALSE),""))))</f>
        <v>4.9700000000000001E-2</v>
      </c>
    </row>
    <row r="100" spans="1:27" x14ac:dyDescent="0.25">
      <c r="A100" s="354">
        <v>1100000254</v>
      </c>
      <c r="B100" s="167" t="str">
        <f>VLOOKUP(A100,'Ref-Data'!A:AD,30,FALSE)</f>
        <v>INN COLLECTION BIDCO LIMITED</v>
      </c>
      <c r="C100" s="190">
        <f>VLOOKUP('Data Summary'!$A100,'Ref-Data'!$A:$U,2,FALSE)</f>
        <v>3000000</v>
      </c>
      <c r="D100" s="190">
        <f>VLOOKUP(A100,'Ref-Data'!A:C,3,FALSE)</f>
        <v>2000000</v>
      </c>
      <c r="E100" s="190">
        <f>VLOOKUP('Data Summary'!$A100,'Ref-Data'!$A:$U,15,FALSE)</f>
        <v>1000000</v>
      </c>
      <c r="F100" s="226">
        <f>VLOOKUP('Data Summary'!$A100,'Ref-Data'!$A:$U,12,FALSE)</f>
        <v>2.29E-2</v>
      </c>
      <c r="G100" s="226">
        <f>VLOOKUP('Data Summary'!$A100,'Ref-Data'!$A:$U,14,FALSE)</f>
        <v>0.35859999999999997</v>
      </c>
      <c r="H100" s="564">
        <f>VLOOKUP(A100,'Code Results'!A:B,2,FALSE)</f>
        <v>16159.735886759599</v>
      </c>
      <c r="I100" s="190">
        <f>IFERROR(VLOOKUP($A100,'Code Results'!$A:$C,13,FALSE),VLOOKUP('Data Summary'!$A100,'Ref-Data'!$A:$U,18,FALSE))</f>
        <v>4105.9699999999993</v>
      </c>
      <c r="J100" s="190">
        <f t="shared" si="12"/>
        <v>20265.705886759599</v>
      </c>
      <c r="K100" s="167" t="s">
        <v>1156</v>
      </c>
      <c r="L100" s="190">
        <f>VLOOKUP(A100, 'Ref-Data'!$A:$I,9,FALSE)</f>
        <v>1</v>
      </c>
      <c r="M100" s="173">
        <v>4.7500000000000001E-2</v>
      </c>
      <c r="N100" s="173">
        <v>0.37514320519767774</v>
      </c>
      <c r="O100" s="192">
        <v>3502.9172331077216</v>
      </c>
      <c r="P100" s="191">
        <f t="shared" si="13"/>
        <v>-2.46E-2</v>
      </c>
      <c r="Q100" s="191">
        <f t="shared" si="14"/>
        <v>-1.6543205197677768E-2</v>
      </c>
      <c r="R100" s="193">
        <f t="shared" si="15"/>
        <v>16762.788653651878</v>
      </c>
      <c r="S100" s="354"/>
      <c r="T100" s="167"/>
      <c r="U100" s="355"/>
      <c r="V100" s="355"/>
      <c r="W100" s="355"/>
      <c r="X100" s="355"/>
      <c r="Y100" s="355"/>
      <c r="Z100" s="445">
        <f>VLOOKUP(A100,'Ref-Data'!$A:$F,6,FALSE)</f>
        <v>3.5044490075290895</v>
      </c>
      <c r="AA100" s="390">
        <f>IF('Ref-Data'!$Z$2="ON",VLOOKUP('Data Summary'!A100,'MacroPD-Cal'!$A:$O,15,FALSE),IF('Ref-Data'!$Z$5="Baseline",VLOOKUP(A100,'Model Output_TTC'!$A:$AU,47,FALSE),IF('Ref-Data'!$Z$5="90th Percentile",VLOOKUP(A100,'Model Output_TTC'!$A:$BP,68,FALSE),IF('Ref-Data'!$Z$5="96th Percentile",VLOOKUP('Data Summary'!A100,'Model Output_TTC'!$A:$Z,26,FALSE),""))))</f>
        <v>4.9700000000000001E-2</v>
      </c>
    </row>
    <row r="101" spans="1:27" x14ac:dyDescent="0.25">
      <c r="A101" s="354">
        <v>1100000256</v>
      </c>
      <c r="B101" s="167" t="str">
        <f>VLOOKUP(A101,'Ref-Data'!A:AD,30,FALSE)</f>
        <v>INN COLLECTION BIDCO LIMITED</v>
      </c>
      <c r="C101" s="190">
        <f>VLOOKUP('Data Summary'!$A101,'Ref-Data'!$A:$U,2,FALSE)</f>
        <v>1000000</v>
      </c>
      <c r="D101" s="190">
        <f>VLOOKUP(A101,'Ref-Data'!A:C,3,FALSE)</f>
        <v>1000000</v>
      </c>
      <c r="E101" s="190">
        <f>VLOOKUP('Data Summary'!$A101,'Ref-Data'!$A:$U,15,FALSE)</f>
        <v>0</v>
      </c>
      <c r="F101" s="226">
        <f>VLOOKUP('Data Summary'!$A101,'Ref-Data'!$A:$U,12,FALSE)</f>
        <v>2.29E-2</v>
      </c>
      <c r="G101" s="226">
        <f>VLOOKUP('Data Summary'!$A101,'Ref-Data'!$A:$U,14,FALSE)</f>
        <v>0.35859999999999997</v>
      </c>
      <c r="H101" s="564">
        <f>VLOOKUP(A101,'Code Results'!A:B,2,FALSE)</f>
        <v>8079.8679382537503</v>
      </c>
      <c r="I101" s="190">
        <f>IFERROR(VLOOKUP($A101,'Code Results'!$A:$C,13,FALSE),VLOOKUP('Data Summary'!$A101,'Ref-Data'!$A:$U,18,FALSE))</f>
        <v>0</v>
      </c>
      <c r="J101" s="190">
        <f t="shared" si="12"/>
        <v>8079.8679382537503</v>
      </c>
      <c r="K101" s="167" t="s">
        <v>1156</v>
      </c>
      <c r="L101" s="190">
        <f>VLOOKUP(A101, 'Ref-Data'!$A:$I,9,FALSE)</f>
        <v>1</v>
      </c>
      <c r="M101" s="173">
        <v>4.7500000000000001E-2</v>
      </c>
      <c r="N101" s="173">
        <v>0.37514320519767774</v>
      </c>
      <c r="O101" s="192">
        <v>3502.9172331077216</v>
      </c>
      <c r="P101" s="191">
        <f t="shared" si="13"/>
        <v>-2.46E-2</v>
      </c>
      <c r="Q101" s="191">
        <f t="shared" si="14"/>
        <v>-1.6543205197677768E-2</v>
      </c>
      <c r="R101" s="193">
        <f t="shared" si="15"/>
        <v>4576.9507051460287</v>
      </c>
      <c r="S101" s="354"/>
      <c r="T101" s="167"/>
      <c r="U101" s="355"/>
      <c r="V101" s="355"/>
      <c r="W101" s="355"/>
      <c r="X101" s="355"/>
      <c r="Y101" s="355"/>
      <c r="Z101" s="445">
        <f>VLOOKUP(A101,'Ref-Data'!$A:$F,6,FALSE)</f>
        <v>3.5044490075290895</v>
      </c>
      <c r="AA101" s="390">
        <f>IF('Ref-Data'!$Z$2="ON",VLOOKUP('Data Summary'!A101,'MacroPD-Cal'!$A:$O,15,FALSE),IF('Ref-Data'!$Z$5="Baseline",VLOOKUP(A101,'Model Output_TTC'!$A:$AU,47,FALSE),IF('Ref-Data'!$Z$5="90th Percentile",VLOOKUP(A101,'Model Output_TTC'!$A:$BP,68,FALSE),IF('Ref-Data'!$Z$5="96th Percentile",VLOOKUP('Data Summary'!A101,'Model Output_TTC'!$A:$Z,26,FALSE),""))))</f>
        <v>4.9700000000000001E-2</v>
      </c>
    </row>
    <row r="102" spans="1:27" x14ac:dyDescent="0.25">
      <c r="A102" s="354">
        <v>1100000268</v>
      </c>
      <c r="B102" s="167" t="str">
        <f>VLOOKUP(A102,'Ref-Data'!A:AD,30,FALSE)</f>
        <v>APPRENTIFY GROUP LIMITED</v>
      </c>
      <c r="C102" s="190">
        <f>VLOOKUP('Data Summary'!$A102,'Ref-Data'!$A:$U,2,FALSE)</f>
        <v>4956140</v>
      </c>
      <c r="D102" s="190">
        <f>VLOOKUP(A102,'Ref-Data'!A:C,3,FALSE)</f>
        <v>4956140</v>
      </c>
      <c r="E102" s="190">
        <f>VLOOKUP('Data Summary'!$A102,'Ref-Data'!$A:$U,15,FALSE)</f>
        <v>0</v>
      </c>
      <c r="F102" s="226">
        <f>VLOOKUP('Data Summary'!$A102,'Ref-Data'!$A:$U,12,FALSE)</f>
        <v>3.1000000000000003E-3</v>
      </c>
      <c r="G102" s="226">
        <f>VLOOKUP('Data Summary'!$A102,'Ref-Data'!$A:$U,14,FALSE)</f>
        <v>0.41450000000000004</v>
      </c>
      <c r="H102" s="190">
        <f>VLOOKUP(A102,'Code Results'!A:B,2,FALSE)</f>
        <v>5844.5795948896402</v>
      </c>
      <c r="I102" s="190">
        <f>IFERROR(VLOOKUP($A102,'Code Results'!$A:$C,13,FALSE),VLOOKUP('Data Summary'!$A102,'Ref-Data'!$A:$U,18,FALSE))</f>
        <v>0</v>
      </c>
      <c r="J102" s="190">
        <f t="shared" si="12"/>
        <v>5844.5795948896402</v>
      </c>
      <c r="K102" s="167" t="s">
        <v>1156</v>
      </c>
      <c r="L102" s="190">
        <f>VLOOKUP(A102, 'Ref-Data'!$A:$I,9,FALSE)</f>
        <v>1</v>
      </c>
      <c r="M102" s="173">
        <v>4.7500000000000001E-2</v>
      </c>
      <c r="N102" s="173">
        <v>0.37514320519767774</v>
      </c>
      <c r="O102" s="192">
        <v>3502.9172331077216</v>
      </c>
      <c r="P102" s="191">
        <f t="shared" si="13"/>
        <v>-4.4400000000000002E-2</v>
      </c>
      <c r="Q102" s="191">
        <f t="shared" si="14"/>
        <v>3.9356794802322292E-2</v>
      </c>
      <c r="R102" s="193">
        <f t="shared" si="15"/>
        <v>2341.6623617819187</v>
      </c>
      <c r="S102" s="354"/>
      <c r="T102" s="167"/>
      <c r="U102" s="355"/>
      <c r="V102" s="355"/>
      <c r="W102" s="355"/>
      <c r="X102" s="355"/>
      <c r="Y102" s="355"/>
      <c r="Z102" s="445">
        <f>VLOOKUP(A102,'Ref-Data'!$A:$F,6,FALSE)</f>
        <v>4.6735112936344967</v>
      </c>
      <c r="AA102" s="390">
        <f>IF('Ref-Data'!$Z$2="ON",VLOOKUP('Data Summary'!A102,'MacroPD-Cal'!$A:$O,15,FALSE),IF('Ref-Data'!$Z$5="Baseline",VLOOKUP(A102,'Model Output_TTC'!$A:$AU,47,FALSE),IF('Ref-Data'!$Z$5="90th Percentile",VLOOKUP(A102,'Model Output_TTC'!$A:$BP,68,FALSE),IF('Ref-Data'!$Z$5="96th Percentile",VLOOKUP('Data Summary'!A102,'Model Output_TTC'!$A:$Z,26,FALSE),""))))</f>
        <v>1.6900000000000002E-2</v>
      </c>
    </row>
    <row r="103" spans="1:27" x14ac:dyDescent="0.25">
      <c r="A103" s="354">
        <v>1100000269</v>
      </c>
      <c r="B103" s="167" t="str">
        <f>VLOOKUP(A103,'Ref-Data'!A:AD,30,FALSE)</f>
        <v>APPRENTIFY GROUP LIMITED</v>
      </c>
      <c r="C103" s="190">
        <f>VLOOKUP('Data Summary'!$A103,'Ref-Data'!$A:$U,2,FALSE)</f>
        <v>5000000</v>
      </c>
      <c r="D103" s="190">
        <f>VLOOKUP(A103,'Ref-Data'!A:C,3,FALSE)</f>
        <v>0</v>
      </c>
      <c r="E103" s="190">
        <f>VLOOKUP('Data Summary'!$A103,'Ref-Data'!$A:$U,15,FALSE)</f>
        <v>0</v>
      </c>
      <c r="F103" s="226">
        <f>VLOOKUP('Data Summary'!$A103,'Ref-Data'!$A:$U,12,FALSE)</f>
        <v>3.1000000000000003E-3</v>
      </c>
      <c r="G103" s="226">
        <f>VLOOKUP('Data Summary'!$A103,'Ref-Data'!$A:$U,14,FALSE)</f>
        <v>0.41450000000000004</v>
      </c>
      <c r="H103" s="190">
        <f>VLOOKUP(A103,'Code Results'!A:B,2,FALSE)</f>
        <v>0</v>
      </c>
      <c r="I103" s="190">
        <f>IFERROR(VLOOKUP($A103,'Code Results'!$A:$C,13,FALSE),VLOOKUP('Data Summary'!$A103,'Ref-Data'!$A:$U,18,FALSE))</f>
        <v>0</v>
      </c>
      <c r="J103" s="190">
        <f t="shared" si="12"/>
        <v>0</v>
      </c>
      <c r="K103" s="167" t="s">
        <v>1156</v>
      </c>
      <c r="L103" s="190">
        <f>VLOOKUP(A103, 'Ref-Data'!$A:$I,9,FALSE)</f>
        <v>1</v>
      </c>
      <c r="M103" s="173">
        <v>4.7500000000000001E-2</v>
      </c>
      <c r="N103" s="173">
        <v>0.37514320519767774</v>
      </c>
      <c r="O103" s="192">
        <v>3502.9172331077216</v>
      </c>
      <c r="P103" s="191">
        <f t="shared" si="13"/>
        <v>-4.4400000000000002E-2</v>
      </c>
      <c r="Q103" s="191">
        <f t="shared" si="14"/>
        <v>3.9356794802322292E-2</v>
      </c>
      <c r="R103" s="193">
        <f t="shared" si="15"/>
        <v>-3502.9172331077216</v>
      </c>
      <c r="S103" s="354"/>
      <c r="T103" s="167"/>
      <c r="U103" s="355"/>
      <c r="V103" s="355"/>
      <c r="W103" s="355"/>
      <c r="X103" s="355"/>
      <c r="Y103" s="355"/>
      <c r="Z103" s="445">
        <f>VLOOKUP(A103,'Ref-Data'!$A:$F,6,FALSE)</f>
        <v>4.6735112936344967</v>
      </c>
      <c r="AA103" s="390">
        <f>IF('Ref-Data'!$Z$2="ON",VLOOKUP('Data Summary'!A103,'MacroPD-Cal'!$A:$O,15,FALSE),IF('Ref-Data'!$Z$5="Baseline",VLOOKUP(A103,'Model Output_TTC'!$A:$AU,47,FALSE),IF('Ref-Data'!$Z$5="90th Percentile",VLOOKUP(A103,'Model Output_TTC'!$A:$BP,68,FALSE),IF('Ref-Data'!$Z$5="96th Percentile",VLOOKUP('Data Summary'!A103,'Model Output_TTC'!$A:$Z,26,FALSE),""))))</f>
        <v>1.6900000000000002E-2</v>
      </c>
    </row>
    <row r="104" spans="1:27" x14ac:dyDescent="0.25">
      <c r="A104" s="354">
        <v>1100000266</v>
      </c>
      <c r="B104" s="167" t="str">
        <f>VLOOKUP(A104,'Ref-Data'!A:AD,30,FALSE)</f>
        <v>CHELSEA BIDCO LIMITED</v>
      </c>
      <c r="C104" s="190">
        <f>VLOOKUP('Data Summary'!$A104,'Ref-Data'!$A:$U,2,FALSE)</f>
        <v>5600000</v>
      </c>
      <c r="D104" s="190">
        <f>VLOOKUP(A104,'Ref-Data'!A:C,3,FALSE)</f>
        <v>5600000</v>
      </c>
      <c r="E104" s="190">
        <f>VLOOKUP('Data Summary'!$A104,'Ref-Data'!$A:$U,15,FALSE)</f>
        <v>0</v>
      </c>
      <c r="F104" s="226">
        <f>VLOOKUP('Data Summary'!$A104,'Ref-Data'!$A:$U,12,FALSE)</f>
        <v>4.8999999999999998E-3</v>
      </c>
      <c r="G104" s="226">
        <f>VLOOKUP('Data Summary'!$A104,'Ref-Data'!$A:$U,14,FALSE)</f>
        <v>0.39140000000000003</v>
      </c>
      <c r="H104" s="190">
        <f>VLOOKUP(A104,'Code Results'!A:B,2,FALSE)</f>
        <v>9857.3928416451799</v>
      </c>
      <c r="I104" s="190">
        <f>IFERROR(VLOOKUP($A104,'Code Results'!$A:$C,13,FALSE),VLOOKUP('Data Summary'!$A104,'Ref-Data'!$A:$U,18,FALSE))</f>
        <v>0</v>
      </c>
      <c r="J104" s="190">
        <f t="shared" si="12"/>
        <v>9857.3928416451799</v>
      </c>
      <c r="K104" s="167" t="s">
        <v>1156</v>
      </c>
      <c r="L104" s="190">
        <f>VLOOKUP(A104, 'Ref-Data'!$A:$I,9,FALSE)</f>
        <v>1</v>
      </c>
      <c r="M104" s="173">
        <v>4.7500000000000001E-2</v>
      </c>
      <c r="N104" s="173">
        <v>0.37514320519767774</v>
      </c>
      <c r="O104" s="192">
        <v>3502.9172331077216</v>
      </c>
      <c r="P104" s="191">
        <f t="shared" si="13"/>
        <v>-4.2599999999999999E-2</v>
      </c>
      <c r="Q104" s="191">
        <f t="shared" si="14"/>
        <v>1.6256794802322283E-2</v>
      </c>
      <c r="R104" s="193">
        <f t="shared" si="15"/>
        <v>6354.4756085374584</v>
      </c>
      <c r="S104" s="354"/>
      <c r="T104" s="167"/>
      <c r="U104" s="355"/>
      <c r="V104" s="355"/>
      <c r="W104" s="355"/>
      <c r="X104" s="355"/>
      <c r="Y104" s="355"/>
      <c r="Z104" s="445">
        <f>VLOOKUP(A104,'Ref-Data'!$A:$F,6,FALSE)</f>
        <v>4.6817248459958929</v>
      </c>
      <c r="AA104" s="390">
        <f>IF('Ref-Data'!$Z$2="ON",VLOOKUP('Data Summary'!A104,'MacroPD-Cal'!$A:$O,15,FALSE),IF('Ref-Data'!$Z$5="Baseline",VLOOKUP(A104,'Model Output_TTC'!$A:$AU,47,FALSE),IF('Ref-Data'!$Z$5="90th Percentile",VLOOKUP(A104,'Model Output_TTC'!$A:$BP,68,FALSE),IF('Ref-Data'!$Z$5="96th Percentile",VLOOKUP('Data Summary'!A104,'Model Output_TTC'!$A:$Z,26,FALSE),""))))</f>
        <v>1.9700000000000002E-2</v>
      </c>
    </row>
    <row r="105" spans="1:27" x14ac:dyDescent="0.25">
      <c r="A105" s="354">
        <v>1100000267</v>
      </c>
      <c r="B105" s="167" t="str">
        <f>VLOOKUP(A105,'Ref-Data'!A:AD,30,FALSE)</f>
        <v>CHELSEA BIDCO LIMITED</v>
      </c>
      <c r="C105" s="190">
        <f>VLOOKUP('Data Summary'!$A105,'Ref-Data'!$A:$U,2,FALSE)</f>
        <v>9000000</v>
      </c>
      <c r="D105" s="190">
        <f>VLOOKUP(A105,'Ref-Data'!A:C,3,FALSE)</f>
        <v>9000000</v>
      </c>
      <c r="E105" s="190">
        <f>VLOOKUP('Data Summary'!$A105,'Ref-Data'!$A:$U,15,FALSE)</f>
        <v>0</v>
      </c>
      <c r="F105" s="226">
        <f>VLOOKUP('Data Summary'!$A105,'Ref-Data'!$A:$U,12,FALSE)</f>
        <v>4.8999999999999998E-3</v>
      </c>
      <c r="G105" s="226">
        <f>VLOOKUP('Data Summary'!$A105,'Ref-Data'!$A:$U,14,FALSE)</f>
        <v>0.39140000000000003</v>
      </c>
      <c r="H105" s="190">
        <f>VLOOKUP(A105,'Code Results'!A:B,2,FALSE)</f>
        <v>17029.561159193701</v>
      </c>
      <c r="I105" s="190">
        <f>IFERROR(VLOOKUP($A105,'Code Results'!$A:$C,13,FALSE),VLOOKUP('Data Summary'!$A105,'Ref-Data'!$A:$U,18,FALSE))</f>
        <v>0</v>
      </c>
      <c r="J105" s="190">
        <f t="shared" si="12"/>
        <v>17029.561159193701</v>
      </c>
      <c r="K105" s="167" t="s">
        <v>1156</v>
      </c>
      <c r="L105" s="190">
        <f>VLOOKUP(A105, 'Ref-Data'!$A:$I,9,FALSE)</f>
        <v>1</v>
      </c>
      <c r="M105" s="173">
        <v>4.7500000000000001E-2</v>
      </c>
      <c r="N105" s="173">
        <v>0.37514320519767774</v>
      </c>
      <c r="O105" s="192">
        <v>3502.9172331077216</v>
      </c>
      <c r="P105" s="191">
        <f t="shared" si="13"/>
        <v>-4.2599999999999999E-2</v>
      </c>
      <c r="Q105" s="191">
        <f t="shared" si="14"/>
        <v>1.6256794802322283E-2</v>
      </c>
      <c r="R105" s="193">
        <f t="shared" si="15"/>
        <v>13526.643926085981</v>
      </c>
      <c r="S105" s="354"/>
      <c r="T105" s="167"/>
      <c r="U105" s="355"/>
      <c r="V105" s="355"/>
      <c r="W105" s="355"/>
      <c r="X105" s="355"/>
      <c r="Y105" s="355"/>
      <c r="Z105" s="445">
        <f>VLOOKUP(A105,'Ref-Data'!$A:$F,6,FALSE)</f>
        <v>4.6817248459958929</v>
      </c>
      <c r="AA105" s="390">
        <f>IF('Ref-Data'!$Z$2="ON",VLOOKUP('Data Summary'!A105,'MacroPD-Cal'!$A:$O,15,FALSE),IF('Ref-Data'!$Z$5="Baseline",VLOOKUP(A105,'Model Output_TTC'!$A:$AU,47,FALSE),IF('Ref-Data'!$Z$5="90th Percentile",VLOOKUP(A105,'Model Output_TTC'!$A:$BP,68,FALSE),IF('Ref-Data'!$Z$5="96th Percentile",VLOOKUP('Data Summary'!A105,'Model Output_TTC'!$A:$Z,26,FALSE),""))))</f>
        <v>1.9700000000000002E-2</v>
      </c>
    </row>
    <row r="106" spans="1:27" x14ac:dyDescent="0.25">
      <c r="A106" s="354">
        <v>1100000270</v>
      </c>
      <c r="B106" s="167" t="str">
        <f>VLOOKUP(A106,'Ref-Data'!A:AD,30,FALSE)</f>
        <v>CHELSEA BIDCO LIMITED</v>
      </c>
      <c r="C106" s="190">
        <f>VLOOKUP('Data Summary'!$A106,'Ref-Data'!$A:$U,2,FALSE)</f>
        <v>5000000</v>
      </c>
      <c r="D106" s="190">
        <f>VLOOKUP(A106,'Ref-Data'!A:C,3,FALSE)</f>
        <v>0</v>
      </c>
      <c r="E106" s="190">
        <f>VLOOKUP('Data Summary'!$A106,'Ref-Data'!$A:$U,15,FALSE)</f>
        <v>5000000</v>
      </c>
      <c r="F106" s="226">
        <f>VLOOKUP('Data Summary'!$A106,'Ref-Data'!$A:$U,12,FALSE)</f>
        <v>4.8999999999999998E-3</v>
      </c>
      <c r="G106" s="226">
        <f>VLOOKUP('Data Summary'!$A106,'Ref-Data'!$A:$U,14,FALSE)</f>
        <v>0.39140000000000003</v>
      </c>
      <c r="H106" s="190">
        <f>VLOOKUP(A106,'Code Results'!A:B,2,FALSE)</f>
        <v>0</v>
      </c>
      <c r="I106" s="190">
        <f>IFERROR(VLOOKUP($A106,'Code Results'!$A:$C,13,FALSE),VLOOKUP('Data Summary'!$A106,'Ref-Data'!$A:$U,18,FALSE))</f>
        <v>4794.6499999999996</v>
      </c>
      <c r="J106" s="190">
        <f t="shared" si="12"/>
        <v>4794.6499999999996</v>
      </c>
      <c r="K106" s="167" t="s">
        <v>1156</v>
      </c>
      <c r="L106" s="190">
        <f>VLOOKUP(A106, 'Ref-Data'!$A:$I,9,FALSE)</f>
        <v>1</v>
      </c>
      <c r="M106" s="173">
        <v>4.7500000000000001E-2</v>
      </c>
      <c r="N106" s="173">
        <v>0.37514320519767774</v>
      </c>
      <c r="O106" s="192">
        <v>3502.9172331077216</v>
      </c>
      <c r="P106" s="191">
        <f t="shared" si="13"/>
        <v>-4.2599999999999999E-2</v>
      </c>
      <c r="Q106" s="191">
        <f t="shared" si="14"/>
        <v>1.6256794802322283E-2</v>
      </c>
      <c r="R106" s="193">
        <f t="shared" si="15"/>
        <v>1291.7327668922781</v>
      </c>
      <c r="S106" s="354"/>
      <c r="T106" s="167"/>
      <c r="U106" s="355"/>
      <c r="V106" s="355"/>
      <c r="W106" s="355"/>
      <c r="X106" s="355"/>
      <c r="Y106" s="355"/>
      <c r="Z106" s="445">
        <f>VLOOKUP(A106,'Ref-Data'!$A:$F,6,FALSE)</f>
        <v>4.6817248459958929</v>
      </c>
      <c r="AA106" s="390">
        <f>IF('Ref-Data'!$Z$2="ON",VLOOKUP('Data Summary'!A106,'MacroPD-Cal'!$A:$O,15,FALSE),IF('Ref-Data'!$Z$5="Baseline",VLOOKUP(A106,'Model Output_TTC'!$A:$AU,47,FALSE),IF('Ref-Data'!$Z$5="90th Percentile",VLOOKUP(A106,'Model Output_TTC'!$A:$BP,68,FALSE),IF('Ref-Data'!$Z$5="96th Percentile",VLOOKUP('Data Summary'!A106,'Model Output_TTC'!$A:$Z,26,FALSE),""))))</f>
        <v>1.9700000000000002E-2</v>
      </c>
    </row>
    <row r="107" spans="1:27" x14ac:dyDescent="0.25">
      <c r="A107" s="354">
        <v>1100000271</v>
      </c>
      <c r="B107" s="167" t="str">
        <f>VLOOKUP(A107,'Ref-Data'!A:AD,30,FALSE)</f>
        <v>BRASSERIE BAR CO LIMITED &amp; ABRIAND PROPCO LIMITED</v>
      </c>
      <c r="C107" s="190">
        <f>VLOOKUP('Data Summary'!$A107,'Ref-Data'!$A:$U,2,FALSE)</f>
        <v>10000000</v>
      </c>
      <c r="D107" s="190">
        <f>VLOOKUP(A107,'Ref-Data'!A:C,3,FALSE)</f>
        <v>10000000</v>
      </c>
      <c r="E107" s="190">
        <f>VLOOKUP('Data Summary'!$A107,'Ref-Data'!$A:$U,15,FALSE)</f>
        <v>0</v>
      </c>
      <c r="F107" s="226">
        <f>VLOOKUP('Data Summary'!$A107,'Ref-Data'!$A:$U,12,FALSE)</f>
        <v>1.89E-2</v>
      </c>
      <c r="G107" s="226">
        <f>VLOOKUP('Data Summary'!$A107,'Ref-Data'!$A:$U,14,FALSE)</f>
        <v>0.39140000000000003</v>
      </c>
      <c r="H107" s="190">
        <f>VLOOKUP(A107,'Code Results'!A:B,2,FALSE)</f>
        <v>72791.5843699244</v>
      </c>
      <c r="I107" s="190">
        <f>IFERROR(VLOOKUP($A107,'Code Results'!$A:$C,13,FALSE),VLOOKUP('Data Summary'!$A107,'Ref-Data'!$A:$U,18,FALSE))</f>
        <v>0</v>
      </c>
      <c r="J107" s="190">
        <f t="shared" si="12"/>
        <v>72791.5843699244</v>
      </c>
      <c r="K107" s="167" t="s">
        <v>1156</v>
      </c>
      <c r="L107" s="190">
        <f>VLOOKUP(A107, 'Ref-Data'!$A:$I,9,FALSE)</f>
        <v>1</v>
      </c>
      <c r="M107" s="173">
        <v>4.7500000000000001E-2</v>
      </c>
      <c r="N107" s="173">
        <v>0.37514320519767774</v>
      </c>
      <c r="O107" s="192">
        <v>3502.9172331077216</v>
      </c>
      <c r="P107" s="191">
        <f t="shared" si="13"/>
        <v>-2.86E-2</v>
      </c>
      <c r="Q107" s="191">
        <f t="shared" si="14"/>
        <v>1.6256794802322283E-2</v>
      </c>
      <c r="R107" s="193">
        <f t="shared" si="15"/>
        <v>69288.667136816672</v>
      </c>
      <c r="S107" s="354"/>
      <c r="T107" s="167"/>
      <c r="U107" s="355"/>
      <c r="V107" s="355"/>
      <c r="W107" s="355"/>
      <c r="X107" s="355"/>
      <c r="Y107" s="355"/>
      <c r="Z107" s="445">
        <f>VLOOKUP(A107,'Ref-Data'!$A:$F,6,FALSE)</f>
        <v>4.6926762491444221</v>
      </c>
      <c r="AA107" s="390">
        <f>IF('Ref-Data'!$Z$2="ON",VLOOKUP('Data Summary'!A107,'MacroPD-Cal'!$A:$O,15,FALSE),IF('Ref-Data'!$Z$5="Baseline",VLOOKUP(A107,'Model Output_TTC'!$A:$AU,47,FALSE),IF('Ref-Data'!$Z$5="90th Percentile",VLOOKUP(A107,'Model Output_TTC'!$A:$BP,68,FALSE),IF('Ref-Data'!$Z$5="96th Percentile",VLOOKUP('Data Summary'!A107,'Model Output_TTC'!$A:$Z,26,FALSE),""))))</f>
        <v>5.16E-2</v>
      </c>
    </row>
    <row r="108" spans="1:27" x14ac:dyDescent="0.25">
      <c r="A108" s="354">
        <v>1100000272</v>
      </c>
      <c r="B108" s="167" t="str">
        <f>VLOOKUP(A108,'Ref-Data'!A:AD,30,FALSE)</f>
        <v>BRASSERIE BAR CO LIMITED &amp; ABRIAND PROPCO LIMITED</v>
      </c>
      <c r="C108" s="190">
        <f>VLOOKUP('Data Summary'!$A108,'Ref-Data'!$A:$U,2,FALSE)</f>
        <v>5000000</v>
      </c>
      <c r="D108" s="190">
        <f>VLOOKUP(A108,'Ref-Data'!A:C,3,FALSE)</f>
        <v>5000000</v>
      </c>
      <c r="E108" s="190">
        <f>VLOOKUP('Data Summary'!$A108,'Ref-Data'!$A:$U,15,FALSE)</f>
        <v>0</v>
      </c>
      <c r="F108" s="226">
        <f>VLOOKUP('Data Summary'!$A108,'Ref-Data'!$A:$U,12,FALSE)</f>
        <v>1.89E-2</v>
      </c>
      <c r="G108" s="226">
        <f>VLOOKUP('Data Summary'!$A108,'Ref-Data'!$A:$U,14,FALSE)</f>
        <v>0.39140000000000003</v>
      </c>
      <c r="H108" s="190">
        <f>VLOOKUP(A108,'Code Results'!A:B,2,FALSE)</f>
        <v>36507.732996003302</v>
      </c>
      <c r="I108" s="190">
        <f>IFERROR(VLOOKUP($A108,'Code Results'!$A:$C,13,FALSE),VLOOKUP('Data Summary'!$A108,'Ref-Data'!$A:$U,18,FALSE))</f>
        <v>0</v>
      </c>
      <c r="J108" s="190">
        <f t="shared" si="12"/>
        <v>36507.732996003302</v>
      </c>
      <c r="K108" s="167" t="s">
        <v>1156</v>
      </c>
      <c r="L108" s="190">
        <f>VLOOKUP(A108, 'Ref-Data'!$A:$I,9,FALSE)</f>
        <v>1</v>
      </c>
      <c r="M108" s="173">
        <v>4.7500000000000001E-2</v>
      </c>
      <c r="N108" s="173">
        <v>0.37514320519767774</v>
      </c>
      <c r="O108" s="192">
        <v>3502.9172331077216</v>
      </c>
      <c r="P108" s="191">
        <f t="shared" si="13"/>
        <v>-2.86E-2</v>
      </c>
      <c r="Q108" s="191">
        <f t="shared" si="14"/>
        <v>1.6256794802322283E-2</v>
      </c>
      <c r="R108" s="193">
        <f t="shared" si="15"/>
        <v>33004.815762895581</v>
      </c>
      <c r="S108" s="354"/>
      <c r="T108" s="167"/>
      <c r="U108" s="355"/>
      <c r="V108" s="355"/>
      <c r="W108" s="355"/>
      <c r="X108" s="355"/>
      <c r="Y108" s="355"/>
      <c r="Z108" s="445">
        <f>VLOOKUP(A108,'Ref-Data'!$A:$F,6,FALSE)</f>
        <v>4.6926762491444221</v>
      </c>
      <c r="AA108" s="390">
        <f>IF('Ref-Data'!$Z$2="ON",VLOOKUP('Data Summary'!A108,'MacroPD-Cal'!$A:$O,15,FALSE),IF('Ref-Data'!$Z$5="Baseline",VLOOKUP(A108,'Model Output_TTC'!$A:$AU,47,FALSE),IF('Ref-Data'!$Z$5="90th Percentile",VLOOKUP(A108,'Model Output_TTC'!$A:$BP,68,FALSE),IF('Ref-Data'!$Z$5="96th Percentile",VLOOKUP('Data Summary'!A108,'Model Output_TTC'!$A:$Z,26,FALSE),""))))</f>
        <v>5.16E-2</v>
      </c>
    </row>
    <row r="109" spans="1:27" x14ac:dyDescent="0.25">
      <c r="A109" s="354">
        <v>1100000274</v>
      </c>
      <c r="B109" s="167" t="str">
        <f>VLOOKUP(A109,'Ref-Data'!A:AD,30,FALSE)</f>
        <v>BRASSERIE BAR CO LIMITED &amp; ABRIAND PROPCO LIMITED</v>
      </c>
      <c r="C109" s="190">
        <f>VLOOKUP('Data Summary'!$A109,'Ref-Data'!$A:$U,2,FALSE)</f>
        <v>8400000</v>
      </c>
      <c r="D109" s="190">
        <f>VLOOKUP(A109,'Ref-Data'!A:C,3,FALSE)</f>
        <v>0</v>
      </c>
      <c r="E109" s="190">
        <f>VLOOKUP('Data Summary'!$A109,'Ref-Data'!$A:$U,15,FALSE)</f>
        <v>8400000</v>
      </c>
      <c r="F109" s="226">
        <f>VLOOKUP('Data Summary'!$A109,'Ref-Data'!$A:$U,12,FALSE)</f>
        <v>1.89E-2</v>
      </c>
      <c r="G109" s="226">
        <f>VLOOKUP('Data Summary'!$A109,'Ref-Data'!$A:$U,14,FALSE)</f>
        <v>0.39140000000000003</v>
      </c>
      <c r="H109" s="190">
        <f>VLOOKUP(A109,'Code Results'!A:B,2,FALSE)</f>
        <v>0</v>
      </c>
      <c r="I109" s="190">
        <f>IFERROR(VLOOKUP($A109,'Code Results'!$A:$C,13,FALSE),VLOOKUP('Data Summary'!$A109,'Ref-Data'!$A:$U,18,FALSE))</f>
        <v>31069.332000000002</v>
      </c>
      <c r="J109" s="190">
        <f t="shared" si="12"/>
        <v>31069.332000000002</v>
      </c>
      <c r="K109" s="167" t="s">
        <v>1156</v>
      </c>
      <c r="L109" s="190">
        <f>VLOOKUP(A109, 'Ref-Data'!$A:$I,9,FALSE)</f>
        <v>1</v>
      </c>
      <c r="M109" s="173">
        <v>4.7500000000000001E-2</v>
      </c>
      <c r="N109" s="173">
        <v>0.37514320519767774</v>
      </c>
      <c r="O109" s="192">
        <v>3502.9172331077216</v>
      </c>
      <c r="P109" s="191">
        <f t="shared" si="13"/>
        <v>-2.86E-2</v>
      </c>
      <c r="Q109" s="191">
        <f t="shared" si="14"/>
        <v>1.6256794802322283E-2</v>
      </c>
      <c r="R109" s="193">
        <f t="shared" si="15"/>
        <v>27566.414766892281</v>
      </c>
      <c r="S109" s="354"/>
      <c r="T109" s="167"/>
      <c r="U109" s="355"/>
      <c r="V109" s="355"/>
      <c r="W109" s="355"/>
      <c r="X109" s="355"/>
      <c r="Y109" s="355"/>
      <c r="Z109" s="445">
        <f>VLOOKUP(A109,'Ref-Data'!$A:$F,6,FALSE)</f>
        <v>4.6926762491444221</v>
      </c>
      <c r="AA109" s="390">
        <f>IF('Ref-Data'!$Z$2="ON",VLOOKUP('Data Summary'!A109,'MacroPD-Cal'!$A:$O,15,FALSE),IF('Ref-Data'!$Z$5="Baseline",VLOOKUP(A109,'Model Output_TTC'!$A:$AU,47,FALSE),IF('Ref-Data'!$Z$5="90th Percentile",VLOOKUP(A109,'Model Output_TTC'!$A:$BP,68,FALSE),IF('Ref-Data'!$Z$5="96th Percentile",VLOOKUP('Data Summary'!A109,'Model Output_TTC'!$A:$Z,26,FALSE),""))))</f>
        <v>5.16E-2</v>
      </c>
    </row>
    <row r="110" spans="1:27" x14ac:dyDescent="0.25">
      <c r="A110" s="354">
        <v>1100000273</v>
      </c>
      <c r="B110" s="167" t="str">
        <f>VLOOKUP(A110,'Ref-Data'!A:AD,30,FALSE)</f>
        <v>BRASSERIE BAR CO LIMITED &amp; ABRIAND PROPCO LIMITED</v>
      </c>
      <c r="C110" s="190">
        <f>VLOOKUP('Data Summary'!$A110,'Ref-Data'!$A:$U,2,FALSE)</f>
        <v>5000000</v>
      </c>
      <c r="D110" s="190">
        <f>VLOOKUP(A110,'Ref-Data'!A:C,3,FALSE)</f>
        <v>0</v>
      </c>
      <c r="E110" s="190">
        <f>VLOOKUP('Data Summary'!$A110,'Ref-Data'!$A:$U,15,FALSE)</f>
        <v>5000000</v>
      </c>
      <c r="F110" s="226">
        <f>VLOOKUP('Data Summary'!$A110,'Ref-Data'!$A:$U,12,FALSE)</f>
        <v>1.89E-2</v>
      </c>
      <c r="G110" s="226">
        <f>VLOOKUP('Data Summary'!$A110,'Ref-Data'!$A:$U,14,FALSE)</f>
        <v>0.39140000000000003</v>
      </c>
      <c r="H110" s="190">
        <f>VLOOKUP(A110,'Code Results'!A:B,2,FALSE)</f>
        <v>0</v>
      </c>
      <c r="I110" s="190">
        <f>IFERROR(VLOOKUP($A110,'Code Results'!$A:$C,13,FALSE),VLOOKUP('Data Summary'!$A110,'Ref-Data'!$A:$U,18,FALSE))</f>
        <v>18493.650000000001</v>
      </c>
      <c r="J110" s="190">
        <f t="shared" si="12"/>
        <v>18493.650000000001</v>
      </c>
      <c r="K110" s="167" t="s">
        <v>1156</v>
      </c>
      <c r="L110" s="190">
        <f>VLOOKUP(A110, 'Ref-Data'!$A:$I,9,FALSE)</f>
        <v>1</v>
      </c>
      <c r="M110" s="173">
        <v>4.7500000000000001E-2</v>
      </c>
      <c r="N110" s="173">
        <v>0.37514320519767774</v>
      </c>
      <c r="O110" s="192">
        <v>3502.9172331077216</v>
      </c>
      <c r="P110" s="191">
        <f t="shared" si="13"/>
        <v>-2.86E-2</v>
      </c>
      <c r="Q110" s="191">
        <f t="shared" si="14"/>
        <v>1.6256794802322283E-2</v>
      </c>
      <c r="R110" s="193">
        <f t="shared" si="15"/>
        <v>14990.732766892281</v>
      </c>
      <c r="S110" s="354"/>
      <c r="T110" s="167"/>
      <c r="U110" s="355"/>
      <c r="V110" s="355"/>
      <c r="W110" s="355"/>
      <c r="X110" s="355"/>
      <c r="Y110" s="355"/>
      <c r="Z110" s="445">
        <f>VLOOKUP(A110,'Ref-Data'!$A:$F,6,FALSE)</f>
        <v>4.6926762491444221</v>
      </c>
      <c r="AA110" s="390">
        <f>IF('Ref-Data'!$Z$2="ON",VLOOKUP('Data Summary'!A110,'MacroPD-Cal'!$A:$O,15,FALSE),IF('Ref-Data'!$Z$5="Baseline",VLOOKUP(A110,'Model Output_TTC'!$A:$AU,47,FALSE),IF('Ref-Data'!$Z$5="90th Percentile",VLOOKUP(A110,'Model Output_TTC'!$A:$BP,68,FALSE),IF('Ref-Data'!$Z$5="96th Percentile",VLOOKUP('Data Summary'!A110,'Model Output_TTC'!$A:$Z,26,FALSE),""))))</f>
        <v>5.16E-2</v>
      </c>
    </row>
    <row r="111" spans="1:27" x14ac:dyDescent="0.25">
      <c r="A111" s="354">
        <v>1100000275</v>
      </c>
      <c r="B111" s="167" t="str">
        <f>VLOOKUP(A111,'Ref-Data'!A:AD,30,FALSE)</f>
        <v>BRASSERIE BAR CO LIMITED &amp; ABRIAND PROPCO LIMITED</v>
      </c>
      <c r="C111" s="190">
        <f>VLOOKUP('Data Summary'!$A111,'Ref-Data'!$A:$U,2,FALSE)</f>
        <v>6600000</v>
      </c>
      <c r="D111" s="190">
        <f>VLOOKUP(A111,'Ref-Data'!A:C,3,FALSE)</f>
        <v>0</v>
      </c>
      <c r="E111" s="190">
        <f>VLOOKUP('Data Summary'!$A111,'Ref-Data'!$A:$U,15,FALSE)</f>
        <v>6600000</v>
      </c>
      <c r="F111" s="226">
        <f>VLOOKUP('Data Summary'!$A111,'Ref-Data'!$A:$U,12,FALSE)</f>
        <v>1.89E-2</v>
      </c>
      <c r="G111" s="226">
        <f>VLOOKUP('Data Summary'!$A111,'Ref-Data'!$A:$U,14,FALSE)</f>
        <v>0.39140000000000003</v>
      </c>
      <c r="H111" s="190">
        <f>VLOOKUP(A111,'Code Results'!A:B,2,FALSE)</f>
        <v>0</v>
      </c>
      <c r="I111" s="190">
        <f>IFERROR(VLOOKUP($A111,'Code Results'!$A:$C,13,FALSE),VLOOKUP('Data Summary'!$A111,'Ref-Data'!$A:$U,18,FALSE))</f>
        <v>24411.618000000002</v>
      </c>
      <c r="J111" s="190">
        <f t="shared" si="12"/>
        <v>24411.618000000002</v>
      </c>
      <c r="K111" s="167" t="s">
        <v>1156</v>
      </c>
      <c r="L111" s="190">
        <f>VLOOKUP(A111, 'Ref-Data'!$A:$I,9,FALSE)</f>
        <v>1</v>
      </c>
      <c r="M111" s="173">
        <v>4.7500000000000001E-2</v>
      </c>
      <c r="N111" s="173">
        <v>0.37514320519767774</v>
      </c>
      <c r="O111" s="192">
        <v>3502.9172331077216</v>
      </c>
      <c r="P111" s="191">
        <f t="shared" si="13"/>
        <v>-2.86E-2</v>
      </c>
      <c r="Q111" s="191">
        <f t="shared" si="14"/>
        <v>1.6256794802322283E-2</v>
      </c>
      <c r="R111" s="193">
        <f t="shared" si="15"/>
        <v>20908.700766892282</v>
      </c>
      <c r="S111" s="354"/>
      <c r="T111" s="167"/>
      <c r="U111" s="355"/>
      <c r="V111" s="355"/>
      <c r="W111" s="355"/>
      <c r="X111" s="355"/>
      <c r="Y111" s="355"/>
      <c r="Z111" s="445">
        <f>VLOOKUP(A111,'Ref-Data'!$A:$F,6,FALSE)</f>
        <v>4.6926762491444221</v>
      </c>
      <c r="AA111" s="390">
        <f>IF('Ref-Data'!$Z$2="ON",VLOOKUP('Data Summary'!A111,'MacroPD-Cal'!$A:$O,15,FALSE),IF('Ref-Data'!$Z$5="Baseline",VLOOKUP(A111,'Model Output_TTC'!$A:$AU,47,FALSE),IF('Ref-Data'!$Z$5="90th Percentile",VLOOKUP(A111,'Model Output_TTC'!$A:$BP,68,FALSE),IF('Ref-Data'!$Z$5="96th Percentile",VLOOKUP('Data Summary'!A111,'Model Output_TTC'!$A:$Z,26,FALSE),""))))</f>
        <v>5.16E-2</v>
      </c>
    </row>
    <row r="112" spans="1:27" x14ac:dyDescent="0.25">
      <c r="A112" s="354">
        <v>1100000276</v>
      </c>
      <c r="B112" s="167" t="str">
        <f>VLOOKUP(A112,'Ref-Data'!A:AD,30,FALSE)</f>
        <v>LINCOLN PLAZA HOTEL CO LIMITED</v>
      </c>
      <c r="C112" s="190">
        <f>VLOOKUP('Data Summary'!$A112,'Ref-Data'!$A:$U,2,FALSE)</f>
        <v>3000000</v>
      </c>
      <c r="D112" s="190">
        <f>VLOOKUP(A112,'Ref-Data'!A:C,3,FALSE)</f>
        <v>35846</v>
      </c>
      <c r="E112" s="190">
        <f>VLOOKUP('Data Summary'!$A112,'Ref-Data'!$A:$U,15,FALSE)</f>
        <v>2964154</v>
      </c>
      <c r="F112" s="226">
        <f>VLOOKUP('Data Summary'!$A112,'Ref-Data'!$A:$U,12,FALSE)</f>
        <v>0.1411</v>
      </c>
      <c r="G112" s="226">
        <f>VLOOKUP('Data Summary'!$A112,'Ref-Data'!$A:$U,14,FALSE)</f>
        <v>0.33850601215969001</v>
      </c>
      <c r="H112" s="190">
        <f>VLOOKUP(A112,'Code Results'!A:B,2,FALSE)</f>
        <v>481.920854359234</v>
      </c>
      <c r="I112" s="190">
        <f>IFERROR(VLOOKUP($A112,'Code Results'!$A:$C,13,FALSE),VLOOKUP('Data Summary'!$A112,'Ref-Data'!$A:$U,18,FALSE))</f>
        <v>28315.495068074211</v>
      </c>
      <c r="J112" s="190">
        <f t="shared" si="12"/>
        <v>28797.415922433443</v>
      </c>
      <c r="K112" s="167" t="s">
        <v>1156</v>
      </c>
      <c r="L112" s="190">
        <f>VLOOKUP(A112, 'Ref-Data'!$A:$I,9,FALSE)</f>
        <v>2</v>
      </c>
      <c r="M112" s="173">
        <v>4.7500000000000001E-2</v>
      </c>
      <c r="N112" s="173">
        <v>0.37514320519767774</v>
      </c>
      <c r="O112" s="192">
        <v>3502.9172331077216</v>
      </c>
      <c r="P112" s="191">
        <f t="shared" si="13"/>
        <v>9.3600000000000003E-2</v>
      </c>
      <c r="Q112" s="191">
        <f t="shared" si="14"/>
        <v>-3.6637193037987736E-2</v>
      </c>
      <c r="R112" s="193">
        <f t="shared" si="15"/>
        <v>25294.498689325723</v>
      </c>
      <c r="S112" s="354"/>
      <c r="T112" s="167"/>
      <c r="U112" s="355"/>
      <c r="V112" s="355"/>
      <c r="W112" s="355"/>
      <c r="X112" s="355"/>
      <c r="Y112" s="355"/>
      <c r="Z112" s="445">
        <f>VLOOKUP(A112,'Ref-Data'!$A:$F,6,FALSE)</f>
        <v>0.33401779603011633</v>
      </c>
      <c r="AA112" s="390">
        <f>IF('Ref-Data'!$Z$2="ON",VLOOKUP('Data Summary'!A112,'MacroPD-Cal'!$A:$O,15,FALSE),IF('Ref-Data'!$Z$5="Baseline",VLOOKUP(A112,'Model Output_TTC'!$A:$AU,47,FALSE),IF('Ref-Data'!$Z$5="90th Percentile",VLOOKUP(A112,'Model Output_TTC'!$A:$BP,68,FALSE),IF('Ref-Data'!$Z$5="96th Percentile",VLOOKUP('Data Summary'!A112,'Model Output_TTC'!$A:$Z,26,FALSE),""))))</f>
        <v>0.1411</v>
      </c>
    </row>
    <row r="113" spans="1:27" x14ac:dyDescent="0.25">
      <c r="A113" s="354">
        <v>1300000002</v>
      </c>
      <c r="B113" s="167" t="str">
        <f>VLOOKUP(A113,'Ref-Data'!A:AD,30,FALSE)</f>
        <v>STRAWBERRY FIELDS NURSERY &amp; PRESCHOOL LIMITED</v>
      </c>
      <c r="C113" s="190">
        <f>VLOOKUP('Data Summary'!$A113,'Ref-Data'!$A:$U,2,FALSE)</f>
        <v>750000</v>
      </c>
      <c r="D113" s="190">
        <f>VLOOKUP(A113,'Ref-Data'!A:C,3,FALSE)</f>
        <v>750000</v>
      </c>
      <c r="E113" s="190">
        <f>VLOOKUP('Data Summary'!$A113,'Ref-Data'!$A:$U,15,FALSE)</f>
        <v>0</v>
      </c>
      <c r="F113" s="226">
        <f>VLOOKUP('Data Summary'!$A113,'Ref-Data'!$A:$U,12,FALSE)</f>
        <v>2.01E-2</v>
      </c>
      <c r="G113" s="226">
        <f>VLOOKUP('Data Summary'!$A113,'Ref-Data'!$A:$U,14,FALSE)</f>
        <v>0.1</v>
      </c>
      <c r="H113" s="190">
        <f>VLOOKUP(A113,'Code Results'!A:B,2,FALSE)</f>
        <v>1453.79498571303</v>
      </c>
      <c r="I113" s="190">
        <f>IFERROR(VLOOKUP($A113,'Code Results'!$A:$C,13,FALSE),VLOOKUP('Data Summary'!$A113,'Ref-Data'!$A:$U,18,FALSE))</f>
        <v>0</v>
      </c>
      <c r="J113" s="190">
        <f t="shared" si="12"/>
        <v>1453.79498571303</v>
      </c>
      <c r="K113" s="167" t="s">
        <v>1156</v>
      </c>
      <c r="L113" s="190">
        <f>VLOOKUP(A113, 'Ref-Data'!$A:$I,9,FALSE)</f>
        <v>1</v>
      </c>
      <c r="M113" s="173">
        <v>4.7500000000000001E-2</v>
      </c>
      <c r="N113" s="173">
        <v>0.37514320519767774</v>
      </c>
      <c r="O113" s="192">
        <v>3502.9172331077216</v>
      </c>
      <c r="P113" s="191">
        <f t="shared" si="13"/>
        <v>-2.7400000000000001E-2</v>
      </c>
      <c r="Q113" s="191">
        <f t="shared" si="14"/>
        <v>-0.27514320519767776</v>
      </c>
      <c r="R113" s="193">
        <f t="shared" si="15"/>
        <v>-2049.1222473946918</v>
      </c>
      <c r="S113" s="354"/>
      <c r="T113" s="167"/>
      <c r="U113" s="355"/>
      <c r="V113" s="355"/>
      <c r="W113" s="355"/>
      <c r="X113" s="355"/>
      <c r="Y113" s="355"/>
      <c r="Z113" s="445">
        <f>VLOOKUP(A113,'Ref-Data'!$A:$F,6,FALSE)</f>
        <v>4.7337440109514031</v>
      </c>
      <c r="AA113" s="390">
        <f>IF('Ref-Data'!$Z$2="ON",VLOOKUP('Data Summary'!A113,'MacroPD-Cal'!$A:$O,15,FALSE),IF('Ref-Data'!$Z$5="Baseline",VLOOKUP(A113,'Model Output_TTC'!$A:$AU,47,FALSE),IF('Ref-Data'!$Z$5="90th Percentile",VLOOKUP(A113,'Model Output_TTC'!$A:$BP,68,FALSE),IF('Ref-Data'!$Z$5="96th Percentile",VLOOKUP('Data Summary'!A113,'Model Output_TTC'!$A:$Z,26,FALSE),""))))</f>
        <v>7.8100000000000003E-2</v>
      </c>
    </row>
    <row r="114" spans="1:27" x14ac:dyDescent="0.25">
      <c r="A114" s="354">
        <v>1100000277</v>
      </c>
      <c r="B114" s="167" t="str">
        <f>VLOOKUP(A114,'Ref-Data'!A:AD,30,FALSE)</f>
        <v>PORTOBELLO STARBOARD LIMITED</v>
      </c>
      <c r="C114" s="190">
        <f>VLOOKUP('Data Summary'!$A114,'Ref-Data'!$A:$U,2,FALSE)</f>
        <v>14500000</v>
      </c>
      <c r="D114" s="190">
        <f>VLOOKUP(A114,'Ref-Data'!A:C,3,FALSE)</f>
        <v>14500000</v>
      </c>
      <c r="E114" s="190">
        <f>VLOOKUP('Data Summary'!$A114,'Ref-Data'!$A:$U,15,FALSE)</f>
        <v>0</v>
      </c>
      <c r="F114" s="226">
        <f>VLOOKUP('Data Summary'!$A114,'Ref-Data'!$A:$U,12,FALSE)</f>
        <v>3.6799999999999999E-2</v>
      </c>
      <c r="G114" s="226">
        <f>VLOOKUP('Data Summary'!$A114,'Ref-Data'!$A:$U,14,FALSE)</f>
        <v>0.12740000000000001</v>
      </c>
      <c r="H114" s="190">
        <f>VLOOKUP(A114,'Code Results'!A:B,2,FALSE)</f>
        <v>67116.490100086696</v>
      </c>
      <c r="I114" s="190">
        <f>IFERROR(VLOOKUP($A114,'Code Results'!$A:$C,13,FALSE),VLOOKUP('Data Summary'!$A114,'Ref-Data'!$A:$U,18,FALSE))</f>
        <v>0</v>
      </c>
      <c r="J114" s="190">
        <f t="shared" si="12"/>
        <v>67116.490100086696</v>
      </c>
      <c r="K114" s="167" t="s">
        <v>1156</v>
      </c>
      <c r="L114" s="190">
        <f>VLOOKUP(A114, 'Ref-Data'!$A:$I,9,FALSE)</f>
        <v>1</v>
      </c>
      <c r="M114" s="173">
        <v>4.7500000000000001E-2</v>
      </c>
      <c r="N114" s="173">
        <v>0.37514320519767774</v>
      </c>
      <c r="O114" s="192">
        <v>3502.9172331077216</v>
      </c>
      <c r="P114" s="191">
        <f t="shared" si="13"/>
        <v>-1.0700000000000001E-2</v>
      </c>
      <c r="Q114" s="191">
        <f t="shared" si="14"/>
        <v>-0.24774320519767773</v>
      </c>
      <c r="R114" s="193">
        <f t="shared" si="15"/>
        <v>63613.572866978975</v>
      </c>
      <c r="S114" s="354"/>
      <c r="T114" s="167"/>
      <c r="U114" s="355"/>
      <c r="V114" s="355"/>
      <c r="W114" s="355"/>
      <c r="X114" s="355"/>
      <c r="Y114" s="355"/>
      <c r="Z114" s="445">
        <f>VLOOKUP(A114,'Ref-Data'!$A:$F,6,FALSE)</f>
        <v>4.8295687885010263</v>
      </c>
      <c r="AA114" s="390">
        <f>IF('Ref-Data'!$Z$2="ON",VLOOKUP('Data Summary'!A114,'MacroPD-Cal'!$A:$O,15,FALSE),IF('Ref-Data'!$Z$5="Baseline",VLOOKUP(A114,'Model Output_TTC'!$A:$AU,47,FALSE),IF('Ref-Data'!$Z$5="90th Percentile",VLOOKUP(A114,'Model Output_TTC'!$A:$BP,68,FALSE),IF('Ref-Data'!$Z$5="96th Percentile",VLOOKUP('Data Summary'!A114,'Model Output_TTC'!$A:$Z,26,FALSE),""))))</f>
        <v>0.10550000000000001</v>
      </c>
    </row>
    <row r="115" spans="1:27" x14ac:dyDescent="0.25">
      <c r="A115" s="548">
        <v>1100000281</v>
      </c>
      <c r="B115" s="549" t="str">
        <f>VLOOKUP(A115,'Ref-Data'!A:AD,30,FALSE)</f>
        <v>PORTOBELLO STARBOARD LIMITED</v>
      </c>
      <c r="C115" s="550">
        <f>VLOOKUP('Data Summary'!$A115,'Ref-Data'!$A:$U,2,FALSE)</f>
        <v>25500000</v>
      </c>
      <c r="D115" s="550">
        <f>VLOOKUP(A115,'Ref-Data'!A:C,3,FALSE)</f>
        <v>9750000</v>
      </c>
      <c r="E115" s="550">
        <f>VLOOKUP('Data Summary'!$A115,'Ref-Data'!$A:$U,15,FALSE)</f>
        <v>15750000</v>
      </c>
      <c r="F115" s="551">
        <f>VLOOKUP('Data Summary'!$A115,'Ref-Data'!$A:$U,12,FALSE)</f>
        <v>3.6799999999999999E-2</v>
      </c>
      <c r="G115" s="551">
        <f>VLOOKUP('Data Summary'!$A115,'Ref-Data'!$A:$U,14,FALSE)</f>
        <v>0.12740000000000001</v>
      </c>
      <c r="H115" s="550">
        <f>VLOOKUP(A115,'Code Results'!A:B,2,FALSE)</f>
        <v>45197.496469831698</v>
      </c>
      <c r="I115" s="550">
        <f>IFERROR(VLOOKUP($A115,'Code Results'!$A:$C,13,FALSE),VLOOKUP('Data Summary'!$A115,'Ref-Data'!$A:$U,18,FALSE))</f>
        <v>36920.520000000004</v>
      </c>
      <c r="J115" s="550">
        <f t="shared" si="12"/>
        <v>82118.016469831695</v>
      </c>
      <c r="K115" s="549" t="s">
        <v>1156</v>
      </c>
      <c r="L115" s="550">
        <f>VLOOKUP(A115, 'Ref-Data'!$A:$I,9,FALSE)</f>
        <v>1</v>
      </c>
      <c r="M115" s="552">
        <v>4.7500000000000001E-2</v>
      </c>
      <c r="N115" s="552">
        <v>0.37514320519767774</v>
      </c>
      <c r="O115" s="553">
        <v>3502.9172331077216</v>
      </c>
      <c r="P115" s="554">
        <f t="shared" si="13"/>
        <v>-1.0700000000000001E-2</v>
      </c>
      <c r="Q115" s="554">
        <f t="shared" si="14"/>
        <v>-0.24774320519767773</v>
      </c>
      <c r="R115" s="555">
        <f t="shared" si="15"/>
        <v>78615.099236723967</v>
      </c>
      <c r="S115" s="548"/>
      <c r="T115" s="549"/>
      <c r="U115" s="355"/>
      <c r="V115" s="355"/>
      <c r="W115" s="355"/>
      <c r="X115" s="355"/>
      <c r="Y115" s="355"/>
      <c r="Z115" s="556">
        <f>VLOOKUP(A115,'Ref-Data'!$A:$F,6,FALSE)</f>
        <v>4.8295687885010263</v>
      </c>
      <c r="AA115" s="557">
        <f>IF('Ref-Data'!$Z$2="ON",VLOOKUP('Data Summary'!A115,'MacroPD-Cal'!$A:$O,15,FALSE),IF('Ref-Data'!$Z$5="Baseline",VLOOKUP(A115,'Model Output_TTC'!$A:$AU,47,FALSE),IF('Ref-Data'!$Z$5="90th Percentile",VLOOKUP(A115,'Model Output_TTC'!$A:$BP,68,FALSE),IF('Ref-Data'!$Z$5="96th Percentile",VLOOKUP('Data Summary'!A115,'Model Output_TTC'!$A:$Z,26,FALSE),""))))</f>
        <v>0.10550000000000001</v>
      </c>
    </row>
    <row r="116" spans="1:27" x14ac:dyDescent="0.25">
      <c r="A116" s="354">
        <v>1100000279</v>
      </c>
      <c r="B116" s="167" t="str">
        <f>VLOOKUP(A116,'Ref-Data'!A:AD,30,FALSE)</f>
        <v>CHART FORTE (HAMMERSMITH) LIMITED AND CHART FORTE (KHS) LIMITED</v>
      </c>
      <c r="C116" s="190">
        <f>VLOOKUP('Data Summary'!$A116,'Ref-Data'!$A:$U,2,FALSE)</f>
        <v>15000000</v>
      </c>
      <c r="D116" s="190">
        <f>VLOOKUP(A116,'Ref-Data'!A:C,3,FALSE)</f>
        <v>0</v>
      </c>
      <c r="E116" s="190">
        <f>VLOOKUP('Data Summary'!$A116,'Ref-Data'!$A:$U,15,FALSE)</f>
        <v>15000000</v>
      </c>
      <c r="F116" s="226">
        <f>VLOOKUP('Data Summary'!$A116,'Ref-Data'!$A:$U,12,FALSE)</f>
        <v>0.27540000000000003</v>
      </c>
      <c r="G116" s="226">
        <f>VLOOKUP('Data Summary'!$A116,'Ref-Data'!$A:$U,14,FALSE)</f>
        <v>0.1</v>
      </c>
      <c r="H116" s="190">
        <f>VLOOKUP(A116,'Code Results'!A:B,2,FALSE)</f>
        <v>0</v>
      </c>
      <c r="I116" s="190">
        <f>IFERROR(VLOOKUP($A116,'Code Results'!$A:$C,13,FALSE),VLOOKUP('Data Summary'!$A116,'Ref-Data'!$A:$U,18,FALSE))</f>
        <v>206550.00000000003</v>
      </c>
      <c r="J116" s="190">
        <f t="shared" si="12"/>
        <v>206550.00000000003</v>
      </c>
      <c r="K116" s="167" t="s">
        <v>1156</v>
      </c>
      <c r="L116" s="190">
        <f>VLOOKUP(A116, 'Ref-Data'!$A:$I,9,FALSE)</f>
        <v>1</v>
      </c>
      <c r="M116" s="173">
        <v>4.7500000000000001E-2</v>
      </c>
      <c r="N116" s="173">
        <v>0.37514320519767774</v>
      </c>
      <c r="O116" s="192">
        <v>3502.9172331077216</v>
      </c>
      <c r="P116" s="191">
        <f t="shared" si="13"/>
        <v>0.22790000000000005</v>
      </c>
      <c r="Q116" s="191">
        <f t="shared" si="14"/>
        <v>-0.27514320519767776</v>
      </c>
      <c r="R116" s="193">
        <f t="shared" si="15"/>
        <v>203047.0827668923</v>
      </c>
      <c r="S116" s="354"/>
      <c r="T116" s="167"/>
      <c r="U116" s="167"/>
      <c r="V116" s="167"/>
      <c r="W116" s="167"/>
      <c r="X116" s="167"/>
      <c r="Y116" s="167"/>
      <c r="Z116" s="445">
        <f>VLOOKUP(A116,'Ref-Data'!$A:$F,6,FALSE)</f>
        <v>4.8323066392881584</v>
      </c>
      <c r="AA116" s="390">
        <f>IF('Ref-Data'!$Z$2="ON",VLOOKUP('Data Summary'!A116,'MacroPD-Cal'!$A:$O,15,FALSE),IF('Ref-Data'!$Z$5="Baseline",VLOOKUP(A116,'Model Output_TTC'!$A:$AU,47,FALSE),IF('Ref-Data'!$Z$5="90th Percentile",VLOOKUP(A116,'Model Output_TTC'!$A:$BP,68,FALSE),IF('Ref-Data'!$Z$5="96th Percentile",VLOOKUP('Data Summary'!A116,'Model Output_TTC'!$A:$Z,26,FALSE),""))))</f>
        <v>0.65820000000000001</v>
      </c>
    </row>
    <row r="117" spans="1:27" x14ac:dyDescent="0.25">
      <c r="A117" s="354">
        <v>1100000283</v>
      </c>
      <c r="B117" s="167" t="str">
        <f>VLOOKUP(A117,'Ref-Data'!A:AD,30,FALSE)</f>
        <v>AFM WEALTH LIMITED</v>
      </c>
      <c r="C117" s="190">
        <f>VLOOKUP('Data Summary'!$A117,'Ref-Data'!$A:$U,2,FALSE)</f>
        <v>2568335</v>
      </c>
      <c r="D117" s="190">
        <f>VLOOKUP(A117,'Ref-Data'!A:C,3,FALSE)</f>
        <v>2408335</v>
      </c>
      <c r="E117" s="190">
        <f>VLOOKUP('Data Summary'!$A117,'Ref-Data'!$A:$U,15,FALSE)</f>
        <v>160000</v>
      </c>
      <c r="F117" s="226">
        <f>VLOOKUP('Data Summary'!$A117,'Ref-Data'!$A:$U,12,FALSE)</f>
        <v>1.3899999999999999E-2</v>
      </c>
      <c r="G117" s="226">
        <f>VLOOKUP('Data Summary'!$A117,'Ref-Data'!$A:$U,14,FALSE)</f>
        <v>0.39649999999999996</v>
      </c>
      <c r="H117" s="190">
        <f>VLOOKUP(A117,'Code Results'!A:B,2,FALSE)</f>
        <v>12124.330296184</v>
      </c>
      <c r="I117" s="190">
        <f>IFERROR(VLOOKUP($A117,'Code Results'!$A:$C,13,FALSE),VLOOKUP('Data Summary'!$A117,'Ref-Data'!$A:$U,18,FALSE))</f>
        <v>440.9079999999999</v>
      </c>
      <c r="J117" s="190">
        <f t="shared" ref="J117:J121" si="16">IFERROR(H117+I117, "")</f>
        <v>12565.238296183999</v>
      </c>
      <c r="K117" s="167" t="s">
        <v>1156</v>
      </c>
      <c r="L117" s="190">
        <f>VLOOKUP(A117, 'Ref-Data'!$A:$I,9,FALSE)</f>
        <v>1</v>
      </c>
      <c r="M117" s="173">
        <v>4.7500000000000001E-2</v>
      </c>
      <c r="N117" s="173">
        <v>0.37514320519767774</v>
      </c>
      <c r="O117" s="192">
        <v>3502.9172331077216</v>
      </c>
      <c r="P117" s="191">
        <f t="shared" ref="P117:P121" si="17">F117-M117</f>
        <v>-3.3600000000000005E-2</v>
      </c>
      <c r="Q117" s="191">
        <f t="shared" ref="Q117:Q121" si="18">G117-N117</f>
        <v>2.1356794802322221E-2</v>
      </c>
      <c r="R117" s="193">
        <f t="shared" ref="R117:R121" si="19">J117-O117</f>
        <v>9062.3210630762769</v>
      </c>
      <c r="S117" s="354"/>
      <c r="T117" s="167"/>
      <c r="U117" s="167"/>
      <c r="V117" s="167"/>
      <c r="W117" s="167"/>
      <c r="X117" s="167"/>
      <c r="Y117" s="167"/>
      <c r="Z117" s="445">
        <f>VLOOKUP(A117,'Ref-Data'!$A:$F,6,FALSE)</f>
        <v>4.9253935660506505</v>
      </c>
      <c r="AA117" s="390" t="str">
        <f>IF('Ref-Data'!$Z$2="ON",VLOOKUP('Data Summary'!A117,'MacroPD-Cal'!$A:$O,15,FALSE),IF('Ref-Data'!$Z$5="Baseline",VLOOKUP(A117,'Model Output_TTC'!$A:$AU,47,FALSE),IF('Ref-Data'!$Z$5="90th Percentile",VLOOKUP(A117,'Model Output_TTC'!$A:$BP,68,FALSE),IF('Ref-Data'!$Z$5="96th Percentile",VLOOKUP('Data Summary'!A117,'Model Output_TTC'!$A:$Z,26,FALSE),""))))</f>
        <v/>
      </c>
    </row>
    <row r="118" spans="1:27" x14ac:dyDescent="0.25">
      <c r="A118" s="354">
        <v>1100000284</v>
      </c>
      <c r="B118" s="167" t="str">
        <f>VLOOKUP(A118,'Ref-Data'!A:AD,30,FALSE)</f>
        <v>CLAVIS IDS LIMITED</v>
      </c>
      <c r="C118" s="190">
        <f>VLOOKUP('Data Summary'!$A118,'Ref-Data'!$A:$U,2,FALSE)</f>
        <v>1015000</v>
      </c>
      <c r="D118" s="190">
        <f>VLOOKUP(A118,'Ref-Data'!A:C,3,FALSE)</f>
        <v>0</v>
      </c>
      <c r="E118" s="190">
        <f>VLOOKUP('Data Summary'!$A118,'Ref-Data'!$A:$U,15,FALSE)</f>
        <v>0</v>
      </c>
      <c r="F118" s="226">
        <f>VLOOKUP('Data Summary'!$A118,'Ref-Data'!$A:$U,12,FALSE)</f>
        <v>5.0000000000000001E-3</v>
      </c>
      <c r="G118" s="226">
        <f>VLOOKUP('Data Summary'!$A118,'Ref-Data'!$A:$U,14,FALSE)</f>
        <v>0.3911</v>
      </c>
      <c r="H118" s="190">
        <f>VLOOKUP(A118,'Code Results'!A:B,2,FALSE)</f>
        <v>0</v>
      </c>
      <c r="I118" s="190">
        <f>IFERROR(VLOOKUP($A118,'Code Results'!$A:$C,13,FALSE),VLOOKUP('Data Summary'!$A118,'Ref-Data'!$A:$U,18,FALSE))</f>
        <v>0</v>
      </c>
      <c r="J118" s="190">
        <f t="shared" si="16"/>
        <v>0</v>
      </c>
      <c r="K118" s="167" t="s">
        <v>1156</v>
      </c>
      <c r="L118" s="190">
        <f>VLOOKUP(A118, 'Ref-Data'!$A:$I,9,FALSE)</f>
        <v>1</v>
      </c>
      <c r="M118" s="173">
        <v>4.7500000000000001E-2</v>
      </c>
      <c r="N118" s="173">
        <v>0.37514320519767774</v>
      </c>
      <c r="O118" s="192">
        <v>3502.9172331077216</v>
      </c>
      <c r="P118" s="191">
        <f t="shared" si="17"/>
        <v>-4.2500000000000003E-2</v>
      </c>
      <c r="Q118" s="191">
        <f t="shared" si="18"/>
        <v>1.5956794802322261E-2</v>
      </c>
      <c r="R118" s="193">
        <f t="shared" si="19"/>
        <v>-3502.9172331077216</v>
      </c>
      <c r="S118" s="354"/>
      <c r="T118" s="167"/>
      <c r="U118" s="167"/>
      <c r="V118" s="167"/>
      <c r="W118" s="167"/>
      <c r="X118" s="167"/>
      <c r="Y118" s="167"/>
      <c r="Z118" s="445">
        <f>VLOOKUP(A118,'Ref-Data'!$A:$F,6,FALSE)</f>
        <v>4.9500342231348391</v>
      </c>
      <c r="AA118" s="390" t="str">
        <f>IF('Ref-Data'!$Z$2="ON",VLOOKUP('Data Summary'!A118,'MacroPD-Cal'!$A:$O,15,FALSE),IF('Ref-Data'!$Z$5="Baseline",VLOOKUP(A118,'Model Output_TTC'!$A:$AU,47,FALSE),IF('Ref-Data'!$Z$5="90th Percentile",VLOOKUP(A118,'Model Output_TTC'!$A:$BP,68,FALSE),IF('Ref-Data'!$Z$5="96th Percentile",VLOOKUP('Data Summary'!A118,'Model Output_TTC'!$A:$Z,26,FALSE),""))))</f>
        <v/>
      </c>
    </row>
    <row r="119" spans="1:27" x14ac:dyDescent="0.25">
      <c r="A119" s="354">
        <v>1300000003</v>
      </c>
      <c r="B119" s="167" t="str">
        <f>VLOOKUP(A119,'Ref-Data'!A:AD,30,FALSE)</f>
        <v>CLAVIS IDS LIMITED</v>
      </c>
      <c r="C119" s="190">
        <f>VLOOKUP('Data Summary'!$A119,'Ref-Data'!$A:$U,2,FALSE)</f>
        <v>235000</v>
      </c>
      <c r="D119" s="190">
        <f>VLOOKUP(A119,'Ref-Data'!A:C,3,FALSE)</f>
        <v>0</v>
      </c>
      <c r="E119" s="190">
        <f>VLOOKUP('Data Summary'!$A119,'Ref-Data'!$A:$U,15,FALSE)</f>
        <v>0</v>
      </c>
      <c r="F119" s="226">
        <f>VLOOKUP('Data Summary'!$A119,'Ref-Data'!$A:$U,12,FALSE)</f>
        <v>5.0000000000000001E-3</v>
      </c>
      <c r="G119" s="226">
        <f>VLOOKUP('Data Summary'!$A119,'Ref-Data'!$A:$U,14,FALSE)</f>
        <v>0.3911</v>
      </c>
      <c r="H119" s="190">
        <f>VLOOKUP(A119,'Code Results'!A:B,2,FALSE)</f>
        <v>0</v>
      </c>
      <c r="I119" s="190">
        <f>IFERROR(VLOOKUP($A119,'Code Results'!$A:$C,13,FALSE),VLOOKUP('Data Summary'!$A119,'Ref-Data'!$A:$U,18,FALSE))</f>
        <v>0</v>
      </c>
      <c r="J119" s="190">
        <f t="shared" si="16"/>
        <v>0</v>
      </c>
      <c r="K119" s="167" t="s">
        <v>1156</v>
      </c>
      <c r="L119" s="190">
        <f>VLOOKUP(A119, 'Ref-Data'!$A:$I,9,FALSE)</f>
        <v>1</v>
      </c>
      <c r="M119" s="173">
        <v>4.7500000000000001E-2</v>
      </c>
      <c r="N119" s="173">
        <v>0.37514320519767774</v>
      </c>
      <c r="O119" s="192">
        <v>3502.9172331077216</v>
      </c>
      <c r="P119" s="191">
        <f t="shared" si="17"/>
        <v>-4.2500000000000003E-2</v>
      </c>
      <c r="Q119" s="191">
        <f t="shared" si="18"/>
        <v>1.5956794802322261E-2</v>
      </c>
      <c r="R119" s="193">
        <f t="shared" si="19"/>
        <v>-3502.9172331077216</v>
      </c>
      <c r="S119" s="354"/>
      <c r="T119" s="167"/>
      <c r="U119" s="167"/>
      <c r="V119" s="167"/>
      <c r="W119" s="167"/>
      <c r="X119" s="167"/>
      <c r="Y119" s="167"/>
      <c r="Z119" s="445">
        <f>VLOOKUP(A119,'Ref-Data'!$A:$F,6,FALSE)</f>
        <v>4.9500342231348391</v>
      </c>
      <c r="AA119" s="390" t="str">
        <f>IF('Ref-Data'!$Z$2="ON",VLOOKUP('Data Summary'!A119,'MacroPD-Cal'!$A:$O,15,FALSE),IF('Ref-Data'!$Z$5="Baseline",VLOOKUP(A119,'Model Output_TTC'!$A:$AU,47,FALSE),IF('Ref-Data'!$Z$5="90th Percentile",VLOOKUP(A119,'Model Output_TTC'!$A:$BP,68,FALSE),IF('Ref-Data'!$Z$5="96th Percentile",VLOOKUP('Data Summary'!A119,'Model Output_TTC'!$A:$Z,26,FALSE),""))))</f>
        <v/>
      </c>
    </row>
    <row r="120" spans="1:27" x14ac:dyDescent="0.25">
      <c r="A120" s="354">
        <v>1100000289</v>
      </c>
      <c r="B120" s="167" t="str">
        <f>VLOOKUP(A120,'Ref-Data'!A:AD,30,FALSE)</f>
        <v>FDBC HOLDINGS LIMITED</v>
      </c>
      <c r="C120" s="190">
        <f>VLOOKUP('Data Summary'!$A120,'Ref-Data'!$A:$U,2,FALSE)</f>
        <v>3200000</v>
      </c>
      <c r="D120" s="190">
        <f>VLOOKUP(A120,'Ref-Data'!A:C,3,FALSE)</f>
        <v>0</v>
      </c>
      <c r="E120" s="190">
        <f>VLOOKUP('Data Summary'!$A120,'Ref-Data'!$A:$U,15,FALSE)</f>
        <v>0</v>
      </c>
      <c r="F120" s="226">
        <f>VLOOKUP('Data Summary'!$A120,'Ref-Data'!$A:$U,12,FALSE)</f>
        <v>3.6900000000000002E-2</v>
      </c>
      <c r="G120" s="226">
        <f>VLOOKUP('Data Summary'!$A120,'Ref-Data'!$A:$U,14,FALSE)</f>
        <v>0.41700000000000004</v>
      </c>
      <c r="H120" s="190">
        <f>VLOOKUP(A120,'Code Results'!A:B,2,FALSE)</f>
        <v>0</v>
      </c>
      <c r="I120" s="190">
        <f>IFERROR(VLOOKUP($A120,'Code Results'!$A:$C,13,FALSE),VLOOKUP('Data Summary'!$A120,'Ref-Data'!$A:$U,18,FALSE))</f>
        <v>0</v>
      </c>
      <c r="J120" s="190">
        <f t="shared" si="16"/>
        <v>0</v>
      </c>
      <c r="K120" s="167" t="s">
        <v>1156</v>
      </c>
      <c r="L120" s="190">
        <f>VLOOKUP(A120, 'Ref-Data'!$A:$I,9,FALSE)</f>
        <v>1</v>
      </c>
      <c r="M120" s="173">
        <v>4.7500000000000001E-2</v>
      </c>
      <c r="N120" s="173">
        <v>0.37514320519767774</v>
      </c>
      <c r="O120" s="192">
        <v>3502.9172331077216</v>
      </c>
      <c r="P120" s="191">
        <f t="shared" si="17"/>
        <v>-1.0599999999999998E-2</v>
      </c>
      <c r="Q120" s="191">
        <f t="shared" si="18"/>
        <v>4.1856794802322295E-2</v>
      </c>
      <c r="R120" s="193">
        <f t="shared" si="19"/>
        <v>-3502.9172331077216</v>
      </c>
      <c r="S120" s="354"/>
      <c r="T120" s="167"/>
      <c r="U120" s="167"/>
      <c r="V120" s="167"/>
      <c r="W120" s="167"/>
      <c r="X120" s="167"/>
      <c r="Y120" s="167"/>
      <c r="Z120" s="445">
        <f>VLOOKUP(A120,'Ref-Data'!$A:$F,6,FALSE)</f>
        <v>3.9890485968514717</v>
      </c>
      <c r="AA120" s="390" t="str">
        <f>IF('Ref-Data'!$Z$2="ON",VLOOKUP('Data Summary'!A120,'MacroPD-Cal'!$A:$O,15,FALSE),IF('Ref-Data'!$Z$5="Baseline",VLOOKUP(A120,'Model Output_TTC'!$A:$AU,47,FALSE),IF('Ref-Data'!$Z$5="90th Percentile",VLOOKUP(A120,'Model Output_TTC'!$A:$BP,68,FALSE),IF('Ref-Data'!$Z$5="96th Percentile",VLOOKUP('Data Summary'!A120,'Model Output_TTC'!$A:$Z,26,FALSE),""))))</f>
        <v/>
      </c>
    </row>
    <row r="121" spans="1:27" x14ac:dyDescent="0.25">
      <c r="A121" s="354">
        <v>1300000004</v>
      </c>
      <c r="B121" s="167" t="str">
        <f>VLOOKUP(A121,'Ref-Data'!A:AD,30,FALSE)</f>
        <v>LYONS DAVIDSON LIMITED</v>
      </c>
      <c r="C121" s="190">
        <f>VLOOKUP('Data Summary'!$A121,'Ref-Data'!$A:$U,2,FALSE)</f>
        <v>1000000</v>
      </c>
      <c r="D121" s="190">
        <f>VLOOKUP(A121,'Ref-Data'!A:C,3,FALSE)</f>
        <v>975326</v>
      </c>
      <c r="E121" s="190">
        <f>VLOOKUP('Data Summary'!$A121,'Ref-Data'!$A:$U,15,FALSE)</f>
        <v>24674</v>
      </c>
      <c r="F121" s="226">
        <f>VLOOKUP('Data Summary'!$A121,'Ref-Data'!$A:$U,12,FALSE)</f>
        <v>1.46E-2</v>
      </c>
      <c r="G121" s="226">
        <f>VLOOKUP('Data Summary'!$A121,'Ref-Data'!$A:$U,14,FALSE)</f>
        <v>0.1</v>
      </c>
      <c r="H121" s="190">
        <f>VLOOKUP(A121,'Code Results'!A:B,2,FALSE)</f>
        <v>1344.1425353341599</v>
      </c>
      <c r="I121" s="190">
        <f>IFERROR(VLOOKUP($A121,'Code Results'!$A:$C,13,FALSE),VLOOKUP('Data Summary'!$A121,'Ref-Data'!$A:$U,18,FALSE))</f>
        <v>18.012020000000003</v>
      </c>
      <c r="J121" s="190">
        <f t="shared" si="16"/>
        <v>1362.1545553341598</v>
      </c>
      <c r="K121" s="167" t="s">
        <v>1156</v>
      </c>
      <c r="L121" s="190">
        <f>VLOOKUP(A121, 'Ref-Data'!$A:$I,9,FALSE)</f>
        <v>1</v>
      </c>
      <c r="M121" s="173">
        <v>4.7500000000000001E-2</v>
      </c>
      <c r="N121" s="173">
        <v>0.37514320519767774</v>
      </c>
      <c r="O121" s="192">
        <v>3502.9172331077216</v>
      </c>
      <c r="P121" s="191">
        <f t="shared" si="17"/>
        <v>-3.2899999999999999E-2</v>
      </c>
      <c r="Q121" s="191">
        <f t="shared" si="18"/>
        <v>-0.27514320519767776</v>
      </c>
      <c r="R121" s="193">
        <f t="shared" si="19"/>
        <v>-2140.7626777735618</v>
      </c>
      <c r="S121" s="354"/>
      <c r="T121" s="167"/>
      <c r="U121" s="167"/>
      <c r="V121" s="167"/>
      <c r="W121" s="167"/>
      <c r="X121" s="167"/>
      <c r="Y121" s="167"/>
      <c r="Z121" s="445">
        <f>VLOOKUP(A121,'Ref-Data'!$A:$F,6,FALSE)</f>
        <v>3.0061601642710474</v>
      </c>
      <c r="AA121" s="390" t="str">
        <f>IF('Ref-Data'!$Z$2="ON",VLOOKUP('Data Summary'!A121,'MacroPD-Cal'!$A:$O,15,FALSE),IF('Ref-Data'!$Z$5="Baseline",VLOOKUP(A121,'Model Output_TTC'!$A:$AU,47,FALSE),IF('Ref-Data'!$Z$5="90th Percentile",VLOOKUP(A121,'Model Output_TTC'!$A:$BP,68,FALSE),IF('Ref-Data'!$Z$5="96th Percentile",VLOOKUP('Data Summary'!A121,'Model Output_TTC'!$A:$Z,26,FALSE),""))))</f>
        <v/>
      </c>
    </row>
    <row r="123" spans="1:27" x14ac:dyDescent="0.25">
      <c r="G123" s="67"/>
    </row>
  </sheetData>
  <mergeCells count="2">
    <mergeCell ref="M1:O1"/>
    <mergeCell ref="F1:J1"/>
  </mergeCells>
  <pageMargins left="0.7" right="0.7" top="0.75" bottom="0.75" header="0.3" footer="0.3"/>
  <pageSetup paperSize="9" orientation="portrait" r:id="rId1"/>
  <ignoredErrors>
    <ignoredError sqref="Z3 AA3" unlocked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6A266-8688-4B71-A24B-859B2EFA33AC}">
  <sheetPr codeName="Sheet5" filterMode="1"/>
  <dimension ref="A1:AA92"/>
  <sheetViews>
    <sheetView zoomScale="80" zoomScaleNormal="80" workbookViewId="0">
      <selection activeCell="A41" sqref="A41"/>
    </sheetView>
  </sheetViews>
  <sheetFormatPr defaultRowHeight="15" x14ac:dyDescent="0.25"/>
  <cols>
    <col min="1" max="1" width="34.7109375" customWidth="1"/>
    <col min="2" max="2" width="12" bestFit="1" customWidth="1"/>
    <col min="3" max="3" width="19.140625" bestFit="1" customWidth="1"/>
    <col min="4" max="4" width="21.140625" bestFit="1" customWidth="1"/>
    <col min="5" max="5" width="17" bestFit="1" customWidth="1"/>
    <col min="6" max="6" width="18.85546875" bestFit="1" customWidth="1"/>
    <col min="7" max="7" width="22.28515625" bestFit="1" customWidth="1"/>
    <col min="8" max="8" width="12.7109375" bestFit="1" customWidth="1"/>
    <col min="9" max="9" width="23.140625" bestFit="1" customWidth="1"/>
    <col min="10" max="10" width="30.42578125" bestFit="1" customWidth="1"/>
    <col min="11" max="11" width="40.7109375" bestFit="1" customWidth="1"/>
    <col min="12" max="12" width="13.85546875" bestFit="1" customWidth="1"/>
    <col min="13" max="13" width="31.5703125" bestFit="1" customWidth="1"/>
    <col min="14" max="14" width="14.42578125" bestFit="1" customWidth="1"/>
    <col min="15" max="15" width="24.7109375" bestFit="1" customWidth="1"/>
    <col min="16" max="16" width="14.42578125" bestFit="1" customWidth="1"/>
    <col min="17" max="17" width="11.85546875" bestFit="1" customWidth="1"/>
    <col min="18" max="18" width="18.7109375" bestFit="1" customWidth="1"/>
    <col min="19" max="19" width="26.85546875" bestFit="1" customWidth="1"/>
    <col min="20" max="20" width="14.28515625" bestFit="1" customWidth="1"/>
    <col min="21" max="21" width="14.140625" bestFit="1" customWidth="1"/>
    <col min="22" max="22" width="19.85546875" bestFit="1" customWidth="1"/>
    <col min="23" max="23" width="30.140625" bestFit="1" customWidth="1"/>
    <col min="24" max="24" width="19.140625" bestFit="1" customWidth="1"/>
    <col min="25" max="25" width="16.42578125" bestFit="1" customWidth="1"/>
    <col min="26" max="26" width="22.42578125" bestFit="1" customWidth="1"/>
    <col min="27" max="27" width="25.42578125" bestFit="1" customWidth="1"/>
  </cols>
  <sheetData>
    <row r="1" spans="1:27" x14ac:dyDescent="0.25">
      <c r="A1" s="346" t="s">
        <v>0</v>
      </c>
      <c r="B1" s="346" t="s">
        <v>1</v>
      </c>
      <c r="C1" s="346" t="s">
        <v>2</v>
      </c>
      <c r="D1" s="346" t="s">
        <v>3</v>
      </c>
      <c r="E1" s="346" t="s">
        <v>4</v>
      </c>
      <c r="F1" s="346" t="s">
        <v>5</v>
      </c>
      <c r="G1" s="346" t="s">
        <v>6</v>
      </c>
      <c r="H1" s="346" t="s">
        <v>7</v>
      </c>
      <c r="I1" s="346" t="s">
        <v>8</v>
      </c>
      <c r="J1" s="346" t="s">
        <v>9</v>
      </c>
      <c r="K1" s="346" t="s">
        <v>10</v>
      </c>
      <c r="L1" s="346" t="s">
        <v>11</v>
      </c>
      <c r="M1" s="346" t="s">
        <v>12</v>
      </c>
      <c r="N1" s="346" t="s">
        <v>13</v>
      </c>
      <c r="O1" s="346" t="s">
        <v>14</v>
      </c>
      <c r="P1" s="346" t="s">
        <v>15</v>
      </c>
      <c r="Q1" s="346" t="s">
        <v>16</v>
      </c>
      <c r="R1" s="346" t="s">
        <v>17</v>
      </c>
      <c r="S1" s="346" t="s">
        <v>18</v>
      </c>
      <c r="T1" s="346" t="s">
        <v>19</v>
      </c>
      <c r="U1" s="346" t="s">
        <v>20</v>
      </c>
      <c r="V1" s="346" t="s">
        <v>21</v>
      </c>
      <c r="W1" s="346" t="s">
        <v>22</v>
      </c>
      <c r="X1" s="346" t="s">
        <v>23</v>
      </c>
      <c r="Y1" s="346" t="s">
        <v>24</v>
      </c>
      <c r="Z1" s="346" t="s">
        <v>25</v>
      </c>
      <c r="AA1" s="346" t="s">
        <v>26</v>
      </c>
    </row>
    <row r="2" spans="1:27" hidden="1" x14ac:dyDescent="0.25">
      <c r="A2" s="346" t="s">
        <v>5373</v>
      </c>
      <c r="B2" s="346">
        <v>1100000151</v>
      </c>
      <c r="C2" s="346"/>
      <c r="D2" s="346"/>
      <c r="E2" s="346">
        <v>2022</v>
      </c>
      <c r="F2" s="346">
        <v>6</v>
      </c>
      <c r="G2" s="346">
        <v>6860.8890810000003</v>
      </c>
      <c r="H2" s="346">
        <v>1400.9438029999999</v>
      </c>
      <c r="I2" s="346">
        <v>1400.9438029999999</v>
      </c>
      <c r="J2" s="346">
        <v>49316.374779999998</v>
      </c>
      <c r="K2" s="346">
        <v>46397.322959999998</v>
      </c>
      <c r="L2" s="346">
        <v>-1358.7294300000001</v>
      </c>
      <c r="M2" s="346"/>
      <c r="N2" s="346">
        <v>13465.528389999999</v>
      </c>
      <c r="O2" s="346">
        <v>13465.528389999999</v>
      </c>
      <c r="P2" s="346">
        <v>29866.446349999998</v>
      </c>
      <c r="Q2" s="346">
        <v>35562.51455</v>
      </c>
      <c r="R2" s="346">
        <v>32275.784449999999</v>
      </c>
      <c r="S2" s="346">
        <v>1585.0040590000001</v>
      </c>
      <c r="T2" s="346">
        <v>2029.002156</v>
      </c>
      <c r="U2" s="346">
        <v>6510.120508</v>
      </c>
      <c r="V2" s="346">
        <v>3584.8946810000002</v>
      </c>
      <c r="W2" s="346">
        <v>2171.8781789999998</v>
      </c>
      <c r="X2" s="346" t="s">
        <v>101</v>
      </c>
      <c r="Y2" s="346">
        <v>87300</v>
      </c>
      <c r="Z2" s="346">
        <v>5</v>
      </c>
      <c r="AA2" s="346" t="s">
        <v>996</v>
      </c>
    </row>
    <row r="3" spans="1:27" hidden="1" x14ac:dyDescent="0.25">
      <c r="A3" s="346" t="s">
        <v>5374</v>
      </c>
      <c r="B3" s="346">
        <v>1100000241</v>
      </c>
      <c r="C3" s="346"/>
      <c r="D3" s="346"/>
      <c r="E3" s="346">
        <v>2022</v>
      </c>
      <c r="F3" s="346">
        <v>6</v>
      </c>
      <c r="G3" s="346">
        <v>4740.5111960000004</v>
      </c>
      <c r="H3" s="346">
        <v>62.4251</v>
      </c>
      <c r="I3" s="346">
        <v>62.4251</v>
      </c>
      <c r="J3" s="346">
        <v>34543.843339999999</v>
      </c>
      <c r="K3" s="346">
        <v>32354.52075</v>
      </c>
      <c r="L3" s="346">
        <v>262.76191999999998</v>
      </c>
      <c r="M3" s="346"/>
      <c r="N3" s="346">
        <v>3783.8144010000001</v>
      </c>
      <c r="O3" s="346">
        <v>3783.8144010000001</v>
      </c>
      <c r="P3" s="346">
        <v>14978.90085</v>
      </c>
      <c r="Q3" s="346">
        <v>13067.707109999999</v>
      </c>
      <c r="R3" s="346">
        <v>11852.889810000001</v>
      </c>
      <c r="S3" s="346"/>
      <c r="T3" s="346">
        <v>1157.2596759999999</v>
      </c>
      <c r="U3" s="346">
        <v>3791.038266</v>
      </c>
      <c r="V3" s="346">
        <v>2107.022872</v>
      </c>
      <c r="W3" s="346">
        <v>1541.893106</v>
      </c>
      <c r="X3" s="346" t="s">
        <v>101</v>
      </c>
      <c r="Y3" s="346">
        <v>87300</v>
      </c>
      <c r="Z3" s="346">
        <v>5</v>
      </c>
      <c r="AA3" s="346" t="s">
        <v>996</v>
      </c>
    </row>
    <row r="4" spans="1:27" hidden="1" x14ac:dyDescent="0.25">
      <c r="A4" s="346" t="s">
        <v>5375</v>
      </c>
      <c r="B4" s="346">
        <v>1100000242</v>
      </c>
      <c r="C4" s="346"/>
      <c r="D4" s="346"/>
      <c r="E4" s="346">
        <v>2022</v>
      </c>
      <c r="F4" s="346">
        <v>6</v>
      </c>
      <c r="G4" s="346">
        <v>4740.5111960000004</v>
      </c>
      <c r="H4" s="346">
        <v>62.4251</v>
      </c>
      <c r="I4" s="346">
        <v>62.4251</v>
      </c>
      <c r="J4" s="346">
        <v>34543.843339999999</v>
      </c>
      <c r="K4" s="346">
        <v>32354.52075</v>
      </c>
      <c r="L4" s="346">
        <v>262.76191999999998</v>
      </c>
      <c r="M4" s="346"/>
      <c r="N4" s="346">
        <v>3783.8144010000001</v>
      </c>
      <c r="O4" s="346">
        <v>3783.8144010000001</v>
      </c>
      <c r="P4" s="346">
        <v>14978.90085</v>
      </c>
      <c r="Q4" s="346">
        <v>13067.707109999999</v>
      </c>
      <c r="R4" s="346">
        <v>11852.889810000001</v>
      </c>
      <c r="S4" s="346"/>
      <c r="T4" s="346">
        <v>1157.2596759999999</v>
      </c>
      <c r="U4" s="346">
        <v>3791.038266</v>
      </c>
      <c r="V4" s="346">
        <v>2107.022872</v>
      </c>
      <c r="W4" s="346">
        <v>1541.893106</v>
      </c>
      <c r="X4" s="346" t="s">
        <v>101</v>
      </c>
      <c r="Y4" s="346">
        <v>87300</v>
      </c>
      <c r="Z4" s="346">
        <v>5</v>
      </c>
      <c r="AA4" s="346" t="s">
        <v>996</v>
      </c>
    </row>
    <row r="5" spans="1:27" hidden="1" x14ac:dyDescent="0.25">
      <c r="A5" s="346" t="s">
        <v>5376</v>
      </c>
      <c r="B5" s="346">
        <v>1100000243</v>
      </c>
      <c r="C5" s="346"/>
      <c r="D5" s="346"/>
      <c r="E5" s="346">
        <v>2022</v>
      </c>
      <c r="F5" s="346">
        <v>6</v>
      </c>
      <c r="G5" s="346">
        <v>4740.5111960000004</v>
      </c>
      <c r="H5" s="346">
        <v>62.4251</v>
      </c>
      <c r="I5" s="346">
        <v>62.4251</v>
      </c>
      <c r="J5" s="346">
        <v>34543.843339999999</v>
      </c>
      <c r="K5" s="346">
        <v>32354.52075</v>
      </c>
      <c r="L5" s="346">
        <v>262.76191999999998</v>
      </c>
      <c r="M5" s="346"/>
      <c r="N5" s="346">
        <v>3783.8144010000001</v>
      </c>
      <c r="O5" s="346">
        <v>3783.8144010000001</v>
      </c>
      <c r="P5" s="346">
        <v>14978.90085</v>
      </c>
      <c r="Q5" s="346">
        <v>13067.707109999999</v>
      </c>
      <c r="R5" s="346">
        <v>11852.889810000001</v>
      </c>
      <c r="S5" s="346"/>
      <c r="T5" s="346">
        <v>1157.2596759999999</v>
      </c>
      <c r="U5" s="346">
        <v>3791.038266</v>
      </c>
      <c r="V5" s="346">
        <v>2107.022872</v>
      </c>
      <c r="W5" s="346">
        <v>1541.893106</v>
      </c>
      <c r="X5" s="346" t="s">
        <v>101</v>
      </c>
      <c r="Y5" s="346">
        <v>87300</v>
      </c>
      <c r="Z5" s="346">
        <v>5</v>
      </c>
      <c r="AA5" s="346" t="s">
        <v>996</v>
      </c>
    </row>
    <row r="6" spans="1:27" hidden="1" x14ac:dyDescent="0.25">
      <c r="A6" s="346" t="s">
        <v>5377</v>
      </c>
      <c r="B6" s="346">
        <v>1100000245</v>
      </c>
      <c r="C6" s="346"/>
      <c r="D6" s="346"/>
      <c r="E6" s="346">
        <v>2022</v>
      </c>
      <c r="F6" s="346">
        <v>6</v>
      </c>
      <c r="G6" s="346">
        <v>4740.5111960000004</v>
      </c>
      <c r="H6" s="346">
        <v>62.4251</v>
      </c>
      <c r="I6" s="346">
        <v>62.4251</v>
      </c>
      <c r="J6" s="346">
        <v>34543.843339999999</v>
      </c>
      <c r="K6" s="346">
        <v>32354.52075</v>
      </c>
      <c r="L6" s="346">
        <v>262.76191999999998</v>
      </c>
      <c r="M6" s="346"/>
      <c r="N6" s="346">
        <v>3783.8144010000001</v>
      </c>
      <c r="O6" s="346">
        <v>3783.8144010000001</v>
      </c>
      <c r="P6" s="346">
        <v>14978.90085</v>
      </c>
      <c r="Q6" s="346">
        <v>13067.707109999999</v>
      </c>
      <c r="R6" s="346">
        <v>11852.889810000001</v>
      </c>
      <c r="S6" s="346"/>
      <c r="T6" s="346">
        <v>1157.2596759999999</v>
      </c>
      <c r="U6" s="346">
        <v>3791.038266</v>
      </c>
      <c r="V6" s="346">
        <v>2107.022872</v>
      </c>
      <c r="W6" s="346">
        <v>1541.893106</v>
      </c>
      <c r="X6" s="346" t="s">
        <v>101</v>
      </c>
      <c r="Y6" s="346">
        <v>87300</v>
      </c>
      <c r="Z6" s="346">
        <v>5</v>
      </c>
      <c r="AA6" s="346" t="s">
        <v>996</v>
      </c>
    </row>
    <row r="7" spans="1:27" hidden="1" x14ac:dyDescent="0.25">
      <c r="A7" s="346" t="s">
        <v>5378</v>
      </c>
      <c r="B7" s="346">
        <v>1100000244</v>
      </c>
      <c r="C7" s="346"/>
      <c r="D7" s="346"/>
      <c r="E7" s="346">
        <v>2022</v>
      </c>
      <c r="F7" s="346">
        <v>6</v>
      </c>
      <c r="G7" s="346">
        <v>4740.5111960000004</v>
      </c>
      <c r="H7" s="346">
        <v>62.4251</v>
      </c>
      <c r="I7" s="346">
        <v>62.4251</v>
      </c>
      <c r="J7" s="346">
        <v>34543.843339999999</v>
      </c>
      <c r="K7" s="346">
        <v>32354.52075</v>
      </c>
      <c r="L7" s="346">
        <v>262.76191999999998</v>
      </c>
      <c r="M7" s="346"/>
      <c r="N7" s="346">
        <v>3783.8144010000001</v>
      </c>
      <c r="O7" s="346">
        <v>3783.8144010000001</v>
      </c>
      <c r="P7" s="346">
        <v>14978.90085</v>
      </c>
      <c r="Q7" s="346">
        <v>13067.707109999999</v>
      </c>
      <c r="R7" s="346">
        <v>11852.889810000001</v>
      </c>
      <c r="S7" s="346"/>
      <c r="T7" s="346">
        <v>1157.2596759999999</v>
      </c>
      <c r="U7" s="346">
        <v>3791.038266</v>
      </c>
      <c r="V7" s="346">
        <v>2107.022872</v>
      </c>
      <c r="W7" s="346">
        <v>1541.893106</v>
      </c>
      <c r="X7" s="346" t="s">
        <v>101</v>
      </c>
      <c r="Y7" s="346">
        <v>87300</v>
      </c>
      <c r="Z7" s="346">
        <v>5</v>
      </c>
      <c r="AA7" s="346" t="s">
        <v>996</v>
      </c>
    </row>
    <row r="8" spans="1:27" hidden="1" x14ac:dyDescent="0.25">
      <c r="A8" s="346" t="s">
        <v>5379</v>
      </c>
      <c r="B8" s="346">
        <v>1100000130</v>
      </c>
      <c r="C8" s="346"/>
      <c r="D8" s="346"/>
      <c r="E8" s="346">
        <v>2022</v>
      </c>
      <c r="F8" s="346">
        <v>6</v>
      </c>
      <c r="G8" s="346">
        <v>2909.1034749999999</v>
      </c>
      <c r="H8" s="346">
        <v>119.889</v>
      </c>
      <c r="I8" s="346">
        <v>119.889</v>
      </c>
      <c r="J8" s="346">
        <v>9483.9578490000004</v>
      </c>
      <c r="K8" s="346">
        <v>8662.6395489999995</v>
      </c>
      <c r="L8" s="346">
        <v>204.56100000000001</v>
      </c>
      <c r="M8" s="346"/>
      <c r="N8" s="346">
        <v>331.26400000000001</v>
      </c>
      <c r="O8" s="346">
        <v>331.26400000000001</v>
      </c>
      <c r="P8" s="346">
        <v>3761.97</v>
      </c>
      <c r="Q8" s="346">
        <v>3192.9504980000002</v>
      </c>
      <c r="R8" s="346">
        <v>2860.6846489999998</v>
      </c>
      <c r="S8" s="346">
        <v>45.0591303</v>
      </c>
      <c r="T8" s="346">
        <v>212.69262140000001</v>
      </c>
      <c r="U8" s="346">
        <v>1015.9025799999999</v>
      </c>
      <c r="V8" s="346">
        <v>642.5679672</v>
      </c>
      <c r="W8" s="346">
        <v>522.11723800000004</v>
      </c>
      <c r="X8" s="346" t="s">
        <v>101</v>
      </c>
      <c r="Y8" s="346">
        <v>87200</v>
      </c>
      <c r="Z8" s="346">
        <v>5</v>
      </c>
      <c r="AA8" s="346" t="s">
        <v>996</v>
      </c>
    </row>
    <row r="9" spans="1:27" hidden="1" x14ac:dyDescent="0.25">
      <c r="A9" s="346" t="s">
        <v>5380</v>
      </c>
      <c r="B9" s="346">
        <v>1200000128</v>
      </c>
      <c r="C9" s="346"/>
      <c r="D9" s="346"/>
      <c r="E9" s="346">
        <v>2022</v>
      </c>
      <c r="F9" s="346">
        <v>6</v>
      </c>
      <c r="G9" s="346">
        <v>1527.0105840000001</v>
      </c>
      <c r="H9" s="346">
        <v>132.94072</v>
      </c>
      <c r="I9" s="346">
        <v>132.94072</v>
      </c>
      <c r="J9" s="346">
        <v>2134.8974450000001</v>
      </c>
      <c r="K9" s="346">
        <v>1100.468936</v>
      </c>
      <c r="L9" s="346">
        <v>404.09386999999998</v>
      </c>
      <c r="M9" s="346"/>
      <c r="N9" s="346">
        <v>2808.0613800000001</v>
      </c>
      <c r="O9" s="346">
        <v>2808.0613800000001</v>
      </c>
      <c r="P9" s="346">
        <v>6052.2463900000002</v>
      </c>
      <c r="Q9" s="346">
        <v>11191.89502</v>
      </c>
      <c r="R9" s="346">
        <v>9699.8587289999996</v>
      </c>
      <c r="S9" s="346">
        <v>233.36304369999999</v>
      </c>
      <c r="T9" s="346">
        <v>246.51929459999999</v>
      </c>
      <c r="U9" s="346">
        <v>1191.9727009999999</v>
      </c>
      <c r="V9" s="346">
        <v>756.36272489999999</v>
      </c>
      <c r="W9" s="346">
        <v>69.821367469999998</v>
      </c>
      <c r="X9" s="346" t="s">
        <v>101</v>
      </c>
      <c r="Y9" s="346">
        <v>56302</v>
      </c>
      <c r="Z9" s="346">
        <v>5</v>
      </c>
      <c r="AA9" s="346" t="s">
        <v>996</v>
      </c>
    </row>
    <row r="10" spans="1:27" hidden="1" x14ac:dyDescent="0.25">
      <c r="A10" s="346" t="s">
        <v>5381</v>
      </c>
      <c r="B10" s="346">
        <v>1100000205</v>
      </c>
      <c r="C10" s="346"/>
      <c r="D10" s="346"/>
      <c r="E10" s="346">
        <v>2022</v>
      </c>
      <c r="F10" s="346">
        <v>6</v>
      </c>
      <c r="G10" s="346">
        <v>1397.6719439999999</v>
      </c>
      <c r="H10" s="346">
        <v>801.02782999999999</v>
      </c>
      <c r="I10" s="346">
        <v>801.02782999999999</v>
      </c>
      <c r="J10" s="346">
        <v>2674.5068419999998</v>
      </c>
      <c r="K10" s="346">
        <v>660.12928609999994</v>
      </c>
      <c r="L10" s="346">
        <v>-862.61561549999999</v>
      </c>
      <c r="M10" s="346"/>
      <c r="N10" s="346">
        <v>4613.8324339999999</v>
      </c>
      <c r="O10" s="346">
        <v>5613.3934900000004</v>
      </c>
      <c r="P10" s="346">
        <v>5029.4036610000003</v>
      </c>
      <c r="Q10" s="346">
        <v>19743.38421</v>
      </c>
      <c r="R10" s="346">
        <v>16885.62211</v>
      </c>
      <c r="S10" s="346">
        <v>469.57279340000002</v>
      </c>
      <c r="T10" s="346">
        <v>237.76387120000001</v>
      </c>
      <c r="U10" s="346">
        <v>1322.7278120000001</v>
      </c>
      <c r="V10" s="346">
        <v>724.94202580000001</v>
      </c>
      <c r="W10" s="346">
        <v>-938.45414400000004</v>
      </c>
      <c r="X10" s="346" t="s">
        <v>101</v>
      </c>
      <c r="Y10" s="346">
        <v>56302</v>
      </c>
      <c r="Z10" s="346">
        <v>5</v>
      </c>
      <c r="AA10" s="346" t="s">
        <v>996</v>
      </c>
    </row>
    <row r="11" spans="1:27" hidden="1" x14ac:dyDescent="0.25">
      <c r="A11" s="346" t="s">
        <v>5382</v>
      </c>
      <c r="B11" s="346">
        <v>1200000146</v>
      </c>
      <c r="C11" s="346"/>
      <c r="D11" s="346"/>
      <c r="E11" s="346">
        <v>2022</v>
      </c>
      <c r="F11" s="346">
        <v>6</v>
      </c>
      <c r="G11" s="346">
        <v>2661.6011520000002</v>
      </c>
      <c r="H11" s="346">
        <v>40.785629999999998</v>
      </c>
      <c r="I11" s="346">
        <v>40.785629999999998</v>
      </c>
      <c r="J11" s="346">
        <v>7625.7321389999997</v>
      </c>
      <c r="K11" s="346">
        <v>6166.5267750000003</v>
      </c>
      <c r="L11" s="346">
        <v>1085.3264730000001</v>
      </c>
      <c r="M11" s="346"/>
      <c r="N11" s="346">
        <v>3750.640868</v>
      </c>
      <c r="O11" s="346">
        <v>3817.3075349999999</v>
      </c>
      <c r="P11" s="346">
        <v>13208.13586</v>
      </c>
      <c r="Q11" s="346">
        <v>26723.27622</v>
      </c>
      <c r="R11" s="346">
        <v>23096.609649999999</v>
      </c>
      <c r="S11" s="346">
        <v>370.12881959999999</v>
      </c>
      <c r="T11" s="346">
        <v>7.1823932920000004</v>
      </c>
      <c r="U11" s="346">
        <v>1733.308323</v>
      </c>
      <c r="V11" s="346">
        <v>1360.388678</v>
      </c>
      <c r="W11" s="346">
        <v>-588.67943330000003</v>
      </c>
      <c r="X11" s="346" t="s">
        <v>101</v>
      </c>
      <c r="Y11" s="346">
        <v>56302</v>
      </c>
      <c r="Z11" s="346">
        <v>5</v>
      </c>
      <c r="AA11" s="346" t="s">
        <v>996</v>
      </c>
    </row>
    <row r="12" spans="1:27" hidden="1" x14ac:dyDescent="0.25">
      <c r="A12" s="346" t="s">
        <v>5383</v>
      </c>
      <c r="B12" s="346">
        <v>1100000248</v>
      </c>
      <c r="C12" s="346"/>
      <c r="D12" s="346"/>
      <c r="E12" s="346">
        <v>2022</v>
      </c>
      <c r="F12" s="346">
        <v>6</v>
      </c>
      <c r="G12" s="346">
        <v>1123.901261</v>
      </c>
      <c r="H12" s="346">
        <v>3461.6129999999998</v>
      </c>
      <c r="I12" s="346">
        <v>3461.6129999999998</v>
      </c>
      <c r="J12" s="346">
        <v>135418.03959999999</v>
      </c>
      <c r="K12" s="346">
        <v>134340.3456</v>
      </c>
      <c r="L12" s="346">
        <v>-4450.3068249999997</v>
      </c>
      <c r="M12" s="346"/>
      <c r="N12" s="346">
        <v>-1658.668075</v>
      </c>
      <c r="O12" s="346">
        <v>1141.331925</v>
      </c>
      <c r="P12" s="346">
        <v>142125.77489999999</v>
      </c>
      <c r="Q12" s="346">
        <v>33592.903250000003</v>
      </c>
      <c r="R12" s="346">
        <v>30306.270240000002</v>
      </c>
      <c r="S12" s="346">
        <v>13164.223760000001</v>
      </c>
      <c r="T12" s="346">
        <v>10438.47653</v>
      </c>
      <c r="U12" s="346">
        <v>-8640.3795809999992</v>
      </c>
      <c r="V12" s="346">
        <v>-19078.856110000001</v>
      </c>
      <c r="W12" s="346">
        <v>-16869.346799999999</v>
      </c>
      <c r="X12" s="346" t="s">
        <v>101</v>
      </c>
      <c r="Y12" s="346">
        <v>56302</v>
      </c>
      <c r="Z12" s="346">
        <v>5</v>
      </c>
      <c r="AA12" s="346" t="s">
        <v>996</v>
      </c>
    </row>
    <row r="13" spans="1:27" hidden="1" x14ac:dyDescent="0.25">
      <c r="A13" s="346" t="s">
        <v>5384</v>
      </c>
      <c r="B13" s="346">
        <v>1100000277</v>
      </c>
      <c r="C13" s="346"/>
      <c r="D13" s="346"/>
      <c r="E13" s="346">
        <v>2022</v>
      </c>
      <c r="F13" s="346">
        <v>6</v>
      </c>
      <c r="G13" s="346">
        <v>50</v>
      </c>
      <c r="H13" s="346"/>
      <c r="I13" s="346"/>
      <c r="J13" s="346">
        <v>37608.504130000001</v>
      </c>
      <c r="K13" s="346">
        <v>38608.918290000001</v>
      </c>
      <c r="L13" s="346"/>
      <c r="M13" s="346"/>
      <c r="N13" s="346">
        <v>0</v>
      </c>
      <c r="O13" s="346"/>
      <c r="P13" s="346">
        <v>26473.913919999999</v>
      </c>
      <c r="Q13" s="346">
        <v>15635.339400000001</v>
      </c>
      <c r="R13" s="346">
        <v>13653.960160000001</v>
      </c>
      <c r="S13" s="346">
        <v>1156.7675489999999</v>
      </c>
      <c r="T13" s="346">
        <v>2094.9324919999999</v>
      </c>
      <c r="U13" s="346">
        <v>-749.89361589999999</v>
      </c>
      <c r="V13" s="346">
        <v>-2844.8261069999999</v>
      </c>
      <c r="W13" s="346">
        <v>-3492.585231</v>
      </c>
      <c r="X13" s="346" t="s">
        <v>101</v>
      </c>
      <c r="Y13" s="346">
        <v>56302</v>
      </c>
      <c r="Z13" s="346">
        <v>5</v>
      </c>
      <c r="AA13" s="346" t="s">
        <v>996</v>
      </c>
    </row>
    <row r="14" spans="1:27" hidden="1" x14ac:dyDescent="0.25">
      <c r="A14" s="346" t="s">
        <v>5385</v>
      </c>
      <c r="B14" s="346">
        <v>1100000271</v>
      </c>
      <c r="C14" s="346"/>
      <c r="D14" s="346"/>
      <c r="E14" s="346">
        <v>2022</v>
      </c>
      <c r="F14" s="346">
        <v>6</v>
      </c>
      <c r="G14" s="346">
        <v>9890.3571410000004</v>
      </c>
      <c r="H14" s="346">
        <v>237.75632999999999</v>
      </c>
      <c r="I14" s="346">
        <v>237.75632999999999</v>
      </c>
      <c r="J14" s="346">
        <v>15330.89075</v>
      </c>
      <c r="K14" s="346">
        <v>17902.831330000001</v>
      </c>
      <c r="L14" s="346">
        <v>980.11392000000001</v>
      </c>
      <c r="M14" s="346"/>
      <c r="N14" s="346">
        <v>14249.808849999999</v>
      </c>
      <c r="O14" s="346">
        <v>15373.808849999999</v>
      </c>
      <c r="P14" s="346">
        <v>15000</v>
      </c>
      <c r="Q14" s="346">
        <v>56665.262860000003</v>
      </c>
      <c r="R14" s="346">
        <v>52252.509310000001</v>
      </c>
      <c r="S14" s="346">
        <v>2484.2537929999999</v>
      </c>
      <c r="T14" s="346">
        <v>622.34922329999995</v>
      </c>
      <c r="U14" s="346">
        <v>-1309.44058</v>
      </c>
      <c r="V14" s="346">
        <v>-1979.3734509999999</v>
      </c>
      <c r="W14" s="346">
        <v>-246.49943569999999</v>
      </c>
      <c r="X14" s="346" t="s">
        <v>101</v>
      </c>
      <c r="Y14" s="346">
        <v>56101</v>
      </c>
      <c r="Z14" s="346">
        <v>5</v>
      </c>
      <c r="AA14" s="346" t="s">
        <v>996</v>
      </c>
    </row>
    <row r="15" spans="1:27" hidden="1" x14ac:dyDescent="0.25">
      <c r="A15" s="346" t="s">
        <v>5386</v>
      </c>
      <c r="B15" s="346">
        <v>1100000275</v>
      </c>
      <c r="C15" s="346"/>
      <c r="D15" s="346"/>
      <c r="E15" s="346">
        <v>2022</v>
      </c>
      <c r="F15" s="346">
        <v>6</v>
      </c>
      <c r="G15" s="346">
        <v>9890.3571410000004</v>
      </c>
      <c r="H15" s="346">
        <v>237.75632999999999</v>
      </c>
      <c r="I15" s="346">
        <v>237.75632999999999</v>
      </c>
      <c r="J15" s="346">
        <v>15330.89075</v>
      </c>
      <c r="K15" s="346">
        <v>17902.831330000001</v>
      </c>
      <c r="L15" s="346">
        <v>980.11392000000001</v>
      </c>
      <c r="M15" s="346"/>
      <c r="N15" s="346">
        <v>14249.808849999999</v>
      </c>
      <c r="O15" s="346">
        <v>15373.808849999999</v>
      </c>
      <c r="P15" s="346">
        <v>15000</v>
      </c>
      <c r="Q15" s="346">
        <v>56665.262860000003</v>
      </c>
      <c r="R15" s="346">
        <v>52252.509310000001</v>
      </c>
      <c r="S15" s="346">
        <v>2484.2537929999999</v>
      </c>
      <c r="T15" s="346">
        <v>622.34922329999995</v>
      </c>
      <c r="U15" s="346">
        <v>-1309.44058</v>
      </c>
      <c r="V15" s="346">
        <v>-1979.3734509999999</v>
      </c>
      <c r="W15" s="346">
        <v>-246.49943569999999</v>
      </c>
      <c r="X15" s="346" t="s">
        <v>101</v>
      </c>
      <c r="Y15" s="346">
        <v>56101</v>
      </c>
      <c r="Z15" s="346">
        <v>5</v>
      </c>
      <c r="AA15" s="346" t="s">
        <v>996</v>
      </c>
    </row>
    <row r="16" spans="1:27" hidden="1" x14ac:dyDescent="0.25">
      <c r="A16" s="346" t="s">
        <v>5387</v>
      </c>
      <c r="B16" s="346">
        <v>1200000125</v>
      </c>
      <c r="C16" s="346"/>
      <c r="D16" s="346"/>
      <c r="E16" s="346">
        <v>2022</v>
      </c>
      <c r="F16" s="346">
        <v>6</v>
      </c>
      <c r="G16" s="346">
        <v>2651.8625299999999</v>
      </c>
      <c r="H16" s="346">
        <v>40.383870000000002</v>
      </c>
      <c r="I16" s="346">
        <v>40.383870000000002</v>
      </c>
      <c r="J16" s="346">
        <v>6431.8999690000001</v>
      </c>
      <c r="K16" s="346">
        <v>7248.1392779999996</v>
      </c>
      <c r="L16" s="346">
        <v>184.95749570000001</v>
      </c>
      <c r="M16" s="346"/>
      <c r="N16" s="346">
        <v>1981.4841759999999</v>
      </c>
      <c r="O16" s="346">
        <v>2048.150842</v>
      </c>
      <c r="P16" s="346">
        <v>4150.6435099999999</v>
      </c>
      <c r="Q16" s="346">
        <v>9280.7954649999992</v>
      </c>
      <c r="R16" s="346">
        <v>9303.3671830000003</v>
      </c>
      <c r="S16" s="346">
        <v>542.40622359999998</v>
      </c>
      <c r="T16" s="346">
        <v>127.71273789999999</v>
      </c>
      <c r="U16" s="346">
        <v>-59.415407539999997</v>
      </c>
      <c r="V16" s="346">
        <v>-216.73250419999999</v>
      </c>
      <c r="W16" s="346">
        <v>-339.94672109999999</v>
      </c>
      <c r="X16" s="346" t="s">
        <v>101</v>
      </c>
      <c r="Y16" s="346">
        <v>56101</v>
      </c>
      <c r="Z16" s="346">
        <v>5</v>
      </c>
      <c r="AA16" s="346" t="s">
        <v>996</v>
      </c>
    </row>
    <row r="17" spans="1:27" hidden="1" x14ac:dyDescent="0.25">
      <c r="A17" s="346" t="s">
        <v>5388</v>
      </c>
      <c r="B17" s="346">
        <v>1100000141</v>
      </c>
      <c r="C17" s="346"/>
      <c r="D17" s="346"/>
      <c r="E17" s="346">
        <v>2022</v>
      </c>
      <c r="F17" s="346">
        <v>6</v>
      </c>
      <c r="G17" s="346">
        <v>464.80296390000001</v>
      </c>
      <c r="H17" s="346">
        <v>142.34899999999999</v>
      </c>
      <c r="I17" s="346">
        <v>142.34899999999999</v>
      </c>
      <c r="J17" s="346">
        <v>1129.8636739999999</v>
      </c>
      <c r="K17" s="346">
        <v>1076.195811</v>
      </c>
      <c r="L17" s="346">
        <v>348.60452249999997</v>
      </c>
      <c r="M17" s="346"/>
      <c r="N17" s="346">
        <v>930.73852250000004</v>
      </c>
      <c r="O17" s="346">
        <v>930.73852250000004</v>
      </c>
      <c r="P17" s="346">
        <v>1388.5540000000001</v>
      </c>
      <c r="Q17" s="346">
        <v>5752.6966979999997</v>
      </c>
      <c r="R17" s="346">
        <v>4592.7195979999997</v>
      </c>
      <c r="S17" s="346">
        <v>60.48039696</v>
      </c>
      <c r="T17" s="346"/>
      <c r="U17" s="346">
        <v>53.66786347</v>
      </c>
      <c r="V17" s="346">
        <v>41.964123440000002</v>
      </c>
      <c r="W17" s="346">
        <v>173.0290584</v>
      </c>
      <c r="X17" s="346" t="s">
        <v>101</v>
      </c>
      <c r="Y17" s="346">
        <v>56101</v>
      </c>
      <c r="Z17" s="346">
        <v>5</v>
      </c>
      <c r="AA17" s="346" t="s">
        <v>996</v>
      </c>
    </row>
    <row r="18" spans="1:27" hidden="1" x14ac:dyDescent="0.25">
      <c r="A18" s="346" t="s">
        <v>5389</v>
      </c>
      <c r="B18" s="346">
        <v>1100000203</v>
      </c>
      <c r="C18" s="346"/>
      <c r="D18" s="346"/>
      <c r="E18" s="346">
        <v>2022</v>
      </c>
      <c r="F18" s="346">
        <v>6</v>
      </c>
      <c r="G18" s="346">
        <v>523.69509879999998</v>
      </c>
      <c r="H18" s="346">
        <v>47.357419999999998</v>
      </c>
      <c r="I18" s="346">
        <v>47.357419999999998</v>
      </c>
      <c r="J18" s="346">
        <v>2813.3702130000001</v>
      </c>
      <c r="K18" s="346">
        <v>2639.2750099999998</v>
      </c>
      <c r="L18" s="346">
        <v>74.925087210000001</v>
      </c>
      <c r="M18" s="346"/>
      <c r="N18" s="346">
        <v>419.76313720000002</v>
      </c>
      <c r="O18" s="346">
        <v>421.50301789999997</v>
      </c>
      <c r="P18" s="346">
        <v>895.19547</v>
      </c>
      <c r="Q18" s="346">
        <v>2384.631132</v>
      </c>
      <c r="R18" s="346">
        <v>2320.205222</v>
      </c>
      <c r="S18" s="346">
        <v>97.008538810000005</v>
      </c>
      <c r="T18" s="346">
        <v>49.190636300000001</v>
      </c>
      <c r="U18" s="346">
        <v>311.53683690000003</v>
      </c>
      <c r="V18" s="346">
        <v>209.8769605</v>
      </c>
      <c r="W18" s="346">
        <v>199.6781584</v>
      </c>
      <c r="X18" s="346" t="s">
        <v>101</v>
      </c>
      <c r="Y18" s="346">
        <v>56102</v>
      </c>
      <c r="Z18" s="346">
        <v>5</v>
      </c>
      <c r="AA18" s="346" t="s">
        <v>996</v>
      </c>
    </row>
    <row r="19" spans="1:27" hidden="1" x14ac:dyDescent="0.25">
      <c r="A19" s="346" t="s">
        <v>5390</v>
      </c>
      <c r="B19" s="346">
        <v>1200000157</v>
      </c>
      <c r="C19" s="346"/>
      <c r="D19" s="346"/>
      <c r="E19" s="346">
        <v>2022</v>
      </c>
      <c r="F19" s="346">
        <v>6</v>
      </c>
      <c r="G19" s="346">
        <v>2363.6460950000001</v>
      </c>
      <c r="H19" s="346">
        <v>1026.405</v>
      </c>
      <c r="I19" s="346">
        <v>1026.405</v>
      </c>
      <c r="J19" s="346">
        <v>3974.7994789999998</v>
      </c>
      <c r="K19" s="346">
        <v>4682.2301150000003</v>
      </c>
      <c r="L19" s="346">
        <v>2329.6779999999999</v>
      </c>
      <c r="M19" s="346"/>
      <c r="N19" s="346">
        <v>3500.6660000000002</v>
      </c>
      <c r="O19" s="346">
        <v>3500.6660000000002</v>
      </c>
      <c r="P19" s="346">
        <v>941.44135000000006</v>
      </c>
      <c r="Q19" s="346">
        <v>19368.6885</v>
      </c>
      <c r="R19" s="346">
        <v>19350.48775</v>
      </c>
      <c r="S19" s="346">
        <v>393.96643490000002</v>
      </c>
      <c r="T19" s="346">
        <v>50.436610039999998</v>
      </c>
      <c r="U19" s="346">
        <v>15.71282967</v>
      </c>
      <c r="V19" s="346">
        <v>-112.2471733</v>
      </c>
      <c r="W19" s="346">
        <v>-59.682437620000002</v>
      </c>
      <c r="X19" s="346" t="s">
        <v>101</v>
      </c>
      <c r="Y19" s="346">
        <v>56101</v>
      </c>
      <c r="Z19" s="346">
        <v>5</v>
      </c>
      <c r="AA19" s="346" t="s">
        <v>996</v>
      </c>
    </row>
    <row r="20" spans="1:27" hidden="1" x14ac:dyDescent="0.25">
      <c r="A20" s="346" t="s">
        <v>5391</v>
      </c>
      <c r="B20" s="346">
        <v>1100000276</v>
      </c>
      <c r="C20" s="346"/>
      <c r="D20" s="346"/>
      <c r="E20" s="346">
        <v>2022</v>
      </c>
      <c r="F20" s="346">
        <v>6</v>
      </c>
      <c r="G20" s="346">
        <v>50</v>
      </c>
      <c r="H20" s="346">
        <v>3.6782900000000001</v>
      </c>
      <c r="I20" s="346">
        <v>3.6782900000000001</v>
      </c>
      <c r="J20" s="346">
        <v>25420.417819999999</v>
      </c>
      <c r="K20" s="346">
        <v>25598.52145</v>
      </c>
      <c r="L20" s="346">
        <v>3811.3322600000001</v>
      </c>
      <c r="M20" s="346"/>
      <c r="N20" s="346">
        <v>10154.86976</v>
      </c>
      <c r="O20" s="346">
        <v>10154.86976</v>
      </c>
      <c r="P20" s="346">
        <v>25512.350429999999</v>
      </c>
      <c r="Q20" s="346">
        <v>7913.2162939999998</v>
      </c>
      <c r="R20" s="346">
        <v>5981.5351840000003</v>
      </c>
      <c r="S20" s="346">
        <v>347.55170120000002</v>
      </c>
      <c r="T20" s="346">
        <v>1878.147567</v>
      </c>
      <c r="U20" s="346">
        <v>-74.123497090000001</v>
      </c>
      <c r="V20" s="346">
        <v>-1952.271064</v>
      </c>
      <c r="W20" s="346">
        <v>-3077.8766300000002</v>
      </c>
      <c r="X20" s="346" t="s">
        <v>101</v>
      </c>
      <c r="Y20" s="346">
        <v>55100</v>
      </c>
      <c r="Z20" s="346">
        <v>5</v>
      </c>
      <c r="AA20" s="346" t="s">
        <v>996</v>
      </c>
    </row>
    <row r="21" spans="1:27" hidden="1" x14ac:dyDescent="0.25">
      <c r="A21" s="346" t="s">
        <v>5392</v>
      </c>
      <c r="B21" s="346">
        <v>1200000144</v>
      </c>
      <c r="C21" s="346"/>
      <c r="D21" s="346"/>
      <c r="E21" s="346">
        <v>2022</v>
      </c>
      <c r="F21" s="346">
        <v>6</v>
      </c>
      <c r="G21" s="346">
        <v>283.03158989999997</v>
      </c>
      <c r="H21" s="346">
        <v>79.655879999999996</v>
      </c>
      <c r="I21" s="346">
        <v>79.655879999999996</v>
      </c>
      <c r="J21" s="346">
        <v>5254.9395299999996</v>
      </c>
      <c r="K21" s="346">
        <v>5401.6201099999998</v>
      </c>
      <c r="L21" s="346">
        <v>417.99977999999999</v>
      </c>
      <c r="M21" s="346"/>
      <c r="N21" s="346">
        <v>515.41467999999998</v>
      </c>
      <c r="O21" s="346">
        <v>521.24098000000004</v>
      </c>
      <c r="P21" s="346">
        <v>1645.3432399999999</v>
      </c>
      <c r="Q21" s="346">
        <v>2392.6339360000002</v>
      </c>
      <c r="R21" s="346">
        <v>2234.3629609999998</v>
      </c>
      <c r="S21" s="346">
        <v>279.03824859999997</v>
      </c>
      <c r="T21" s="346">
        <v>46.273632370000001</v>
      </c>
      <c r="U21" s="346">
        <v>79.21547545</v>
      </c>
      <c r="V21" s="346">
        <v>8.403712917</v>
      </c>
      <c r="W21" s="346">
        <v>62.040139949999997</v>
      </c>
      <c r="X21" s="346" t="s">
        <v>101</v>
      </c>
      <c r="Y21" s="346">
        <v>55100</v>
      </c>
      <c r="Z21" s="346">
        <v>5</v>
      </c>
      <c r="AA21" s="346" t="s">
        <v>996</v>
      </c>
    </row>
    <row r="22" spans="1:27" hidden="1" x14ac:dyDescent="0.25">
      <c r="A22" s="346" t="s">
        <v>5393</v>
      </c>
      <c r="B22" s="346">
        <v>1100000005</v>
      </c>
      <c r="C22" s="346"/>
      <c r="D22" s="346"/>
      <c r="E22" s="346">
        <v>2022</v>
      </c>
      <c r="F22" s="346">
        <v>6</v>
      </c>
      <c r="G22" s="346">
        <v>162.3216822</v>
      </c>
      <c r="H22" s="346"/>
      <c r="I22" s="346"/>
      <c r="J22" s="346">
        <v>7694.9039300000004</v>
      </c>
      <c r="K22" s="346">
        <v>7746.1414569999997</v>
      </c>
      <c r="L22" s="346">
        <v>-11.66666667</v>
      </c>
      <c r="M22" s="346"/>
      <c r="N22" s="346">
        <v>-11.66666667</v>
      </c>
      <c r="O22" s="346">
        <v>-11.66666667</v>
      </c>
      <c r="P22" s="346">
        <v>2009.63933</v>
      </c>
      <c r="Q22" s="346">
        <v>542.34414519999996</v>
      </c>
      <c r="R22" s="346">
        <v>410.63755420000001</v>
      </c>
      <c r="S22" s="346">
        <v>147.77084730000001</v>
      </c>
      <c r="T22" s="346">
        <v>97.708016040000004</v>
      </c>
      <c r="U22" s="346">
        <v>94.282340590000004</v>
      </c>
      <c r="V22" s="346">
        <v>-5.9651033529999999</v>
      </c>
      <c r="W22" s="346">
        <v>-108.3140384</v>
      </c>
      <c r="X22" s="346" t="s">
        <v>101</v>
      </c>
      <c r="Y22" s="346">
        <v>87200</v>
      </c>
      <c r="Z22" s="346">
        <v>5</v>
      </c>
      <c r="AA22" s="346" t="s">
        <v>996</v>
      </c>
    </row>
    <row r="23" spans="1:27" hidden="1" x14ac:dyDescent="0.25">
      <c r="A23" s="346" t="s">
        <v>5394</v>
      </c>
      <c r="B23" s="346">
        <v>1100000145</v>
      </c>
      <c r="C23" s="346"/>
      <c r="D23" s="346"/>
      <c r="E23" s="346">
        <v>2022</v>
      </c>
      <c r="F23" s="346">
        <v>6</v>
      </c>
      <c r="G23" s="346">
        <v>50</v>
      </c>
      <c r="H23" s="346">
        <v>46.596179999999997</v>
      </c>
      <c r="I23" s="346">
        <v>46.596179999999997</v>
      </c>
      <c r="J23" s="346">
        <v>40143.611729999997</v>
      </c>
      <c r="K23" s="346">
        <v>41849.974000000002</v>
      </c>
      <c r="L23" s="346">
        <v>4779.25</v>
      </c>
      <c r="M23" s="346"/>
      <c r="N23" s="346">
        <v>10916.10986</v>
      </c>
      <c r="O23" s="346">
        <v>12049.44319</v>
      </c>
      <c r="P23" s="346">
        <v>69756.312789999996</v>
      </c>
      <c r="Q23" s="346">
        <v>17099.961200000002</v>
      </c>
      <c r="R23" s="346">
        <v>12947.28874</v>
      </c>
      <c r="S23" s="346">
        <v>2659.1171129999998</v>
      </c>
      <c r="T23" s="346">
        <v>4537.8933699999998</v>
      </c>
      <c r="U23" s="346">
        <v>823.18093329999999</v>
      </c>
      <c r="V23" s="346">
        <v>-3714.7124370000001</v>
      </c>
      <c r="W23" s="346">
        <v>-7399.045537</v>
      </c>
      <c r="X23" s="346" t="s">
        <v>101</v>
      </c>
      <c r="Y23" s="346">
        <v>55110</v>
      </c>
      <c r="Z23" s="346">
        <v>5</v>
      </c>
      <c r="AA23" s="346" t="s">
        <v>996</v>
      </c>
    </row>
    <row r="24" spans="1:27" hidden="1" x14ac:dyDescent="0.25">
      <c r="A24" s="346" t="s">
        <v>5395</v>
      </c>
      <c r="B24" s="346">
        <v>1100000168</v>
      </c>
      <c r="C24" s="346"/>
      <c r="D24" s="346"/>
      <c r="E24" s="346">
        <v>2022</v>
      </c>
      <c r="F24" s="346">
        <v>6</v>
      </c>
      <c r="G24" s="346">
        <v>50</v>
      </c>
      <c r="H24" s="346">
        <v>46.596179999999997</v>
      </c>
      <c r="I24" s="346">
        <v>46.596179999999997</v>
      </c>
      <c r="J24" s="346">
        <v>40143.611729999997</v>
      </c>
      <c r="K24" s="346">
        <v>41849.974000000002</v>
      </c>
      <c r="L24" s="346">
        <v>4779.25</v>
      </c>
      <c r="M24" s="346"/>
      <c r="N24" s="346">
        <v>10916.10986</v>
      </c>
      <c r="O24" s="346">
        <v>12049.44319</v>
      </c>
      <c r="P24" s="346">
        <v>69756.312789999996</v>
      </c>
      <c r="Q24" s="346">
        <v>17099.961200000002</v>
      </c>
      <c r="R24" s="346">
        <v>12947.28874</v>
      </c>
      <c r="S24" s="346">
        <v>2659.1171129999998</v>
      </c>
      <c r="T24" s="346">
        <v>4537.8933699999998</v>
      </c>
      <c r="U24" s="346">
        <v>823.18093329999999</v>
      </c>
      <c r="V24" s="346">
        <v>-3714.7124370000001</v>
      </c>
      <c r="W24" s="346">
        <v>-7399.045537</v>
      </c>
      <c r="X24" s="346" t="s">
        <v>101</v>
      </c>
      <c r="Y24" s="346">
        <v>55110</v>
      </c>
      <c r="Z24" s="346">
        <v>5</v>
      </c>
      <c r="AA24" s="346" t="s">
        <v>996</v>
      </c>
    </row>
    <row r="25" spans="1:27" hidden="1" x14ac:dyDescent="0.25">
      <c r="A25" s="346" t="s">
        <v>5396</v>
      </c>
      <c r="B25" s="346">
        <v>1100000153</v>
      </c>
      <c r="C25" s="346"/>
      <c r="D25" s="346"/>
      <c r="E25" s="346">
        <v>2022</v>
      </c>
      <c r="F25" s="346">
        <v>6</v>
      </c>
      <c r="G25" s="346">
        <v>50</v>
      </c>
      <c r="H25" s="346">
        <v>46.596179999999997</v>
      </c>
      <c r="I25" s="346">
        <v>46.596179999999997</v>
      </c>
      <c r="J25" s="346">
        <v>40143.611729999997</v>
      </c>
      <c r="K25" s="346">
        <v>41849.974000000002</v>
      </c>
      <c r="L25" s="346">
        <v>4779.25</v>
      </c>
      <c r="M25" s="346"/>
      <c r="N25" s="346">
        <v>10916.10986</v>
      </c>
      <c r="O25" s="346">
        <v>12049.44319</v>
      </c>
      <c r="P25" s="346">
        <v>69756.312789999996</v>
      </c>
      <c r="Q25" s="346">
        <v>17099.961200000002</v>
      </c>
      <c r="R25" s="346">
        <v>12947.28874</v>
      </c>
      <c r="S25" s="346">
        <v>2659.1171129999998</v>
      </c>
      <c r="T25" s="346">
        <v>4537.8933699999998</v>
      </c>
      <c r="U25" s="346">
        <v>823.18093329999999</v>
      </c>
      <c r="V25" s="346">
        <v>-3714.7124370000001</v>
      </c>
      <c r="W25" s="346">
        <v>-7399.045537</v>
      </c>
      <c r="X25" s="346" t="s">
        <v>101</v>
      </c>
      <c r="Y25" s="346">
        <v>55110</v>
      </c>
      <c r="Z25" s="346">
        <v>5</v>
      </c>
      <c r="AA25" s="346" t="s">
        <v>996</v>
      </c>
    </row>
    <row r="26" spans="1:27" hidden="1" x14ac:dyDescent="0.25">
      <c r="A26" s="346" t="s">
        <v>5397</v>
      </c>
      <c r="B26" s="346">
        <v>1100000223</v>
      </c>
      <c r="C26" s="346"/>
      <c r="D26" s="346"/>
      <c r="E26" s="346">
        <v>2022</v>
      </c>
      <c r="F26" s="346">
        <v>6</v>
      </c>
      <c r="G26" s="346">
        <v>3409.2760880000001</v>
      </c>
      <c r="H26" s="346">
        <v>138.83441999999999</v>
      </c>
      <c r="I26" s="346">
        <v>138.83441999999999</v>
      </c>
      <c r="J26" s="346">
        <v>30652.912820000001</v>
      </c>
      <c r="K26" s="346">
        <v>29192.222330000001</v>
      </c>
      <c r="L26" s="346">
        <v>806.43225689999997</v>
      </c>
      <c r="M26" s="346"/>
      <c r="N26" s="346">
        <v>14795.012189999999</v>
      </c>
      <c r="O26" s="346">
        <v>14795.012189999999</v>
      </c>
      <c r="P26" s="346">
        <v>26559.555</v>
      </c>
      <c r="Q26" s="346">
        <v>6565.9859509999997</v>
      </c>
      <c r="R26" s="346">
        <v>6221.6172370000004</v>
      </c>
      <c r="S26" s="346"/>
      <c r="T26" s="346">
        <v>2103.75</v>
      </c>
      <c r="U26" s="346">
        <v>3564.440486</v>
      </c>
      <c r="V26" s="346">
        <v>1168.5523889999999</v>
      </c>
      <c r="W26" s="346">
        <v>1067.192063</v>
      </c>
      <c r="X26" s="346" t="s">
        <v>101</v>
      </c>
      <c r="Y26" s="346">
        <v>55100</v>
      </c>
      <c r="Z26" s="346">
        <v>5</v>
      </c>
      <c r="AA26" s="346" t="s">
        <v>996</v>
      </c>
    </row>
    <row r="27" spans="1:27" hidden="1" x14ac:dyDescent="0.25">
      <c r="A27" s="346" t="s">
        <v>5398</v>
      </c>
      <c r="B27" s="346">
        <v>1100000225</v>
      </c>
      <c r="C27" s="346"/>
      <c r="D27" s="346"/>
      <c r="E27" s="346">
        <v>2022</v>
      </c>
      <c r="F27" s="346">
        <v>6</v>
      </c>
      <c r="G27" s="346">
        <v>26721.139879999999</v>
      </c>
      <c r="H27" s="346">
        <v>5290.8572759999997</v>
      </c>
      <c r="I27" s="346">
        <v>5290.8572759999997</v>
      </c>
      <c r="J27" s="346">
        <v>60016.550219999997</v>
      </c>
      <c r="K27" s="346">
        <v>66657.628760000007</v>
      </c>
      <c r="L27" s="346">
        <v>-4954.3312679999999</v>
      </c>
      <c r="M27" s="346"/>
      <c r="N27" s="346">
        <v>19057.414980000001</v>
      </c>
      <c r="O27" s="346">
        <v>19057.414980000001</v>
      </c>
      <c r="P27" s="346">
        <v>31260</v>
      </c>
      <c r="Q27" s="346">
        <v>76616.899999999994</v>
      </c>
      <c r="R27" s="346">
        <v>72598.544859999995</v>
      </c>
      <c r="S27" s="346">
        <v>2040.7148319999999</v>
      </c>
      <c r="T27" s="346">
        <v>223.76521120000001</v>
      </c>
      <c r="U27" s="346">
        <v>-3641.078544</v>
      </c>
      <c r="V27" s="346">
        <v>-3864.8437549999999</v>
      </c>
      <c r="W27" s="346">
        <v>-2873.890758</v>
      </c>
      <c r="X27" s="346" t="s">
        <v>101</v>
      </c>
      <c r="Y27" s="346">
        <v>26600</v>
      </c>
      <c r="Z27" s="346">
        <v>5</v>
      </c>
      <c r="AA27" s="346" t="s">
        <v>996</v>
      </c>
    </row>
    <row r="28" spans="1:27" hidden="1" x14ac:dyDescent="0.25">
      <c r="A28" s="346" t="s">
        <v>5399</v>
      </c>
      <c r="B28" s="346">
        <v>1200000131</v>
      </c>
      <c r="C28" s="346"/>
      <c r="D28" s="346"/>
      <c r="E28" s="346">
        <v>2022</v>
      </c>
      <c r="F28" s="346">
        <v>6</v>
      </c>
      <c r="G28" s="346">
        <v>1054.823451</v>
      </c>
      <c r="H28" s="346">
        <v>-200.99199999999999</v>
      </c>
      <c r="I28" s="346">
        <v>-200.99199999999999</v>
      </c>
      <c r="J28" s="346">
        <v>8476.6554429999997</v>
      </c>
      <c r="K28" s="346">
        <v>8260.2719969999998</v>
      </c>
      <c r="L28" s="346">
        <v>466.70499999999998</v>
      </c>
      <c r="M28" s="346"/>
      <c r="N28" s="346">
        <v>3434.9470000000001</v>
      </c>
      <c r="O28" s="346">
        <v>3434.9470000000001</v>
      </c>
      <c r="P28" s="346">
        <v>7113.0178999999998</v>
      </c>
      <c r="Q28" s="346">
        <v>3857.9783130000001</v>
      </c>
      <c r="R28" s="346">
        <v>3655.6374850000002</v>
      </c>
      <c r="S28" s="346">
        <v>103.35988399999999</v>
      </c>
      <c r="T28" s="346">
        <v>438.00483279999997</v>
      </c>
      <c r="U28" s="346">
        <v>838.23696500000005</v>
      </c>
      <c r="V28" s="346">
        <v>320.18570579999999</v>
      </c>
      <c r="W28" s="346">
        <v>459.10228549999999</v>
      </c>
      <c r="X28" s="346" t="s">
        <v>101</v>
      </c>
      <c r="Y28" s="346">
        <v>55100</v>
      </c>
      <c r="Z28" s="346">
        <v>5</v>
      </c>
      <c r="AA28" s="346" t="s">
        <v>996</v>
      </c>
    </row>
    <row r="29" spans="1:27" hidden="1" x14ac:dyDescent="0.25">
      <c r="A29" s="346" t="s">
        <v>5400</v>
      </c>
      <c r="B29" s="346">
        <v>1200000143</v>
      </c>
      <c r="C29" s="346"/>
      <c r="D29" s="346"/>
      <c r="E29" s="346">
        <v>2022</v>
      </c>
      <c r="F29" s="346">
        <v>6</v>
      </c>
      <c r="G29" s="346">
        <v>854.28686459999994</v>
      </c>
      <c r="H29" s="346">
        <v>106.07899999999999</v>
      </c>
      <c r="I29" s="346">
        <v>106.07899999999999</v>
      </c>
      <c r="J29" s="346">
        <v>6231.1129259999998</v>
      </c>
      <c r="K29" s="346">
        <v>6064.2542389999999</v>
      </c>
      <c r="L29" s="346">
        <v>393.84832080000001</v>
      </c>
      <c r="M29" s="346"/>
      <c r="N29" s="346">
        <v>393.84832080000001</v>
      </c>
      <c r="O29" s="346">
        <v>393.84832080000001</v>
      </c>
      <c r="P29" s="346">
        <v>3657.6668399999999</v>
      </c>
      <c r="Q29" s="346">
        <v>3091.4523530000001</v>
      </c>
      <c r="R29" s="346">
        <v>2922.560508</v>
      </c>
      <c r="S29" s="346">
        <v>56.936698460000002</v>
      </c>
      <c r="T29" s="346">
        <v>69.240243179999993</v>
      </c>
      <c r="U29" s="346">
        <v>574.52057239999999</v>
      </c>
      <c r="V29" s="346">
        <v>401.92603630000002</v>
      </c>
      <c r="W29" s="346">
        <v>302.163025</v>
      </c>
      <c r="X29" s="346" t="s">
        <v>101</v>
      </c>
      <c r="Y29" s="346">
        <v>55100</v>
      </c>
      <c r="Z29" s="346">
        <v>5</v>
      </c>
      <c r="AA29" s="346" t="s">
        <v>996</v>
      </c>
    </row>
    <row r="30" spans="1:27" hidden="1" x14ac:dyDescent="0.25">
      <c r="A30" s="346" t="s">
        <v>5401</v>
      </c>
      <c r="B30" s="346">
        <v>1100000136</v>
      </c>
      <c r="C30" s="346"/>
      <c r="D30" s="346"/>
      <c r="E30" s="346">
        <v>2022</v>
      </c>
      <c r="F30" s="346">
        <v>6</v>
      </c>
      <c r="G30" s="346">
        <v>880.39219679999997</v>
      </c>
      <c r="H30" s="346">
        <v>472.41322000000002</v>
      </c>
      <c r="I30" s="346">
        <v>472.41322000000002</v>
      </c>
      <c r="J30" s="346">
        <v>2967.6367249999998</v>
      </c>
      <c r="K30" s="346">
        <v>2663.730865</v>
      </c>
      <c r="L30" s="346">
        <v>457.49285149999997</v>
      </c>
      <c r="M30" s="346"/>
      <c r="N30" s="346">
        <v>3361.9918510000002</v>
      </c>
      <c r="O30" s="346">
        <v>3361.9918510000002</v>
      </c>
      <c r="P30" s="346">
        <v>2191.3910000000001</v>
      </c>
      <c r="Q30" s="346">
        <v>3699.7377499999998</v>
      </c>
      <c r="R30" s="346">
        <v>3505.6962239999998</v>
      </c>
      <c r="S30" s="346">
        <v>95.850967139999995</v>
      </c>
      <c r="T30" s="346"/>
      <c r="U30" s="346">
        <v>603.11840489999997</v>
      </c>
      <c r="V30" s="346">
        <v>482.4947239</v>
      </c>
      <c r="W30" s="346">
        <v>350.09665189999998</v>
      </c>
      <c r="X30" s="346" t="s">
        <v>101</v>
      </c>
      <c r="Y30" s="346">
        <v>56302</v>
      </c>
      <c r="Z30" s="346">
        <v>5</v>
      </c>
      <c r="AA30" s="346" t="s">
        <v>996</v>
      </c>
    </row>
    <row r="31" spans="1:27" hidden="1" x14ac:dyDescent="0.25">
      <c r="A31" s="346" t="s">
        <v>5402</v>
      </c>
      <c r="B31" s="346">
        <v>1100000190</v>
      </c>
      <c r="C31" s="346"/>
      <c r="D31" s="346"/>
      <c r="E31" s="346">
        <v>2022</v>
      </c>
      <c r="F31" s="346">
        <v>6</v>
      </c>
      <c r="G31" s="346">
        <v>2887.9705570000001</v>
      </c>
      <c r="H31" s="346">
        <v>219.84800000000001</v>
      </c>
      <c r="I31" s="346">
        <v>219.84800000000001</v>
      </c>
      <c r="J31" s="346">
        <v>26961.576099999998</v>
      </c>
      <c r="K31" s="346">
        <v>27221.027129999999</v>
      </c>
      <c r="L31" s="346">
        <v>639.25099999999998</v>
      </c>
      <c r="M31" s="346"/>
      <c r="N31" s="346">
        <v>1707.8920000000001</v>
      </c>
      <c r="O31" s="346">
        <v>1745.9690000000001</v>
      </c>
      <c r="P31" s="346">
        <v>29133.973999999998</v>
      </c>
      <c r="Q31" s="346">
        <v>6601.0220730000001</v>
      </c>
      <c r="R31" s="346">
        <v>6226.1665469999998</v>
      </c>
      <c r="S31" s="346">
        <v>256.98890349999999</v>
      </c>
      <c r="T31" s="346">
        <v>1002.187403</v>
      </c>
      <c r="U31" s="346">
        <v>1060.548972</v>
      </c>
      <c r="V31" s="346">
        <v>12.77654136</v>
      </c>
      <c r="W31" s="346">
        <v>-163.6035823</v>
      </c>
      <c r="X31" s="346" t="s">
        <v>101</v>
      </c>
      <c r="Y31" s="346">
        <v>87200</v>
      </c>
      <c r="Z31" s="346">
        <v>5</v>
      </c>
      <c r="AA31" s="346" t="s">
        <v>996</v>
      </c>
    </row>
    <row r="32" spans="1:27" hidden="1" x14ac:dyDescent="0.25">
      <c r="A32" s="346" t="s">
        <v>5403</v>
      </c>
      <c r="B32" s="346">
        <v>1100000226</v>
      </c>
      <c r="C32" s="346"/>
      <c r="D32" s="346"/>
      <c r="E32" s="346">
        <v>2022</v>
      </c>
      <c r="F32" s="346">
        <v>6</v>
      </c>
      <c r="G32" s="346">
        <v>1765.7770680000001</v>
      </c>
      <c r="H32" s="346">
        <v>3379.9290000000001</v>
      </c>
      <c r="I32" s="346">
        <v>3379.9290000000001</v>
      </c>
      <c r="J32" s="346">
        <v>88357.580409999995</v>
      </c>
      <c r="K32" s="346">
        <v>89362.597649999996</v>
      </c>
      <c r="L32" s="346">
        <v>2312.3519999999999</v>
      </c>
      <c r="M32" s="346"/>
      <c r="N32" s="346">
        <v>4863.6859999999997</v>
      </c>
      <c r="O32" s="346">
        <v>4863.6859999999997</v>
      </c>
      <c r="P32" s="346">
        <v>63052.563000000002</v>
      </c>
      <c r="Q32" s="346">
        <v>20796.24109</v>
      </c>
      <c r="R32" s="346">
        <v>19705.532869999999</v>
      </c>
      <c r="S32" s="346">
        <v>838.39034960000004</v>
      </c>
      <c r="T32" s="346">
        <v>15147.328</v>
      </c>
      <c r="U32" s="346">
        <v>2129.9827580000001</v>
      </c>
      <c r="V32" s="346">
        <v>-13017.345240000001</v>
      </c>
      <c r="W32" s="346">
        <v>-13680.186460000001</v>
      </c>
      <c r="X32" s="346" t="s">
        <v>101</v>
      </c>
      <c r="Y32" s="346">
        <v>56302</v>
      </c>
      <c r="Z32" s="346">
        <v>5</v>
      </c>
      <c r="AA32" s="346" t="s">
        <v>996</v>
      </c>
    </row>
    <row r="33" spans="1:27" hidden="1" x14ac:dyDescent="0.25">
      <c r="A33" s="346" t="s">
        <v>5404</v>
      </c>
      <c r="B33" s="346">
        <v>1100000002</v>
      </c>
      <c r="C33" s="346"/>
      <c r="D33" s="346"/>
      <c r="E33" s="346">
        <v>2022</v>
      </c>
      <c r="F33" s="346">
        <v>6</v>
      </c>
      <c r="G33" s="346">
        <v>781.80762430000004</v>
      </c>
      <c r="H33" s="346"/>
      <c r="I33" s="346"/>
      <c r="J33" s="346">
        <v>16941.933560000001</v>
      </c>
      <c r="K33" s="346">
        <v>16649.050910000002</v>
      </c>
      <c r="L33" s="346"/>
      <c r="M33" s="346"/>
      <c r="N33" s="346">
        <v>0</v>
      </c>
      <c r="O33" s="346"/>
      <c r="P33" s="346">
        <v>6574.7867200000001</v>
      </c>
      <c r="Q33" s="346">
        <v>3776.7037479999999</v>
      </c>
      <c r="R33" s="346">
        <v>3578.6255580000002</v>
      </c>
      <c r="S33" s="346"/>
      <c r="T33" s="346">
        <v>597.5704293</v>
      </c>
      <c r="U33" s="346">
        <v>977.94124820000002</v>
      </c>
      <c r="V33" s="346">
        <v>304.29665510000001</v>
      </c>
      <c r="W33" s="346">
        <v>211.71152000000001</v>
      </c>
      <c r="X33" s="346" t="s">
        <v>101</v>
      </c>
      <c r="Y33" s="346">
        <v>55100</v>
      </c>
      <c r="Z33" s="346">
        <v>5</v>
      </c>
      <c r="AA33" s="346" t="s">
        <v>996</v>
      </c>
    </row>
    <row r="34" spans="1:27" hidden="1" x14ac:dyDescent="0.25">
      <c r="A34" s="346" t="s">
        <v>5405</v>
      </c>
      <c r="B34" s="346">
        <v>1100000202</v>
      </c>
      <c r="C34" s="346"/>
      <c r="D34" s="346"/>
      <c r="E34" s="346">
        <v>2022</v>
      </c>
      <c r="F34" s="346">
        <v>6</v>
      </c>
      <c r="G34" s="346">
        <v>403.67997359999998</v>
      </c>
      <c r="H34" s="346">
        <v>35.199860000000001</v>
      </c>
      <c r="I34" s="346">
        <v>35.199860000000001</v>
      </c>
      <c r="J34" s="346">
        <v>5974.1391180000001</v>
      </c>
      <c r="K34" s="346">
        <v>6227.288466</v>
      </c>
      <c r="L34" s="346">
        <v>578.90259000000003</v>
      </c>
      <c r="M34" s="346"/>
      <c r="N34" s="346">
        <v>648.82230000000004</v>
      </c>
      <c r="O34" s="346">
        <v>648.82230000000004</v>
      </c>
      <c r="P34" s="346">
        <v>7606.6123600000001</v>
      </c>
      <c r="Q34" s="346">
        <v>3762.1859570000001</v>
      </c>
      <c r="R34" s="346">
        <v>3564.8691869999998</v>
      </c>
      <c r="S34" s="346">
        <v>130.98306579999999</v>
      </c>
      <c r="T34" s="346"/>
      <c r="U34" s="346">
        <v>436.59928400000001</v>
      </c>
      <c r="V34" s="346">
        <v>349.27942719999999</v>
      </c>
      <c r="W34" s="346">
        <v>309.99689030000002</v>
      </c>
      <c r="X34" s="346" t="s">
        <v>101</v>
      </c>
      <c r="Y34" s="346">
        <v>55100</v>
      </c>
      <c r="Z34" s="346">
        <v>5</v>
      </c>
      <c r="AA34" s="346" t="s">
        <v>996</v>
      </c>
    </row>
    <row r="35" spans="1:27" hidden="1" x14ac:dyDescent="0.25">
      <c r="A35" s="346" t="s">
        <v>5406</v>
      </c>
      <c r="B35" s="346">
        <v>1200000117</v>
      </c>
      <c r="C35" s="346"/>
      <c r="D35" s="346"/>
      <c r="E35" s="346">
        <v>2022</v>
      </c>
      <c r="F35" s="346">
        <v>6</v>
      </c>
      <c r="G35" s="346">
        <v>1440.183818</v>
      </c>
      <c r="H35" s="346">
        <v>391.66025000000002</v>
      </c>
      <c r="I35" s="346">
        <v>391.66025000000002</v>
      </c>
      <c r="J35" s="346">
        <v>8314.7820429999992</v>
      </c>
      <c r="K35" s="346">
        <v>7884.6895290000002</v>
      </c>
      <c r="L35" s="346">
        <v>701.68349000000001</v>
      </c>
      <c r="M35" s="346"/>
      <c r="N35" s="346">
        <v>8649.1076599999997</v>
      </c>
      <c r="O35" s="346">
        <v>8714.1076599999997</v>
      </c>
      <c r="P35" s="346">
        <v>6214.8549999999996</v>
      </c>
      <c r="Q35" s="346">
        <v>6970.5339860000004</v>
      </c>
      <c r="R35" s="346">
        <v>6604.9477900000002</v>
      </c>
      <c r="S35" s="346">
        <v>149.8248815</v>
      </c>
      <c r="T35" s="346"/>
      <c r="U35" s="346">
        <v>850.49251430000004</v>
      </c>
      <c r="V35" s="346">
        <v>680.39401139999995</v>
      </c>
      <c r="W35" s="346">
        <v>368.5001355</v>
      </c>
      <c r="X35" s="346" t="s">
        <v>101</v>
      </c>
      <c r="Y35" s="346">
        <v>56302</v>
      </c>
      <c r="Z35" s="346">
        <v>5</v>
      </c>
      <c r="AA35" s="346" t="s">
        <v>996</v>
      </c>
    </row>
    <row r="36" spans="1:27" hidden="1" x14ac:dyDescent="0.25">
      <c r="A36" s="346" t="s">
        <v>5407</v>
      </c>
      <c r="B36" s="346">
        <v>1100000175</v>
      </c>
      <c r="C36" s="346"/>
      <c r="D36" s="346"/>
      <c r="E36" s="346">
        <v>2022</v>
      </c>
      <c r="F36" s="346">
        <v>6</v>
      </c>
      <c r="G36" s="346">
        <v>50</v>
      </c>
      <c r="H36" s="346"/>
      <c r="I36" s="346"/>
      <c r="J36" s="346">
        <v>87.654112740000002</v>
      </c>
      <c r="K36" s="346">
        <v>482.54988070000002</v>
      </c>
      <c r="L36" s="346"/>
      <c r="M36" s="346"/>
      <c r="N36" s="346">
        <v>0</v>
      </c>
      <c r="O36" s="346"/>
      <c r="P36" s="346">
        <v>26465.093260000001</v>
      </c>
      <c r="Q36" s="346">
        <v>3672.4130829999999</v>
      </c>
      <c r="R36" s="346">
        <v>2780.578974</v>
      </c>
      <c r="S36" s="346"/>
      <c r="T36" s="346">
        <v>2148.7279469999999</v>
      </c>
      <c r="U36" s="346">
        <v>556.33351779999998</v>
      </c>
      <c r="V36" s="346">
        <v>-1592.3944289999999</v>
      </c>
      <c r="W36" s="346">
        <v>-1965.9746070000001</v>
      </c>
      <c r="X36" s="346" t="s">
        <v>101</v>
      </c>
      <c r="Y36" s="346">
        <v>55100</v>
      </c>
      <c r="Z36" s="346">
        <v>5</v>
      </c>
      <c r="AA36" s="346" t="s">
        <v>996</v>
      </c>
    </row>
    <row r="37" spans="1:27" hidden="1" x14ac:dyDescent="0.25">
      <c r="A37" s="346" t="s">
        <v>5408</v>
      </c>
      <c r="B37" s="346">
        <v>1200000105</v>
      </c>
      <c r="C37" s="346"/>
      <c r="D37" s="346"/>
      <c r="E37" s="346">
        <v>2022</v>
      </c>
      <c r="F37" s="346">
        <v>6</v>
      </c>
      <c r="G37" s="346">
        <v>440.49603639999998</v>
      </c>
      <c r="H37" s="346">
        <v>105.16246</v>
      </c>
      <c r="I37" s="346">
        <v>105.16246</v>
      </c>
      <c r="J37" s="346">
        <v>1240.4699089999999</v>
      </c>
      <c r="K37" s="346">
        <v>966.630629</v>
      </c>
      <c r="L37" s="346">
        <v>-160.98150999999999</v>
      </c>
      <c r="M37" s="346"/>
      <c r="N37" s="346">
        <v>210.31985</v>
      </c>
      <c r="O37" s="346">
        <v>210.31985</v>
      </c>
      <c r="P37" s="346">
        <v>1567.701</v>
      </c>
      <c r="Q37" s="346">
        <v>1117.9969129999999</v>
      </c>
      <c r="R37" s="346">
        <v>1059.3609120000001</v>
      </c>
      <c r="S37" s="346"/>
      <c r="T37" s="346">
        <v>156.94293930000001</v>
      </c>
      <c r="U37" s="346">
        <v>522.55021939999995</v>
      </c>
      <c r="V37" s="346">
        <v>292.4858241</v>
      </c>
      <c r="W37" s="346">
        <v>284.52041020000001</v>
      </c>
      <c r="X37" s="346" t="s">
        <v>101</v>
      </c>
      <c r="Y37" s="346">
        <v>55100</v>
      </c>
      <c r="Z37" s="346">
        <v>5</v>
      </c>
      <c r="AA37" s="346" t="s">
        <v>996</v>
      </c>
    </row>
    <row r="38" spans="1:27" hidden="1" x14ac:dyDescent="0.25">
      <c r="A38" s="346" t="s">
        <v>5409</v>
      </c>
      <c r="B38" s="346">
        <v>1200000121</v>
      </c>
      <c r="C38" s="346"/>
      <c r="D38" s="346"/>
      <c r="E38" s="346">
        <v>2022</v>
      </c>
      <c r="F38" s="346">
        <v>6</v>
      </c>
      <c r="G38" s="346">
        <v>178.65434089999999</v>
      </c>
      <c r="H38" s="346">
        <v>19.452999999999999</v>
      </c>
      <c r="I38" s="346">
        <v>19.452999999999999</v>
      </c>
      <c r="J38" s="346">
        <v>3978.1700609999998</v>
      </c>
      <c r="K38" s="346">
        <v>4119.9425789999996</v>
      </c>
      <c r="L38" s="346">
        <v>113.03</v>
      </c>
      <c r="M38" s="346"/>
      <c r="N38" s="346">
        <v>443.93299999999999</v>
      </c>
      <c r="O38" s="346">
        <v>443.93299999999999</v>
      </c>
      <c r="P38" s="346">
        <v>2824.518</v>
      </c>
      <c r="Q38" s="346">
        <v>1861.2694429999999</v>
      </c>
      <c r="R38" s="346">
        <v>1763.65075</v>
      </c>
      <c r="S38" s="346">
        <v>40.329029949999999</v>
      </c>
      <c r="T38" s="346">
        <v>29.821040450000002</v>
      </c>
      <c r="U38" s="346">
        <v>179.1062326</v>
      </c>
      <c r="V38" s="346">
        <v>119.4281537</v>
      </c>
      <c r="W38" s="346">
        <v>64.694599690000004</v>
      </c>
      <c r="X38" s="346" t="s">
        <v>101</v>
      </c>
      <c r="Y38" s="346">
        <v>56302</v>
      </c>
      <c r="Z38" s="346">
        <v>5</v>
      </c>
      <c r="AA38" s="346" t="s">
        <v>996</v>
      </c>
    </row>
    <row r="39" spans="1:27" hidden="1" x14ac:dyDescent="0.25">
      <c r="A39" s="346" t="s">
        <v>5410</v>
      </c>
      <c r="B39" s="346">
        <v>1200000139</v>
      </c>
      <c r="C39" s="346"/>
      <c r="D39" s="346"/>
      <c r="E39" s="346">
        <v>2022</v>
      </c>
      <c r="F39" s="346">
        <v>6</v>
      </c>
      <c r="G39" s="346">
        <v>123.7024859</v>
      </c>
      <c r="H39" s="346"/>
      <c r="I39" s="346"/>
      <c r="J39" s="346">
        <v>12939.604380000001</v>
      </c>
      <c r="K39" s="346">
        <v>13098.84303</v>
      </c>
      <c r="L39" s="346"/>
      <c r="M39" s="346"/>
      <c r="N39" s="346">
        <v>0</v>
      </c>
      <c r="O39" s="346"/>
      <c r="P39" s="346">
        <v>4950</v>
      </c>
      <c r="Q39" s="346">
        <v>4139.5102660000002</v>
      </c>
      <c r="R39" s="346">
        <v>3922.4038260000002</v>
      </c>
      <c r="S39" s="346"/>
      <c r="T39" s="346">
        <v>437</v>
      </c>
      <c r="U39" s="346">
        <v>327.76134960000002</v>
      </c>
      <c r="V39" s="346">
        <v>-110.2459415</v>
      </c>
      <c r="W39" s="346">
        <v>175.37476040000001</v>
      </c>
      <c r="X39" s="346" t="s">
        <v>101</v>
      </c>
      <c r="Y39" s="346">
        <v>55100</v>
      </c>
      <c r="Z39" s="346">
        <v>5</v>
      </c>
      <c r="AA39" s="346" t="s">
        <v>996</v>
      </c>
    </row>
    <row r="40" spans="1:27" hidden="1" x14ac:dyDescent="0.25">
      <c r="A40" s="346" t="s">
        <v>5371</v>
      </c>
      <c r="B40" s="346">
        <v>1100000224</v>
      </c>
      <c r="C40" s="346"/>
      <c r="D40" s="346"/>
      <c r="E40" s="346">
        <v>2022</v>
      </c>
      <c r="F40" s="346">
        <v>6</v>
      </c>
      <c r="G40" s="346">
        <v>962.71296059999997</v>
      </c>
      <c r="H40" s="346"/>
      <c r="I40" s="346"/>
      <c r="J40" s="346">
        <v>105240.3744</v>
      </c>
      <c r="K40" s="346">
        <v>104200.11960000001</v>
      </c>
      <c r="L40" s="346"/>
      <c r="M40" s="346"/>
      <c r="N40" s="346">
        <v>0</v>
      </c>
      <c r="O40" s="346"/>
      <c r="P40" s="346">
        <v>749.29978719999997</v>
      </c>
      <c r="Q40" s="346">
        <v>16461.06481</v>
      </c>
      <c r="R40" s="346">
        <v>12463.546350000001</v>
      </c>
      <c r="S40" s="346"/>
      <c r="T40" s="346">
        <v>59.68389208</v>
      </c>
      <c r="U40" s="346">
        <v>1067.54387</v>
      </c>
      <c r="V40" s="346">
        <v>799.82994470000006</v>
      </c>
      <c r="W40" s="346">
        <v>-1142.1854109999999</v>
      </c>
      <c r="X40" s="346" t="s">
        <v>101</v>
      </c>
      <c r="Y40" s="346">
        <v>55100</v>
      </c>
      <c r="Z40" s="346">
        <v>5</v>
      </c>
      <c r="AA40" s="346" t="s">
        <v>996</v>
      </c>
    </row>
    <row r="41" spans="1:27" x14ac:dyDescent="0.25">
      <c r="A41" s="346" t="s">
        <v>5411</v>
      </c>
      <c r="B41" s="346">
        <v>1100000279</v>
      </c>
      <c r="C41" s="346">
        <v>50</v>
      </c>
      <c r="D41" s="346"/>
      <c r="E41" s="346"/>
      <c r="F41" s="346"/>
      <c r="G41" s="346">
        <v>50</v>
      </c>
      <c r="H41" s="346">
        <v>130.226</v>
      </c>
      <c r="I41" s="346">
        <v>130.226</v>
      </c>
      <c r="J41" s="346">
        <v>2059.7324560000002</v>
      </c>
      <c r="K41" s="346">
        <v>2193.9188330000002</v>
      </c>
      <c r="L41" s="346">
        <v>530.65099999999995</v>
      </c>
      <c r="M41" s="346"/>
      <c r="N41" s="346">
        <v>1640.309</v>
      </c>
      <c r="O41" s="346">
        <v>1640.309</v>
      </c>
      <c r="P41" s="346">
        <v>15687.71529</v>
      </c>
      <c r="Q41" s="346">
        <v>2166.740875</v>
      </c>
      <c r="R41" s="346">
        <v>1640.554584</v>
      </c>
      <c r="S41" s="346">
        <v>108.2658119</v>
      </c>
      <c r="T41" s="346">
        <v>1103.9887120000001</v>
      </c>
      <c r="U41" s="346">
        <v>282.08704169999999</v>
      </c>
      <c r="V41" s="346">
        <v>-821.90167010000005</v>
      </c>
      <c r="W41" s="346">
        <v>-798.75208429999998</v>
      </c>
      <c r="X41" s="346" t="s">
        <v>101</v>
      </c>
      <c r="Y41" s="346">
        <v>55100</v>
      </c>
      <c r="Z41" s="346">
        <v>5</v>
      </c>
      <c r="AA41" s="346" t="s">
        <v>996</v>
      </c>
    </row>
    <row r="42" spans="1:27" hidden="1" x14ac:dyDescent="0.25">
      <c r="A42" s="346" t="s">
        <v>965</v>
      </c>
      <c r="B42" s="346">
        <v>1100000004</v>
      </c>
      <c r="C42" s="346"/>
      <c r="D42" s="346"/>
      <c r="E42" s="346">
        <v>2022</v>
      </c>
      <c r="F42" s="346">
        <v>6</v>
      </c>
      <c r="G42" s="346">
        <v>1751.74774</v>
      </c>
      <c r="H42" s="346">
        <v>76.261970000000005</v>
      </c>
      <c r="I42" s="346">
        <v>76.261970000000005</v>
      </c>
      <c r="J42" s="346">
        <v>1868.3454650000001</v>
      </c>
      <c r="K42" s="346">
        <v>990.34758980000004</v>
      </c>
      <c r="L42" s="346">
        <v>226.18226999999999</v>
      </c>
      <c r="M42" s="346"/>
      <c r="N42" s="346">
        <v>758.18001000000004</v>
      </c>
      <c r="O42" s="346">
        <v>758.18001000000004</v>
      </c>
      <c r="P42" s="346">
        <v>978.72445000000005</v>
      </c>
      <c r="Q42" s="346">
        <v>4380.4093039999998</v>
      </c>
      <c r="R42" s="346">
        <v>3582.5950050000001</v>
      </c>
      <c r="S42" s="346">
        <v>28.58827046</v>
      </c>
      <c r="T42" s="346">
        <v>100.8148942</v>
      </c>
      <c r="U42" s="346">
        <v>1173.624769</v>
      </c>
      <c r="V42" s="346">
        <v>858.24789989999999</v>
      </c>
      <c r="W42" s="346">
        <v>955.64904200000001</v>
      </c>
      <c r="X42" s="346" t="s">
        <v>101</v>
      </c>
      <c r="Y42" s="346">
        <v>64929</v>
      </c>
      <c r="Z42" s="346">
        <v>5</v>
      </c>
      <c r="AA42" s="346" t="s">
        <v>996</v>
      </c>
    </row>
    <row r="43" spans="1:27" hidden="1" x14ac:dyDescent="0.25">
      <c r="A43" s="346" t="s">
        <v>5412</v>
      </c>
      <c r="B43" s="346">
        <v>1100000119</v>
      </c>
      <c r="C43" s="346"/>
      <c r="D43" s="346"/>
      <c r="E43" s="346">
        <v>2022</v>
      </c>
      <c r="F43" s="346">
        <v>6</v>
      </c>
      <c r="G43" s="346">
        <v>1516.555558</v>
      </c>
      <c r="H43" s="346">
        <v>295.62184000000002</v>
      </c>
      <c r="I43" s="346">
        <v>295.62184000000002</v>
      </c>
      <c r="J43" s="346">
        <v>2517.1773069999999</v>
      </c>
      <c r="K43" s="346">
        <v>3009.22352</v>
      </c>
      <c r="L43" s="346">
        <v>255.13604000000001</v>
      </c>
      <c r="M43" s="346"/>
      <c r="N43" s="346">
        <v>1635.0454</v>
      </c>
      <c r="O43" s="346">
        <v>1635.0454</v>
      </c>
      <c r="P43" s="346">
        <v>2765.1436100000001</v>
      </c>
      <c r="Q43" s="346">
        <v>6663.15</v>
      </c>
      <c r="R43" s="346">
        <v>6048.09</v>
      </c>
      <c r="S43" s="346">
        <v>38.288713110000003</v>
      </c>
      <c r="T43" s="346">
        <v>412.59865020000001</v>
      </c>
      <c r="U43" s="346">
        <v>506.64128690000001</v>
      </c>
      <c r="V43" s="346">
        <v>75.234109329999995</v>
      </c>
      <c r="W43" s="346">
        <v>-242.2811403</v>
      </c>
      <c r="X43" s="346" t="s">
        <v>101</v>
      </c>
      <c r="Y43" s="346">
        <v>66290</v>
      </c>
      <c r="Z43" s="346">
        <v>5</v>
      </c>
      <c r="AA43" s="346" t="s">
        <v>996</v>
      </c>
    </row>
    <row r="44" spans="1:27" hidden="1" x14ac:dyDescent="0.25">
      <c r="A44" s="346" t="s">
        <v>5413</v>
      </c>
      <c r="B44" s="346">
        <v>1100000126</v>
      </c>
      <c r="C44" s="346"/>
      <c r="D44" s="346"/>
      <c r="E44" s="346">
        <v>2022</v>
      </c>
      <c r="F44" s="346">
        <v>6</v>
      </c>
      <c r="G44" s="346">
        <v>3186.9160069999998</v>
      </c>
      <c r="H44" s="346">
        <v>51.380510000000001</v>
      </c>
      <c r="I44" s="346">
        <v>51.380510000000001</v>
      </c>
      <c r="J44" s="346">
        <v>4125.7799569999997</v>
      </c>
      <c r="K44" s="346">
        <v>3084.3598689999999</v>
      </c>
      <c r="L44" s="346">
        <v>314.56518999999997</v>
      </c>
      <c r="M44" s="346"/>
      <c r="N44" s="346">
        <v>868.88576</v>
      </c>
      <c r="O44" s="346">
        <v>868.88576</v>
      </c>
      <c r="P44" s="346">
        <v>-3199.3780900000002</v>
      </c>
      <c r="Q44" s="346">
        <v>4515.5700189999998</v>
      </c>
      <c r="R44" s="346">
        <v>5400</v>
      </c>
      <c r="S44" s="346">
        <v>5.4345051890000002</v>
      </c>
      <c r="T44" s="346">
        <v>38.73676313</v>
      </c>
      <c r="U44" s="346">
        <v>1496.8248510000001</v>
      </c>
      <c r="V44" s="346">
        <v>1166.47047</v>
      </c>
      <c r="W44" s="346">
        <v>1214.510047</v>
      </c>
      <c r="X44" s="346" t="s">
        <v>101</v>
      </c>
      <c r="Y44" s="346">
        <v>43999</v>
      </c>
      <c r="Z44" s="346">
        <v>5</v>
      </c>
      <c r="AA44" s="346" t="s">
        <v>996</v>
      </c>
    </row>
    <row r="45" spans="1:27" hidden="1" x14ac:dyDescent="0.25">
      <c r="A45" s="346" t="s">
        <v>5414</v>
      </c>
      <c r="B45" s="346">
        <v>1100000184</v>
      </c>
      <c r="C45" s="346"/>
      <c r="D45" s="346"/>
      <c r="E45" s="346">
        <v>2022</v>
      </c>
      <c r="F45" s="346">
        <v>6</v>
      </c>
      <c r="G45" s="346">
        <v>7536.6122750000004</v>
      </c>
      <c r="H45" s="346">
        <v>8966.3950000000004</v>
      </c>
      <c r="I45" s="346">
        <v>8966.3950000000004</v>
      </c>
      <c r="J45" s="346">
        <v>27524.079849999998</v>
      </c>
      <c r="K45" s="346">
        <v>26288.816269999999</v>
      </c>
      <c r="L45" s="346">
        <v>6290.9054999999998</v>
      </c>
      <c r="M45" s="346"/>
      <c r="N45" s="346">
        <v>12518.5715</v>
      </c>
      <c r="O45" s="346">
        <v>12518.5715</v>
      </c>
      <c r="P45" s="346">
        <v>29013.771199999999</v>
      </c>
      <c r="Q45" s="346">
        <v>45743.002249999998</v>
      </c>
      <c r="R45" s="346">
        <v>40936.917500000003</v>
      </c>
      <c r="S45" s="346">
        <v>660.06626310000001</v>
      </c>
      <c r="T45" s="346">
        <v>3953.460462</v>
      </c>
      <c r="U45" s="346">
        <v>2580.5917100000001</v>
      </c>
      <c r="V45" s="346">
        <v>-1376.9702299999999</v>
      </c>
      <c r="W45" s="346">
        <v>-4792.564824</v>
      </c>
      <c r="X45" s="346" t="s">
        <v>101</v>
      </c>
      <c r="Y45" s="346">
        <v>43999</v>
      </c>
      <c r="Z45" s="346">
        <v>5</v>
      </c>
      <c r="AA45" s="346" t="s">
        <v>996</v>
      </c>
    </row>
    <row r="46" spans="1:27" hidden="1" x14ac:dyDescent="0.25">
      <c r="A46" s="346" t="s">
        <v>5415</v>
      </c>
      <c r="B46" s="346">
        <v>1100000111</v>
      </c>
      <c r="C46" s="346"/>
      <c r="D46" s="346"/>
      <c r="E46" s="346">
        <v>2022</v>
      </c>
      <c r="F46" s="346">
        <v>6</v>
      </c>
      <c r="G46" s="346">
        <v>1822.9049379999999</v>
      </c>
      <c r="H46" s="346">
        <v>1343.075</v>
      </c>
      <c r="I46" s="346">
        <v>1343.075</v>
      </c>
      <c r="J46" s="346">
        <v>5257.1283039999998</v>
      </c>
      <c r="K46" s="346">
        <v>4477.3839959999996</v>
      </c>
      <c r="L46" s="346">
        <v>1341.6569999999999</v>
      </c>
      <c r="M46" s="346"/>
      <c r="N46" s="346">
        <v>1805.05</v>
      </c>
      <c r="O46" s="346">
        <v>1805.05</v>
      </c>
      <c r="P46" s="346">
        <v>1554.8340000000001</v>
      </c>
      <c r="Q46" s="346">
        <v>9013.56</v>
      </c>
      <c r="R46" s="346">
        <v>8068.59</v>
      </c>
      <c r="S46" s="346">
        <v>99.880223599999994</v>
      </c>
      <c r="T46" s="346">
        <v>63.700084709999999</v>
      </c>
      <c r="U46" s="346">
        <v>1120.169776</v>
      </c>
      <c r="V46" s="346">
        <v>845.1757533</v>
      </c>
      <c r="W46" s="346">
        <v>563.53950329999998</v>
      </c>
      <c r="X46" s="346" t="s">
        <v>101</v>
      </c>
      <c r="Y46" s="346">
        <v>25930</v>
      </c>
      <c r="Z46" s="346">
        <v>5</v>
      </c>
      <c r="AA46" s="346" t="s">
        <v>996</v>
      </c>
    </row>
    <row r="47" spans="1:27" hidden="1" x14ac:dyDescent="0.25">
      <c r="A47" s="346" t="s">
        <v>164</v>
      </c>
      <c r="B47" s="346">
        <v>1100000143</v>
      </c>
      <c r="C47" s="346"/>
      <c r="D47" s="346"/>
      <c r="E47" s="346">
        <v>2022</v>
      </c>
      <c r="F47" s="346">
        <v>6</v>
      </c>
      <c r="G47" s="346">
        <v>50</v>
      </c>
      <c r="H47" s="346">
        <v>231.22806</v>
      </c>
      <c r="I47" s="346">
        <v>231.22806</v>
      </c>
      <c r="J47" s="346">
        <v>424.84146779999998</v>
      </c>
      <c r="K47" s="346">
        <v>437.91475730000002</v>
      </c>
      <c r="L47" s="346">
        <v>693.05427250000002</v>
      </c>
      <c r="M47" s="346"/>
      <c r="N47" s="346">
        <v>919.21777250000002</v>
      </c>
      <c r="O47" s="346">
        <v>919.21777250000002</v>
      </c>
      <c r="P47" s="346">
        <v>11.5272308</v>
      </c>
      <c r="Q47" s="346">
        <v>3051.125</v>
      </c>
      <c r="R47" s="346">
        <v>2646.875</v>
      </c>
      <c r="S47" s="346">
        <v>11.570226979999999</v>
      </c>
      <c r="T47" s="346">
        <v>9.4580526230000004</v>
      </c>
      <c r="U47" s="346">
        <v>87.933023030000001</v>
      </c>
      <c r="V47" s="346">
        <v>62.779976320000003</v>
      </c>
      <c r="W47" s="346">
        <v>-90.30639438</v>
      </c>
      <c r="X47" s="346" t="s">
        <v>101</v>
      </c>
      <c r="Y47" s="346">
        <v>55100</v>
      </c>
      <c r="Z47" s="346">
        <v>5</v>
      </c>
      <c r="AA47" s="346" t="s">
        <v>996</v>
      </c>
    </row>
    <row r="48" spans="1:27" hidden="1" x14ac:dyDescent="0.25">
      <c r="A48" s="346" t="s">
        <v>5416</v>
      </c>
      <c r="B48" s="346">
        <v>1200000111</v>
      </c>
      <c r="C48" s="346"/>
      <c r="D48" s="346"/>
      <c r="E48" s="346">
        <v>2022</v>
      </c>
      <c r="F48" s="346">
        <v>6</v>
      </c>
      <c r="G48" s="346">
        <v>2182.5794820000001</v>
      </c>
      <c r="H48" s="346">
        <v>330.3</v>
      </c>
      <c r="I48" s="346">
        <v>330.3</v>
      </c>
      <c r="J48" s="346">
        <v>6071.8385349999999</v>
      </c>
      <c r="K48" s="346">
        <v>5015.8540629999998</v>
      </c>
      <c r="L48" s="346">
        <v>838.60059100000001</v>
      </c>
      <c r="M48" s="346"/>
      <c r="N48" s="346">
        <v>1187.6005909999999</v>
      </c>
      <c r="O48" s="346">
        <v>1187.6005909999999</v>
      </c>
      <c r="P48" s="346">
        <v>1000</v>
      </c>
      <c r="Q48" s="346">
        <v>10418</v>
      </c>
      <c r="R48" s="346">
        <v>9276</v>
      </c>
      <c r="S48" s="346">
        <v>105.6943672</v>
      </c>
      <c r="T48" s="346">
        <v>66.204034820000004</v>
      </c>
      <c r="U48" s="346">
        <v>1125.244475</v>
      </c>
      <c r="V48" s="346">
        <v>847.23235250000005</v>
      </c>
      <c r="W48" s="346">
        <v>648.58868280000002</v>
      </c>
      <c r="X48" s="346" t="s">
        <v>101</v>
      </c>
      <c r="Y48" s="346">
        <v>38220</v>
      </c>
      <c r="Z48" s="346">
        <v>5</v>
      </c>
      <c r="AA48" s="346" t="s">
        <v>996</v>
      </c>
    </row>
    <row r="49" spans="1:27" hidden="1" x14ac:dyDescent="0.25">
      <c r="A49" s="346" t="s">
        <v>1602</v>
      </c>
      <c r="B49" s="346">
        <v>1200000118</v>
      </c>
      <c r="C49" s="346"/>
      <c r="D49" s="346"/>
      <c r="E49" s="346">
        <v>2022</v>
      </c>
      <c r="F49" s="346">
        <v>6</v>
      </c>
      <c r="G49" s="346">
        <v>1567.3659319999999</v>
      </c>
      <c r="H49" s="346">
        <v>23623.270339999999</v>
      </c>
      <c r="I49" s="346">
        <v>23623.270339999999</v>
      </c>
      <c r="J49" s="346">
        <v>59675.4545</v>
      </c>
      <c r="K49" s="346">
        <v>57555.242530000003</v>
      </c>
      <c r="L49" s="346">
        <v>9623.0740900000001</v>
      </c>
      <c r="M49" s="346"/>
      <c r="N49" s="346">
        <v>13884.454239999999</v>
      </c>
      <c r="O49" s="346">
        <v>14571.896479999999</v>
      </c>
      <c r="P49" s="346">
        <v>52490.657010000003</v>
      </c>
      <c r="Q49" s="346">
        <v>37955.385000000002</v>
      </c>
      <c r="R49" s="346">
        <v>33169.5</v>
      </c>
      <c r="S49" s="346">
        <v>857.91940309999995</v>
      </c>
      <c r="T49" s="346">
        <v>234.7887198</v>
      </c>
      <c r="U49" s="346">
        <v>3350.3828469999999</v>
      </c>
      <c r="V49" s="346">
        <v>2492.4753019999998</v>
      </c>
      <c r="W49" s="346">
        <v>1141.7259489999999</v>
      </c>
      <c r="X49" s="346" t="s">
        <v>101</v>
      </c>
      <c r="Y49" s="346">
        <v>69102</v>
      </c>
      <c r="Z49" s="346">
        <v>5</v>
      </c>
      <c r="AA49" s="346" t="s">
        <v>996</v>
      </c>
    </row>
    <row r="50" spans="1:27" hidden="1" x14ac:dyDescent="0.25">
      <c r="A50" s="346" t="s">
        <v>5417</v>
      </c>
      <c r="B50" s="346">
        <v>1100000234</v>
      </c>
      <c r="C50" s="346"/>
      <c r="D50" s="346"/>
      <c r="E50" s="346">
        <v>2022</v>
      </c>
      <c r="F50" s="346">
        <v>6</v>
      </c>
      <c r="G50" s="346">
        <v>888.33429020000005</v>
      </c>
      <c r="H50" s="346">
        <v>2202.3266199999998</v>
      </c>
      <c r="I50" s="346">
        <v>2202.3266199999998</v>
      </c>
      <c r="J50" s="346">
        <v>29506.596269999998</v>
      </c>
      <c r="K50" s="346">
        <v>30747.12026</v>
      </c>
      <c r="L50" s="346">
        <v>1321.91697</v>
      </c>
      <c r="M50" s="346"/>
      <c r="N50" s="346">
        <v>3010.2828399999999</v>
      </c>
      <c r="O50" s="346">
        <v>3010.2828399999999</v>
      </c>
      <c r="P50" s="346">
        <v>3470.92769</v>
      </c>
      <c r="Q50" s="346">
        <v>11318.18188</v>
      </c>
      <c r="R50" s="346">
        <v>10845.12</v>
      </c>
      <c r="S50" s="346">
        <v>1158.997672</v>
      </c>
      <c r="T50" s="346">
        <v>14.1044482</v>
      </c>
      <c r="U50" s="346">
        <v>-35.991172249999998</v>
      </c>
      <c r="V50" s="346">
        <v>-50.095620449999998</v>
      </c>
      <c r="W50" s="346">
        <v>730.471722</v>
      </c>
      <c r="X50" s="346" t="s">
        <v>101</v>
      </c>
      <c r="Y50" s="346">
        <v>10720</v>
      </c>
      <c r="Z50" s="346">
        <v>5</v>
      </c>
      <c r="AA50" s="346" t="s">
        <v>996</v>
      </c>
    </row>
    <row r="51" spans="1:27" hidden="1" x14ac:dyDescent="0.25">
      <c r="A51" s="346" t="s">
        <v>5418</v>
      </c>
      <c r="B51" s="346">
        <v>1200000106</v>
      </c>
      <c r="C51" s="346"/>
      <c r="D51" s="346"/>
      <c r="E51" s="346">
        <v>2022</v>
      </c>
      <c r="F51" s="346">
        <v>6</v>
      </c>
      <c r="G51" s="346">
        <v>414.42575820000002</v>
      </c>
      <c r="H51" s="346">
        <v>289.60199999999998</v>
      </c>
      <c r="I51" s="346">
        <v>289.60199999999998</v>
      </c>
      <c r="J51" s="346">
        <v>8897.0600699999995</v>
      </c>
      <c r="K51" s="346">
        <v>10381.795819999999</v>
      </c>
      <c r="L51" s="346">
        <v>2430.6012599999999</v>
      </c>
      <c r="M51" s="346"/>
      <c r="N51" s="346">
        <v>4261.3187600000001</v>
      </c>
      <c r="O51" s="346">
        <v>4261.3187600000001</v>
      </c>
      <c r="P51" s="346">
        <v>13559.415580000001</v>
      </c>
      <c r="Q51" s="346">
        <v>13313.445019999999</v>
      </c>
      <c r="R51" s="346">
        <v>12036.228209999999</v>
      </c>
      <c r="S51" s="346">
        <v>1066.829358</v>
      </c>
      <c r="T51" s="346">
        <v>747.31127739999999</v>
      </c>
      <c r="U51" s="346">
        <v>469.68492930000002</v>
      </c>
      <c r="V51" s="346">
        <v>-395.30968080000002</v>
      </c>
      <c r="W51" s="346">
        <v>-831.55453060000002</v>
      </c>
      <c r="X51" s="346" t="s">
        <v>101</v>
      </c>
      <c r="Y51" s="346">
        <v>25120</v>
      </c>
      <c r="Z51" s="346">
        <v>5</v>
      </c>
      <c r="AA51" s="346" t="s">
        <v>996</v>
      </c>
    </row>
    <row r="52" spans="1:27" hidden="1" x14ac:dyDescent="0.25">
      <c r="A52" s="346" t="s">
        <v>5419</v>
      </c>
      <c r="B52" s="346">
        <v>1100000144</v>
      </c>
      <c r="C52" s="346"/>
      <c r="D52" s="346"/>
      <c r="E52" s="346">
        <v>2022</v>
      </c>
      <c r="F52" s="346">
        <v>6</v>
      </c>
      <c r="G52" s="346">
        <v>15104.437690000001</v>
      </c>
      <c r="H52" s="346">
        <v>7279.6970000000001</v>
      </c>
      <c r="I52" s="346">
        <v>7279.6970000000001</v>
      </c>
      <c r="J52" s="346">
        <v>27956.41361</v>
      </c>
      <c r="K52" s="346">
        <v>26345.509389999999</v>
      </c>
      <c r="L52" s="346">
        <v>150.35550000000001</v>
      </c>
      <c r="M52" s="346"/>
      <c r="N52" s="346">
        <v>8704.0195000000003</v>
      </c>
      <c r="O52" s="346">
        <v>8704.0195000000003</v>
      </c>
      <c r="P52" s="346">
        <v>22902.909</v>
      </c>
      <c r="Q52" s="346">
        <v>26131.08581</v>
      </c>
      <c r="R52" s="346">
        <v>24149.097010000001</v>
      </c>
      <c r="S52" s="346">
        <v>1338.282158</v>
      </c>
      <c r="T52" s="346">
        <v>1313.556877</v>
      </c>
      <c r="U52" s="346">
        <v>3518.849702</v>
      </c>
      <c r="V52" s="346">
        <v>1764.2342599999999</v>
      </c>
      <c r="W52" s="346">
        <v>2838.5787129999999</v>
      </c>
      <c r="X52" s="346" t="s">
        <v>101</v>
      </c>
      <c r="Y52" s="346">
        <v>82990</v>
      </c>
      <c r="Z52" s="346">
        <v>5</v>
      </c>
      <c r="AA52" s="346" t="s">
        <v>996</v>
      </c>
    </row>
    <row r="53" spans="1:27" hidden="1" x14ac:dyDescent="0.25">
      <c r="A53" s="346" t="s">
        <v>5420</v>
      </c>
      <c r="B53" s="346">
        <v>1200000116</v>
      </c>
      <c r="C53" s="346"/>
      <c r="D53" s="346"/>
      <c r="E53" s="346">
        <v>2022</v>
      </c>
      <c r="F53" s="346">
        <v>6</v>
      </c>
      <c r="G53" s="346">
        <v>748.43436469999995</v>
      </c>
      <c r="H53" s="346">
        <v>391.25700000000001</v>
      </c>
      <c r="I53" s="346">
        <v>391.25700000000001</v>
      </c>
      <c r="J53" s="346">
        <v>2680.0507830000001</v>
      </c>
      <c r="K53" s="346">
        <v>2580.3852849999998</v>
      </c>
      <c r="L53" s="346">
        <v>364.20034249999998</v>
      </c>
      <c r="M53" s="346"/>
      <c r="N53" s="346">
        <v>468.81434250000001</v>
      </c>
      <c r="O53" s="346">
        <v>468.81434250000001</v>
      </c>
      <c r="P53" s="346">
        <v>1802.1289999999999</v>
      </c>
      <c r="Q53" s="346">
        <v>2136.1973149999999</v>
      </c>
      <c r="R53" s="346">
        <v>2015.49172</v>
      </c>
      <c r="S53" s="346">
        <v>159.79903959999999</v>
      </c>
      <c r="T53" s="346">
        <v>44.867713080000001</v>
      </c>
      <c r="U53" s="346">
        <v>255.6273381</v>
      </c>
      <c r="V53" s="346">
        <v>168.60769999999999</v>
      </c>
      <c r="W53" s="346">
        <v>186.37664240000001</v>
      </c>
      <c r="X53" s="346" t="s">
        <v>101</v>
      </c>
      <c r="Y53" s="346">
        <v>28290</v>
      </c>
      <c r="Z53" s="346">
        <v>5</v>
      </c>
      <c r="AA53" s="346" t="s">
        <v>996</v>
      </c>
    </row>
    <row r="54" spans="1:27" hidden="1" x14ac:dyDescent="0.25">
      <c r="A54" s="346" t="s">
        <v>5421</v>
      </c>
      <c r="B54" s="346">
        <v>1100000187</v>
      </c>
      <c r="C54" s="346"/>
      <c r="D54" s="346"/>
      <c r="E54" s="346">
        <v>2022</v>
      </c>
      <c r="F54" s="346">
        <v>6</v>
      </c>
      <c r="G54" s="346">
        <v>2186.0787399999999</v>
      </c>
      <c r="H54" s="346">
        <v>184.82354000000001</v>
      </c>
      <c r="I54" s="346">
        <v>184.82354000000001</v>
      </c>
      <c r="J54" s="346">
        <v>2625.3889319999998</v>
      </c>
      <c r="K54" s="346">
        <v>1485.5145110000001</v>
      </c>
      <c r="L54" s="346">
        <v>87.139809470000003</v>
      </c>
      <c r="M54" s="346"/>
      <c r="N54" s="346">
        <v>511.50067949999999</v>
      </c>
      <c r="O54" s="346">
        <v>511.50067949999999</v>
      </c>
      <c r="P54" s="346">
        <v>403.76042000000001</v>
      </c>
      <c r="Q54" s="346">
        <v>3653.6059749999999</v>
      </c>
      <c r="R54" s="346">
        <v>3486.138563</v>
      </c>
      <c r="S54" s="346">
        <v>58.488594130000003</v>
      </c>
      <c r="T54" s="346">
        <v>9.3486959639999991</v>
      </c>
      <c r="U54" s="346">
        <v>1239.4087950000001</v>
      </c>
      <c r="V54" s="346">
        <v>984.04807960000005</v>
      </c>
      <c r="W54" s="346">
        <v>927.83446030000005</v>
      </c>
      <c r="X54" s="346" t="s">
        <v>101</v>
      </c>
      <c r="Y54" s="346">
        <v>63990</v>
      </c>
      <c r="Z54" s="346">
        <v>5</v>
      </c>
      <c r="AA54" s="346" t="s">
        <v>996</v>
      </c>
    </row>
    <row r="55" spans="1:27" hidden="1" x14ac:dyDescent="0.25">
      <c r="A55" s="346" t="s">
        <v>5422</v>
      </c>
      <c r="B55" s="346">
        <v>1100000235</v>
      </c>
      <c r="C55" s="346"/>
      <c r="D55" s="346"/>
      <c r="E55" s="346">
        <v>2022</v>
      </c>
      <c r="F55" s="346">
        <v>6</v>
      </c>
      <c r="G55" s="346">
        <v>2412.2743230000001</v>
      </c>
      <c r="H55" s="346"/>
      <c r="I55" s="346"/>
      <c r="J55" s="346">
        <v>12910.807640000001</v>
      </c>
      <c r="K55" s="346">
        <v>12920.100469999999</v>
      </c>
      <c r="L55" s="346"/>
      <c r="M55" s="346"/>
      <c r="N55" s="346">
        <v>471.90976999999998</v>
      </c>
      <c r="O55" s="346">
        <v>471.90976999999998</v>
      </c>
      <c r="P55" s="346">
        <v>12675.494720000001</v>
      </c>
      <c r="Q55" s="346">
        <v>3591.1575050000001</v>
      </c>
      <c r="R55" s="346">
        <v>3295.6258400000002</v>
      </c>
      <c r="S55" s="346">
        <v>473.68978600000003</v>
      </c>
      <c r="T55" s="346">
        <v>494.5</v>
      </c>
      <c r="U55" s="346">
        <v>485.20716640000001</v>
      </c>
      <c r="V55" s="346">
        <v>-11.020769700000001</v>
      </c>
      <c r="W55" s="346">
        <v>-35.839363689999999</v>
      </c>
      <c r="X55" s="346" t="s">
        <v>101</v>
      </c>
      <c r="Y55" s="346">
        <v>85100</v>
      </c>
      <c r="Z55" s="346">
        <v>5</v>
      </c>
      <c r="AA55" s="346" t="s">
        <v>996</v>
      </c>
    </row>
    <row r="56" spans="1:27" hidden="1" x14ac:dyDescent="0.25">
      <c r="A56" s="346" t="s">
        <v>5423</v>
      </c>
      <c r="B56" s="346">
        <v>1100000238</v>
      </c>
      <c r="C56" s="346"/>
      <c r="D56" s="346"/>
      <c r="E56" s="346">
        <v>2022</v>
      </c>
      <c r="F56" s="346">
        <v>6</v>
      </c>
      <c r="G56" s="346">
        <v>6270.7238749999997</v>
      </c>
      <c r="H56" s="346">
        <v>5807</v>
      </c>
      <c r="I56" s="346">
        <v>5807</v>
      </c>
      <c r="J56" s="346">
        <v>-10022.70672</v>
      </c>
      <c r="K56" s="346">
        <v>-11240.01945</v>
      </c>
      <c r="L56" s="346">
        <v>5270</v>
      </c>
      <c r="M56" s="346"/>
      <c r="N56" s="346">
        <v>46715</v>
      </c>
      <c r="O56" s="346">
        <v>46715</v>
      </c>
      <c r="P56" s="346">
        <v>12000</v>
      </c>
      <c r="Q56" s="346">
        <v>178654.50380000001</v>
      </c>
      <c r="R56" s="346">
        <v>159000.29999999999</v>
      </c>
      <c r="S56" s="346">
        <v>51.934607999999997</v>
      </c>
      <c r="T56" s="346">
        <v>1125.5625</v>
      </c>
      <c r="U56" s="346">
        <v>3842.8752330000002</v>
      </c>
      <c r="V56" s="346">
        <v>2173.8501860000001</v>
      </c>
      <c r="W56" s="346">
        <v>-2330.5598500000001</v>
      </c>
      <c r="X56" s="346" t="s">
        <v>101</v>
      </c>
      <c r="Y56" s="346">
        <v>56302</v>
      </c>
      <c r="Z56" s="346">
        <v>5</v>
      </c>
      <c r="AA56" s="346" t="s">
        <v>996</v>
      </c>
    </row>
    <row r="57" spans="1:27" hidden="1" x14ac:dyDescent="0.25">
      <c r="A57" s="346" t="s">
        <v>5424</v>
      </c>
      <c r="B57" s="346">
        <v>1100000195</v>
      </c>
      <c r="C57" s="346"/>
      <c r="D57" s="346"/>
      <c r="E57" s="346">
        <v>2022</v>
      </c>
      <c r="F57" s="346">
        <v>6</v>
      </c>
      <c r="G57" s="346">
        <v>5130.8985000000002</v>
      </c>
      <c r="H57" s="346">
        <v>1946</v>
      </c>
      <c r="I57" s="346">
        <v>1946</v>
      </c>
      <c r="J57" s="346">
        <v>76627.486009999993</v>
      </c>
      <c r="K57" s="346">
        <v>79918.328599999993</v>
      </c>
      <c r="L57" s="346">
        <v>844</v>
      </c>
      <c r="M57" s="346"/>
      <c r="N57" s="346">
        <v>2545</v>
      </c>
      <c r="O57" s="346">
        <v>2545</v>
      </c>
      <c r="P57" s="346">
        <v>73287</v>
      </c>
      <c r="Q57" s="346">
        <v>13063.682500000001</v>
      </c>
      <c r="R57" s="346">
        <v>12357.5375</v>
      </c>
      <c r="S57" s="346">
        <v>5603.059835</v>
      </c>
      <c r="T57" s="346">
        <v>5271.5249999999996</v>
      </c>
      <c r="U57" s="346">
        <v>-905.84258550000004</v>
      </c>
      <c r="V57" s="346">
        <v>-6177.367585</v>
      </c>
      <c r="W57" s="346">
        <v>-3077.2928900000002</v>
      </c>
      <c r="X57" s="346" t="s">
        <v>101</v>
      </c>
      <c r="Y57" s="346">
        <v>26600</v>
      </c>
      <c r="Z57" s="346">
        <v>5</v>
      </c>
      <c r="AA57" s="346" t="s">
        <v>996</v>
      </c>
    </row>
    <row r="58" spans="1:27" hidden="1" x14ac:dyDescent="0.25">
      <c r="A58" s="346" t="s">
        <v>5425</v>
      </c>
      <c r="B58" s="346">
        <v>1100000128</v>
      </c>
      <c r="C58" s="346"/>
      <c r="D58" s="346"/>
      <c r="E58" s="346">
        <v>2022</v>
      </c>
      <c r="F58" s="346">
        <v>6</v>
      </c>
      <c r="G58" s="346">
        <v>24569.073240000002</v>
      </c>
      <c r="H58" s="346">
        <v>3447</v>
      </c>
      <c r="I58" s="346">
        <v>3447</v>
      </c>
      <c r="J58" s="346">
        <v>121371.95389999999</v>
      </c>
      <c r="K58" s="346">
        <v>116937.3391</v>
      </c>
      <c r="L58" s="346">
        <v>1915</v>
      </c>
      <c r="M58" s="346"/>
      <c r="N58" s="346">
        <v>6501</v>
      </c>
      <c r="O58" s="346">
        <v>6501</v>
      </c>
      <c r="P58" s="346">
        <v>79736</v>
      </c>
      <c r="Q58" s="346">
        <v>34010.35671</v>
      </c>
      <c r="R58" s="346">
        <v>31419.887279999999</v>
      </c>
      <c r="S58" s="346">
        <v>4728.0163419999999</v>
      </c>
      <c r="T58" s="346">
        <v>5179.7808459999997</v>
      </c>
      <c r="U58" s="346">
        <v>4797.1148679999997</v>
      </c>
      <c r="V58" s="346">
        <v>-382.66597860000002</v>
      </c>
      <c r="W58" s="346">
        <v>-1531.8349969999999</v>
      </c>
      <c r="X58" s="346" t="s">
        <v>101</v>
      </c>
      <c r="Y58" s="346">
        <v>85590</v>
      </c>
      <c r="Z58" s="346">
        <v>5</v>
      </c>
      <c r="AA58" s="346" t="s">
        <v>996</v>
      </c>
    </row>
    <row r="59" spans="1:27" hidden="1" x14ac:dyDescent="0.25">
      <c r="A59" s="346" t="s">
        <v>5426</v>
      </c>
      <c r="B59" s="346">
        <v>1100000268</v>
      </c>
      <c r="C59" s="346"/>
      <c r="D59" s="346"/>
      <c r="E59" s="346">
        <v>2022</v>
      </c>
      <c r="F59" s="346">
        <v>6</v>
      </c>
      <c r="G59" s="346">
        <v>4959.9690799999998</v>
      </c>
      <c r="H59" s="346">
        <v>414.52429999999998</v>
      </c>
      <c r="I59" s="346">
        <v>414.52429999999998</v>
      </c>
      <c r="J59" s="346">
        <v>13045.194579999999</v>
      </c>
      <c r="K59" s="346">
        <v>11155.96406</v>
      </c>
      <c r="L59" s="346">
        <v>264.55243000000002</v>
      </c>
      <c r="M59" s="346"/>
      <c r="N59" s="346">
        <v>1363.4962840000001</v>
      </c>
      <c r="O59" s="346">
        <v>1363.4962840000001</v>
      </c>
      <c r="P59" s="346">
        <v>8210.4825600000004</v>
      </c>
      <c r="Q59" s="346">
        <v>8316.3961500000005</v>
      </c>
      <c r="R59" s="346">
        <v>5933.6084890000002</v>
      </c>
      <c r="S59" s="346">
        <v>172.30388300000001</v>
      </c>
      <c r="T59" s="346">
        <v>291.87727630000001</v>
      </c>
      <c r="U59" s="346">
        <v>2776.95372</v>
      </c>
      <c r="V59" s="346">
        <v>1988.0611550000001</v>
      </c>
      <c r="W59" s="346">
        <v>1177.1845969999999</v>
      </c>
      <c r="X59" s="346" t="s">
        <v>101</v>
      </c>
      <c r="Y59" s="346">
        <v>70100</v>
      </c>
      <c r="Z59" s="346">
        <v>5</v>
      </c>
      <c r="AA59" s="346" t="s">
        <v>996</v>
      </c>
    </row>
    <row r="60" spans="1:27" hidden="1" x14ac:dyDescent="0.25">
      <c r="A60" s="346" t="s">
        <v>5427</v>
      </c>
      <c r="B60" s="346">
        <v>1300000002</v>
      </c>
      <c r="C60" s="346"/>
      <c r="D60" s="346"/>
      <c r="E60" s="346">
        <v>2022</v>
      </c>
      <c r="F60" s="346">
        <v>6</v>
      </c>
      <c r="G60" s="346">
        <v>1202.3869999999999</v>
      </c>
      <c r="H60" s="346"/>
      <c r="I60" s="346"/>
      <c r="J60" s="346">
        <v>2794.9199520000002</v>
      </c>
      <c r="K60" s="346">
        <v>2046.9024469999999</v>
      </c>
      <c r="L60" s="346">
        <v>-295.495</v>
      </c>
      <c r="M60" s="346"/>
      <c r="N60" s="346">
        <v>-305.14699999999999</v>
      </c>
      <c r="O60" s="346">
        <v>-305.14699999999999</v>
      </c>
      <c r="P60" s="346">
        <v>1412.9860000000001</v>
      </c>
      <c r="Q60" s="346">
        <v>1303.952753</v>
      </c>
      <c r="R60" s="346">
        <v>1196.64492</v>
      </c>
      <c r="S60" s="346">
        <v>25.868040879999999</v>
      </c>
      <c r="T60" s="346"/>
      <c r="U60" s="346">
        <v>852.86906699999997</v>
      </c>
      <c r="V60" s="346">
        <v>682.29525360000002</v>
      </c>
      <c r="W60" s="346">
        <v>609.96801430000005</v>
      </c>
      <c r="X60" s="346" t="s">
        <v>101</v>
      </c>
      <c r="Y60" s="346">
        <v>88910</v>
      </c>
      <c r="Z60" s="346">
        <v>5</v>
      </c>
      <c r="AA60" s="346" t="s">
        <v>996</v>
      </c>
    </row>
    <row r="61" spans="1:27" hidden="1" x14ac:dyDescent="0.25">
      <c r="A61" s="346" t="s">
        <v>5428</v>
      </c>
      <c r="B61" s="346">
        <v>1100000266</v>
      </c>
      <c r="C61" s="346"/>
      <c r="D61" s="346"/>
      <c r="E61" s="346">
        <v>2022</v>
      </c>
      <c r="F61" s="346">
        <v>6</v>
      </c>
      <c r="G61" s="346">
        <v>9030.2916249999998</v>
      </c>
      <c r="H61" s="346">
        <v>13158</v>
      </c>
      <c r="I61" s="346">
        <v>13158</v>
      </c>
      <c r="J61" s="346">
        <v>34546.940329999998</v>
      </c>
      <c r="K61" s="346">
        <v>29940.232650000002</v>
      </c>
      <c r="L61" s="346">
        <v>5434.5</v>
      </c>
      <c r="M61" s="346"/>
      <c r="N61" s="346">
        <v>10869</v>
      </c>
      <c r="O61" s="346">
        <v>10869</v>
      </c>
      <c r="P61" s="346">
        <v>12800</v>
      </c>
      <c r="Q61" s="346">
        <v>46456.894999999997</v>
      </c>
      <c r="R61" s="346">
        <v>39919.547500000001</v>
      </c>
      <c r="S61" s="346">
        <v>52.601816249999999</v>
      </c>
      <c r="T61" s="346"/>
      <c r="U61" s="346">
        <v>6949.332684</v>
      </c>
      <c r="V61" s="346">
        <v>5559.4661470000001</v>
      </c>
      <c r="W61" s="346">
        <v>2748.9185870000001</v>
      </c>
      <c r="X61" s="346" t="s">
        <v>101</v>
      </c>
      <c r="Y61" s="346">
        <v>33190</v>
      </c>
      <c r="Z61" s="346">
        <v>5</v>
      </c>
      <c r="AA61" s="346" t="s">
        <v>996</v>
      </c>
    </row>
    <row r="90" spans="22:23" x14ac:dyDescent="0.25">
      <c r="V90" s="346"/>
      <c r="W90" s="346"/>
    </row>
    <row r="91" spans="22:23" x14ac:dyDescent="0.25">
      <c r="V91" s="346"/>
      <c r="W91" s="346"/>
    </row>
    <row r="92" spans="22:23" x14ac:dyDescent="0.25">
      <c r="V92" s="346"/>
      <c r="W92" s="346"/>
    </row>
  </sheetData>
  <autoFilter ref="A1:AA61" xr:uid="{B346A266-8688-4B71-A24B-859B2EFA33AC}">
    <filterColumn colId="0">
      <filters>
        <filter val="CHART FORTE"/>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86AAA-CC74-45BF-A052-21239520F45E}">
  <sheetPr codeName="Sheet6" filterMode="1"/>
  <dimension ref="A1:AA61"/>
  <sheetViews>
    <sheetView zoomScale="80" zoomScaleNormal="80" workbookViewId="0"/>
  </sheetViews>
  <sheetFormatPr defaultRowHeight="15" x14ac:dyDescent="0.25"/>
  <cols>
    <col min="1" max="1" width="34.7109375" style="346" customWidth="1"/>
    <col min="2" max="2" width="12" style="346" bestFit="1" customWidth="1"/>
    <col min="3" max="3" width="19.140625" style="346" bestFit="1" customWidth="1"/>
    <col min="4" max="4" width="21.140625" style="346" bestFit="1" customWidth="1"/>
    <col min="5" max="5" width="17" style="346" bestFit="1" customWidth="1"/>
    <col min="6" max="6" width="18.85546875" style="346" bestFit="1" customWidth="1"/>
    <col min="7" max="7" width="22.28515625" style="346" bestFit="1" customWidth="1"/>
    <col min="8" max="8" width="12.7109375" style="346" bestFit="1" customWidth="1"/>
    <col min="9" max="9" width="23.140625" style="346" bestFit="1" customWidth="1"/>
    <col min="10" max="10" width="30.42578125" style="346" bestFit="1" customWidth="1"/>
    <col min="11" max="11" width="40.7109375" style="346" bestFit="1" customWidth="1"/>
    <col min="12" max="12" width="13.85546875" style="346" bestFit="1" customWidth="1"/>
    <col min="13" max="13" width="31.5703125" style="346" bestFit="1" customWidth="1"/>
    <col min="14" max="14" width="14.42578125" style="346" bestFit="1" customWidth="1"/>
    <col min="15" max="15" width="24.7109375" style="346" bestFit="1" customWidth="1"/>
    <col min="16" max="16" width="14.42578125" style="346" bestFit="1" customWidth="1"/>
    <col min="17" max="17" width="11.85546875" style="346" bestFit="1" customWidth="1"/>
    <col min="18" max="18" width="18.7109375" style="346" bestFit="1" customWidth="1"/>
    <col min="19" max="19" width="26.85546875" style="346" bestFit="1" customWidth="1"/>
    <col min="20" max="20" width="14.28515625" style="346" bestFit="1" customWidth="1"/>
    <col min="21" max="21" width="14.140625" style="346" bestFit="1" customWidth="1"/>
    <col min="22" max="22" width="19.85546875" style="346" bestFit="1" customWidth="1"/>
    <col min="23" max="23" width="30.140625" style="346" bestFit="1" customWidth="1"/>
    <col min="24" max="24" width="19.140625" style="346" bestFit="1" customWidth="1"/>
    <col min="25" max="25" width="16.42578125" style="346" bestFit="1" customWidth="1"/>
    <col min="26" max="26" width="22.42578125" style="346" bestFit="1" customWidth="1"/>
    <col min="27" max="27" width="25.42578125" style="346" bestFit="1" customWidth="1"/>
    <col min="28" max="16384" width="9.140625" style="346"/>
  </cols>
  <sheetData>
    <row r="1" spans="1:27" x14ac:dyDescent="0.25">
      <c r="A1" s="346" t="s">
        <v>0</v>
      </c>
      <c r="B1" s="346" t="s">
        <v>1</v>
      </c>
      <c r="C1" s="346" t="s">
        <v>2</v>
      </c>
      <c r="D1" s="346" t="s">
        <v>3</v>
      </c>
      <c r="E1" s="346" t="s">
        <v>4</v>
      </c>
      <c r="F1" s="346" t="s">
        <v>5</v>
      </c>
      <c r="G1" s="346" t="s">
        <v>6</v>
      </c>
      <c r="H1" s="346" t="s">
        <v>7</v>
      </c>
      <c r="I1" s="346" t="s">
        <v>8</v>
      </c>
      <c r="J1" s="346" t="s">
        <v>9</v>
      </c>
      <c r="K1" s="346" t="s">
        <v>10</v>
      </c>
      <c r="L1" s="346" t="s">
        <v>11</v>
      </c>
      <c r="M1" s="346" t="s">
        <v>12</v>
      </c>
      <c r="N1" s="346" t="s">
        <v>13</v>
      </c>
      <c r="O1" s="346" t="s">
        <v>14</v>
      </c>
      <c r="P1" s="346" t="s">
        <v>15</v>
      </c>
      <c r="Q1" s="346" t="s">
        <v>16</v>
      </c>
      <c r="R1" s="346" t="s">
        <v>17</v>
      </c>
      <c r="S1" s="346" t="s">
        <v>18</v>
      </c>
      <c r="T1" s="346" t="s">
        <v>19</v>
      </c>
      <c r="U1" s="346" t="s">
        <v>20</v>
      </c>
      <c r="V1" s="346" t="s">
        <v>21</v>
      </c>
      <c r="W1" s="346" t="s">
        <v>22</v>
      </c>
      <c r="X1" s="346" t="s">
        <v>23</v>
      </c>
      <c r="Y1" s="346" t="s">
        <v>24</v>
      </c>
      <c r="Z1" s="346" t="s">
        <v>25</v>
      </c>
      <c r="AA1" s="346" t="s">
        <v>26</v>
      </c>
    </row>
    <row r="2" spans="1:27" hidden="1" x14ac:dyDescent="0.25">
      <c r="A2" s="346" t="s">
        <v>5373</v>
      </c>
      <c r="B2" s="346">
        <v>1100000151</v>
      </c>
      <c r="E2" s="346">
        <v>2022</v>
      </c>
      <c r="F2" s="346">
        <v>6</v>
      </c>
      <c r="G2" s="346">
        <v>4766.7020549999997</v>
      </c>
      <c r="H2" s="346">
        <v>1400.9438029999999</v>
      </c>
      <c r="I2" s="346">
        <v>1400.9438029999999</v>
      </c>
      <c r="J2" s="346">
        <v>47208.863960000002</v>
      </c>
      <c r="K2" s="346">
        <v>45525.378940000002</v>
      </c>
      <c r="L2" s="346">
        <v>-1358.7294300000001</v>
      </c>
      <c r="N2" s="346">
        <v>13465.528389999999</v>
      </c>
      <c r="O2" s="346">
        <v>13465.528389999999</v>
      </c>
      <c r="P2" s="346">
        <v>29866.446349999998</v>
      </c>
      <c r="Q2" s="346">
        <v>34199.839890000003</v>
      </c>
      <c r="R2" s="346">
        <v>31359.767390000001</v>
      </c>
      <c r="S2" s="346">
        <v>1584.8360399999999</v>
      </c>
      <c r="T2" s="346">
        <v>2029.002156</v>
      </c>
      <c r="U2" s="346">
        <v>5572.4449070000001</v>
      </c>
      <c r="V2" s="346">
        <v>2834.7541999999999</v>
      </c>
      <c r="W2" s="346">
        <v>1662.548722</v>
      </c>
      <c r="X2" s="346" t="s">
        <v>101</v>
      </c>
      <c r="Y2" s="346">
        <v>87300</v>
      </c>
      <c r="Z2" s="346">
        <v>5</v>
      </c>
      <c r="AA2" s="346" t="s">
        <v>996</v>
      </c>
    </row>
    <row r="3" spans="1:27" hidden="1" x14ac:dyDescent="0.25">
      <c r="A3" s="346" t="s">
        <v>5374</v>
      </c>
      <c r="B3" s="346">
        <v>1100000241</v>
      </c>
      <c r="E3" s="346">
        <v>2022</v>
      </c>
      <c r="F3" s="346">
        <v>6</v>
      </c>
      <c r="G3" s="346">
        <v>3804.7280679999999</v>
      </c>
      <c r="H3" s="346">
        <v>62.4251</v>
      </c>
      <c r="I3" s="346">
        <v>62.4251</v>
      </c>
      <c r="J3" s="346">
        <v>33600.04825</v>
      </c>
      <c r="K3" s="346">
        <v>31965.647860000001</v>
      </c>
      <c r="L3" s="346">
        <v>262.76191999999998</v>
      </c>
      <c r="N3" s="346">
        <v>3783.8144010000001</v>
      </c>
      <c r="O3" s="346">
        <v>3783.8144010000001</v>
      </c>
      <c r="P3" s="346">
        <v>14978.90085</v>
      </c>
      <c r="Q3" s="346">
        <v>12567.12386</v>
      </c>
      <c r="R3" s="346">
        <v>11519.49099</v>
      </c>
      <c r="T3" s="346">
        <v>1347.5984390000001</v>
      </c>
      <c r="U3" s="346">
        <v>3426.454827</v>
      </c>
      <c r="V3" s="346">
        <v>1663.0851110000001</v>
      </c>
      <c r="W3" s="346">
        <v>1191.708494</v>
      </c>
      <c r="X3" s="346" t="s">
        <v>101</v>
      </c>
      <c r="Y3" s="346">
        <v>87300</v>
      </c>
      <c r="Z3" s="346">
        <v>5</v>
      </c>
      <c r="AA3" s="346" t="s">
        <v>996</v>
      </c>
    </row>
    <row r="4" spans="1:27" hidden="1" x14ac:dyDescent="0.25">
      <c r="A4" s="346" t="s">
        <v>5375</v>
      </c>
      <c r="B4" s="346">
        <v>1100000242</v>
      </c>
      <c r="E4" s="346">
        <v>2022</v>
      </c>
      <c r="F4" s="346">
        <v>6</v>
      </c>
      <c r="G4" s="346">
        <v>3804.7280679999999</v>
      </c>
      <c r="H4" s="346">
        <v>62.4251</v>
      </c>
      <c r="I4" s="346">
        <v>62.4251</v>
      </c>
      <c r="J4" s="346">
        <v>33600.04825</v>
      </c>
      <c r="K4" s="346">
        <v>31965.647860000001</v>
      </c>
      <c r="L4" s="346">
        <v>262.76191999999998</v>
      </c>
      <c r="N4" s="346">
        <v>3783.8144010000001</v>
      </c>
      <c r="O4" s="346">
        <v>3783.8144010000001</v>
      </c>
      <c r="P4" s="346">
        <v>14978.90085</v>
      </c>
      <c r="Q4" s="346">
        <v>12567.12386</v>
      </c>
      <c r="R4" s="346">
        <v>11519.49099</v>
      </c>
      <c r="T4" s="346">
        <v>1347.5984390000001</v>
      </c>
      <c r="U4" s="346">
        <v>3426.454827</v>
      </c>
      <c r="V4" s="346">
        <v>1663.0851110000001</v>
      </c>
      <c r="W4" s="346">
        <v>1191.708494</v>
      </c>
      <c r="X4" s="346" t="s">
        <v>101</v>
      </c>
      <c r="Y4" s="346">
        <v>87300</v>
      </c>
      <c r="Z4" s="346">
        <v>5</v>
      </c>
      <c r="AA4" s="346" t="s">
        <v>996</v>
      </c>
    </row>
    <row r="5" spans="1:27" hidden="1" x14ac:dyDescent="0.25">
      <c r="A5" s="346" t="s">
        <v>5376</v>
      </c>
      <c r="B5" s="346">
        <v>1100000243</v>
      </c>
      <c r="E5" s="346">
        <v>2022</v>
      </c>
      <c r="F5" s="346">
        <v>6</v>
      </c>
      <c r="G5" s="346">
        <v>3804.7280679999999</v>
      </c>
      <c r="H5" s="346">
        <v>62.4251</v>
      </c>
      <c r="I5" s="346">
        <v>62.4251</v>
      </c>
      <c r="J5" s="346">
        <v>33600.04825</v>
      </c>
      <c r="K5" s="346">
        <v>31965.647860000001</v>
      </c>
      <c r="L5" s="346">
        <v>262.76191999999998</v>
      </c>
      <c r="N5" s="346">
        <v>3783.8144010000001</v>
      </c>
      <c r="O5" s="346">
        <v>3783.8144010000001</v>
      </c>
      <c r="P5" s="346">
        <v>14978.90085</v>
      </c>
      <c r="Q5" s="346">
        <v>12567.12386</v>
      </c>
      <c r="R5" s="346">
        <v>11519.49099</v>
      </c>
      <c r="T5" s="346">
        <v>1347.5984390000001</v>
      </c>
      <c r="U5" s="346">
        <v>3426.454827</v>
      </c>
      <c r="V5" s="346">
        <v>1663.0851110000001</v>
      </c>
      <c r="W5" s="346">
        <v>1191.708494</v>
      </c>
      <c r="X5" s="346" t="s">
        <v>101</v>
      </c>
      <c r="Y5" s="346">
        <v>87300</v>
      </c>
      <c r="Z5" s="346">
        <v>5</v>
      </c>
      <c r="AA5" s="346" t="s">
        <v>996</v>
      </c>
    </row>
    <row r="6" spans="1:27" hidden="1" x14ac:dyDescent="0.25">
      <c r="A6" s="346" t="s">
        <v>5377</v>
      </c>
      <c r="B6" s="346">
        <v>1100000245</v>
      </c>
      <c r="E6" s="346">
        <v>2022</v>
      </c>
      <c r="F6" s="346">
        <v>6</v>
      </c>
      <c r="G6" s="346">
        <v>3804.7280679999999</v>
      </c>
      <c r="H6" s="346">
        <v>62.4251</v>
      </c>
      <c r="I6" s="346">
        <v>62.4251</v>
      </c>
      <c r="J6" s="346">
        <v>33600.04825</v>
      </c>
      <c r="K6" s="346">
        <v>31965.647860000001</v>
      </c>
      <c r="L6" s="346">
        <v>262.76191999999998</v>
      </c>
      <c r="N6" s="346">
        <v>3783.8144010000001</v>
      </c>
      <c r="O6" s="346">
        <v>3783.8144010000001</v>
      </c>
      <c r="P6" s="346">
        <v>14978.90085</v>
      </c>
      <c r="Q6" s="346">
        <v>12567.12386</v>
      </c>
      <c r="R6" s="346">
        <v>11519.49099</v>
      </c>
      <c r="T6" s="346">
        <v>1347.5984390000001</v>
      </c>
      <c r="U6" s="346">
        <v>3426.454827</v>
      </c>
      <c r="V6" s="346">
        <v>1663.0851110000001</v>
      </c>
      <c r="W6" s="346">
        <v>1191.708494</v>
      </c>
      <c r="X6" s="346" t="s">
        <v>101</v>
      </c>
      <c r="Y6" s="346">
        <v>87300</v>
      </c>
      <c r="Z6" s="346">
        <v>5</v>
      </c>
      <c r="AA6" s="346" t="s">
        <v>996</v>
      </c>
    </row>
    <row r="7" spans="1:27" hidden="1" x14ac:dyDescent="0.25">
      <c r="A7" s="346" t="s">
        <v>5378</v>
      </c>
      <c r="B7" s="346">
        <v>1100000244</v>
      </c>
      <c r="E7" s="346">
        <v>2022</v>
      </c>
      <c r="F7" s="346">
        <v>6</v>
      </c>
      <c r="G7" s="346">
        <v>3804.7280679999999</v>
      </c>
      <c r="H7" s="346">
        <v>62.4251</v>
      </c>
      <c r="I7" s="346">
        <v>62.4251</v>
      </c>
      <c r="J7" s="346">
        <v>33600.04825</v>
      </c>
      <c r="K7" s="346">
        <v>31965.647860000001</v>
      </c>
      <c r="L7" s="346">
        <v>262.76191999999998</v>
      </c>
      <c r="N7" s="346">
        <v>3783.8144010000001</v>
      </c>
      <c r="O7" s="346">
        <v>3783.8144010000001</v>
      </c>
      <c r="P7" s="346">
        <v>14978.90085</v>
      </c>
      <c r="Q7" s="346">
        <v>12567.12386</v>
      </c>
      <c r="R7" s="346">
        <v>11519.49099</v>
      </c>
      <c r="T7" s="346">
        <v>1347.5984390000001</v>
      </c>
      <c r="U7" s="346">
        <v>3426.454827</v>
      </c>
      <c r="V7" s="346">
        <v>1663.0851110000001</v>
      </c>
      <c r="W7" s="346">
        <v>1191.708494</v>
      </c>
      <c r="X7" s="346" t="s">
        <v>101</v>
      </c>
      <c r="Y7" s="346">
        <v>87300</v>
      </c>
      <c r="Z7" s="346">
        <v>5</v>
      </c>
      <c r="AA7" s="346" t="s">
        <v>996</v>
      </c>
    </row>
    <row r="8" spans="1:27" hidden="1" x14ac:dyDescent="0.25">
      <c r="A8" s="346" t="s">
        <v>5379</v>
      </c>
      <c r="B8" s="346">
        <v>1100000130</v>
      </c>
      <c r="E8" s="346">
        <v>2022</v>
      </c>
      <c r="F8" s="346">
        <v>6</v>
      </c>
      <c r="G8" s="346">
        <v>2682.4990499999999</v>
      </c>
      <c r="H8" s="346">
        <v>119.889</v>
      </c>
      <c r="I8" s="346">
        <v>119.889</v>
      </c>
      <c r="J8" s="346">
        <v>9257.1767629999995</v>
      </c>
      <c r="K8" s="346">
        <v>8556.2178509999994</v>
      </c>
      <c r="L8" s="346">
        <v>204.56100000000001</v>
      </c>
      <c r="N8" s="346">
        <v>331.26400000000001</v>
      </c>
      <c r="O8" s="346">
        <v>331.26400000000001</v>
      </c>
      <c r="P8" s="346">
        <v>3761.97</v>
      </c>
      <c r="Q8" s="346">
        <v>3068.7635529999998</v>
      </c>
      <c r="R8" s="346">
        <v>2794.9936269999998</v>
      </c>
      <c r="S8" s="346">
        <v>45.058794900000002</v>
      </c>
      <c r="T8" s="346">
        <v>212.69262140000001</v>
      </c>
      <c r="U8" s="346">
        <v>924.19739259999994</v>
      </c>
      <c r="V8" s="346">
        <v>569.20381699999996</v>
      </c>
      <c r="W8" s="346">
        <v>479.40255769999999</v>
      </c>
      <c r="X8" s="346" t="s">
        <v>101</v>
      </c>
      <c r="Y8" s="346">
        <v>87200</v>
      </c>
      <c r="Z8" s="346">
        <v>5</v>
      </c>
      <c r="AA8" s="346" t="s">
        <v>996</v>
      </c>
    </row>
    <row r="9" spans="1:27" hidden="1" x14ac:dyDescent="0.25">
      <c r="A9" s="346" t="s">
        <v>5380</v>
      </c>
      <c r="B9" s="346">
        <v>1200000128</v>
      </c>
      <c r="E9" s="346">
        <v>2022</v>
      </c>
      <c r="F9" s="346">
        <v>6</v>
      </c>
      <c r="G9" s="346">
        <v>1039.0967209999999</v>
      </c>
      <c r="H9" s="346">
        <v>132.94072</v>
      </c>
      <c r="I9" s="346">
        <v>132.94072</v>
      </c>
      <c r="J9" s="346">
        <v>1645.1869240000001</v>
      </c>
      <c r="K9" s="346">
        <v>861.68747759999997</v>
      </c>
      <c r="L9" s="346">
        <v>404.09386999999998</v>
      </c>
      <c r="N9" s="346">
        <v>2808.0613800000001</v>
      </c>
      <c r="O9" s="346">
        <v>2808.0613800000001</v>
      </c>
      <c r="P9" s="346">
        <v>6052.2463900000002</v>
      </c>
      <c r="Q9" s="346">
        <v>10784.438039999999</v>
      </c>
      <c r="R9" s="346">
        <v>9300.6014290000003</v>
      </c>
      <c r="S9" s="346">
        <v>233.16341499999999</v>
      </c>
      <c r="T9" s="346">
        <v>246.51929459999999</v>
      </c>
      <c r="U9" s="346">
        <v>978.57913269999995</v>
      </c>
      <c r="V9" s="346">
        <v>583.58785880000005</v>
      </c>
      <c r="W9" s="346">
        <v>-137.16091040000001</v>
      </c>
      <c r="X9" s="346" t="s">
        <v>101</v>
      </c>
      <c r="Y9" s="346">
        <v>56302</v>
      </c>
      <c r="Z9" s="346">
        <v>5</v>
      </c>
      <c r="AA9" s="346" t="s">
        <v>996</v>
      </c>
    </row>
    <row r="10" spans="1:27" hidden="1" x14ac:dyDescent="0.25">
      <c r="A10" s="346" t="s">
        <v>5381</v>
      </c>
      <c r="B10" s="346">
        <v>1100000205</v>
      </c>
      <c r="E10" s="346">
        <v>2022</v>
      </c>
      <c r="F10" s="346">
        <v>6</v>
      </c>
      <c r="G10" s="346">
        <v>1298.8867299999999</v>
      </c>
      <c r="H10" s="346">
        <v>801.02782999999999</v>
      </c>
      <c r="I10" s="346">
        <v>801.02782999999999</v>
      </c>
      <c r="J10" s="346">
        <v>2565.6975400000001</v>
      </c>
      <c r="K10" s="346">
        <v>595.62823349999996</v>
      </c>
      <c r="L10" s="346">
        <v>-862.61561549999999</v>
      </c>
      <c r="N10" s="346">
        <v>4613.8324339999999</v>
      </c>
      <c r="O10" s="346">
        <v>5613.3934900000004</v>
      </c>
      <c r="P10" s="346">
        <v>5852.9640849999996</v>
      </c>
      <c r="Q10" s="346">
        <v>19081.585869999999</v>
      </c>
      <c r="R10" s="346">
        <v>16128.709930000001</v>
      </c>
      <c r="S10" s="346">
        <v>469.19433729999997</v>
      </c>
      <c r="T10" s="346">
        <v>271.70065720000002</v>
      </c>
      <c r="U10" s="346">
        <v>1026.862263</v>
      </c>
      <c r="V10" s="346">
        <v>426.10445679999998</v>
      </c>
      <c r="W10" s="346">
        <v>-1277.741143</v>
      </c>
      <c r="X10" s="346" t="s">
        <v>101</v>
      </c>
      <c r="Y10" s="346">
        <v>56302</v>
      </c>
      <c r="Z10" s="346">
        <v>5</v>
      </c>
      <c r="AA10" s="346" t="s">
        <v>996</v>
      </c>
    </row>
    <row r="11" spans="1:27" hidden="1" x14ac:dyDescent="0.25">
      <c r="A11" s="346" t="s">
        <v>5382</v>
      </c>
      <c r="B11" s="346">
        <v>1200000146</v>
      </c>
      <c r="E11" s="346">
        <v>2022</v>
      </c>
      <c r="F11" s="346">
        <v>6</v>
      </c>
      <c r="G11" s="346">
        <v>1463.702851</v>
      </c>
      <c r="H11" s="346">
        <v>40.785629999999998</v>
      </c>
      <c r="I11" s="346">
        <v>40.785629999999998</v>
      </c>
      <c r="J11" s="346">
        <v>6413.6832029999996</v>
      </c>
      <c r="K11" s="346">
        <v>5508.0605070000001</v>
      </c>
      <c r="L11" s="346">
        <v>1085.3264730000001</v>
      </c>
      <c r="N11" s="346">
        <v>3750.640868</v>
      </c>
      <c r="O11" s="346">
        <v>3817.3075349999999</v>
      </c>
      <c r="P11" s="346">
        <v>13208.13586</v>
      </c>
      <c r="Q11" s="346">
        <v>25765.54422</v>
      </c>
      <c r="R11" s="346">
        <v>22133.806420000001</v>
      </c>
      <c r="S11" s="346">
        <v>369.88811879999997</v>
      </c>
      <c r="T11" s="346">
        <v>7.1823932920000004</v>
      </c>
      <c r="U11" s="346">
        <v>1222.2585939999999</v>
      </c>
      <c r="V11" s="346">
        <v>929.48679449999997</v>
      </c>
      <c r="W11" s="346">
        <v>-1168.125853</v>
      </c>
      <c r="X11" s="346" t="s">
        <v>101</v>
      </c>
      <c r="Y11" s="346">
        <v>56302</v>
      </c>
      <c r="Z11" s="346">
        <v>5</v>
      </c>
      <c r="AA11" s="346" t="s">
        <v>996</v>
      </c>
    </row>
    <row r="12" spans="1:27" hidden="1" x14ac:dyDescent="0.25">
      <c r="A12" s="346" t="s">
        <v>5383</v>
      </c>
      <c r="B12" s="346">
        <v>1100000248</v>
      </c>
      <c r="E12" s="346">
        <v>2022</v>
      </c>
      <c r="F12" s="346">
        <v>6</v>
      </c>
      <c r="G12" s="346">
        <v>437.17986760000002</v>
      </c>
      <c r="H12" s="346">
        <v>3461.6129999999998</v>
      </c>
      <c r="I12" s="346">
        <v>3461.6129999999998</v>
      </c>
      <c r="J12" s="346">
        <v>134717.4013</v>
      </c>
      <c r="K12" s="346">
        <v>134258.07149999999</v>
      </c>
      <c r="L12" s="346">
        <v>-4450.3068249999997</v>
      </c>
      <c r="N12" s="346">
        <v>-1658.668075</v>
      </c>
      <c r="O12" s="346">
        <v>1141.331925</v>
      </c>
      <c r="P12" s="346">
        <v>143574.51809999999</v>
      </c>
      <c r="Q12" s="346">
        <v>32526.575629999999</v>
      </c>
      <c r="R12" s="346">
        <v>29335.740860000002</v>
      </c>
      <c r="S12" s="346">
        <v>13164.223760000001</v>
      </c>
      <c r="T12" s="346">
        <v>10537.55639</v>
      </c>
      <c r="U12" s="346">
        <v>-9146.9300920000005</v>
      </c>
      <c r="V12" s="346">
        <v>-19684.48648</v>
      </c>
      <c r="W12" s="346">
        <v>-17400.845509999999</v>
      </c>
      <c r="X12" s="346" t="s">
        <v>101</v>
      </c>
      <c r="Y12" s="346">
        <v>56302</v>
      </c>
      <c r="Z12" s="346">
        <v>5</v>
      </c>
      <c r="AA12" s="346" t="s">
        <v>996</v>
      </c>
    </row>
    <row r="13" spans="1:27" hidden="1" x14ac:dyDescent="0.25">
      <c r="A13" s="346" t="s">
        <v>5384</v>
      </c>
      <c r="B13" s="346">
        <v>1100000277</v>
      </c>
      <c r="E13" s="346">
        <v>2022</v>
      </c>
      <c r="F13" s="346">
        <v>6</v>
      </c>
      <c r="G13" s="346">
        <v>50</v>
      </c>
      <c r="J13" s="346">
        <v>37599.99495</v>
      </c>
      <c r="K13" s="346">
        <v>38606.238109999998</v>
      </c>
      <c r="N13" s="346">
        <v>0</v>
      </c>
      <c r="P13" s="346">
        <v>27479.113000000001</v>
      </c>
      <c r="Q13" s="346">
        <v>15044.39797</v>
      </c>
      <c r="R13" s="346">
        <v>13117.92477</v>
      </c>
      <c r="S13" s="346">
        <v>1156.6871430000001</v>
      </c>
      <c r="T13" s="346">
        <v>2474.588123</v>
      </c>
      <c r="U13" s="346">
        <v>-963.11719159999996</v>
      </c>
      <c r="V13" s="346">
        <v>-3437.7053139999998</v>
      </c>
      <c r="W13" s="346">
        <v>-3913.4142860000002</v>
      </c>
      <c r="X13" s="346" t="s">
        <v>101</v>
      </c>
      <c r="Y13" s="346">
        <v>56302</v>
      </c>
      <c r="Z13" s="346">
        <v>5</v>
      </c>
      <c r="AA13" s="346" t="s">
        <v>996</v>
      </c>
    </row>
    <row r="14" spans="1:27" hidden="1" x14ac:dyDescent="0.25">
      <c r="A14" s="346" t="s">
        <v>5385</v>
      </c>
      <c r="B14" s="346">
        <v>1100000271</v>
      </c>
      <c r="E14" s="346">
        <v>2022</v>
      </c>
      <c r="F14" s="346">
        <v>6</v>
      </c>
      <c r="G14" s="346">
        <v>6843.9325250000002</v>
      </c>
      <c r="H14" s="346">
        <v>237.75632999999999</v>
      </c>
      <c r="I14" s="346">
        <v>237.75632999999999</v>
      </c>
      <c r="J14" s="346">
        <v>12253.80005</v>
      </c>
      <c r="K14" s="346">
        <v>16678.388070000001</v>
      </c>
      <c r="L14" s="346">
        <v>980.11392000000001</v>
      </c>
      <c r="N14" s="346">
        <v>14249.808849999999</v>
      </c>
      <c r="O14" s="346">
        <v>15373.808849999999</v>
      </c>
      <c r="P14" s="346">
        <v>15000</v>
      </c>
      <c r="Q14" s="346">
        <v>52722.936410000002</v>
      </c>
      <c r="R14" s="346">
        <v>50496.309159999997</v>
      </c>
      <c r="S14" s="346">
        <v>2483.62862</v>
      </c>
      <c r="T14" s="346">
        <v>622.34922329999995</v>
      </c>
      <c r="U14" s="346">
        <v>-2974.5880200000001</v>
      </c>
      <c r="V14" s="346">
        <v>-3596.9372429999999</v>
      </c>
      <c r="W14" s="346">
        <v>-893.03165730000001</v>
      </c>
      <c r="X14" s="346" t="s">
        <v>101</v>
      </c>
      <c r="Y14" s="346">
        <v>56101</v>
      </c>
      <c r="Z14" s="346">
        <v>5</v>
      </c>
      <c r="AA14" s="346" t="s">
        <v>996</v>
      </c>
    </row>
    <row r="15" spans="1:27" hidden="1" x14ac:dyDescent="0.25">
      <c r="A15" s="346" t="s">
        <v>5386</v>
      </c>
      <c r="B15" s="346">
        <v>1100000275</v>
      </c>
      <c r="E15" s="346">
        <v>2022</v>
      </c>
      <c r="F15" s="346">
        <v>6</v>
      </c>
      <c r="G15" s="346">
        <v>6843.9325250000002</v>
      </c>
      <c r="H15" s="346">
        <v>237.75632999999999</v>
      </c>
      <c r="I15" s="346">
        <v>237.75632999999999</v>
      </c>
      <c r="J15" s="346">
        <v>12253.80005</v>
      </c>
      <c r="K15" s="346">
        <v>16678.388070000001</v>
      </c>
      <c r="L15" s="346">
        <v>980.11392000000001</v>
      </c>
      <c r="N15" s="346">
        <v>14249.808849999999</v>
      </c>
      <c r="O15" s="346">
        <v>15373.808849999999</v>
      </c>
      <c r="P15" s="346">
        <v>15000</v>
      </c>
      <c r="Q15" s="346">
        <v>52722.936410000002</v>
      </c>
      <c r="R15" s="346">
        <v>50496.309159999997</v>
      </c>
      <c r="S15" s="346">
        <v>2483.62862</v>
      </c>
      <c r="T15" s="346">
        <v>622.34922329999995</v>
      </c>
      <c r="U15" s="346">
        <v>-2974.5880200000001</v>
      </c>
      <c r="V15" s="346">
        <v>-3596.9372429999999</v>
      </c>
      <c r="W15" s="346">
        <v>-893.03165730000001</v>
      </c>
      <c r="X15" s="346" t="s">
        <v>101</v>
      </c>
      <c r="Y15" s="346">
        <v>56101</v>
      </c>
      <c r="Z15" s="346">
        <v>5</v>
      </c>
      <c r="AA15" s="346" t="s">
        <v>996</v>
      </c>
    </row>
    <row r="16" spans="1:27" hidden="1" x14ac:dyDescent="0.25">
      <c r="A16" s="346" t="s">
        <v>5387</v>
      </c>
      <c r="B16" s="346">
        <v>1200000125</v>
      </c>
      <c r="E16" s="346">
        <v>2022</v>
      </c>
      <c r="F16" s="346">
        <v>6</v>
      </c>
      <c r="G16" s="346">
        <v>2127.3712300000002</v>
      </c>
      <c r="H16" s="346">
        <v>40.383870000000002</v>
      </c>
      <c r="I16" s="346">
        <v>40.383870000000002</v>
      </c>
      <c r="J16" s="346">
        <v>5902.3667340000002</v>
      </c>
      <c r="K16" s="346">
        <v>7071.8755110000002</v>
      </c>
      <c r="L16" s="346">
        <v>184.95749570000001</v>
      </c>
      <c r="N16" s="346">
        <v>1981.4841759999999</v>
      </c>
      <c r="O16" s="346">
        <v>2048.150842</v>
      </c>
      <c r="P16" s="346">
        <v>4150.6435099999999</v>
      </c>
      <c r="Q16" s="346">
        <v>8638.1647539999994</v>
      </c>
      <c r="R16" s="346">
        <v>9009.5244220000004</v>
      </c>
      <c r="S16" s="346">
        <v>542.30173009999999</v>
      </c>
      <c r="T16" s="346">
        <v>127.71273789999999</v>
      </c>
      <c r="U16" s="346">
        <v>-369.52484099999998</v>
      </c>
      <c r="V16" s="346">
        <v>-499.65753410000002</v>
      </c>
      <c r="W16" s="346">
        <v>-483.39630160000002</v>
      </c>
      <c r="X16" s="346" t="s">
        <v>101</v>
      </c>
      <c r="Y16" s="346">
        <v>56101</v>
      </c>
      <c r="Z16" s="346">
        <v>5</v>
      </c>
      <c r="AA16" s="346" t="s">
        <v>996</v>
      </c>
    </row>
    <row r="17" spans="1:27" hidden="1" x14ac:dyDescent="0.25">
      <c r="A17" s="346" t="s">
        <v>5388</v>
      </c>
      <c r="B17" s="346">
        <v>1100000141</v>
      </c>
      <c r="E17" s="346">
        <v>2022</v>
      </c>
      <c r="F17" s="346">
        <v>6</v>
      </c>
      <c r="G17" s="346">
        <v>178.00588959999999</v>
      </c>
      <c r="H17" s="346">
        <v>142.34899999999999</v>
      </c>
      <c r="I17" s="346">
        <v>142.34899999999999</v>
      </c>
      <c r="J17" s="346">
        <v>837.00889459999996</v>
      </c>
      <c r="K17" s="346">
        <v>883.55802319999998</v>
      </c>
      <c r="L17" s="346">
        <v>351.13067560000002</v>
      </c>
      <c r="N17" s="346">
        <v>933.26467560000003</v>
      </c>
      <c r="O17" s="346">
        <v>933.26467560000003</v>
      </c>
      <c r="P17" s="346">
        <v>1388.5540000000001</v>
      </c>
      <c r="Q17" s="346">
        <v>5503.7690039999998</v>
      </c>
      <c r="R17" s="346">
        <v>4157.2957569999999</v>
      </c>
      <c r="S17" s="346">
        <v>60.262685040000001</v>
      </c>
      <c r="U17" s="346">
        <v>-46.549128590000002</v>
      </c>
      <c r="V17" s="346">
        <v>-48.466478809999998</v>
      </c>
      <c r="W17" s="346">
        <v>8.2398056999999998</v>
      </c>
      <c r="X17" s="346" t="s">
        <v>101</v>
      </c>
      <c r="Y17" s="346">
        <v>56101</v>
      </c>
      <c r="Z17" s="346">
        <v>5</v>
      </c>
      <c r="AA17" s="346" t="s">
        <v>996</v>
      </c>
    </row>
    <row r="18" spans="1:27" hidden="1" x14ac:dyDescent="0.25">
      <c r="A18" s="346" t="s">
        <v>5389</v>
      </c>
      <c r="B18" s="346">
        <v>1100000203</v>
      </c>
      <c r="E18" s="346">
        <v>2022</v>
      </c>
      <c r="F18" s="346">
        <v>6</v>
      </c>
      <c r="G18" s="346">
        <v>453.70547160000001</v>
      </c>
      <c r="H18" s="346">
        <v>47.357419999999998</v>
      </c>
      <c r="I18" s="346">
        <v>47.357419999999998</v>
      </c>
      <c r="J18" s="346">
        <v>2741.6080740000002</v>
      </c>
      <c r="K18" s="346">
        <v>2598.7837639999998</v>
      </c>
      <c r="L18" s="346">
        <v>74.925087210000001</v>
      </c>
      <c r="N18" s="346">
        <v>419.76313720000002</v>
      </c>
      <c r="O18" s="346">
        <v>421.50301789999997</v>
      </c>
      <c r="P18" s="346">
        <v>895.19547</v>
      </c>
      <c r="Q18" s="346">
        <v>2334.1112939999998</v>
      </c>
      <c r="R18" s="346">
        <v>2264.1452899999999</v>
      </c>
      <c r="S18" s="346">
        <v>96.923859280000002</v>
      </c>
      <c r="T18" s="346">
        <v>49.190636300000001</v>
      </c>
      <c r="U18" s="346">
        <v>291.54250070000001</v>
      </c>
      <c r="V18" s="346">
        <v>193.88149150000001</v>
      </c>
      <c r="W18" s="346">
        <v>181.82460280000001</v>
      </c>
      <c r="X18" s="346" t="s">
        <v>101</v>
      </c>
      <c r="Y18" s="346">
        <v>56102</v>
      </c>
      <c r="Z18" s="346">
        <v>5</v>
      </c>
      <c r="AA18" s="346" t="s">
        <v>996</v>
      </c>
    </row>
    <row r="19" spans="1:27" hidden="1" x14ac:dyDescent="0.25">
      <c r="A19" s="346" t="s">
        <v>5390</v>
      </c>
      <c r="B19" s="346">
        <v>1200000157</v>
      </c>
      <c r="E19" s="346">
        <v>2022</v>
      </c>
      <c r="F19" s="346">
        <v>6</v>
      </c>
      <c r="G19" s="346">
        <v>1467.6642730000001</v>
      </c>
      <c r="H19" s="346">
        <v>1026.405</v>
      </c>
      <c r="I19" s="346">
        <v>1026.405</v>
      </c>
      <c r="J19" s="346">
        <v>3068.3552100000002</v>
      </c>
      <c r="K19" s="346">
        <v>4395.2602749999996</v>
      </c>
      <c r="L19" s="346">
        <v>2329.6779999999999</v>
      </c>
      <c r="N19" s="346">
        <v>3500.6660000000002</v>
      </c>
      <c r="O19" s="346">
        <v>3500.6660000000002</v>
      </c>
      <c r="P19" s="346">
        <v>941.44135000000006</v>
      </c>
      <c r="Q19" s="346">
        <v>18021.605009999999</v>
      </c>
      <c r="R19" s="346">
        <v>18749.678879999999</v>
      </c>
      <c r="S19" s="346">
        <v>393.7531055</v>
      </c>
      <c r="T19" s="346">
        <v>50.436610039999998</v>
      </c>
      <c r="U19" s="346">
        <v>-587.34831299999996</v>
      </c>
      <c r="V19" s="346">
        <v>-653.34147170000006</v>
      </c>
      <c r="W19" s="346">
        <v>-329.46477829999998</v>
      </c>
      <c r="X19" s="346" t="s">
        <v>101</v>
      </c>
      <c r="Y19" s="346">
        <v>56101</v>
      </c>
      <c r="Z19" s="346">
        <v>5</v>
      </c>
      <c r="AA19" s="346" t="s">
        <v>996</v>
      </c>
    </row>
    <row r="20" spans="1:27" hidden="1" x14ac:dyDescent="0.25">
      <c r="A20" s="346" t="s">
        <v>5391</v>
      </c>
      <c r="B20" s="346">
        <v>1100000276</v>
      </c>
      <c r="E20" s="346">
        <v>2022</v>
      </c>
      <c r="F20" s="346">
        <v>6</v>
      </c>
      <c r="G20" s="346">
        <v>50</v>
      </c>
      <c r="H20" s="346">
        <v>3.6782900000000001</v>
      </c>
      <c r="I20" s="346">
        <v>3.6782900000000001</v>
      </c>
      <c r="J20" s="346">
        <v>25410.75851</v>
      </c>
      <c r="K20" s="346">
        <v>25543.024109999998</v>
      </c>
      <c r="L20" s="346">
        <v>3811.3322600000001</v>
      </c>
      <c r="N20" s="346">
        <v>10154.86976</v>
      </c>
      <c r="O20" s="346">
        <v>10154.86976</v>
      </c>
      <c r="P20" s="346">
        <v>27180.447670000001</v>
      </c>
      <c r="Q20" s="346">
        <v>7081.1863009999997</v>
      </c>
      <c r="R20" s="346">
        <v>5264.7846740000005</v>
      </c>
      <c r="S20" s="346">
        <v>347.52797779999997</v>
      </c>
      <c r="T20" s="346">
        <v>2265.063568</v>
      </c>
      <c r="U20" s="346">
        <v>-518.12838469999997</v>
      </c>
      <c r="V20" s="346">
        <v>-2783.191953</v>
      </c>
      <c r="W20" s="346">
        <v>-3753.4200089999999</v>
      </c>
      <c r="X20" s="346" t="s">
        <v>101</v>
      </c>
      <c r="Y20" s="346">
        <v>55100</v>
      </c>
      <c r="Z20" s="346">
        <v>5</v>
      </c>
      <c r="AA20" s="346" t="s">
        <v>996</v>
      </c>
    </row>
    <row r="21" spans="1:27" hidden="1" x14ac:dyDescent="0.25">
      <c r="A21" s="346" t="s">
        <v>5392</v>
      </c>
      <c r="B21" s="346">
        <v>1200000144</v>
      </c>
      <c r="E21" s="346">
        <v>2022</v>
      </c>
      <c r="F21" s="346">
        <v>6</v>
      </c>
      <c r="G21" s="346">
        <v>87.142228160000002</v>
      </c>
      <c r="H21" s="346">
        <v>79.655879999999996</v>
      </c>
      <c r="I21" s="346">
        <v>79.655879999999996</v>
      </c>
      <c r="J21" s="346">
        <v>5054.2137489999996</v>
      </c>
      <c r="K21" s="346">
        <v>5270.206862</v>
      </c>
      <c r="L21" s="346">
        <v>417.99977999999999</v>
      </c>
      <c r="N21" s="346">
        <v>515.41467999999998</v>
      </c>
      <c r="O21" s="346">
        <v>521.24098000000004</v>
      </c>
      <c r="P21" s="346">
        <v>1822.419482</v>
      </c>
      <c r="Q21" s="346">
        <v>2139.127422</v>
      </c>
      <c r="R21" s="346">
        <v>1970.151973</v>
      </c>
      <c r="S21" s="346">
        <v>278.90614310000001</v>
      </c>
      <c r="T21" s="346">
        <v>50.870348219999997</v>
      </c>
      <c r="U21" s="346">
        <v>-82.660361429999995</v>
      </c>
      <c r="V21" s="346">
        <v>-136.67416639999999</v>
      </c>
      <c r="W21" s="346">
        <v>-89.375596430000002</v>
      </c>
      <c r="X21" s="346" t="s">
        <v>101</v>
      </c>
      <c r="Y21" s="346">
        <v>55100</v>
      </c>
      <c r="Z21" s="346">
        <v>5</v>
      </c>
      <c r="AA21" s="346" t="s">
        <v>996</v>
      </c>
    </row>
    <row r="22" spans="1:27" hidden="1" x14ac:dyDescent="0.25">
      <c r="A22" s="346" t="s">
        <v>5393</v>
      </c>
      <c r="B22" s="346">
        <v>1100000005</v>
      </c>
      <c r="E22" s="346">
        <v>2022</v>
      </c>
      <c r="F22" s="346">
        <v>6</v>
      </c>
      <c r="G22" s="346">
        <v>85.621788170000002</v>
      </c>
      <c r="J22" s="346">
        <v>7617.5581030000003</v>
      </c>
      <c r="K22" s="346">
        <v>7703.3042420000002</v>
      </c>
      <c r="L22" s="346">
        <v>-11.66666667</v>
      </c>
      <c r="N22" s="346">
        <v>-11.66666667</v>
      </c>
      <c r="O22" s="346">
        <v>-11.66666667</v>
      </c>
      <c r="P22" s="346">
        <v>2066.828602</v>
      </c>
      <c r="Q22" s="346">
        <v>484.77858259999999</v>
      </c>
      <c r="R22" s="346">
        <v>363.73771090000002</v>
      </c>
      <c r="S22" s="346">
        <v>147.76775330000001</v>
      </c>
      <c r="T22" s="346">
        <v>100.48854</v>
      </c>
      <c r="U22" s="346">
        <v>63.6801326</v>
      </c>
      <c r="V22" s="346">
        <v>-36.808407379999998</v>
      </c>
      <c r="W22" s="346">
        <v>-138.4178052</v>
      </c>
      <c r="X22" s="346" t="s">
        <v>101</v>
      </c>
      <c r="Y22" s="346">
        <v>87200</v>
      </c>
      <c r="Z22" s="346">
        <v>5</v>
      </c>
      <c r="AA22" s="346" t="s">
        <v>996</v>
      </c>
    </row>
    <row r="23" spans="1:27" hidden="1" x14ac:dyDescent="0.25">
      <c r="A23" s="346" t="s">
        <v>5394</v>
      </c>
      <c r="B23" s="346">
        <v>1100000145</v>
      </c>
      <c r="E23" s="346">
        <v>2022</v>
      </c>
      <c r="F23" s="346">
        <v>6</v>
      </c>
      <c r="G23" s="346">
        <v>50</v>
      </c>
      <c r="H23" s="346">
        <v>46.596179999999997</v>
      </c>
      <c r="I23" s="346">
        <v>46.596179999999997</v>
      </c>
      <c r="J23" s="346">
        <v>40123.343180000003</v>
      </c>
      <c r="K23" s="346">
        <v>41165.093840000001</v>
      </c>
      <c r="L23" s="346">
        <v>4779.25</v>
      </c>
      <c r="N23" s="346">
        <v>10916.10986</v>
      </c>
      <c r="O23" s="346">
        <v>12049.44319</v>
      </c>
      <c r="P23" s="346">
        <v>73881.944990000004</v>
      </c>
      <c r="Q23" s="346">
        <v>15284.9349</v>
      </c>
      <c r="R23" s="346">
        <v>11468.54963</v>
      </c>
      <c r="S23" s="346">
        <v>2658.9220070000001</v>
      </c>
      <c r="T23" s="346">
        <v>5501.8232930000004</v>
      </c>
      <c r="U23" s="346">
        <v>-482.57411480000002</v>
      </c>
      <c r="V23" s="346">
        <v>-5984.3974079999998</v>
      </c>
      <c r="W23" s="346">
        <v>-9275.2613089999995</v>
      </c>
      <c r="X23" s="346" t="s">
        <v>101</v>
      </c>
      <c r="Y23" s="346">
        <v>55110</v>
      </c>
      <c r="Z23" s="346">
        <v>5</v>
      </c>
      <c r="AA23" s="346" t="s">
        <v>996</v>
      </c>
    </row>
    <row r="24" spans="1:27" hidden="1" x14ac:dyDescent="0.25">
      <c r="A24" s="346" t="s">
        <v>5395</v>
      </c>
      <c r="B24" s="346">
        <v>1100000168</v>
      </c>
      <c r="E24" s="346">
        <v>2022</v>
      </c>
      <c r="F24" s="346">
        <v>6</v>
      </c>
      <c r="G24" s="346">
        <v>50</v>
      </c>
      <c r="H24" s="346">
        <v>46.596179999999997</v>
      </c>
      <c r="I24" s="346">
        <v>46.596179999999997</v>
      </c>
      <c r="J24" s="346">
        <v>40123.343180000003</v>
      </c>
      <c r="K24" s="346">
        <v>41165.093840000001</v>
      </c>
      <c r="L24" s="346">
        <v>4779.25</v>
      </c>
      <c r="N24" s="346">
        <v>10916.10986</v>
      </c>
      <c r="O24" s="346">
        <v>12049.44319</v>
      </c>
      <c r="P24" s="346">
        <v>73881.944990000004</v>
      </c>
      <c r="Q24" s="346">
        <v>15284.9349</v>
      </c>
      <c r="R24" s="346">
        <v>11468.54963</v>
      </c>
      <c r="S24" s="346">
        <v>2658.9220070000001</v>
      </c>
      <c r="T24" s="346">
        <v>5501.8232930000004</v>
      </c>
      <c r="U24" s="346">
        <v>-482.57411480000002</v>
      </c>
      <c r="V24" s="346">
        <v>-5984.3974079999998</v>
      </c>
      <c r="W24" s="346">
        <v>-9275.2613089999995</v>
      </c>
      <c r="X24" s="346" t="s">
        <v>101</v>
      </c>
      <c r="Y24" s="346">
        <v>55110</v>
      </c>
      <c r="Z24" s="346">
        <v>5</v>
      </c>
      <c r="AA24" s="346" t="s">
        <v>996</v>
      </c>
    </row>
    <row r="25" spans="1:27" hidden="1" x14ac:dyDescent="0.25">
      <c r="A25" s="346" t="s">
        <v>5396</v>
      </c>
      <c r="B25" s="346">
        <v>1100000153</v>
      </c>
      <c r="E25" s="346">
        <v>2022</v>
      </c>
      <c r="F25" s="346">
        <v>6</v>
      </c>
      <c r="G25" s="346">
        <v>50</v>
      </c>
      <c r="H25" s="346">
        <v>46.596179999999997</v>
      </c>
      <c r="I25" s="346">
        <v>46.596179999999997</v>
      </c>
      <c r="J25" s="346">
        <v>40123.343180000003</v>
      </c>
      <c r="K25" s="346">
        <v>41165.093840000001</v>
      </c>
      <c r="L25" s="346">
        <v>4779.25</v>
      </c>
      <c r="N25" s="346">
        <v>10916.10986</v>
      </c>
      <c r="O25" s="346">
        <v>12049.44319</v>
      </c>
      <c r="P25" s="346">
        <v>73881.944990000004</v>
      </c>
      <c r="Q25" s="346">
        <v>15284.9349</v>
      </c>
      <c r="R25" s="346">
        <v>11468.54963</v>
      </c>
      <c r="S25" s="346">
        <v>2658.9220070000001</v>
      </c>
      <c r="T25" s="346">
        <v>5501.8232930000004</v>
      </c>
      <c r="U25" s="346">
        <v>-482.57411480000002</v>
      </c>
      <c r="V25" s="346">
        <v>-5984.3974079999998</v>
      </c>
      <c r="W25" s="346">
        <v>-9275.2613089999995</v>
      </c>
      <c r="X25" s="346" t="s">
        <v>101</v>
      </c>
      <c r="Y25" s="346">
        <v>55110</v>
      </c>
      <c r="Z25" s="346">
        <v>5</v>
      </c>
      <c r="AA25" s="346" t="s">
        <v>996</v>
      </c>
    </row>
    <row r="26" spans="1:27" hidden="1" x14ac:dyDescent="0.25">
      <c r="A26" s="346" t="s">
        <v>5397</v>
      </c>
      <c r="B26" s="346">
        <v>1100000223</v>
      </c>
      <c r="E26" s="346">
        <v>2022</v>
      </c>
      <c r="F26" s="346">
        <v>6</v>
      </c>
      <c r="G26" s="346">
        <v>1765.404401</v>
      </c>
      <c r="H26" s="346">
        <v>138.83441999999999</v>
      </c>
      <c r="I26" s="346">
        <v>138.83441999999999</v>
      </c>
      <c r="J26" s="346">
        <v>28996.678879999999</v>
      </c>
      <c r="K26" s="346">
        <v>28394.238710000001</v>
      </c>
      <c r="L26" s="346">
        <v>806.43225689999997</v>
      </c>
      <c r="N26" s="346">
        <v>14795.012189999999</v>
      </c>
      <c r="O26" s="346">
        <v>14795.012189999999</v>
      </c>
      <c r="P26" s="346">
        <v>26559.555</v>
      </c>
      <c r="Q26" s="346">
        <v>5860.6157599999997</v>
      </c>
      <c r="R26" s="346">
        <v>5595.0569370000003</v>
      </c>
      <c r="T26" s="346">
        <v>2422.5</v>
      </c>
      <c r="U26" s="346">
        <v>3024.9401659999999</v>
      </c>
      <c r="V26" s="346">
        <v>481.9521325</v>
      </c>
      <c r="W26" s="346">
        <v>405.46859219999999</v>
      </c>
      <c r="X26" s="346" t="s">
        <v>101</v>
      </c>
      <c r="Y26" s="346">
        <v>55100</v>
      </c>
      <c r="Z26" s="346">
        <v>5</v>
      </c>
      <c r="AA26" s="346" t="s">
        <v>996</v>
      </c>
    </row>
    <row r="27" spans="1:27" hidden="1" x14ac:dyDescent="0.25">
      <c r="A27" s="346" t="s">
        <v>5398</v>
      </c>
      <c r="B27" s="346">
        <v>1100000225</v>
      </c>
      <c r="E27" s="346">
        <v>2022</v>
      </c>
      <c r="F27" s="346">
        <v>6</v>
      </c>
      <c r="G27" s="346">
        <v>12721.628059999999</v>
      </c>
      <c r="H27" s="346">
        <v>5290.8572759999997</v>
      </c>
      <c r="I27" s="346">
        <v>5290.8572759999997</v>
      </c>
      <c r="J27" s="346">
        <v>45876.44182</v>
      </c>
      <c r="K27" s="346">
        <v>58596.448360000002</v>
      </c>
      <c r="L27" s="346">
        <v>-4954.3312679999999</v>
      </c>
      <c r="N27" s="346">
        <v>19057.414980000001</v>
      </c>
      <c r="O27" s="346">
        <v>19057.414980000001</v>
      </c>
      <c r="P27" s="346">
        <v>31260</v>
      </c>
      <c r="Q27" s="346">
        <v>68386.106060000006</v>
      </c>
      <c r="R27" s="346">
        <v>65287.364459999997</v>
      </c>
      <c r="S27" s="346">
        <v>2037.059242</v>
      </c>
      <c r="T27" s="346">
        <v>223.76521120000001</v>
      </c>
      <c r="U27" s="346">
        <v>-9345.0065340000001</v>
      </c>
      <c r="V27" s="346">
        <v>-9568.771745</v>
      </c>
      <c r="W27" s="346">
        <v>-9989.0241559999995</v>
      </c>
      <c r="X27" s="346" t="s">
        <v>101</v>
      </c>
      <c r="Y27" s="346">
        <v>26600</v>
      </c>
      <c r="Z27" s="346">
        <v>5</v>
      </c>
      <c r="AA27" s="346" t="s">
        <v>996</v>
      </c>
    </row>
    <row r="28" spans="1:27" hidden="1" x14ac:dyDescent="0.25">
      <c r="A28" s="346" t="s">
        <v>5399</v>
      </c>
      <c r="B28" s="346">
        <v>1200000131</v>
      </c>
      <c r="E28" s="346">
        <v>2022</v>
      </c>
      <c r="F28" s="346">
        <v>6</v>
      </c>
      <c r="G28" s="346">
        <v>341.72702340000001</v>
      </c>
      <c r="H28" s="346">
        <v>-200.99199999999999</v>
      </c>
      <c r="I28" s="346">
        <v>-200.99199999999999</v>
      </c>
      <c r="J28" s="346">
        <v>7756.332136</v>
      </c>
      <c r="K28" s="346">
        <v>7907.4286009999996</v>
      </c>
      <c r="L28" s="346">
        <v>466.70499999999998</v>
      </c>
      <c r="N28" s="346">
        <v>3434.9470000000001</v>
      </c>
      <c r="O28" s="346">
        <v>3434.9470000000001</v>
      </c>
      <c r="P28" s="346">
        <v>7113.0178999999998</v>
      </c>
      <c r="Q28" s="346">
        <v>3443.523741</v>
      </c>
      <c r="R28" s="346">
        <v>3287.4892639999998</v>
      </c>
      <c r="S28" s="346">
        <v>103.32306920000001</v>
      </c>
      <c r="T28" s="346">
        <v>438.00483279999997</v>
      </c>
      <c r="U28" s="346">
        <v>559.66977880000002</v>
      </c>
      <c r="V28" s="346">
        <v>94.674416260000001</v>
      </c>
      <c r="W28" s="346">
        <v>247.44504860000001</v>
      </c>
      <c r="X28" s="346" t="s">
        <v>101</v>
      </c>
      <c r="Y28" s="346">
        <v>55100</v>
      </c>
      <c r="Z28" s="346">
        <v>5</v>
      </c>
      <c r="AA28" s="346" t="s">
        <v>996</v>
      </c>
    </row>
    <row r="29" spans="1:27" hidden="1" x14ac:dyDescent="0.25">
      <c r="A29" s="346" t="s">
        <v>5400</v>
      </c>
      <c r="B29" s="346">
        <v>1200000143</v>
      </c>
      <c r="E29" s="346">
        <v>2022</v>
      </c>
      <c r="F29" s="346">
        <v>6</v>
      </c>
      <c r="G29" s="346">
        <v>231.57559470000001</v>
      </c>
      <c r="H29" s="346">
        <v>106.07899999999999</v>
      </c>
      <c r="I29" s="346">
        <v>106.07899999999999</v>
      </c>
      <c r="J29" s="346">
        <v>5602.5425649999997</v>
      </c>
      <c r="K29" s="346">
        <v>5808.7400319999997</v>
      </c>
      <c r="L29" s="346">
        <v>393.84832080000001</v>
      </c>
      <c r="N29" s="346">
        <v>393.84832080000001</v>
      </c>
      <c r="O29" s="346">
        <v>393.84832080000001</v>
      </c>
      <c r="P29" s="346">
        <v>3657.6668399999999</v>
      </c>
      <c r="Q29" s="346">
        <v>2782.0412369999999</v>
      </c>
      <c r="R29" s="346">
        <v>2605.092427</v>
      </c>
      <c r="S29" s="346">
        <v>56.904951660000002</v>
      </c>
      <c r="T29" s="346">
        <v>69.240243179999993</v>
      </c>
      <c r="U29" s="346">
        <v>243.1378473</v>
      </c>
      <c r="V29" s="346">
        <v>127.46713990000001</v>
      </c>
      <c r="W29" s="346">
        <v>127.7638943</v>
      </c>
      <c r="X29" s="346" t="s">
        <v>101</v>
      </c>
      <c r="Y29" s="346">
        <v>55100</v>
      </c>
      <c r="Z29" s="346">
        <v>5</v>
      </c>
      <c r="AA29" s="346" t="s">
        <v>996</v>
      </c>
    </row>
    <row r="30" spans="1:27" hidden="1" x14ac:dyDescent="0.25">
      <c r="A30" s="346" t="s">
        <v>5401</v>
      </c>
      <c r="B30" s="346">
        <v>1100000136</v>
      </c>
      <c r="E30" s="346">
        <v>2022</v>
      </c>
      <c r="F30" s="346">
        <v>6</v>
      </c>
      <c r="G30" s="346">
        <v>412.73303950000002</v>
      </c>
      <c r="H30" s="346">
        <v>472.41322000000002</v>
      </c>
      <c r="I30" s="346">
        <v>472.41322000000002</v>
      </c>
      <c r="J30" s="346">
        <v>2493.0824149999999</v>
      </c>
      <c r="K30" s="346">
        <v>2442.2892539999998</v>
      </c>
      <c r="L30" s="346">
        <v>457.49285149999997</v>
      </c>
      <c r="N30" s="346">
        <v>3361.9918510000002</v>
      </c>
      <c r="O30" s="346">
        <v>3361.9918510000002</v>
      </c>
      <c r="P30" s="346">
        <v>2191.3910000000001</v>
      </c>
      <c r="Q30" s="346">
        <v>3302.2826319999999</v>
      </c>
      <c r="R30" s="346">
        <v>3152.6481349999999</v>
      </c>
      <c r="S30" s="346">
        <v>95.780357530000003</v>
      </c>
      <c r="U30" s="346">
        <v>378.31701829999997</v>
      </c>
      <c r="V30" s="346">
        <v>302.65361469999999</v>
      </c>
      <c r="W30" s="346">
        <v>190.2871126</v>
      </c>
      <c r="X30" s="346" t="s">
        <v>101</v>
      </c>
      <c r="Y30" s="346">
        <v>56302</v>
      </c>
      <c r="Z30" s="346">
        <v>5</v>
      </c>
      <c r="AA30" s="346" t="s">
        <v>996</v>
      </c>
    </row>
    <row r="31" spans="1:27" hidden="1" x14ac:dyDescent="0.25">
      <c r="A31" s="346" t="s">
        <v>5402</v>
      </c>
      <c r="B31" s="346">
        <v>1100000190</v>
      </c>
      <c r="E31" s="346">
        <v>2022</v>
      </c>
      <c r="F31" s="346">
        <v>6</v>
      </c>
      <c r="G31" s="346">
        <v>1749.3812089999999</v>
      </c>
      <c r="H31" s="346">
        <v>219.84800000000001</v>
      </c>
      <c r="I31" s="346">
        <v>219.84800000000001</v>
      </c>
      <c r="J31" s="346">
        <v>25810.17643</v>
      </c>
      <c r="K31" s="346">
        <v>26708.573230000002</v>
      </c>
      <c r="L31" s="346">
        <v>639.25099999999998</v>
      </c>
      <c r="N31" s="346">
        <v>1707.8920000000001</v>
      </c>
      <c r="O31" s="346">
        <v>1745.9690000000001</v>
      </c>
      <c r="P31" s="346">
        <v>29133.973999999998</v>
      </c>
      <c r="Q31" s="346">
        <v>5896.0784379999996</v>
      </c>
      <c r="R31" s="346">
        <v>5561.8184229999997</v>
      </c>
      <c r="S31" s="346">
        <v>256.92246870000002</v>
      </c>
      <c r="T31" s="346">
        <v>1002.187403</v>
      </c>
      <c r="U31" s="346">
        <v>621.60319700000002</v>
      </c>
      <c r="V31" s="346">
        <v>-380.58420610000002</v>
      </c>
      <c r="W31" s="346">
        <v>-567.71698000000004</v>
      </c>
      <c r="X31" s="346" t="s">
        <v>101</v>
      </c>
      <c r="Y31" s="346">
        <v>87200</v>
      </c>
      <c r="Z31" s="346">
        <v>5</v>
      </c>
      <c r="AA31" s="346" t="s">
        <v>996</v>
      </c>
    </row>
    <row r="32" spans="1:27" hidden="1" x14ac:dyDescent="0.25">
      <c r="A32" s="346" t="s">
        <v>5403</v>
      </c>
      <c r="B32" s="346">
        <v>1100000226</v>
      </c>
      <c r="E32" s="346">
        <v>2022</v>
      </c>
      <c r="F32" s="346">
        <v>6</v>
      </c>
      <c r="G32" s="346">
        <v>50</v>
      </c>
      <c r="H32" s="346">
        <v>3379.9290000000001</v>
      </c>
      <c r="I32" s="346">
        <v>3379.9290000000001</v>
      </c>
      <c r="J32" s="346">
        <v>86602.847200000004</v>
      </c>
      <c r="K32" s="346">
        <v>87738.940050000005</v>
      </c>
      <c r="L32" s="346">
        <v>2312.3519999999999</v>
      </c>
      <c r="N32" s="346">
        <v>4863.6859999999997</v>
      </c>
      <c r="O32" s="346">
        <v>4863.6859999999997</v>
      </c>
      <c r="P32" s="346">
        <v>64718.778749999998</v>
      </c>
      <c r="Q32" s="346">
        <v>18562.144240000001</v>
      </c>
      <c r="R32" s="346">
        <v>17721.04811</v>
      </c>
      <c r="S32" s="346">
        <v>838.19190119999996</v>
      </c>
      <c r="T32" s="346">
        <v>15381.513269999999</v>
      </c>
      <c r="U32" s="346">
        <v>890.6188363</v>
      </c>
      <c r="V32" s="346">
        <v>-14490.89444</v>
      </c>
      <c r="W32" s="346">
        <v>-14781.344069999999</v>
      </c>
      <c r="X32" s="346" t="s">
        <v>101</v>
      </c>
      <c r="Y32" s="346">
        <v>56302</v>
      </c>
      <c r="Z32" s="346">
        <v>5</v>
      </c>
      <c r="AA32" s="346" t="s">
        <v>996</v>
      </c>
    </row>
    <row r="33" spans="1:27" hidden="1" x14ac:dyDescent="0.25">
      <c r="A33" s="346" t="s">
        <v>5404</v>
      </c>
      <c r="B33" s="346">
        <v>1100000002</v>
      </c>
      <c r="E33" s="346">
        <v>2022</v>
      </c>
      <c r="F33" s="346">
        <v>6</v>
      </c>
      <c r="G33" s="346">
        <v>125.2646104</v>
      </c>
      <c r="J33" s="346">
        <v>16278.27988</v>
      </c>
      <c r="K33" s="346">
        <v>16342.54997</v>
      </c>
      <c r="N33" s="346">
        <v>0</v>
      </c>
      <c r="P33" s="346">
        <v>6574.7867200000001</v>
      </c>
      <c r="Q33" s="346">
        <v>3370.980333</v>
      </c>
      <c r="R33" s="346">
        <v>3218.2329749999999</v>
      </c>
      <c r="T33" s="346">
        <v>680.57546479999996</v>
      </c>
      <c r="U33" s="346">
        <v>703.79352940000001</v>
      </c>
      <c r="V33" s="346">
        <v>10.966101419999999</v>
      </c>
      <c r="W33" s="346">
        <v>-77.885179030000003</v>
      </c>
      <c r="X33" s="346" t="s">
        <v>101</v>
      </c>
      <c r="Y33" s="346">
        <v>55100</v>
      </c>
      <c r="Z33" s="346">
        <v>5</v>
      </c>
      <c r="AA33" s="346" t="s">
        <v>996</v>
      </c>
    </row>
    <row r="34" spans="1:27" hidden="1" x14ac:dyDescent="0.25">
      <c r="A34" s="346" t="s">
        <v>5405</v>
      </c>
      <c r="B34" s="346">
        <v>1100000202</v>
      </c>
      <c r="E34" s="346">
        <v>2022</v>
      </c>
      <c r="F34" s="346">
        <v>6</v>
      </c>
      <c r="G34" s="346">
        <v>50</v>
      </c>
      <c r="H34" s="346">
        <v>35.199860000000001</v>
      </c>
      <c r="I34" s="346">
        <v>35.199860000000001</v>
      </c>
      <c r="J34" s="346">
        <v>5614.1072400000003</v>
      </c>
      <c r="K34" s="346">
        <v>5914.8156410000001</v>
      </c>
      <c r="L34" s="346">
        <v>578.90259000000003</v>
      </c>
      <c r="N34" s="346">
        <v>648.82230000000004</v>
      </c>
      <c r="O34" s="346">
        <v>648.82230000000004</v>
      </c>
      <c r="P34" s="346">
        <v>7905.7048709999999</v>
      </c>
      <c r="Q34" s="346">
        <v>3358.0221580000002</v>
      </c>
      <c r="R34" s="346">
        <v>3205.8619669999998</v>
      </c>
      <c r="S34" s="346">
        <v>130.9541906</v>
      </c>
      <c r="U34" s="346">
        <v>177.12635420000001</v>
      </c>
      <c r="V34" s="346">
        <v>141.70108339999999</v>
      </c>
      <c r="W34" s="346">
        <v>109.06017370000001</v>
      </c>
      <c r="X34" s="346" t="s">
        <v>101</v>
      </c>
      <c r="Y34" s="346">
        <v>55100</v>
      </c>
      <c r="Z34" s="346">
        <v>5</v>
      </c>
      <c r="AA34" s="346" t="s">
        <v>996</v>
      </c>
    </row>
    <row r="35" spans="1:27" hidden="1" x14ac:dyDescent="0.25">
      <c r="A35" s="346" t="s">
        <v>5406</v>
      </c>
      <c r="B35" s="346">
        <v>1200000117</v>
      </c>
      <c r="E35" s="346">
        <v>2022</v>
      </c>
      <c r="F35" s="346">
        <v>6</v>
      </c>
      <c r="G35" s="346">
        <v>769.31396159999997</v>
      </c>
      <c r="H35" s="346">
        <v>391.66025000000002</v>
      </c>
      <c r="I35" s="346">
        <v>391.66025000000002</v>
      </c>
      <c r="J35" s="346">
        <v>7630.8547760000001</v>
      </c>
      <c r="K35" s="346">
        <v>7557.2570580000001</v>
      </c>
      <c r="L35" s="346">
        <v>701.68349000000001</v>
      </c>
      <c r="N35" s="346">
        <v>8649.1076599999997</v>
      </c>
      <c r="O35" s="346">
        <v>8714.1076599999997</v>
      </c>
      <c r="P35" s="346">
        <v>6214.8549999999996</v>
      </c>
      <c r="Q35" s="346">
        <v>6221.7040429999997</v>
      </c>
      <c r="R35" s="346">
        <v>5939.7834270000003</v>
      </c>
      <c r="S35" s="346">
        <v>149.758365</v>
      </c>
      <c r="U35" s="346">
        <v>493.99771779999998</v>
      </c>
      <c r="V35" s="346">
        <v>395.19817430000001</v>
      </c>
      <c r="W35" s="346">
        <v>110.3752964</v>
      </c>
      <c r="X35" s="346" t="s">
        <v>101</v>
      </c>
      <c r="Y35" s="346">
        <v>56302</v>
      </c>
      <c r="Z35" s="346">
        <v>5</v>
      </c>
      <c r="AA35" s="346" t="s">
        <v>996</v>
      </c>
    </row>
    <row r="36" spans="1:27" hidden="1" x14ac:dyDescent="0.25">
      <c r="A36" s="346" t="s">
        <v>5407</v>
      </c>
      <c r="B36" s="346">
        <v>1100000175</v>
      </c>
      <c r="E36" s="346">
        <v>2022</v>
      </c>
      <c r="F36" s="346">
        <v>6</v>
      </c>
      <c r="G36" s="346">
        <v>50</v>
      </c>
      <c r="J36" s="346">
        <v>83.454653649999997</v>
      </c>
      <c r="K36" s="346">
        <v>257.7521011</v>
      </c>
      <c r="N36" s="346">
        <v>0</v>
      </c>
      <c r="P36" s="346">
        <v>27466.032490000001</v>
      </c>
      <c r="Q36" s="346">
        <v>3282.6153370000002</v>
      </c>
      <c r="R36" s="346">
        <v>2463.002763</v>
      </c>
      <c r="T36" s="346">
        <v>2527.6871649999998</v>
      </c>
      <c r="U36" s="346">
        <v>417.1614659</v>
      </c>
      <c r="V36" s="346">
        <v>-2110.5256989999998</v>
      </c>
      <c r="W36" s="346">
        <v>-2453.177369</v>
      </c>
      <c r="X36" s="346" t="s">
        <v>101</v>
      </c>
      <c r="Y36" s="346">
        <v>55100</v>
      </c>
      <c r="Z36" s="346">
        <v>5</v>
      </c>
      <c r="AA36" s="346" t="s">
        <v>996</v>
      </c>
    </row>
    <row r="37" spans="1:27" hidden="1" x14ac:dyDescent="0.25">
      <c r="A37" s="346" t="s">
        <v>5408</v>
      </c>
      <c r="B37" s="346">
        <v>1200000105</v>
      </c>
      <c r="E37" s="346">
        <v>2022</v>
      </c>
      <c r="F37" s="346">
        <v>6</v>
      </c>
      <c r="G37" s="346">
        <v>236.4883725</v>
      </c>
      <c r="H37" s="346">
        <v>105.16246</v>
      </c>
      <c r="I37" s="346">
        <v>105.16246</v>
      </c>
      <c r="J37" s="346">
        <v>1034.3573120000001</v>
      </c>
      <c r="K37" s="346">
        <v>868.85262890000001</v>
      </c>
      <c r="L37" s="346">
        <v>-160.98150999999999</v>
      </c>
      <c r="N37" s="346">
        <v>210.31985</v>
      </c>
      <c r="O37" s="346">
        <v>210.31985</v>
      </c>
      <c r="P37" s="346">
        <v>1567.701</v>
      </c>
      <c r="Q37" s="346">
        <v>997.89283399999999</v>
      </c>
      <c r="R37" s="346">
        <v>952.67587079999998</v>
      </c>
      <c r="T37" s="346">
        <v>177.39952679999999</v>
      </c>
      <c r="U37" s="346">
        <v>434.67220959999997</v>
      </c>
      <c r="V37" s="346">
        <v>205.8181462</v>
      </c>
      <c r="W37" s="346">
        <v>205.57151429999999</v>
      </c>
      <c r="X37" s="346" t="s">
        <v>101</v>
      </c>
      <c r="Y37" s="346">
        <v>55100</v>
      </c>
      <c r="Z37" s="346">
        <v>5</v>
      </c>
      <c r="AA37" s="346" t="s">
        <v>996</v>
      </c>
    </row>
    <row r="38" spans="1:27" hidden="1" x14ac:dyDescent="0.25">
      <c r="A38" s="346" t="s">
        <v>5409</v>
      </c>
      <c r="B38" s="346">
        <v>1200000121</v>
      </c>
      <c r="E38" s="346">
        <v>2022</v>
      </c>
      <c r="F38" s="346">
        <v>6</v>
      </c>
      <c r="G38" s="346">
        <v>50</v>
      </c>
      <c r="H38" s="346">
        <v>19.452999999999999</v>
      </c>
      <c r="I38" s="346">
        <v>19.452999999999999</v>
      </c>
      <c r="J38" s="346">
        <v>3846.0291350000002</v>
      </c>
      <c r="K38" s="346">
        <v>4016.2139029999998</v>
      </c>
      <c r="L38" s="346">
        <v>113.03</v>
      </c>
      <c r="N38" s="346">
        <v>443.93299999999999</v>
      </c>
      <c r="O38" s="346">
        <v>443.93299999999999</v>
      </c>
      <c r="P38" s="346">
        <v>2908.89788</v>
      </c>
      <c r="Q38" s="346">
        <v>1661.317145</v>
      </c>
      <c r="R38" s="346">
        <v>1586.0388049999999</v>
      </c>
      <c r="S38" s="346">
        <v>40.311268750000004</v>
      </c>
      <c r="T38" s="346">
        <v>30.101953380000001</v>
      </c>
      <c r="U38" s="346">
        <v>94.298156469999995</v>
      </c>
      <c r="V38" s="346">
        <v>51.356962469999999</v>
      </c>
      <c r="W38" s="346">
        <v>-18.012556969999999</v>
      </c>
      <c r="X38" s="346" t="s">
        <v>101</v>
      </c>
      <c r="Y38" s="346">
        <v>56302</v>
      </c>
      <c r="Z38" s="346">
        <v>5</v>
      </c>
      <c r="AA38" s="346" t="s">
        <v>996</v>
      </c>
    </row>
    <row r="39" spans="1:27" hidden="1" x14ac:dyDescent="0.25">
      <c r="A39" s="346" t="s">
        <v>5410</v>
      </c>
      <c r="B39" s="346">
        <v>1200000139</v>
      </c>
      <c r="E39" s="346">
        <v>2022</v>
      </c>
      <c r="F39" s="346">
        <v>6</v>
      </c>
      <c r="G39" s="346">
        <v>50</v>
      </c>
      <c r="J39" s="346">
        <v>12858.10814</v>
      </c>
      <c r="K39" s="346">
        <v>12830.003769999999</v>
      </c>
      <c r="N39" s="346">
        <v>0</v>
      </c>
      <c r="P39" s="346">
        <v>5500.8912440000004</v>
      </c>
      <c r="Q39" s="346">
        <v>3694.8113020000001</v>
      </c>
      <c r="R39" s="346">
        <v>3527.3903719999998</v>
      </c>
      <c r="T39" s="346">
        <v>515.50038159999997</v>
      </c>
      <c r="U39" s="346">
        <v>42.71351611</v>
      </c>
      <c r="V39" s="346">
        <v>-472.78686549999998</v>
      </c>
      <c r="W39" s="346">
        <v>-67.85415605</v>
      </c>
      <c r="X39" s="346" t="s">
        <v>101</v>
      </c>
      <c r="Y39" s="346">
        <v>55100</v>
      </c>
      <c r="Z39" s="346">
        <v>5</v>
      </c>
      <c r="AA39" s="346" t="s">
        <v>996</v>
      </c>
    </row>
    <row r="40" spans="1:27" hidden="1" x14ac:dyDescent="0.25">
      <c r="A40" s="346" t="s">
        <v>5371</v>
      </c>
      <c r="B40" s="346">
        <v>1100000224</v>
      </c>
      <c r="E40" s="346">
        <v>2022</v>
      </c>
      <c r="F40" s="346">
        <v>6</v>
      </c>
      <c r="G40" s="346">
        <v>418.5098127</v>
      </c>
      <c r="J40" s="346">
        <v>104676.4722</v>
      </c>
      <c r="K40" s="346">
        <v>104195.42419999999</v>
      </c>
      <c r="N40" s="346">
        <v>0</v>
      </c>
      <c r="P40" s="346">
        <v>1761.125873</v>
      </c>
      <c r="Q40" s="346">
        <v>14713.85233</v>
      </c>
      <c r="R40" s="346">
        <v>11040.056549999999</v>
      </c>
      <c r="T40" s="346">
        <v>161.38506509999999</v>
      </c>
      <c r="U40" s="346">
        <v>387.7104152</v>
      </c>
      <c r="V40" s="346">
        <v>132.63832120000001</v>
      </c>
      <c r="W40" s="346">
        <v>-1911.0093400000001</v>
      </c>
      <c r="X40" s="346" t="s">
        <v>101</v>
      </c>
      <c r="Y40" s="346">
        <v>55100</v>
      </c>
      <c r="Z40" s="346">
        <v>5</v>
      </c>
      <c r="AA40" s="346" t="s">
        <v>996</v>
      </c>
    </row>
    <row r="41" spans="1:27" x14ac:dyDescent="0.25">
      <c r="A41" s="346" t="s">
        <v>5411</v>
      </c>
      <c r="B41" s="346">
        <v>1100000279</v>
      </c>
      <c r="C41" s="346">
        <v>90</v>
      </c>
      <c r="G41" s="346">
        <v>50</v>
      </c>
      <c r="H41" s="346">
        <v>130.226</v>
      </c>
      <c r="I41" s="346">
        <v>130.226</v>
      </c>
      <c r="J41" s="346">
        <v>2057.1580429999999</v>
      </c>
      <c r="K41" s="346">
        <v>2148.1593469999998</v>
      </c>
      <c r="L41" s="346">
        <v>530.65099999999995</v>
      </c>
      <c r="N41" s="346">
        <v>1640.309</v>
      </c>
      <c r="O41" s="346">
        <v>1640.309</v>
      </c>
      <c r="P41" s="346">
        <v>16260.208339999999</v>
      </c>
      <c r="Q41" s="346">
        <v>1936.758384</v>
      </c>
      <c r="R41" s="346">
        <v>1453.183137</v>
      </c>
      <c r="S41" s="346">
        <v>108.2472704</v>
      </c>
      <c r="T41" s="346">
        <v>1325.139371</v>
      </c>
      <c r="U41" s="346">
        <v>184.0503137</v>
      </c>
      <c r="V41" s="346">
        <v>-1141.0890569999999</v>
      </c>
      <c r="W41" s="346">
        <v>-1054.632155</v>
      </c>
      <c r="X41" s="346" t="s">
        <v>101</v>
      </c>
      <c r="Y41" s="346">
        <v>55100</v>
      </c>
      <c r="Z41" s="346">
        <v>5</v>
      </c>
      <c r="AA41" s="346" t="s">
        <v>996</v>
      </c>
    </row>
    <row r="42" spans="1:27" hidden="1" x14ac:dyDescent="0.25">
      <c r="A42" s="346" t="s">
        <v>965</v>
      </c>
      <c r="B42" s="346">
        <v>1100000004</v>
      </c>
      <c r="E42" s="346">
        <v>2022</v>
      </c>
      <c r="F42" s="346">
        <v>6</v>
      </c>
      <c r="G42" s="346">
        <v>1513.5470560000001</v>
      </c>
      <c r="H42" s="346">
        <v>76.261970000000005</v>
      </c>
      <c r="I42" s="346">
        <v>76.261970000000005</v>
      </c>
      <c r="J42" s="346">
        <v>1624.458153</v>
      </c>
      <c r="K42" s="346">
        <v>816.18505870000001</v>
      </c>
      <c r="L42" s="346">
        <v>226.18226999999999</v>
      </c>
      <c r="N42" s="346">
        <v>758.18001000000004</v>
      </c>
      <c r="O42" s="346">
        <v>758.18001000000004</v>
      </c>
      <c r="P42" s="346">
        <v>978.72445000000005</v>
      </c>
      <c r="Q42" s="346">
        <v>4278.7018520000001</v>
      </c>
      <c r="R42" s="346">
        <v>3369.9323250000002</v>
      </c>
      <c r="S42" s="346">
        <v>28.29360625</v>
      </c>
      <c r="T42" s="346">
        <v>114.4680489</v>
      </c>
      <c r="U42" s="346">
        <v>1117.5531430000001</v>
      </c>
      <c r="V42" s="346">
        <v>802.46807560000002</v>
      </c>
      <c r="W42" s="346">
        <v>842.0543917</v>
      </c>
      <c r="X42" s="346" t="s">
        <v>101</v>
      </c>
      <c r="Y42" s="346">
        <v>64929</v>
      </c>
      <c r="Z42" s="346">
        <v>5</v>
      </c>
      <c r="AA42" s="346" t="s">
        <v>996</v>
      </c>
    </row>
    <row r="43" spans="1:27" hidden="1" x14ac:dyDescent="0.25">
      <c r="A43" s="346" t="s">
        <v>5412</v>
      </c>
      <c r="B43" s="346">
        <v>1100000119</v>
      </c>
      <c r="E43" s="346">
        <v>2022</v>
      </c>
      <c r="F43" s="346">
        <v>6</v>
      </c>
      <c r="G43" s="346">
        <v>1153.999331</v>
      </c>
      <c r="H43" s="346">
        <v>295.62184000000002</v>
      </c>
      <c r="I43" s="346">
        <v>295.62184000000002</v>
      </c>
      <c r="J43" s="346">
        <v>2154.6210809999998</v>
      </c>
      <c r="K43" s="346">
        <v>2757.6414599999998</v>
      </c>
      <c r="L43" s="346">
        <v>255.13604000000001</v>
      </c>
      <c r="N43" s="346">
        <v>1635.0454</v>
      </c>
      <c r="O43" s="346">
        <v>1635.0454</v>
      </c>
      <c r="P43" s="346">
        <v>2765.1436100000001</v>
      </c>
      <c r="Q43" s="346">
        <v>6509.3850000000002</v>
      </c>
      <c r="R43" s="346">
        <v>5723.4750000000004</v>
      </c>
      <c r="S43" s="346">
        <v>38.288713110000003</v>
      </c>
      <c r="T43" s="346">
        <v>412.59865020000001</v>
      </c>
      <c r="U43" s="346">
        <v>425.77128690000001</v>
      </c>
      <c r="V43" s="346">
        <v>5.0331751530000002</v>
      </c>
      <c r="W43" s="346">
        <v>-429.25914030000001</v>
      </c>
      <c r="X43" s="346" t="s">
        <v>101</v>
      </c>
      <c r="Y43" s="346">
        <v>66290</v>
      </c>
      <c r="Z43" s="346">
        <v>5</v>
      </c>
      <c r="AA43" s="346" t="s">
        <v>996</v>
      </c>
    </row>
    <row r="44" spans="1:27" hidden="1" x14ac:dyDescent="0.25">
      <c r="A44" s="346" t="s">
        <v>5413</v>
      </c>
      <c r="B44" s="346">
        <v>1100000126</v>
      </c>
      <c r="E44" s="346">
        <v>2022</v>
      </c>
      <c r="F44" s="346">
        <v>6</v>
      </c>
      <c r="G44" s="346">
        <v>2939.379152</v>
      </c>
      <c r="H44" s="346">
        <v>51.380510000000001</v>
      </c>
      <c r="I44" s="346">
        <v>51.380510000000001</v>
      </c>
      <c r="J44" s="346">
        <v>3873.0389180000002</v>
      </c>
      <c r="K44" s="346">
        <v>2942.310219</v>
      </c>
      <c r="L44" s="346">
        <v>314.56518999999997</v>
      </c>
      <c r="N44" s="346">
        <v>868.88576</v>
      </c>
      <c r="O44" s="346">
        <v>868.88576</v>
      </c>
      <c r="P44" s="346">
        <v>-3199.3780900000002</v>
      </c>
      <c r="Q44" s="346">
        <v>4320.2116130000004</v>
      </c>
      <c r="R44" s="346">
        <v>5205</v>
      </c>
      <c r="S44" s="346">
        <v>5.3955051889999996</v>
      </c>
      <c r="T44" s="346">
        <v>44.433345940000002</v>
      </c>
      <c r="U44" s="346">
        <v>1391.830044</v>
      </c>
      <c r="V44" s="346">
        <v>1077.917359</v>
      </c>
      <c r="W44" s="346">
        <v>1100.6666829999999</v>
      </c>
      <c r="X44" s="346" t="s">
        <v>101</v>
      </c>
      <c r="Y44" s="346">
        <v>43999</v>
      </c>
      <c r="Z44" s="346">
        <v>5</v>
      </c>
      <c r="AA44" s="346" t="s">
        <v>996</v>
      </c>
    </row>
    <row r="45" spans="1:27" hidden="1" x14ac:dyDescent="0.25">
      <c r="A45" s="346" t="s">
        <v>5414</v>
      </c>
      <c r="B45" s="346">
        <v>1100000184</v>
      </c>
      <c r="E45" s="346">
        <v>2022</v>
      </c>
      <c r="F45" s="346">
        <v>6</v>
      </c>
      <c r="G45" s="346">
        <v>6030.7496510000001</v>
      </c>
      <c r="H45" s="346">
        <v>8966.3950000000004</v>
      </c>
      <c r="I45" s="346">
        <v>8966.3950000000004</v>
      </c>
      <c r="J45" s="346">
        <v>26018.217229999998</v>
      </c>
      <c r="K45" s="346">
        <v>25307.336619999998</v>
      </c>
      <c r="L45" s="346">
        <v>6290.9054999999998</v>
      </c>
      <c r="N45" s="346">
        <v>12518.5715</v>
      </c>
      <c r="O45" s="346">
        <v>12518.5715</v>
      </c>
      <c r="P45" s="346">
        <v>29013.771199999999</v>
      </c>
      <c r="Q45" s="346">
        <v>43836.311130000002</v>
      </c>
      <c r="R45" s="346">
        <v>39521.799939999997</v>
      </c>
      <c r="S45" s="346">
        <v>660.06626310000001</v>
      </c>
      <c r="T45" s="346">
        <v>3953.460462</v>
      </c>
      <c r="U45" s="346">
        <v>2110.5056119999999</v>
      </c>
      <c r="V45" s="346">
        <v>-1842.9548500000001</v>
      </c>
      <c r="W45" s="346">
        <v>-5383.8942399999996</v>
      </c>
      <c r="X45" s="346" t="s">
        <v>101</v>
      </c>
      <c r="Y45" s="346">
        <v>43999</v>
      </c>
      <c r="Z45" s="346">
        <v>5</v>
      </c>
      <c r="AA45" s="346" t="s">
        <v>996</v>
      </c>
    </row>
    <row r="46" spans="1:27" hidden="1" x14ac:dyDescent="0.25">
      <c r="A46" s="346" t="s">
        <v>5415</v>
      </c>
      <c r="B46" s="346">
        <v>1100000111</v>
      </c>
      <c r="E46" s="346">
        <v>2022</v>
      </c>
      <c r="F46" s="346">
        <v>6</v>
      </c>
      <c r="G46" s="346">
        <v>1291.4496879999999</v>
      </c>
      <c r="H46" s="346">
        <v>1343.075</v>
      </c>
      <c r="I46" s="346">
        <v>1343.075</v>
      </c>
      <c r="J46" s="346">
        <v>4725.6730539999999</v>
      </c>
      <c r="K46" s="346">
        <v>4134.9139960000002</v>
      </c>
      <c r="L46" s="346">
        <v>1341.6569999999999</v>
      </c>
      <c r="N46" s="346">
        <v>1805.05</v>
      </c>
      <c r="O46" s="346">
        <v>1805.05</v>
      </c>
      <c r="P46" s="346">
        <v>1554.8340000000001</v>
      </c>
      <c r="Q46" s="346">
        <v>8674.34</v>
      </c>
      <c r="R46" s="346">
        <v>7680.91</v>
      </c>
      <c r="S46" s="346">
        <v>99.880223599999994</v>
      </c>
      <c r="T46" s="346">
        <v>63.700084709999999</v>
      </c>
      <c r="U46" s="346">
        <v>945.71577639999998</v>
      </c>
      <c r="V46" s="346">
        <v>705.61255329999995</v>
      </c>
      <c r="W46" s="346">
        <v>347.35490329999999</v>
      </c>
      <c r="X46" s="346" t="s">
        <v>101</v>
      </c>
      <c r="Y46" s="346">
        <v>25930</v>
      </c>
      <c r="Z46" s="346">
        <v>5</v>
      </c>
      <c r="AA46" s="346" t="s">
        <v>996</v>
      </c>
    </row>
    <row r="47" spans="1:27" hidden="1" x14ac:dyDescent="0.25">
      <c r="A47" s="346" t="s">
        <v>164</v>
      </c>
      <c r="B47" s="346">
        <v>1100000143</v>
      </c>
      <c r="E47" s="346">
        <v>2022</v>
      </c>
      <c r="F47" s="346">
        <v>6</v>
      </c>
      <c r="G47" s="346">
        <v>56.614464750000003</v>
      </c>
      <c r="H47" s="346">
        <v>231.22806</v>
      </c>
      <c r="I47" s="346">
        <v>231.22806</v>
      </c>
      <c r="J47" s="346">
        <v>431.45593250000002</v>
      </c>
      <c r="K47" s="346">
        <v>377.43450730000001</v>
      </c>
      <c r="L47" s="346">
        <v>693.05427250000002</v>
      </c>
      <c r="N47" s="346">
        <v>919.21777250000002</v>
      </c>
      <c r="O47" s="346">
        <v>919.21777250000002</v>
      </c>
      <c r="P47" s="346">
        <v>295.00263569999998</v>
      </c>
      <c r="Q47" s="346">
        <v>3080</v>
      </c>
      <c r="R47" s="346">
        <v>2290.75</v>
      </c>
      <c r="S47" s="346">
        <v>11.570226979999999</v>
      </c>
      <c r="T47" s="346">
        <v>36.101163219999997</v>
      </c>
      <c r="U47" s="346">
        <v>57.06977303</v>
      </c>
      <c r="V47" s="346">
        <v>13.74810986</v>
      </c>
      <c r="W47" s="346">
        <v>-309.24077979999998</v>
      </c>
      <c r="X47" s="346" t="s">
        <v>101</v>
      </c>
      <c r="Y47" s="346">
        <v>55100</v>
      </c>
      <c r="Z47" s="346">
        <v>5</v>
      </c>
      <c r="AA47" s="346" t="s">
        <v>996</v>
      </c>
    </row>
    <row r="48" spans="1:27" hidden="1" x14ac:dyDescent="0.25">
      <c r="A48" s="346" t="s">
        <v>5416</v>
      </c>
      <c r="B48" s="346">
        <v>1200000111</v>
      </c>
      <c r="E48" s="346">
        <v>2022</v>
      </c>
      <c r="F48" s="346">
        <v>6</v>
      </c>
      <c r="G48" s="346">
        <v>1769.3848170000001</v>
      </c>
      <c r="H48" s="346">
        <v>330.3</v>
      </c>
      <c r="I48" s="346">
        <v>330.3</v>
      </c>
      <c r="J48" s="346">
        <v>5658.6438710000002</v>
      </c>
      <c r="K48" s="346">
        <v>4732.178973</v>
      </c>
      <c r="L48" s="346">
        <v>838.60059100000001</v>
      </c>
      <c r="N48" s="346">
        <v>1187.6005909999999</v>
      </c>
      <c r="O48" s="346">
        <v>1187.6005909999999</v>
      </c>
      <c r="P48" s="346">
        <v>1000</v>
      </c>
      <c r="Q48" s="346">
        <v>9970</v>
      </c>
      <c r="R48" s="346">
        <v>8928</v>
      </c>
      <c r="S48" s="346">
        <v>105.6943672</v>
      </c>
      <c r="T48" s="346">
        <v>66.204034820000004</v>
      </c>
      <c r="U48" s="346">
        <v>996.14156760000003</v>
      </c>
      <c r="V48" s="346">
        <v>743.95002620000002</v>
      </c>
      <c r="W48" s="346">
        <v>485.96352760000002</v>
      </c>
      <c r="X48" s="346" t="s">
        <v>101</v>
      </c>
      <c r="Y48" s="346">
        <v>38220</v>
      </c>
      <c r="Z48" s="346">
        <v>5</v>
      </c>
      <c r="AA48" s="346" t="s">
        <v>996</v>
      </c>
    </row>
    <row r="49" spans="1:27" hidden="1" x14ac:dyDescent="0.25">
      <c r="A49" s="346" t="s">
        <v>1602</v>
      </c>
      <c r="B49" s="346">
        <v>1200000118</v>
      </c>
      <c r="E49" s="346">
        <v>2022</v>
      </c>
      <c r="F49" s="346">
        <v>6</v>
      </c>
      <c r="G49" s="346">
        <v>529.66277509999998</v>
      </c>
      <c r="H49" s="346">
        <v>23623.270339999999</v>
      </c>
      <c r="I49" s="346">
        <v>23623.270339999999</v>
      </c>
      <c r="J49" s="346">
        <v>58637.751340000003</v>
      </c>
      <c r="K49" s="346">
        <v>57555.242530000003</v>
      </c>
      <c r="L49" s="346">
        <v>9623.0740900000001</v>
      </c>
      <c r="N49" s="346">
        <v>13884.454239999999</v>
      </c>
      <c r="O49" s="346">
        <v>14571.896479999999</v>
      </c>
      <c r="P49" s="346">
        <v>53460.105810000001</v>
      </c>
      <c r="Q49" s="346">
        <v>36012.6</v>
      </c>
      <c r="R49" s="346">
        <v>31463.64</v>
      </c>
      <c r="S49" s="346">
        <v>857.91940309999995</v>
      </c>
      <c r="T49" s="346">
        <v>239.12502749999999</v>
      </c>
      <c r="U49" s="346">
        <v>2502.200597</v>
      </c>
      <c r="V49" s="346">
        <v>1810.4604549999999</v>
      </c>
      <c r="W49" s="346">
        <v>311.43212519999997</v>
      </c>
      <c r="X49" s="346" t="s">
        <v>101</v>
      </c>
      <c r="Y49" s="346">
        <v>69102</v>
      </c>
      <c r="Z49" s="346">
        <v>5</v>
      </c>
      <c r="AA49" s="346" t="s">
        <v>996</v>
      </c>
    </row>
    <row r="50" spans="1:27" hidden="1" x14ac:dyDescent="0.25">
      <c r="A50" s="346" t="s">
        <v>5417</v>
      </c>
      <c r="B50" s="346">
        <v>1100000234</v>
      </c>
      <c r="E50" s="346">
        <v>2022</v>
      </c>
      <c r="F50" s="346">
        <v>6</v>
      </c>
      <c r="G50" s="346">
        <v>628.16169649999995</v>
      </c>
      <c r="H50" s="346">
        <v>2202.3266199999998</v>
      </c>
      <c r="I50" s="346">
        <v>2202.3266199999998</v>
      </c>
      <c r="J50" s="346">
        <v>29246.42368</v>
      </c>
      <c r="K50" s="346">
        <v>30610.346720000001</v>
      </c>
      <c r="L50" s="346">
        <v>1321.91697</v>
      </c>
      <c r="N50" s="346">
        <v>3010.2828399999999</v>
      </c>
      <c r="O50" s="346">
        <v>3010.2828399999999</v>
      </c>
      <c r="P50" s="346">
        <v>3470.92769</v>
      </c>
      <c r="Q50" s="346">
        <v>11042.817499999999</v>
      </c>
      <c r="R50" s="346">
        <v>10590.9375</v>
      </c>
      <c r="S50" s="346">
        <v>1158.997672</v>
      </c>
      <c r="T50" s="346">
        <v>14.1044482</v>
      </c>
      <c r="U50" s="346">
        <v>-110.9761723</v>
      </c>
      <c r="V50" s="346">
        <v>-125.0806204</v>
      </c>
      <c r="W50" s="346">
        <v>637.55702199999996</v>
      </c>
      <c r="X50" s="346" t="s">
        <v>101</v>
      </c>
      <c r="Y50" s="346">
        <v>10720</v>
      </c>
      <c r="Z50" s="346">
        <v>5</v>
      </c>
      <c r="AA50" s="346" t="s">
        <v>996</v>
      </c>
    </row>
    <row r="51" spans="1:27" hidden="1" x14ac:dyDescent="0.25">
      <c r="A51" s="346" t="s">
        <v>5418</v>
      </c>
      <c r="B51" s="346">
        <v>1200000106</v>
      </c>
      <c r="E51" s="346">
        <v>2022</v>
      </c>
      <c r="F51" s="346">
        <v>6</v>
      </c>
      <c r="G51" s="346">
        <v>340.69469520000001</v>
      </c>
      <c r="H51" s="346">
        <v>289.60199999999998</v>
      </c>
      <c r="I51" s="346">
        <v>289.60199999999998</v>
      </c>
      <c r="J51" s="346">
        <v>8823.3290070000003</v>
      </c>
      <c r="K51" s="346">
        <v>9982.1340560000008</v>
      </c>
      <c r="L51" s="346">
        <v>2430.6012599999999</v>
      </c>
      <c r="N51" s="346">
        <v>4261.3187600000001</v>
      </c>
      <c r="O51" s="346">
        <v>4261.3187600000001</v>
      </c>
      <c r="P51" s="346">
        <v>14108.71552</v>
      </c>
      <c r="Q51" s="346">
        <v>12796.764090000001</v>
      </c>
      <c r="R51" s="346">
        <v>11588.416370000001</v>
      </c>
      <c r="S51" s="346">
        <v>1066.829358</v>
      </c>
      <c r="T51" s="346">
        <v>777.58529910000004</v>
      </c>
      <c r="U51" s="346">
        <v>318.63525499999997</v>
      </c>
      <c r="V51" s="346">
        <v>-554.69933790000005</v>
      </c>
      <c r="W51" s="346">
        <v>-1057.6211470000001</v>
      </c>
      <c r="X51" s="346" t="s">
        <v>101</v>
      </c>
      <c r="Y51" s="346">
        <v>25120</v>
      </c>
      <c r="Z51" s="346">
        <v>5</v>
      </c>
      <c r="AA51" s="346" t="s">
        <v>996</v>
      </c>
    </row>
    <row r="52" spans="1:27" hidden="1" x14ac:dyDescent="0.25">
      <c r="A52" s="346" t="s">
        <v>5419</v>
      </c>
      <c r="B52" s="346">
        <v>1100000144</v>
      </c>
      <c r="E52" s="346">
        <v>2022</v>
      </c>
      <c r="F52" s="346">
        <v>6</v>
      </c>
      <c r="G52" s="346">
        <v>13724.33985</v>
      </c>
      <c r="H52" s="346">
        <v>7279.6970000000001</v>
      </c>
      <c r="I52" s="346">
        <v>7279.6970000000001</v>
      </c>
      <c r="J52" s="346">
        <v>26576.315770000001</v>
      </c>
      <c r="K52" s="346">
        <v>25591.480309999999</v>
      </c>
      <c r="L52" s="346">
        <v>150.35550000000001</v>
      </c>
      <c r="N52" s="346">
        <v>8704.0195000000003</v>
      </c>
      <c r="O52" s="346">
        <v>8704.0195000000003</v>
      </c>
      <c r="P52" s="346">
        <v>22902.909</v>
      </c>
      <c r="Q52" s="346">
        <v>24818.723239999999</v>
      </c>
      <c r="R52" s="346">
        <v>23017.909019999999</v>
      </c>
      <c r="S52" s="346">
        <v>1338.282158</v>
      </c>
      <c r="T52" s="346">
        <v>1313.556877</v>
      </c>
      <c r="U52" s="346">
        <v>2941.564644</v>
      </c>
      <c r="V52" s="346">
        <v>1302.4062140000001</v>
      </c>
      <c r="W52" s="346">
        <v>2383.7919230000002</v>
      </c>
      <c r="X52" s="346" t="s">
        <v>101</v>
      </c>
      <c r="Y52" s="346">
        <v>82990</v>
      </c>
      <c r="Z52" s="346">
        <v>5</v>
      </c>
      <c r="AA52" s="346" t="s">
        <v>996</v>
      </c>
    </row>
    <row r="53" spans="1:27" hidden="1" x14ac:dyDescent="0.25">
      <c r="A53" s="346" t="s">
        <v>5420</v>
      </c>
      <c r="B53" s="346">
        <v>1200000116</v>
      </c>
      <c r="E53" s="346">
        <v>2022</v>
      </c>
      <c r="F53" s="346">
        <v>6</v>
      </c>
      <c r="G53" s="346">
        <v>653.2690953</v>
      </c>
      <c r="H53" s="346">
        <v>391.25700000000001</v>
      </c>
      <c r="I53" s="346">
        <v>391.25700000000001</v>
      </c>
      <c r="J53" s="346">
        <v>2584.8855130000002</v>
      </c>
      <c r="K53" s="346">
        <v>2530.2430279999999</v>
      </c>
      <c r="L53" s="346">
        <v>364.20034249999998</v>
      </c>
      <c r="N53" s="346">
        <v>468.81434250000001</v>
      </c>
      <c r="O53" s="346">
        <v>468.81434250000001</v>
      </c>
      <c r="P53" s="346">
        <v>1802.1289999999999</v>
      </c>
      <c r="Q53" s="346">
        <v>2048.9518950000001</v>
      </c>
      <c r="R53" s="346">
        <v>1937.1009280000001</v>
      </c>
      <c r="S53" s="346">
        <v>159.79903959999999</v>
      </c>
      <c r="T53" s="346">
        <v>44.867713080000001</v>
      </c>
      <c r="U53" s="346">
        <v>214.19418239999999</v>
      </c>
      <c r="V53" s="346">
        <v>135.4611755</v>
      </c>
      <c r="W53" s="346">
        <v>153.39391929999999</v>
      </c>
      <c r="X53" s="346" t="s">
        <v>101</v>
      </c>
      <c r="Y53" s="346">
        <v>28290</v>
      </c>
      <c r="Z53" s="346">
        <v>5</v>
      </c>
      <c r="AA53" s="346" t="s">
        <v>996</v>
      </c>
    </row>
    <row r="54" spans="1:27" hidden="1" x14ac:dyDescent="0.25">
      <c r="A54" s="346" t="s">
        <v>5421</v>
      </c>
      <c r="B54" s="346">
        <v>1100000187</v>
      </c>
      <c r="E54" s="346">
        <v>2022</v>
      </c>
      <c r="F54" s="346">
        <v>6</v>
      </c>
      <c r="G54" s="346">
        <v>2093.5327560000001</v>
      </c>
      <c r="H54" s="346">
        <v>184.82354000000001</v>
      </c>
      <c r="I54" s="346">
        <v>184.82354000000001</v>
      </c>
      <c r="J54" s="346">
        <v>2532.842948</v>
      </c>
      <c r="K54" s="346">
        <v>1421.27773</v>
      </c>
      <c r="L54" s="346">
        <v>87.139809470000003</v>
      </c>
      <c r="N54" s="346">
        <v>511.50067949999999</v>
      </c>
      <c r="O54" s="346">
        <v>511.50067949999999</v>
      </c>
      <c r="P54" s="346">
        <v>403.76042000000001</v>
      </c>
      <c r="Q54" s="346">
        <v>3591.6284169999999</v>
      </c>
      <c r="R54" s="346">
        <v>3394.5550699999999</v>
      </c>
      <c r="S54" s="346">
        <v>58.488594130000003</v>
      </c>
      <c r="T54" s="346">
        <v>9.3486959639999991</v>
      </c>
      <c r="U54" s="346">
        <v>1212.4238109999999</v>
      </c>
      <c r="V54" s="346">
        <v>962.46009200000003</v>
      </c>
      <c r="W54" s="346">
        <v>878.40441069999997</v>
      </c>
      <c r="X54" s="346" t="s">
        <v>101</v>
      </c>
      <c r="Y54" s="346">
        <v>63990</v>
      </c>
      <c r="Z54" s="346">
        <v>5</v>
      </c>
      <c r="AA54" s="346" t="s">
        <v>996</v>
      </c>
    </row>
    <row r="55" spans="1:27" hidden="1" x14ac:dyDescent="0.25">
      <c r="A55" s="346" t="s">
        <v>5422</v>
      </c>
      <c r="B55" s="346">
        <v>1100000235</v>
      </c>
      <c r="E55" s="346">
        <v>2022</v>
      </c>
      <c r="F55" s="346">
        <v>6</v>
      </c>
      <c r="G55" s="346">
        <v>1949.0694470000001</v>
      </c>
      <c r="J55" s="346">
        <v>12447.60276</v>
      </c>
      <c r="K55" s="346">
        <v>12699.4522</v>
      </c>
      <c r="N55" s="346">
        <v>471.90976999999998</v>
      </c>
      <c r="O55" s="346">
        <v>471.90976999999998</v>
      </c>
      <c r="P55" s="346">
        <v>12675.494720000001</v>
      </c>
      <c r="Q55" s="346">
        <v>3420.475903</v>
      </c>
      <c r="R55" s="346">
        <v>3143.7619420000001</v>
      </c>
      <c r="S55" s="346">
        <v>473.68978600000003</v>
      </c>
      <c r="T55" s="346">
        <v>566.375</v>
      </c>
      <c r="U55" s="346">
        <v>314.52556390000001</v>
      </c>
      <c r="V55" s="346">
        <v>-251.84943609999999</v>
      </c>
      <c r="W55" s="346">
        <v>-237.91768870000001</v>
      </c>
      <c r="X55" s="346" t="s">
        <v>101</v>
      </c>
      <c r="Y55" s="346">
        <v>85100</v>
      </c>
      <c r="Z55" s="346">
        <v>5</v>
      </c>
      <c r="AA55" s="346" t="s">
        <v>996</v>
      </c>
    </row>
    <row r="56" spans="1:27" hidden="1" x14ac:dyDescent="0.25">
      <c r="A56" s="346" t="s">
        <v>5423</v>
      </c>
      <c r="B56" s="346">
        <v>1100000238</v>
      </c>
      <c r="E56" s="346">
        <v>2022</v>
      </c>
      <c r="F56" s="346">
        <v>6</v>
      </c>
      <c r="G56" s="346">
        <v>513.45262500000001</v>
      </c>
      <c r="H56" s="346">
        <v>5807</v>
      </c>
      <c r="I56" s="346">
        <v>5807</v>
      </c>
      <c r="J56" s="346">
        <v>-15779.97797</v>
      </c>
      <c r="K56" s="346">
        <v>-15296.54883</v>
      </c>
      <c r="L56" s="346">
        <v>5270</v>
      </c>
      <c r="N56" s="346">
        <v>46715</v>
      </c>
      <c r="O56" s="346">
        <v>46715</v>
      </c>
      <c r="P56" s="346">
        <v>12000</v>
      </c>
      <c r="Q56" s="346">
        <v>170925.32250000001</v>
      </c>
      <c r="R56" s="346">
        <v>153258.6225</v>
      </c>
      <c r="S56" s="346">
        <v>51.934607999999997</v>
      </c>
      <c r="T56" s="346">
        <v>1287.28125</v>
      </c>
      <c r="U56" s="346">
        <v>2303.852108</v>
      </c>
      <c r="V56" s="346">
        <v>809.71635430000003</v>
      </c>
      <c r="W56" s="346">
        <v>-5491.7892250000004</v>
      </c>
      <c r="X56" s="346" t="s">
        <v>101</v>
      </c>
      <c r="Y56" s="346">
        <v>56302</v>
      </c>
      <c r="Z56" s="346">
        <v>5</v>
      </c>
      <c r="AA56" s="346" t="s">
        <v>996</v>
      </c>
    </row>
    <row r="57" spans="1:27" hidden="1" x14ac:dyDescent="0.25">
      <c r="A57" s="346" t="s">
        <v>5424</v>
      </c>
      <c r="B57" s="346">
        <v>1100000195</v>
      </c>
      <c r="E57" s="346">
        <v>2022</v>
      </c>
      <c r="F57" s="346">
        <v>6</v>
      </c>
      <c r="G57" s="346">
        <v>4565.4409999999998</v>
      </c>
      <c r="H57" s="346">
        <v>1946</v>
      </c>
      <c r="I57" s="346">
        <v>1946</v>
      </c>
      <c r="J57" s="346">
        <v>76062.028510000004</v>
      </c>
      <c r="K57" s="346">
        <v>79596.349600000001</v>
      </c>
      <c r="L57" s="346">
        <v>844</v>
      </c>
      <c r="N57" s="346">
        <v>2545</v>
      </c>
      <c r="O57" s="346">
        <v>2545</v>
      </c>
      <c r="P57" s="346">
        <v>73287</v>
      </c>
      <c r="Q57" s="346">
        <v>12726.658750000001</v>
      </c>
      <c r="R57" s="346">
        <v>11908.172500000001</v>
      </c>
      <c r="S57" s="346">
        <v>5603.059835</v>
      </c>
      <c r="T57" s="346">
        <v>6150.1125000000002</v>
      </c>
      <c r="U57" s="346">
        <v>-1111.821085</v>
      </c>
      <c r="V57" s="346">
        <v>-7261.9335849999998</v>
      </c>
      <c r="W57" s="346">
        <v>-3970.6720460000001</v>
      </c>
      <c r="X57" s="346" t="s">
        <v>101</v>
      </c>
      <c r="Y57" s="346">
        <v>26600</v>
      </c>
      <c r="Z57" s="346">
        <v>5</v>
      </c>
      <c r="AA57" s="346" t="s">
        <v>996</v>
      </c>
    </row>
    <row r="58" spans="1:27" hidden="1" x14ac:dyDescent="0.25">
      <c r="A58" s="346" t="s">
        <v>5425</v>
      </c>
      <c r="B58" s="346">
        <v>1100000128</v>
      </c>
      <c r="E58" s="346">
        <v>2022</v>
      </c>
      <c r="F58" s="346">
        <v>6</v>
      </c>
      <c r="G58" s="346">
        <v>22173.39068</v>
      </c>
      <c r="H58" s="346">
        <v>3447</v>
      </c>
      <c r="I58" s="346">
        <v>3447</v>
      </c>
      <c r="J58" s="346">
        <v>118976.2714</v>
      </c>
      <c r="K58" s="346">
        <v>115682.3639</v>
      </c>
      <c r="L58" s="346">
        <v>1915</v>
      </c>
      <c r="N58" s="346">
        <v>6501</v>
      </c>
      <c r="O58" s="346">
        <v>6501</v>
      </c>
      <c r="P58" s="346">
        <v>79736</v>
      </c>
      <c r="Q58" s="346">
        <v>31670.577870000001</v>
      </c>
      <c r="R58" s="346">
        <v>29414.362560000001</v>
      </c>
      <c r="S58" s="346">
        <v>4728.0163419999999</v>
      </c>
      <c r="T58" s="346">
        <v>5179.7808459999997</v>
      </c>
      <c r="U58" s="346">
        <v>3718.9075280000002</v>
      </c>
      <c r="V58" s="346">
        <v>-1460.873319</v>
      </c>
      <c r="W58" s="346">
        <v>-2603.6277169999998</v>
      </c>
      <c r="X58" s="346" t="s">
        <v>101</v>
      </c>
      <c r="Y58" s="346">
        <v>85590</v>
      </c>
      <c r="Z58" s="346">
        <v>5</v>
      </c>
      <c r="AA58" s="346" t="s">
        <v>996</v>
      </c>
    </row>
    <row r="59" spans="1:27" hidden="1" x14ac:dyDescent="0.25">
      <c r="A59" s="346" t="s">
        <v>5426</v>
      </c>
      <c r="B59" s="346">
        <v>1100000268</v>
      </c>
      <c r="E59" s="346">
        <v>2022</v>
      </c>
      <c r="F59" s="346">
        <v>6</v>
      </c>
      <c r="G59" s="346">
        <v>3338.0223179999998</v>
      </c>
      <c r="H59" s="346">
        <v>414.52429999999998</v>
      </c>
      <c r="I59" s="346">
        <v>414.52429999999998</v>
      </c>
      <c r="J59" s="346">
        <v>11423.247820000001</v>
      </c>
      <c r="K59" s="346">
        <v>10136.783009999999</v>
      </c>
      <c r="L59" s="346">
        <v>264.55243000000002</v>
      </c>
      <c r="N59" s="346">
        <v>1363.4962840000001</v>
      </c>
      <c r="O59" s="346">
        <v>1363.4962840000001</v>
      </c>
      <c r="P59" s="346">
        <v>8210.4825600000004</v>
      </c>
      <c r="Q59" s="346">
        <v>7335.2482900000005</v>
      </c>
      <c r="R59" s="346">
        <v>4391.804709</v>
      </c>
      <c r="S59" s="346">
        <v>172.30388300000001</v>
      </c>
      <c r="T59" s="346">
        <v>291.87727630000001</v>
      </c>
      <c r="U59" s="346">
        <v>2230.6572620000002</v>
      </c>
      <c r="V59" s="346">
        <v>1551.023989</v>
      </c>
      <c r="W59" s="346">
        <v>378.29513170000001</v>
      </c>
      <c r="X59" s="346" t="s">
        <v>101</v>
      </c>
      <c r="Y59" s="346">
        <v>70100</v>
      </c>
      <c r="Z59" s="346">
        <v>5</v>
      </c>
      <c r="AA59" s="346" t="s">
        <v>996</v>
      </c>
    </row>
    <row r="60" spans="1:27" hidden="1" x14ac:dyDescent="0.25">
      <c r="A60" s="346" t="s">
        <v>5427</v>
      </c>
      <c r="B60" s="346">
        <v>1300000002</v>
      </c>
      <c r="E60" s="346">
        <v>2022</v>
      </c>
      <c r="F60" s="346">
        <v>6</v>
      </c>
      <c r="G60" s="346">
        <v>1069.142488</v>
      </c>
      <c r="J60" s="346">
        <v>2661.67544</v>
      </c>
      <c r="K60" s="346">
        <v>1984.734152</v>
      </c>
      <c r="L60" s="346">
        <v>-295.495</v>
      </c>
      <c r="N60" s="346">
        <v>-305.14699999999999</v>
      </c>
      <c r="O60" s="346">
        <v>-305.14699999999999</v>
      </c>
      <c r="P60" s="346">
        <v>1412.9860000000001</v>
      </c>
      <c r="Q60" s="346">
        <v>1241.978098</v>
      </c>
      <c r="R60" s="346">
        <v>1141.5029919999999</v>
      </c>
      <c r="S60" s="346">
        <v>25.868040879999999</v>
      </c>
      <c r="U60" s="346">
        <v>790.89441260000001</v>
      </c>
      <c r="V60" s="346">
        <v>632.71553010000002</v>
      </c>
      <c r="W60" s="346">
        <v>565.85447190000002</v>
      </c>
      <c r="X60" s="346" t="s">
        <v>101</v>
      </c>
      <c r="Y60" s="346">
        <v>88910</v>
      </c>
      <c r="Z60" s="346">
        <v>5</v>
      </c>
      <c r="AA60" s="346" t="s">
        <v>996</v>
      </c>
    </row>
    <row r="61" spans="1:27" hidden="1" x14ac:dyDescent="0.25">
      <c r="A61" s="346" t="s">
        <v>5428</v>
      </c>
      <c r="B61" s="346">
        <v>1100000266</v>
      </c>
      <c r="E61" s="346">
        <v>2022</v>
      </c>
      <c r="F61" s="346">
        <v>6</v>
      </c>
      <c r="G61" s="346">
        <v>4816.0033750000002</v>
      </c>
      <c r="H61" s="346">
        <v>13158</v>
      </c>
      <c r="I61" s="346">
        <v>13158</v>
      </c>
      <c r="J61" s="346">
        <v>30332.65208</v>
      </c>
      <c r="K61" s="346">
        <v>27141.6469</v>
      </c>
      <c r="L61" s="346">
        <v>5434.5</v>
      </c>
      <c r="N61" s="346">
        <v>10869</v>
      </c>
      <c r="O61" s="346">
        <v>10869</v>
      </c>
      <c r="P61" s="346">
        <v>12800</v>
      </c>
      <c r="Q61" s="346">
        <v>44787.785000000003</v>
      </c>
      <c r="R61" s="346">
        <v>36024.957499999997</v>
      </c>
      <c r="S61" s="346">
        <v>52.601816249999999</v>
      </c>
      <c r="U61" s="346">
        <v>5706.7551839999996</v>
      </c>
      <c r="V61" s="346">
        <v>4565.4041470000002</v>
      </c>
      <c r="W61" s="346">
        <v>564.59568000000002</v>
      </c>
      <c r="X61" s="346" t="s">
        <v>101</v>
      </c>
      <c r="Y61" s="346">
        <v>33190</v>
      </c>
      <c r="Z61" s="346">
        <v>5</v>
      </c>
      <c r="AA61" s="346" t="s">
        <v>996</v>
      </c>
    </row>
  </sheetData>
  <autoFilter ref="A1:AA61" xr:uid="{0A986AAA-CC74-45BF-A052-21239520F45E}">
    <filterColumn colId="0">
      <filters>
        <filter val="CHART FORTE"/>
      </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939A5-211B-4275-8EF8-4EC39CEBF656}">
  <sheetPr codeName="Sheet7" filterMode="1"/>
  <dimension ref="A1:AA61"/>
  <sheetViews>
    <sheetView zoomScale="80" zoomScaleNormal="80" workbookViewId="0"/>
  </sheetViews>
  <sheetFormatPr defaultRowHeight="15" x14ac:dyDescent="0.25"/>
  <cols>
    <col min="1" max="1" width="34.7109375" style="346" customWidth="1"/>
    <col min="2" max="2" width="12" style="346" bestFit="1" customWidth="1"/>
    <col min="3" max="3" width="19.140625" style="346" bestFit="1" customWidth="1"/>
    <col min="4" max="4" width="21.140625" style="346" bestFit="1" customWidth="1"/>
    <col min="5" max="5" width="17" style="346" bestFit="1" customWidth="1"/>
    <col min="6" max="6" width="18.85546875" style="346" bestFit="1" customWidth="1"/>
    <col min="7" max="7" width="22.28515625" style="346" bestFit="1" customWidth="1"/>
    <col min="8" max="8" width="12.7109375" style="346" bestFit="1" customWidth="1"/>
    <col min="9" max="9" width="23.140625" style="346" bestFit="1" customWidth="1"/>
    <col min="10" max="10" width="30.42578125" style="346" bestFit="1" customWidth="1"/>
    <col min="11" max="11" width="40.7109375" style="346" bestFit="1" customWidth="1"/>
    <col min="12" max="12" width="13.85546875" style="346" bestFit="1" customWidth="1"/>
    <col min="13" max="13" width="31.5703125" style="346" bestFit="1" customWidth="1"/>
    <col min="14" max="14" width="14.42578125" style="346" bestFit="1" customWidth="1"/>
    <col min="15" max="15" width="24.7109375" style="346" bestFit="1" customWidth="1"/>
    <col min="16" max="16" width="14.42578125" style="346" bestFit="1" customWidth="1"/>
    <col min="17" max="17" width="11.85546875" style="346" bestFit="1" customWidth="1"/>
    <col min="18" max="18" width="18.7109375" style="346" bestFit="1" customWidth="1"/>
    <col min="19" max="19" width="26.85546875" style="346" bestFit="1" customWidth="1"/>
    <col min="20" max="20" width="14.28515625" style="346" bestFit="1" customWidth="1"/>
    <col min="21" max="21" width="14.140625" style="346" bestFit="1" customWidth="1"/>
    <col min="22" max="22" width="19.85546875" style="346" bestFit="1" customWidth="1"/>
    <col min="23" max="23" width="30.140625" style="346" bestFit="1" customWidth="1"/>
    <col min="24" max="24" width="19.140625" style="346" bestFit="1" customWidth="1"/>
    <col min="25" max="25" width="16.42578125" style="346" bestFit="1" customWidth="1"/>
    <col min="26" max="26" width="22.42578125" style="346" bestFit="1" customWidth="1"/>
    <col min="27" max="27" width="25.42578125" style="346" bestFit="1" customWidth="1"/>
    <col min="28" max="16384" width="9.140625" style="346"/>
  </cols>
  <sheetData>
    <row r="1" spans="1:27" x14ac:dyDescent="0.25">
      <c r="A1" s="346" t="s">
        <v>0</v>
      </c>
      <c r="B1" s="346" t="s">
        <v>1</v>
      </c>
      <c r="C1" s="346" t="s">
        <v>2</v>
      </c>
      <c r="D1" s="346" t="s">
        <v>3</v>
      </c>
      <c r="E1" s="346" t="s">
        <v>4</v>
      </c>
      <c r="F1" s="346" t="s">
        <v>5</v>
      </c>
      <c r="G1" s="346" t="s">
        <v>6</v>
      </c>
      <c r="H1" s="346" t="s">
        <v>7</v>
      </c>
      <c r="I1" s="346" t="s">
        <v>8</v>
      </c>
      <c r="J1" s="346" t="s">
        <v>9</v>
      </c>
      <c r="K1" s="346" t="s">
        <v>10</v>
      </c>
      <c r="L1" s="346" t="s">
        <v>11</v>
      </c>
      <c r="M1" s="346" t="s">
        <v>12</v>
      </c>
      <c r="N1" s="346" t="s">
        <v>13</v>
      </c>
      <c r="O1" s="346" t="s">
        <v>14</v>
      </c>
      <c r="P1" s="346" t="s">
        <v>15</v>
      </c>
      <c r="Q1" s="346" t="s">
        <v>16</v>
      </c>
      <c r="R1" s="346" t="s">
        <v>17</v>
      </c>
      <c r="S1" s="346" t="s">
        <v>18</v>
      </c>
      <c r="T1" s="346" t="s">
        <v>19</v>
      </c>
      <c r="U1" s="346" t="s">
        <v>20</v>
      </c>
      <c r="V1" s="346" t="s">
        <v>21</v>
      </c>
      <c r="W1" s="346" t="s">
        <v>22</v>
      </c>
      <c r="X1" s="346" t="s">
        <v>23</v>
      </c>
      <c r="Y1" s="346" t="s">
        <v>24</v>
      </c>
      <c r="Z1" s="346" t="s">
        <v>25</v>
      </c>
      <c r="AA1" s="346" t="s">
        <v>26</v>
      </c>
    </row>
    <row r="2" spans="1:27" hidden="1" x14ac:dyDescent="0.25">
      <c r="A2" s="346" t="s">
        <v>5373</v>
      </c>
      <c r="B2" s="346">
        <v>1100000151</v>
      </c>
      <c r="E2" s="346">
        <v>2022</v>
      </c>
      <c r="F2" s="346">
        <v>6</v>
      </c>
      <c r="G2" s="346">
        <v>3516.8321150000002</v>
      </c>
      <c r="H2" s="346">
        <v>1400.9438029999999</v>
      </c>
      <c r="I2" s="346">
        <v>1400.9438029999999</v>
      </c>
      <c r="J2" s="346">
        <v>45947.504849999998</v>
      </c>
      <c r="K2" s="346">
        <v>45139.25591</v>
      </c>
      <c r="L2" s="346">
        <v>-1358.7294300000001</v>
      </c>
      <c r="N2" s="346">
        <v>13465.528389999999</v>
      </c>
      <c r="O2" s="346">
        <v>13465.528389999999</v>
      </c>
      <c r="P2" s="346">
        <v>29866.446349999998</v>
      </c>
      <c r="Q2" s="346">
        <v>32927.227879999999</v>
      </c>
      <c r="R2" s="346">
        <v>30802.898000000001</v>
      </c>
      <c r="S2" s="346">
        <v>1584.7347150000001</v>
      </c>
      <c r="T2" s="346">
        <v>2029.002156</v>
      </c>
      <c r="U2" s="346">
        <v>4697.2088350000004</v>
      </c>
      <c r="V2" s="346">
        <v>2134.5653430000002</v>
      </c>
      <c r="W2" s="346">
        <v>1353.6502929999999</v>
      </c>
      <c r="X2" s="346" t="s">
        <v>101</v>
      </c>
      <c r="Y2" s="346">
        <v>87300</v>
      </c>
      <c r="Z2" s="346">
        <v>5</v>
      </c>
      <c r="AA2" s="346" t="s">
        <v>996</v>
      </c>
    </row>
    <row r="3" spans="1:27" hidden="1" x14ac:dyDescent="0.25">
      <c r="A3" s="346" t="s">
        <v>5374</v>
      </c>
      <c r="B3" s="346">
        <v>1100000241</v>
      </c>
      <c r="E3" s="346">
        <v>2022</v>
      </c>
      <c r="F3" s="346">
        <v>6</v>
      </c>
      <c r="G3" s="346">
        <v>3322.549755</v>
      </c>
      <c r="H3" s="346">
        <v>62.4251</v>
      </c>
      <c r="I3" s="346">
        <v>62.4251</v>
      </c>
      <c r="J3" s="346">
        <v>33111.248160000003</v>
      </c>
      <c r="K3" s="346">
        <v>31817.800719999999</v>
      </c>
      <c r="L3" s="346">
        <v>262.76191999999998</v>
      </c>
      <c r="N3" s="346">
        <v>3783.8144010000001</v>
      </c>
      <c r="O3" s="346">
        <v>3783.8144010000001</v>
      </c>
      <c r="P3" s="346">
        <v>14978.90085</v>
      </c>
      <c r="Q3" s="346">
        <v>12098.98594</v>
      </c>
      <c r="R3" s="346">
        <v>11316.49274</v>
      </c>
      <c r="T3" s="346">
        <v>1347.5984390000001</v>
      </c>
      <c r="U3" s="346">
        <v>3085.5018839999998</v>
      </c>
      <c r="V3" s="346">
        <v>1390.322756</v>
      </c>
      <c r="W3" s="346">
        <v>1073.4307799999999</v>
      </c>
      <c r="X3" s="346" t="s">
        <v>101</v>
      </c>
      <c r="Y3" s="346">
        <v>87300</v>
      </c>
      <c r="Z3" s="346">
        <v>5</v>
      </c>
      <c r="AA3" s="346" t="s">
        <v>996</v>
      </c>
    </row>
    <row r="4" spans="1:27" hidden="1" x14ac:dyDescent="0.25">
      <c r="A4" s="346" t="s">
        <v>5375</v>
      </c>
      <c r="B4" s="346">
        <v>1100000242</v>
      </c>
      <c r="E4" s="346">
        <v>2022</v>
      </c>
      <c r="F4" s="346">
        <v>6</v>
      </c>
      <c r="G4" s="346">
        <v>3322.549755</v>
      </c>
      <c r="H4" s="346">
        <v>62.4251</v>
      </c>
      <c r="I4" s="346">
        <v>62.4251</v>
      </c>
      <c r="J4" s="346">
        <v>33111.248160000003</v>
      </c>
      <c r="K4" s="346">
        <v>31817.800719999999</v>
      </c>
      <c r="L4" s="346">
        <v>262.76191999999998</v>
      </c>
      <c r="N4" s="346">
        <v>3783.8144010000001</v>
      </c>
      <c r="O4" s="346">
        <v>3783.8144010000001</v>
      </c>
      <c r="P4" s="346">
        <v>14978.90085</v>
      </c>
      <c r="Q4" s="346">
        <v>12098.98594</v>
      </c>
      <c r="R4" s="346">
        <v>11316.49274</v>
      </c>
      <c r="T4" s="346">
        <v>1347.5984390000001</v>
      </c>
      <c r="U4" s="346">
        <v>3085.5018839999998</v>
      </c>
      <c r="V4" s="346">
        <v>1390.322756</v>
      </c>
      <c r="W4" s="346">
        <v>1073.4307799999999</v>
      </c>
      <c r="X4" s="346" t="s">
        <v>101</v>
      </c>
      <c r="Y4" s="346">
        <v>87300</v>
      </c>
      <c r="Z4" s="346">
        <v>5</v>
      </c>
      <c r="AA4" s="346" t="s">
        <v>996</v>
      </c>
    </row>
    <row r="5" spans="1:27" hidden="1" x14ac:dyDescent="0.25">
      <c r="A5" s="346" t="s">
        <v>5376</v>
      </c>
      <c r="B5" s="346">
        <v>1100000243</v>
      </c>
      <c r="E5" s="346">
        <v>2022</v>
      </c>
      <c r="F5" s="346">
        <v>6</v>
      </c>
      <c r="G5" s="346">
        <v>3322.549755</v>
      </c>
      <c r="H5" s="346">
        <v>62.4251</v>
      </c>
      <c r="I5" s="346">
        <v>62.4251</v>
      </c>
      <c r="J5" s="346">
        <v>33111.248160000003</v>
      </c>
      <c r="K5" s="346">
        <v>31817.800719999999</v>
      </c>
      <c r="L5" s="346">
        <v>262.76191999999998</v>
      </c>
      <c r="N5" s="346">
        <v>3783.8144010000001</v>
      </c>
      <c r="O5" s="346">
        <v>3783.8144010000001</v>
      </c>
      <c r="P5" s="346">
        <v>14978.90085</v>
      </c>
      <c r="Q5" s="346">
        <v>12098.98594</v>
      </c>
      <c r="R5" s="346">
        <v>11316.49274</v>
      </c>
      <c r="T5" s="346">
        <v>1347.5984390000001</v>
      </c>
      <c r="U5" s="346">
        <v>3085.5018839999998</v>
      </c>
      <c r="V5" s="346">
        <v>1390.322756</v>
      </c>
      <c r="W5" s="346">
        <v>1073.4307799999999</v>
      </c>
      <c r="X5" s="346" t="s">
        <v>101</v>
      </c>
      <c r="Y5" s="346">
        <v>87300</v>
      </c>
      <c r="Z5" s="346">
        <v>5</v>
      </c>
      <c r="AA5" s="346" t="s">
        <v>996</v>
      </c>
    </row>
    <row r="6" spans="1:27" hidden="1" x14ac:dyDescent="0.25">
      <c r="A6" s="346" t="s">
        <v>5377</v>
      </c>
      <c r="B6" s="346">
        <v>1100000245</v>
      </c>
      <c r="E6" s="346">
        <v>2022</v>
      </c>
      <c r="F6" s="346">
        <v>6</v>
      </c>
      <c r="G6" s="346">
        <v>3322.549755</v>
      </c>
      <c r="H6" s="346">
        <v>62.4251</v>
      </c>
      <c r="I6" s="346">
        <v>62.4251</v>
      </c>
      <c r="J6" s="346">
        <v>33111.248160000003</v>
      </c>
      <c r="K6" s="346">
        <v>31817.800719999999</v>
      </c>
      <c r="L6" s="346">
        <v>262.76191999999998</v>
      </c>
      <c r="N6" s="346">
        <v>3783.8144010000001</v>
      </c>
      <c r="O6" s="346">
        <v>3783.8144010000001</v>
      </c>
      <c r="P6" s="346">
        <v>14978.90085</v>
      </c>
      <c r="Q6" s="346">
        <v>12098.98594</v>
      </c>
      <c r="R6" s="346">
        <v>11316.49274</v>
      </c>
      <c r="T6" s="346">
        <v>1347.5984390000001</v>
      </c>
      <c r="U6" s="346">
        <v>3085.5018839999998</v>
      </c>
      <c r="V6" s="346">
        <v>1390.322756</v>
      </c>
      <c r="W6" s="346">
        <v>1073.4307799999999</v>
      </c>
      <c r="X6" s="346" t="s">
        <v>101</v>
      </c>
      <c r="Y6" s="346">
        <v>87300</v>
      </c>
      <c r="Z6" s="346">
        <v>5</v>
      </c>
      <c r="AA6" s="346" t="s">
        <v>996</v>
      </c>
    </row>
    <row r="7" spans="1:27" hidden="1" x14ac:dyDescent="0.25">
      <c r="A7" s="346" t="s">
        <v>5378</v>
      </c>
      <c r="B7" s="346">
        <v>1100000244</v>
      </c>
      <c r="E7" s="346">
        <v>2022</v>
      </c>
      <c r="F7" s="346">
        <v>6</v>
      </c>
      <c r="G7" s="346">
        <v>3322.549755</v>
      </c>
      <c r="H7" s="346">
        <v>62.4251</v>
      </c>
      <c r="I7" s="346">
        <v>62.4251</v>
      </c>
      <c r="J7" s="346">
        <v>33111.248160000003</v>
      </c>
      <c r="K7" s="346">
        <v>31817.800719999999</v>
      </c>
      <c r="L7" s="346">
        <v>262.76191999999998</v>
      </c>
      <c r="N7" s="346">
        <v>3783.8144010000001</v>
      </c>
      <c r="O7" s="346">
        <v>3783.8144010000001</v>
      </c>
      <c r="P7" s="346">
        <v>14978.90085</v>
      </c>
      <c r="Q7" s="346">
        <v>12098.98594</v>
      </c>
      <c r="R7" s="346">
        <v>11316.49274</v>
      </c>
      <c r="T7" s="346">
        <v>1347.5984390000001</v>
      </c>
      <c r="U7" s="346">
        <v>3085.5018839999998</v>
      </c>
      <c r="V7" s="346">
        <v>1390.322756</v>
      </c>
      <c r="W7" s="346">
        <v>1073.4307799999999</v>
      </c>
      <c r="X7" s="346" t="s">
        <v>101</v>
      </c>
      <c r="Y7" s="346">
        <v>87300</v>
      </c>
      <c r="Z7" s="346">
        <v>5</v>
      </c>
      <c r="AA7" s="346" t="s">
        <v>996</v>
      </c>
    </row>
    <row r="8" spans="1:27" hidden="1" x14ac:dyDescent="0.25">
      <c r="A8" s="346" t="s">
        <v>5379</v>
      </c>
      <c r="B8" s="346">
        <v>1100000130</v>
      </c>
      <c r="E8" s="346">
        <v>2022</v>
      </c>
      <c r="F8" s="346">
        <v>6</v>
      </c>
      <c r="G8" s="346">
        <v>2569.8357369999999</v>
      </c>
      <c r="H8" s="346">
        <v>119.889</v>
      </c>
      <c r="I8" s="346">
        <v>119.889</v>
      </c>
      <c r="J8" s="346">
        <v>9144.3795869999994</v>
      </c>
      <c r="K8" s="346">
        <v>8526.3743080000004</v>
      </c>
      <c r="L8" s="346">
        <v>204.56100000000001</v>
      </c>
      <c r="N8" s="346">
        <v>331.26400000000001</v>
      </c>
      <c r="O8" s="346">
        <v>331.26400000000001</v>
      </c>
      <c r="P8" s="346">
        <v>3761.97</v>
      </c>
      <c r="Q8" s="346">
        <v>2956.1282759999999</v>
      </c>
      <c r="R8" s="346">
        <v>2755.0568880000001</v>
      </c>
      <c r="S8" s="346">
        <v>45.058528709999997</v>
      </c>
      <c r="T8" s="346">
        <v>212.69262140000001</v>
      </c>
      <c r="U8" s="346">
        <v>841.10571770000001</v>
      </c>
      <c r="V8" s="346">
        <v>502.73047700000001</v>
      </c>
      <c r="W8" s="346">
        <v>454.20137199999999</v>
      </c>
      <c r="X8" s="346" t="s">
        <v>101</v>
      </c>
      <c r="Y8" s="346">
        <v>87200</v>
      </c>
      <c r="Z8" s="346">
        <v>5</v>
      </c>
      <c r="AA8" s="346" t="s">
        <v>996</v>
      </c>
    </row>
    <row r="9" spans="1:27" hidden="1" x14ac:dyDescent="0.25">
      <c r="A9" s="346" t="s">
        <v>965</v>
      </c>
      <c r="B9" s="346">
        <v>1100000004</v>
      </c>
      <c r="E9" s="346">
        <v>2022</v>
      </c>
      <c r="F9" s="346">
        <v>6</v>
      </c>
      <c r="G9" s="346">
        <v>1513.5470560000001</v>
      </c>
      <c r="H9" s="346">
        <v>76.261970000000005</v>
      </c>
      <c r="I9" s="346">
        <v>76.261970000000005</v>
      </c>
      <c r="J9" s="346">
        <v>1624.458153</v>
      </c>
      <c r="K9" s="346">
        <v>816.18505870000001</v>
      </c>
      <c r="L9" s="346">
        <v>226.18226999999999</v>
      </c>
      <c r="N9" s="346">
        <v>758.18001000000004</v>
      </c>
      <c r="O9" s="346">
        <v>758.18001000000004</v>
      </c>
      <c r="P9" s="346">
        <v>978.72445000000005</v>
      </c>
      <c r="Q9" s="346">
        <v>4278.7018520000001</v>
      </c>
      <c r="R9" s="346">
        <v>3369.9323250000002</v>
      </c>
      <c r="S9" s="346">
        <v>28.29360625</v>
      </c>
      <c r="T9" s="346">
        <v>114.4680489</v>
      </c>
      <c r="U9" s="346">
        <v>1117.5531430000001</v>
      </c>
      <c r="V9" s="346">
        <v>802.46807560000002</v>
      </c>
      <c r="W9" s="346">
        <v>842.0543917</v>
      </c>
      <c r="X9" s="346" t="s">
        <v>101</v>
      </c>
      <c r="Y9" s="346">
        <v>64929</v>
      </c>
      <c r="Z9" s="346">
        <v>5</v>
      </c>
      <c r="AA9" s="346" t="s">
        <v>996</v>
      </c>
    </row>
    <row r="10" spans="1:27" hidden="1" x14ac:dyDescent="0.25">
      <c r="A10" s="346" t="s">
        <v>5412</v>
      </c>
      <c r="B10" s="346">
        <v>1100000119</v>
      </c>
      <c r="E10" s="346">
        <v>2022</v>
      </c>
      <c r="F10" s="346">
        <v>6</v>
      </c>
      <c r="G10" s="346">
        <v>1153.999331</v>
      </c>
      <c r="H10" s="346">
        <v>295.62184000000002</v>
      </c>
      <c r="I10" s="346">
        <v>295.62184000000002</v>
      </c>
      <c r="J10" s="346">
        <v>2154.6210809999998</v>
      </c>
      <c r="K10" s="346">
        <v>2757.6414599999998</v>
      </c>
      <c r="L10" s="346">
        <v>255.13604000000001</v>
      </c>
      <c r="N10" s="346">
        <v>1635.0454</v>
      </c>
      <c r="O10" s="346">
        <v>1635.0454</v>
      </c>
      <c r="P10" s="346">
        <v>2765.1436100000001</v>
      </c>
      <c r="Q10" s="346">
        <v>6509.3850000000002</v>
      </c>
      <c r="R10" s="346">
        <v>5723.4750000000004</v>
      </c>
      <c r="S10" s="346">
        <v>38.288713110000003</v>
      </c>
      <c r="T10" s="346">
        <v>412.59865020000001</v>
      </c>
      <c r="U10" s="346">
        <v>425.77128690000001</v>
      </c>
      <c r="V10" s="346">
        <v>5.0331751530000002</v>
      </c>
      <c r="W10" s="346">
        <v>-429.25914030000001</v>
      </c>
      <c r="X10" s="346" t="s">
        <v>101</v>
      </c>
      <c r="Y10" s="346">
        <v>66290</v>
      </c>
      <c r="Z10" s="346">
        <v>5</v>
      </c>
      <c r="AA10" s="346" t="s">
        <v>996</v>
      </c>
    </row>
    <row r="11" spans="1:27" hidden="1" x14ac:dyDescent="0.25">
      <c r="A11" s="346" t="s">
        <v>5413</v>
      </c>
      <c r="B11" s="346">
        <v>1100000126</v>
      </c>
      <c r="E11" s="346">
        <v>2022</v>
      </c>
      <c r="F11" s="346">
        <v>6</v>
      </c>
      <c r="G11" s="346">
        <v>2814.8829289999999</v>
      </c>
      <c r="H11" s="346">
        <v>51.380510000000001</v>
      </c>
      <c r="I11" s="346">
        <v>51.380510000000001</v>
      </c>
      <c r="J11" s="346">
        <v>3745.189844</v>
      </c>
      <c r="K11" s="346">
        <v>2881.9022190000001</v>
      </c>
      <c r="L11" s="346">
        <v>314.56518999999997</v>
      </c>
      <c r="N11" s="346">
        <v>868.88576</v>
      </c>
      <c r="O11" s="346">
        <v>868.88576</v>
      </c>
      <c r="P11" s="346">
        <v>-3199.3780900000002</v>
      </c>
      <c r="Q11" s="346">
        <v>4197.4148999999998</v>
      </c>
      <c r="R11" s="346">
        <v>5085</v>
      </c>
      <c r="S11" s="346">
        <v>5.3715051889999996</v>
      </c>
      <c r="T11" s="346">
        <v>44.433345940000002</v>
      </c>
      <c r="U11" s="346">
        <v>1324.3889710000001</v>
      </c>
      <c r="V11" s="346">
        <v>1023.9645</v>
      </c>
      <c r="W11" s="346">
        <v>1052.340283</v>
      </c>
      <c r="X11" s="346" t="s">
        <v>101</v>
      </c>
      <c r="Y11" s="346">
        <v>43999</v>
      </c>
      <c r="Z11" s="346">
        <v>5</v>
      </c>
      <c r="AA11" s="346" t="s">
        <v>996</v>
      </c>
    </row>
    <row r="12" spans="1:27" hidden="1" x14ac:dyDescent="0.25">
      <c r="A12" s="346" t="s">
        <v>5414</v>
      </c>
      <c r="B12" s="346">
        <v>1100000184</v>
      </c>
      <c r="E12" s="346">
        <v>2022</v>
      </c>
      <c r="F12" s="346">
        <v>6</v>
      </c>
      <c r="G12" s="346">
        <v>5399.9266280000002</v>
      </c>
      <c r="H12" s="346">
        <v>8966.3950000000004</v>
      </c>
      <c r="I12" s="346">
        <v>8966.3950000000004</v>
      </c>
      <c r="J12" s="346">
        <v>25387.394209999999</v>
      </c>
      <c r="K12" s="346">
        <v>25030.92498</v>
      </c>
      <c r="L12" s="346">
        <v>6290.9054999999998</v>
      </c>
      <c r="N12" s="346">
        <v>12518.5715</v>
      </c>
      <c r="O12" s="346">
        <v>12518.5715</v>
      </c>
      <c r="P12" s="346">
        <v>29013.771199999999</v>
      </c>
      <c r="Q12" s="346">
        <v>42549.853539999996</v>
      </c>
      <c r="R12" s="346">
        <v>38513.744079999997</v>
      </c>
      <c r="S12" s="346">
        <v>660.06626310000001</v>
      </c>
      <c r="T12" s="346">
        <v>3953.460462</v>
      </c>
      <c r="U12" s="346">
        <v>1756.0942319999999</v>
      </c>
      <c r="V12" s="346">
        <v>-2197.3662300000001</v>
      </c>
      <c r="W12" s="346">
        <v>-5660.305883</v>
      </c>
      <c r="X12" s="346" t="s">
        <v>101</v>
      </c>
      <c r="Y12" s="346">
        <v>43999</v>
      </c>
      <c r="Z12" s="346">
        <v>5</v>
      </c>
      <c r="AA12" s="346" t="s">
        <v>996</v>
      </c>
    </row>
    <row r="13" spans="1:27" hidden="1" x14ac:dyDescent="0.25">
      <c r="A13" s="346" t="s">
        <v>5415</v>
      </c>
      <c r="B13" s="346">
        <v>1100000111</v>
      </c>
      <c r="E13" s="346">
        <v>2022</v>
      </c>
      <c r="F13" s="346">
        <v>6</v>
      </c>
      <c r="G13" s="346">
        <v>1291.4496879999999</v>
      </c>
      <c r="H13" s="346">
        <v>1343.075</v>
      </c>
      <c r="I13" s="346">
        <v>1343.075</v>
      </c>
      <c r="J13" s="346">
        <v>4725.6730539999999</v>
      </c>
      <c r="K13" s="346">
        <v>4134.9139960000002</v>
      </c>
      <c r="L13" s="346">
        <v>1341.6569999999999</v>
      </c>
      <c r="N13" s="346">
        <v>1805.05</v>
      </c>
      <c r="O13" s="346">
        <v>1805.05</v>
      </c>
      <c r="P13" s="346">
        <v>1554.8340000000001</v>
      </c>
      <c r="Q13" s="346">
        <v>8674.34</v>
      </c>
      <c r="R13" s="346">
        <v>7680.91</v>
      </c>
      <c r="S13" s="346">
        <v>99.880223599999994</v>
      </c>
      <c r="T13" s="346">
        <v>63.700084709999999</v>
      </c>
      <c r="U13" s="346">
        <v>945.71577639999998</v>
      </c>
      <c r="V13" s="346">
        <v>705.61255329999995</v>
      </c>
      <c r="W13" s="346">
        <v>347.35490329999999</v>
      </c>
      <c r="X13" s="346" t="s">
        <v>101</v>
      </c>
      <c r="Y13" s="346">
        <v>25930</v>
      </c>
      <c r="Z13" s="346">
        <v>5</v>
      </c>
      <c r="AA13" s="346" t="s">
        <v>996</v>
      </c>
    </row>
    <row r="14" spans="1:27" hidden="1" x14ac:dyDescent="0.25">
      <c r="A14" s="346" t="s">
        <v>164</v>
      </c>
      <c r="B14" s="346">
        <v>1100000143</v>
      </c>
      <c r="E14" s="346">
        <v>2022</v>
      </c>
      <c r="F14" s="346">
        <v>6</v>
      </c>
      <c r="G14" s="346">
        <v>52.84975901</v>
      </c>
      <c r="H14" s="346">
        <v>231.22806</v>
      </c>
      <c r="I14" s="346">
        <v>231.22806</v>
      </c>
      <c r="J14" s="346">
        <v>427.69122679999998</v>
      </c>
      <c r="K14" s="346">
        <v>377.43450730000001</v>
      </c>
      <c r="L14" s="346">
        <v>693.05427250000002</v>
      </c>
      <c r="N14" s="346">
        <v>919.21777250000002</v>
      </c>
      <c r="O14" s="346">
        <v>919.21777250000002</v>
      </c>
      <c r="P14" s="346">
        <v>372.10522450000002</v>
      </c>
      <c r="Q14" s="346">
        <v>3003</v>
      </c>
      <c r="R14" s="346">
        <v>2194.5</v>
      </c>
      <c r="S14" s="346">
        <v>11.570226979999999</v>
      </c>
      <c r="T14" s="346">
        <v>42.915022260000001</v>
      </c>
      <c r="U14" s="346">
        <v>24.33377303</v>
      </c>
      <c r="V14" s="346">
        <v>-22.956212499999999</v>
      </c>
      <c r="W14" s="346">
        <v>-350.55821529999997</v>
      </c>
      <c r="X14" s="346" t="s">
        <v>101</v>
      </c>
      <c r="Y14" s="346">
        <v>55100</v>
      </c>
      <c r="Z14" s="346">
        <v>5</v>
      </c>
      <c r="AA14" s="346" t="s">
        <v>996</v>
      </c>
    </row>
    <row r="15" spans="1:27" hidden="1" x14ac:dyDescent="0.25">
      <c r="A15" s="346" t="s">
        <v>5416</v>
      </c>
      <c r="B15" s="346">
        <v>1200000111</v>
      </c>
      <c r="E15" s="346">
        <v>2022</v>
      </c>
      <c r="F15" s="346">
        <v>6</v>
      </c>
      <c r="G15" s="346">
        <v>1617.685125</v>
      </c>
      <c r="H15" s="346">
        <v>330.3</v>
      </c>
      <c r="I15" s="346">
        <v>330.3</v>
      </c>
      <c r="J15" s="346">
        <v>5506.9441790000001</v>
      </c>
      <c r="K15" s="346">
        <v>4667.5159519999997</v>
      </c>
      <c r="L15" s="346">
        <v>838.60059100000001</v>
      </c>
      <c r="N15" s="346">
        <v>1187.6005909999999</v>
      </c>
      <c r="O15" s="346">
        <v>1187.6005909999999</v>
      </c>
      <c r="P15" s="346">
        <v>1000</v>
      </c>
      <c r="Q15" s="346">
        <v>9689</v>
      </c>
      <c r="R15" s="346">
        <v>8720</v>
      </c>
      <c r="S15" s="346">
        <v>105.6943672</v>
      </c>
      <c r="T15" s="346">
        <v>66.204034820000004</v>
      </c>
      <c r="U15" s="346">
        <v>909.10489619999998</v>
      </c>
      <c r="V15" s="346">
        <v>674.32068909999998</v>
      </c>
      <c r="W15" s="346">
        <v>434.23311100000001</v>
      </c>
      <c r="X15" s="346" t="s">
        <v>101</v>
      </c>
      <c r="Y15" s="346">
        <v>38220</v>
      </c>
      <c r="Z15" s="346">
        <v>5</v>
      </c>
      <c r="AA15" s="346" t="s">
        <v>996</v>
      </c>
    </row>
    <row r="16" spans="1:27" hidden="1" x14ac:dyDescent="0.25">
      <c r="A16" s="346" t="s">
        <v>1602</v>
      </c>
      <c r="B16" s="346">
        <v>1200000118</v>
      </c>
      <c r="E16" s="346">
        <v>2022</v>
      </c>
      <c r="F16" s="346">
        <v>6</v>
      </c>
      <c r="G16" s="346">
        <v>180.93413849999999</v>
      </c>
      <c r="H16" s="346">
        <v>23623.270339999999</v>
      </c>
      <c r="I16" s="346">
        <v>23623.270339999999</v>
      </c>
      <c r="J16" s="346">
        <v>58289.022709999997</v>
      </c>
      <c r="K16" s="346">
        <v>57555.242530000003</v>
      </c>
      <c r="L16" s="346">
        <v>9623.0740900000001</v>
      </c>
      <c r="N16" s="346">
        <v>13884.454239999999</v>
      </c>
      <c r="O16" s="346">
        <v>14571.896479999999</v>
      </c>
      <c r="P16" s="346">
        <v>53965.885730000002</v>
      </c>
      <c r="Q16" s="346">
        <v>34733.205000000002</v>
      </c>
      <c r="R16" s="346">
        <v>30895.02</v>
      </c>
      <c r="S16" s="346">
        <v>857.91940309999995</v>
      </c>
      <c r="T16" s="346">
        <v>241.3873619</v>
      </c>
      <c r="U16" s="346">
        <v>1942.0315969999999</v>
      </c>
      <c r="V16" s="346">
        <v>1360.515388</v>
      </c>
      <c r="W16" s="346">
        <v>102.9422024</v>
      </c>
      <c r="X16" s="346" t="s">
        <v>101</v>
      </c>
      <c r="Y16" s="346">
        <v>69102</v>
      </c>
      <c r="Z16" s="346">
        <v>5</v>
      </c>
      <c r="AA16" s="346" t="s">
        <v>996</v>
      </c>
    </row>
    <row r="17" spans="1:27" hidden="1" x14ac:dyDescent="0.25">
      <c r="A17" s="346" t="s">
        <v>5417</v>
      </c>
      <c r="B17" s="346">
        <v>1100000234</v>
      </c>
      <c r="E17" s="346">
        <v>2022</v>
      </c>
      <c r="F17" s="346">
        <v>6</v>
      </c>
      <c r="G17" s="346">
        <v>628.16169649999995</v>
      </c>
      <c r="H17" s="346">
        <v>2202.3266199999998</v>
      </c>
      <c r="I17" s="346">
        <v>2202.3266199999998</v>
      </c>
      <c r="J17" s="346">
        <v>29246.42368</v>
      </c>
      <c r="K17" s="346">
        <v>30610.346720000001</v>
      </c>
      <c r="L17" s="346">
        <v>1321.91697</v>
      </c>
      <c r="N17" s="346">
        <v>3010.2828399999999</v>
      </c>
      <c r="O17" s="346">
        <v>3010.2828399999999</v>
      </c>
      <c r="P17" s="346">
        <v>3470.92769</v>
      </c>
      <c r="Q17" s="346">
        <v>11042.817499999999</v>
      </c>
      <c r="R17" s="346">
        <v>10590.9375</v>
      </c>
      <c r="S17" s="346">
        <v>1158.997672</v>
      </c>
      <c r="T17" s="346">
        <v>14.1044482</v>
      </c>
      <c r="U17" s="346">
        <v>-110.9761723</v>
      </c>
      <c r="V17" s="346">
        <v>-125.0806204</v>
      </c>
      <c r="W17" s="346">
        <v>637.55702199999996</v>
      </c>
      <c r="X17" s="346" t="s">
        <v>101</v>
      </c>
      <c r="Y17" s="346">
        <v>10720</v>
      </c>
      <c r="Z17" s="346">
        <v>5</v>
      </c>
      <c r="AA17" s="346" t="s">
        <v>996</v>
      </c>
    </row>
    <row r="18" spans="1:27" hidden="1" x14ac:dyDescent="0.25">
      <c r="A18" s="346" t="s">
        <v>5418</v>
      </c>
      <c r="B18" s="346">
        <v>1200000106</v>
      </c>
      <c r="E18" s="346">
        <v>2022</v>
      </c>
      <c r="F18" s="346">
        <v>6</v>
      </c>
      <c r="G18" s="346">
        <v>277.99167820000002</v>
      </c>
      <c r="H18" s="346">
        <v>289.60199999999998</v>
      </c>
      <c r="I18" s="346">
        <v>289.60199999999998</v>
      </c>
      <c r="J18" s="346">
        <v>8760.6259900000005</v>
      </c>
      <c r="K18" s="346">
        <v>9858.6697820000009</v>
      </c>
      <c r="L18" s="346">
        <v>2430.6012599999999</v>
      </c>
      <c r="N18" s="346">
        <v>4261.3187600000001</v>
      </c>
      <c r="O18" s="346">
        <v>4261.3187600000001</v>
      </c>
      <c r="P18" s="346">
        <v>14307.0198</v>
      </c>
      <c r="Q18" s="346">
        <v>12418.76302</v>
      </c>
      <c r="R18" s="346">
        <v>11245.57346</v>
      </c>
      <c r="S18" s="346">
        <v>1066.829358</v>
      </c>
      <c r="T18" s="346">
        <v>788.51460710000003</v>
      </c>
      <c r="U18" s="346">
        <v>192.08465949999999</v>
      </c>
      <c r="V18" s="346">
        <v>-671.12154459999999</v>
      </c>
      <c r="W18" s="346">
        <v>-1165.686645</v>
      </c>
      <c r="X18" s="346" t="s">
        <v>101</v>
      </c>
      <c r="Y18" s="346">
        <v>25120</v>
      </c>
      <c r="Z18" s="346">
        <v>5</v>
      </c>
      <c r="AA18" s="346" t="s">
        <v>996</v>
      </c>
    </row>
    <row r="19" spans="1:27" hidden="1" x14ac:dyDescent="0.25">
      <c r="A19" s="346" t="s">
        <v>5419</v>
      </c>
      <c r="B19" s="346">
        <v>1100000144</v>
      </c>
      <c r="E19" s="346">
        <v>2022</v>
      </c>
      <c r="F19" s="346">
        <v>6</v>
      </c>
      <c r="G19" s="346">
        <v>13231.17301</v>
      </c>
      <c r="H19" s="346">
        <v>7279.6970000000001</v>
      </c>
      <c r="I19" s="346">
        <v>7279.6970000000001</v>
      </c>
      <c r="J19" s="346">
        <v>26083.148939999999</v>
      </c>
      <c r="K19" s="346">
        <v>25437.30443</v>
      </c>
      <c r="L19" s="346">
        <v>150.35550000000001</v>
      </c>
      <c r="N19" s="346">
        <v>8704.0195000000003</v>
      </c>
      <c r="O19" s="346">
        <v>8704.0195000000003</v>
      </c>
      <c r="P19" s="346">
        <v>22902.909</v>
      </c>
      <c r="Q19" s="346">
        <v>24075.219389999998</v>
      </c>
      <c r="R19" s="346">
        <v>22682.492460000001</v>
      </c>
      <c r="S19" s="346">
        <v>1338.282158</v>
      </c>
      <c r="T19" s="346">
        <v>1313.556877</v>
      </c>
      <c r="U19" s="346">
        <v>2602.5736959999999</v>
      </c>
      <c r="V19" s="346">
        <v>1031.213456</v>
      </c>
      <c r="W19" s="346">
        <v>2254.7344939999998</v>
      </c>
      <c r="X19" s="346" t="s">
        <v>101</v>
      </c>
      <c r="Y19" s="346">
        <v>82990</v>
      </c>
      <c r="Z19" s="346">
        <v>5</v>
      </c>
      <c r="AA19" s="346" t="s">
        <v>996</v>
      </c>
    </row>
    <row r="20" spans="1:27" hidden="1" x14ac:dyDescent="0.25">
      <c r="A20" s="346" t="s">
        <v>5420</v>
      </c>
      <c r="B20" s="346">
        <v>1200000116</v>
      </c>
      <c r="E20" s="346">
        <v>2022</v>
      </c>
      <c r="F20" s="346">
        <v>6</v>
      </c>
      <c r="G20" s="346">
        <v>600.32477429999994</v>
      </c>
      <c r="H20" s="346">
        <v>391.25700000000001</v>
      </c>
      <c r="I20" s="346">
        <v>391.25700000000001</v>
      </c>
      <c r="J20" s="346">
        <v>2531.9411919999998</v>
      </c>
      <c r="K20" s="346">
        <v>2501.3194760000001</v>
      </c>
      <c r="L20" s="346">
        <v>364.20034249999998</v>
      </c>
      <c r="N20" s="346">
        <v>468.81434250000001</v>
      </c>
      <c r="O20" s="346">
        <v>468.81434250000001</v>
      </c>
      <c r="P20" s="346">
        <v>1802.1289999999999</v>
      </c>
      <c r="Q20" s="346">
        <v>2000.3060620000001</v>
      </c>
      <c r="R20" s="346">
        <v>1879.9737620000001</v>
      </c>
      <c r="S20" s="346">
        <v>159.79903959999999</v>
      </c>
      <c r="T20" s="346">
        <v>44.867713080000001</v>
      </c>
      <c r="U20" s="346">
        <v>190.17341250000001</v>
      </c>
      <c r="V20" s="346">
        <v>114.89697030000001</v>
      </c>
      <c r="W20" s="346">
        <v>130.2550784</v>
      </c>
      <c r="X20" s="346" t="s">
        <v>101</v>
      </c>
      <c r="Y20" s="346">
        <v>28290</v>
      </c>
      <c r="Z20" s="346">
        <v>5</v>
      </c>
      <c r="AA20" s="346" t="s">
        <v>996</v>
      </c>
    </row>
    <row r="21" spans="1:27" hidden="1" x14ac:dyDescent="0.25">
      <c r="A21" s="346" t="s">
        <v>5421</v>
      </c>
      <c r="B21" s="346">
        <v>1100000187</v>
      </c>
      <c r="E21" s="346">
        <v>2022</v>
      </c>
      <c r="F21" s="346">
        <v>6</v>
      </c>
      <c r="G21" s="346">
        <v>2038.2801870000001</v>
      </c>
      <c r="H21" s="346">
        <v>184.82354000000001</v>
      </c>
      <c r="I21" s="346">
        <v>184.82354000000001</v>
      </c>
      <c r="J21" s="346">
        <v>2477.5903779999999</v>
      </c>
      <c r="K21" s="346">
        <v>1403.5383830000001</v>
      </c>
      <c r="L21" s="346">
        <v>87.139809470000003</v>
      </c>
      <c r="N21" s="346">
        <v>511.50067949999999</v>
      </c>
      <c r="O21" s="346">
        <v>511.50067949999999</v>
      </c>
      <c r="P21" s="346">
        <v>403.76042000000001</v>
      </c>
      <c r="Q21" s="346">
        <v>3519.4811639999998</v>
      </c>
      <c r="R21" s="346">
        <v>3366.3485620000001</v>
      </c>
      <c r="S21" s="346">
        <v>58.488594130000003</v>
      </c>
      <c r="T21" s="346">
        <v>9.3486959639999991</v>
      </c>
      <c r="U21" s="346">
        <v>1174.9105890000001</v>
      </c>
      <c r="V21" s="346">
        <v>932.44951470000001</v>
      </c>
      <c r="W21" s="346">
        <v>864.2129324</v>
      </c>
      <c r="X21" s="346" t="s">
        <v>101</v>
      </c>
      <c r="Y21" s="346">
        <v>63990</v>
      </c>
      <c r="Z21" s="346">
        <v>5</v>
      </c>
      <c r="AA21" s="346" t="s">
        <v>996</v>
      </c>
    </row>
    <row r="22" spans="1:27" hidden="1" x14ac:dyDescent="0.25">
      <c r="A22" s="346" t="s">
        <v>5422</v>
      </c>
      <c r="B22" s="346">
        <v>1100000235</v>
      </c>
      <c r="E22" s="346">
        <v>2022</v>
      </c>
      <c r="F22" s="346">
        <v>6</v>
      </c>
      <c r="G22" s="346">
        <v>1752.1956580000001</v>
      </c>
      <c r="J22" s="346">
        <v>12250.72897</v>
      </c>
      <c r="K22" s="346">
        <v>12663.25049</v>
      </c>
      <c r="N22" s="346">
        <v>471.90976999999998</v>
      </c>
      <c r="O22" s="346">
        <v>471.90976999999998</v>
      </c>
      <c r="P22" s="346">
        <v>12675.494720000001</v>
      </c>
      <c r="Q22" s="346">
        <v>3259.8038200000001</v>
      </c>
      <c r="R22" s="346">
        <v>3107.5602349999999</v>
      </c>
      <c r="S22" s="346">
        <v>473.68978600000003</v>
      </c>
      <c r="T22" s="346">
        <v>566.375</v>
      </c>
      <c r="U22" s="346">
        <v>153.85348139999999</v>
      </c>
      <c r="V22" s="346">
        <v>-412.52151859999998</v>
      </c>
      <c r="W22" s="346">
        <v>-274.11939530000001</v>
      </c>
      <c r="X22" s="346" t="s">
        <v>101</v>
      </c>
      <c r="Y22" s="346">
        <v>85100</v>
      </c>
      <c r="Z22" s="346">
        <v>5</v>
      </c>
      <c r="AA22" s="346" t="s">
        <v>996</v>
      </c>
    </row>
    <row r="23" spans="1:27" hidden="1" x14ac:dyDescent="0.25">
      <c r="A23" s="346" t="s">
        <v>5423</v>
      </c>
      <c r="B23" s="346">
        <v>1100000238</v>
      </c>
      <c r="E23" s="346">
        <v>2022</v>
      </c>
      <c r="F23" s="346">
        <v>6</v>
      </c>
      <c r="G23" s="346">
        <v>50</v>
      </c>
      <c r="H23" s="346">
        <v>5807</v>
      </c>
      <c r="I23" s="346">
        <v>5807</v>
      </c>
      <c r="J23" s="346">
        <v>-16243.43059</v>
      </c>
      <c r="K23" s="346">
        <v>-16087.368829999999</v>
      </c>
      <c r="L23" s="346">
        <v>5270</v>
      </c>
      <c r="N23" s="346">
        <v>46715</v>
      </c>
      <c r="O23" s="346">
        <v>46715</v>
      </c>
      <c r="P23" s="346">
        <v>13481.80869</v>
      </c>
      <c r="Q23" s="346">
        <v>166066.98000000001</v>
      </c>
      <c r="R23" s="346">
        <v>149725.2825</v>
      </c>
      <c r="S23" s="346">
        <v>51.934607999999997</v>
      </c>
      <c r="T23" s="346">
        <v>1354.345061</v>
      </c>
      <c r="U23" s="346">
        <v>1216.474608</v>
      </c>
      <c r="V23" s="346">
        <v>-183.3949077</v>
      </c>
      <c r="W23" s="346">
        <v>-6282.6092250000002</v>
      </c>
      <c r="X23" s="346" t="s">
        <v>101</v>
      </c>
      <c r="Y23" s="346">
        <v>56302</v>
      </c>
      <c r="Z23" s="346">
        <v>5</v>
      </c>
      <c r="AA23" s="346" t="s">
        <v>996</v>
      </c>
    </row>
    <row r="24" spans="1:27" hidden="1" x14ac:dyDescent="0.25">
      <c r="A24" s="346" t="s">
        <v>5424</v>
      </c>
      <c r="B24" s="346">
        <v>1100000195</v>
      </c>
      <c r="E24" s="346">
        <v>2022</v>
      </c>
      <c r="F24" s="346">
        <v>6</v>
      </c>
      <c r="G24" s="346">
        <v>4565.4409999999998</v>
      </c>
      <c r="H24" s="346">
        <v>1946</v>
      </c>
      <c r="I24" s="346">
        <v>1946</v>
      </c>
      <c r="J24" s="346">
        <v>76062.028510000004</v>
      </c>
      <c r="K24" s="346">
        <v>79596.349600000001</v>
      </c>
      <c r="L24" s="346">
        <v>844</v>
      </c>
      <c r="N24" s="346">
        <v>2545</v>
      </c>
      <c r="O24" s="346">
        <v>2545</v>
      </c>
      <c r="P24" s="346">
        <v>73287</v>
      </c>
      <c r="Q24" s="346">
        <v>12726.658750000001</v>
      </c>
      <c r="R24" s="346">
        <v>11908.172500000001</v>
      </c>
      <c r="S24" s="346">
        <v>5603.059835</v>
      </c>
      <c r="T24" s="346">
        <v>6150.1125000000002</v>
      </c>
      <c r="U24" s="346">
        <v>-1111.821085</v>
      </c>
      <c r="V24" s="346">
        <v>-7261.9335849999998</v>
      </c>
      <c r="W24" s="346">
        <v>-3970.6720460000001</v>
      </c>
      <c r="X24" s="346" t="s">
        <v>101</v>
      </c>
      <c r="Y24" s="346">
        <v>26600</v>
      </c>
      <c r="Z24" s="346">
        <v>5</v>
      </c>
      <c r="AA24" s="346" t="s">
        <v>996</v>
      </c>
    </row>
    <row r="25" spans="1:27" hidden="1" x14ac:dyDescent="0.25">
      <c r="A25" s="346" t="s">
        <v>5425</v>
      </c>
      <c r="B25" s="346">
        <v>1100000128</v>
      </c>
      <c r="E25" s="346">
        <v>2022</v>
      </c>
      <c r="F25" s="346">
        <v>6</v>
      </c>
      <c r="G25" s="346">
        <v>22173.39068</v>
      </c>
      <c r="H25" s="346">
        <v>3447</v>
      </c>
      <c r="I25" s="346">
        <v>3447</v>
      </c>
      <c r="J25" s="346">
        <v>118976.2714</v>
      </c>
      <c r="K25" s="346">
        <v>115682.3639</v>
      </c>
      <c r="L25" s="346">
        <v>1915</v>
      </c>
      <c r="N25" s="346">
        <v>6501</v>
      </c>
      <c r="O25" s="346">
        <v>6501</v>
      </c>
      <c r="P25" s="346">
        <v>79736</v>
      </c>
      <c r="Q25" s="346">
        <v>31670.577870000001</v>
      </c>
      <c r="R25" s="346">
        <v>29414.362560000001</v>
      </c>
      <c r="S25" s="346">
        <v>4728.0163419999999</v>
      </c>
      <c r="T25" s="346">
        <v>5179.7808459999997</v>
      </c>
      <c r="U25" s="346">
        <v>3718.9075280000002</v>
      </c>
      <c r="V25" s="346">
        <v>-1460.873319</v>
      </c>
      <c r="W25" s="346">
        <v>-2603.6277169999998</v>
      </c>
      <c r="X25" s="346" t="s">
        <v>101</v>
      </c>
      <c r="Y25" s="346">
        <v>85590</v>
      </c>
      <c r="Z25" s="346">
        <v>5</v>
      </c>
      <c r="AA25" s="346" t="s">
        <v>996</v>
      </c>
    </row>
    <row r="26" spans="1:27" hidden="1" x14ac:dyDescent="0.25">
      <c r="A26" s="346" t="s">
        <v>5426</v>
      </c>
      <c r="B26" s="346">
        <v>1100000268</v>
      </c>
      <c r="E26" s="346">
        <v>2022</v>
      </c>
      <c r="F26" s="346">
        <v>6</v>
      </c>
      <c r="G26" s="346">
        <v>2822.9106350000002</v>
      </c>
      <c r="H26" s="346">
        <v>414.52429999999998</v>
      </c>
      <c r="I26" s="346">
        <v>414.52429999999998</v>
      </c>
      <c r="J26" s="346">
        <v>10908.136140000001</v>
      </c>
      <c r="K26" s="346">
        <v>9884.9506270000002</v>
      </c>
      <c r="L26" s="346">
        <v>264.55243000000002</v>
      </c>
      <c r="N26" s="346">
        <v>1363.4962840000001</v>
      </c>
      <c r="O26" s="346">
        <v>1363.4962840000001</v>
      </c>
      <c r="P26" s="346">
        <v>8210.4825600000004</v>
      </c>
      <c r="Q26" s="346">
        <v>6797.9530329999998</v>
      </c>
      <c r="R26" s="346">
        <v>3877.8701150000002</v>
      </c>
      <c r="S26" s="346">
        <v>172.30388300000001</v>
      </c>
      <c r="T26" s="346">
        <v>291.87727630000001</v>
      </c>
      <c r="U26" s="346">
        <v>1967.377958</v>
      </c>
      <c r="V26" s="346">
        <v>1340.400545</v>
      </c>
      <c r="W26" s="346">
        <v>176.82922909999999</v>
      </c>
      <c r="X26" s="346" t="s">
        <v>101</v>
      </c>
      <c r="Y26" s="346">
        <v>70100</v>
      </c>
      <c r="Z26" s="346">
        <v>5</v>
      </c>
      <c r="AA26" s="346" t="s">
        <v>996</v>
      </c>
    </row>
    <row r="27" spans="1:27" hidden="1" x14ac:dyDescent="0.25">
      <c r="A27" s="346" t="s">
        <v>5427</v>
      </c>
      <c r="B27" s="346">
        <v>1300000002</v>
      </c>
      <c r="E27" s="346">
        <v>2022</v>
      </c>
      <c r="F27" s="346">
        <v>6</v>
      </c>
      <c r="G27" s="346">
        <v>997.65742509999995</v>
      </c>
      <c r="J27" s="346">
        <v>2590.1903769999999</v>
      </c>
      <c r="K27" s="346">
        <v>1971.5892779999999</v>
      </c>
      <c r="L27" s="346">
        <v>-295.495</v>
      </c>
      <c r="N27" s="346">
        <v>-305.14699999999999</v>
      </c>
      <c r="O27" s="346">
        <v>-305.14699999999999</v>
      </c>
      <c r="P27" s="346">
        <v>1412.9860000000001</v>
      </c>
      <c r="Q27" s="346">
        <v>1183.6379099999999</v>
      </c>
      <c r="R27" s="346">
        <v>1128.3581180000001</v>
      </c>
      <c r="S27" s="346">
        <v>25.868040879999999</v>
      </c>
      <c r="U27" s="346">
        <v>732.55422450000003</v>
      </c>
      <c r="V27" s="346">
        <v>586.04337959999998</v>
      </c>
      <c r="W27" s="346">
        <v>555.33857230000001</v>
      </c>
      <c r="X27" s="346" t="s">
        <v>101</v>
      </c>
      <c r="Y27" s="346">
        <v>88910</v>
      </c>
      <c r="Z27" s="346">
        <v>5</v>
      </c>
      <c r="AA27" s="346" t="s">
        <v>996</v>
      </c>
    </row>
    <row r="28" spans="1:27" hidden="1" x14ac:dyDescent="0.25">
      <c r="A28" s="346" t="s">
        <v>5428</v>
      </c>
      <c r="B28" s="346">
        <v>1100000266</v>
      </c>
      <c r="E28" s="346">
        <v>2022</v>
      </c>
      <c r="F28" s="346">
        <v>6</v>
      </c>
      <c r="G28" s="346">
        <v>3459.0518750000001</v>
      </c>
      <c r="H28" s="346">
        <v>13158</v>
      </c>
      <c r="I28" s="346">
        <v>13158</v>
      </c>
      <c r="J28" s="346">
        <v>28975.700580000001</v>
      </c>
      <c r="K28" s="346">
        <v>26498.880399999998</v>
      </c>
      <c r="L28" s="346">
        <v>5434.5</v>
      </c>
      <c r="N28" s="346">
        <v>10869</v>
      </c>
      <c r="O28" s="346">
        <v>10869</v>
      </c>
      <c r="P28" s="346">
        <v>12800</v>
      </c>
      <c r="Q28" s="346">
        <v>43396.86</v>
      </c>
      <c r="R28" s="346">
        <v>34773.125</v>
      </c>
      <c r="S28" s="346">
        <v>52.601816249999999</v>
      </c>
      <c r="U28" s="346">
        <v>4992.5701840000002</v>
      </c>
      <c r="V28" s="346">
        <v>3994.0561469999998</v>
      </c>
      <c r="W28" s="346">
        <v>7.5313800000000004</v>
      </c>
      <c r="X28" s="346" t="s">
        <v>101</v>
      </c>
      <c r="Y28" s="346">
        <v>33190</v>
      </c>
      <c r="Z28" s="346">
        <v>5</v>
      </c>
      <c r="AA28" s="346" t="s">
        <v>996</v>
      </c>
    </row>
    <row r="29" spans="1:27" hidden="1" x14ac:dyDescent="0.25">
      <c r="A29" s="346" t="s">
        <v>5380</v>
      </c>
      <c r="B29" s="346">
        <v>1200000128</v>
      </c>
      <c r="E29" s="346">
        <v>2022</v>
      </c>
      <c r="F29" s="346">
        <v>6</v>
      </c>
      <c r="G29" s="346">
        <v>614.83212820000006</v>
      </c>
      <c r="H29" s="346">
        <v>132.94072</v>
      </c>
      <c r="I29" s="346">
        <v>132.94072</v>
      </c>
      <c r="J29" s="346">
        <v>1219.334298</v>
      </c>
      <c r="K29" s="346">
        <v>676.1891306</v>
      </c>
      <c r="L29" s="346">
        <v>404.09386999999998</v>
      </c>
      <c r="N29" s="346">
        <v>2808.0613800000001</v>
      </c>
      <c r="O29" s="346">
        <v>2808.0613800000001</v>
      </c>
      <c r="P29" s="346">
        <v>6052.2463900000002</v>
      </c>
      <c r="Q29" s="346">
        <v>10326.416440000001</v>
      </c>
      <c r="R29" s="346">
        <v>8947.7053199999991</v>
      </c>
      <c r="S29" s="346">
        <v>232.98696699999999</v>
      </c>
      <c r="T29" s="346">
        <v>246.51929459999999</v>
      </c>
      <c r="U29" s="346">
        <v>738.22485389999997</v>
      </c>
      <c r="V29" s="346">
        <v>381.18165049999999</v>
      </c>
      <c r="W29" s="346">
        <v>-322.6592574</v>
      </c>
      <c r="X29" s="346" t="s">
        <v>101</v>
      </c>
      <c r="Y29" s="346">
        <v>56302</v>
      </c>
      <c r="Z29" s="346">
        <v>5</v>
      </c>
      <c r="AA29" s="346" t="s">
        <v>996</v>
      </c>
    </row>
    <row r="30" spans="1:27" hidden="1" x14ac:dyDescent="0.25">
      <c r="A30" s="346" t="s">
        <v>5381</v>
      </c>
      <c r="B30" s="346">
        <v>1100000205</v>
      </c>
      <c r="E30" s="346">
        <v>2022</v>
      </c>
      <c r="F30" s="346">
        <v>6</v>
      </c>
      <c r="G30" s="346">
        <v>1108.2447159999999</v>
      </c>
      <c r="H30" s="346">
        <v>801.02782999999999</v>
      </c>
      <c r="I30" s="346">
        <v>801.02782999999999</v>
      </c>
      <c r="J30" s="346">
        <v>2363.8722299999999</v>
      </c>
      <c r="K30" s="346">
        <v>592.34932619999995</v>
      </c>
      <c r="L30" s="346">
        <v>-862.61561549999999</v>
      </c>
      <c r="N30" s="346">
        <v>4613.8324339999999</v>
      </c>
      <c r="O30" s="346">
        <v>5613.3934900000004</v>
      </c>
      <c r="P30" s="346">
        <v>6414.8478809999997</v>
      </c>
      <c r="Q30" s="346">
        <v>18258.357919999999</v>
      </c>
      <c r="R30" s="346">
        <v>15472.928459999999</v>
      </c>
      <c r="S30" s="346">
        <v>468.86644660000002</v>
      </c>
      <c r="T30" s="346">
        <v>294.27640880000001</v>
      </c>
      <c r="U30" s="346">
        <v>635.2945555</v>
      </c>
      <c r="V30" s="346">
        <v>64.069519639999996</v>
      </c>
      <c r="W30" s="346">
        <v>-1570.6632970000001</v>
      </c>
      <c r="X30" s="346" t="s">
        <v>101</v>
      </c>
      <c r="Y30" s="346">
        <v>56302</v>
      </c>
      <c r="Z30" s="346">
        <v>5</v>
      </c>
      <c r="AA30" s="346" t="s">
        <v>996</v>
      </c>
    </row>
    <row r="31" spans="1:27" hidden="1" x14ac:dyDescent="0.25">
      <c r="A31" s="346" t="s">
        <v>5382</v>
      </c>
      <c r="B31" s="346">
        <v>1200000146</v>
      </c>
      <c r="E31" s="346">
        <v>2022</v>
      </c>
      <c r="F31" s="346">
        <v>6</v>
      </c>
      <c r="G31" s="346">
        <v>856.90503720000004</v>
      </c>
      <c r="H31" s="346">
        <v>40.785629999999998</v>
      </c>
      <c r="I31" s="346">
        <v>40.785629999999998</v>
      </c>
      <c r="J31" s="346">
        <v>5791.8670069999998</v>
      </c>
      <c r="K31" s="346">
        <v>5036.1884280000004</v>
      </c>
      <c r="L31" s="346">
        <v>1085.3264730000001</v>
      </c>
      <c r="N31" s="346">
        <v>3750.640868</v>
      </c>
      <c r="O31" s="346">
        <v>3817.3075349999999</v>
      </c>
      <c r="P31" s="346">
        <v>13703.354660000001</v>
      </c>
      <c r="Q31" s="346">
        <v>24664.053469999999</v>
      </c>
      <c r="R31" s="346">
        <v>21290.9696</v>
      </c>
      <c r="S31" s="346">
        <v>369.67740959999998</v>
      </c>
      <c r="T31" s="346">
        <v>7.3908019779999998</v>
      </c>
      <c r="U31" s="346">
        <v>637.21380439999996</v>
      </c>
      <c r="V31" s="346">
        <v>431.3467258</v>
      </c>
      <c r="W31" s="346">
        <v>-1672.5972609999999</v>
      </c>
      <c r="X31" s="346" t="s">
        <v>101</v>
      </c>
      <c r="Y31" s="346">
        <v>56302</v>
      </c>
      <c r="Z31" s="346">
        <v>5</v>
      </c>
      <c r="AA31" s="346" t="s">
        <v>996</v>
      </c>
    </row>
    <row r="32" spans="1:27" hidden="1" x14ac:dyDescent="0.25">
      <c r="A32" s="346" t="s">
        <v>5383</v>
      </c>
      <c r="B32" s="346">
        <v>1100000248</v>
      </c>
      <c r="E32" s="346">
        <v>2022</v>
      </c>
      <c r="F32" s="346">
        <v>6</v>
      </c>
      <c r="G32" s="346">
        <v>151.42156259999999</v>
      </c>
      <c r="H32" s="346">
        <v>3461.6129999999998</v>
      </c>
      <c r="I32" s="346">
        <v>3461.6129999999998</v>
      </c>
      <c r="J32" s="346">
        <v>134421.38380000001</v>
      </c>
      <c r="K32" s="346">
        <v>134258.07149999999</v>
      </c>
      <c r="L32" s="346">
        <v>-4450.3068249999997</v>
      </c>
      <c r="N32" s="346">
        <v>-1658.668075</v>
      </c>
      <c r="O32" s="346">
        <v>1141.331925</v>
      </c>
      <c r="P32" s="346">
        <v>144037.4601</v>
      </c>
      <c r="Q32" s="346">
        <v>31684.80343</v>
      </c>
      <c r="R32" s="346">
        <v>28580.23979</v>
      </c>
      <c r="S32" s="346">
        <v>13164.223760000001</v>
      </c>
      <c r="T32" s="346">
        <v>10570.38233</v>
      </c>
      <c r="U32" s="346">
        <v>-9560.5883900000008</v>
      </c>
      <c r="V32" s="346">
        <v>-20130.970720000001</v>
      </c>
      <c r="W32" s="346">
        <v>-17805.444879999999</v>
      </c>
      <c r="X32" s="346" t="s">
        <v>101</v>
      </c>
      <c r="Y32" s="346">
        <v>56302</v>
      </c>
      <c r="Z32" s="346">
        <v>5</v>
      </c>
      <c r="AA32" s="346" t="s">
        <v>996</v>
      </c>
    </row>
    <row r="33" spans="1:27" hidden="1" x14ac:dyDescent="0.25">
      <c r="A33" s="346" t="s">
        <v>5384</v>
      </c>
      <c r="B33" s="346">
        <v>1100000277</v>
      </c>
      <c r="E33" s="346">
        <v>2022</v>
      </c>
      <c r="F33" s="346">
        <v>6</v>
      </c>
      <c r="G33" s="346">
        <v>50</v>
      </c>
      <c r="J33" s="346">
        <v>37591.242830000003</v>
      </c>
      <c r="K33" s="346">
        <v>38603.835890000002</v>
      </c>
      <c r="N33" s="346">
        <v>0</v>
      </c>
      <c r="P33" s="346">
        <v>27900.120640000001</v>
      </c>
      <c r="Q33" s="346">
        <v>14402.2014</v>
      </c>
      <c r="R33" s="346">
        <v>12637.480960000001</v>
      </c>
      <c r="S33" s="346">
        <v>1156.6150769999999</v>
      </c>
      <c r="T33" s="346">
        <v>2499.1959430000002</v>
      </c>
      <c r="U33" s="346">
        <v>-1194.849964</v>
      </c>
      <c r="V33" s="346">
        <v>-3694.0459070000002</v>
      </c>
      <c r="W33" s="346">
        <v>-4086.8334620000001</v>
      </c>
      <c r="X33" s="346" t="s">
        <v>101</v>
      </c>
      <c r="Y33" s="346">
        <v>56302</v>
      </c>
      <c r="Z33" s="346">
        <v>5</v>
      </c>
      <c r="AA33" s="346" t="s">
        <v>996</v>
      </c>
    </row>
    <row r="34" spans="1:27" hidden="1" x14ac:dyDescent="0.25">
      <c r="A34" s="346" t="s">
        <v>5385</v>
      </c>
      <c r="B34" s="346">
        <v>1100000271</v>
      </c>
      <c r="E34" s="346">
        <v>2022</v>
      </c>
      <c r="F34" s="346">
        <v>6</v>
      </c>
      <c r="G34" s="346">
        <v>4463.2635550000005</v>
      </c>
      <c r="H34" s="346">
        <v>237.75632999999999</v>
      </c>
      <c r="I34" s="346">
        <v>237.75632999999999</v>
      </c>
      <c r="J34" s="346">
        <v>9846.0739809999995</v>
      </c>
      <c r="K34" s="346">
        <v>15526.54667</v>
      </c>
      <c r="L34" s="346">
        <v>980.11392000000001</v>
      </c>
      <c r="N34" s="346">
        <v>14249.808849999999</v>
      </c>
      <c r="O34" s="346">
        <v>15373.808849999999</v>
      </c>
      <c r="P34" s="346">
        <v>15000</v>
      </c>
      <c r="Q34" s="346">
        <v>49768.277269999999</v>
      </c>
      <c r="R34" s="346">
        <v>47952.991190000001</v>
      </c>
      <c r="S34" s="346">
        <v>2482.8144980000002</v>
      </c>
      <c r="T34" s="346">
        <v>622.34922329999995</v>
      </c>
      <c r="U34" s="346">
        <v>-4230.4726870000004</v>
      </c>
      <c r="V34" s="346">
        <v>-4852.8219099999997</v>
      </c>
      <c r="W34" s="346">
        <v>-1930.375554</v>
      </c>
      <c r="X34" s="346" t="s">
        <v>101</v>
      </c>
      <c r="Y34" s="346">
        <v>56101</v>
      </c>
      <c r="Z34" s="346">
        <v>5</v>
      </c>
      <c r="AA34" s="346" t="s">
        <v>996</v>
      </c>
    </row>
    <row r="35" spans="1:27" hidden="1" x14ac:dyDescent="0.25">
      <c r="A35" s="346" t="s">
        <v>5386</v>
      </c>
      <c r="B35" s="346">
        <v>1100000275</v>
      </c>
      <c r="E35" s="346">
        <v>2022</v>
      </c>
      <c r="F35" s="346">
        <v>6</v>
      </c>
      <c r="G35" s="346">
        <v>4463.2635550000005</v>
      </c>
      <c r="H35" s="346">
        <v>237.75632999999999</v>
      </c>
      <c r="I35" s="346">
        <v>237.75632999999999</v>
      </c>
      <c r="J35" s="346">
        <v>9846.0739809999995</v>
      </c>
      <c r="K35" s="346">
        <v>15526.54667</v>
      </c>
      <c r="L35" s="346">
        <v>980.11392000000001</v>
      </c>
      <c r="N35" s="346">
        <v>14249.808849999999</v>
      </c>
      <c r="O35" s="346">
        <v>15373.808849999999</v>
      </c>
      <c r="P35" s="346">
        <v>15000</v>
      </c>
      <c r="Q35" s="346">
        <v>49768.277269999999</v>
      </c>
      <c r="R35" s="346">
        <v>47952.991190000001</v>
      </c>
      <c r="S35" s="346">
        <v>2482.8144980000002</v>
      </c>
      <c r="T35" s="346">
        <v>622.34922329999995</v>
      </c>
      <c r="U35" s="346">
        <v>-4230.4726870000004</v>
      </c>
      <c r="V35" s="346">
        <v>-4852.8219099999997</v>
      </c>
      <c r="W35" s="346">
        <v>-1930.375554</v>
      </c>
      <c r="X35" s="346" t="s">
        <v>101</v>
      </c>
      <c r="Y35" s="346">
        <v>56101</v>
      </c>
      <c r="Z35" s="346">
        <v>5</v>
      </c>
      <c r="AA35" s="346" t="s">
        <v>996</v>
      </c>
    </row>
    <row r="36" spans="1:27" hidden="1" x14ac:dyDescent="0.25">
      <c r="A36" s="346" t="s">
        <v>5387</v>
      </c>
      <c r="B36" s="346">
        <v>1200000125</v>
      </c>
      <c r="E36" s="346">
        <v>2022</v>
      </c>
      <c r="F36" s="346">
        <v>6</v>
      </c>
      <c r="G36" s="346">
        <v>1688.1855889999999</v>
      </c>
      <c r="H36" s="346">
        <v>40.383870000000002</v>
      </c>
      <c r="I36" s="346">
        <v>40.383870000000002</v>
      </c>
      <c r="J36" s="346">
        <v>5458.6961629999996</v>
      </c>
      <c r="K36" s="346">
        <v>6864.0946400000003</v>
      </c>
      <c r="L36" s="346">
        <v>184.95749570000001</v>
      </c>
      <c r="N36" s="346">
        <v>1981.4841759999999</v>
      </c>
      <c r="O36" s="346">
        <v>2048.150842</v>
      </c>
      <c r="P36" s="346">
        <v>4150.6435099999999</v>
      </c>
      <c r="Q36" s="346">
        <v>8151.5044630000002</v>
      </c>
      <c r="R36" s="346">
        <v>8583.9104580000003</v>
      </c>
      <c r="S36" s="346">
        <v>542.16559919999997</v>
      </c>
      <c r="T36" s="346">
        <v>127.71273789999999</v>
      </c>
      <c r="U36" s="346">
        <v>-605.4145403</v>
      </c>
      <c r="V36" s="346">
        <v>-733.12727819999998</v>
      </c>
      <c r="W36" s="346">
        <v>-691.17717279999999</v>
      </c>
      <c r="X36" s="346" t="s">
        <v>101</v>
      </c>
      <c r="Y36" s="346">
        <v>56101</v>
      </c>
      <c r="Z36" s="346">
        <v>5</v>
      </c>
      <c r="AA36" s="346" t="s">
        <v>996</v>
      </c>
    </row>
    <row r="37" spans="1:27" hidden="1" x14ac:dyDescent="0.25">
      <c r="A37" s="346" t="s">
        <v>5388</v>
      </c>
      <c r="B37" s="346">
        <v>1100000141</v>
      </c>
      <c r="E37" s="346">
        <v>2022</v>
      </c>
      <c r="F37" s="346">
        <v>6</v>
      </c>
      <c r="G37" s="346">
        <v>-77.299050699999995</v>
      </c>
      <c r="H37" s="346">
        <v>142.34899999999999</v>
      </c>
      <c r="I37" s="346">
        <v>142.34899999999999</v>
      </c>
      <c r="J37" s="346">
        <v>578.3786589</v>
      </c>
      <c r="K37" s="346">
        <v>741.40347020000002</v>
      </c>
      <c r="L37" s="346">
        <v>351.13067560000002</v>
      </c>
      <c r="N37" s="346">
        <v>933.26467560000003</v>
      </c>
      <c r="O37" s="346">
        <v>933.26467560000003</v>
      </c>
      <c r="P37" s="346">
        <v>1388.5540000000001</v>
      </c>
      <c r="Q37" s="346">
        <v>5214.4652679999999</v>
      </c>
      <c r="R37" s="346">
        <v>3830.6305849999999</v>
      </c>
      <c r="S37" s="346">
        <v>60.099352449999998</v>
      </c>
      <c r="U37" s="346">
        <v>-163.02481119999999</v>
      </c>
      <c r="V37" s="346">
        <v>-163.02481119999999</v>
      </c>
      <c r="W37" s="346">
        <v>-130.60665969999999</v>
      </c>
      <c r="X37" s="346" t="s">
        <v>101</v>
      </c>
      <c r="Y37" s="346">
        <v>56101</v>
      </c>
      <c r="Z37" s="346">
        <v>5</v>
      </c>
      <c r="AA37" s="346" t="s">
        <v>996</v>
      </c>
    </row>
    <row r="38" spans="1:27" hidden="1" x14ac:dyDescent="0.25">
      <c r="A38" s="346" t="s">
        <v>5389</v>
      </c>
      <c r="B38" s="346">
        <v>1100000203</v>
      </c>
      <c r="E38" s="346">
        <v>2022</v>
      </c>
      <c r="F38" s="346">
        <v>6</v>
      </c>
      <c r="G38" s="346">
        <v>428.59652110000002</v>
      </c>
      <c r="H38" s="346">
        <v>47.357419999999998</v>
      </c>
      <c r="I38" s="346">
        <v>47.357419999999998</v>
      </c>
      <c r="J38" s="346">
        <v>2715.4171179999998</v>
      </c>
      <c r="K38" s="346">
        <v>2584.2225600000002</v>
      </c>
      <c r="L38" s="346">
        <v>74.925087210000001</v>
      </c>
      <c r="N38" s="346">
        <v>419.76313720000002</v>
      </c>
      <c r="O38" s="346">
        <v>421.50301789999997</v>
      </c>
      <c r="P38" s="346">
        <v>895.19547</v>
      </c>
      <c r="Q38" s="346">
        <v>2304.6974</v>
      </c>
      <c r="R38" s="346">
        <v>2227.5654359999999</v>
      </c>
      <c r="S38" s="346">
        <v>96.869000700000001</v>
      </c>
      <c r="T38" s="346">
        <v>49.190636300000001</v>
      </c>
      <c r="U38" s="346">
        <v>279.91274900000002</v>
      </c>
      <c r="V38" s="346">
        <v>184.57769020000001</v>
      </c>
      <c r="W38" s="346">
        <v>170.17563960000001</v>
      </c>
      <c r="X38" s="346" t="s">
        <v>101</v>
      </c>
      <c r="Y38" s="346">
        <v>56102</v>
      </c>
      <c r="Z38" s="346">
        <v>5</v>
      </c>
      <c r="AA38" s="346" t="s">
        <v>996</v>
      </c>
    </row>
    <row r="39" spans="1:27" hidden="1" x14ac:dyDescent="0.25">
      <c r="A39" s="346" t="s">
        <v>5390</v>
      </c>
      <c r="B39" s="346">
        <v>1200000157</v>
      </c>
      <c r="E39" s="346">
        <v>2022</v>
      </c>
      <c r="F39" s="346">
        <v>6</v>
      </c>
      <c r="G39" s="346">
        <v>633.86770709999996</v>
      </c>
      <c r="H39" s="346">
        <v>1026.405</v>
      </c>
      <c r="I39" s="346">
        <v>1026.405</v>
      </c>
      <c r="J39" s="346">
        <v>2225.329663</v>
      </c>
      <c r="K39" s="346">
        <v>4004.436475</v>
      </c>
      <c r="L39" s="346">
        <v>2329.6779999999999</v>
      </c>
      <c r="N39" s="346">
        <v>3500.6660000000002</v>
      </c>
      <c r="O39" s="346">
        <v>3500.6660000000002</v>
      </c>
      <c r="P39" s="346">
        <v>941.44135000000006</v>
      </c>
      <c r="Q39" s="346">
        <v>17012.596269999998</v>
      </c>
      <c r="R39" s="346">
        <v>17879.225310000002</v>
      </c>
      <c r="S39" s="346">
        <v>393.47502040000001</v>
      </c>
      <c r="T39" s="346">
        <v>50.436610039999998</v>
      </c>
      <c r="U39" s="346">
        <v>-1039.5500589999999</v>
      </c>
      <c r="V39" s="346">
        <v>-1089.9866689999999</v>
      </c>
      <c r="W39" s="346">
        <v>-720.28857870000002</v>
      </c>
      <c r="X39" s="346" t="s">
        <v>101</v>
      </c>
      <c r="Y39" s="346">
        <v>56101</v>
      </c>
      <c r="Z39" s="346">
        <v>5</v>
      </c>
      <c r="AA39" s="346" t="s">
        <v>996</v>
      </c>
    </row>
    <row r="40" spans="1:27" hidden="1" x14ac:dyDescent="0.25">
      <c r="A40" s="346" t="s">
        <v>5391</v>
      </c>
      <c r="B40" s="346">
        <v>1100000276</v>
      </c>
      <c r="E40" s="346">
        <v>2022</v>
      </c>
      <c r="F40" s="346">
        <v>6</v>
      </c>
      <c r="G40" s="346">
        <v>50</v>
      </c>
      <c r="H40" s="346">
        <v>3.6782900000000001</v>
      </c>
      <c r="I40" s="346">
        <v>3.6782900000000001</v>
      </c>
      <c r="J40" s="346">
        <v>25404.77248</v>
      </c>
      <c r="K40" s="346">
        <v>25542.656360000001</v>
      </c>
      <c r="L40" s="346">
        <v>3811.3322600000001</v>
      </c>
      <c r="N40" s="346">
        <v>10154.86976</v>
      </c>
      <c r="O40" s="346">
        <v>10154.86976</v>
      </c>
      <c r="P40" s="346">
        <v>27661.724460000001</v>
      </c>
      <c r="Q40" s="346">
        <v>6483.9156089999997</v>
      </c>
      <c r="R40" s="346">
        <v>5154.6220469999998</v>
      </c>
      <c r="S40" s="346">
        <v>347.52430029999999</v>
      </c>
      <c r="T40" s="346">
        <v>2278.4022359999999</v>
      </c>
      <c r="U40" s="346">
        <v>-918.42409169999996</v>
      </c>
      <c r="V40" s="346">
        <v>-3196.8263280000001</v>
      </c>
      <c r="W40" s="346">
        <v>-3827.04846</v>
      </c>
      <c r="X40" s="346" t="s">
        <v>101</v>
      </c>
      <c r="Y40" s="346">
        <v>55100</v>
      </c>
      <c r="Z40" s="346">
        <v>5</v>
      </c>
      <c r="AA40" s="346" t="s">
        <v>996</v>
      </c>
    </row>
    <row r="41" spans="1:27" hidden="1" x14ac:dyDescent="0.25">
      <c r="A41" s="346" t="s">
        <v>5392</v>
      </c>
      <c r="B41" s="346">
        <v>1200000144</v>
      </c>
      <c r="E41" s="346">
        <v>2022</v>
      </c>
      <c r="F41" s="346">
        <v>6</v>
      </c>
      <c r="G41" s="346">
        <v>56.790955539999999</v>
      </c>
      <c r="H41" s="346">
        <v>79.655879999999996</v>
      </c>
      <c r="I41" s="346">
        <v>79.655879999999996</v>
      </c>
      <c r="J41" s="346">
        <v>5022.7449120000001</v>
      </c>
      <c r="K41" s="346">
        <v>5269.9344279999996</v>
      </c>
      <c r="L41" s="346">
        <v>417.99977999999999</v>
      </c>
      <c r="N41" s="346">
        <v>515.41467999999998</v>
      </c>
      <c r="O41" s="346">
        <v>521.24098000000004</v>
      </c>
      <c r="P41" s="346">
        <v>1870.722755</v>
      </c>
      <c r="Q41" s="346">
        <v>2047.601314</v>
      </c>
      <c r="R41" s="346">
        <v>1942.9085379999999</v>
      </c>
      <c r="S41" s="346">
        <v>278.89252140000002</v>
      </c>
      <c r="T41" s="346">
        <v>51.98369108</v>
      </c>
      <c r="U41" s="346">
        <v>-140.9867725</v>
      </c>
      <c r="V41" s="346">
        <v>-192.97046349999999</v>
      </c>
      <c r="W41" s="346">
        <v>-107.06959980000001</v>
      </c>
      <c r="X41" s="346" t="s">
        <v>101</v>
      </c>
      <c r="Y41" s="346">
        <v>55100</v>
      </c>
      <c r="Z41" s="346">
        <v>5</v>
      </c>
      <c r="AA41" s="346" t="s">
        <v>996</v>
      </c>
    </row>
    <row r="42" spans="1:27" hidden="1" x14ac:dyDescent="0.25">
      <c r="A42" s="346" t="s">
        <v>5393</v>
      </c>
      <c r="B42" s="346">
        <v>1100000005</v>
      </c>
      <c r="E42" s="346">
        <v>2022</v>
      </c>
      <c r="F42" s="346">
        <v>6</v>
      </c>
      <c r="G42" s="346">
        <v>61.874848210000003</v>
      </c>
      <c r="J42" s="346">
        <v>7593.4145410000001</v>
      </c>
      <c r="K42" s="346">
        <v>7703.2801939999999</v>
      </c>
      <c r="L42" s="346">
        <v>-11.66666667</v>
      </c>
      <c r="N42" s="346">
        <v>-11.66666667</v>
      </c>
      <c r="O42" s="346">
        <v>-11.66666667</v>
      </c>
      <c r="P42" s="346">
        <v>2075.6397860000002</v>
      </c>
      <c r="Q42" s="346">
        <v>444.6475433</v>
      </c>
      <c r="R42" s="346">
        <v>356.50184560000002</v>
      </c>
      <c r="S42" s="346">
        <v>147.7672724</v>
      </c>
      <c r="T42" s="346">
        <v>100.9169369</v>
      </c>
      <c r="U42" s="346">
        <v>36.255110389999999</v>
      </c>
      <c r="V42" s="346">
        <v>-64.661826509999997</v>
      </c>
      <c r="W42" s="346">
        <v>-143.36477099999999</v>
      </c>
      <c r="X42" s="346" t="s">
        <v>101</v>
      </c>
      <c r="Y42" s="346">
        <v>87200</v>
      </c>
      <c r="Z42" s="346">
        <v>5</v>
      </c>
      <c r="AA42" s="346" t="s">
        <v>996</v>
      </c>
    </row>
    <row r="43" spans="1:27" hidden="1" x14ac:dyDescent="0.25">
      <c r="A43" s="346" t="s">
        <v>5394</v>
      </c>
      <c r="B43" s="346">
        <v>1100000145</v>
      </c>
      <c r="E43" s="346">
        <v>2022</v>
      </c>
      <c r="F43" s="346">
        <v>6</v>
      </c>
      <c r="G43" s="346">
        <v>50</v>
      </c>
      <c r="H43" s="346">
        <v>46.596179999999997</v>
      </c>
      <c r="I43" s="346">
        <v>46.596179999999997</v>
      </c>
      <c r="J43" s="346">
        <v>40110.852959999997</v>
      </c>
      <c r="K43" s="346">
        <v>41106.617380000003</v>
      </c>
      <c r="L43" s="346">
        <v>4779.25</v>
      </c>
      <c r="N43" s="346">
        <v>10916.10986</v>
      </c>
      <c r="O43" s="346">
        <v>12049.44319</v>
      </c>
      <c r="P43" s="346">
        <v>75117.393840000004</v>
      </c>
      <c r="Q43" s="346">
        <v>14019.614310000001</v>
      </c>
      <c r="R43" s="346">
        <v>11240.404790000001</v>
      </c>
      <c r="S43" s="346">
        <v>2658.891678</v>
      </c>
      <c r="T43" s="346">
        <v>5542.3158199999998</v>
      </c>
      <c r="U43" s="346">
        <v>-1507.1833529999999</v>
      </c>
      <c r="V43" s="346">
        <v>-7049.4991739999996</v>
      </c>
      <c r="W43" s="346">
        <v>-9458.0986130000001</v>
      </c>
      <c r="X43" s="346" t="s">
        <v>101</v>
      </c>
      <c r="Y43" s="346">
        <v>55110</v>
      </c>
      <c r="Z43" s="346">
        <v>5</v>
      </c>
      <c r="AA43" s="346" t="s">
        <v>996</v>
      </c>
    </row>
    <row r="44" spans="1:27" hidden="1" x14ac:dyDescent="0.25">
      <c r="A44" s="346" t="s">
        <v>5395</v>
      </c>
      <c r="B44" s="346">
        <v>1100000168</v>
      </c>
      <c r="E44" s="346">
        <v>2022</v>
      </c>
      <c r="F44" s="346">
        <v>6</v>
      </c>
      <c r="G44" s="346">
        <v>50</v>
      </c>
      <c r="H44" s="346">
        <v>46.596179999999997</v>
      </c>
      <c r="I44" s="346">
        <v>46.596179999999997</v>
      </c>
      <c r="J44" s="346">
        <v>40110.852959999997</v>
      </c>
      <c r="K44" s="346">
        <v>41106.617380000003</v>
      </c>
      <c r="L44" s="346">
        <v>4779.25</v>
      </c>
      <c r="N44" s="346">
        <v>10916.10986</v>
      </c>
      <c r="O44" s="346">
        <v>12049.44319</v>
      </c>
      <c r="P44" s="346">
        <v>75117.393840000004</v>
      </c>
      <c r="Q44" s="346">
        <v>14019.614310000001</v>
      </c>
      <c r="R44" s="346">
        <v>11240.404790000001</v>
      </c>
      <c r="S44" s="346">
        <v>2658.891678</v>
      </c>
      <c r="T44" s="346">
        <v>5542.3158199999998</v>
      </c>
      <c r="U44" s="346">
        <v>-1507.1833529999999</v>
      </c>
      <c r="V44" s="346">
        <v>-7049.4991739999996</v>
      </c>
      <c r="W44" s="346">
        <v>-9458.0986130000001</v>
      </c>
      <c r="X44" s="346" t="s">
        <v>101</v>
      </c>
      <c r="Y44" s="346">
        <v>55110</v>
      </c>
      <c r="Z44" s="346">
        <v>5</v>
      </c>
      <c r="AA44" s="346" t="s">
        <v>996</v>
      </c>
    </row>
    <row r="45" spans="1:27" hidden="1" x14ac:dyDescent="0.25">
      <c r="A45" s="346" t="s">
        <v>5396</v>
      </c>
      <c r="B45" s="346">
        <v>1100000153</v>
      </c>
      <c r="E45" s="346">
        <v>2022</v>
      </c>
      <c r="F45" s="346">
        <v>6</v>
      </c>
      <c r="G45" s="346">
        <v>50</v>
      </c>
      <c r="H45" s="346">
        <v>46.596179999999997</v>
      </c>
      <c r="I45" s="346">
        <v>46.596179999999997</v>
      </c>
      <c r="J45" s="346">
        <v>40110.852959999997</v>
      </c>
      <c r="K45" s="346">
        <v>41106.617380000003</v>
      </c>
      <c r="L45" s="346">
        <v>4779.25</v>
      </c>
      <c r="N45" s="346">
        <v>10916.10986</v>
      </c>
      <c r="O45" s="346">
        <v>12049.44319</v>
      </c>
      <c r="P45" s="346">
        <v>75117.393840000004</v>
      </c>
      <c r="Q45" s="346">
        <v>14019.614310000001</v>
      </c>
      <c r="R45" s="346">
        <v>11240.404790000001</v>
      </c>
      <c r="S45" s="346">
        <v>2658.891678</v>
      </c>
      <c r="T45" s="346">
        <v>5542.3158199999998</v>
      </c>
      <c r="U45" s="346">
        <v>-1507.1833529999999</v>
      </c>
      <c r="V45" s="346">
        <v>-7049.4991739999996</v>
      </c>
      <c r="W45" s="346">
        <v>-9458.0986130000001</v>
      </c>
      <c r="X45" s="346" t="s">
        <v>101</v>
      </c>
      <c r="Y45" s="346">
        <v>55110</v>
      </c>
      <c r="Z45" s="346">
        <v>5</v>
      </c>
      <c r="AA45" s="346" t="s">
        <v>996</v>
      </c>
    </row>
    <row r="46" spans="1:27" hidden="1" x14ac:dyDescent="0.25">
      <c r="A46" s="346" t="s">
        <v>5397</v>
      </c>
      <c r="B46" s="346">
        <v>1100000223</v>
      </c>
      <c r="E46" s="346">
        <v>2022</v>
      </c>
      <c r="F46" s="346">
        <v>6</v>
      </c>
      <c r="G46" s="346">
        <v>1526.4303090000001</v>
      </c>
      <c r="H46" s="346">
        <v>138.83441999999999</v>
      </c>
      <c r="I46" s="346">
        <v>138.83441999999999</v>
      </c>
      <c r="J46" s="346">
        <v>28754.79407</v>
      </c>
      <c r="K46" s="346">
        <v>28343.703880000001</v>
      </c>
      <c r="L46" s="346">
        <v>806.43225689999997</v>
      </c>
      <c r="N46" s="346">
        <v>14795.012189999999</v>
      </c>
      <c r="O46" s="346">
        <v>14795.012189999999</v>
      </c>
      <c r="P46" s="346">
        <v>26559.555</v>
      </c>
      <c r="Q46" s="346">
        <v>5610.003463</v>
      </c>
      <c r="R46" s="346">
        <v>5528.6780669999998</v>
      </c>
      <c r="T46" s="346">
        <v>2422.5</v>
      </c>
      <c r="U46" s="346">
        <v>2833.5901899999999</v>
      </c>
      <c r="V46" s="346">
        <v>328.87215220000002</v>
      </c>
      <c r="W46" s="346">
        <v>361.69819840000002</v>
      </c>
      <c r="X46" s="346" t="s">
        <v>101</v>
      </c>
      <c r="Y46" s="346">
        <v>55100</v>
      </c>
      <c r="Z46" s="346">
        <v>5</v>
      </c>
      <c r="AA46" s="346" t="s">
        <v>996</v>
      </c>
    </row>
    <row r="47" spans="1:27" hidden="1" x14ac:dyDescent="0.25">
      <c r="A47" s="346" t="s">
        <v>5398</v>
      </c>
      <c r="B47" s="346">
        <v>1100000225</v>
      </c>
      <c r="E47" s="346">
        <v>2022</v>
      </c>
      <c r="F47" s="346">
        <v>6</v>
      </c>
      <c r="G47" s="346">
        <v>9960.1115410000002</v>
      </c>
      <c r="H47" s="346">
        <v>5290.8572759999997</v>
      </c>
      <c r="I47" s="346">
        <v>5290.8572759999997</v>
      </c>
      <c r="J47" s="346">
        <v>43081.348160000001</v>
      </c>
      <c r="K47" s="346">
        <v>57821.8894</v>
      </c>
      <c r="L47" s="346">
        <v>-4954.3312679999999</v>
      </c>
      <c r="N47" s="346">
        <v>19057.414980000001</v>
      </c>
      <c r="O47" s="346">
        <v>19057.414980000001</v>
      </c>
      <c r="P47" s="346">
        <v>31260</v>
      </c>
      <c r="Q47" s="346">
        <v>65461.771860000001</v>
      </c>
      <c r="R47" s="346">
        <v>64512.805500000002</v>
      </c>
      <c r="S47" s="346">
        <v>2036.6719619999999</v>
      </c>
      <c r="T47" s="346">
        <v>223.76521120000001</v>
      </c>
      <c r="U47" s="346">
        <v>-11365.541230000001</v>
      </c>
      <c r="V47" s="346">
        <v>-11589.30644</v>
      </c>
      <c r="W47" s="346">
        <v>-10763.58311</v>
      </c>
      <c r="X47" s="346" t="s">
        <v>101</v>
      </c>
      <c r="Y47" s="346">
        <v>26600</v>
      </c>
      <c r="Z47" s="346">
        <v>5</v>
      </c>
      <c r="AA47" s="346" t="s">
        <v>996</v>
      </c>
    </row>
    <row r="48" spans="1:27" hidden="1" x14ac:dyDescent="0.25">
      <c r="A48" s="346" t="s">
        <v>5399</v>
      </c>
      <c r="B48" s="346">
        <v>1200000131</v>
      </c>
      <c r="E48" s="346">
        <v>2022</v>
      </c>
      <c r="F48" s="346">
        <v>6</v>
      </c>
      <c r="G48" s="346">
        <v>218.87262899999999</v>
      </c>
      <c r="H48" s="346">
        <v>-200.99199999999999</v>
      </c>
      <c r="I48" s="346">
        <v>-200.99199999999999</v>
      </c>
      <c r="J48" s="346">
        <v>7631.771393</v>
      </c>
      <c r="K48" s="346">
        <v>7881.4762529999998</v>
      </c>
      <c r="L48" s="346">
        <v>466.70499999999998</v>
      </c>
      <c r="N48" s="346">
        <v>3434.9470000000001</v>
      </c>
      <c r="O48" s="346">
        <v>3434.9470000000001</v>
      </c>
      <c r="P48" s="346">
        <v>7113.0178999999998</v>
      </c>
      <c r="Q48" s="346">
        <v>3296.2713990000002</v>
      </c>
      <c r="R48" s="346">
        <v>3248.487012</v>
      </c>
      <c r="S48" s="346">
        <v>103.31916889999999</v>
      </c>
      <c r="T48" s="346">
        <v>438.00483279999997</v>
      </c>
      <c r="U48" s="346">
        <v>461.06138290000001</v>
      </c>
      <c r="V48" s="346">
        <v>11.640978029999999</v>
      </c>
      <c r="W48" s="346">
        <v>223.12631819999999</v>
      </c>
      <c r="X48" s="346" t="s">
        <v>101</v>
      </c>
      <c r="Y48" s="346">
        <v>55100</v>
      </c>
      <c r="Z48" s="346">
        <v>5</v>
      </c>
      <c r="AA48" s="346" t="s">
        <v>996</v>
      </c>
    </row>
    <row r="49" spans="1:27" hidden="1" x14ac:dyDescent="0.25">
      <c r="A49" s="346" t="s">
        <v>5400</v>
      </c>
      <c r="B49" s="346">
        <v>1200000143</v>
      </c>
      <c r="E49" s="346">
        <v>2022</v>
      </c>
      <c r="F49" s="346">
        <v>6</v>
      </c>
      <c r="G49" s="346">
        <v>132.21491589999999</v>
      </c>
      <c r="H49" s="346">
        <v>106.07899999999999</v>
      </c>
      <c r="I49" s="346">
        <v>106.07899999999999</v>
      </c>
      <c r="J49" s="346">
        <v>5501.7538189999996</v>
      </c>
      <c r="K49" s="346">
        <v>5786.7727210000003</v>
      </c>
      <c r="L49" s="346">
        <v>393.84832080000001</v>
      </c>
      <c r="N49" s="346">
        <v>393.84832080000001</v>
      </c>
      <c r="O49" s="346">
        <v>393.84832080000001</v>
      </c>
      <c r="P49" s="346">
        <v>3657.6668399999999</v>
      </c>
      <c r="Q49" s="346">
        <v>2661.9451469999999</v>
      </c>
      <c r="R49" s="346">
        <v>2571.8129269999999</v>
      </c>
      <c r="S49" s="346">
        <v>56.901623710000003</v>
      </c>
      <c r="T49" s="346">
        <v>69.240243179999993</v>
      </c>
      <c r="U49" s="346">
        <v>164.3164127</v>
      </c>
      <c r="V49" s="346">
        <v>61.506230670000001</v>
      </c>
      <c r="W49" s="346">
        <v>108.8560478</v>
      </c>
      <c r="X49" s="346" t="s">
        <v>101</v>
      </c>
      <c r="Y49" s="346">
        <v>55100</v>
      </c>
      <c r="Z49" s="346">
        <v>5</v>
      </c>
      <c r="AA49" s="346" t="s">
        <v>996</v>
      </c>
    </row>
    <row r="50" spans="1:27" hidden="1" x14ac:dyDescent="0.25">
      <c r="A50" s="346" t="s">
        <v>5401</v>
      </c>
      <c r="B50" s="346">
        <v>1100000136</v>
      </c>
      <c r="E50" s="346">
        <v>2022</v>
      </c>
      <c r="F50" s="346">
        <v>6</v>
      </c>
      <c r="G50" s="346">
        <v>314.07482729999998</v>
      </c>
      <c r="H50" s="346">
        <v>472.41322000000002</v>
      </c>
      <c r="I50" s="346">
        <v>472.41322000000002</v>
      </c>
      <c r="J50" s="346">
        <v>2392.7915819999998</v>
      </c>
      <c r="K50" s="346">
        <v>2421.4429650000002</v>
      </c>
      <c r="L50" s="346">
        <v>457.49285149999997</v>
      </c>
      <c r="N50" s="346">
        <v>3361.9918510000002</v>
      </c>
      <c r="O50" s="346">
        <v>3361.9918510000002</v>
      </c>
      <c r="P50" s="346">
        <v>2191.3910000000001</v>
      </c>
      <c r="Q50" s="346">
        <v>3161.0700579999998</v>
      </c>
      <c r="R50" s="346">
        <v>3115.245617</v>
      </c>
      <c r="S50" s="346">
        <v>95.772877019999996</v>
      </c>
      <c r="U50" s="346">
        <v>298.87247459999998</v>
      </c>
      <c r="V50" s="346">
        <v>239.0979797</v>
      </c>
      <c r="W50" s="346">
        <v>173.61008150000001</v>
      </c>
      <c r="X50" s="346" t="s">
        <v>101</v>
      </c>
      <c r="Y50" s="346">
        <v>56302</v>
      </c>
      <c r="Z50" s="346">
        <v>5</v>
      </c>
      <c r="AA50" s="346" t="s">
        <v>996</v>
      </c>
    </row>
    <row r="51" spans="1:27" hidden="1" x14ac:dyDescent="0.25">
      <c r="A51" s="346" t="s">
        <v>5402</v>
      </c>
      <c r="B51" s="346">
        <v>1100000190</v>
      </c>
      <c r="E51" s="346">
        <v>2022</v>
      </c>
      <c r="F51" s="346">
        <v>6</v>
      </c>
      <c r="G51" s="346">
        <v>1553.112629</v>
      </c>
      <c r="H51" s="346">
        <v>219.84800000000001</v>
      </c>
      <c r="I51" s="346">
        <v>219.84800000000001</v>
      </c>
      <c r="J51" s="346">
        <v>25610.910820000001</v>
      </c>
      <c r="K51" s="346">
        <v>26666.324970000001</v>
      </c>
      <c r="L51" s="346">
        <v>639.25099999999998</v>
      </c>
      <c r="N51" s="346">
        <v>1707.8920000000001</v>
      </c>
      <c r="O51" s="346">
        <v>1745.9690000000001</v>
      </c>
      <c r="P51" s="346">
        <v>29133.973999999998</v>
      </c>
      <c r="Q51" s="346">
        <v>5643.4649600000002</v>
      </c>
      <c r="R51" s="346">
        <v>5491.9259380000003</v>
      </c>
      <c r="S51" s="346">
        <v>256.91547939999998</v>
      </c>
      <c r="T51" s="346">
        <v>1002.187403</v>
      </c>
      <c r="U51" s="346">
        <v>464.58584380000002</v>
      </c>
      <c r="V51" s="346">
        <v>-537.60155929999996</v>
      </c>
      <c r="W51" s="346">
        <v>-609.96523850000005</v>
      </c>
      <c r="X51" s="346" t="s">
        <v>101</v>
      </c>
      <c r="Y51" s="346">
        <v>87200</v>
      </c>
      <c r="Z51" s="346">
        <v>5</v>
      </c>
      <c r="AA51" s="346" t="s">
        <v>996</v>
      </c>
    </row>
    <row r="52" spans="1:27" hidden="1" x14ac:dyDescent="0.25">
      <c r="A52" s="346" t="s">
        <v>5403</v>
      </c>
      <c r="B52" s="346">
        <v>1100000226</v>
      </c>
      <c r="E52" s="346">
        <v>2022</v>
      </c>
      <c r="F52" s="346">
        <v>6</v>
      </c>
      <c r="G52" s="346">
        <v>50</v>
      </c>
      <c r="H52" s="346">
        <v>3379.9290000000001</v>
      </c>
      <c r="I52" s="346">
        <v>3379.9290000000001</v>
      </c>
      <c r="J52" s="346">
        <v>86593.649220000007</v>
      </c>
      <c r="K52" s="346">
        <v>87624.236040000003</v>
      </c>
      <c r="L52" s="346">
        <v>2312.3519999999999</v>
      </c>
      <c r="N52" s="346">
        <v>4863.6859999999997</v>
      </c>
      <c r="O52" s="346">
        <v>4863.6859999999997</v>
      </c>
      <c r="P52" s="346">
        <v>65278.803899999999</v>
      </c>
      <c r="Q52" s="346">
        <v>17768.387780000001</v>
      </c>
      <c r="R52" s="346">
        <v>17510.808400000002</v>
      </c>
      <c r="S52" s="346">
        <v>838.17087719999995</v>
      </c>
      <c r="T52" s="346">
        <v>15475.42468</v>
      </c>
      <c r="U52" s="346">
        <v>452.96731240000003</v>
      </c>
      <c r="V52" s="346">
        <v>-15022.45737</v>
      </c>
      <c r="W52" s="346">
        <v>-14896.048070000001</v>
      </c>
      <c r="X52" s="346" t="s">
        <v>101</v>
      </c>
      <c r="Y52" s="346">
        <v>56302</v>
      </c>
      <c r="Z52" s="346">
        <v>5</v>
      </c>
      <c r="AA52" s="346" t="s">
        <v>996</v>
      </c>
    </row>
    <row r="53" spans="1:27" hidden="1" x14ac:dyDescent="0.25">
      <c r="A53" s="346" t="s">
        <v>5404</v>
      </c>
      <c r="B53" s="346">
        <v>1100000002</v>
      </c>
      <c r="E53" s="346">
        <v>2022</v>
      </c>
      <c r="F53" s="346">
        <v>6</v>
      </c>
      <c r="G53" s="346">
        <v>50</v>
      </c>
      <c r="J53" s="346">
        <v>16201.341050000001</v>
      </c>
      <c r="K53" s="346">
        <v>16317.008620000001</v>
      </c>
      <c r="N53" s="346">
        <v>0</v>
      </c>
      <c r="P53" s="346">
        <v>6620.7832079999998</v>
      </c>
      <c r="Q53" s="346">
        <v>3226.8301000000001</v>
      </c>
      <c r="R53" s="346">
        <v>3180.052369</v>
      </c>
      <c r="T53" s="346">
        <v>680.92866700000002</v>
      </c>
      <c r="U53" s="346">
        <v>606.75276289999999</v>
      </c>
      <c r="V53" s="346">
        <v>-76.567222959999995</v>
      </c>
      <c r="W53" s="346">
        <v>-101.8190132</v>
      </c>
      <c r="X53" s="346" t="s">
        <v>101</v>
      </c>
      <c r="Y53" s="346">
        <v>55100</v>
      </c>
      <c r="Z53" s="346">
        <v>5</v>
      </c>
      <c r="AA53" s="346" t="s">
        <v>996</v>
      </c>
    </row>
    <row r="54" spans="1:27" hidden="1" x14ac:dyDescent="0.25">
      <c r="A54" s="346" t="s">
        <v>5405</v>
      </c>
      <c r="B54" s="346">
        <v>1100000202</v>
      </c>
      <c r="E54" s="346">
        <v>2022</v>
      </c>
      <c r="F54" s="346">
        <v>6</v>
      </c>
      <c r="G54" s="346">
        <v>50</v>
      </c>
      <c r="H54" s="346">
        <v>35.199860000000001</v>
      </c>
      <c r="I54" s="346">
        <v>35.199860000000001</v>
      </c>
      <c r="J54" s="346">
        <v>5612.5606959999996</v>
      </c>
      <c r="K54" s="346">
        <v>5890.7967619999999</v>
      </c>
      <c r="L54" s="346">
        <v>578.90259000000003</v>
      </c>
      <c r="N54" s="346">
        <v>648.82230000000004</v>
      </c>
      <c r="O54" s="346">
        <v>648.82230000000004</v>
      </c>
      <c r="P54" s="346">
        <v>8023.2204220000003</v>
      </c>
      <c r="Q54" s="346">
        <v>3214.4260450000002</v>
      </c>
      <c r="R54" s="346">
        <v>3167.8281280000001</v>
      </c>
      <c r="S54" s="346">
        <v>130.95157349999999</v>
      </c>
      <c r="U54" s="346">
        <v>85.32775212</v>
      </c>
      <c r="V54" s="346">
        <v>65.168989120000006</v>
      </c>
      <c r="W54" s="346">
        <v>84.922671519999994</v>
      </c>
      <c r="X54" s="346" t="s">
        <v>101</v>
      </c>
      <c r="Y54" s="346">
        <v>55100</v>
      </c>
      <c r="Z54" s="346">
        <v>5</v>
      </c>
      <c r="AA54" s="346" t="s">
        <v>996</v>
      </c>
    </row>
    <row r="55" spans="1:27" hidden="1" x14ac:dyDescent="0.25">
      <c r="A55" s="346" t="s">
        <v>5406</v>
      </c>
      <c r="B55" s="346">
        <v>1200000117</v>
      </c>
      <c r="E55" s="346">
        <v>2022</v>
      </c>
      <c r="F55" s="346">
        <v>6</v>
      </c>
      <c r="G55" s="346">
        <v>612.59090230000004</v>
      </c>
      <c r="H55" s="346">
        <v>391.66025000000002</v>
      </c>
      <c r="I55" s="346">
        <v>391.66025000000002</v>
      </c>
      <c r="J55" s="346">
        <v>7471.0487130000001</v>
      </c>
      <c r="K55" s="346">
        <v>7523.8792890000004</v>
      </c>
      <c r="L55" s="346">
        <v>701.68349000000001</v>
      </c>
      <c r="N55" s="346">
        <v>8649.1076599999997</v>
      </c>
      <c r="O55" s="346">
        <v>8714.1076599999997</v>
      </c>
      <c r="P55" s="346">
        <v>6214.8549999999996</v>
      </c>
      <c r="Q55" s="346">
        <v>5955.6508489999997</v>
      </c>
      <c r="R55" s="346">
        <v>5869.3147760000002</v>
      </c>
      <c r="S55" s="346">
        <v>149.75131819999999</v>
      </c>
      <c r="U55" s="346">
        <v>367.56942370000002</v>
      </c>
      <c r="V55" s="346">
        <v>294.05553900000001</v>
      </c>
      <c r="W55" s="346">
        <v>81.464121649999996</v>
      </c>
      <c r="X55" s="346" t="s">
        <v>101</v>
      </c>
      <c r="Y55" s="346">
        <v>56302</v>
      </c>
      <c r="Z55" s="346">
        <v>5</v>
      </c>
      <c r="AA55" s="346" t="s">
        <v>996</v>
      </c>
    </row>
    <row r="56" spans="1:27" hidden="1" x14ac:dyDescent="0.25">
      <c r="A56" s="346" t="s">
        <v>5407</v>
      </c>
      <c r="B56" s="346">
        <v>1100000175</v>
      </c>
      <c r="E56" s="346">
        <v>2022</v>
      </c>
      <c r="F56" s="346">
        <v>6</v>
      </c>
      <c r="G56" s="346">
        <v>50</v>
      </c>
      <c r="J56" s="346">
        <v>80.803925030000002</v>
      </c>
      <c r="K56" s="346">
        <v>247.6382906</v>
      </c>
      <c r="N56" s="346">
        <v>0</v>
      </c>
      <c r="P56" s="346">
        <v>27678.341359999999</v>
      </c>
      <c r="Q56" s="346">
        <v>3010.8732060000002</v>
      </c>
      <c r="R56" s="346">
        <v>2414.0060389999999</v>
      </c>
      <c r="T56" s="346">
        <v>2535.3027419999999</v>
      </c>
      <c r="U56" s="346">
        <v>240.78845200000001</v>
      </c>
      <c r="V56" s="346">
        <v>-2294.5142900000001</v>
      </c>
      <c r="W56" s="346">
        <v>-2484.1865809999999</v>
      </c>
      <c r="X56" s="346" t="s">
        <v>101</v>
      </c>
      <c r="Y56" s="346">
        <v>55100</v>
      </c>
      <c r="Z56" s="346">
        <v>5</v>
      </c>
      <c r="AA56" s="346" t="s">
        <v>996</v>
      </c>
    </row>
    <row r="57" spans="1:27" hidden="1" x14ac:dyDescent="0.25">
      <c r="A57" s="346" t="s">
        <v>5408</v>
      </c>
      <c r="B57" s="346">
        <v>1200000105</v>
      </c>
      <c r="E57" s="346">
        <v>2022</v>
      </c>
      <c r="F57" s="346">
        <v>6</v>
      </c>
      <c r="G57" s="346">
        <v>197.63318419999999</v>
      </c>
      <c r="H57" s="346">
        <v>105.16246</v>
      </c>
      <c r="I57" s="346">
        <v>105.16246</v>
      </c>
      <c r="J57" s="346">
        <v>995.00651319999997</v>
      </c>
      <c r="K57" s="346">
        <v>860.64160860000004</v>
      </c>
      <c r="L57" s="346">
        <v>-160.98150999999999</v>
      </c>
      <c r="N57" s="346">
        <v>210.31985</v>
      </c>
      <c r="O57" s="346">
        <v>210.31985</v>
      </c>
      <c r="P57" s="346">
        <v>1567.701</v>
      </c>
      <c r="Q57" s="346">
        <v>955.2208306</v>
      </c>
      <c r="R57" s="346">
        <v>941.37347509999995</v>
      </c>
      <c r="T57" s="346">
        <v>177.39952679999999</v>
      </c>
      <c r="U57" s="346">
        <v>403.53243149999997</v>
      </c>
      <c r="V57" s="346">
        <v>180.9063237</v>
      </c>
      <c r="W57" s="346">
        <v>199.00269800000001</v>
      </c>
      <c r="X57" s="346" t="s">
        <v>101</v>
      </c>
      <c r="Y57" s="346">
        <v>55100</v>
      </c>
      <c r="Z57" s="346">
        <v>5</v>
      </c>
      <c r="AA57" s="346" t="s">
        <v>996</v>
      </c>
    </row>
    <row r="58" spans="1:27" hidden="1" x14ac:dyDescent="0.25">
      <c r="A58" s="346" t="s">
        <v>5409</v>
      </c>
      <c r="B58" s="346">
        <v>1200000121</v>
      </c>
      <c r="E58" s="346">
        <v>2022</v>
      </c>
      <c r="F58" s="346">
        <v>6</v>
      </c>
      <c r="G58" s="346">
        <v>50</v>
      </c>
      <c r="H58" s="346">
        <v>19.452999999999999</v>
      </c>
      <c r="I58" s="346">
        <v>19.452999999999999</v>
      </c>
      <c r="J58" s="346">
        <v>3845.2059129999998</v>
      </c>
      <c r="K58" s="346">
        <v>4006.9259929999998</v>
      </c>
      <c r="L58" s="346">
        <v>113.03</v>
      </c>
      <c r="N58" s="346">
        <v>443.93299999999999</v>
      </c>
      <c r="O58" s="346">
        <v>443.93299999999999</v>
      </c>
      <c r="P58" s="346">
        <v>2949.0088740000001</v>
      </c>
      <c r="Q58" s="346">
        <v>1590.2757180000001</v>
      </c>
      <c r="R58" s="346">
        <v>1567.222291</v>
      </c>
      <c r="S58" s="346">
        <v>40.309387100000002</v>
      </c>
      <c r="T58" s="346">
        <v>30.291247009999999</v>
      </c>
      <c r="U58" s="346">
        <v>63.083084460000002</v>
      </c>
      <c r="V58" s="346">
        <v>24.603288710000001</v>
      </c>
      <c r="W58" s="346">
        <v>-26.710980209999999</v>
      </c>
      <c r="X58" s="346" t="s">
        <v>101</v>
      </c>
      <c r="Y58" s="346">
        <v>56302</v>
      </c>
      <c r="Z58" s="346">
        <v>5</v>
      </c>
      <c r="AA58" s="346" t="s">
        <v>996</v>
      </c>
    </row>
    <row r="59" spans="1:27" hidden="1" x14ac:dyDescent="0.25">
      <c r="A59" s="346" t="s">
        <v>5410</v>
      </c>
      <c r="B59" s="346">
        <v>1200000139</v>
      </c>
      <c r="E59" s="346">
        <v>2022</v>
      </c>
      <c r="F59" s="346">
        <v>6</v>
      </c>
      <c r="G59" s="346">
        <v>50</v>
      </c>
      <c r="J59" s="346">
        <v>12856.273090000001</v>
      </c>
      <c r="K59" s="346">
        <v>12825.01115</v>
      </c>
      <c r="N59" s="346">
        <v>0</v>
      </c>
      <c r="P59" s="346">
        <v>5631.4240820000005</v>
      </c>
      <c r="Q59" s="346">
        <v>3536.8133739999998</v>
      </c>
      <c r="R59" s="346">
        <v>3485.5419710000001</v>
      </c>
      <c r="T59" s="346">
        <v>520.51976290000005</v>
      </c>
      <c r="U59" s="346">
        <v>-58.122795629999999</v>
      </c>
      <c r="V59" s="346">
        <v>-578.64255860000003</v>
      </c>
      <c r="W59" s="346">
        <v>-92.695227549999998</v>
      </c>
      <c r="X59" s="346" t="s">
        <v>101</v>
      </c>
      <c r="Y59" s="346">
        <v>55100</v>
      </c>
      <c r="Z59" s="346">
        <v>5</v>
      </c>
      <c r="AA59" s="346" t="s">
        <v>996</v>
      </c>
    </row>
    <row r="60" spans="1:27" hidden="1" x14ac:dyDescent="0.25">
      <c r="A60" s="346" t="s">
        <v>5371</v>
      </c>
      <c r="B60" s="346">
        <v>1100000224</v>
      </c>
      <c r="E60" s="346">
        <v>2022</v>
      </c>
      <c r="F60" s="346">
        <v>6</v>
      </c>
      <c r="G60" s="346">
        <v>50</v>
      </c>
      <c r="J60" s="346">
        <v>104295.9097</v>
      </c>
      <c r="K60" s="346">
        <v>104194.6943</v>
      </c>
      <c r="N60" s="346">
        <v>0</v>
      </c>
      <c r="P60" s="346">
        <v>2300.993442</v>
      </c>
      <c r="Q60" s="346">
        <v>13495.807210000001</v>
      </c>
      <c r="R60" s="346">
        <v>10820.43576</v>
      </c>
      <c r="T60" s="346">
        <v>188.72821780000001</v>
      </c>
      <c r="U60" s="346">
        <v>-370.43300679999999</v>
      </c>
      <c r="V60" s="346">
        <v>-559.16122459999997</v>
      </c>
      <c r="W60" s="346">
        <v>-2045.9529010000001</v>
      </c>
      <c r="X60" s="346" t="s">
        <v>101</v>
      </c>
      <c r="Y60" s="346">
        <v>55100</v>
      </c>
      <c r="Z60" s="346">
        <v>5</v>
      </c>
      <c r="AA60" s="346" t="s">
        <v>996</v>
      </c>
    </row>
    <row r="61" spans="1:27" x14ac:dyDescent="0.25">
      <c r="A61" s="346" t="s">
        <v>5411</v>
      </c>
      <c r="B61" s="346">
        <v>1100000279</v>
      </c>
      <c r="C61" s="346">
        <v>96</v>
      </c>
      <c r="G61" s="346">
        <v>50</v>
      </c>
      <c r="H61" s="346">
        <v>130.226</v>
      </c>
      <c r="I61" s="346">
        <v>130.226</v>
      </c>
      <c r="J61" s="346">
        <v>2055.5744420000001</v>
      </c>
      <c r="K61" s="346">
        <v>2148.0632740000001</v>
      </c>
      <c r="L61" s="346">
        <v>530.65099999999995</v>
      </c>
      <c r="N61" s="346">
        <v>1640.309</v>
      </c>
      <c r="O61" s="346">
        <v>1640.309</v>
      </c>
      <c r="P61" s="346">
        <v>16396.219219999999</v>
      </c>
      <c r="Q61" s="346">
        <v>1776.4292579999999</v>
      </c>
      <c r="R61" s="346">
        <v>1424.2748409999999</v>
      </c>
      <c r="S61" s="346">
        <v>108.2443882</v>
      </c>
      <c r="T61" s="346">
        <v>1329.576262</v>
      </c>
      <c r="U61" s="346">
        <v>70.801511930000004</v>
      </c>
      <c r="V61" s="346">
        <v>-1258.77475</v>
      </c>
      <c r="W61" s="346">
        <v>-1074.5409480000001</v>
      </c>
      <c r="X61" s="346" t="s">
        <v>101</v>
      </c>
      <c r="Y61" s="346">
        <v>55100</v>
      </c>
      <c r="Z61" s="346">
        <v>5</v>
      </c>
      <c r="AA61" s="346" t="s">
        <v>996</v>
      </c>
    </row>
  </sheetData>
  <autoFilter ref="A1:AA61" xr:uid="{B5F939A5-211B-4275-8EF8-4EC39CEBF656}">
    <filterColumn colId="0">
      <filters>
        <filter val="CHART FORTE"/>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C9AE5-D27E-4982-B6A7-07C6BBF7AB94}">
  <sheetPr codeName="Sheet8"/>
  <dimension ref="A1:CW88"/>
  <sheetViews>
    <sheetView zoomScale="80" zoomScaleNormal="80" workbookViewId="0"/>
  </sheetViews>
  <sheetFormatPr defaultRowHeight="15" x14ac:dyDescent="0.25"/>
  <cols>
    <col min="1" max="1" width="33.140625" customWidth="1"/>
    <col min="2" max="2" width="12" bestFit="1" customWidth="1"/>
    <col min="3" max="3" width="19.140625" bestFit="1" customWidth="1"/>
    <col min="4" max="4" width="21.140625" bestFit="1" customWidth="1"/>
    <col min="5" max="5" width="17" bestFit="1" customWidth="1"/>
    <col min="6" max="6" width="18.85546875" bestFit="1" customWidth="1"/>
    <col min="7" max="7" width="22.28515625" bestFit="1" customWidth="1"/>
    <col min="8" max="8" width="12.7109375" bestFit="1" customWidth="1"/>
    <col min="9" max="9" width="23.140625" bestFit="1" customWidth="1"/>
    <col min="10" max="10" width="30.42578125" bestFit="1" customWidth="1"/>
    <col min="11" max="11" width="40.7109375" bestFit="1" customWidth="1"/>
    <col min="12" max="12" width="13.85546875" bestFit="1" customWidth="1"/>
    <col min="13" max="13" width="31.5703125" bestFit="1" customWidth="1"/>
    <col min="14" max="14" width="14.42578125" bestFit="1" customWidth="1"/>
    <col min="15" max="15" width="24.7109375" bestFit="1" customWidth="1"/>
    <col min="16" max="16" width="14.42578125" bestFit="1" customWidth="1"/>
    <col min="17" max="17" width="11.85546875" bestFit="1" customWidth="1"/>
    <col min="18" max="18" width="18.7109375" bestFit="1" customWidth="1"/>
    <col min="19" max="19" width="26.85546875" bestFit="1" customWidth="1"/>
    <col min="20" max="20" width="14.28515625" bestFit="1" customWidth="1"/>
    <col min="21" max="21" width="14.140625" bestFit="1" customWidth="1"/>
    <col min="22" max="22" width="19.85546875" bestFit="1" customWidth="1"/>
    <col min="23" max="23" width="30.140625" bestFit="1" customWidth="1"/>
    <col min="24" max="24" width="19.140625" bestFit="1" customWidth="1"/>
    <col min="25" max="25" width="16.42578125" bestFit="1" customWidth="1"/>
    <col min="26" max="26" width="22.42578125" bestFit="1" customWidth="1"/>
    <col min="27" max="27" width="25.42578125" bestFit="1" customWidth="1"/>
    <col min="28" max="29" width="30" bestFit="1" customWidth="1"/>
    <col min="30" max="31" width="14.85546875" bestFit="1" customWidth="1"/>
    <col min="32" max="36" width="18.42578125" bestFit="1" customWidth="1"/>
    <col min="37" max="41" width="15.85546875" bestFit="1" customWidth="1"/>
    <col min="42" max="46" width="18.28515625" bestFit="1" customWidth="1"/>
    <col min="47" max="47" width="20.140625" bestFit="1" customWidth="1"/>
    <col min="48" max="48" width="38.5703125" bestFit="1" customWidth="1"/>
    <col min="49" max="49" width="33" bestFit="1" customWidth="1"/>
    <col min="50" max="50" width="37.5703125" bestFit="1" customWidth="1"/>
    <col min="51" max="51" width="27" bestFit="1" customWidth="1"/>
    <col min="52" max="52" width="28.42578125" bestFit="1" customWidth="1"/>
    <col min="53" max="53" width="48.42578125" bestFit="1" customWidth="1"/>
    <col min="54" max="54" width="52.85546875" bestFit="1" customWidth="1"/>
    <col min="55" max="55" width="38.42578125" bestFit="1" customWidth="1"/>
    <col min="56" max="56" width="30.140625" bestFit="1" customWidth="1"/>
    <col min="57" max="57" width="38.5703125" bestFit="1" customWidth="1"/>
    <col min="58" max="58" width="33" bestFit="1" customWidth="1"/>
    <col min="59" max="59" width="37.5703125" bestFit="1" customWidth="1"/>
    <col min="60" max="60" width="27" bestFit="1" customWidth="1"/>
    <col min="61" max="61" width="28.42578125" bestFit="1" customWidth="1"/>
    <col min="62" max="62" width="48.42578125" bestFit="1" customWidth="1"/>
    <col min="63" max="63" width="52.85546875" bestFit="1" customWidth="1"/>
    <col min="64" max="64" width="38.42578125" bestFit="1" customWidth="1"/>
    <col min="65" max="65" width="30.140625" bestFit="1" customWidth="1"/>
    <col min="66" max="66" width="36.140625" bestFit="1" customWidth="1"/>
    <col min="67" max="67" width="30.5703125" bestFit="1" customWidth="1"/>
    <col min="68" max="68" width="35.140625" bestFit="1" customWidth="1"/>
    <col min="69" max="69" width="24.5703125" bestFit="1" customWidth="1"/>
    <col min="70" max="70" width="26" bestFit="1" customWidth="1"/>
    <col min="71" max="71" width="46" bestFit="1" customWidth="1"/>
    <col min="72" max="72" width="50.42578125" bestFit="1" customWidth="1"/>
    <col min="73" max="73" width="36" bestFit="1" customWidth="1"/>
    <col min="74" max="74" width="27.5703125" bestFit="1" customWidth="1"/>
    <col min="75" max="75" width="36.140625" bestFit="1" customWidth="1"/>
    <col min="76" max="76" width="30.5703125" bestFit="1" customWidth="1"/>
    <col min="77" max="77" width="35.140625" bestFit="1" customWidth="1"/>
    <col min="78" max="78" width="24.5703125" bestFit="1" customWidth="1"/>
    <col min="79" max="79" width="26" bestFit="1" customWidth="1"/>
    <col min="80" max="80" width="46" bestFit="1" customWidth="1"/>
    <col min="81" max="81" width="50.42578125" bestFit="1" customWidth="1"/>
    <col min="82" max="82" width="36" bestFit="1" customWidth="1"/>
    <col min="83" max="83" width="27.5703125" bestFit="1" customWidth="1"/>
    <col min="84" max="84" width="29.140625" bestFit="1" customWidth="1"/>
    <col min="85" max="85" width="23.5703125" bestFit="1" customWidth="1"/>
    <col min="86" max="86" width="28" bestFit="1" customWidth="1"/>
    <col min="87" max="87" width="17.5703125" bestFit="1" customWidth="1"/>
    <col min="88" max="88" width="18.85546875" bestFit="1" customWidth="1"/>
    <col min="89" max="89" width="38.85546875" bestFit="1" customWidth="1"/>
    <col min="90" max="90" width="43.42578125" bestFit="1" customWidth="1"/>
    <col min="91" max="91" width="28.85546875" bestFit="1" customWidth="1"/>
    <col min="92" max="92" width="20.5703125" bestFit="1" customWidth="1"/>
    <col min="93" max="93" width="28.7109375" bestFit="1" customWidth="1"/>
    <col min="94" max="94" width="23.140625" bestFit="1" customWidth="1"/>
    <col min="95" max="95" width="27.5703125" bestFit="1" customWidth="1"/>
    <col min="96" max="96" width="17.140625" bestFit="1" customWidth="1"/>
    <col min="97" max="97" width="18.5703125" bestFit="1" customWidth="1"/>
    <col min="98" max="98" width="38.5703125" bestFit="1" customWidth="1"/>
    <col min="99" max="99" width="43" bestFit="1" customWidth="1"/>
    <col min="100" max="100" width="28.5703125" bestFit="1" customWidth="1"/>
    <col min="101" max="101" width="20.140625" bestFit="1" customWidth="1"/>
  </cols>
  <sheetData>
    <row r="1" spans="1:101" x14ac:dyDescent="0.25">
      <c r="A1" s="346" t="s">
        <v>0</v>
      </c>
      <c r="B1" s="346" t="s">
        <v>1</v>
      </c>
      <c r="C1" s="346" t="s">
        <v>2</v>
      </c>
      <c r="D1" s="346" t="s">
        <v>3</v>
      </c>
      <c r="E1" s="346" t="s">
        <v>4</v>
      </c>
      <c r="F1" s="346" t="s">
        <v>5</v>
      </c>
      <c r="G1" s="348" t="s">
        <v>6</v>
      </c>
      <c r="H1" s="348" t="s">
        <v>7</v>
      </c>
      <c r="I1" s="348" t="s">
        <v>8</v>
      </c>
      <c r="J1" s="348" t="s">
        <v>9</v>
      </c>
      <c r="K1" s="348" t="s">
        <v>10</v>
      </c>
      <c r="L1" s="348" t="s">
        <v>11</v>
      </c>
      <c r="M1" s="348" t="s">
        <v>12</v>
      </c>
      <c r="N1" s="348" t="s">
        <v>13</v>
      </c>
      <c r="O1" s="348" t="s">
        <v>14</v>
      </c>
      <c r="P1" s="348" t="s">
        <v>15</v>
      </c>
      <c r="Q1" s="348" t="s">
        <v>16</v>
      </c>
      <c r="R1" s="348" t="s">
        <v>17</v>
      </c>
      <c r="S1" s="348" t="s">
        <v>18</v>
      </c>
      <c r="T1" s="348" t="s">
        <v>19</v>
      </c>
      <c r="U1" s="348" t="s">
        <v>20</v>
      </c>
      <c r="V1" s="348" t="s">
        <v>21</v>
      </c>
      <c r="W1" s="348" t="s">
        <v>22</v>
      </c>
      <c r="X1" s="348" t="s">
        <v>23</v>
      </c>
      <c r="Y1" s="348" t="s">
        <v>24</v>
      </c>
      <c r="Z1" s="348" t="s">
        <v>25</v>
      </c>
      <c r="AA1" s="348" t="s">
        <v>26</v>
      </c>
      <c r="AB1" s="346" t="s">
        <v>27</v>
      </c>
      <c r="AC1" s="346" t="s">
        <v>28</v>
      </c>
      <c r="AD1" s="346" t="s">
        <v>29</v>
      </c>
      <c r="AE1" s="346" t="s">
        <v>30</v>
      </c>
      <c r="AF1" s="346" t="s">
        <v>31</v>
      </c>
      <c r="AG1" s="346" t="s">
        <v>32</v>
      </c>
      <c r="AH1" s="346" t="s">
        <v>33</v>
      </c>
      <c r="AI1" s="346" t="s">
        <v>34</v>
      </c>
      <c r="AJ1" s="346" t="s">
        <v>35</v>
      </c>
      <c r="AK1" s="346" t="s">
        <v>36</v>
      </c>
      <c r="AL1" s="346" t="s">
        <v>37</v>
      </c>
      <c r="AM1" s="346" t="s">
        <v>38</v>
      </c>
      <c r="AN1" s="346" t="s">
        <v>39</v>
      </c>
      <c r="AO1" s="346" t="s">
        <v>40</v>
      </c>
      <c r="AP1" s="348" t="s">
        <v>41</v>
      </c>
      <c r="AQ1" s="348" t="s">
        <v>42</v>
      </c>
      <c r="AR1" s="348" t="s">
        <v>43</v>
      </c>
      <c r="AS1" s="348" t="s">
        <v>44</v>
      </c>
      <c r="AT1" s="348" t="s">
        <v>45</v>
      </c>
      <c r="AU1" s="346" t="s">
        <v>46</v>
      </c>
      <c r="AV1" s="346" t="s">
        <v>47</v>
      </c>
      <c r="AW1" s="346" t="s">
        <v>48</v>
      </c>
      <c r="AX1" s="346" t="s">
        <v>49</v>
      </c>
      <c r="AY1" s="346" t="s">
        <v>50</v>
      </c>
      <c r="AZ1" s="346" t="s">
        <v>51</v>
      </c>
      <c r="BA1" s="346" t="s">
        <v>52</v>
      </c>
      <c r="BB1" s="346" t="s">
        <v>53</v>
      </c>
      <c r="BC1" s="346" t="s">
        <v>54</v>
      </c>
      <c r="BD1" s="346" t="s">
        <v>55</v>
      </c>
      <c r="BE1" s="346" t="s">
        <v>56</v>
      </c>
      <c r="BF1" s="346" t="s">
        <v>57</v>
      </c>
      <c r="BG1" s="346" t="s">
        <v>58</v>
      </c>
      <c r="BH1" s="346" t="s">
        <v>59</v>
      </c>
      <c r="BI1" s="346" t="s">
        <v>60</v>
      </c>
      <c r="BJ1" s="346" t="s">
        <v>61</v>
      </c>
      <c r="BK1" s="346" t="s">
        <v>62</v>
      </c>
      <c r="BL1" s="346" t="s">
        <v>63</v>
      </c>
      <c r="BM1" s="346" t="s">
        <v>64</v>
      </c>
      <c r="BN1" s="346" t="s">
        <v>65</v>
      </c>
      <c r="BO1" s="346" t="s">
        <v>66</v>
      </c>
      <c r="BP1" s="346" t="s">
        <v>67</v>
      </c>
      <c r="BQ1" s="346" t="s">
        <v>68</v>
      </c>
      <c r="BR1" s="346" t="s">
        <v>69</v>
      </c>
      <c r="BS1" s="346" t="s">
        <v>70</v>
      </c>
      <c r="BT1" s="346" t="s">
        <v>71</v>
      </c>
      <c r="BU1" s="346" t="s">
        <v>72</v>
      </c>
      <c r="BV1" s="346" t="s">
        <v>73</v>
      </c>
      <c r="BW1" s="346" t="s">
        <v>74</v>
      </c>
      <c r="BX1" s="346" t="s">
        <v>75</v>
      </c>
      <c r="BY1" s="346" t="s">
        <v>76</v>
      </c>
      <c r="BZ1" s="346" t="s">
        <v>77</v>
      </c>
      <c r="CA1" s="346" t="s">
        <v>78</v>
      </c>
      <c r="CB1" s="346" t="s">
        <v>79</v>
      </c>
      <c r="CC1" s="346" t="s">
        <v>80</v>
      </c>
      <c r="CD1" s="346" t="s">
        <v>81</v>
      </c>
      <c r="CE1" s="346" t="s">
        <v>82</v>
      </c>
      <c r="CF1" s="346" t="s">
        <v>83</v>
      </c>
      <c r="CG1" s="346" t="s">
        <v>84</v>
      </c>
      <c r="CH1" s="346" t="s">
        <v>85</v>
      </c>
      <c r="CI1" s="346" t="s">
        <v>86</v>
      </c>
      <c r="CJ1" s="346" t="s">
        <v>87</v>
      </c>
      <c r="CK1" s="346" t="s">
        <v>88</v>
      </c>
      <c r="CL1" s="346" t="s">
        <v>89</v>
      </c>
      <c r="CM1" s="346" t="s">
        <v>90</v>
      </c>
      <c r="CN1" s="346" t="s">
        <v>91</v>
      </c>
      <c r="CO1" s="346" t="s">
        <v>92</v>
      </c>
      <c r="CP1" s="346" t="s">
        <v>93</v>
      </c>
      <c r="CQ1" s="346" t="s">
        <v>94</v>
      </c>
      <c r="CR1" s="346" t="s">
        <v>95</v>
      </c>
      <c r="CS1" s="346" t="s">
        <v>96</v>
      </c>
      <c r="CT1" s="346" t="s">
        <v>97</v>
      </c>
      <c r="CU1" s="346" t="s">
        <v>98</v>
      </c>
      <c r="CV1" s="346" t="s">
        <v>99</v>
      </c>
      <c r="CW1" s="346" t="s">
        <v>100</v>
      </c>
    </row>
    <row r="2" spans="1:101" x14ac:dyDescent="0.25">
      <c r="A2" t="str">
        <f>VLOOKUP(B2,'Loan Book Summary'!C:G,5,FALSE)</f>
        <v>0015800001fH29a</v>
      </c>
      <c r="B2" s="346">
        <v>1100000151</v>
      </c>
      <c r="C2" s="346" t="s">
        <v>5373</v>
      </c>
      <c r="D2" s="346" t="s">
        <v>1889</v>
      </c>
      <c r="E2" s="346">
        <v>2022</v>
      </c>
      <c r="F2" s="346">
        <v>6</v>
      </c>
      <c r="G2" s="346">
        <v>6860.8890810000003</v>
      </c>
      <c r="H2" s="346">
        <v>1400.9438029999999</v>
      </c>
      <c r="I2" s="346">
        <v>1400.9438029999999</v>
      </c>
      <c r="J2" s="346">
        <v>49316.374779999998</v>
      </c>
      <c r="K2" s="346">
        <v>46397.322959999998</v>
      </c>
      <c r="L2" s="346">
        <v>-1358.7294300000001</v>
      </c>
      <c r="M2" s="346" t="s">
        <v>1889</v>
      </c>
      <c r="N2" s="346">
        <v>13465.528389999999</v>
      </c>
      <c r="O2" s="346">
        <v>13465.528389999999</v>
      </c>
      <c r="P2" s="346">
        <v>29866.446349999998</v>
      </c>
      <c r="Q2" s="346">
        <v>35562.51455</v>
      </c>
      <c r="R2" s="346">
        <v>32275.784449999999</v>
      </c>
      <c r="S2" s="346">
        <v>1585.0040590000001</v>
      </c>
      <c r="T2" s="346">
        <v>2029.002156</v>
      </c>
      <c r="U2" s="346">
        <v>6510.120508</v>
      </c>
      <c r="V2" s="346">
        <v>3584.8946810000002</v>
      </c>
      <c r="W2" s="346">
        <v>2171.8781789999998</v>
      </c>
      <c r="X2" s="346" t="s">
        <v>101</v>
      </c>
      <c r="Y2" s="346">
        <v>87300</v>
      </c>
      <c r="Z2" s="346">
        <v>5</v>
      </c>
      <c r="AA2" s="346" t="s">
        <v>996</v>
      </c>
      <c r="AB2" s="346" t="s">
        <v>226</v>
      </c>
      <c r="AC2" s="346" t="s">
        <v>172</v>
      </c>
      <c r="AD2" s="347">
        <v>7.85E-2</v>
      </c>
      <c r="AE2" s="347">
        <v>2.07E-2</v>
      </c>
      <c r="AF2" s="346">
        <v>0.22</v>
      </c>
      <c r="AG2" s="346">
        <v>0.42</v>
      </c>
      <c r="AH2" s="346">
        <v>0.61</v>
      </c>
      <c r="AI2" s="346">
        <v>0.79</v>
      </c>
      <c r="AJ2" s="346">
        <v>0.97</v>
      </c>
      <c r="AK2" s="347">
        <v>2.2000000000000001E-3</v>
      </c>
      <c r="AL2" s="347">
        <v>2E-3</v>
      </c>
      <c r="AM2" s="347">
        <v>1.9E-3</v>
      </c>
      <c r="AN2" s="347">
        <v>1.9E-3</v>
      </c>
      <c r="AO2" s="347">
        <v>1.8E-3</v>
      </c>
      <c r="AP2" s="347">
        <v>2.2000000000000001E-3</v>
      </c>
      <c r="AQ2" s="347">
        <v>2.0999999999999999E-3</v>
      </c>
      <c r="AR2" s="347">
        <v>2E-3</v>
      </c>
      <c r="AS2" s="347">
        <v>2E-3</v>
      </c>
      <c r="AT2" s="347">
        <v>2E-3</v>
      </c>
      <c r="AU2" s="347">
        <v>9.7000000000000003E-3</v>
      </c>
      <c r="AV2" s="346">
        <v>-24.53</v>
      </c>
      <c r="AW2" s="346">
        <v>-4.18</v>
      </c>
      <c r="AX2" s="346">
        <v>4.8099999999999996</v>
      </c>
      <c r="AY2" s="346">
        <v>-4.84</v>
      </c>
      <c r="AZ2" s="346">
        <v>-8.42</v>
      </c>
      <c r="BA2" s="346">
        <v>-1.25</v>
      </c>
      <c r="BB2" s="346">
        <v>-18.899999999999999</v>
      </c>
      <c r="BC2" s="346">
        <v>-13.67</v>
      </c>
      <c r="BD2" s="346">
        <v>-19.41</v>
      </c>
      <c r="BE2" s="346">
        <v>-25.66</v>
      </c>
      <c r="BF2" s="346">
        <v>-2.6</v>
      </c>
      <c r="BG2" s="346">
        <v>2.77</v>
      </c>
      <c r="BH2" s="346">
        <v>-10.18</v>
      </c>
      <c r="BI2" s="346">
        <v>-6.1</v>
      </c>
      <c r="BJ2" s="346">
        <v>-1.08</v>
      </c>
      <c r="BK2" s="346">
        <v>-16.010000000000002</v>
      </c>
      <c r="BL2" s="346">
        <v>-9.4600000000000009</v>
      </c>
      <c r="BM2" s="346">
        <v>-26.14</v>
      </c>
      <c r="BN2" s="346">
        <v>242.62</v>
      </c>
      <c r="BO2" s="346">
        <v>-14.76</v>
      </c>
      <c r="BP2" s="346">
        <v>-327.04000000000002</v>
      </c>
      <c r="BQ2" s="346">
        <v>26.94</v>
      </c>
      <c r="BR2" s="346">
        <v>29.33</v>
      </c>
      <c r="BS2" s="346">
        <v>125.54</v>
      </c>
      <c r="BT2" s="346">
        <v>-79.459999999999994</v>
      </c>
      <c r="BU2" s="346">
        <v>-40.19</v>
      </c>
      <c r="BV2" s="346">
        <v>-14.14</v>
      </c>
      <c r="BW2" s="346">
        <v>322.42</v>
      </c>
      <c r="BX2" s="346">
        <v>-10.28</v>
      </c>
      <c r="BY2" s="346">
        <v>-221.25</v>
      </c>
      <c r="BZ2" s="346">
        <v>62.67</v>
      </c>
      <c r="CA2" s="346">
        <v>24.43</v>
      </c>
      <c r="CB2" s="346">
        <v>127.69</v>
      </c>
      <c r="CC2" s="346">
        <v>-78.19</v>
      </c>
      <c r="CD2" s="346">
        <v>-32.31</v>
      </c>
      <c r="CE2" s="346">
        <v>-20.76</v>
      </c>
      <c r="CF2" s="346">
        <v>2</v>
      </c>
      <c r="CG2" s="346">
        <v>43.09</v>
      </c>
      <c r="CH2" s="346">
        <v>42.98</v>
      </c>
      <c r="CI2" s="346">
        <v>63.33</v>
      </c>
      <c r="CJ2" s="346">
        <v>68.94</v>
      </c>
      <c r="CK2" s="346">
        <v>59.14</v>
      </c>
      <c r="CL2" s="346">
        <v>78.88</v>
      </c>
      <c r="CM2" s="346">
        <v>82.37</v>
      </c>
      <c r="CN2" s="346">
        <v>96.56</v>
      </c>
      <c r="CO2" s="346">
        <v>-3.82</v>
      </c>
      <c r="CP2" s="346">
        <v>-0.4</v>
      </c>
      <c r="CQ2" s="346">
        <v>398.97</v>
      </c>
      <c r="CR2" s="346">
        <v>10.18</v>
      </c>
      <c r="CS2" s="346">
        <v>2.08</v>
      </c>
      <c r="CT2" s="346">
        <v>69.02</v>
      </c>
      <c r="CU2" s="346">
        <v>50.95</v>
      </c>
      <c r="CV2" s="346">
        <v>10.08</v>
      </c>
      <c r="CW2" s="346">
        <v>3210395586.1799998</v>
      </c>
    </row>
    <row r="3" spans="1:101" x14ac:dyDescent="0.25">
      <c r="A3" s="346" t="str">
        <f>VLOOKUP(B3,'Loan Book Summary'!C:G,5,FALSE)</f>
        <v>0014I000027xjkG</v>
      </c>
      <c r="B3" s="346">
        <v>1100000241</v>
      </c>
      <c r="C3" s="346" t="s">
        <v>5374</v>
      </c>
      <c r="D3" s="346" t="s">
        <v>1889</v>
      </c>
      <c r="E3" s="346">
        <v>2022</v>
      </c>
      <c r="F3" s="346">
        <v>6</v>
      </c>
      <c r="G3" s="346">
        <v>4740.5111960000004</v>
      </c>
      <c r="H3" s="346">
        <v>62.4251</v>
      </c>
      <c r="I3" s="346">
        <v>62.4251</v>
      </c>
      <c r="J3" s="346">
        <v>34543.843339999999</v>
      </c>
      <c r="K3" s="346">
        <v>32354.52075</v>
      </c>
      <c r="L3" s="346">
        <v>262.76191999999998</v>
      </c>
      <c r="M3" s="346" t="s">
        <v>1889</v>
      </c>
      <c r="N3" s="346">
        <v>3783.8144010000001</v>
      </c>
      <c r="O3" s="346">
        <v>3783.8144010000001</v>
      </c>
      <c r="P3" s="346">
        <v>14978.90085</v>
      </c>
      <c r="Q3" s="346">
        <v>13067.707109999999</v>
      </c>
      <c r="R3" s="346">
        <v>11852.889810000001</v>
      </c>
      <c r="S3" s="346" t="s">
        <v>1889</v>
      </c>
      <c r="T3" s="346">
        <v>1157.2596759999999</v>
      </c>
      <c r="U3" s="346">
        <v>3791.038266</v>
      </c>
      <c r="V3" s="346">
        <v>2107.022872</v>
      </c>
      <c r="W3" s="346">
        <v>1541.893106</v>
      </c>
      <c r="X3" s="346" t="s">
        <v>101</v>
      </c>
      <c r="Y3" s="346">
        <v>87300</v>
      </c>
      <c r="Z3" s="346">
        <v>5</v>
      </c>
      <c r="AA3" s="346" t="s">
        <v>996</v>
      </c>
      <c r="AB3" s="346" t="s">
        <v>226</v>
      </c>
      <c r="AC3" s="346" t="s">
        <v>172</v>
      </c>
      <c r="AD3" s="347">
        <v>5.2600000000000001E-2</v>
      </c>
      <c r="AE3" s="347">
        <v>1.44E-2</v>
      </c>
      <c r="AF3" s="346">
        <v>0.18</v>
      </c>
      <c r="AG3" s="346">
        <v>0.36</v>
      </c>
      <c r="AH3" s="346">
        <v>0.54</v>
      </c>
      <c r="AI3" s="346">
        <v>0.72</v>
      </c>
      <c r="AJ3" s="346">
        <v>0.9</v>
      </c>
      <c r="AK3" s="347">
        <v>1.8E-3</v>
      </c>
      <c r="AL3" s="347">
        <v>1.8E-3</v>
      </c>
      <c r="AM3" s="347">
        <v>1.8E-3</v>
      </c>
      <c r="AN3" s="347">
        <v>1.8E-3</v>
      </c>
      <c r="AO3" s="347">
        <v>1.8E-3</v>
      </c>
      <c r="AP3" s="347">
        <v>1.8E-3</v>
      </c>
      <c r="AQ3" s="347">
        <v>1.8E-3</v>
      </c>
      <c r="AR3" s="347">
        <v>1.8E-3</v>
      </c>
      <c r="AS3" s="347">
        <v>1.8E-3</v>
      </c>
      <c r="AT3" s="347">
        <v>1.8E-3</v>
      </c>
      <c r="AU3" s="347">
        <v>8.9999999999999993E-3</v>
      </c>
      <c r="AV3" s="346">
        <v>-11.42</v>
      </c>
      <c r="AW3" s="346">
        <v>-4.1399999999999997</v>
      </c>
      <c r="AX3" s="346">
        <v>7.14</v>
      </c>
      <c r="AY3" s="346">
        <v>-4.1399999999999997</v>
      </c>
      <c r="AZ3" s="346">
        <v>-7.92</v>
      </c>
      <c r="BA3" s="346">
        <v>-13.96</v>
      </c>
      <c r="BB3" s="346">
        <v>-23.14</v>
      </c>
      <c r="BC3" s="346">
        <v>-13.92</v>
      </c>
      <c r="BD3" s="346">
        <v>-14.22</v>
      </c>
      <c r="BE3" s="346">
        <v>-12.76</v>
      </c>
      <c r="BF3" s="346">
        <v>-2.75</v>
      </c>
      <c r="BG3" s="346">
        <v>4.38</v>
      </c>
      <c r="BH3" s="346">
        <v>-9.2899999999999991</v>
      </c>
      <c r="BI3" s="346">
        <v>-6.14</v>
      </c>
      <c r="BJ3" s="346">
        <v>-12.97</v>
      </c>
      <c r="BK3" s="346">
        <v>-20.95</v>
      </c>
      <c r="BL3" s="346">
        <v>-10.3</v>
      </c>
      <c r="BM3" s="346">
        <v>-20.46</v>
      </c>
      <c r="BN3" s="346">
        <v>142.91</v>
      </c>
      <c r="BO3" s="346">
        <v>3.79</v>
      </c>
      <c r="BP3" s="346">
        <v>-540.76</v>
      </c>
      <c r="BQ3" s="346">
        <v>40.049999999999997</v>
      </c>
      <c r="BR3" s="346">
        <v>6.16</v>
      </c>
      <c r="BS3" s="346">
        <v>85.36</v>
      </c>
      <c r="BT3" s="346">
        <v>-22.36</v>
      </c>
      <c r="BU3" s="346">
        <v>-27.31</v>
      </c>
      <c r="BV3" s="346">
        <v>-31.31</v>
      </c>
      <c r="BW3" s="346">
        <v>179.29</v>
      </c>
      <c r="BX3" s="346">
        <v>3.05</v>
      </c>
      <c r="BY3" s="346">
        <v>-413.48</v>
      </c>
      <c r="BZ3" s="346">
        <v>105.74</v>
      </c>
      <c r="CA3" s="346">
        <v>5.78</v>
      </c>
      <c r="CB3" s="346">
        <v>90.5</v>
      </c>
      <c r="CC3" s="346">
        <v>-24.4</v>
      </c>
      <c r="CD3" s="346">
        <v>-24.41</v>
      </c>
      <c r="CE3" s="346">
        <v>-53.35</v>
      </c>
      <c r="CF3" s="346">
        <v>17.260000000000002</v>
      </c>
      <c r="CG3" s="346">
        <v>49.12</v>
      </c>
      <c r="CH3" s="346">
        <v>38.68</v>
      </c>
      <c r="CI3" s="346">
        <v>63.47</v>
      </c>
      <c r="CJ3" s="346">
        <v>63.49</v>
      </c>
      <c r="CK3" s="346">
        <v>33.64</v>
      </c>
      <c r="CL3" s="346">
        <v>92.68</v>
      </c>
      <c r="CM3" s="346">
        <v>90.27</v>
      </c>
      <c r="CN3" s="346">
        <v>94.38</v>
      </c>
      <c r="CO3" s="346">
        <v>2.0099999999999998</v>
      </c>
      <c r="CP3" s="346">
        <v>-0.05</v>
      </c>
      <c r="CQ3" s="346">
        <v>327.58999999999997</v>
      </c>
      <c r="CR3" s="346">
        <v>10.25</v>
      </c>
      <c r="CS3" s="346">
        <v>1.23</v>
      </c>
      <c r="CT3" s="346">
        <v>48.95</v>
      </c>
      <c r="CU3" s="346">
        <v>125.28</v>
      </c>
      <c r="CV3" s="346">
        <v>16.12</v>
      </c>
      <c r="CW3" s="346">
        <v>1959911009.8199999</v>
      </c>
    </row>
    <row r="4" spans="1:101" x14ac:dyDescent="0.25">
      <c r="A4" s="346" t="str">
        <f>VLOOKUP(B4,'Loan Book Summary'!C:G,5,FALSE)</f>
        <v>0014I000027xjiZ</v>
      </c>
      <c r="B4" s="346">
        <v>1100000242</v>
      </c>
      <c r="C4" s="346" t="s">
        <v>5375</v>
      </c>
      <c r="D4" s="346" t="s">
        <v>1889</v>
      </c>
      <c r="E4" s="346">
        <v>2022</v>
      </c>
      <c r="F4" s="346">
        <v>6</v>
      </c>
      <c r="G4" s="346">
        <v>4740.5111960000004</v>
      </c>
      <c r="H4" s="346">
        <v>62.4251</v>
      </c>
      <c r="I4" s="346">
        <v>62.4251</v>
      </c>
      <c r="J4" s="346">
        <v>34543.843339999999</v>
      </c>
      <c r="K4" s="346">
        <v>32354.52075</v>
      </c>
      <c r="L4" s="346">
        <v>262.76191999999998</v>
      </c>
      <c r="M4" s="346" t="s">
        <v>1889</v>
      </c>
      <c r="N4" s="346">
        <v>3783.8144010000001</v>
      </c>
      <c r="O4" s="346">
        <v>3783.8144010000001</v>
      </c>
      <c r="P4" s="346">
        <v>14978.90085</v>
      </c>
      <c r="Q4" s="346">
        <v>13067.707109999999</v>
      </c>
      <c r="R4" s="346">
        <v>11852.889810000001</v>
      </c>
      <c r="S4" s="346" t="s">
        <v>1889</v>
      </c>
      <c r="T4" s="346">
        <v>1157.2596759999999</v>
      </c>
      <c r="U4" s="346">
        <v>3791.038266</v>
      </c>
      <c r="V4" s="346">
        <v>2107.022872</v>
      </c>
      <c r="W4" s="346">
        <v>1541.893106</v>
      </c>
      <c r="X4" s="346" t="s">
        <v>101</v>
      </c>
      <c r="Y4" s="346">
        <v>87300</v>
      </c>
      <c r="Z4" s="346">
        <v>5</v>
      </c>
      <c r="AA4" s="346" t="s">
        <v>996</v>
      </c>
      <c r="AB4" s="346" t="s">
        <v>226</v>
      </c>
      <c r="AC4" s="346" t="s">
        <v>172</v>
      </c>
      <c r="AD4" s="347">
        <v>5.2600000000000001E-2</v>
      </c>
      <c r="AE4" s="347">
        <v>1.44E-2</v>
      </c>
      <c r="AF4" s="346">
        <v>0.18</v>
      </c>
      <c r="AG4" s="346">
        <v>0.36</v>
      </c>
      <c r="AH4" s="346">
        <v>0.54</v>
      </c>
      <c r="AI4" s="346">
        <v>0.72</v>
      </c>
      <c r="AJ4" s="346">
        <v>0.9</v>
      </c>
      <c r="AK4" s="347">
        <v>1.8E-3</v>
      </c>
      <c r="AL4" s="347">
        <v>1.8E-3</v>
      </c>
      <c r="AM4" s="347">
        <v>1.8E-3</v>
      </c>
      <c r="AN4" s="347">
        <v>1.8E-3</v>
      </c>
      <c r="AO4" s="347">
        <v>1.8E-3</v>
      </c>
      <c r="AP4" s="347">
        <v>1.8E-3</v>
      </c>
      <c r="AQ4" s="347">
        <v>1.8E-3</v>
      </c>
      <c r="AR4" s="347">
        <v>1.8E-3</v>
      </c>
      <c r="AS4" s="347">
        <v>1.8E-3</v>
      </c>
      <c r="AT4" s="347">
        <v>1.8E-3</v>
      </c>
      <c r="AU4" s="347">
        <v>8.9999999999999993E-3</v>
      </c>
      <c r="AV4" s="346">
        <v>-11.42</v>
      </c>
      <c r="AW4" s="346">
        <v>-4.1399999999999997</v>
      </c>
      <c r="AX4" s="346">
        <v>7.14</v>
      </c>
      <c r="AY4" s="346">
        <v>-4.1399999999999997</v>
      </c>
      <c r="AZ4" s="346">
        <v>-7.92</v>
      </c>
      <c r="BA4" s="346">
        <v>-13.96</v>
      </c>
      <c r="BB4" s="346">
        <v>-23.14</v>
      </c>
      <c r="BC4" s="346">
        <v>-13.92</v>
      </c>
      <c r="BD4" s="346">
        <v>-14.22</v>
      </c>
      <c r="BE4" s="346">
        <v>-12.76</v>
      </c>
      <c r="BF4" s="346">
        <v>-2.75</v>
      </c>
      <c r="BG4" s="346">
        <v>4.38</v>
      </c>
      <c r="BH4" s="346">
        <v>-9.2899999999999991</v>
      </c>
      <c r="BI4" s="346">
        <v>-6.14</v>
      </c>
      <c r="BJ4" s="346">
        <v>-12.97</v>
      </c>
      <c r="BK4" s="346">
        <v>-20.95</v>
      </c>
      <c r="BL4" s="346">
        <v>-10.3</v>
      </c>
      <c r="BM4" s="346">
        <v>-20.46</v>
      </c>
      <c r="BN4" s="346">
        <v>142.91</v>
      </c>
      <c r="BO4" s="346">
        <v>3.79</v>
      </c>
      <c r="BP4" s="346">
        <v>-540.76</v>
      </c>
      <c r="BQ4" s="346">
        <v>40.049999999999997</v>
      </c>
      <c r="BR4" s="346">
        <v>6.16</v>
      </c>
      <c r="BS4" s="346">
        <v>85.36</v>
      </c>
      <c r="BT4" s="346">
        <v>-22.36</v>
      </c>
      <c r="BU4" s="346">
        <v>-27.31</v>
      </c>
      <c r="BV4" s="346">
        <v>-31.31</v>
      </c>
      <c r="BW4" s="346">
        <v>179.29</v>
      </c>
      <c r="BX4" s="346">
        <v>3.05</v>
      </c>
      <c r="BY4" s="346">
        <v>-413.48</v>
      </c>
      <c r="BZ4" s="346">
        <v>105.74</v>
      </c>
      <c r="CA4" s="346">
        <v>5.78</v>
      </c>
      <c r="CB4" s="346">
        <v>90.5</v>
      </c>
      <c r="CC4" s="346">
        <v>-24.4</v>
      </c>
      <c r="CD4" s="346">
        <v>-24.41</v>
      </c>
      <c r="CE4" s="346">
        <v>-53.35</v>
      </c>
      <c r="CF4" s="346">
        <v>17.260000000000002</v>
      </c>
      <c r="CG4" s="346">
        <v>49.12</v>
      </c>
      <c r="CH4" s="346">
        <v>38.68</v>
      </c>
      <c r="CI4" s="346">
        <v>63.47</v>
      </c>
      <c r="CJ4" s="346">
        <v>63.49</v>
      </c>
      <c r="CK4" s="346">
        <v>33.64</v>
      </c>
      <c r="CL4" s="346">
        <v>92.68</v>
      </c>
      <c r="CM4" s="346">
        <v>90.27</v>
      </c>
      <c r="CN4" s="346">
        <v>94.38</v>
      </c>
      <c r="CO4" s="346">
        <v>2.0099999999999998</v>
      </c>
      <c r="CP4" s="346">
        <v>-0.05</v>
      </c>
      <c r="CQ4" s="346">
        <v>327.58999999999997</v>
      </c>
      <c r="CR4" s="346">
        <v>10.25</v>
      </c>
      <c r="CS4" s="346">
        <v>1.23</v>
      </c>
      <c r="CT4" s="346">
        <v>48.95</v>
      </c>
      <c r="CU4" s="346">
        <v>125.28</v>
      </c>
      <c r="CV4" s="346">
        <v>16.12</v>
      </c>
      <c r="CW4" s="346">
        <v>1959911009.8199999</v>
      </c>
    </row>
    <row r="5" spans="1:101" x14ac:dyDescent="0.25">
      <c r="A5" s="346" t="str">
        <f>VLOOKUP(B5,'Loan Book Summary'!C:G,5,FALSE)</f>
        <v>0014I000027xjgR</v>
      </c>
      <c r="B5" s="346">
        <v>1100000243</v>
      </c>
      <c r="C5" s="346" t="s">
        <v>5376</v>
      </c>
      <c r="D5" s="346" t="s">
        <v>1889</v>
      </c>
      <c r="E5" s="346">
        <v>2022</v>
      </c>
      <c r="F5" s="346">
        <v>6</v>
      </c>
      <c r="G5" s="346">
        <v>4740.5111960000004</v>
      </c>
      <c r="H5" s="346">
        <v>62.4251</v>
      </c>
      <c r="I5" s="346">
        <v>62.4251</v>
      </c>
      <c r="J5" s="346">
        <v>34543.843339999999</v>
      </c>
      <c r="K5" s="346">
        <v>32354.52075</v>
      </c>
      <c r="L5" s="346">
        <v>262.76191999999998</v>
      </c>
      <c r="M5" s="346" t="s">
        <v>1889</v>
      </c>
      <c r="N5" s="346">
        <v>3783.8144010000001</v>
      </c>
      <c r="O5" s="346">
        <v>3783.8144010000001</v>
      </c>
      <c r="P5" s="346">
        <v>14978.90085</v>
      </c>
      <c r="Q5" s="346">
        <v>13067.707109999999</v>
      </c>
      <c r="R5" s="346">
        <v>11852.889810000001</v>
      </c>
      <c r="S5" s="346" t="s">
        <v>1889</v>
      </c>
      <c r="T5" s="346">
        <v>1157.2596759999999</v>
      </c>
      <c r="U5" s="346">
        <v>3791.038266</v>
      </c>
      <c r="V5" s="346">
        <v>2107.022872</v>
      </c>
      <c r="W5" s="346">
        <v>1541.893106</v>
      </c>
      <c r="X5" s="346" t="s">
        <v>101</v>
      </c>
      <c r="Y5" s="346">
        <v>87300</v>
      </c>
      <c r="Z5" s="346">
        <v>5</v>
      </c>
      <c r="AA5" s="346" t="s">
        <v>996</v>
      </c>
      <c r="AB5" s="346" t="s">
        <v>226</v>
      </c>
      <c r="AC5" s="346" t="s">
        <v>172</v>
      </c>
      <c r="AD5" s="347">
        <v>5.2600000000000001E-2</v>
      </c>
      <c r="AE5" s="347">
        <v>1.44E-2</v>
      </c>
      <c r="AF5" s="346">
        <v>0.18</v>
      </c>
      <c r="AG5" s="346">
        <v>0.36</v>
      </c>
      <c r="AH5" s="346">
        <v>0.54</v>
      </c>
      <c r="AI5" s="346">
        <v>0.72</v>
      </c>
      <c r="AJ5" s="346">
        <v>0.9</v>
      </c>
      <c r="AK5" s="347">
        <v>1.8E-3</v>
      </c>
      <c r="AL5" s="347">
        <v>1.8E-3</v>
      </c>
      <c r="AM5" s="347">
        <v>1.8E-3</v>
      </c>
      <c r="AN5" s="347">
        <v>1.8E-3</v>
      </c>
      <c r="AO5" s="347">
        <v>1.8E-3</v>
      </c>
      <c r="AP5" s="347">
        <v>1.8E-3</v>
      </c>
      <c r="AQ5" s="347">
        <v>1.8E-3</v>
      </c>
      <c r="AR5" s="347">
        <v>1.8E-3</v>
      </c>
      <c r="AS5" s="347">
        <v>1.8E-3</v>
      </c>
      <c r="AT5" s="347">
        <v>1.8E-3</v>
      </c>
      <c r="AU5" s="347">
        <v>8.9999999999999993E-3</v>
      </c>
      <c r="AV5" s="346">
        <v>-11.42</v>
      </c>
      <c r="AW5" s="346">
        <v>-4.1399999999999997</v>
      </c>
      <c r="AX5" s="346">
        <v>7.14</v>
      </c>
      <c r="AY5" s="346">
        <v>-4.1399999999999997</v>
      </c>
      <c r="AZ5" s="346">
        <v>-7.92</v>
      </c>
      <c r="BA5" s="346">
        <v>-13.96</v>
      </c>
      <c r="BB5" s="346">
        <v>-23.14</v>
      </c>
      <c r="BC5" s="346">
        <v>-13.92</v>
      </c>
      <c r="BD5" s="346">
        <v>-14.22</v>
      </c>
      <c r="BE5" s="346">
        <v>-12.76</v>
      </c>
      <c r="BF5" s="346">
        <v>-2.75</v>
      </c>
      <c r="BG5" s="346">
        <v>4.38</v>
      </c>
      <c r="BH5" s="346">
        <v>-9.2899999999999991</v>
      </c>
      <c r="BI5" s="346">
        <v>-6.14</v>
      </c>
      <c r="BJ5" s="346">
        <v>-12.97</v>
      </c>
      <c r="BK5" s="346">
        <v>-20.95</v>
      </c>
      <c r="BL5" s="346">
        <v>-10.3</v>
      </c>
      <c r="BM5" s="346">
        <v>-20.46</v>
      </c>
      <c r="BN5" s="346">
        <v>142.91</v>
      </c>
      <c r="BO5" s="346">
        <v>3.79</v>
      </c>
      <c r="BP5" s="346">
        <v>-540.76</v>
      </c>
      <c r="BQ5" s="346">
        <v>40.049999999999997</v>
      </c>
      <c r="BR5" s="346">
        <v>6.16</v>
      </c>
      <c r="BS5" s="346">
        <v>85.36</v>
      </c>
      <c r="BT5" s="346">
        <v>-22.36</v>
      </c>
      <c r="BU5" s="346">
        <v>-27.31</v>
      </c>
      <c r="BV5" s="346">
        <v>-31.31</v>
      </c>
      <c r="BW5" s="346">
        <v>179.29</v>
      </c>
      <c r="BX5" s="346">
        <v>3.05</v>
      </c>
      <c r="BY5" s="346">
        <v>-413.48</v>
      </c>
      <c r="BZ5" s="346">
        <v>105.74</v>
      </c>
      <c r="CA5" s="346">
        <v>5.78</v>
      </c>
      <c r="CB5" s="346">
        <v>90.5</v>
      </c>
      <c r="CC5" s="346">
        <v>-24.4</v>
      </c>
      <c r="CD5" s="346">
        <v>-24.41</v>
      </c>
      <c r="CE5" s="346">
        <v>-53.35</v>
      </c>
      <c r="CF5" s="346">
        <v>17.260000000000002</v>
      </c>
      <c r="CG5" s="346">
        <v>49.12</v>
      </c>
      <c r="CH5" s="346">
        <v>38.68</v>
      </c>
      <c r="CI5" s="346">
        <v>63.47</v>
      </c>
      <c r="CJ5" s="346">
        <v>63.49</v>
      </c>
      <c r="CK5" s="346">
        <v>33.64</v>
      </c>
      <c r="CL5" s="346">
        <v>92.68</v>
      </c>
      <c r="CM5" s="346">
        <v>90.27</v>
      </c>
      <c r="CN5" s="346">
        <v>94.38</v>
      </c>
      <c r="CO5" s="346">
        <v>2.0099999999999998</v>
      </c>
      <c r="CP5" s="346">
        <v>-0.05</v>
      </c>
      <c r="CQ5" s="346">
        <v>327.58999999999997</v>
      </c>
      <c r="CR5" s="346">
        <v>10.25</v>
      </c>
      <c r="CS5" s="346">
        <v>1.23</v>
      </c>
      <c r="CT5" s="346">
        <v>48.95</v>
      </c>
      <c r="CU5" s="346">
        <v>125.28</v>
      </c>
      <c r="CV5" s="346">
        <v>16.12</v>
      </c>
      <c r="CW5" s="346">
        <v>1959911009.8199999</v>
      </c>
    </row>
    <row r="6" spans="1:101" x14ac:dyDescent="0.25">
      <c r="A6" s="346" t="str">
        <f>VLOOKUP(B6,'Loan Book Summary'!C:G,5,FALSE)</f>
        <v>0014I000027xjnF</v>
      </c>
      <c r="B6" s="346">
        <v>1100000245</v>
      </c>
      <c r="C6" s="346" t="s">
        <v>5377</v>
      </c>
      <c r="D6" s="346" t="s">
        <v>1889</v>
      </c>
      <c r="E6" s="346">
        <v>2022</v>
      </c>
      <c r="F6" s="346">
        <v>6</v>
      </c>
      <c r="G6" s="346">
        <v>4740.5111960000004</v>
      </c>
      <c r="H6" s="346">
        <v>62.4251</v>
      </c>
      <c r="I6" s="346">
        <v>62.4251</v>
      </c>
      <c r="J6" s="346">
        <v>34543.843339999999</v>
      </c>
      <c r="K6" s="346">
        <v>32354.52075</v>
      </c>
      <c r="L6" s="346">
        <v>262.76191999999998</v>
      </c>
      <c r="M6" s="346" t="s">
        <v>1889</v>
      </c>
      <c r="N6" s="346">
        <v>3783.8144010000001</v>
      </c>
      <c r="O6" s="346">
        <v>3783.8144010000001</v>
      </c>
      <c r="P6" s="346">
        <v>14978.90085</v>
      </c>
      <c r="Q6" s="346">
        <v>13067.707109999999</v>
      </c>
      <c r="R6" s="346">
        <v>11852.889810000001</v>
      </c>
      <c r="S6" s="346" t="s">
        <v>1889</v>
      </c>
      <c r="T6" s="346">
        <v>1157.2596759999999</v>
      </c>
      <c r="U6" s="346">
        <v>3791.038266</v>
      </c>
      <c r="V6" s="346">
        <v>2107.022872</v>
      </c>
      <c r="W6" s="346">
        <v>1541.893106</v>
      </c>
      <c r="X6" s="346" t="s">
        <v>101</v>
      </c>
      <c r="Y6" s="346">
        <v>87300</v>
      </c>
      <c r="Z6" s="346">
        <v>5</v>
      </c>
      <c r="AA6" s="346" t="s">
        <v>996</v>
      </c>
      <c r="AB6" s="346" t="s">
        <v>226</v>
      </c>
      <c r="AC6" s="346" t="s">
        <v>172</v>
      </c>
      <c r="AD6" s="347">
        <v>5.2600000000000001E-2</v>
      </c>
      <c r="AE6" s="347">
        <v>1.44E-2</v>
      </c>
      <c r="AF6" s="346">
        <v>0.18</v>
      </c>
      <c r="AG6" s="346">
        <v>0.36</v>
      </c>
      <c r="AH6" s="346">
        <v>0.54</v>
      </c>
      <c r="AI6" s="346">
        <v>0.72</v>
      </c>
      <c r="AJ6" s="346">
        <v>0.9</v>
      </c>
      <c r="AK6" s="347">
        <v>1.8E-3</v>
      </c>
      <c r="AL6" s="347">
        <v>1.8E-3</v>
      </c>
      <c r="AM6" s="347">
        <v>1.8E-3</v>
      </c>
      <c r="AN6" s="347">
        <v>1.8E-3</v>
      </c>
      <c r="AO6" s="347">
        <v>1.8E-3</v>
      </c>
      <c r="AP6" s="347">
        <v>1.8E-3</v>
      </c>
      <c r="AQ6" s="347">
        <v>1.8E-3</v>
      </c>
      <c r="AR6" s="347">
        <v>1.8E-3</v>
      </c>
      <c r="AS6" s="347">
        <v>1.8E-3</v>
      </c>
      <c r="AT6" s="347">
        <v>1.8E-3</v>
      </c>
      <c r="AU6" s="347">
        <v>8.9999999999999993E-3</v>
      </c>
      <c r="AV6" s="346">
        <v>-11.42</v>
      </c>
      <c r="AW6" s="346">
        <v>-4.1399999999999997</v>
      </c>
      <c r="AX6" s="346">
        <v>7.14</v>
      </c>
      <c r="AY6" s="346">
        <v>-4.1399999999999997</v>
      </c>
      <c r="AZ6" s="346">
        <v>-7.92</v>
      </c>
      <c r="BA6" s="346">
        <v>-13.96</v>
      </c>
      <c r="BB6" s="346">
        <v>-23.14</v>
      </c>
      <c r="BC6" s="346">
        <v>-13.92</v>
      </c>
      <c r="BD6" s="346">
        <v>-14.22</v>
      </c>
      <c r="BE6" s="346">
        <v>-12.76</v>
      </c>
      <c r="BF6" s="346">
        <v>-2.75</v>
      </c>
      <c r="BG6" s="346">
        <v>4.38</v>
      </c>
      <c r="BH6" s="346">
        <v>-9.2899999999999991</v>
      </c>
      <c r="BI6" s="346">
        <v>-6.14</v>
      </c>
      <c r="BJ6" s="346">
        <v>-12.97</v>
      </c>
      <c r="BK6" s="346">
        <v>-20.95</v>
      </c>
      <c r="BL6" s="346">
        <v>-10.3</v>
      </c>
      <c r="BM6" s="346">
        <v>-20.46</v>
      </c>
      <c r="BN6" s="346">
        <v>142.91</v>
      </c>
      <c r="BO6" s="346">
        <v>3.79</v>
      </c>
      <c r="BP6" s="346">
        <v>-540.76</v>
      </c>
      <c r="BQ6" s="346">
        <v>40.049999999999997</v>
      </c>
      <c r="BR6" s="346">
        <v>6.16</v>
      </c>
      <c r="BS6" s="346">
        <v>85.36</v>
      </c>
      <c r="BT6" s="346">
        <v>-22.36</v>
      </c>
      <c r="BU6" s="346">
        <v>-27.31</v>
      </c>
      <c r="BV6" s="346">
        <v>-31.31</v>
      </c>
      <c r="BW6" s="346">
        <v>179.29</v>
      </c>
      <c r="BX6" s="346">
        <v>3.05</v>
      </c>
      <c r="BY6" s="346">
        <v>-413.48</v>
      </c>
      <c r="BZ6" s="346">
        <v>105.74</v>
      </c>
      <c r="CA6" s="346">
        <v>5.78</v>
      </c>
      <c r="CB6" s="346">
        <v>90.5</v>
      </c>
      <c r="CC6" s="346">
        <v>-24.4</v>
      </c>
      <c r="CD6" s="346">
        <v>-24.41</v>
      </c>
      <c r="CE6" s="346">
        <v>-53.35</v>
      </c>
      <c r="CF6" s="346">
        <v>17.260000000000002</v>
      </c>
      <c r="CG6" s="346">
        <v>49.12</v>
      </c>
      <c r="CH6" s="346">
        <v>38.68</v>
      </c>
      <c r="CI6" s="346">
        <v>63.47</v>
      </c>
      <c r="CJ6" s="346">
        <v>63.49</v>
      </c>
      <c r="CK6" s="346">
        <v>33.64</v>
      </c>
      <c r="CL6" s="346">
        <v>92.68</v>
      </c>
      <c r="CM6" s="346">
        <v>90.27</v>
      </c>
      <c r="CN6" s="346">
        <v>94.38</v>
      </c>
      <c r="CO6" s="346">
        <v>2.0099999999999998</v>
      </c>
      <c r="CP6" s="346">
        <v>-0.05</v>
      </c>
      <c r="CQ6" s="346">
        <v>327.58999999999997</v>
      </c>
      <c r="CR6" s="346">
        <v>10.25</v>
      </c>
      <c r="CS6" s="346">
        <v>1.23</v>
      </c>
      <c r="CT6" s="346">
        <v>48.95</v>
      </c>
      <c r="CU6" s="346">
        <v>125.28</v>
      </c>
      <c r="CV6" s="346">
        <v>16.12</v>
      </c>
      <c r="CW6" s="346">
        <v>1959911009.8199999</v>
      </c>
    </row>
    <row r="7" spans="1:101" x14ac:dyDescent="0.25">
      <c r="A7" s="346" t="str">
        <f>VLOOKUP(B7,'Loan Book Summary'!C:G,5,FALSE)</f>
        <v>0014I000027xjnt</v>
      </c>
      <c r="B7" s="346">
        <v>1100000244</v>
      </c>
      <c r="C7" s="346" t="s">
        <v>5378</v>
      </c>
      <c r="D7" s="346" t="s">
        <v>1889</v>
      </c>
      <c r="E7" s="346">
        <v>2022</v>
      </c>
      <c r="F7" s="346">
        <v>6</v>
      </c>
      <c r="G7" s="346">
        <v>4740.5111960000004</v>
      </c>
      <c r="H7" s="346">
        <v>62.4251</v>
      </c>
      <c r="I7" s="346">
        <v>62.4251</v>
      </c>
      <c r="J7" s="346">
        <v>34543.843339999999</v>
      </c>
      <c r="K7" s="346">
        <v>32354.52075</v>
      </c>
      <c r="L7" s="346">
        <v>262.76191999999998</v>
      </c>
      <c r="M7" s="346" t="s">
        <v>1889</v>
      </c>
      <c r="N7" s="346">
        <v>3783.8144010000001</v>
      </c>
      <c r="O7" s="346">
        <v>3783.8144010000001</v>
      </c>
      <c r="P7" s="346">
        <v>14978.90085</v>
      </c>
      <c r="Q7" s="346">
        <v>13067.707109999999</v>
      </c>
      <c r="R7" s="346">
        <v>11852.889810000001</v>
      </c>
      <c r="S7" s="346" t="s">
        <v>1889</v>
      </c>
      <c r="T7" s="346">
        <v>1157.2596759999999</v>
      </c>
      <c r="U7" s="346">
        <v>3791.038266</v>
      </c>
      <c r="V7" s="346">
        <v>2107.022872</v>
      </c>
      <c r="W7" s="346">
        <v>1541.893106</v>
      </c>
      <c r="X7" s="346" t="s">
        <v>101</v>
      </c>
      <c r="Y7" s="346">
        <v>87300</v>
      </c>
      <c r="Z7" s="346">
        <v>5</v>
      </c>
      <c r="AA7" s="346" t="s">
        <v>996</v>
      </c>
      <c r="AB7" s="346" t="s">
        <v>226</v>
      </c>
      <c r="AC7" s="346" t="s">
        <v>172</v>
      </c>
      <c r="AD7" s="347">
        <v>5.2600000000000001E-2</v>
      </c>
      <c r="AE7" s="347">
        <v>1.44E-2</v>
      </c>
      <c r="AF7" s="346">
        <v>0.18</v>
      </c>
      <c r="AG7" s="346">
        <v>0.36</v>
      </c>
      <c r="AH7" s="346">
        <v>0.54</v>
      </c>
      <c r="AI7" s="346">
        <v>0.72</v>
      </c>
      <c r="AJ7" s="346">
        <v>0.9</v>
      </c>
      <c r="AK7" s="347">
        <v>1.8E-3</v>
      </c>
      <c r="AL7" s="347">
        <v>1.8E-3</v>
      </c>
      <c r="AM7" s="347">
        <v>1.8E-3</v>
      </c>
      <c r="AN7" s="347">
        <v>1.8E-3</v>
      </c>
      <c r="AO7" s="347">
        <v>1.8E-3</v>
      </c>
      <c r="AP7" s="347">
        <v>1.8E-3</v>
      </c>
      <c r="AQ7" s="347">
        <v>1.8E-3</v>
      </c>
      <c r="AR7" s="347">
        <v>1.8E-3</v>
      </c>
      <c r="AS7" s="347">
        <v>1.8E-3</v>
      </c>
      <c r="AT7" s="347">
        <v>1.8E-3</v>
      </c>
      <c r="AU7" s="347">
        <v>8.9999999999999993E-3</v>
      </c>
      <c r="AV7" s="346">
        <v>-11.42</v>
      </c>
      <c r="AW7" s="346">
        <v>-4.1399999999999997</v>
      </c>
      <c r="AX7" s="346">
        <v>7.14</v>
      </c>
      <c r="AY7" s="346">
        <v>-4.1399999999999997</v>
      </c>
      <c r="AZ7" s="346">
        <v>-7.92</v>
      </c>
      <c r="BA7" s="346">
        <v>-13.96</v>
      </c>
      <c r="BB7" s="346">
        <v>-23.14</v>
      </c>
      <c r="BC7" s="346">
        <v>-13.92</v>
      </c>
      <c r="BD7" s="346">
        <v>-14.22</v>
      </c>
      <c r="BE7" s="346">
        <v>-12.76</v>
      </c>
      <c r="BF7" s="346">
        <v>-2.75</v>
      </c>
      <c r="BG7" s="346">
        <v>4.38</v>
      </c>
      <c r="BH7" s="346">
        <v>-9.2899999999999991</v>
      </c>
      <c r="BI7" s="346">
        <v>-6.14</v>
      </c>
      <c r="BJ7" s="346">
        <v>-12.97</v>
      </c>
      <c r="BK7" s="346">
        <v>-20.95</v>
      </c>
      <c r="BL7" s="346">
        <v>-10.3</v>
      </c>
      <c r="BM7" s="346">
        <v>-20.46</v>
      </c>
      <c r="BN7" s="346">
        <v>142.91</v>
      </c>
      <c r="BO7" s="346">
        <v>3.79</v>
      </c>
      <c r="BP7" s="346">
        <v>-540.76</v>
      </c>
      <c r="BQ7" s="346">
        <v>40.049999999999997</v>
      </c>
      <c r="BR7" s="346">
        <v>6.16</v>
      </c>
      <c r="BS7" s="346">
        <v>85.36</v>
      </c>
      <c r="BT7" s="346">
        <v>-22.36</v>
      </c>
      <c r="BU7" s="346">
        <v>-27.31</v>
      </c>
      <c r="BV7" s="346">
        <v>-31.31</v>
      </c>
      <c r="BW7" s="346">
        <v>179.29</v>
      </c>
      <c r="BX7" s="346">
        <v>3.05</v>
      </c>
      <c r="BY7" s="346">
        <v>-413.48</v>
      </c>
      <c r="BZ7" s="346">
        <v>105.74</v>
      </c>
      <c r="CA7" s="346">
        <v>5.78</v>
      </c>
      <c r="CB7" s="346">
        <v>90.5</v>
      </c>
      <c r="CC7" s="346">
        <v>-24.4</v>
      </c>
      <c r="CD7" s="346">
        <v>-24.41</v>
      </c>
      <c r="CE7" s="346">
        <v>-53.35</v>
      </c>
      <c r="CF7" s="346">
        <v>17.260000000000002</v>
      </c>
      <c r="CG7" s="346">
        <v>49.12</v>
      </c>
      <c r="CH7" s="346">
        <v>38.68</v>
      </c>
      <c r="CI7" s="346">
        <v>63.47</v>
      </c>
      <c r="CJ7" s="346">
        <v>63.49</v>
      </c>
      <c r="CK7" s="346">
        <v>33.64</v>
      </c>
      <c r="CL7" s="346">
        <v>92.68</v>
      </c>
      <c r="CM7" s="346">
        <v>90.27</v>
      </c>
      <c r="CN7" s="346">
        <v>94.38</v>
      </c>
      <c r="CO7" s="346">
        <v>2.0099999999999998</v>
      </c>
      <c r="CP7" s="346">
        <v>-0.05</v>
      </c>
      <c r="CQ7" s="346">
        <v>327.58999999999997</v>
      </c>
      <c r="CR7" s="346">
        <v>10.25</v>
      </c>
      <c r="CS7" s="346">
        <v>1.23</v>
      </c>
      <c r="CT7" s="346">
        <v>48.95</v>
      </c>
      <c r="CU7" s="346">
        <v>125.28</v>
      </c>
      <c r="CV7" s="346">
        <v>16.12</v>
      </c>
      <c r="CW7" s="346">
        <v>1959911009.8199999</v>
      </c>
    </row>
    <row r="8" spans="1:101" x14ac:dyDescent="0.25">
      <c r="A8" s="346" t="str">
        <f>VLOOKUP(B8,'Loan Book Summary'!C:G,5,FALSE)</f>
        <v>0014I00001oqqTN</v>
      </c>
      <c r="B8" s="346">
        <v>1100000130</v>
      </c>
      <c r="C8" s="346" t="s">
        <v>5379</v>
      </c>
      <c r="D8" s="346" t="s">
        <v>1889</v>
      </c>
      <c r="E8" s="346">
        <v>2022</v>
      </c>
      <c r="F8" s="346">
        <v>6</v>
      </c>
      <c r="G8" s="346">
        <v>2909.1034749999999</v>
      </c>
      <c r="H8" s="346">
        <v>119.889</v>
      </c>
      <c r="I8" s="346">
        <v>119.889</v>
      </c>
      <c r="J8" s="346">
        <v>9483.9578490000004</v>
      </c>
      <c r="K8" s="346">
        <v>8662.6395489999995</v>
      </c>
      <c r="L8" s="346">
        <v>204.56100000000001</v>
      </c>
      <c r="M8" s="346" t="s">
        <v>1889</v>
      </c>
      <c r="N8" s="346">
        <v>331.26400000000001</v>
      </c>
      <c r="O8" s="346">
        <v>331.26400000000001</v>
      </c>
      <c r="P8" s="346">
        <v>3761.97</v>
      </c>
      <c r="Q8" s="346">
        <v>3192.9504980000002</v>
      </c>
      <c r="R8" s="346">
        <v>2860.6846489999998</v>
      </c>
      <c r="S8" s="346">
        <v>45.0591303</v>
      </c>
      <c r="T8" s="346">
        <v>212.69262140000001</v>
      </c>
      <c r="U8" s="346">
        <v>1015.9025799999999</v>
      </c>
      <c r="V8" s="346">
        <v>642.5679672</v>
      </c>
      <c r="W8" s="346">
        <v>522.11723800000004</v>
      </c>
      <c r="X8" s="346" t="s">
        <v>101</v>
      </c>
      <c r="Y8" s="346">
        <v>87200</v>
      </c>
      <c r="Z8" s="346">
        <v>5</v>
      </c>
      <c r="AA8" s="346" t="s">
        <v>996</v>
      </c>
      <c r="AB8" s="346" t="s">
        <v>226</v>
      </c>
      <c r="AC8" s="346" t="s">
        <v>226</v>
      </c>
      <c r="AD8" s="347">
        <v>6.9800000000000001E-2</v>
      </c>
      <c r="AE8" s="347">
        <v>3.85E-2</v>
      </c>
      <c r="AF8" s="346">
        <v>0.21</v>
      </c>
      <c r="AG8" s="346">
        <v>0.44</v>
      </c>
      <c r="AH8" s="346">
        <v>0.67</v>
      </c>
      <c r="AI8" s="346">
        <v>0.92</v>
      </c>
      <c r="AJ8" s="346">
        <v>1.1599999999999999</v>
      </c>
      <c r="AK8" s="347">
        <v>2.0999999999999999E-3</v>
      </c>
      <c r="AL8" s="347">
        <v>2.3E-3</v>
      </c>
      <c r="AM8" s="347">
        <v>2.3999999999999998E-3</v>
      </c>
      <c r="AN8" s="347">
        <v>2.3999999999999998E-3</v>
      </c>
      <c r="AO8" s="347">
        <v>2.5000000000000001E-3</v>
      </c>
      <c r="AP8" s="347">
        <v>2.0999999999999999E-3</v>
      </c>
      <c r="AQ8" s="347">
        <v>2.2000000000000001E-3</v>
      </c>
      <c r="AR8" s="347">
        <v>2.3E-3</v>
      </c>
      <c r="AS8" s="347">
        <v>2.3E-3</v>
      </c>
      <c r="AT8" s="347">
        <v>2.3E-3</v>
      </c>
      <c r="AU8" s="347">
        <v>1.1599999999999999E-2</v>
      </c>
      <c r="AV8" s="346">
        <v>-6.09</v>
      </c>
      <c r="AW8" s="346">
        <v>-4.47</v>
      </c>
      <c r="AX8" s="346">
        <v>-0.19</v>
      </c>
      <c r="AY8" s="346">
        <v>-4.55</v>
      </c>
      <c r="AZ8" s="346">
        <v>-10.14</v>
      </c>
      <c r="BA8" s="346">
        <v>-19.87</v>
      </c>
      <c r="BB8" s="346">
        <v>-31.43</v>
      </c>
      <c r="BC8" s="346">
        <v>-18.02</v>
      </c>
      <c r="BD8" s="346">
        <v>-5.25</v>
      </c>
      <c r="BE8" s="346">
        <v>-7.11</v>
      </c>
      <c r="BF8" s="346">
        <v>-3.11</v>
      </c>
      <c r="BG8" s="346">
        <v>-0.12</v>
      </c>
      <c r="BH8" s="346">
        <v>-10.67</v>
      </c>
      <c r="BI8" s="346">
        <v>-8.1999999999999993</v>
      </c>
      <c r="BJ8" s="346">
        <v>-19.27</v>
      </c>
      <c r="BK8" s="346">
        <v>-29.71</v>
      </c>
      <c r="BL8" s="346">
        <v>-13.92</v>
      </c>
      <c r="BM8" s="346">
        <v>-7.88</v>
      </c>
      <c r="BN8" s="346">
        <v>109.34</v>
      </c>
      <c r="BO8" s="346">
        <v>-22.39</v>
      </c>
      <c r="BP8" s="346">
        <v>-502.35</v>
      </c>
      <c r="BQ8" s="346">
        <v>54.71</v>
      </c>
      <c r="BR8" s="346">
        <v>-21.9</v>
      </c>
      <c r="BS8" s="346">
        <v>69.41</v>
      </c>
      <c r="BT8" s="346">
        <v>-0.72</v>
      </c>
      <c r="BU8" s="346">
        <v>-16.71</v>
      </c>
      <c r="BV8" s="346">
        <v>-102.48</v>
      </c>
      <c r="BW8" s="346">
        <v>133.31</v>
      </c>
      <c r="BX8" s="346">
        <v>-16.59</v>
      </c>
      <c r="BY8" s="346">
        <v>-348.89</v>
      </c>
      <c r="BZ8" s="346">
        <v>136.03</v>
      </c>
      <c r="CA8" s="346">
        <v>-18.829999999999998</v>
      </c>
      <c r="CB8" s="346">
        <v>70.5</v>
      </c>
      <c r="CC8" s="346">
        <v>-0.75</v>
      </c>
      <c r="CD8" s="346">
        <v>-13.81</v>
      </c>
      <c r="CE8" s="346">
        <v>-161.28</v>
      </c>
      <c r="CF8" s="346">
        <v>43.66</v>
      </c>
      <c r="CG8" s="346">
        <v>42.59</v>
      </c>
      <c r="CH8" s="346">
        <v>48.06</v>
      </c>
      <c r="CI8" s="346">
        <v>66.099999999999994</v>
      </c>
      <c r="CJ8" s="346">
        <v>59.81</v>
      </c>
      <c r="CK8" s="346">
        <v>26.08</v>
      </c>
      <c r="CL8" s="346">
        <v>100</v>
      </c>
      <c r="CM8" s="346">
        <v>92.91</v>
      </c>
      <c r="CN8" s="346">
        <v>80.650000000000006</v>
      </c>
      <c r="CO8" s="346">
        <v>6.41</v>
      </c>
      <c r="CP8" s="346">
        <v>-0.44</v>
      </c>
      <c r="CQ8" s="346">
        <v>498.82</v>
      </c>
      <c r="CR8" s="346">
        <v>11.61</v>
      </c>
      <c r="CS8" s="346">
        <v>0.74</v>
      </c>
      <c r="CT8" s="346">
        <v>41.7</v>
      </c>
      <c r="CU8" s="346">
        <v>878.18</v>
      </c>
      <c r="CV8" s="346">
        <v>20.12</v>
      </c>
      <c r="CW8" s="346">
        <v>501908086.73000002</v>
      </c>
    </row>
    <row r="9" spans="1:101" x14ac:dyDescent="0.25">
      <c r="A9" s="346" t="str">
        <f>VLOOKUP(B9,'Loan Book Summary'!C:G,5,FALSE)</f>
        <v>0015800000QSQGI</v>
      </c>
      <c r="B9" s="346">
        <v>1200000128</v>
      </c>
      <c r="C9" s="346" t="s">
        <v>5380</v>
      </c>
      <c r="D9" s="346" t="s">
        <v>1889</v>
      </c>
      <c r="E9" s="346">
        <v>2022</v>
      </c>
      <c r="F9" s="346">
        <v>6</v>
      </c>
      <c r="G9" s="346">
        <v>1527.0105840000001</v>
      </c>
      <c r="H9" s="346">
        <v>132.94072</v>
      </c>
      <c r="I9" s="346">
        <v>132.94072</v>
      </c>
      <c r="J9" s="346">
        <v>2134.8974450000001</v>
      </c>
      <c r="K9" s="346">
        <v>1100.468936</v>
      </c>
      <c r="L9" s="346">
        <v>404.09386999999998</v>
      </c>
      <c r="M9" s="346" t="s">
        <v>1889</v>
      </c>
      <c r="N9" s="346">
        <v>2808.0613800000001</v>
      </c>
      <c r="O9" s="346">
        <v>2808.0613800000001</v>
      </c>
      <c r="P9" s="346">
        <v>6052.2463900000002</v>
      </c>
      <c r="Q9" s="346">
        <v>11191.89502</v>
      </c>
      <c r="R9" s="346">
        <v>9699.8587289999996</v>
      </c>
      <c r="S9" s="346">
        <v>233.36304369999999</v>
      </c>
      <c r="T9" s="346">
        <v>246.51929459999999</v>
      </c>
      <c r="U9" s="346">
        <v>1191.9727009999999</v>
      </c>
      <c r="V9" s="346">
        <v>756.36272489999999</v>
      </c>
      <c r="W9" s="346">
        <v>69.821367469999998</v>
      </c>
      <c r="X9" s="346" t="s">
        <v>101</v>
      </c>
      <c r="Y9" s="346">
        <v>56302</v>
      </c>
      <c r="Z9" s="346">
        <v>5</v>
      </c>
      <c r="AA9" s="346" t="s">
        <v>996</v>
      </c>
      <c r="AB9" s="346" t="s">
        <v>105</v>
      </c>
      <c r="AC9" s="346" t="s">
        <v>110</v>
      </c>
      <c r="AD9" s="347">
        <v>0.49819999999999998</v>
      </c>
      <c r="AE9" s="347">
        <v>0.46589999999999998</v>
      </c>
      <c r="AF9" s="346">
        <v>1.1200000000000001</v>
      </c>
      <c r="AG9" s="346">
        <v>2.2599999999999998</v>
      </c>
      <c r="AH9" s="346">
        <v>3.42</v>
      </c>
      <c r="AI9" s="346">
        <v>4.57</v>
      </c>
      <c r="AJ9" s="346">
        <v>5.71</v>
      </c>
      <c r="AK9" s="347">
        <v>1.12E-2</v>
      </c>
      <c r="AL9" s="347">
        <v>1.1599999999999999E-2</v>
      </c>
      <c r="AM9" s="347">
        <v>1.18E-2</v>
      </c>
      <c r="AN9" s="347">
        <v>1.1900000000000001E-2</v>
      </c>
      <c r="AO9" s="347">
        <v>1.2E-2</v>
      </c>
      <c r="AP9" s="347">
        <v>1.12E-2</v>
      </c>
      <c r="AQ9" s="347">
        <v>1.14E-2</v>
      </c>
      <c r="AR9" s="347">
        <v>1.15E-2</v>
      </c>
      <c r="AS9" s="347">
        <v>1.1599999999999999E-2</v>
      </c>
      <c r="AT9" s="347">
        <v>1.17E-2</v>
      </c>
      <c r="AU9" s="347">
        <v>5.7099999999999998E-2</v>
      </c>
      <c r="AV9" s="346">
        <v>-9.98</v>
      </c>
      <c r="AW9" s="346">
        <v>-4.6100000000000003</v>
      </c>
      <c r="AX9" s="346">
        <v>-1.61</v>
      </c>
      <c r="AY9" s="346">
        <v>-2.86</v>
      </c>
      <c r="AZ9" s="346">
        <v>4.45</v>
      </c>
      <c r="BA9" s="346">
        <v>45.05</v>
      </c>
      <c r="BB9" s="346">
        <v>-19.98</v>
      </c>
      <c r="BC9" s="346">
        <v>-9.86</v>
      </c>
      <c r="BD9" s="346">
        <v>-1.59</v>
      </c>
      <c r="BE9" s="346">
        <v>-11.79</v>
      </c>
      <c r="BF9" s="346">
        <v>-3.25</v>
      </c>
      <c r="BG9" s="346">
        <v>-1.05</v>
      </c>
      <c r="BH9" s="346">
        <v>-6.79</v>
      </c>
      <c r="BI9" s="346">
        <v>3.64</v>
      </c>
      <c r="BJ9" s="346">
        <v>44.24</v>
      </c>
      <c r="BK9" s="346">
        <v>-19.12</v>
      </c>
      <c r="BL9" s="346">
        <v>-7.71</v>
      </c>
      <c r="BM9" s="346">
        <v>-2.42</v>
      </c>
      <c r="BN9" s="346">
        <v>58.37</v>
      </c>
      <c r="BO9" s="346">
        <v>-5.46</v>
      </c>
      <c r="BP9" s="346">
        <v>-313.48</v>
      </c>
      <c r="BQ9" s="346">
        <v>43.01</v>
      </c>
      <c r="BR9" s="346">
        <v>53.1</v>
      </c>
      <c r="BS9" s="346">
        <v>10.74</v>
      </c>
      <c r="BT9" s="346">
        <v>-59.88</v>
      </c>
      <c r="BU9" s="346">
        <v>-71.27</v>
      </c>
      <c r="BV9" s="346">
        <v>-284.68</v>
      </c>
      <c r="BW9" s="346">
        <v>62.18</v>
      </c>
      <c r="BX9" s="346">
        <v>-3.5</v>
      </c>
      <c r="BY9" s="346">
        <v>-184.25</v>
      </c>
      <c r="BZ9" s="346">
        <v>92.48</v>
      </c>
      <c r="CA9" s="346">
        <v>39.229999999999997</v>
      </c>
      <c r="CB9" s="346">
        <v>9.56</v>
      </c>
      <c r="CC9" s="346">
        <v>-51.73</v>
      </c>
      <c r="CD9" s="346">
        <v>-50.27</v>
      </c>
      <c r="CE9" s="346">
        <v>-406.8</v>
      </c>
      <c r="CF9" s="346">
        <v>26.72</v>
      </c>
      <c r="CG9" s="346">
        <v>46.52</v>
      </c>
      <c r="CH9" s="346">
        <v>51.55</v>
      </c>
      <c r="CI9" s="346">
        <v>72.27</v>
      </c>
      <c r="CJ9" s="346">
        <v>93.81</v>
      </c>
      <c r="CK9" s="346">
        <v>100</v>
      </c>
      <c r="CL9" s="346">
        <v>80.08</v>
      </c>
      <c r="CM9" s="346">
        <v>73.52</v>
      </c>
      <c r="CN9" s="346">
        <v>67.16</v>
      </c>
      <c r="CO9" s="346">
        <v>3.61</v>
      </c>
      <c r="CP9" s="346">
        <v>-0.18</v>
      </c>
      <c r="CQ9" s="346">
        <v>578.17999999999995</v>
      </c>
      <c r="CR9" s="346">
        <v>15.38</v>
      </c>
      <c r="CS9" s="346">
        <v>13.52</v>
      </c>
      <c r="CT9" s="346">
        <v>179.25</v>
      </c>
      <c r="CU9" s="346">
        <v>54.38</v>
      </c>
      <c r="CV9" s="346">
        <v>6.76</v>
      </c>
      <c r="CW9" s="346">
        <v>252761582.44999999</v>
      </c>
    </row>
    <row r="10" spans="1:101" x14ac:dyDescent="0.25">
      <c r="A10" s="346" t="str">
        <f>VLOOKUP(B10,'Loan Book Summary'!C:G,5,FALSE)</f>
        <v>0015800000dRt2K</v>
      </c>
      <c r="B10" s="346">
        <v>1100000205</v>
      </c>
      <c r="C10" s="346" t="s">
        <v>5381</v>
      </c>
      <c r="D10" s="346" t="s">
        <v>1889</v>
      </c>
      <c r="E10" s="346">
        <v>2022</v>
      </c>
      <c r="F10" s="346">
        <v>6</v>
      </c>
      <c r="G10" s="346">
        <v>1397.6719439999999</v>
      </c>
      <c r="H10" s="346">
        <v>801.02782999999999</v>
      </c>
      <c r="I10" s="346">
        <v>801.02782999999999</v>
      </c>
      <c r="J10" s="346">
        <v>2674.5068419999998</v>
      </c>
      <c r="K10" s="346">
        <v>660.12928609999994</v>
      </c>
      <c r="L10" s="346">
        <v>-862.61561549999999</v>
      </c>
      <c r="M10" s="346" t="s">
        <v>1889</v>
      </c>
      <c r="N10" s="346">
        <v>4613.8324339999999</v>
      </c>
      <c r="O10" s="346">
        <v>5613.3934900000004</v>
      </c>
      <c r="P10" s="346">
        <v>5029.4036610000003</v>
      </c>
      <c r="Q10" s="346">
        <v>19743.38421</v>
      </c>
      <c r="R10" s="346">
        <v>16885.62211</v>
      </c>
      <c r="S10" s="346">
        <v>469.57279340000002</v>
      </c>
      <c r="T10" s="346">
        <v>237.76387120000001</v>
      </c>
      <c r="U10" s="346">
        <v>1322.7278120000001</v>
      </c>
      <c r="V10" s="346">
        <v>724.94202580000001</v>
      </c>
      <c r="W10" s="346">
        <v>-938.45414400000004</v>
      </c>
      <c r="X10" s="346" t="s">
        <v>101</v>
      </c>
      <c r="Y10" s="346">
        <v>56302</v>
      </c>
      <c r="Z10" s="346">
        <v>5</v>
      </c>
      <c r="AA10" s="346" t="s">
        <v>996</v>
      </c>
      <c r="AB10" s="346" t="s">
        <v>105</v>
      </c>
      <c r="AC10" s="346" t="s">
        <v>110</v>
      </c>
      <c r="AD10" s="347">
        <v>0.52100000000000002</v>
      </c>
      <c r="AE10" s="347">
        <v>0.46150000000000002</v>
      </c>
      <c r="AF10" s="346">
        <v>1.2</v>
      </c>
      <c r="AG10" s="346">
        <v>2.35</v>
      </c>
      <c r="AH10" s="346">
        <v>3.47</v>
      </c>
      <c r="AI10" s="346">
        <v>4.57</v>
      </c>
      <c r="AJ10" s="346">
        <v>5.66</v>
      </c>
      <c r="AK10" s="347">
        <v>1.2E-2</v>
      </c>
      <c r="AL10" s="347">
        <v>1.1599999999999999E-2</v>
      </c>
      <c r="AM10" s="347">
        <v>1.15E-2</v>
      </c>
      <c r="AN10" s="347">
        <v>1.14E-2</v>
      </c>
      <c r="AO10" s="347">
        <v>1.14E-2</v>
      </c>
      <c r="AP10" s="347">
        <v>1.2E-2</v>
      </c>
      <c r="AQ10" s="347">
        <v>1.18E-2</v>
      </c>
      <c r="AR10" s="347">
        <v>1.17E-2</v>
      </c>
      <c r="AS10" s="347">
        <v>1.1599999999999999E-2</v>
      </c>
      <c r="AT10" s="347">
        <v>1.1599999999999999E-2</v>
      </c>
      <c r="AU10" s="347">
        <v>5.6599999999999998E-2</v>
      </c>
      <c r="AV10" s="346">
        <v>-21.84</v>
      </c>
      <c r="AW10" s="346">
        <v>-3.11</v>
      </c>
      <c r="AX10" s="346">
        <v>-5.01</v>
      </c>
      <c r="AY10" s="346">
        <v>-2.06</v>
      </c>
      <c r="AZ10" s="346">
        <v>12.66</v>
      </c>
      <c r="BA10" s="346">
        <v>38.56</v>
      </c>
      <c r="BB10" s="346">
        <v>-9.8800000000000008</v>
      </c>
      <c r="BC10" s="346">
        <v>-4.5599999999999996</v>
      </c>
      <c r="BD10" s="346">
        <v>-2.31</v>
      </c>
      <c r="BE10" s="346">
        <v>-25.57</v>
      </c>
      <c r="BF10" s="346">
        <v>-2.17</v>
      </c>
      <c r="BG10" s="346">
        <v>-3.22</v>
      </c>
      <c r="BH10" s="346">
        <v>-4.8499999999999996</v>
      </c>
      <c r="BI10" s="346">
        <v>10.28</v>
      </c>
      <c r="BJ10" s="346">
        <v>37.53</v>
      </c>
      <c r="BK10" s="346">
        <v>-9.3699999999999992</v>
      </c>
      <c r="BL10" s="346">
        <v>-3.54</v>
      </c>
      <c r="BM10" s="346">
        <v>-3.49</v>
      </c>
      <c r="BN10" s="346">
        <v>194.24</v>
      </c>
      <c r="BO10" s="346">
        <v>-18.61</v>
      </c>
      <c r="BP10" s="346">
        <v>-334.86</v>
      </c>
      <c r="BQ10" s="346">
        <v>37.26</v>
      </c>
      <c r="BR10" s="346">
        <v>21.94</v>
      </c>
      <c r="BS10" s="346">
        <v>26.34</v>
      </c>
      <c r="BT10" s="346">
        <v>-118.03</v>
      </c>
      <c r="BU10" s="346">
        <v>-116.05</v>
      </c>
      <c r="BV10" s="346">
        <v>-32.659999999999997</v>
      </c>
      <c r="BW10" s="346">
        <v>244.52</v>
      </c>
      <c r="BX10" s="346">
        <v>-14.37</v>
      </c>
      <c r="BY10" s="346">
        <v>-225.62</v>
      </c>
      <c r="BZ10" s="346">
        <v>95.77</v>
      </c>
      <c r="CA10" s="346">
        <v>19.55</v>
      </c>
      <c r="CB10" s="346">
        <v>28.08</v>
      </c>
      <c r="CC10" s="346">
        <v>-121.07</v>
      </c>
      <c r="CD10" s="346">
        <v>-97.21</v>
      </c>
      <c r="CE10" s="346">
        <v>-53.81</v>
      </c>
      <c r="CF10" s="346">
        <v>2</v>
      </c>
      <c r="CG10" s="346">
        <v>39.36</v>
      </c>
      <c r="CH10" s="346">
        <v>57.68</v>
      </c>
      <c r="CI10" s="346">
        <v>74.400000000000006</v>
      </c>
      <c r="CJ10" s="346">
        <v>98.23</v>
      </c>
      <c r="CK10" s="346">
        <v>99.54</v>
      </c>
      <c r="CL10" s="346">
        <v>69.37</v>
      </c>
      <c r="CM10" s="346">
        <v>58.49</v>
      </c>
      <c r="CN10" s="346">
        <v>75.510000000000005</v>
      </c>
      <c r="CO10" s="346">
        <v>-4.37</v>
      </c>
      <c r="CP10" s="346">
        <v>-0.69</v>
      </c>
      <c r="CQ10" s="346">
        <v>753.82</v>
      </c>
      <c r="CR10" s="346">
        <v>16.920000000000002</v>
      </c>
      <c r="CS10" s="346">
        <v>24.91</v>
      </c>
      <c r="CT10" s="346">
        <v>132.31</v>
      </c>
      <c r="CU10" s="346">
        <v>30.29</v>
      </c>
      <c r="CV10" s="346">
        <v>3.67</v>
      </c>
      <c r="CW10" s="346">
        <v>372694216.98000002</v>
      </c>
    </row>
    <row r="11" spans="1:101" x14ac:dyDescent="0.25">
      <c r="A11" s="346" t="str">
        <f>VLOOKUP(B11,'Loan Book Summary'!C:G,5,FALSE)</f>
        <v>00158000013gcxO</v>
      </c>
      <c r="B11" s="346">
        <v>1200000146</v>
      </c>
      <c r="C11" s="346" t="s">
        <v>5382</v>
      </c>
      <c r="D11" s="346" t="s">
        <v>1889</v>
      </c>
      <c r="E11" s="346">
        <v>2022</v>
      </c>
      <c r="F11" s="346">
        <v>6</v>
      </c>
      <c r="G11" s="346">
        <v>2661.6011520000002</v>
      </c>
      <c r="H11" s="346">
        <v>40.785629999999998</v>
      </c>
      <c r="I11" s="346">
        <v>40.785629999999998</v>
      </c>
      <c r="J11" s="346">
        <v>7625.7321389999997</v>
      </c>
      <c r="K11" s="346">
        <v>6166.5267750000003</v>
      </c>
      <c r="L11" s="346">
        <v>1085.3264730000001</v>
      </c>
      <c r="M11" s="346" t="s">
        <v>1889</v>
      </c>
      <c r="N11" s="346">
        <v>3750.640868</v>
      </c>
      <c r="O11" s="346">
        <v>3817.3075349999999</v>
      </c>
      <c r="P11" s="346">
        <v>13208.13586</v>
      </c>
      <c r="Q11" s="346">
        <v>26723.27622</v>
      </c>
      <c r="R11" s="346">
        <v>23096.609649999999</v>
      </c>
      <c r="S11" s="346">
        <v>370.12881959999999</v>
      </c>
      <c r="T11" s="346">
        <v>7.1823932920000004</v>
      </c>
      <c r="U11" s="346">
        <v>1733.308323</v>
      </c>
      <c r="V11" s="346">
        <v>1360.388678</v>
      </c>
      <c r="W11" s="346">
        <v>-588.67943330000003</v>
      </c>
      <c r="X11" s="346" t="s">
        <v>101</v>
      </c>
      <c r="Y11" s="346">
        <v>56302</v>
      </c>
      <c r="Z11" s="346">
        <v>5</v>
      </c>
      <c r="AA11" s="346" t="s">
        <v>996</v>
      </c>
      <c r="AB11" s="346" t="s">
        <v>110</v>
      </c>
      <c r="AC11" s="346" t="s">
        <v>114</v>
      </c>
      <c r="AD11" s="347">
        <v>0.3407</v>
      </c>
      <c r="AE11" s="347">
        <v>0.3392</v>
      </c>
      <c r="AF11" s="346">
        <v>0.67</v>
      </c>
      <c r="AG11" s="346">
        <v>1.49</v>
      </c>
      <c r="AH11" s="346">
        <v>2.37</v>
      </c>
      <c r="AI11" s="346">
        <v>3.3</v>
      </c>
      <c r="AJ11" s="346">
        <v>4.26</v>
      </c>
      <c r="AK11" s="347">
        <v>6.7000000000000002E-3</v>
      </c>
      <c r="AL11" s="347">
        <v>8.3000000000000001E-3</v>
      </c>
      <c r="AM11" s="347">
        <v>8.9999999999999993E-3</v>
      </c>
      <c r="AN11" s="347">
        <v>9.4999999999999998E-3</v>
      </c>
      <c r="AO11" s="347">
        <v>9.9000000000000008E-3</v>
      </c>
      <c r="AP11" s="347">
        <v>6.7000000000000002E-3</v>
      </c>
      <c r="AQ11" s="347">
        <v>7.4999999999999997E-3</v>
      </c>
      <c r="AR11" s="347">
        <v>8.0000000000000002E-3</v>
      </c>
      <c r="AS11" s="347">
        <v>8.3999999999999995E-3</v>
      </c>
      <c r="AT11" s="347">
        <v>8.6999999999999994E-3</v>
      </c>
      <c r="AU11" s="347">
        <v>4.2599999999999999E-2</v>
      </c>
      <c r="AV11" s="346">
        <v>-6.89</v>
      </c>
      <c r="AW11" s="346">
        <v>-3.47</v>
      </c>
      <c r="AX11" s="346">
        <v>-21.01</v>
      </c>
      <c r="AY11" s="346">
        <v>-2.08</v>
      </c>
      <c r="AZ11" s="346">
        <v>7.37</v>
      </c>
      <c r="BA11" s="346">
        <v>32.76</v>
      </c>
      <c r="BB11" s="346">
        <v>-16.34</v>
      </c>
      <c r="BC11" s="346">
        <v>-5.71</v>
      </c>
      <c r="BD11" s="346">
        <v>-4.38</v>
      </c>
      <c r="BE11" s="346">
        <v>-8.65</v>
      </c>
      <c r="BF11" s="346">
        <v>-2.59</v>
      </c>
      <c r="BG11" s="346">
        <v>-14.49</v>
      </c>
      <c r="BH11" s="346">
        <v>-5.24</v>
      </c>
      <c r="BI11" s="346">
        <v>6.41</v>
      </c>
      <c r="BJ11" s="346">
        <v>34.18</v>
      </c>
      <c r="BK11" s="346">
        <v>-16.61</v>
      </c>
      <c r="BL11" s="346">
        <v>-4.74</v>
      </c>
      <c r="BM11" s="346">
        <v>-7.08</v>
      </c>
      <c r="BN11" s="346">
        <v>146.5</v>
      </c>
      <c r="BO11" s="346">
        <v>5.68</v>
      </c>
      <c r="BP11" s="346">
        <v>-20.79</v>
      </c>
      <c r="BQ11" s="346">
        <v>109.8</v>
      </c>
      <c r="BR11" s="346">
        <v>94.92</v>
      </c>
      <c r="BS11" s="346">
        <v>27.83</v>
      </c>
      <c r="BT11" s="346">
        <v>-113.87</v>
      </c>
      <c r="BU11" s="346">
        <v>-233.27</v>
      </c>
      <c r="BV11" s="346">
        <v>-147.34</v>
      </c>
      <c r="BW11" s="346">
        <v>144.85</v>
      </c>
      <c r="BX11" s="346">
        <v>3.7</v>
      </c>
      <c r="BY11" s="346">
        <v>-12.42</v>
      </c>
      <c r="BZ11" s="346">
        <v>213.3</v>
      </c>
      <c r="CA11" s="346">
        <v>69.83</v>
      </c>
      <c r="CB11" s="346">
        <v>25.15</v>
      </c>
      <c r="CC11" s="346">
        <v>-94.61</v>
      </c>
      <c r="CD11" s="346">
        <v>-151.88999999999999</v>
      </c>
      <c r="CE11" s="346">
        <v>-184.24</v>
      </c>
      <c r="CF11" s="346">
        <v>29.43</v>
      </c>
      <c r="CG11" s="346">
        <v>49.67</v>
      </c>
      <c r="CH11" s="346">
        <v>97.61</v>
      </c>
      <c r="CI11" s="346">
        <v>72.72</v>
      </c>
      <c r="CJ11" s="346">
        <v>96.19</v>
      </c>
      <c r="CK11" s="346">
        <v>100</v>
      </c>
      <c r="CL11" s="346">
        <v>84.7</v>
      </c>
      <c r="CM11" s="346">
        <v>66.52</v>
      </c>
      <c r="CN11" s="346">
        <v>82.84</v>
      </c>
      <c r="CO11" s="346">
        <v>4.0599999999999996</v>
      </c>
      <c r="CP11" s="346">
        <v>-0.02</v>
      </c>
      <c r="CQ11" s="346">
        <v>29286.02</v>
      </c>
      <c r="CR11" s="346">
        <v>15.7</v>
      </c>
      <c r="CS11" s="346">
        <v>17.850000000000001</v>
      </c>
      <c r="CT11" s="346">
        <v>149.07</v>
      </c>
      <c r="CU11" s="346">
        <v>70.959999999999994</v>
      </c>
      <c r="CV11" s="346">
        <v>5.09</v>
      </c>
      <c r="CW11" s="346">
        <v>581738619.63999999</v>
      </c>
    </row>
    <row r="12" spans="1:101" x14ac:dyDescent="0.25">
      <c r="A12" s="346" t="str">
        <f>VLOOKUP(B12,'Loan Book Summary'!C:G,5,FALSE)</f>
        <v>0015800000z8vOY</v>
      </c>
      <c r="B12" s="346">
        <v>1100000248</v>
      </c>
      <c r="C12" s="346" t="s">
        <v>5383</v>
      </c>
      <c r="D12" s="346" t="s">
        <v>1889</v>
      </c>
      <c r="E12" s="346">
        <v>2022</v>
      </c>
      <c r="F12" s="346">
        <v>6</v>
      </c>
      <c r="G12" s="346">
        <v>1123.901261</v>
      </c>
      <c r="H12" s="346">
        <v>3461.6129999999998</v>
      </c>
      <c r="I12" s="346">
        <v>3461.6129999999998</v>
      </c>
      <c r="J12" s="346">
        <v>135418.03959999999</v>
      </c>
      <c r="K12" s="346">
        <v>134340.3456</v>
      </c>
      <c r="L12" s="346">
        <v>-4450.3068249999997</v>
      </c>
      <c r="M12" s="346" t="s">
        <v>1889</v>
      </c>
      <c r="N12" s="346">
        <v>-1658.668075</v>
      </c>
      <c r="O12" s="346">
        <v>1141.331925</v>
      </c>
      <c r="P12" s="346">
        <v>142125.77489999999</v>
      </c>
      <c r="Q12" s="346">
        <v>33592.903250000003</v>
      </c>
      <c r="R12" s="346">
        <v>30306.270240000002</v>
      </c>
      <c r="S12" s="346">
        <v>13164.223760000001</v>
      </c>
      <c r="T12" s="346">
        <v>10438.47653</v>
      </c>
      <c r="U12" s="346">
        <v>-8640.3795809999992</v>
      </c>
      <c r="V12" s="346">
        <v>-19078.856110000001</v>
      </c>
      <c r="W12" s="346">
        <v>-16869.346799999999</v>
      </c>
      <c r="X12" s="346" t="s">
        <v>101</v>
      </c>
      <c r="Y12" s="346">
        <v>56302</v>
      </c>
      <c r="Z12" s="346">
        <v>5</v>
      </c>
      <c r="AA12" s="346" t="s">
        <v>996</v>
      </c>
      <c r="AB12" s="346" t="s">
        <v>104</v>
      </c>
      <c r="AC12" s="346" t="s">
        <v>110</v>
      </c>
      <c r="AD12" s="347">
        <v>0.65469999999999995</v>
      </c>
      <c r="AE12" s="347">
        <v>0.43509999999999999</v>
      </c>
      <c r="AF12" s="346">
        <v>1.85</v>
      </c>
      <c r="AG12" s="346">
        <v>2.93</v>
      </c>
      <c r="AH12" s="346">
        <v>3.82</v>
      </c>
      <c r="AI12" s="346">
        <v>4.6100000000000003</v>
      </c>
      <c r="AJ12" s="346">
        <v>5.33</v>
      </c>
      <c r="AK12" s="347">
        <v>1.8499999999999999E-2</v>
      </c>
      <c r="AL12" s="347">
        <v>1.09E-2</v>
      </c>
      <c r="AM12" s="347">
        <v>9.1999999999999998E-3</v>
      </c>
      <c r="AN12" s="347">
        <v>8.2000000000000007E-3</v>
      </c>
      <c r="AO12" s="347">
        <v>7.4999999999999997E-3</v>
      </c>
      <c r="AP12" s="347">
        <v>1.8499999999999999E-2</v>
      </c>
      <c r="AQ12" s="347">
        <v>1.47E-2</v>
      </c>
      <c r="AR12" s="347">
        <v>1.29E-2</v>
      </c>
      <c r="AS12" s="347">
        <v>1.17E-2</v>
      </c>
      <c r="AT12" s="347">
        <v>1.09E-2</v>
      </c>
      <c r="AU12" s="347">
        <v>5.33E-2</v>
      </c>
      <c r="AV12" s="346">
        <v>-16.54</v>
      </c>
      <c r="AW12" s="346">
        <v>-1.87</v>
      </c>
      <c r="AX12" s="346">
        <v>16.96</v>
      </c>
      <c r="AY12" s="346">
        <v>-3.07</v>
      </c>
      <c r="AZ12" s="346">
        <v>-4.17</v>
      </c>
      <c r="BA12" s="346">
        <v>27.37</v>
      </c>
      <c r="BB12" s="346" t="s">
        <v>1889</v>
      </c>
      <c r="BC12" s="346">
        <v>14.78</v>
      </c>
      <c r="BD12" s="346">
        <v>-15.23</v>
      </c>
      <c r="BE12" s="346">
        <v>-18.75</v>
      </c>
      <c r="BF12" s="346">
        <v>-1.26</v>
      </c>
      <c r="BG12" s="346">
        <v>10.57</v>
      </c>
      <c r="BH12" s="346">
        <v>-7.01</v>
      </c>
      <c r="BI12" s="346">
        <v>-3.28</v>
      </c>
      <c r="BJ12" s="346">
        <v>25.8</v>
      </c>
      <c r="BK12" s="346" t="s">
        <v>1889</v>
      </c>
      <c r="BL12" s="346">
        <v>11.09</v>
      </c>
      <c r="BM12" s="346">
        <v>-22.24</v>
      </c>
      <c r="BN12" s="346">
        <v>223.47</v>
      </c>
      <c r="BO12" s="346">
        <v>-35.270000000000003</v>
      </c>
      <c r="BP12" s="346">
        <v>-324.3</v>
      </c>
      <c r="BQ12" s="346">
        <v>28.52</v>
      </c>
      <c r="BR12" s="346">
        <v>-72.78</v>
      </c>
      <c r="BS12" s="346">
        <v>109.98</v>
      </c>
      <c r="BT12" s="346">
        <v>0</v>
      </c>
      <c r="BU12" s="346">
        <v>-0.22</v>
      </c>
      <c r="BV12" s="346">
        <v>-5.47</v>
      </c>
      <c r="BW12" s="346">
        <v>291.37</v>
      </c>
      <c r="BX12" s="346">
        <v>-26.22</v>
      </c>
      <c r="BY12" s="346">
        <v>-225.88</v>
      </c>
      <c r="BZ12" s="346">
        <v>71.180000000000007</v>
      </c>
      <c r="CA12" s="346">
        <v>-62.61</v>
      </c>
      <c r="CB12" s="346">
        <v>113.48</v>
      </c>
      <c r="CC12" s="346">
        <v>0</v>
      </c>
      <c r="CD12" s="346">
        <v>-0.19</v>
      </c>
      <c r="CE12" s="346">
        <v>-9.07</v>
      </c>
      <c r="CF12" s="346">
        <v>2</v>
      </c>
      <c r="CG12" s="346">
        <v>34.75</v>
      </c>
      <c r="CH12" s="346">
        <v>19.059999999999999</v>
      </c>
      <c r="CI12" s="346">
        <v>64.64</v>
      </c>
      <c r="CJ12" s="346">
        <v>38.69</v>
      </c>
      <c r="CK12" s="346">
        <v>96.55</v>
      </c>
      <c r="CL12" s="346" t="s">
        <v>1889</v>
      </c>
      <c r="CM12" s="346">
        <v>4</v>
      </c>
      <c r="CN12" s="346">
        <v>98.53</v>
      </c>
      <c r="CO12" s="346">
        <v>-13.25</v>
      </c>
      <c r="CP12" s="346">
        <v>-1.1200000000000001</v>
      </c>
      <c r="CQ12" s="346">
        <v>43.34</v>
      </c>
      <c r="CR12" s="346">
        <v>10.84</v>
      </c>
      <c r="CS12" s="346">
        <v>-1.81</v>
      </c>
      <c r="CT12" s="346">
        <v>105.01</v>
      </c>
      <c r="CU12" s="346" t="s">
        <v>1889</v>
      </c>
      <c r="CV12" s="346">
        <v>-56.79</v>
      </c>
      <c r="CW12" s="346">
        <v>6839877007.0900002</v>
      </c>
    </row>
    <row r="13" spans="1:101" x14ac:dyDescent="0.25">
      <c r="A13" s="346" t="str">
        <f>VLOOKUP(B13,'Loan Book Summary'!C:G,5,FALSE)</f>
        <v>0018e000003Cg7J</v>
      </c>
      <c r="B13" s="346">
        <v>1100000277</v>
      </c>
      <c r="C13" s="346" t="s">
        <v>5384</v>
      </c>
      <c r="D13" s="346" t="s">
        <v>1889</v>
      </c>
      <c r="E13" s="346">
        <v>2022</v>
      </c>
      <c r="F13" s="346">
        <v>6</v>
      </c>
      <c r="G13" s="346">
        <v>50</v>
      </c>
      <c r="H13" s="346" t="s">
        <v>1889</v>
      </c>
      <c r="I13" s="346" t="s">
        <v>1889</v>
      </c>
      <c r="J13" s="346">
        <v>37608.504130000001</v>
      </c>
      <c r="K13" s="346">
        <v>38608.918290000001</v>
      </c>
      <c r="L13" s="346" t="s">
        <v>1889</v>
      </c>
      <c r="M13" s="346" t="s">
        <v>1889</v>
      </c>
      <c r="N13" s="346">
        <v>0</v>
      </c>
      <c r="O13" s="346" t="s">
        <v>1889</v>
      </c>
      <c r="P13" s="346">
        <v>26473.913919999999</v>
      </c>
      <c r="Q13" s="346">
        <v>15635.339400000001</v>
      </c>
      <c r="R13" s="346">
        <v>13653.960160000001</v>
      </c>
      <c r="S13" s="346">
        <v>1156.7675489999999</v>
      </c>
      <c r="T13" s="346">
        <v>2094.9324919999999</v>
      </c>
      <c r="U13" s="346">
        <v>-749.89361589999999</v>
      </c>
      <c r="V13" s="346">
        <v>-2844.8261069999999</v>
      </c>
      <c r="W13" s="346">
        <v>-3492.585231</v>
      </c>
      <c r="X13" s="346" t="s">
        <v>101</v>
      </c>
      <c r="Y13" s="346">
        <v>56302</v>
      </c>
      <c r="Z13" s="346">
        <v>5</v>
      </c>
      <c r="AA13" s="346" t="s">
        <v>996</v>
      </c>
      <c r="AB13" s="346" t="s">
        <v>105</v>
      </c>
      <c r="AC13" s="346" t="s">
        <v>110</v>
      </c>
      <c r="AD13" s="347">
        <v>0.62070000000000003</v>
      </c>
      <c r="AE13" s="347">
        <v>0.44369999999999998</v>
      </c>
      <c r="AF13" s="346">
        <v>1.64</v>
      </c>
      <c r="AG13" s="346">
        <v>2.75</v>
      </c>
      <c r="AH13" s="346">
        <v>3.72</v>
      </c>
      <c r="AI13" s="346">
        <v>4.6100000000000003</v>
      </c>
      <c r="AJ13" s="346">
        <v>5.43</v>
      </c>
      <c r="AK13" s="347">
        <v>1.6400000000000001E-2</v>
      </c>
      <c r="AL13" s="347">
        <v>1.1299999999999999E-2</v>
      </c>
      <c r="AM13" s="347">
        <v>0.01</v>
      </c>
      <c r="AN13" s="347">
        <v>9.1999999999999998E-3</v>
      </c>
      <c r="AO13" s="347">
        <v>8.6E-3</v>
      </c>
      <c r="AP13" s="347">
        <v>1.6400000000000001E-2</v>
      </c>
      <c r="AQ13" s="347">
        <v>1.3899999999999999E-2</v>
      </c>
      <c r="AR13" s="347">
        <v>1.26E-2</v>
      </c>
      <c r="AS13" s="347">
        <v>1.17E-2</v>
      </c>
      <c r="AT13" s="347">
        <v>1.11E-2</v>
      </c>
      <c r="AU13" s="347">
        <v>5.4300000000000001E-2</v>
      </c>
      <c r="AV13" s="346" t="s">
        <v>1889</v>
      </c>
      <c r="AW13" s="346" t="s">
        <v>1889</v>
      </c>
      <c r="AX13" s="346">
        <v>38.42</v>
      </c>
      <c r="AY13" s="346">
        <v>-5.08</v>
      </c>
      <c r="AZ13" s="346" t="s">
        <v>1889</v>
      </c>
      <c r="BA13" s="346">
        <v>0.42</v>
      </c>
      <c r="BB13" s="346" t="s">
        <v>1889</v>
      </c>
      <c r="BC13" s="346">
        <v>31.42</v>
      </c>
      <c r="BD13" s="346">
        <v>-24.65</v>
      </c>
      <c r="BE13" s="346" t="s">
        <v>1889</v>
      </c>
      <c r="BF13" s="346" t="s">
        <v>1889</v>
      </c>
      <c r="BG13" s="346">
        <v>25.07</v>
      </c>
      <c r="BH13" s="346">
        <v>-12.12</v>
      </c>
      <c r="BI13" s="346" t="s">
        <v>1889</v>
      </c>
      <c r="BJ13" s="346">
        <v>0.42</v>
      </c>
      <c r="BK13" s="346" t="s">
        <v>1889</v>
      </c>
      <c r="BL13" s="346">
        <v>24.69</v>
      </c>
      <c r="BM13" s="346">
        <v>-37.69</v>
      </c>
      <c r="BN13" s="346">
        <v>0</v>
      </c>
      <c r="BO13" s="346">
        <v>0</v>
      </c>
      <c r="BP13" s="346">
        <v>-326.52</v>
      </c>
      <c r="BQ13" s="346">
        <v>37.49</v>
      </c>
      <c r="BR13" s="346">
        <v>0</v>
      </c>
      <c r="BS13" s="346">
        <v>118.06</v>
      </c>
      <c r="BT13" s="346">
        <v>0</v>
      </c>
      <c r="BU13" s="346">
        <v>-0.56999999999999995</v>
      </c>
      <c r="BV13" s="346">
        <v>-17.350000000000001</v>
      </c>
      <c r="BW13" s="346">
        <v>0</v>
      </c>
      <c r="BX13" s="346">
        <v>0</v>
      </c>
      <c r="BY13" s="346">
        <v>-236.13</v>
      </c>
      <c r="BZ13" s="346">
        <v>101.92</v>
      </c>
      <c r="CA13" s="346">
        <v>0</v>
      </c>
      <c r="CB13" s="346">
        <v>130.55000000000001</v>
      </c>
      <c r="CC13" s="346">
        <v>0</v>
      </c>
      <c r="CD13" s="346">
        <v>-0.53</v>
      </c>
      <c r="CE13" s="346">
        <v>-30.87</v>
      </c>
      <c r="CF13" s="346" t="s">
        <v>1889</v>
      </c>
      <c r="CG13" s="346" t="s">
        <v>1889</v>
      </c>
      <c r="CH13" s="346">
        <v>17.97</v>
      </c>
      <c r="CI13" s="346">
        <v>70.95</v>
      </c>
      <c r="CJ13" s="346" t="s">
        <v>1889</v>
      </c>
      <c r="CK13" s="346">
        <v>61.05</v>
      </c>
      <c r="CL13" s="346" t="s">
        <v>1889</v>
      </c>
      <c r="CM13" s="346">
        <v>6.69</v>
      </c>
      <c r="CN13" s="346">
        <v>94.29</v>
      </c>
      <c r="CO13" s="346" t="s">
        <v>1889</v>
      </c>
      <c r="CP13" s="346" t="s">
        <v>1889</v>
      </c>
      <c r="CQ13" s="346">
        <v>19.420000000000002</v>
      </c>
      <c r="CR13" s="346">
        <v>14.51</v>
      </c>
      <c r="CS13" s="346" t="s">
        <v>1889</v>
      </c>
      <c r="CT13" s="346">
        <v>70.39</v>
      </c>
      <c r="CU13" s="346" t="s">
        <v>1889</v>
      </c>
      <c r="CV13" s="346">
        <v>-18.190000000000001</v>
      </c>
      <c r="CW13" s="346">
        <v>1923136597.74</v>
      </c>
    </row>
    <row r="14" spans="1:101" x14ac:dyDescent="0.25">
      <c r="A14" s="346" t="str">
        <f>VLOOKUP(B14,'Loan Book Summary'!C:G,5,FALSE)</f>
        <v>0015800000WRe2v</v>
      </c>
      <c r="B14" s="346">
        <v>1100000271</v>
      </c>
      <c r="C14" s="346" t="s">
        <v>5385</v>
      </c>
      <c r="D14" s="346" t="s">
        <v>1889</v>
      </c>
      <c r="E14" s="346">
        <v>2022</v>
      </c>
      <c r="F14" s="346">
        <v>6</v>
      </c>
      <c r="G14" s="346">
        <v>9890.3571410000004</v>
      </c>
      <c r="H14" s="346">
        <v>237.75632999999999</v>
      </c>
      <c r="I14" s="346">
        <v>237.75632999999999</v>
      </c>
      <c r="J14" s="346">
        <v>15330.89075</v>
      </c>
      <c r="K14" s="346">
        <v>17902.831330000001</v>
      </c>
      <c r="L14" s="346">
        <v>980.11392000000001</v>
      </c>
      <c r="M14" s="346" t="s">
        <v>1889</v>
      </c>
      <c r="N14" s="346">
        <v>14249.808849999999</v>
      </c>
      <c r="O14" s="346">
        <v>15373.808849999999</v>
      </c>
      <c r="P14" s="346">
        <v>15000</v>
      </c>
      <c r="Q14" s="346">
        <v>56665.262860000003</v>
      </c>
      <c r="R14" s="346">
        <v>52252.509310000001</v>
      </c>
      <c r="S14" s="346">
        <v>2484.2537929999999</v>
      </c>
      <c r="T14" s="346">
        <v>622.34922329999995</v>
      </c>
      <c r="U14" s="346">
        <v>-1309.44058</v>
      </c>
      <c r="V14" s="346">
        <v>-1979.3734509999999</v>
      </c>
      <c r="W14" s="346">
        <v>-246.49943569999999</v>
      </c>
      <c r="X14" s="346" t="s">
        <v>101</v>
      </c>
      <c r="Y14" s="346">
        <v>56101</v>
      </c>
      <c r="Z14" s="346">
        <v>5</v>
      </c>
      <c r="AA14" s="346" t="s">
        <v>996</v>
      </c>
      <c r="AB14" s="346" t="s">
        <v>105</v>
      </c>
      <c r="AC14" s="346" t="s">
        <v>110</v>
      </c>
      <c r="AD14" s="347">
        <v>0.59009999999999996</v>
      </c>
      <c r="AE14" s="347">
        <v>0.41570000000000001</v>
      </c>
      <c r="AF14" s="346">
        <v>1.49</v>
      </c>
      <c r="AG14" s="346">
        <v>2.54</v>
      </c>
      <c r="AH14" s="346">
        <v>3.46</v>
      </c>
      <c r="AI14" s="346">
        <v>4.3</v>
      </c>
      <c r="AJ14" s="346">
        <v>5.0999999999999996</v>
      </c>
      <c r="AK14" s="347">
        <v>1.49E-2</v>
      </c>
      <c r="AL14" s="347">
        <v>1.06E-2</v>
      </c>
      <c r="AM14" s="347">
        <v>9.4999999999999998E-3</v>
      </c>
      <c r="AN14" s="347">
        <v>8.8000000000000005E-3</v>
      </c>
      <c r="AO14" s="347">
        <v>8.3000000000000001E-3</v>
      </c>
      <c r="AP14" s="347">
        <v>1.49E-2</v>
      </c>
      <c r="AQ14" s="347">
        <v>1.2800000000000001E-2</v>
      </c>
      <c r="AR14" s="347">
        <v>1.17E-2</v>
      </c>
      <c r="AS14" s="347">
        <v>1.09E-2</v>
      </c>
      <c r="AT14" s="347">
        <v>1.04E-2</v>
      </c>
      <c r="AU14" s="347">
        <v>5.0999999999999997E-2</v>
      </c>
      <c r="AV14" s="346">
        <v>-10.31</v>
      </c>
      <c r="AW14" s="346">
        <v>-3.53</v>
      </c>
      <c r="AX14" s="346">
        <v>13.28</v>
      </c>
      <c r="AY14" s="346">
        <v>-3.86</v>
      </c>
      <c r="AZ14" s="346">
        <v>2.54</v>
      </c>
      <c r="BA14" s="346">
        <v>25.73</v>
      </c>
      <c r="BB14" s="346">
        <v>-16.64</v>
      </c>
      <c r="BC14" s="346">
        <v>13.68</v>
      </c>
      <c r="BD14" s="346">
        <v>-10.43</v>
      </c>
      <c r="BE14" s="346">
        <v>-11.9</v>
      </c>
      <c r="BF14" s="346">
        <v>-2.4300000000000002</v>
      </c>
      <c r="BG14" s="346">
        <v>8.43</v>
      </c>
      <c r="BH14" s="346">
        <v>-8.9499999999999993</v>
      </c>
      <c r="BI14" s="346">
        <v>2.04</v>
      </c>
      <c r="BJ14" s="346">
        <v>24.71</v>
      </c>
      <c r="BK14" s="346">
        <v>-15.57</v>
      </c>
      <c r="BL14" s="346">
        <v>10.46</v>
      </c>
      <c r="BM14" s="346">
        <v>-15.51</v>
      </c>
      <c r="BN14" s="346">
        <v>162.28</v>
      </c>
      <c r="BO14" s="346">
        <v>2.5</v>
      </c>
      <c r="BP14" s="346">
        <v>-390.63</v>
      </c>
      <c r="BQ14" s="346">
        <v>14.91</v>
      </c>
      <c r="BR14" s="346">
        <v>-82.88</v>
      </c>
      <c r="BS14" s="346">
        <v>139.49</v>
      </c>
      <c r="BT14" s="346">
        <v>-49.96</v>
      </c>
      <c r="BU14" s="346">
        <v>-27.08</v>
      </c>
      <c r="BV14" s="346">
        <v>-30.26</v>
      </c>
      <c r="BW14" s="346">
        <v>216.47</v>
      </c>
      <c r="BX14" s="346">
        <v>2.08</v>
      </c>
      <c r="BY14" s="346">
        <v>-275.54000000000002</v>
      </c>
      <c r="BZ14" s="346">
        <v>40.67</v>
      </c>
      <c r="CA14" s="346">
        <v>-78.03</v>
      </c>
      <c r="CB14" s="346">
        <v>155.81</v>
      </c>
      <c r="CC14" s="346">
        <v>-54.67</v>
      </c>
      <c r="CD14" s="346">
        <v>-24.14</v>
      </c>
      <c r="CE14" s="346">
        <v>-52.58</v>
      </c>
      <c r="CF14" s="346">
        <v>15.66</v>
      </c>
      <c r="CG14" s="346">
        <v>49.42</v>
      </c>
      <c r="CH14" s="346">
        <v>28.78</v>
      </c>
      <c r="CI14" s="346">
        <v>59.64</v>
      </c>
      <c r="CJ14" s="346">
        <v>21.84</v>
      </c>
      <c r="CK14" s="346">
        <v>93.94</v>
      </c>
      <c r="CL14" s="346">
        <v>84.34</v>
      </c>
      <c r="CM14" s="346">
        <v>14.67</v>
      </c>
      <c r="CN14" s="346">
        <v>92.72</v>
      </c>
      <c r="CO14" s="346">
        <v>1.73</v>
      </c>
      <c r="CP14" s="346">
        <v>-0.04</v>
      </c>
      <c r="CQ14" s="346">
        <v>188.77</v>
      </c>
      <c r="CR14" s="346">
        <v>8.4499999999999993</v>
      </c>
      <c r="CS14" s="346">
        <v>-5.95</v>
      </c>
      <c r="CT14" s="346">
        <v>98.88</v>
      </c>
      <c r="CU14" s="346">
        <v>69.41</v>
      </c>
      <c r="CV14" s="346">
        <v>-3.49</v>
      </c>
      <c r="CW14" s="346">
        <v>1512629318.9100001</v>
      </c>
    </row>
    <row r="15" spans="1:101" x14ac:dyDescent="0.25">
      <c r="A15" s="346" t="str">
        <f>VLOOKUP(B15,'Loan Book Summary'!C:G,5,FALSE)</f>
        <v>0018e000003CbBk</v>
      </c>
      <c r="B15" s="346">
        <v>1100000275</v>
      </c>
      <c r="C15" s="346" t="s">
        <v>5386</v>
      </c>
      <c r="D15" s="346" t="s">
        <v>1889</v>
      </c>
      <c r="E15" s="346">
        <v>2022</v>
      </c>
      <c r="F15" s="346">
        <v>6</v>
      </c>
      <c r="G15" s="346">
        <v>9890.3571410000004</v>
      </c>
      <c r="H15" s="346">
        <v>237.75632999999999</v>
      </c>
      <c r="I15" s="346">
        <v>237.75632999999999</v>
      </c>
      <c r="J15" s="346">
        <v>15330.89075</v>
      </c>
      <c r="K15" s="346">
        <v>17902.831330000001</v>
      </c>
      <c r="L15" s="346">
        <v>980.11392000000001</v>
      </c>
      <c r="M15" s="346" t="s">
        <v>1889</v>
      </c>
      <c r="N15" s="346">
        <v>14249.808849999999</v>
      </c>
      <c r="O15" s="346">
        <v>15373.808849999999</v>
      </c>
      <c r="P15" s="346">
        <v>15000</v>
      </c>
      <c r="Q15" s="346">
        <v>56665.262860000003</v>
      </c>
      <c r="R15" s="346">
        <v>52252.509310000001</v>
      </c>
      <c r="S15" s="346">
        <v>2484.2537929999999</v>
      </c>
      <c r="T15" s="346">
        <v>622.34922329999995</v>
      </c>
      <c r="U15" s="346">
        <v>-1309.44058</v>
      </c>
      <c r="V15" s="346">
        <v>-1979.3734509999999</v>
      </c>
      <c r="W15" s="346">
        <v>-246.49943569999999</v>
      </c>
      <c r="X15" s="346" t="s">
        <v>101</v>
      </c>
      <c r="Y15" s="346">
        <v>56101</v>
      </c>
      <c r="Z15" s="346">
        <v>5</v>
      </c>
      <c r="AA15" s="346" t="s">
        <v>996</v>
      </c>
      <c r="AB15" s="346" t="s">
        <v>105</v>
      </c>
      <c r="AC15" s="346" t="s">
        <v>110</v>
      </c>
      <c r="AD15" s="347">
        <v>0.59009999999999996</v>
      </c>
      <c r="AE15" s="347">
        <v>0.41570000000000001</v>
      </c>
      <c r="AF15" s="346">
        <v>1.49</v>
      </c>
      <c r="AG15" s="346">
        <v>2.54</v>
      </c>
      <c r="AH15" s="346">
        <v>3.46</v>
      </c>
      <c r="AI15" s="346">
        <v>4.3</v>
      </c>
      <c r="AJ15" s="346">
        <v>5.0999999999999996</v>
      </c>
      <c r="AK15" s="347">
        <v>1.49E-2</v>
      </c>
      <c r="AL15" s="347">
        <v>1.06E-2</v>
      </c>
      <c r="AM15" s="347">
        <v>9.4999999999999998E-3</v>
      </c>
      <c r="AN15" s="347">
        <v>8.8000000000000005E-3</v>
      </c>
      <c r="AO15" s="347">
        <v>8.3000000000000001E-3</v>
      </c>
      <c r="AP15" s="347">
        <v>1.49E-2</v>
      </c>
      <c r="AQ15" s="347">
        <v>1.2800000000000001E-2</v>
      </c>
      <c r="AR15" s="347">
        <v>1.17E-2</v>
      </c>
      <c r="AS15" s="347">
        <v>1.09E-2</v>
      </c>
      <c r="AT15" s="347">
        <v>1.04E-2</v>
      </c>
      <c r="AU15" s="347">
        <v>5.0999999999999997E-2</v>
      </c>
      <c r="AV15" s="346">
        <v>-10.31</v>
      </c>
      <c r="AW15" s="346">
        <v>-3.53</v>
      </c>
      <c r="AX15" s="346">
        <v>13.28</v>
      </c>
      <c r="AY15" s="346">
        <v>-3.86</v>
      </c>
      <c r="AZ15" s="346">
        <v>2.54</v>
      </c>
      <c r="BA15" s="346">
        <v>25.73</v>
      </c>
      <c r="BB15" s="346">
        <v>-16.64</v>
      </c>
      <c r="BC15" s="346">
        <v>13.68</v>
      </c>
      <c r="BD15" s="346">
        <v>-10.43</v>
      </c>
      <c r="BE15" s="346">
        <v>-11.9</v>
      </c>
      <c r="BF15" s="346">
        <v>-2.4300000000000002</v>
      </c>
      <c r="BG15" s="346">
        <v>8.43</v>
      </c>
      <c r="BH15" s="346">
        <v>-8.9499999999999993</v>
      </c>
      <c r="BI15" s="346">
        <v>2.04</v>
      </c>
      <c r="BJ15" s="346">
        <v>24.71</v>
      </c>
      <c r="BK15" s="346">
        <v>-15.57</v>
      </c>
      <c r="BL15" s="346">
        <v>10.46</v>
      </c>
      <c r="BM15" s="346">
        <v>-15.51</v>
      </c>
      <c r="BN15" s="346">
        <v>162.28</v>
      </c>
      <c r="BO15" s="346">
        <v>2.5</v>
      </c>
      <c r="BP15" s="346">
        <v>-390.63</v>
      </c>
      <c r="BQ15" s="346">
        <v>14.91</v>
      </c>
      <c r="BR15" s="346">
        <v>-82.88</v>
      </c>
      <c r="BS15" s="346">
        <v>139.49</v>
      </c>
      <c r="BT15" s="346">
        <v>-49.96</v>
      </c>
      <c r="BU15" s="346">
        <v>-27.08</v>
      </c>
      <c r="BV15" s="346">
        <v>-30.26</v>
      </c>
      <c r="BW15" s="346">
        <v>216.47</v>
      </c>
      <c r="BX15" s="346">
        <v>2.08</v>
      </c>
      <c r="BY15" s="346">
        <v>-275.54000000000002</v>
      </c>
      <c r="BZ15" s="346">
        <v>40.67</v>
      </c>
      <c r="CA15" s="346">
        <v>-78.03</v>
      </c>
      <c r="CB15" s="346">
        <v>155.81</v>
      </c>
      <c r="CC15" s="346">
        <v>-54.67</v>
      </c>
      <c r="CD15" s="346">
        <v>-24.14</v>
      </c>
      <c r="CE15" s="346">
        <v>-52.58</v>
      </c>
      <c r="CF15" s="346">
        <v>15.66</v>
      </c>
      <c r="CG15" s="346">
        <v>49.42</v>
      </c>
      <c r="CH15" s="346">
        <v>28.78</v>
      </c>
      <c r="CI15" s="346">
        <v>59.64</v>
      </c>
      <c r="CJ15" s="346">
        <v>21.84</v>
      </c>
      <c r="CK15" s="346">
        <v>93.94</v>
      </c>
      <c r="CL15" s="346">
        <v>84.34</v>
      </c>
      <c r="CM15" s="346">
        <v>14.67</v>
      </c>
      <c r="CN15" s="346">
        <v>92.72</v>
      </c>
      <c r="CO15" s="346">
        <v>1.73</v>
      </c>
      <c r="CP15" s="346">
        <v>-0.04</v>
      </c>
      <c r="CQ15" s="346">
        <v>188.77</v>
      </c>
      <c r="CR15" s="346">
        <v>8.4499999999999993</v>
      </c>
      <c r="CS15" s="346">
        <v>-5.95</v>
      </c>
      <c r="CT15" s="346">
        <v>98.88</v>
      </c>
      <c r="CU15" s="346">
        <v>69.41</v>
      </c>
      <c r="CV15" s="346">
        <v>-3.49</v>
      </c>
      <c r="CW15" s="346">
        <v>1512629318.9100001</v>
      </c>
    </row>
    <row r="16" spans="1:101" x14ac:dyDescent="0.25">
      <c r="A16" s="346" t="str">
        <f>VLOOKUP(B16,'Loan Book Summary'!C:G,5,FALSE)</f>
        <v>00158000010bEcS</v>
      </c>
      <c r="B16" s="346">
        <v>1200000125</v>
      </c>
      <c r="C16" s="346" t="s">
        <v>5387</v>
      </c>
      <c r="D16" s="346" t="s">
        <v>1889</v>
      </c>
      <c r="E16" s="346">
        <v>2022</v>
      </c>
      <c r="F16" s="346">
        <v>6</v>
      </c>
      <c r="G16" s="346">
        <v>2651.8625299999999</v>
      </c>
      <c r="H16" s="346">
        <v>40.383870000000002</v>
      </c>
      <c r="I16" s="346">
        <v>40.383870000000002</v>
      </c>
      <c r="J16" s="346">
        <v>6431.8999690000001</v>
      </c>
      <c r="K16" s="346">
        <v>7248.1392779999996</v>
      </c>
      <c r="L16" s="346">
        <v>184.95749570000001</v>
      </c>
      <c r="M16" s="346" t="s">
        <v>1889</v>
      </c>
      <c r="N16" s="346">
        <v>1981.4841759999999</v>
      </c>
      <c r="O16" s="346">
        <v>2048.150842</v>
      </c>
      <c r="P16" s="346">
        <v>4150.6435099999999</v>
      </c>
      <c r="Q16" s="346">
        <v>9280.7954649999992</v>
      </c>
      <c r="R16" s="346">
        <v>9303.3671830000003</v>
      </c>
      <c r="S16" s="346">
        <v>542.40622359999998</v>
      </c>
      <c r="T16" s="346">
        <v>127.71273789999999</v>
      </c>
      <c r="U16" s="346">
        <v>-59.415407539999997</v>
      </c>
      <c r="V16" s="346">
        <v>-216.73250419999999</v>
      </c>
      <c r="W16" s="346">
        <v>-339.94672109999999</v>
      </c>
      <c r="X16" s="346" t="s">
        <v>101</v>
      </c>
      <c r="Y16" s="346">
        <v>56101</v>
      </c>
      <c r="Z16" s="346">
        <v>5</v>
      </c>
      <c r="AA16" s="346" t="s">
        <v>996</v>
      </c>
      <c r="AB16" s="346" t="s">
        <v>114</v>
      </c>
      <c r="AC16" s="346" t="s">
        <v>115</v>
      </c>
      <c r="AD16" s="347">
        <v>0.30080000000000001</v>
      </c>
      <c r="AE16" s="347">
        <v>0.2152</v>
      </c>
      <c r="AF16" s="346">
        <v>0.57999999999999996</v>
      </c>
      <c r="AG16" s="346">
        <v>1.1599999999999999</v>
      </c>
      <c r="AH16" s="346">
        <v>1.74</v>
      </c>
      <c r="AI16" s="346">
        <v>2.3199999999999998</v>
      </c>
      <c r="AJ16" s="346">
        <v>2.89</v>
      </c>
      <c r="AK16" s="347">
        <v>5.7999999999999996E-3</v>
      </c>
      <c r="AL16" s="347">
        <v>5.8999999999999999E-3</v>
      </c>
      <c r="AM16" s="347">
        <v>5.8999999999999999E-3</v>
      </c>
      <c r="AN16" s="347">
        <v>5.8999999999999999E-3</v>
      </c>
      <c r="AO16" s="347">
        <v>5.8999999999999999E-3</v>
      </c>
      <c r="AP16" s="347">
        <v>5.7999999999999996E-3</v>
      </c>
      <c r="AQ16" s="347">
        <v>5.7999999999999996E-3</v>
      </c>
      <c r="AR16" s="347">
        <v>5.7999999999999996E-3</v>
      </c>
      <c r="AS16" s="347">
        <v>5.8999999999999999E-3</v>
      </c>
      <c r="AT16" s="347">
        <v>5.8999999999999999E-3</v>
      </c>
      <c r="AU16" s="347">
        <v>2.8899999999999999E-2</v>
      </c>
      <c r="AV16" s="346">
        <v>-14.7</v>
      </c>
      <c r="AW16" s="346">
        <v>-5.2</v>
      </c>
      <c r="AX16" s="346">
        <v>7.24</v>
      </c>
      <c r="AY16" s="346">
        <v>-4.84</v>
      </c>
      <c r="AZ16" s="346">
        <v>-10.199999999999999</v>
      </c>
      <c r="BA16" s="346">
        <v>3.98</v>
      </c>
      <c r="BB16" s="346">
        <v>-29.79</v>
      </c>
      <c r="BC16" s="346">
        <v>19.670000000000002</v>
      </c>
      <c r="BD16" s="346">
        <v>-4.3899999999999997</v>
      </c>
      <c r="BE16" s="346">
        <v>-17.36</v>
      </c>
      <c r="BF16" s="346">
        <v>-3.66</v>
      </c>
      <c r="BG16" s="346">
        <v>4.7</v>
      </c>
      <c r="BH16" s="346">
        <v>-11.48</v>
      </c>
      <c r="BI16" s="346">
        <v>-8.35</v>
      </c>
      <c r="BJ16" s="346">
        <v>3.91</v>
      </c>
      <c r="BK16" s="346">
        <v>-28.5</v>
      </c>
      <c r="BL16" s="346">
        <v>15.37</v>
      </c>
      <c r="BM16" s="346">
        <v>-6.67</v>
      </c>
      <c r="BN16" s="346">
        <v>108.14</v>
      </c>
      <c r="BO16" s="346">
        <v>2.88</v>
      </c>
      <c r="BP16" s="346">
        <v>-412.17</v>
      </c>
      <c r="BQ16" s="346">
        <v>-50.23</v>
      </c>
      <c r="BR16" s="346">
        <v>4.71</v>
      </c>
      <c r="BS16" s="346">
        <v>179.29</v>
      </c>
      <c r="BT16" s="346">
        <v>-17.850000000000001</v>
      </c>
      <c r="BU16" s="346">
        <v>-58.15</v>
      </c>
      <c r="BV16" s="346">
        <v>-66.58</v>
      </c>
      <c r="BW16" s="346">
        <v>133.84</v>
      </c>
      <c r="BX16" s="346">
        <v>2.3199999999999998</v>
      </c>
      <c r="BY16" s="346">
        <v>-275.85000000000002</v>
      </c>
      <c r="BZ16" s="346">
        <v>-125.25</v>
      </c>
      <c r="CA16" s="346">
        <v>4.41</v>
      </c>
      <c r="CB16" s="346">
        <v>181.92</v>
      </c>
      <c r="CC16" s="346">
        <v>-19.34</v>
      </c>
      <c r="CD16" s="346">
        <v>-50.27</v>
      </c>
      <c r="CE16" s="346">
        <v>-106.8</v>
      </c>
      <c r="CF16" s="346">
        <v>17.149999999999999</v>
      </c>
      <c r="CG16" s="346">
        <v>54.04</v>
      </c>
      <c r="CH16" s="346">
        <v>41.78</v>
      </c>
      <c r="CI16" s="346">
        <v>37.68</v>
      </c>
      <c r="CJ16" s="346">
        <v>62.41</v>
      </c>
      <c r="CK16" s="346">
        <v>64.459999999999994</v>
      </c>
      <c r="CL16" s="346">
        <v>93.37</v>
      </c>
      <c r="CM16" s="346">
        <v>16.75</v>
      </c>
      <c r="CN16" s="346">
        <v>78.14</v>
      </c>
      <c r="CO16" s="346">
        <v>1.99</v>
      </c>
      <c r="CP16" s="346">
        <v>0</v>
      </c>
      <c r="CQ16" s="346">
        <v>378.19</v>
      </c>
      <c r="CR16" s="346">
        <v>-0.24</v>
      </c>
      <c r="CS16" s="346">
        <v>1.08</v>
      </c>
      <c r="CT16" s="346">
        <v>72.89</v>
      </c>
      <c r="CU16" s="346">
        <v>133.83000000000001</v>
      </c>
      <c r="CV16" s="346">
        <v>-2.34</v>
      </c>
      <c r="CW16" s="346">
        <v>430224156.32999998</v>
      </c>
    </row>
    <row r="17" spans="1:101" x14ac:dyDescent="0.25">
      <c r="A17" s="346" t="str">
        <f>VLOOKUP(B17,'Loan Book Summary'!C:G,5,FALSE)</f>
        <v>0015800000blLRK</v>
      </c>
      <c r="B17" s="346">
        <v>1100000141</v>
      </c>
      <c r="C17" s="346" t="s">
        <v>5388</v>
      </c>
      <c r="D17" s="346" t="s">
        <v>1889</v>
      </c>
      <c r="E17" s="346">
        <v>2022</v>
      </c>
      <c r="F17" s="346">
        <v>6</v>
      </c>
      <c r="G17" s="346">
        <v>464.80296390000001</v>
      </c>
      <c r="H17" s="346">
        <v>142.34899999999999</v>
      </c>
      <c r="I17" s="346">
        <v>142.34899999999999</v>
      </c>
      <c r="J17" s="346">
        <v>1129.8636739999999</v>
      </c>
      <c r="K17" s="346">
        <v>1076.195811</v>
      </c>
      <c r="L17" s="346">
        <v>348.60452249999997</v>
      </c>
      <c r="M17" s="346" t="s">
        <v>1889</v>
      </c>
      <c r="N17" s="346">
        <v>930.73852250000004</v>
      </c>
      <c r="O17" s="346">
        <v>930.73852250000004</v>
      </c>
      <c r="P17" s="346">
        <v>1388.5540000000001</v>
      </c>
      <c r="Q17" s="346">
        <v>5752.6966979999997</v>
      </c>
      <c r="R17" s="346">
        <v>4592.7195979999997</v>
      </c>
      <c r="S17" s="346">
        <v>60.48039696</v>
      </c>
      <c r="T17" s="346" t="s">
        <v>1889</v>
      </c>
      <c r="U17" s="346">
        <v>53.66786347</v>
      </c>
      <c r="V17" s="346">
        <v>41.964123440000002</v>
      </c>
      <c r="W17" s="346">
        <v>173.0290584</v>
      </c>
      <c r="X17" s="346" t="s">
        <v>101</v>
      </c>
      <c r="Y17" s="346">
        <v>56101</v>
      </c>
      <c r="Z17" s="346">
        <v>5</v>
      </c>
      <c r="AA17" s="346" t="s">
        <v>996</v>
      </c>
      <c r="AB17" s="346" t="s">
        <v>104</v>
      </c>
      <c r="AC17" s="346" t="s">
        <v>104</v>
      </c>
      <c r="AD17" s="347">
        <v>0.67789999999999995</v>
      </c>
      <c r="AE17" s="347">
        <v>0.65710000000000002</v>
      </c>
      <c r="AF17" s="346">
        <v>2.02</v>
      </c>
      <c r="AG17" s="346">
        <v>3.88</v>
      </c>
      <c r="AH17" s="346">
        <v>5.66</v>
      </c>
      <c r="AI17" s="346">
        <v>7.39</v>
      </c>
      <c r="AJ17" s="346">
        <v>9.06</v>
      </c>
      <c r="AK17" s="347">
        <v>2.0199999999999999E-2</v>
      </c>
      <c r="AL17" s="347">
        <v>1.9E-2</v>
      </c>
      <c r="AM17" s="347">
        <v>1.8599999999999998E-2</v>
      </c>
      <c r="AN17" s="347">
        <v>1.83E-2</v>
      </c>
      <c r="AO17" s="347">
        <v>1.8100000000000002E-2</v>
      </c>
      <c r="AP17" s="347">
        <v>2.0199999999999999E-2</v>
      </c>
      <c r="AQ17" s="347">
        <v>1.9599999999999999E-2</v>
      </c>
      <c r="AR17" s="347">
        <v>1.9199999999999998E-2</v>
      </c>
      <c r="AS17" s="347">
        <v>1.9E-2</v>
      </c>
      <c r="AT17" s="347">
        <v>1.8800000000000001E-2</v>
      </c>
      <c r="AU17" s="347">
        <v>9.06E-2</v>
      </c>
      <c r="AV17" s="346">
        <v>-7.24</v>
      </c>
      <c r="AW17" s="346">
        <v>-4.46</v>
      </c>
      <c r="AX17" s="346" t="s">
        <v>1889</v>
      </c>
      <c r="AY17" s="346">
        <v>1.24</v>
      </c>
      <c r="AZ17" s="346">
        <v>4.05</v>
      </c>
      <c r="BA17" s="346">
        <v>50.28</v>
      </c>
      <c r="BB17" s="346">
        <v>-21.95</v>
      </c>
      <c r="BC17" s="346">
        <v>9.4</v>
      </c>
      <c r="BD17" s="346">
        <v>-1.39</v>
      </c>
      <c r="BE17" s="346">
        <v>-8.75</v>
      </c>
      <c r="BF17" s="346">
        <v>-3.21</v>
      </c>
      <c r="BG17" s="346" t="s">
        <v>1889</v>
      </c>
      <c r="BH17" s="346">
        <v>3.01</v>
      </c>
      <c r="BI17" s="346">
        <v>3.39</v>
      </c>
      <c r="BJ17" s="346">
        <v>50.5</v>
      </c>
      <c r="BK17" s="346">
        <v>-21.47</v>
      </c>
      <c r="BL17" s="346">
        <v>7.51</v>
      </c>
      <c r="BM17" s="346">
        <v>-2.16</v>
      </c>
      <c r="BN17" s="346">
        <v>49.39</v>
      </c>
      <c r="BO17" s="346">
        <v>-14.52</v>
      </c>
      <c r="BP17" s="346">
        <v>0</v>
      </c>
      <c r="BQ17" s="346">
        <v>44.22</v>
      </c>
      <c r="BR17" s="346">
        <v>-62.17</v>
      </c>
      <c r="BS17" s="346">
        <v>27.18</v>
      </c>
      <c r="BT17" s="346">
        <v>-63.34</v>
      </c>
      <c r="BU17" s="346">
        <v>-145.09</v>
      </c>
      <c r="BV17" s="346">
        <v>-394.08</v>
      </c>
      <c r="BW17" s="346">
        <v>45.64</v>
      </c>
      <c r="BX17" s="346">
        <v>-7.98</v>
      </c>
      <c r="BY17" s="346">
        <v>0</v>
      </c>
      <c r="BZ17" s="346">
        <v>82.5</v>
      </c>
      <c r="CA17" s="346">
        <v>-39.86</v>
      </c>
      <c r="CB17" s="346">
        <v>20.9</v>
      </c>
      <c r="CC17" s="346">
        <v>-47.52</v>
      </c>
      <c r="CD17" s="346">
        <v>-90.26</v>
      </c>
      <c r="CE17" s="346">
        <v>-465.32</v>
      </c>
      <c r="CF17" s="346">
        <v>41.57</v>
      </c>
      <c r="CG17" s="346">
        <v>40.090000000000003</v>
      </c>
      <c r="CH17" s="346" t="s">
        <v>1889</v>
      </c>
      <c r="CI17" s="346">
        <v>82.86</v>
      </c>
      <c r="CJ17" s="346">
        <v>20.28</v>
      </c>
      <c r="CK17" s="346">
        <v>98.03</v>
      </c>
      <c r="CL17" s="346">
        <v>78.52</v>
      </c>
      <c r="CM17" s="346">
        <v>32.950000000000003</v>
      </c>
      <c r="CN17" s="346">
        <v>41.71</v>
      </c>
      <c r="CO17" s="346">
        <v>6.06</v>
      </c>
      <c r="CP17" s="346">
        <v>-0.62</v>
      </c>
      <c r="CQ17" s="346" t="s">
        <v>1889</v>
      </c>
      <c r="CR17" s="346">
        <v>25.26</v>
      </c>
      <c r="CS17" s="346">
        <v>-6.59</v>
      </c>
      <c r="CT17" s="346">
        <v>112.55</v>
      </c>
      <c r="CU17" s="346">
        <v>49.94</v>
      </c>
      <c r="CV17" s="346">
        <v>0.73</v>
      </c>
      <c r="CW17" s="346">
        <v>105370303.58</v>
      </c>
    </row>
    <row r="18" spans="1:101" x14ac:dyDescent="0.25">
      <c r="A18" s="346" t="str">
        <f>VLOOKUP(B18,'Loan Book Summary'!C:G,5,FALSE)</f>
        <v>0014I00001pussv</v>
      </c>
      <c r="B18" s="346">
        <v>1100000203</v>
      </c>
      <c r="C18" s="346" t="s">
        <v>5389</v>
      </c>
      <c r="D18" s="346" t="s">
        <v>1889</v>
      </c>
      <c r="E18" s="346">
        <v>2022</v>
      </c>
      <c r="F18" s="346">
        <v>6</v>
      </c>
      <c r="G18" s="346">
        <v>523.69509879999998</v>
      </c>
      <c r="H18" s="346">
        <v>47.357419999999998</v>
      </c>
      <c r="I18" s="346">
        <v>47.357419999999998</v>
      </c>
      <c r="J18" s="346">
        <v>2813.3702130000001</v>
      </c>
      <c r="K18" s="346">
        <v>2639.2750099999998</v>
      </c>
      <c r="L18" s="346">
        <v>74.925087210000001</v>
      </c>
      <c r="M18" s="346" t="s">
        <v>1889</v>
      </c>
      <c r="N18" s="346">
        <v>419.76313720000002</v>
      </c>
      <c r="O18" s="346">
        <v>421.50301789999997</v>
      </c>
      <c r="P18" s="346">
        <v>895.19547</v>
      </c>
      <c r="Q18" s="346">
        <v>2384.631132</v>
      </c>
      <c r="R18" s="346">
        <v>2320.205222</v>
      </c>
      <c r="S18" s="346">
        <v>97.008538810000005</v>
      </c>
      <c r="T18" s="346">
        <v>49.190636300000001</v>
      </c>
      <c r="U18" s="346">
        <v>311.53683690000003</v>
      </c>
      <c r="V18" s="346">
        <v>209.8769605</v>
      </c>
      <c r="W18" s="346">
        <v>199.6781584</v>
      </c>
      <c r="X18" s="346" t="s">
        <v>101</v>
      </c>
      <c r="Y18" s="346">
        <v>56102</v>
      </c>
      <c r="Z18" s="346">
        <v>5</v>
      </c>
      <c r="AA18" s="346" t="s">
        <v>996</v>
      </c>
      <c r="AB18" s="346" t="s">
        <v>172</v>
      </c>
      <c r="AC18" s="346" t="s">
        <v>226</v>
      </c>
      <c r="AD18" s="347">
        <v>4.9200000000000001E-2</v>
      </c>
      <c r="AE18" s="347">
        <v>3.8699999999999998E-2</v>
      </c>
      <c r="AF18" s="346">
        <v>0.18</v>
      </c>
      <c r="AG18" s="346">
        <v>0.4</v>
      </c>
      <c r="AH18" s="346">
        <v>0.64</v>
      </c>
      <c r="AI18" s="346">
        <v>0.9</v>
      </c>
      <c r="AJ18" s="346">
        <v>1.17</v>
      </c>
      <c r="AK18" s="347">
        <v>1.8E-3</v>
      </c>
      <c r="AL18" s="347">
        <v>2.2000000000000001E-3</v>
      </c>
      <c r="AM18" s="347">
        <v>2.3999999999999998E-3</v>
      </c>
      <c r="AN18" s="347">
        <v>2.5999999999999999E-3</v>
      </c>
      <c r="AO18" s="347">
        <v>2.7000000000000001E-3</v>
      </c>
      <c r="AP18" s="347">
        <v>1.8E-3</v>
      </c>
      <c r="AQ18" s="347">
        <v>2E-3</v>
      </c>
      <c r="AR18" s="347">
        <v>2.0999999999999999E-3</v>
      </c>
      <c r="AS18" s="347">
        <v>2.3E-3</v>
      </c>
      <c r="AT18" s="347">
        <v>2.3E-3</v>
      </c>
      <c r="AU18" s="347">
        <v>1.17E-2</v>
      </c>
      <c r="AV18" s="346">
        <v>-11.46</v>
      </c>
      <c r="AW18" s="346">
        <v>-4.96</v>
      </c>
      <c r="AX18" s="346">
        <v>-6.97</v>
      </c>
      <c r="AY18" s="346">
        <v>-5.48</v>
      </c>
      <c r="AZ18" s="346">
        <v>-9.49</v>
      </c>
      <c r="BA18" s="346">
        <v>-19.739999999999998</v>
      </c>
      <c r="BB18" s="346">
        <v>-27.73</v>
      </c>
      <c r="BC18" s="346">
        <v>-12.52</v>
      </c>
      <c r="BD18" s="346">
        <v>-1.66</v>
      </c>
      <c r="BE18" s="346">
        <v>-13.47</v>
      </c>
      <c r="BF18" s="346">
        <v>-3.47</v>
      </c>
      <c r="BG18" s="346">
        <v>-4.5</v>
      </c>
      <c r="BH18" s="346">
        <v>-12.94</v>
      </c>
      <c r="BI18" s="346">
        <v>-7.73</v>
      </c>
      <c r="BJ18" s="346">
        <v>-19.28</v>
      </c>
      <c r="BK18" s="346">
        <v>-26.38</v>
      </c>
      <c r="BL18" s="346">
        <v>-9.73</v>
      </c>
      <c r="BM18" s="346">
        <v>-2.5</v>
      </c>
      <c r="BN18" s="346">
        <v>55.83</v>
      </c>
      <c r="BO18" s="346">
        <v>2.1</v>
      </c>
      <c r="BP18" s="346">
        <v>-359.11</v>
      </c>
      <c r="BQ18" s="346">
        <v>-17.59</v>
      </c>
      <c r="BR18" s="346">
        <v>-29.07</v>
      </c>
      <c r="BS18" s="346">
        <v>30.78</v>
      </c>
      <c r="BT18" s="346">
        <v>-12.19</v>
      </c>
      <c r="BU18" s="346">
        <v>-45.03</v>
      </c>
      <c r="BV18" s="346">
        <v>-348.31</v>
      </c>
      <c r="BW18" s="346">
        <v>66.849999999999994</v>
      </c>
      <c r="BX18" s="346">
        <v>1.44</v>
      </c>
      <c r="BY18" s="346">
        <v>-205.72</v>
      </c>
      <c r="BZ18" s="346">
        <v>-41.64</v>
      </c>
      <c r="CA18" s="346">
        <v>-24.01</v>
      </c>
      <c r="CB18" s="346">
        <v>30.35</v>
      </c>
      <c r="CC18" s="346">
        <v>-11.62</v>
      </c>
      <c r="CD18" s="346">
        <v>-35.43</v>
      </c>
      <c r="CE18" s="346">
        <v>-482.95</v>
      </c>
      <c r="CF18" s="346">
        <v>23.91</v>
      </c>
      <c r="CG18" s="346">
        <v>48.98</v>
      </c>
      <c r="CH18" s="346">
        <v>59.88</v>
      </c>
      <c r="CI18" s="346">
        <v>45.69</v>
      </c>
      <c r="CJ18" s="346">
        <v>52.69</v>
      </c>
      <c r="CK18" s="346">
        <v>25.09</v>
      </c>
      <c r="CL18" s="346">
        <v>92.64</v>
      </c>
      <c r="CM18" s="346">
        <v>79.540000000000006</v>
      </c>
      <c r="CN18" s="346">
        <v>55.8</v>
      </c>
      <c r="CO18" s="346">
        <v>3.14</v>
      </c>
      <c r="CP18" s="346">
        <v>-0.06</v>
      </c>
      <c r="CQ18" s="346">
        <v>830.53</v>
      </c>
      <c r="CR18" s="346">
        <v>2.78</v>
      </c>
      <c r="CS18" s="346">
        <v>-0.03</v>
      </c>
      <c r="CT18" s="346">
        <v>40.67</v>
      </c>
      <c r="CU18" s="346">
        <v>124.76</v>
      </c>
      <c r="CV18" s="346">
        <v>8.8000000000000007</v>
      </c>
      <c r="CW18" s="346">
        <v>165328486.59999999</v>
      </c>
    </row>
    <row r="19" spans="1:101" x14ac:dyDescent="0.25">
      <c r="A19" s="346" t="str">
        <f>VLOOKUP(B19,'Loan Book Summary'!C:G,5,FALSE)</f>
        <v>0014I00001zbcqS</v>
      </c>
      <c r="B19" s="346">
        <v>1200000157</v>
      </c>
      <c r="C19" s="346" t="s">
        <v>5390</v>
      </c>
      <c r="D19" s="346" t="s">
        <v>1889</v>
      </c>
      <c r="E19" s="346">
        <v>2022</v>
      </c>
      <c r="F19" s="346">
        <v>6</v>
      </c>
      <c r="G19" s="346">
        <v>2363.6460950000001</v>
      </c>
      <c r="H19" s="346">
        <v>1026.405</v>
      </c>
      <c r="I19" s="346">
        <v>1026.405</v>
      </c>
      <c r="J19" s="346">
        <v>3974.7994789999998</v>
      </c>
      <c r="K19" s="346">
        <v>4682.2301150000003</v>
      </c>
      <c r="L19" s="346">
        <v>2329.6779999999999</v>
      </c>
      <c r="M19" s="346" t="s">
        <v>1889</v>
      </c>
      <c r="N19" s="346">
        <v>3500.6660000000002</v>
      </c>
      <c r="O19" s="346">
        <v>3500.6660000000002</v>
      </c>
      <c r="P19" s="346">
        <v>941.44135000000006</v>
      </c>
      <c r="Q19" s="346">
        <v>19368.6885</v>
      </c>
      <c r="R19" s="346">
        <v>19350.48775</v>
      </c>
      <c r="S19" s="346">
        <v>393.96643490000002</v>
      </c>
      <c r="T19" s="346">
        <v>50.436610039999998</v>
      </c>
      <c r="U19" s="346">
        <v>15.71282967</v>
      </c>
      <c r="V19" s="346">
        <v>-112.2471733</v>
      </c>
      <c r="W19" s="346">
        <v>-59.682437620000002</v>
      </c>
      <c r="X19" s="346" t="s">
        <v>101</v>
      </c>
      <c r="Y19" s="346">
        <v>56101</v>
      </c>
      <c r="Z19" s="346">
        <v>5</v>
      </c>
      <c r="AA19" s="346" t="s">
        <v>996</v>
      </c>
      <c r="AB19" s="346" t="s">
        <v>114</v>
      </c>
      <c r="AC19" s="346" t="s">
        <v>114</v>
      </c>
      <c r="AD19" s="347">
        <v>0.30099999999999999</v>
      </c>
      <c r="AE19" s="347">
        <v>0.26119999999999999</v>
      </c>
      <c r="AF19" s="346">
        <v>0.57999999999999996</v>
      </c>
      <c r="AG19" s="346">
        <v>1.24</v>
      </c>
      <c r="AH19" s="346">
        <v>1.93</v>
      </c>
      <c r="AI19" s="346">
        <v>2.63</v>
      </c>
      <c r="AJ19" s="346">
        <v>3.35</v>
      </c>
      <c r="AK19" s="347">
        <v>5.7999999999999996E-3</v>
      </c>
      <c r="AL19" s="347">
        <v>6.6E-3</v>
      </c>
      <c r="AM19" s="347">
        <v>7.0000000000000001E-3</v>
      </c>
      <c r="AN19" s="347">
        <v>7.1999999999999998E-3</v>
      </c>
      <c r="AO19" s="347">
        <v>7.4000000000000003E-3</v>
      </c>
      <c r="AP19" s="347">
        <v>5.7999999999999996E-3</v>
      </c>
      <c r="AQ19" s="347">
        <v>6.1999999999999998E-3</v>
      </c>
      <c r="AR19" s="347">
        <v>6.4999999999999997E-3</v>
      </c>
      <c r="AS19" s="347">
        <v>6.6E-3</v>
      </c>
      <c r="AT19" s="347">
        <v>6.7999999999999996E-3</v>
      </c>
      <c r="AU19" s="347">
        <v>3.3500000000000002E-2</v>
      </c>
      <c r="AV19" s="346">
        <v>9.74</v>
      </c>
      <c r="AW19" s="346">
        <v>-5.98</v>
      </c>
      <c r="AX19" s="346">
        <v>-8.27</v>
      </c>
      <c r="AY19" s="346">
        <v>-5.7</v>
      </c>
      <c r="AZ19" s="346">
        <v>-9.6</v>
      </c>
      <c r="BA19" s="346">
        <v>-11.46</v>
      </c>
      <c r="BB19" s="346">
        <v>-26.18</v>
      </c>
      <c r="BC19" s="346">
        <v>19.18</v>
      </c>
      <c r="BD19" s="346">
        <v>-3.89</v>
      </c>
      <c r="BE19" s="346">
        <v>11.54</v>
      </c>
      <c r="BF19" s="346">
        <v>-4.22</v>
      </c>
      <c r="BG19" s="346">
        <v>-5.38</v>
      </c>
      <c r="BH19" s="346">
        <v>-13.59</v>
      </c>
      <c r="BI19" s="346">
        <v>-7.88</v>
      </c>
      <c r="BJ19" s="346">
        <v>-11.29</v>
      </c>
      <c r="BK19" s="346">
        <v>-25.12</v>
      </c>
      <c r="BL19" s="346">
        <v>15.04</v>
      </c>
      <c r="BM19" s="346">
        <v>-5.93</v>
      </c>
      <c r="BN19" s="346">
        <v>81.69</v>
      </c>
      <c r="BO19" s="346">
        <v>2.19</v>
      </c>
      <c r="BP19" s="346">
        <v>-405.58</v>
      </c>
      <c r="BQ19" s="346">
        <v>-34.36</v>
      </c>
      <c r="BR19" s="346">
        <v>-56.56</v>
      </c>
      <c r="BS19" s="346">
        <v>84.93</v>
      </c>
      <c r="BT19" s="346">
        <v>-54.83</v>
      </c>
      <c r="BU19" s="346">
        <v>-136.78</v>
      </c>
      <c r="BV19" s="346">
        <v>-43.07</v>
      </c>
      <c r="BW19" s="346">
        <v>108.34</v>
      </c>
      <c r="BX19" s="346">
        <v>1.78</v>
      </c>
      <c r="BY19" s="346">
        <v>-300.24</v>
      </c>
      <c r="BZ19" s="346">
        <v>-91.55</v>
      </c>
      <c r="CA19" s="346">
        <v>-52.07</v>
      </c>
      <c r="CB19" s="346">
        <v>93.53</v>
      </c>
      <c r="CC19" s="346">
        <v>-58.99</v>
      </c>
      <c r="CD19" s="346">
        <v>-119.89</v>
      </c>
      <c r="CE19" s="346">
        <v>-73.62</v>
      </c>
      <c r="CF19" s="346">
        <v>72.77</v>
      </c>
      <c r="CG19" s="346">
        <v>50.88</v>
      </c>
      <c r="CH19" s="346">
        <v>59.37</v>
      </c>
      <c r="CI19" s="346">
        <v>38.61</v>
      </c>
      <c r="CJ19" s="346">
        <v>46</v>
      </c>
      <c r="CK19" s="346">
        <v>46.27</v>
      </c>
      <c r="CL19" s="346">
        <v>83.9</v>
      </c>
      <c r="CM19" s="346">
        <v>21.74</v>
      </c>
      <c r="CN19" s="346">
        <v>76.03</v>
      </c>
      <c r="CO19" s="346">
        <v>12.03</v>
      </c>
      <c r="CP19" s="346">
        <v>0</v>
      </c>
      <c r="CQ19" s="346">
        <v>812.27</v>
      </c>
      <c r="CR19" s="346">
        <v>0.09</v>
      </c>
      <c r="CS19" s="346">
        <v>-0.77</v>
      </c>
      <c r="CT19" s="346">
        <v>59.42</v>
      </c>
      <c r="CU19" s="346">
        <v>67.52</v>
      </c>
      <c r="CV19" s="346">
        <v>-0.57999999999999996</v>
      </c>
      <c r="CW19" s="346">
        <v>382263043.44</v>
      </c>
    </row>
    <row r="20" spans="1:101" x14ac:dyDescent="0.25">
      <c r="A20" s="346" t="str">
        <f>VLOOKUP(B20,'Loan Book Summary'!C:G,5,FALSE)</f>
        <v>0014I00001oIXfG</v>
      </c>
      <c r="B20" s="346">
        <v>1100000276</v>
      </c>
      <c r="C20" s="346" t="s">
        <v>5391</v>
      </c>
      <c r="D20" s="346" t="s">
        <v>1889</v>
      </c>
      <c r="E20" s="346">
        <v>2022</v>
      </c>
      <c r="F20" s="346">
        <v>6</v>
      </c>
      <c r="G20" s="346">
        <v>50</v>
      </c>
      <c r="H20" s="346">
        <v>3.6782900000000001</v>
      </c>
      <c r="I20" s="346">
        <v>3.6782900000000001</v>
      </c>
      <c r="J20" s="346">
        <v>25420.417819999999</v>
      </c>
      <c r="K20" s="346">
        <v>25598.52145</v>
      </c>
      <c r="L20" s="346">
        <v>3811.3322600000001</v>
      </c>
      <c r="M20" s="346" t="s">
        <v>1889</v>
      </c>
      <c r="N20" s="346">
        <v>10154.86976</v>
      </c>
      <c r="O20" s="346">
        <v>10154.86976</v>
      </c>
      <c r="P20" s="346">
        <v>25512.350429999999</v>
      </c>
      <c r="Q20" s="346">
        <v>7913.2162939999998</v>
      </c>
      <c r="R20" s="346">
        <v>5981.5351840000003</v>
      </c>
      <c r="S20" s="346">
        <v>347.55170120000002</v>
      </c>
      <c r="T20" s="346">
        <v>1878.147567</v>
      </c>
      <c r="U20" s="346">
        <v>-74.123497090000001</v>
      </c>
      <c r="V20" s="346">
        <v>-1952.271064</v>
      </c>
      <c r="W20" s="346">
        <v>-3077.8766300000002</v>
      </c>
      <c r="X20" s="346" t="s">
        <v>101</v>
      </c>
      <c r="Y20" s="346">
        <v>55100</v>
      </c>
      <c r="Z20" s="346">
        <v>5</v>
      </c>
      <c r="AA20" s="346" t="s">
        <v>996</v>
      </c>
      <c r="AB20" s="346" t="s">
        <v>118</v>
      </c>
      <c r="AC20" s="346" t="s">
        <v>118</v>
      </c>
      <c r="AD20" s="347">
        <v>0.94599999999999995</v>
      </c>
      <c r="AE20" s="347">
        <v>0.92410000000000003</v>
      </c>
      <c r="AF20" s="346">
        <v>9.7200000000000006</v>
      </c>
      <c r="AG20" s="346">
        <v>14.15</v>
      </c>
      <c r="AH20" s="346">
        <v>17.54</v>
      </c>
      <c r="AI20" s="346">
        <v>20.36</v>
      </c>
      <c r="AJ20" s="346">
        <v>22.82</v>
      </c>
      <c r="AK20" s="347">
        <v>9.7199999999999995E-2</v>
      </c>
      <c r="AL20" s="347">
        <v>4.9099999999999998E-2</v>
      </c>
      <c r="AM20" s="347">
        <v>3.95E-2</v>
      </c>
      <c r="AN20" s="347">
        <v>3.4299999999999997E-2</v>
      </c>
      <c r="AO20" s="347">
        <v>3.0800000000000001E-2</v>
      </c>
      <c r="AP20" s="347">
        <v>9.7199999999999995E-2</v>
      </c>
      <c r="AQ20" s="347">
        <v>7.3400000000000007E-2</v>
      </c>
      <c r="AR20" s="347">
        <v>6.2300000000000001E-2</v>
      </c>
      <c r="AS20" s="347">
        <v>5.5300000000000002E-2</v>
      </c>
      <c r="AT20" s="347">
        <v>5.0500000000000003E-2</v>
      </c>
      <c r="AU20" s="347">
        <v>0.22819999999999999</v>
      </c>
      <c r="AV20" s="346">
        <v>13.94</v>
      </c>
      <c r="AW20" s="346">
        <v>-2.96</v>
      </c>
      <c r="AX20" s="346">
        <v>15.85</v>
      </c>
      <c r="AY20" s="346">
        <v>2.2000000000000002</v>
      </c>
      <c r="AZ20" s="346">
        <v>-4.28</v>
      </c>
      <c r="BA20" s="346">
        <v>23.11</v>
      </c>
      <c r="BB20" s="346">
        <v>14.29</v>
      </c>
      <c r="BC20" s="346">
        <v>13.2</v>
      </c>
      <c r="BD20" s="346">
        <v>-10.17</v>
      </c>
      <c r="BE20" s="346">
        <v>16.52</v>
      </c>
      <c r="BF20" s="346">
        <v>-2.09</v>
      </c>
      <c r="BG20" s="346">
        <v>10.31</v>
      </c>
      <c r="BH20" s="346">
        <v>5.25</v>
      </c>
      <c r="BI20" s="346">
        <v>-3.52</v>
      </c>
      <c r="BJ20" s="346">
        <v>22.75</v>
      </c>
      <c r="BK20" s="346">
        <v>13.71</v>
      </c>
      <c r="BL20" s="346">
        <v>10.34</v>
      </c>
      <c r="BM20" s="346">
        <v>-15.51</v>
      </c>
      <c r="BN20" s="346">
        <v>0</v>
      </c>
      <c r="BO20" s="346">
        <v>2.15</v>
      </c>
      <c r="BP20" s="346">
        <v>-293.95</v>
      </c>
      <c r="BQ20" s="346">
        <v>47.73</v>
      </c>
      <c r="BR20" s="346">
        <v>47.35</v>
      </c>
      <c r="BS20" s="346">
        <v>108.53</v>
      </c>
      <c r="BT20" s="346">
        <v>-381.87</v>
      </c>
      <c r="BU20" s="346">
        <v>-0.22</v>
      </c>
      <c r="BV20" s="346">
        <v>-18.21</v>
      </c>
      <c r="BW20" s="346">
        <v>0</v>
      </c>
      <c r="BX20" s="346">
        <v>1.95</v>
      </c>
      <c r="BY20" s="346">
        <v>-202.14</v>
      </c>
      <c r="BZ20" s="346">
        <v>115.74</v>
      </c>
      <c r="CA20" s="346">
        <v>46.67</v>
      </c>
      <c r="CB20" s="346">
        <v>109.3</v>
      </c>
      <c r="CC20" s="346">
        <v>-389.4</v>
      </c>
      <c r="CD20" s="346">
        <v>-0.21</v>
      </c>
      <c r="CE20" s="346">
        <v>-34.6</v>
      </c>
      <c r="CF20" s="346">
        <v>100</v>
      </c>
      <c r="CG20" s="346">
        <v>49.87</v>
      </c>
      <c r="CH20" s="346">
        <v>17.78</v>
      </c>
      <c r="CI20" s="346">
        <v>87.33</v>
      </c>
      <c r="CJ20" s="346">
        <v>74.180000000000007</v>
      </c>
      <c r="CK20" s="346">
        <v>94.77</v>
      </c>
      <c r="CL20" s="346">
        <v>27.6</v>
      </c>
      <c r="CM20" s="346">
        <v>5.75</v>
      </c>
      <c r="CN20" s="346">
        <v>94.04</v>
      </c>
      <c r="CO20" s="346">
        <v>48.16</v>
      </c>
      <c r="CP20" s="346">
        <v>-0.02</v>
      </c>
      <c r="CQ20" s="346">
        <v>14.56</v>
      </c>
      <c r="CR20" s="346">
        <v>32.29</v>
      </c>
      <c r="CS20" s="346">
        <v>3.12</v>
      </c>
      <c r="CT20" s="346">
        <v>100.26</v>
      </c>
      <c r="CU20" s="346">
        <v>0.49</v>
      </c>
      <c r="CV20" s="346">
        <v>-24.67</v>
      </c>
      <c r="CW20" s="346">
        <v>1819166677.9300001</v>
      </c>
    </row>
    <row r="21" spans="1:101" x14ac:dyDescent="0.25">
      <c r="A21" s="346" t="str">
        <f>VLOOKUP(B21,'Loan Book Summary'!C:G,5,FALSE)</f>
        <v>0015800001cfgV5</v>
      </c>
      <c r="B21" s="346">
        <v>1200000144</v>
      </c>
      <c r="C21" s="346" t="s">
        <v>5392</v>
      </c>
      <c r="D21" s="346" t="s">
        <v>1889</v>
      </c>
      <c r="E21" s="346">
        <v>2022</v>
      </c>
      <c r="F21" s="346">
        <v>6</v>
      </c>
      <c r="G21" s="346">
        <v>283.03158989999997</v>
      </c>
      <c r="H21" s="346">
        <v>79.655879999999996</v>
      </c>
      <c r="I21" s="346">
        <v>79.655879999999996</v>
      </c>
      <c r="J21" s="346">
        <v>5254.9395299999996</v>
      </c>
      <c r="K21" s="346">
        <v>5401.6201099999998</v>
      </c>
      <c r="L21" s="346">
        <v>417.99977999999999</v>
      </c>
      <c r="M21" s="346" t="s">
        <v>1889</v>
      </c>
      <c r="N21" s="346">
        <v>515.41467999999998</v>
      </c>
      <c r="O21" s="346">
        <v>521.24098000000004</v>
      </c>
      <c r="P21" s="346">
        <v>1645.3432399999999</v>
      </c>
      <c r="Q21" s="346">
        <v>2392.6339360000002</v>
      </c>
      <c r="R21" s="346">
        <v>2234.3629609999998</v>
      </c>
      <c r="S21" s="346">
        <v>279.03824859999997</v>
      </c>
      <c r="T21" s="346">
        <v>46.273632370000001</v>
      </c>
      <c r="U21" s="346">
        <v>79.21547545</v>
      </c>
      <c r="V21" s="346">
        <v>8.403712917</v>
      </c>
      <c r="W21" s="346">
        <v>62.040139949999997</v>
      </c>
      <c r="X21" s="346" t="s">
        <v>101</v>
      </c>
      <c r="Y21" s="346">
        <v>55100</v>
      </c>
      <c r="Z21" s="346">
        <v>5</v>
      </c>
      <c r="AA21" s="346" t="s">
        <v>996</v>
      </c>
      <c r="AB21" s="346" t="s">
        <v>114</v>
      </c>
      <c r="AC21" s="346" t="s">
        <v>114</v>
      </c>
      <c r="AD21" s="347">
        <v>0.28949999999999998</v>
      </c>
      <c r="AE21" s="347">
        <v>0.26490000000000002</v>
      </c>
      <c r="AF21" s="346">
        <v>0.56000000000000005</v>
      </c>
      <c r="AG21" s="346">
        <v>1.22</v>
      </c>
      <c r="AH21" s="346">
        <v>1.92</v>
      </c>
      <c r="AI21" s="346">
        <v>2.64</v>
      </c>
      <c r="AJ21" s="346">
        <v>3.39</v>
      </c>
      <c r="AK21" s="347">
        <v>5.5999999999999999E-3</v>
      </c>
      <c r="AL21" s="347">
        <v>6.6E-3</v>
      </c>
      <c r="AM21" s="347">
        <v>7.1000000000000004E-3</v>
      </c>
      <c r="AN21" s="347">
        <v>7.4000000000000003E-3</v>
      </c>
      <c r="AO21" s="347">
        <v>7.6E-3</v>
      </c>
      <c r="AP21" s="347">
        <v>5.5999999999999999E-3</v>
      </c>
      <c r="AQ21" s="347">
        <v>6.1000000000000004E-3</v>
      </c>
      <c r="AR21" s="347">
        <v>6.4000000000000003E-3</v>
      </c>
      <c r="AS21" s="347">
        <v>6.7000000000000002E-3</v>
      </c>
      <c r="AT21" s="347">
        <v>6.8999999999999999E-3</v>
      </c>
      <c r="AU21" s="347">
        <v>3.39E-2</v>
      </c>
      <c r="AV21" s="346">
        <v>19.73</v>
      </c>
      <c r="AW21" s="346">
        <v>-4.6100000000000003</v>
      </c>
      <c r="AX21" s="346">
        <v>-7.05</v>
      </c>
      <c r="AY21" s="346">
        <v>-5.65</v>
      </c>
      <c r="AZ21" s="346">
        <v>-8.19</v>
      </c>
      <c r="BA21" s="346">
        <v>-20.69</v>
      </c>
      <c r="BB21" s="346">
        <v>-21.03</v>
      </c>
      <c r="BC21" s="346">
        <v>11.19</v>
      </c>
      <c r="BD21" s="346">
        <v>-1.85</v>
      </c>
      <c r="BE21" s="346">
        <v>22.57</v>
      </c>
      <c r="BF21" s="346">
        <v>-3.14</v>
      </c>
      <c r="BG21" s="346">
        <v>-4.43</v>
      </c>
      <c r="BH21" s="346">
        <v>-13</v>
      </c>
      <c r="BI21" s="346">
        <v>-6.5</v>
      </c>
      <c r="BJ21" s="346">
        <v>-19.68</v>
      </c>
      <c r="BK21" s="346">
        <v>-19.489999999999998</v>
      </c>
      <c r="BL21" s="346">
        <v>8.4700000000000006</v>
      </c>
      <c r="BM21" s="346">
        <v>-2.72</v>
      </c>
      <c r="BN21" s="346">
        <v>46.56</v>
      </c>
      <c r="BO21" s="346">
        <v>-10.53</v>
      </c>
      <c r="BP21" s="346">
        <v>-439.62</v>
      </c>
      <c r="BQ21" s="346">
        <v>8.02</v>
      </c>
      <c r="BR21" s="346">
        <v>-60.1</v>
      </c>
      <c r="BS21" s="346">
        <v>32.92</v>
      </c>
      <c r="BT21" s="346">
        <v>-63.48</v>
      </c>
      <c r="BU21" s="346">
        <v>-187.98</v>
      </c>
      <c r="BV21" s="346">
        <v>-50.77</v>
      </c>
      <c r="BW21" s="346">
        <v>68.099999999999994</v>
      </c>
      <c r="BX21" s="346">
        <v>-9.1199999999999992</v>
      </c>
      <c r="BY21" s="346">
        <v>-349.15</v>
      </c>
      <c r="BZ21" s="346">
        <v>23.39</v>
      </c>
      <c r="CA21" s="346">
        <v>-60.92</v>
      </c>
      <c r="CB21" s="346">
        <v>39.96</v>
      </c>
      <c r="CC21" s="346">
        <v>-74.75</v>
      </c>
      <c r="CD21" s="346">
        <v>-179.66</v>
      </c>
      <c r="CE21" s="346">
        <v>-94.95</v>
      </c>
      <c r="CF21" s="346">
        <v>88.42</v>
      </c>
      <c r="CG21" s="346">
        <v>45.61</v>
      </c>
      <c r="CH21" s="346">
        <v>58.29</v>
      </c>
      <c r="CI21" s="346">
        <v>56.52</v>
      </c>
      <c r="CJ21" s="346">
        <v>45</v>
      </c>
      <c r="CK21" s="346">
        <v>22.12</v>
      </c>
      <c r="CL21" s="346">
        <v>80.25</v>
      </c>
      <c r="CM21" s="346">
        <v>28.77</v>
      </c>
      <c r="CN21" s="346">
        <v>70.709999999999994</v>
      </c>
      <c r="CO21" s="346">
        <v>17.47</v>
      </c>
      <c r="CP21" s="346">
        <v>-0.24</v>
      </c>
      <c r="CQ21" s="346">
        <v>774.21</v>
      </c>
      <c r="CR21" s="346">
        <v>7.08</v>
      </c>
      <c r="CS21" s="346">
        <v>-0.9</v>
      </c>
      <c r="CT21" s="346">
        <v>37.450000000000003</v>
      </c>
      <c r="CU21" s="346">
        <v>54.91</v>
      </c>
      <c r="CV21" s="346">
        <v>0.35</v>
      </c>
      <c r="CW21" s="346">
        <v>295071011.73000002</v>
      </c>
    </row>
    <row r="22" spans="1:101" x14ac:dyDescent="0.25">
      <c r="A22" s="346" t="str">
        <f>VLOOKUP(B22,'Loan Book Summary'!C:G,5,FALSE)</f>
        <v>0014I00001or3M2</v>
      </c>
      <c r="B22" s="346">
        <v>1100000005</v>
      </c>
      <c r="C22" s="346" t="s">
        <v>5393</v>
      </c>
      <c r="D22" s="346" t="s">
        <v>1889</v>
      </c>
      <c r="E22" s="346">
        <v>2022</v>
      </c>
      <c r="F22" s="346">
        <v>6</v>
      </c>
      <c r="G22" s="346">
        <v>162.3216822</v>
      </c>
      <c r="H22" s="346" t="s">
        <v>1889</v>
      </c>
      <c r="I22" s="346" t="s">
        <v>1889</v>
      </c>
      <c r="J22" s="346">
        <v>7694.9039300000004</v>
      </c>
      <c r="K22" s="346">
        <v>7746.1414569999997</v>
      </c>
      <c r="L22" s="346">
        <v>-11.66666667</v>
      </c>
      <c r="M22" s="346" t="s">
        <v>1889</v>
      </c>
      <c r="N22" s="346">
        <v>-11.66666667</v>
      </c>
      <c r="O22" s="346">
        <v>-11.66666667</v>
      </c>
      <c r="P22" s="346">
        <v>2009.63933</v>
      </c>
      <c r="Q22" s="346">
        <v>542.34414519999996</v>
      </c>
      <c r="R22" s="346">
        <v>410.63755420000001</v>
      </c>
      <c r="S22" s="346">
        <v>147.77084730000001</v>
      </c>
      <c r="T22" s="346">
        <v>97.708016040000004</v>
      </c>
      <c r="U22" s="346">
        <v>94.282340590000004</v>
      </c>
      <c r="V22" s="346">
        <v>-5.9651033529999999</v>
      </c>
      <c r="W22" s="346">
        <v>-108.3140384</v>
      </c>
      <c r="X22" s="346" t="s">
        <v>101</v>
      </c>
      <c r="Y22" s="346">
        <v>87200</v>
      </c>
      <c r="Z22" s="346">
        <v>5</v>
      </c>
      <c r="AA22" s="346" t="s">
        <v>996</v>
      </c>
      <c r="AB22" s="346" t="s">
        <v>110</v>
      </c>
      <c r="AC22" s="346" t="s">
        <v>114</v>
      </c>
      <c r="AD22" s="347">
        <v>0.34229999999999999</v>
      </c>
      <c r="AE22" s="347">
        <v>0.24079999999999999</v>
      </c>
      <c r="AF22" s="346">
        <v>0.67</v>
      </c>
      <c r="AG22" s="346">
        <v>1.31</v>
      </c>
      <c r="AH22" s="346">
        <v>1.93</v>
      </c>
      <c r="AI22" s="346">
        <v>2.54</v>
      </c>
      <c r="AJ22" s="346">
        <v>3.15</v>
      </c>
      <c r="AK22" s="347">
        <v>6.7000000000000002E-3</v>
      </c>
      <c r="AL22" s="347">
        <v>6.4000000000000003E-3</v>
      </c>
      <c r="AM22" s="347">
        <v>6.3E-3</v>
      </c>
      <c r="AN22" s="347">
        <v>6.1999999999999998E-3</v>
      </c>
      <c r="AO22" s="347">
        <v>6.1999999999999998E-3</v>
      </c>
      <c r="AP22" s="347">
        <v>6.7000000000000002E-3</v>
      </c>
      <c r="AQ22" s="347">
        <v>6.6E-3</v>
      </c>
      <c r="AR22" s="347">
        <v>6.4999999999999997E-3</v>
      </c>
      <c r="AS22" s="347">
        <v>6.4000000000000003E-3</v>
      </c>
      <c r="AT22" s="347">
        <v>6.4000000000000003E-3</v>
      </c>
      <c r="AU22" s="347">
        <v>3.15E-2</v>
      </c>
      <c r="AV22" s="346">
        <v>-26.16</v>
      </c>
      <c r="AW22" s="346" t="s">
        <v>1889</v>
      </c>
      <c r="AX22" s="346">
        <v>15.17</v>
      </c>
      <c r="AY22" s="346">
        <v>3.85</v>
      </c>
      <c r="AZ22" s="346">
        <v>-9.67</v>
      </c>
      <c r="BA22" s="346">
        <v>-23.74</v>
      </c>
      <c r="BB22" s="346" t="s">
        <v>1889</v>
      </c>
      <c r="BC22" s="346">
        <v>17.989999999999998</v>
      </c>
      <c r="BD22" s="346">
        <v>-3.42</v>
      </c>
      <c r="BE22" s="346">
        <v>-30.78</v>
      </c>
      <c r="BF22" s="346" t="s">
        <v>1889</v>
      </c>
      <c r="BG22" s="346">
        <v>9.81</v>
      </c>
      <c r="BH22" s="346">
        <v>9.1</v>
      </c>
      <c r="BI22" s="346">
        <v>-7.89</v>
      </c>
      <c r="BJ22" s="346">
        <v>-23.22</v>
      </c>
      <c r="BK22" s="346" t="s">
        <v>1889</v>
      </c>
      <c r="BL22" s="346">
        <v>14.01</v>
      </c>
      <c r="BM22" s="346">
        <v>-5.18</v>
      </c>
      <c r="BN22" s="346">
        <v>214.99</v>
      </c>
      <c r="BO22" s="346">
        <v>0</v>
      </c>
      <c r="BP22" s="346">
        <v>-301.18</v>
      </c>
      <c r="BQ22" s="346">
        <v>46.8</v>
      </c>
      <c r="BR22" s="346">
        <v>11.86</v>
      </c>
      <c r="BS22" s="346">
        <v>9.6199999999999992</v>
      </c>
      <c r="BT22" s="346">
        <v>0</v>
      </c>
      <c r="BU22" s="346">
        <v>-76.400000000000006</v>
      </c>
      <c r="BV22" s="346">
        <v>-39.14</v>
      </c>
      <c r="BW22" s="346">
        <v>259.58999999999997</v>
      </c>
      <c r="BX22" s="346">
        <v>0</v>
      </c>
      <c r="BY22" s="346">
        <v>-196.03</v>
      </c>
      <c r="BZ22" s="346">
        <v>111.97</v>
      </c>
      <c r="CA22" s="346">
        <v>9.2899999999999991</v>
      </c>
      <c r="CB22" s="346">
        <v>9.0500000000000007</v>
      </c>
      <c r="CC22" s="346">
        <v>0</v>
      </c>
      <c r="CD22" s="346">
        <v>-57.04</v>
      </c>
      <c r="CE22" s="346">
        <v>-57.03</v>
      </c>
      <c r="CF22" s="346">
        <v>2</v>
      </c>
      <c r="CG22" s="346" t="s">
        <v>1889</v>
      </c>
      <c r="CH22" s="346">
        <v>33.22</v>
      </c>
      <c r="CI22" s="346">
        <v>87.21</v>
      </c>
      <c r="CJ22" s="346">
        <v>64.14</v>
      </c>
      <c r="CK22" s="346">
        <v>13.35</v>
      </c>
      <c r="CL22" s="346" t="s">
        <v>1889</v>
      </c>
      <c r="CM22" s="346">
        <v>19.87</v>
      </c>
      <c r="CN22" s="346">
        <v>76.5</v>
      </c>
      <c r="CO22" s="346">
        <v>-2.15</v>
      </c>
      <c r="CP22" s="346" t="s">
        <v>1889</v>
      </c>
      <c r="CQ22" s="346">
        <v>247.73</v>
      </c>
      <c r="CR22" s="346">
        <v>32.07</v>
      </c>
      <c r="CS22" s="346">
        <v>1.32</v>
      </c>
      <c r="CT22" s="346">
        <v>26</v>
      </c>
      <c r="CU22" s="346" t="s">
        <v>1889</v>
      </c>
      <c r="CV22" s="346">
        <v>-1.1000000000000001</v>
      </c>
      <c r="CW22" s="346">
        <v>392887595.81999999</v>
      </c>
    </row>
    <row r="23" spans="1:101" x14ac:dyDescent="0.25">
      <c r="A23" s="346" t="str">
        <f>VLOOKUP(B23,'Loan Book Summary'!C:G,5,FALSE)</f>
        <v>0015800000me5DQ</v>
      </c>
      <c r="B23" s="346">
        <v>1100000145</v>
      </c>
      <c r="C23" s="346" t="s">
        <v>5394</v>
      </c>
      <c r="D23" s="346" t="s">
        <v>1889</v>
      </c>
      <c r="E23" s="346">
        <v>2022</v>
      </c>
      <c r="F23" s="346">
        <v>6</v>
      </c>
      <c r="G23" s="346">
        <v>50</v>
      </c>
      <c r="H23" s="346">
        <v>46.596179999999997</v>
      </c>
      <c r="I23" s="346">
        <v>46.596179999999997</v>
      </c>
      <c r="J23" s="346">
        <v>40143.611729999997</v>
      </c>
      <c r="K23" s="346">
        <v>41849.974000000002</v>
      </c>
      <c r="L23" s="346">
        <v>4779.25</v>
      </c>
      <c r="M23" s="346" t="s">
        <v>1889</v>
      </c>
      <c r="N23" s="346">
        <v>10916.10986</v>
      </c>
      <c r="O23" s="346">
        <v>12049.44319</v>
      </c>
      <c r="P23" s="346">
        <v>69756.312789999996</v>
      </c>
      <c r="Q23" s="346">
        <v>17099.961200000002</v>
      </c>
      <c r="R23" s="346">
        <v>12947.28874</v>
      </c>
      <c r="S23" s="346">
        <v>2659.1171129999998</v>
      </c>
      <c r="T23" s="346">
        <v>4537.8933699999998</v>
      </c>
      <c r="U23" s="346">
        <v>823.18093329999999</v>
      </c>
      <c r="V23" s="346">
        <v>-3714.7124370000001</v>
      </c>
      <c r="W23" s="346">
        <v>-7399.045537</v>
      </c>
      <c r="X23" s="346" t="s">
        <v>101</v>
      </c>
      <c r="Y23" s="346">
        <v>55110</v>
      </c>
      <c r="Z23" s="346">
        <v>5</v>
      </c>
      <c r="AA23" s="346" t="s">
        <v>996</v>
      </c>
      <c r="AB23" s="346" t="s">
        <v>118</v>
      </c>
      <c r="AC23" s="346" t="s">
        <v>118</v>
      </c>
      <c r="AD23" s="347">
        <v>0.95850000000000002</v>
      </c>
      <c r="AE23" s="347">
        <v>0.94030000000000002</v>
      </c>
      <c r="AF23" s="346">
        <v>11.26</v>
      </c>
      <c r="AG23" s="346">
        <v>16.86</v>
      </c>
      <c r="AH23" s="346">
        <v>21.19</v>
      </c>
      <c r="AI23" s="346">
        <v>24.83</v>
      </c>
      <c r="AJ23" s="346">
        <v>27.99</v>
      </c>
      <c r="AK23" s="347">
        <v>0.11260000000000001</v>
      </c>
      <c r="AL23" s="347">
        <v>6.3100000000000003E-2</v>
      </c>
      <c r="AM23" s="347">
        <v>5.2200000000000003E-2</v>
      </c>
      <c r="AN23" s="347">
        <v>4.6100000000000002E-2</v>
      </c>
      <c r="AO23" s="347">
        <v>4.2000000000000003E-2</v>
      </c>
      <c r="AP23" s="347">
        <v>0.11260000000000001</v>
      </c>
      <c r="AQ23" s="347">
        <v>8.8200000000000001E-2</v>
      </c>
      <c r="AR23" s="347">
        <v>7.6300000000000007E-2</v>
      </c>
      <c r="AS23" s="347">
        <v>6.8900000000000003E-2</v>
      </c>
      <c r="AT23" s="347">
        <v>6.3600000000000004E-2</v>
      </c>
      <c r="AU23" s="347">
        <v>0.27989999999999998</v>
      </c>
      <c r="AV23" s="346">
        <v>13.82</v>
      </c>
      <c r="AW23" s="346">
        <v>-2.93</v>
      </c>
      <c r="AX23" s="346">
        <v>14.57</v>
      </c>
      <c r="AY23" s="346">
        <v>2.1800000000000002</v>
      </c>
      <c r="AZ23" s="346">
        <v>-1.5</v>
      </c>
      <c r="BA23" s="346">
        <v>27.69</v>
      </c>
      <c r="BB23" s="346">
        <v>14.16</v>
      </c>
      <c r="BC23" s="346">
        <v>13.07</v>
      </c>
      <c r="BD23" s="346">
        <v>-10.08</v>
      </c>
      <c r="BE23" s="346">
        <v>16.23</v>
      </c>
      <c r="BF23" s="346">
        <v>-2.0499999999999998</v>
      </c>
      <c r="BG23" s="346">
        <v>9.4</v>
      </c>
      <c r="BH23" s="346">
        <v>5.16</v>
      </c>
      <c r="BI23" s="346">
        <v>-1.23</v>
      </c>
      <c r="BJ23" s="346">
        <v>27.05</v>
      </c>
      <c r="BK23" s="346">
        <v>13.47</v>
      </c>
      <c r="BL23" s="346">
        <v>10.17</v>
      </c>
      <c r="BM23" s="346">
        <v>-15.24</v>
      </c>
      <c r="BN23" s="346">
        <v>5.89</v>
      </c>
      <c r="BO23" s="346">
        <v>2.29</v>
      </c>
      <c r="BP23" s="346">
        <v>-322.29000000000002</v>
      </c>
      <c r="BQ23" s="346">
        <v>52.13</v>
      </c>
      <c r="BR23" s="346">
        <v>61.42</v>
      </c>
      <c r="BS23" s="346">
        <v>11.11</v>
      </c>
      <c r="BT23" s="346">
        <v>-425.07</v>
      </c>
      <c r="BU23" s="346">
        <v>-0.23</v>
      </c>
      <c r="BV23" s="346">
        <v>-19.559999999999999</v>
      </c>
      <c r="BW23" s="346">
        <v>8.24</v>
      </c>
      <c r="BX23" s="346">
        <v>1.91</v>
      </c>
      <c r="BY23" s="346">
        <v>-237.39</v>
      </c>
      <c r="BZ23" s="346">
        <v>143.94999999999999</v>
      </c>
      <c r="CA23" s="346">
        <v>59.56</v>
      </c>
      <c r="CB23" s="346">
        <v>12.87</v>
      </c>
      <c r="CC23" s="346">
        <v>-401.11</v>
      </c>
      <c r="CD23" s="346">
        <v>-0.22</v>
      </c>
      <c r="CE23" s="346">
        <v>-34.76</v>
      </c>
      <c r="CF23" s="346">
        <v>97.32</v>
      </c>
      <c r="CG23" s="346">
        <v>48.28</v>
      </c>
      <c r="CH23" s="346">
        <v>20.71</v>
      </c>
      <c r="CI23" s="346">
        <v>87.21</v>
      </c>
      <c r="CJ23" s="346">
        <v>84.7</v>
      </c>
      <c r="CK23" s="346">
        <v>100</v>
      </c>
      <c r="CL23" s="346">
        <v>27.18</v>
      </c>
      <c r="CM23" s="346">
        <v>5.96</v>
      </c>
      <c r="CN23" s="346">
        <v>95.93</v>
      </c>
      <c r="CO23" s="346">
        <v>27.95</v>
      </c>
      <c r="CP23" s="346">
        <v>-0.09</v>
      </c>
      <c r="CQ23" s="346">
        <v>76.739999999999995</v>
      </c>
      <c r="CR23" s="346">
        <v>32.07</v>
      </c>
      <c r="CS23" s="346">
        <v>6.45</v>
      </c>
      <c r="CT23" s="346">
        <v>158</v>
      </c>
      <c r="CU23" s="346">
        <v>0.46</v>
      </c>
      <c r="CV23" s="346">
        <v>-21.72</v>
      </c>
      <c r="CW23" s="346">
        <v>2610973808.4899998</v>
      </c>
    </row>
    <row r="24" spans="1:101" x14ac:dyDescent="0.25">
      <c r="A24" s="346" t="str">
        <f>VLOOKUP(B24,'Loan Book Summary'!C:G,5,FALSE)</f>
        <v>0015800001Eo5rw</v>
      </c>
      <c r="B24" s="346">
        <v>1100000168</v>
      </c>
      <c r="C24" s="346" t="s">
        <v>5395</v>
      </c>
      <c r="D24" s="346" t="s">
        <v>1889</v>
      </c>
      <c r="E24" s="346">
        <v>2022</v>
      </c>
      <c r="F24" s="346">
        <v>6</v>
      </c>
      <c r="G24" s="346">
        <v>50</v>
      </c>
      <c r="H24" s="346">
        <v>46.596179999999997</v>
      </c>
      <c r="I24" s="346">
        <v>46.596179999999997</v>
      </c>
      <c r="J24" s="346">
        <v>40143.611729999997</v>
      </c>
      <c r="K24" s="346">
        <v>41849.974000000002</v>
      </c>
      <c r="L24" s="346">
        <v>4779.25</v>
      </c>
      <c r="M24" s="346" t="s">
        <v>1889</v>
      </c>
      <c r="N24" s="346">
        <v>10916.10986</v>
      </c>
      <c r="O24" s="346">
        <v>12049.44319</v>
      </c>
      <c r="P24" s="346">
        <v>69756.312789999996</v>
      </c>
      <c r="Q24" s="346">
        <v>17099.961200000002</v>
      </c>
      <c r="R24" s="346">
        <v>12947.28874</v>
      </c>
      <c r="S24" s="346">
        <v>2659.1171129999998</v>
      </c>
      <c r="T24" s="346">
        <v>4537.8933699999998</v>
      </c>
      <c r="U24" s="346">
        <v>823.18093329999999</v>
      </c>
      <c r="V24" s="346">
        <v>-3714.7124370000001</v>
      </c>
      <c r="W24" s="346">
        <v>-7399.045537</v>
      </c>
      <c r="X24" s="346" t="s">
        <v>101</v>
      </c>
      <c r="Y24" s="346">
        <v>55110</v>
      </c>
      <c r="Z24" s="346">
        <v>5</v>
      </c>
      <c r="AA24" s="346" t="s">
        <v>996</v>
      </c>
      <c r="AB24" s="346" t="s">
        <v>118</v>
      </c>
      <c r="AC24" s="346" t="s">
        <v>118</v>
      </c>
      <c r="AD24" s="347">
        <v>0.95850000000000002</v>
      </c>
      <c r="AE24" s="347">
        <v>0.94030000000000002</v>
      </c>
      <c r="AF24" s="346">
        <v>11.26</v>
      </c>
      <c r="AG24" s="346">
        <v>16.86</v>
      </c>
      <c r="AH24" s="346">
        <v>21.19</v>
      </c>
      <c r="AI24" s="346">
        <v>24.83</v>
      </c>
      <c r="AJ24" s="346">
        <v>27.99</v>
      </c>
      <c r="AK24" s="347">
        <v>0.11260000000000001</v>
      </c>
      <c r="AL24" s="347">
        <v>6.3100000000000003E-2</v>
      </c>
      <c r="AM24" s="347">
        <v>5.2200000000000003E-2</v>
      </c>
      <c r="AN24" s="347">
        <v>4.6100000000000002E-2</v>
      </c>
      <c r="AO24" s="347">
        <v>4.2000000000000003E-2</v>
      </c>
      <c r="AP24" s="347">
        <v>0.11260000000000001</v>
      </c>
      <c r="AQ24" s="347">
        <v>8.8200000000000001E-2</v>
      </c>
      <c r="AR24" s="347">
        <v>7.6300000000000007E-2</v>
      </c>
      <c r="AS24" s="347">
        <v>6.8900000000000003E-2</v>
      </c>
      <c r="AT24" s="347">
        <v>6.3600000000000004E-2</v>
      </c>
      <c r="AU24" s="347">
        <v>0.27989999999999998</v>
      </c>
      <c r="AV24" s="346">
        <v>13.82</v>
      </c>
      <c r="AW24" s="346">
        <v>-2.93</v>
      </c>
      <c r="AX24" s="346">
        <v>14.57</v>
      </c>
      <c r="AY24" s="346">
        <v>2.1800000000000002</v>
      </c>
      <c r="AZ24" s="346">
        <v>-1.5</v>
      </c>
      <c r="BA24" s="346">
        <v>27.69</v>
      </c>
      <c r="BB24" s="346">
        <v>14.16</v>
      </c>
      <c r="BC24" s="346">
        <v>13.07</v>
      </c>
      <c r="BD24" s="346">
        <v>-10.08</v>
      </c>
      <c r="BE24" s="346">
        <v>16.23</v>
      </c>
      <c r="BF24" s="346">
        <v>-2.0499999999999998</v>
      </c>
      <c r="BG24" s="346">
        <v>9.4</v>
      </c>
      <c r="BH24" s="346">
        <v>5.16</v>
      </c>
      <c r="BI24" s="346">
        <v>-1.23</v>
      </c>
      <c r="BJ24" s="346">
        <v>27.05</v>
      </c>
      <c r="BK24" s="346">
        <v>13.47</v>
      </c>
      <c r="BL24" s="346">
        <v>10.17</v>
      </c>
      <c r="BM24" s="346">
        <v>-15.24</v>
      </c>
      <c r="BN24" s="346">
        <v>5.89</v>
      </c>
      <c r="BO24" s="346">
        <v>2.29</v>
      </c>
      <c r="BP24" s="346">
        <v>-322.29000000000002</v>
      </c>
      <c r="BQ24" s="346">
        <v>52.13</v>
      </c>
      <c r="BR24" s="346">
        <v>61.42</v>
      </c>
      <c r="BS24" s="346">
        <v>11.11</v>
      </c>
      <c r="BT24" s="346">
        <v>-425.07</v>
      </c>
      <c r="BU24" s="346">
        <v>-0.23</v>
      </c>
      <c r="BV24" s="346">
        <v>-19.559999999999999</v>
      </c>
      <c r="BW24" s="346">
        <v>8.24</v>
      </c>
      <c r="BX24" s="346">
        <v>1.91</v>
      </c>
      <c r="BY24" s="346">
        <v>-237.39</v>
      </c>
      <c r="BZ24" s="346">
        <v>143.94999999999999</v>
      </c>
      <c r="CA24" s="346">
        <v>59.56</v>
      </c>
      <c r="CB24" s="346">
        <v>12.87</v>
      </c>
      <c r="CC24" s="346">
        <v>-401.11</v>
      </c>
      <c r="CD24" s="346">
        <v>-0.22</v>
      </c>
      <c r="CE24" s="346">
        <v>-34.76</v>
      </c>
      <c r="CF24" s="346">
        <v>97.32</v>
      </c>
      <c r="CG24" s="346">
        <v>48.28</v>
      </c>
      <c r="CH24" s="346">
        <v>20.71</v>
      </c>
      <c r="CI24" s="346">
        <v>87.21</v>
      </c>
      <c r="CJ24" s="346">
        <v>84.7</v>
      </c>
      <c r="CK24" s="346">
        <v>100</v>
      </c>
      <c r="CL24" s="346">
        <v>27.18</v>
      </c>
      <c r="CM24" s="346">
        <v>5.96</v>
      </c>
      <c r="CN24" s="346">
        <v>95.93</v>
      </c>
      <c r="CO24" s="346">
        <v>27.95</v>
      </c>
      <c r="CP24" s="346">
        <v>-0.09</v>
      </c>
      <c r="CQ24" s="346">
        <v>76.739999999999995</v>
      </c>
      <c r="CR24" s="346">
        <v>32.07</v>
      </c>
      <c r="CS24" s="346">
        <v>6.45</v>
      </c>
      <c r="CT24" s="346">
        <v>158</v>
      </c>
      <c r="CU24" s="346">
        <v>0.46</v>
      </c>
      <c r="CV24" s="346">
        <v>-21.72</v>
      </c>
      <c r="CW24" s="346">
        <v>2610973808.4899998</v>
      </c>
    </row>
    <row r="25" spans="1:101" x14ac:dyDescent="0.25">
      <c r="A25" s="346" t="str">
        <f>VLOOKUP(B25,'Loan Book Summary'!C:G,5,FALSE)</f>
        <v>0015800001b11sC</v>
      </c>
      <c r="B25" s="346">
        <v>1100000153</v>
      </c>
      <c r="C25" s="346" t="s">
        <v>5396</v>
      </c>
      <c r="D25" s="346" t="s">
        <v>1889</v>
      </c>
      <c r="E25" s="346">
        <v>2022</v>
      </c>
      <c r="F25" s="346">
        <v>6</v>
      </c>
      <c r="G25" s="346">
        <v>50</v>
      </c>
      <c r="H25" s="346">
        <v>46.596179999999997</v>
      </c>
      <c r="I25" s="346">
        <v>46.596179999999997</v>
      </c>
      <c r="J25" s="346">
        <v>40143.611729999997</v>
      </c>
      <c r="K25" s="346">
        <v>41849.974000000002</v>
      </c>
      <c r="L25" s="346">
        <v>4779.25</v>
      </c>
      <c r="M25" s="346" t="s">
        <v>1889</v>
      </c>
      <c r="N25" s="346">
        <v>10916.10986</v>
      </c>
      <c r="O25" s="346">
        <v>12049.44319</v>
      </c>
      <c r="P25" s="346">
        <v>69756.312789999996</v>
      </c>
      <c r="Q25" s="346">
        <v>17099.961200000002</v>
      </c>
      <c r="R25" s="346">
        <v>12947.28874</v>
      </c>
      <c r="S25" s="346">
        <v>2659.1171129999998</v>
      </c>
      <c r="T25" s="346">
        <v>4537.8933699999998</v>
      </c>
      <c r="U25" s="346">
        <v>823.18093329999999</v>
      </c>
      <c r="V25" s="346">
        <v>-3714.7124370000001</v>
      </c>
      <c r="W25" s="346">
        <v>-7399.045537</v>
      </c>
      <c r="X25" s="346" t="s">
        <v>101</v>
      </c>
      <c r="Y25" s="346">
        <v>55110</v>
      </c>
      <c r="Z25" s="346">
        <v>5</v>
      </c>
      <c r="AA25" s="346" t="s">
        <v>996</v>
      </c>
      <c r="AB25" s="346" t="s">
        <v>118</v>
      </c>
      <c r="AC25" s="346" t="s">
        <v>118</v>
      </c>
      <c r="AD25" s="347">
        <v>0.95850000000000002</v>
      </c>
      <c r="AE25" s="347">
        <v>0.94030000000000002</v>
      </c>
      <c r="AF25" s="346">
        <v>11.26</v>
      </c>
      <c r="AG25" s="346">
        <v>16.86</v>
      </c>
      <c r="AH25" s="346">
        <v>21.19</v>
      </c>
      <c r="AI25" s="346">
        <v>24.83</v>
      </c>
      <c r="AJ25" s="346">
        <v>27.99</v>
      </c>
      <c r="AK25" s="347">
        <v>0.11260000000000001</v>
      </c>
      <c r="AL25" s="347">
        <v>6.3100000000000003E-2</v>
      </c>
      <c r="AM25" s="347">
        <v>5.2200000000000003E-2</v>
      </c>
      <c r="AN25" s="347">
        <v>4.6100000000000002E-2</v>
      </c>
      <c r="AO25" s="347">
        <v>4.2000000000000003E-2</v>
      </c>
      <c r="AP25" s="347">
        <v>0.11260000000000001</v>
      </c>
      <c r="AQ25" s="347">
        <v>8.8200000000000001E-2</v>
      </c>
      <c r="AR25" s="347">
        <v>7.6300000000000007E-2</v>
      </c>
      <c r="AS25" s="347">
        <v>6.8900000000000003E-2</v>
      </c>
      <c r="AT25" s="347">
        <v>6.3600000000000004E-2</v>
      </c>
      <c r="AU25" s="347">
        <v>0.27989999999999998</v>
      </c>
      <c r="AV25" s="346">
        <v>13.82</v>
      </c>
      <c r="AW25" s="346">
        <v>-2.93</v>
      </c>
      <c r="AX25" s="346">
        <v>14.57</v>
      </c>
      <c r="AY25" s="346">
        <v>2.1800000000000002</v>
      </c>
      <c r="AZ25" s="346">
        <v>-1.5</v>
      </c>
      <c r="BA25" s="346">
        <v>27.69</v>
      </c>
      <c r="BB25" s="346">
        <v>14.16</v>
      </c>
      <c r="BC25" s="346">
        <v>13.07</v>
      </c>
      <c r="BD25" s="346">
        <v>-10.08</v>
      </c>
      <c r="BE25" s="346">
        <v>16.23</v>
      </c>
      <c r="BF25" s="346">
        <v>-2.0499999999999998</v>
      </c>
      <c r="BG25" s="346">
        <v>9.4</v>
      </c>
      <c r="BH25" s="346">
        <v>5.16</v>
      </c>
      <c r="BI25" s="346">
        <v>-1.23</v>
      </c>
      <c r="BJ25" s="346">
        <v>27.05</v>
      </c>
      <c r="BK25" s="346">
        <v>13.47</v>
      </c>
      <c r="BL25" s="346">
        <v>10.17</v>
      </c>
      <c r="BM25" s="346">
        <v>-15.24</v>
      </c>
      <c r="BN25" s="346">
        <v>5.89</v>
      </c>
      <c r="BO25" s="346">
        <v>2.29</v>
      </c>
      <c r="BP25" s="346">
        <v>-322.29000000000002</v>
      </c>
      <c r="BQ25" s="346">
        <v>52.13</v>
      </c>
      <c r="BR25" s="346">
        <v>61.42</v>
      </c>
      <c r="BS25" s="346">
        <v>11.11</v>
      </c>
      <c r="BT25" s="346">
        <v>-425.07</v>
      </c>
      <c r="BU25" s="346">
        <v>-0.23</v>
      </c>
      <c r="BV25" s="346">
        <v>-19.559999999999999</v>
      </c>
      <c r="BW25" s="346">
        <v>8.24</v>
      </c>
      <c r="BX25" s="346">
        <v>1.91</v>
      </c>
      <c r="BY25" s="346">
        <v>-237.39</v>
      </c>
      <c r="BZ25" s="346">
        <v>143.94999999999999</v>
      </c>
      <c r="CA25" s="346">
        <v>59.56</v>
      </c>
      <c r="CB25" s="346">
        <v>12.87</v>
      </c>
      <c r="CC25" s="346">
        <v>-401.11</v>
      </c>
      <c r="CD25" s="346">
        <v>-0.22</v>
      </c>
      <c r="CE25" s="346">
        <v>-34.76</v>
      </c>
      <c r="CF25" s="346">
        <v>97.32</v>
      </c>
      <c r="CG25" s="346">
        <v>48.28</v>
      </c>
      <c r="CH25" s="346">
        <v>20.71</v>
      </c>
      <c r="CI25" s="346">
        <v>87.21</v>
      </c>
      <c r="CJ25" s="346">
        <v>84.7</v>
      </c>
      <c r="CK25" s="346">
        <v>100</v>
      </c>
      <c r="CL25" s="346">
        <v>27.18</v>
      </c>
      <c r="CM25" s="346">
        <v>5.96</v>
      </c>
      <c r="CN25" s="346">
        <v>95.93</v>
      </c>
      <c r="CO25" s="346">
        <v>27.95</v>
      </c>
      <c r="CP25" s="346">
        <v>-0.09</v>
      </c>
      <c r="CQ25" s="346">
        <v>76.739999999999995</v>
      </c>
      <c r="CR25" s="346">
        <v>32.07</v>
      </c>
      <c r="CS25" s="346">
        <v>6.45</v>
      </c>
      <c r="CT25" s="346">
        <v>158</v>
      </c>
      <c r="CU25" s="346">
        <v>0.46</v>
      </c>
      <c r="CV25" s="346">
        <v>-21.72</v>
      </c>
      <c r="CW25" s="346">
        <v>2610973808.4899998</v>
      </c>
    </row>
    <row r="26" spans="1:101" x14ac:dyDescent="0.25">
      <c r="A26" s="346" t="str">
        <f>VLOOKUP(B26,'Loan Book Summary'!C:G,5,FALSE)</f>
        <v>0014I00001lGVkG</v>
      </c>
      <c r="B26" s="346">
        <v>1100000223</v>
      </c>
      <c r="C26" s="346" t="s">
        <v>5397</v>
      </c>
      <c r="D26" s="346" t="s">
        <v>1889</v>
      </c>
      <c r="E26" s="346">
        <v>2022</v>
      </c>
      <c r="F26" s="346">
        <v>6</v>
      </c>
      <c r="G26" s="346">
        <v>3409.2760880000001</v>
      </c>
      <c r="H26" s="346">
        <v>138.83441999999999</v>
      </c>
      <c r="I26" s="346">
        <v>138.83441999999999</v>
      </c>
      <c r="J26" s="346">
        <v>30652.912820000001</v>
      </c>
      <c r="K26" s="346">
        <v>29192.222330000001</v>
      </c>
      <c r="L26" s="346">
        <v>806.43225689999997</v>
      </c>
      <c r="M26" s="346" t="s">
        <v>1889</v>
      </c>
      <c r="N26" s="346">
        <v>14795.012189999999</v>
      </c>
      <c r="O26" s="346">
        <v>14795.012189999999</v>
      </c>
      <c r="P26" s="346">
        <v>26559.555</v>
      </c>
      <c r="Q26" s="346">
        <v>6565.9859509999997</v>
      </c>
      <c r="R26" s="346">
        <v>6221.6172370000004</v>
      </c>
      <c r="S26" s="346" t="s">
        <v>1889</v>
      </c>
      <c r="T26" s="346">
        <v>2103.75</v>
      </c>
      <c r="U26" s="346">
        <v>3564.440486</v>
      </c>
      <c r="V26" s="346">
        <v>1168.5523889999999</v>
      </c>
      <c r="W26" s="346">
        <v>1067.192063</v>
      </c>
      <c r="X26" s="346" t="s">
        <v>101</v>
      </c>
      <c r="Y26" s="346">
        <v>55100</v>
      </c>
      <c r="Z26" s="346">
        <v>5</v>
      </c>
      <c r="AA26" s="346" t="s">
        <v>996</v>
      </c>
      <c r="AB26" s="346" t="s">
        <v>110</v>
      </c>
      <c r="AC26" s="346" t="s">
        <v>110</v>
      </c>
      <c r="AD26" s="347">
        <v>0.47470000000000001</v>
      </c>
      <c r="AE26" s="347">
        <v>0.36649999999999999</v>
      </c>
      <c r="AF26" s="346">
        <v>1.03</v>
      </c>
      <c r="AG26" s="346">
        <v>1.96</v>
      </c>
      <c r="AH26" s="346">
        <v>2.86</v>
      </c>
      <c r="AI26" s="346">
        <v>3.72</v>
      </c>
      <c r="AJ26" s="346">
        <v>4.5599999999999996</v>
      </c>
      <c r="AK26" s="347">
        <v>1.03E-2</v>
      </c>
      <c r="AL26" s="347">
        <v>9.4000000000000004E-3</v>
      </c>
      <c r="AM26" s="347">
        <v>9.1000000000000004E-3</v>
      </c>
      <c r="AN26" s="347">
        <v>8.8999999999999999E-3</v>
      </c>
      <c r="AO26" s="347">
        <v>8.6999999999999994E-3</v>
      </c>
      <c r="AP26" s="347">
        <v>1.03E-2</v>
      </c>
      <c r="AQ26" s="347">
        <v>9.9000000000000008E-3</v>
      </c>
      <c r="AR26" s="347">
        <v>9.5999999999999992E-3</v>
      </c>
      <c r="AS26" s="347">
        <v>9.4000000000000004E-3</v>
      </c>
      <c r="AT26" s="347">
        <v>9.2999999999999992E-3</v>
      </c>
      <c r="AU26" s="347">
        <v>4.5600000000000002E-2</v>
      </c>
      <c r="AV26" s="346">
        <v>6.91</v>
      </c>
      <c r="AW26" s="346">
        <v>-4.04</v>
      </c>
      <c r="AX26" s="346">
        <v>17.190000000000001</v>
      </c>
      <c r="AY26" s="346">
        <v>-4.8</v>
      </c>
      <c r="AZ26" s="346">
        <v>-8.14</v>
      </c>
      <c r="BA26" s="346">
        <v>23.8</v>
      </c>
      <c r="BB26" s="346">
        <v>-6.73</v>
      </c>
      <c r="BC26" s="346">
        <v>-14.05</v>
      </c>
      <c r="BD26" s="346">
        <v>-14.35</v>
      </c>
      <c r="BE26" s="346">
        <v>7.94</v>
      </c>
      <c r="BF26" s="346">
        <v>-2.76</v>
      </c>
      <c r="BG26" s="346">
        <v>10.85</v>
      </c>
      <c r="BH26" s="346">
        <v>-11.08</v>
      </c>
      <c r="BI26" s="346">
        <v>-6.48</v>
      </c>
      <c r="BJ26" s="346">
        <v>22.72</v>
      </c>
      <c r="BK26" s="346">
        <v>-6.26</v>
      </c>
      <c r="BL26" s="346">
        <v>-10.68</v>
      </c>
      <c r="BM26" s="346">
        <v>-21.22</v>
      </c>
      <c r="BN26" s="346">
        <v>92.91</v>
      </c>
      <c r="BO26" s="346">
        <v>-6.3</v>
      </c>
      <c r="BP26" s="346">
        <v>-362.93</v>
      </c>
      <c r="BQ26" s="346">
        <v>-1.74</v>
      </c>
      <c r="BR26" s="346">
        <v>-26.01</v>
      </c>
      <c r="BS26" s="346">
        <v>177.4</v>
      </c>
      <c r="BT26" s="346">
        <v>-191.55</v>
      </c>
      <c r="BU26" s="346">
        <v>-19.18</v>
      </c>
      <c r="BV26" s="346">
        <v>-21.98</v>
      </c>
      <c r="BW26" s="346">
        <v>123.88</v>
      </c>
      <c r="BX26" s="346">
        <v>-4.3600000000000003</v>
      </c>
      <c r="BY26" s="346">
        <v>-277.17</v>
      </c>
      <c r="BZ26" s="346">
        <v>-4.0599999999999996</v>
      </c>
      <c r="CA26" s="346">
        <v>-22.12</v>
      </c>
      <c r="CB26" s="346">
        <v>203.61</v>
      </c>
      <c r="CC26" s="346">
        <v>-214.48</v>
      </c>
      <c r="CD26" s="346">
        <v>-15.44</v>
      </c>
      <c r="CE26" s="346">
        <v>-34.869999999999997</v>
      </c>
      <c r="CF26" s="346">
        <v>73.790000000000006</v>
      </c>
      <c r="CG26" s="346">
        <v>47.69</v>
      </c>
      <c r="CH26" s="346">
        <v>27.28</v>
      </c>
      <c r="CI26" s="346">
        <v>52.76</v>
      </c>
      <c r="CJ26" s="346">
        <v>54.56</v>
      </c>
      <c r="CK26" s="346">
        <v>87</v>
      </c>
      <c r="CL26" s="346">
        <v>64.55</v>
      </c>
      <c r="CM26" s="346">
        <v>91.52</v>
      </c>
      <c r="CN26" s="346">
        <v>95.25</v>
      </c>
      <c r="CO26" s="346">
        <v>12.28</v>
      </c>
      <c r="CP26" s="346">
        <v>-0.12</v>
      </c>
      <c r="CQ26" s="346">
        <v>169.43</v>
      </c>
      <c r="CR26" s="346">
        <v>5.54</v>
      </c>
      <c r="CS26" s="346">
        <v>0.15</v>
      </c>
      <c r="CT26" s="346">
        <v>90.99</v>
      </c>
      <c r="CU26" s="346">
        <v>23.04</v>
      </c>
      <c r="CV26" s="346">
        <v>17.8</v>
      </c>
      <c r="CW26" s="346">
        <v>2324010749.6900001</v>
      </c>
    </row>
    <row r="27" spans="1:101" x14ac:dyDescent="0.25">
      <c r="A27" s="346" t="str">
        <f>VLOOKUP(B27,'Loan Book Summary'!C:G,5,FALSE)</f>
        <v>0014I00001zbxX3</v>
      </c>
      <c r="B27" s="346">
        <v>1100000225</v>
      </c>
      <c r="C27" s="346" t="s">
        <v>5398</v>
      </c>
      <c r="D27" s="346" t="s">
        <v>1889</v>
      </c>
      <c r="E27" s="346">
        <v>2022</v>
      </c>
      <c r="F27" s="346">
        <v>6</v>
      </c>
      <c r="G27" s="346">
        <v>26721.139879999999</v>
      </c>
      <c r="H27" s="346">
        <v>5290.8572759999997</v>
      </c>
      <c r="I27" s="346">
        <v>5290.8572759999997</v>
      </c>
      <c r="J27" s="346">
        <v>60016.550219999997</v>
      </c>
      <c r="K27" s="346">
        <v>66657.628760000007</v>
      </c>
      <c r="L27" s="346">
        <v>-4954.3312679999999</v>
      </c>
      <c r="M27" s="346" t="s">
        <v>1889</v>
      </c>
      <c r="N27" s="346">
        <v>19057.414980000001</v>
      </c>
      <c r="O27" s="346">
        <v>19057.414980000001</v>
      </c>
      <c r="P27" s="346">
        <v>31260</v>
      </c>
      <c r="Q27" s="346">
        <v>76616.899999999994</v>
      </c>
      <c r="R27" s="346">
        <v>72598.544859999995</v>
      </c>
      <c r="S27" s="346">
        <v>2040.7148319999999</v>
      </c>
      <c r="T27" s="346">
        <v>223.76521120000001</v>
      </c>
      <c r="U27" s="346">
        <v>-3641.078544</v>
      </c>
      <c r="V27" s="346">
        <v>-3864.8437549999999</v>
      </c>
      <c r="W27" s="346">
        <v>-2873.890758</v>
      </c>
      <c r="X27" s="346" t="s">
        <v>101</v>
      </c>
      <c r="Y27" s="346">
        <v>26600</v>
      </c>
      <c r="Z27" s="346">
        <v>5</v>
      </c>
      <c r="AA27" s="346" t="s">
        <v>996</v>
      </c>
      <c r="AB27" s="346" t="s">
        <v>115</v>
      </c>
      <c r="AC27" s="346" t="s">
        <v>134</v>
      </c>
      <c r="AD27" s="347">
        <v>0.20610000000000001</v>
      </c>
      <c r="AE27" s="347">
        <v>7.4499999999999997E-2</v>
      </c>
      <c r="AF27" s="346">
        <v>0.42</v>
      </c>
      <c r="AG27" s="346">
        <v>0.73</v>
      </c>
      <c r="AH27" s="346">
        <v>1.02</v>
      </c>
      <c r="AI27" s="346">
        <v>1.28</v>
      </c>
      <c r="AJ27" s="346">
        <v>1.53</v>
      </c>
      <c r="AK27" s="347">
        <v>4.1999999999999997E-3</v>
      </c>
      <c r="AL27" s="347">
        <v>3.2000000000000002E-3</v>
      </c>
      <c r="AM27" s="347">
        <v>2.8999999999999998E-3</v>
      </c>
      <c r="AN27" s="347">
        <v>2.7000000000000001E-3</v>
      </c>
      <c r="AO27" s="347">
        <v>2.5999999999999999E-3</v>
      </c>
      <c r="AP27" s="347">
        <v>4.1999999999999997E-3</v>
      </c>
      <c r="AQ27" s="347">
        <v>3.7000000000000002E-3</v>
      </c>
      <c r="AR27" s="347">
        <v>3.3999999999999998E-3</v>
      </c>
      <c r="AS27" s="347">
        <v>3.2000000000000002E-3</v>
      </c>
      <c r="AT27" s="347">
        <v>3.0999999999999999E-3</v>
      </c>
      <c r="AU27" s="347">
        <v>1.5299999999999999E-2</v>
      </c>
      <c r="AV27" s="346">
        <v>-17.47</v>
      </c>
      <c r="AW27" s="346">
        <v>-2.97</v>
      </c>
      <c r="AX27" s="346">
        <v>18.77</v>
      </c>
      <c r="AY27" s="346">
        <v>-3.96</v>
      </c>
      <c r="AZ27" s="346">
        <v>-4.8600000000000003</v>
      </c>
      <c r="BA27" s="346">
        <v>-4.9400000000000004</v>
      </c>
      <c r="BB27" s="346">
        <v>-19.28</v>
      </c>
      <c r="BC27" s="346">
        <v>13.92</v>
      </c>
      <c r="BD27" s="346">
        <v>-13.82</v>
      </c>
      <c r="BE27" s="346">
        <v>-19.93</v>
      </c>
      <c r="BF27" s="346">
        <v>-2.02</v>
      </c>
      <c r="BG27" s="346">
        <v>11.77</v>
      </c>
      <c r="BH27" s="346">
        <v>-9.1</v>
      </c>
      <c r="BI27" s="346">
        <v>-3.85</v>
      </c>
      <c r="BJ27" s="346">
        <v>-4.6900000000000004</v>
      </c>
      <c r="BK27" s="346">
        <v>-17.829999999999998</v>
      </c>
      <c r="BL27" s="346">
        <v>10.51</v>
      </c>
      <c r="BM27" s="346">
        <v>-20.309999999999999</v>
      </c>
      <c r="BN27" s="346">
        <v>348.37</v>
      </c>
      <c r="BO27" s="346">
        <v>-22.09</v>
      </c>
      <c r="BP27" s="346">
        <v>-198.56</v>
      </c>
      <c r="BQ27" s="346">
        <v>-2.65</v>
      </c>
      <c r="BR27" s="346">
        <v>-107.04</v>
      </c>
      <c r="BS27" s="346">
        <v>148.46</v>
      </c>
      <c r="BT27" s="346">
        <v>-23.73</v>
      </c>
      <c r="BU27" s="346">
        <v>-28.03</v>
      </c>
      <c r="BV27" s="346">
        <v>-21.06</v>
      </c>
      <c r="BW27" s="346">
        <v>460.12</v>
      </c>
      <c r="BX27" s="346">
        <v>-13</v>
      </c>
      <c r="BY27" s="346">
        <v>-128.82</v>
      </c>
      <c r="BZ27" s="346">
        <v>-5.23</v>
      </c>
      <c r="CA27" s="346">
        <v>-84.23</v>
      </c>
      <c r="CB27" s="346">
        <v>143.91</v>
      </c>
      <c r="CC27" s="346">
        <v>-19.100000000000001</v>
      </c>
      <c r="CD27" s="346">
        <v>-18.440000000000001</v>
      </c>
      <c r="CE27" s="346">
        <v>-27.14</v>
      </c>
      <c r="CF27" s="346">
        <v>2</v>
      </c>
      <c r="CG27" s="346">
        <v>43.36</v>
      </c>
      <c r="CH27" s="346">
        <v>8.26</v>
      </c>
      <c r="CI27" s="346">
        <v>52.76</v>
      </c>
      <c r="CJ27" s="346">
        <v>40.47</v>
      </c>
      <c r="CK27" s="346">
        <v>51.8</v>
      </c>
      <c r="CL27" s="346">
        <v>93.88</v>
      </c>
      <c r="CM27" s="346">
        <v>12.66</v>
      </c>
      <c r="CN27" s="346">
        <v>97.37</v>
      </c>
      <c r="CO27" s="346">
        <v>-6.47</v>
      </c>
      <c r="CP27" s="346">
        <v>-0.38</v>
      </c>
      <c r="CQ27" s="346">
        <v>-715.2</v>
      </c>
      <c r="CR27" s="346">
        <v>5.54</v>
      </c>
      <c r="CS27" s="346">
        <v>-1.53</v>
      </c>
      <c r="CT27" s="346">
        <v>63.63</v>
      </c>
      <c r="CU27" s="346">
        <v>140.21</v>
      </c>
      <c r="CV27" s="346">
        <v>-5.04</v>
      </c>
      <c r="CW27" s="346">
        <v>4043501328.2800002</v>
      </c>
    </row>
    <row r="28" spans="1:101" x14ac:dyDescent="0.25">
      <c r="A28" s="346" t="str">
        <f>VLOOKUP(B28,'Loan Book Summary'!C:G,5,FALSE)</f>
        <v>0014I00001lzk4N</v>
      </c>
      <c r="B28" s="346">
        <v>1200000131</v>
      </c>
      <c r="C28" s="346" t="s">
        <v>5399</v>
      </c>
      <c r="D28" s="346" t="s">
        <v>1889</v>
      </c>
      <c r="E28" s="346">
        <v>2022</v>
      </c>
      <c r="F28" s="346">
        <v>6</v>
      </c>
      <c r="G28" s="346">
        <v>1054.823451</v>
      </c>
      <c r="H28" s="346">
        <v>-200.99199999999999</v>
      </c>
      <c r="I28" s="346">
        <v>-200.99199999999999</v>
      </c>
      <c r="J28" s="346">
        <v>8476.6554429999997</v>
      </c>
      <c r="K28" s="346">
        <v>8260.2719969999998</v>
      </c>
      <c r="L28" s="346">
        <v>466.70499999999998</v>
      </c>
      <c r="M28" s="346" t="s">
        <v>1889</v>
      </c>
      <c r="N28" s="346">
        <v>3434.9470000000001</v>
      </c>
      <c r="O28" s="346">
        <v>3434.9470000000001</v>
      </c>
      <c r="P28" s="346">
        <v>7113.0178999999998</v>
      </c>
      <c r="Q28" s="346">
        <v>3857.9783130000001</v>
      </c>
      <c r="R28" s="346">
        <v>3655.6374850000002</v>
      </c>
      <c r="S28" s="346">
        <v>103.35988399999999</v>
      </c>
      <c r="T28" s="346">
        <v>438.00483279999997</v>
      </c>
      <c r="U28" s="346">
        <v>838.23696500000005</v>
      </c>
      <c r="V28" s="346">
        <v>320.18570579999999</v>
      </c>
      <c r="W28" s="346">
        <v>459.10228549999999</v>
      </c>
      <c r="X28" s="346" t="s">
        <v>101</v>
      </c>
      <c r="Y28" s="346">
        <v>55100</v>
      </c>
      <c r="Z28" s="346">
        <v>5</v>
      </c>
      <c r="AA28" s="346" t="s">
        <v>996</v>
      </c>
      <c r="AB28" s="346" t="s">
        <v>105</v>
      </c>
      <c r="AC28" s="346" t="s">
        <v>110</v>
      </c>
      <c r="AD28" s="347">
        <v>0.52180000000000004</v>
      </c>
      <c r="AE28" s="347">
        <v>0.4486</v>
      </c>
      <c r="AF28" s="346">
        <v>1.2</v>
      </c>
      <c r="AG28" s="346">
        <v>2.3199999999999998</v>
      </c>
      <c r="AH28" s="346">
        <v>3.4</v>
      </c>
      <c r="AI28" s="346">
        <v>4.46</v>
      </c>
      <c r="AJ28" s="346">
        <v>5.49</v>
      </c>
      <c r="AK28" s="347">
        <v>1.2E-2</v>
      </c>
      <c r="AL28" s="347">
        <v>1.1299999999999999E-2</v>
      </c>
      <c r="AM28" s="347">
        <v>1.11E-2</v>
      </c>
      <c r="AN28" s="347">
        <v>1.09E-2</v>
      </c>
      <c r="AO28" s="347">
        <v>1.0800000000000001E-2</v>
      </c>
      <c r="AP28" s="347">
        <v>1.2E-2</v>
      </c>
      <c r="AQ28" s="347">
        <v>1.17E-2</v>
      </c>
      <c r="AR28" s="347">
        <v>1.15E-2</v>
      </c>
      <c r="AS28" s="347">
        <v>1.1299999999999999E-2</v>
      </c>
      <c r="AT28" s="347">
        <v>1.12E-2</v>
      </c>
      <c r="AU28" s="347">
        <v>5.4899999999999997E-2</v>
      </c>
      <c r="AV28" s="346">
        <v>8.3699999999999992</v>
      </c>
      <c r="AW28" s="346">
        <v>-4.2300000000000004</v>
      </c>
      <c r="AX28" s="346">
        <v>16.97</v>
      </c>
      <c r="AY28" s="346">
        <v>-5.81</v>
      </c>
      <c r="AZ28" s="346">
        <v>-7.72</v>
      </c>
      <c r="BA28" s="346">
        <v>26.15</v>
      </c>
      <c r="BB28" s="346">
        <v>-11.58</v>
      </c>
      <c r="BC28" s="346">
        <v>-12.77</v>
      </c>
      <c r="BD28" s="346">
        <v>-6.39</v>
      </c>
      <c r="BE28" s="346">
        <v>9.84</v>
      </c>
      <c r="BF28" s="346">
        <v>-2.96</v>
      </c>
      <c r="BG28" s="346">
        <v>10.96</v>
      </c>
      <c r="BH28" s="346">
        <v>-13.74</v>
      </c>
      <c r="BI28" s="346">
        <v>-6.3</v>
      </c>
      <c r="BJ28" s="346">
        <v>25.56</v>
      </c>
      <c r="BK28" s="346">
        <v>-11.03</v>
      </c>
      <c r="BL28" s="346">
        <v>-9.93</v>
      </c>
      <c r="BM28" s="346">
        <v>-9.67</v>
      </c>
      <c r="BN28" s="346">
        <v>81.36</v>
      </c>
      <c r="BO28" s="346">
        <v>14.24</v>
      </c>
      <c r="BP28" s="346">
        <v>-328.63</v>
      </c>
      <c r="BQ28" s="346">
        <v>-1.48</v>
      </c>
      <c r="BR28" s="346">
        <v>-63.32</v>
      </c>
      <c r="BS28" s="346">
        <v>160.06</v>
      </c>
      <c r="BT28" s="346">
        <v>-142.91999999999999</v>
      </c>
      <c r="BU28" s="346">
        <v>-50.88</v>
      </c>
      <c r="BV28" s="346">
        <v>-57.1</v>
      </c>
      <c r="BW28" s="346">
        <v>109.58</v>
      </c>
      <c r="BX28" s="346">
        <v>11.59</v>
      </c>
      <c r="BY28" s="346">
        <v>-238.89</v>
      </c>
      <c r="BZ28" s="346">
        <v>-4.0599999999999996</v>
      </c>
      <c r="CA28" s="346">
        <v>-59.55</v>
      </c>
      <c r="CB28" s="346">
        <v>177.14</v>
      </c>
      <c r="CC28" s="346">
        <v>-154.41999999999999</v>
      </c>
      <c r="CD28" s="346">
        <v>-45.81</v>
      </c>
      <c r="CE28" s="346">
        <v>-98.97</v>
      </c>
      <c r="CF28" s="346">
        <v>73.05</v>
      </c>
      <c r="CG28" s="346">
        <v>60.22</v>
      </c>
      <c r="CH28" s="346">
        <v>30.79</v>
      </c>
      <c r="CI28" s="346">
        <v>52.76</v>
      </c>
      <c r="CJ28" s="346">
        <v>42.51</v>
      </c>
      <c r="CK28" s="346">
        <v>84.46</v>
      </c>
      <c r="CL28" s="346">
        <v>69.62</v>
      </c>
      <c r="CM28" s="346">
        <v>78.27</v>
      </c>
      <c r="CN28" s="346">
        <v>83.49</v>
      </c>
      <c r="CO28" s="346">
        <v>12.1</v>
      </c>
      <c r="CP28" s="346">
        <v>0.28999999999999998</v>
      </c>
      <c r="CQ28" s="346">
        <v>214.97</v>
      </c>
      <c r="CR28" s="346">
        <v>5.54</v>
      </c>
      <c r="CS28" s="346">
        <v>-1.24</v>
      </c>
      <c r="CT28" s="346">
        <v>88.55</v>
      </c>
      <c r="CU28" s="346">
        <v>30.71</v>
      </c>
      <c r="CV28" s="346">
        <v>8.3000000000000007</v>
      </c>
      <c r="CW28" s="346">
        <v>609107943.15999997</v>
      </c>
    </row>
    <row r="29" spans="1:101" x14ac:dyDescent="0.25">
      <c r="A29" s="346" t="str">
        <f>VLOOKUP(B29,'Loan Book Summary'!C:G,5,FALSE)</f>
        <v>0015800001fFIlI</v>
      </c>
      <c r="B29" s="346">
        <v>1200000143</v>
      </c>
      <c r="C29" s="346" t="s">
        <v>5400</v>
      </c>
      <c r="D29" s="346" t="s">
        <v>1889</v>
      </c>
      <c r="E29" s="346">
        <v>2022</v>
      </c>
      <c r="F29" s="346">
        <v>6</v>
      </c>
      <c r="G29" s="346">
        <v>854.28686459999994</v>
      </c>
      <c r="H29" s="346">
        <v>106.07899999999999</v>
      </c>
      <c r="I29" s="346">
        <v>106.07899999999999</v>
      </c>
      <c r="J29" s="346">
        <v>6231.1129259999998</v>
      </c>
      <c r="K29" s="346">
        <v>6064.2542389999999</v>
      </c>
      <c r="L29" s="346">
        <v>393.84832080000001</v>
      </c>
      <c r="M29" s="346" t="s">
        <v>1889</v>
      </c>
      <c r="N29" s="346">
        <v>393.84832080000001</v>
      </c>
      <c r="O29" s="346">
        <v>393.84832080000001</v>
      </c>
      <c r="P29" s="346">
        <v>3657.6668399999999</v>
      </c>
      <c r="Q29" s="346">
        <v>3091.4523530000001</v>
      </c>
      <c r="R29" s="346">
        <v>2922.560508</v>
      </c>
      <c r="S29" s="346">
        <v>56.936698460000002</v>
      </c>
      <c r="T29" s="346">
        <v>69.240243179999993</v>
      </c>
      <c r="U29" s="346">
        <v>574.52057239999999</v>
      </c>
      <c r="V29" s="346">
        <v>401.92603630000002</v>
      </c>
      <c r="W29" s="346">
        <v>302.163025</v>
      </c>
      <c r="X29" s="346" t="s">
        <v>101</v>
      </c>
      <c r="Y29" s="346">
        <v>55100</v>
      </c>
      <c r="Z29" s="346">
        <v>5</v>
      </c>
      <c r="AA29" s="346" t="s">
        <v>996</v>
      </c>
      <c r="AB29" s="346" t="s">
        <v>115</v>
      </c>
      <c r="AC29" s="346" t="s">
        <v>115</v>
      </c>
      <c r="AD29" s="347">
        <v>0.127</v>
      </c>
      <c r="AE29" s="347">
        <v>0.12280000000000001</v>
      </c>
      <c r="AF29" s="346">
        <v>0.28000000000000003</v>
      </c>
      <c r="AG29" s="346">
        <v>0.67</v>
      </c>
      <c r="AH29" s="346">
        <v>1.0900000000000001</v>
      </c>
      <c r="AI29" s="346">
        <v>1.55</v>
      </c>
      <c r="AJ29" s="346">
        <v>2.04</v>
      </c>
      <c r="AK29" s="347">
        <v>2.8E-3</v>
      </c>
      <c r="AL29" s="347">
        <v>3.8E-3</v>
      </c>
      <c r="AM29" s="347">
        <v>4.3E-3</v>
      </c>
      <c r="AN29" s="347">
        <v>4.7000000000000002E-3</v>
      </c>
      <c r="AO29" s="347">
        <v>4.8999999999999998E-3</v>
      </c>
      <c r="AP29" s="347">
        <v>2.8E-3</v>
      </c>
      <c r="AQ29" s="347">
        <v>3.3E-3</v>
      </c>
      <c r="AR29" s="347">
        <v>3.7000000000000002E-3</v>
      </c>
      <c r="AS29" s="347">
        <v>3.8999999999999998E-3</v>
      </c>
      <c r="AT29" s="347">
        <v>4.1000000000000003E-3</v>
      </c>
      <c r="AU29" s="347">
        <v>2.0400000000000001E-2</v>
      </c>
      <c r="AV29" s="346">
        <v>10.3</v>
      </c>
      <c r="AW29" s="346">
        <v>-5.17</v>
      </c>
      <c r="AX29" s="346">
        <v>-8.84</v>
      </c>
      <c r="AY29" s="346">
        <v>-6.15</v>
      </c>
      <c r="AZ29" s="346">
        <v>-10.02</v>
      </c>
      <c r="BA29" s="346">
        <v>-9.1</v>
      </c>
      <c r="BB29" s="346">
        <v>-31.49</v>
      </c>
      <c r="BC29" s="346">
        <v>-16.59</v>
      </c>
      <c r="BD29" s="346">
        <v>-2.34</v>
      </c>
      <c r="BE29" s="346">
        <v>12.17</v>
      </c>
      <c r="BF29" s="346">
        <v>-3.64</v>
      </c>
      <c r="BG29" s="346">
        <v>-5.74</v>
      </c>
      <c r="BH29" s="346">
        <v>-14.62</v>
      </c>
      <c r="BI29" s="346">
        <v>-8.2100000000000009</v>
      </c>
      <c r="BJ29" s="346">
        <v>-8.94</v>
      </c>
      <c r="BK29" s="346">
        <v>-30.14</v>
      </c>
      <c r="BL29" s="346">
        <v>-12.97</v>
      </c>
      <c r="BM29" s="346">
        <v>-3.56</v>
      </c>
      <c r="BN29" s="346">
        <v>111.2</v>
      </c>
      <c r="BO29" s="346">
        <v>-7.39</v>
      </c>
      <c r="BP29" s="346">
        <v>-547.77</v>
      </c>
      <c r="BQ29" s="346">
        <v>-2.04</v>
      </c>
      <c r="BR29" s="346">
        <v>18.07</v>
      </c>
      <c r="BS29" s="346">
        <v>125.56</v>
      </c>
      <c r="BT29" s="346">
        <v>-5.42</v>
      </c>
      <c r="BU29" s="346">
        <v>-35.020000000000003</v>
      </c>
      <c r="BV29" s="346">
        <v>-47.54</v>
      </c>
      <c r="BW29" s="346">
        <v>167.87</v>
      </c>
      <c r="BX29" s="346">
        <v>-5.65</v>
      </c>
      <c r="BY29" s="346">
        <v>-425.17</v>
      </c>
      <c r="BZ29" s="346">
        <v>-5.27</v>
      </c>
      <c r="CA29" s="346">
        <v>15.91</v>
      </c>
      <c r="CB29" s="346">
        <v>157</v>
      </c>
      <c r="CC29" s="346">
        <v>-5.65</v>
      </c>
      <c r="CD29" s="346">
        <v>-29.2</v>
      </c>
      <c r="CE29" s="346">
        <v>-88.27</v>
      </c>
      <c r="CF29" s="346">
        <v>75.56</v>
      </c>
      <c r="CG29" s="346">
        <v>46.24</v>
      </c>
      <c r="CH29" s="346">
        <v>61.93</v>
      </c>
      <c r="CI29" s="346">
        <v>53.37</v>
      </c>
      <c r="CJ29" s="346">
        <v>64.59</v>
      </c>
      <c r="CK29" s="346">
        <v>48.52</v>
      </c>
      <c r="CL29" s="346">
        <v>97.03</v>
      </c>
      <c r="CM29" s="346">
        <v>87</v>
      </c>
      <c r="CN29" s="346">
        <v>73.62</v>
      </c>
      <c r="CO29" s="346">
        <v>12.74</v>
      </c>
      <c r="CP29" s="346">
        <v>-0.2</v>
      </c>
      <c r="CQ29" s="346">
        <v>911.98</v>
      </c>
      <c r="CR29" s="346">
        <v>5.78</v>
      </c>
      <c r="CS29" s="346">
        <v>1.39</v>
      </c>
      <c r="CT29" s="346">
        <v>61.16</v>
      </c>
      <c r="CU29" s="346">
        <v>216.91</v>
      </c>
      <c r="CV29" s="346">
        <v>13</v>
      </c>
      <c r="CW29" s="346">
        <v>338771927.44</v>
      </c>
    </row>
    <row r="30" spans="1:101" x14ac:dyDescent="0.25">
      <c r="A30" s="346" t="str">
        <f>VLOOKUP(B30,'Loan Book Summary'!C:G,5,FALSE)</f>
        <v>0014I00001z5rPw</v>
      </c>
      <c r="B30" s="346">
        <v>1100000136</v>
      </c>
      <c r="C30" s="346" t="s">
        <v>5401</v>
      </c>
      <c r="D30" s="346" t="s">
        <v>1889</v>
      </c>
      <c r="E30" s="346">
        <v>2022</v>
      </c>
      <c r="F30" s="346">
        <v>6</v>
      </c>
      <c r="G30" s="346">
        <v>880.39219679999997</v>
      </c>
      <c r="H30" s="346">
        <v>472.41322000000002</v>
      </c>
      <c r="I30" s="346">
        <v>472.41322000000002</v>
      </c>
      <c r="J30" s="346">
        <v>2967.6367249999998</v>
      </c>
      <c r="K30" s="346">
        <v>2663.730865</v>
      </c>
      <c r="L30" s="346">
        <v>457.49285149999997</v>
      </c>
      <c r="M30" s="346" t="s">
        <v>1889</v>
      </c>
      <c r="N30" s="346">
        <v>3361.9918510000002</v>
      </c>
      <c r="O30" s="346">
        <v>3361.9918510000002</v>
      </c>
      <c r="P30" s="346">
        <v>2191.3910000000001</v>
      </c>
      <c r="Q30" s="346">
        <v>3699.7377499999998</v>
      </c>
      <c r="R30" s="346">
        <v>3505.6962239999998</v>
      </c>
      <c r="S30" s="346">
        <v>95.850967139999995</v>
      </c>
      <c r="T30" s="346" t="s">
        <v>1889</v>
      </c>
      <c r="U30" s="346">
        <v>603.11840489999997</v>
      </c>
      <c r="V30" s="346">
        <v>482.4947239</v>
      </c>
      <c r="W30" s="346">
        <v>350.09665189999998</v>
      </c>
      <c r="X30" s="346" t="s">
        <v>101</v>
      </c>
      <c r="Y30" s="346">
        <v>56302</v>
      </c>
      <c r="Z30" s="346">
        <v>5</v>
      </c>
      <c r="AA30" s="346" t="s">
        <v>996</v>
      </c>
      <c r="AB30" s="346" t="s">
        <v>110</v>
      </c>
      <c r="AC30" s="346" t="s">
        <v>110</v>
      </c>
      <c r="AD30" s="347">
        <v>0.45300000000000001</v>
      </c>
      <c r="AE30" s="347">
        <v>0.42299999999999999</v>
      </c>
      <c r="AF30" s="346">
        <v>0.96</v>
      </c>
      <c r="AG30" s="346">
        <v>2</v>
      </c>
      <c r="AH30" s="346">
        <v>3.05</v>
      </c>
      <c r="AI30" s="346">
        <v>4.1100000000000003</v>
      </c>
      <c r="AJ30" s="346">
        <v>5.18</v>
      </c>
      <c r="AK30" s="347">
        <v>9.5999999999999992E-3</v>
      </c>
      <c r="AL30" s="347">
        <v>1.04E-2</v>
      </c>
      <c r="AM30" s="347">
        <v>1.0800000000000001E-2</v>
      </c>
      <c r="AN30" s="347">
        <v>1.0999999999999999E-2</v>
      </c>
      <c r="AO30" s="347">
        <v>1.11E-2</v>
      </c>
      <c r="AP30" s="347">
        <v>9.5999999999999992E-3</v>
      </c>
      <c r="AQ30" s="347">
        <v>0.01</v>
      </c>
      <c r="AR30" s="347">
        <v>1.03E-2</v>
      </c>
      <c r="AS30" s="347">
        <v>1.0500000000000001E-2</v>
      </c>
      <c r="AT30" s="347">
        <v>1.06E-2</v>
      </c>
      <c r="AU30" s="347">
        <v>5.1799999999999999E-2</v>
      </c>
      <c r="AV30" s="346">
        <v>12.2</v>
      </c>
      <c r="AW30" s="346">
        <v>-4.57</v>
      </c>
      <c r="AX30" s="346" t="s">
        <v>1889</v>
      </c>
      <c r="AY30" s="346">
        <v>-7.29</v>
      </c>
      <c r="AZ30" s="346">
        <v>-11.52</v>
      </c>
      <c r="BA30" s="346">
        <v>29.57</v>
      </c>
      <c r="BB30" s="346">
        <v>-12.41</v>
      </c>
      <c r="BC30" s="346">
        <v>-19.66</v>
      </c>
      <c r="BD30" s="346">
        <v>-2.78</v>
      </c>
      <c r="BE30" s="346">
        <v>13.74</v>
      </c>
      <c r="BF30" s="346">
        <v>-3.07</v>
      </c>
      <c r="BG30" s="346" t="s">
        <v>1889</v>
      </c>
      <c r="BH30" s="346">
        <v>-16.510000000000002</v>
      </c>
      <c r="BI30" s="346">
        <v>-8.99</v>
      </c>
      <c r="BJ30" s="346">
        <v>27.69</v>
      </c>
      <c r="BK30" s="346">
        <v>-11.32</v>
      </c>
      <c r="BL30" s="346">
        <v>-14.65</v>
      </c>
      <c r="BM30" s="346">
        <v>-4.0199999999999996</v>
      </c>
      <c r="BN30" s="346">
        <v>126.56</v>
      </c>
      <c r="BO30" s="346">
        <v>-35.479999999999997</v>
      </c>
      <c r="BP30" s="346">
        <v>0</v>
      </c>
      <c r="BQ30" s="346">
        <v>-2.38</v>
      </c>
      <c r="BR30" s="346">
        <v>28.69</v>
      </c>
      <c r="BS30" s="346">
        <v>256.14</v>
      </c>
      <c r="BT30" s="346">
        <v>-257.56</v>
      </c>
      <c r="BU30" s="346">
        <v>-39.74</v>
      </c>
      <c r="BV30" s="346">
        <v>-53.45</v>
      </c>
      <c r="BW30" s="346">
        <v>146.30000000000001</v>
      </c>
      <c r="BX30" s="346">
        <v>-24.29</v>
      </c>
      <c r="BY30" s="346">
        <v>0</v>
      </c>
      <c r="BZ30" s="346">
        <v>-5.32</v>
      </c>
      <c r="CA30" s="346">
        <v>22.69</v>
      </c>
      <c r="CB30" s="346">
        <v>247.65</v>
      </c>
      <c r="CC30" s="346">
        <v>-242.69</v>
      </c>
      <c r="CD30" s="346">
        <v>-30.6</v>
      </c>
      <c r="CE30" s="346">
        <v>-80.48</v>
      </c>
      <c r="CF30" s="346">
        <v>74.12</v>
      </c>
      <c r="CG30" s="346">
        <v>39.119999999999997</v>
      </c>
      <c r="CH30" s="346" t="s">
        <v>1889</v>
      </c>
      <c r="CI30" s="346">
        <v>52.76</v>
      </c>
      <c r="CJ30" s="346">
        <v>67.36</v>
      </c>
      <c r="CK30" s="346">
        <v>83.56</v>
      </c>
      <c r="CL30" s="346">
        <v>66.78</v>
      </c>
      <c r="CM30" s="346">
        <v>87.05</v>
      </c>
      <c r="CN30" s="346">
        <v>72.67</v>
      </c>
      <c r="CO30" s="346">
        <v>12.37</v>
      </c>
      <c r="CP30" s="346">
        <v>-0.71</v>
      </c>
      <c r="CQ30" s="346" t="s">
        <v>1889</v>
      </c>
      <c r="CR30" s="346">
        <v>5.54</v>
      </c>
      <c r="CS30" s="346">
        <v>1.81</v>
      </c>
      <c r="CT30" s="346">
        <v>87.74</v>
      </c>
      <c r="CU30" s="346">
        <v>26.19</v>
      </c>
      <c r="CV30" s="346">
        <v>13.04</v>
      </c>
      <c r="CW30" s="346">
        <v>323669889.19999999</v>
      </c>
    </row>
    <row r="31" spans="1:101" x14ac:dyDescent="0.25">
      <c r="A31" s="346" t="str">
        <f>VLOOKUP(B31,'Loan Book Summary'!C:G,5,FALSE)</f>
        <v>0014I00001wCsHB</v>
      </c>
      <c r="B31" s="346">
        <v>1100000190</v>
      </c>
      <c r="C31" s="346" t="s">
        <v>5402</v>
      </c>
      <c r="D31" s="346" t="s">
        <v>1889</v>
      </c>
      <c r="E31" s="346">
        <v>2022</v>
      </c>
      <c r="F31" s="346">
        <v>6</v>
      </c>
      <c r="G31" s="346">
        <v>2887.9705570000001</v>
      </c>
      <c r="H31" s="346">
        <v>219.84800000000001</v>
      </c>
      <c r="I31" s="346">
        <v>219.84800000000001</v>
      </c>
      <c r="J31" s="346">
        <v>26961.576099999998</v>
      </c>
      <c r="K31" s="346">
        <v>27221.027129999999</v>
      </c>
      <c r="L31" s="346">
        <v>639.25099999999998</v>
      </c>
      <c r="M31" s="346" t="s">
        <v>1889</v>
      </c>
      <c r="N31" s="346">
        <v>1707.8920000000001</v>
      </c>
      <c r="O31" s="346">
        <v>1745.9690000000001</v>
      </c>
      <c r="P31" s="346">
        <v>29133.973999999998</v>
      </c>
      <c r="Q31" s="346">
        <v>6601.0220730000001</v>
      </c>
      <c r="R31" s="346">
        <v>6226.1665469999998</v>
      </c>
      <c r="S31" s="346">
        <v>256.98890349999999</v>
      </c>
      <c r="T31" s="346">
        <v>1002.187403</v>
      </c>
      <c r="U31" s="346">
        <v>1060.548972</v>
      </c>
      <c r="V31" s="346">
        <v>12.77654136</v>
      </c>
      <c r="W31" s="346">
        <v>-163.6035823</v>
      </c>
      <c r="X31" s="346" t="s">
        <v>101</v>
      </c>
      <c r="Y31" s="346">
        <v>87200</v>
      </c>
      <c r="Z31" s="346">
        <v>5</v>
      </c>
      <c r="AA31" s="346" t="s">
        <v>996</v>
      </c>
      <c r="AB31" s="346" t="s">
        <v>105</v>
      </c>
      <c r="AC31" s="346" t="s">
        <v>110</v>
      </c>
      <c r="AD31" s="347">
        <v>0.61709999999999998</v>
      </c>
      <c r="AE31" s="347">
        <v>0.42809999999999998</v>
      </c>
      <c r="AF31" s="346">
        <v>1.62</v>
      </c>
      <c r="AG31" s="346">
        <v>2.69</v>
      </c>
      <c r="AH31" s="346">
        <v>3.62</v>
      </c>
      <c r="AI31" s="346">
        <v>4.46</v>
      </c>
      <c r="AJ31" s="346">
        <v>5.24</v>
      </c>
      <c r="AK31" s="347">
        <v>1.6199999999999999E-2</v>
      </c>
      <c r="AL31" s="347">
        <v>1.09E-2</v>
      </c>
      <c r="AM31" s="347">
        <v>9.4999999999999998E-3</v>
      </c>
      <c r="AN31" s="347">
        <v>8.6999999999999994E-3</v>
      </c>
      <c r="AO31" s="347">
        <v>8.2000000000000007E-3</v>
      </c>
      <c r="AP31" s="347">
        <v>1.6199999999999999E-2</v>
      </c>
      <c r="AQ31" s="347">
        <v>1.3599999999999999E-2</v>
      </c>
      <c r="AR31" s="347">
        <v>1.2200000000000001E-2</v>
      </c>
      <c r="AS31" s="347">
        <v>1.1299999999999999E-2</v>
      </c>
      <c r="AT31" s="347">
        <v>1.0699999999999999E-2</v>
      </c>
      <c r="AU31" s="347">
        <v>5.2400000000000002E-2</v>
      </c>
      <c r="AV31" s="346">
        <v>1.78</v>
      </c>
      <c r="AW31" s="346">
        <v>-3.38</v>
      </c>
      <c r="AX31" s="346">
        <v>15.54</v>
      </c>
      <c r="AY31" s="346">
        <v>-4.0199999999999996</v>
      </c>
      <c r="AZ31" s="346">
        <v>-6.84</v>
      </c>
      <c r="BA31" s="346">
        <v>29.29</v>
      </c>
      <c r="BB31" s="346">
        <v>-20.100000000000001</v>
      </c>
      <c r="BC31" s="346">
        <v>8.75</v>
      </c>
      <c r="BD31" s="346">
        <v>-10.31</v>
      </c>
      <c r="BE31" s="346">
        <v>2.09</v>
      </c>
      <c r="BF31" s="346">
        <v>-2.37</v>
      </c>
      <c r="BG31" s="346">
        <v>10.06</v>
      </c>
      <c r="BH31" s="346">
        <v>-9.52</v>
      </c>
      <c r="BI31" s="346">
        <v>-5.59</v>
      </c>
      <c r="BJ31" s="346">
        <v>28.7</v>
      </c>
      <c r="BK31" s="346">
        <v>-19.190000000000001</v>
      </c>
      <c r="BL31" s="346">
        <v>6.82</v>
      </c>
      <c r="BM31" s="346">
        <v>-15.65</v>
      </c>
      <c r="BN31" s="346">
        <v>95.06</v>
      </c>
      <c r="BO31" s="346">
        <v>-6</v>
      </c>
      <c r="BP31" s="346">
        <v>-403.18</v>
      </c>
      <c r="BQ31" s="346">
        <v>-1.66</v>
      </c>
      <c r="BR31" s="346">
        <v>-13.6</v>
      </c>
      <c r="BS31" s="346">
        <v>131.78</v>
      </c>
      <c r="BT31" s="346">
        <v>-8.57</v>
      </c>
      <c r="BU31" s="346">
        <v>-209.85</v>
      </c>
      <c r="BV31" s="346">
        <v>-30.3</v>
      </c>
      <c r="BW31" s="346">
        <v>137.5</v>
      </c>
      <c r="BX31" s="346">
        <v>-5.69</v>
      </c>
      <c r="BY31" s="346">
        <v>-312.07</v>
      </c>
      <c r="BZ31" s="346">
        <v>-5.3</v>
      </c>
      <c r="CA31" s="346">
        <v>-14.71</v>
      </c>
      <c r="CB31" s="346">
        <v>157.13999999999999</v>
      </c>
      <c r="CC31" s="346">
        <v>-10.95</v>
      </c>
      <c r="CD31" s="346">
        <v>-197.99</v>
      </c>
      <c r="CE31" s="346">
        <v>-58.66</v>
      </c>
      <c r="CF31" s="346">
        <v>62.16</v>
      </c>
      <c r="CG31" s="346">
        <v>46.2</v>
      </c>
      <c r="CH31" s="346">
        <v>24.36</v>
      </c>
      <c r="CI31" s="346">
        <v>53.97</v>
      </c>
      <c r="CJ31" s="346">
        <v>58.73</v>
      </c>
      <c r="CK31" s="346">
        <v>97.07</v>
      </c>
      <c r="CL31" s="346">
        <v>95.41</v>
      </c>
      <c r="CM31" s="346">
        <v>27.02</v>
      </c>
      <c r="CN31" s="346">
        <v>92.51</v>
      </c>
      <c r="CO31" s="346">
        <v>9.68</v>
      </c>
      <c r="CP31" s="346">
        <v>-0.2</v>
      </c>
      <c r="CQ31" s="346">
        <v>131.47</v>
      </c>
      <c r="CR31" s="346">
        <v>6.02</v>
      </c>
      <c r="CS31" s="346">
        <v>0.61</v>
      </c>
      <c r="CT31" s="346">
        <v>107.58</v>
      </c>
      <c r="CU31" s="346">
        <v>169.1</v>
      </c>
      <c r="CV31" s="346">
        <v>0.19</v>
      </c>
      <c r="CW31" s="346">
        <v>1466032872.52</v>
      </c>
    </row>
    <row r="32" spans="1:101" x14ac:dyDescent="0.25">
      <c r="A32" s="346" t="str">
        <f>VLOOKUP(B32,'Loan Book Summary'!C:G,5,FALSE)</f>
        <v>0014I000029MDAV</v>
      </c>
      <c r="B32" s="346">
        <v>1100000226</v>
      </c>
      <c r="C32" s="346" t="s">
        <v>5403</v>
      </c>
      <c r="D32" s="346" t="s">
        <v>1889</v>
      </c>
      <c r="E32" s="346">
        <v>2022</v>
      </c>
      <c r="F32" s="346">
        <v>6</v>
      </c>
      <c r="G32" s="346">
        <v>1765.7770680000001</v>
      </c>
      <c r="H32" s="346">
        <v>3379.9290000000001</v>
      </c>
      <c r="I32" s="346">
        <v>3379.9290000000001</v>
      </c>
      <c r="J32" s="346">
        <v>88357.580409999995</v>
      </c>
      <c r="K32" s="346">
        <v>89362.597649999996</v>
      </c>
      <c r="L32" s="346">
        <v>2312.3519999999999</v>
      </c>
      <c r="M32" s="346" t="s">
        <v>1889</v>
      </c>
      <c r="N32" s="346">
        <v>4863.6859999999997</v>
      </c>
      <c r="O32" s="346">
        <v>4863.6859999999997</v>
      </c>
      <c r="P32" s="346">
        <v>63052.563000000002</v>
      </c>
      <c r="Q32" s="346">
        <v>20796.24109</v>
      </c>
      <c r="R32" s="346">
        <v>19705.532869999999</v>
      </c>
      <c r="S32" s="346">
        <v>838.39034960000004</v>
      </c>
      <c r="T32" s="346">
        <v>15147.328</v>
      </c>
      <c r="U32" s="346">
        <v>2129.9827580000001</v>
      </c>
      <c r="V32" s="346">
        <v>-13017.345240000001</v>
      </c>
      <c r="W32" s="346">
        <v>-13680.186460000001</v>
      </c>
      <c r="X32" s="346" t="s">
        <v>101</v>
      </c>
      <c r="Y32" s="346">
        <v>56302</v>
      </c>
      <c r="Z32" s="346">
        <v>5</v>
      </c>
      <c r="AA32" s="346" t="s">
        <v>996</v>
      </c>
      <c r="AB32" s="346" t="s">
        <v>105</v>
      </c>
      <c r="AC32" s="346" t="s">
        <v>114</v>
      </c>
      <c r="AD32" s="347">
        <v>0.5171</v>
      </c>
      <c r="AE32" s="347">
        <v>0.32590000000000002</v>
      </c>
      <c r="AF32" s="346">
        <v>1.18</v>
      </c>
      <c r="AG32" s="346">
        <v>2.02</v>
      </c>
      <c r="AH32" s="346">
        <v>2.76</v>
      </c>
      <c r="AI32" s="346">
        <v>3.45</v>
      </c>
      <c r="AJ32" s="346">
        <v>4.09</v>
      </c>
      <c r="AK32" s="347">
        <v>1.18E-2</v>
      </c>
      <c r="AL32" s="347">
        <v>8.5000000000000006E-3</v>
      </c>
      <c r="AM32" s="347">
        <v>7.6E-3</v>
      </c>
      <c r="AN32" s="347">
        <v>7.0000000000000001E-3</v>
      </c>
      <c r="AO32" s="347">
        <v>6.6E-3</v>
      </c>
      <c r="AP32" s="347">
        <v>1.18E-2</v>
      </c>
      <c r="AQ32" s="347">
        <v>1.0200000000000001E-2</v>
      </c>
      <c r="AR32" s="347">
        <v>9.2999999999999992E-3</v>
      </c>
      <c r="AS32" s="347">
        <v>8.6999999999999994E-3</v>
      </c>
      <c r="AT32" s="347">
        <v>8.3000000000000001E-3</v>
      </c>
      <c r="AU32" s="347">
        <v>4.0899999999999999E-2</v>
      </c>
      <c r="AV32" s="346">
        <v>5.05</v>
      </c>
      <c r="AW32" s="346">
        <v>-2.81</v>
      </c>
      <c r="AX32" s="346">
        <v>23.12</v>
      </c>
      <c r="AY32" s="346">
        <v>-4.96</v>
      </c>
      <c r="AZ32" s="346">
        <v>-8.4499999999999993</v>
      </c>
      <c r="BA32" s="346">
        <v>3.23</v>
      </c>
      <c r="BB32" s="346">
        <v>-12.72</v>
      </c>
      <c r="BC32" s="346">
        <v>19.54</v>
      </c>
      <c r="BD32" s="346">
        <v>-20.13</v>
      </c>
      <c r="BE32" s="346">
        <v>5.8</v>
      </c>
      <c r="BF32" s="346">
        <v>-1.92</v>
      </c>
      <c r="BG32" s="346">
        <v>14.59</v>
      </c>
      <c r="BH32" s="346">
        <v>-11.45</v>
      </c>
      <c r="BI32" s="346">
        <v>-6.72</v>
      </c>
      <c r="BJ32" s="346">
        <v>3.08</v>
      </c>
      <c r="BK32" s="346">
        <v>-11.83</v>
      </c>
      <c r="BL32" s="346">
        <v>14.84</v>
      </c>
      <c r="BM32" s="346">
        <v>-29.76</v>
      </c>
      <c r="BN32" s="346">
        <v>101.47</v>
      </c>
      <c r="BO32" s="346">
        <v>-37.76</v>
      </c>
      <c r="BP32" s="346">
        <v>-430.48</v>
      </c>
      <c r="BQ32" s="346">
        <v>-1.82</v>
      </c>
      <c r="BR32" s="346">
        <v>-15.23</v>
      </c>
      <c r="BS32" s="346">
        <v>169.46</v>
      </c>
      <c r="BT32" s="346">
        <v>-136.52000000000001</v>
      </c>
      <c r="BU32" s="346">
        <v>-0.28000000000000003</v>
      </c>
      <c r="BV32" s="346">
        <v>-6.98</v>
      </c>
      <c r="BW32" s="346">
        <v>149.11000000000001</v>
      </c>
      <c r="BX32" s="346">
        <v>-34.68</v>
      </c>
      <c r="BY32" s="346">
        <v>-319.92</v>
      </c>
      <c r="BZ32" s="346">
        <v>-5.77</v>
      </c>
      <c r="CA32" s="346">
        <v>-16.190000000000001</v>
      </c>
      <c r="CB32" s="346">
        <v>199.52</v>
      </c>
      <c r="CC32" s="346">
        <v>-160.65</v>
      </c>
      <c r="CD32" s="346">
        <v>-0.28999999999999998</v>
      </c>
      <c r="CE32" s="346">
        <v>-13.88</v>
      </c>
      <c r="CF32" s="346">
        <v>68.94</v>
      </c>
      <c r="CG32" s="346">
        <v>36.96</v>
      </c>
      <c r="CH32" s="346">
        <v>17.98</v>
      </c>
      <c r="CI32" s="346">
        <v>52.76</v>
      </c>
      <c r="CJ32" s="346">
        <v>58.28</v>
      </c>
      <c r="CK32" s="346">
        <v>64.42</v>
      </c>
      <c r="CL32" s="346">
        <v>72.680000000000007</v>
      </c>
      <c r="CM32" s="346">
        <v>4</v>
      </c>
      <c r="CN32" s="346">
        <v>98.02</v>
      </c>
      <c r="CO32" s="346">
        <v>11.12</v>
      </c>
      <c r="CP32" s="346">
        <v>-0.9</v>
      </c>
      <c r="CQ32" s="346">
        <v>19.600000000000001</v>
      </c>
      <c r="CR32" s="346">
        <v>5.54</v>
      </c>
      <c r="CS32" s="346">
        <v>0.55000000000000004</v>
      </c>
      <c r="CT32" s="346">
        <v>72.849999999999994</v>
      </c>
      <c r="CU32" s="346">
        <v>36.31</v>
      </c>
      <c r="CV32" s="346">
        <v>-62.59</v>
      </c>
      <c r="CW32" s="346">
        <v>4766933257.9899998</v>
      </c>
    </row>
    <row r="33" spans="1:101" x14ac:dyDescent="0.25">
      <c r="A33" s="346" t="str">
        <f>VLOOKUP(B33,'Loan Book Summary'!C:G,5,FALSE)</f>
        <v>0014I00001jTjtP</v>
      </c>
      <c r="B33" s="346">
        <v>1100000002</v>
      </c>
      <c r="C33" s="346" t="s">
        <v>5404</v>
      </c>
      <c r="D33" s="346" t="s">
        <v>1889</v>
      </c>
      <c r="E33" s="346">
        <v>2022</v>
      </c>
      <c r="F33" s="346">
        <v>6</v>
      </c>
      <c r="G33" s="346">
        <v>781.80762430000004</v>
      </c>
      <c r="H33" s="346" t="s">
        <v>1889</v>
      </c>
      <c r="I33" s="346" t="s">
        <v>1889</v>
      </c>
      <c r="J33" s="346">
        <v>16941.933560000001</v>
      </c>
      <c r="K33" s="346">
        <v>16649.050910000002</v>
      </c>
      <c r="L33" s="346" t="s">
        <v>1889</v>
      </c>
      <c r="M33" s="346" t="s">
        <v>1889</v>
      </c>
      <c r="N33" s="346">
        <v>0</v>
      </c>
      <c r="O33" s="346" t="s">
        <v>1889</v>
      </c>
      <c r="P33" s="346">
        <v>6574.7867200000001</v>
      </c>
      <c r="Q33" s="346">
        <v>3776.7037479999999</v>
      </c>
      <c r="R33" s="346">
        <v>3578.6255580000002</v>
      </c>
      <c r="S33" s="346" t="s">
        <v>1889</v>
      </c>
      <c r="T33" s="346">
        <v>597.5704293</v>
      </c>
      <c r="U33" s="346">
        <v>977.94124820000002</v>
      </c>
      <c r="V33" s="346">
        <v>304.29665510000001</v>
      </c>
      <c r="W33" s="346">
        <v>211.71152000000001</v>
      </c>
      <c r="X33" s="346" t="s">
        <v>101</v>
      </c>
      <c r="Y33" s="346">
        <v>55100</v>
      </c>
      <c r="Z33" s="346">
        <v>5</v>
      </c>
      <c r="AA33" s="346" t="s">
        <v>996</v>
      </c>
      <c r="AB33" s="346" t="s">
        <v>114</v>
      </c>
      <c r="AC33" s="346" t="s">
        <v>115</v>
      </c>
      <c r="AD33" s="347">
        <v>0.307</v>
      </c>
      <c r="AE33" s="347">
        <v>0.20069999999999999</v>
      </c>
      <c r="AF33" s="346">
        <v>0.59</v>
      </c>
      <c r="AG33" s="346">
        <v>1.1499999999999999</v>
      </c>
      <c r="AH33" s="346">
        <v>1.69</v>
      </c>
      <c r="AI33" s="346">
        <v>2.2200000000000002</v>
      </c>
      <c r="AJ33" s="346">
        <v>2.74</v>
      </c>
      <c r="AK33" s="347">
        <v>5.8999999999999999E-3</v>
      </c>
      <c r="AL33" s="347">
        <v>5.5999999999999999E-3</v>
      </c>
      <c r="AM33" s="347">
        <v>5.4999999999999997E-3</v>
      </c>
      <c r="AN33" s="347">
        <v>5.4000000000000003E-3</v>
      </c>
      <c r="AO33" s="347">
        <v>5.3E-3</v>
      </c>
      <c r="AP33" s="347">
        <v>5.8999999999999999E-3</v>
      </c>
      <c r="AQ33" s="347">
        <v>5.7999999999999996E-3</v>
      </c>
      <c r="AR33" s="347">
        <v>5.7000000000000002E-3</v>
      </c>
      <c r="AS33" s="347">
        <v>5.5999999999999999E-3</v>
      </c>
      <c r="AT33" s="347">
        <v>5.4999999999999997E-3</v>
      </c>
      <c r="AU33" s="347">
        <v>2.7400000000000001E-2</v>
      </c>
      <c r="AV33" s="346" t="s">
        <v>1889</v>
      </c>
      <c r="AW33" s="346" t="s">
        <v>1889</v>
      </c>
      <c r="AX33" s="346">
        <v>30.32</v>
      </c>
      <c r="AY33" s="346">
        <v>-8.4700000000000006</v>
      </c>
      <c r="AZ33" s="346" t="s">
        <v>1889</v>
      </c>
      <c r="BA33" s="346">
        <v>-30.36</v>
      </c>
      <c r="BB33" s="346" t="s">
        <v>1889</v>
      </c>
      <c r="BC33" s="346">
        <v>-17.46</v>
      </c>
      <c r="BD33" s="346">
        <v>-13.39</v>
      </c>
      <c r="BE33" s="346" t="s">
        <v>1889</v>
      </c>
      <c r="BF33" s="346" t="s">
        <v>1889</v>
      </c>
      <c r="BG33" s="346">
        <v>18.989999999999998</v>
      </c>
      <c r="BH33" s="346">
        <v>-19.41</v>
      </c>
      <c r="BI33" s="346" t="s">
        <v>1889</v>
      </c>
      <c r="BJ33" s="346">
        <v>-28.77</v>
      </c>
      <c r="BK33" s="346" t="s">
        <v>1889</v>
      </c>
      <c r="BL33" s="346">
        <v>-13.17</v>
      </c>
      <c r="BM33" s="346">
        <v>-19.649999999999999</v>
      </c>
      <c r="BN33" s="346">
        <v>0</v>
      </c>
      <c r="BO33" s="346">
        <v>0</v>
      </c>
      <c r="BP33" s="346">
        <v>-350.05</v>
      </c>
      <c r="BQ33" s="346">
        <v>-1.66</v>
      </c>
      <c r="BR33" s="346">
        <v>0</v>
      </c>
      <c r="BS33" s="346">
        <v>33.47</v>
      </c>
      <c r="BT33" s="346">
        <v>0</v>
      </c>
      <c r="BU33" s="346">
        <v>-60.14</v>
      </c>
      <c r="BV33" s="346">
        <v>-54.68</v>
      </c>
      <c r="BW33" s="346">
        <v>0</v>
      </c>
      <c r="BX33" s="346">
        <v>0</v>
      </c>
      <c r="BY33" s="346">
        <v>-280.64</v>
      </c>
      <c r="BZ33" s="346">
        <v>-4.8899999999999997</v>
      </c>
      <c r="CA33" s="346">
        <v>0</v>
      </c>
      <c r="CB33" s="346">
        <v>43.07</v>
      </c>
      <c r="CC33" s="346">
        <v>0</v>
      </c>
      <c r="CD33" s="346">
        <v>-61.93</v>
      </c>
      <c r="CE33" s="346">
        <v>-109.47</v>
      </c>
      <c r="CF33" s="346" t="s">
        <v>1889</v>
      </c>
      <c r="CG33" s="346" t="s">
        <v>1889</v>
      </c>
      <c r="CH33" s="346">
        <v>26.83</v>
      </c>
      <c r="CI33" s="346">
        <v>52.76</v>
      </c>
      <c r="CJ33" s="346" t="s">
        <v>1889</v>
      </c>
      <c r="CK33" s="346">
        <v>23.35</v>
      </c>
      <c r="CL33" s="346" t="s">
        <v>1889</v>
      </c>
      <c r="CM33" s="346">
        <v>77.61</v>
      </c>
      <c r="CN33" s="346">
        <v>87.82</v>
      </c>
      <c r="CO33" s="346" t="s">
        <v>1889</v>
      </c>
      <c r="CP33" s="346" t="s">
        <v>1889</v>
      </c>
      <c r="CQ33" s="346">
        <v>163.65</v>
      </c>
      <c r="CR33" s="346">
        <v>5.54</v>
      </c>
      <c r="CS33" s="346" t="s">
        <v>1889</v>
      </c>
      <c r="CT33" s="346">
        <v>38.81</v>
      </c>
      <c r="CU33" s="346" t="s">
        <v>1889</v>
      </c>
      <c r="CV33" s="346">
        <v>8.06</v>
      </c>
      <c r="CW33" s="346">
        <v>866337367.54999995</v>
      </c>
    </row>
    <row r="34" spans="1:101" x14ac:dyDescent="0.25">
      <c r="A34" s="346" t="str">
        <f>VLOOKUP(B34,'Loan Book Summary'!C:G,5,FALSE)</f>
        <v>0015800001VjgTF</v>
      </c>
      <c r="B34" s="346">
        <v>1100000202</v>
      </c>
      <c r="C34" s="346" t="s">
        <v>5405</v>
      </c>
      <c r="D34" s="346" t="s">
        <v>1889</v>
      </c>
      <c r="E34" s="346">
        <v>2022</v>
      </c>
      <c r="F34" s="346">
        <v>6</v>
      </c>
      <c r="G34" s="346">
        <v>403.67997359999998</v>
      </c>
      <c r="H34" s="346">
        <v>35.199860000000001</v>
      </c>
      <c r="I34" s="346">
        <v>35.199860000000001</v>
      </c>
      <c r="J34" s="346">
        <v>5974.1391180000001</v>
      </c>
      <c r="K34" s="346">
        <v>6227.288466</v>
      </c>
      <c r="L34" s="346">
        <v>578.90259000000003</v>
      </c>
      <c r="M34" s="346" t="s">
        <v>1889</v>
      </c>
      <c r="N34" s="346">
        <v>648.82230000000004</v>
      </c>
      <c r="O34" s="346">
        <v>648.82230000000004</v>
      </c>
      <c r="P34" s="346">
        <v>7606.6123600000001</v>
      </c>
      <c r="Q34" s="346">
        <v>3762.1859570000001</v>
      </c>
      <c r="R34" s="346">
        <v>3564.8691869999998</v>
      </c>
      <c r="S34" s="346">
        <v>130.98306579999999</v>
      </c>
      <c r="T34" s="346" t="s">
        <v>1889</v>
      </c>
      <c r="U34" s="346">
        <v>436.59928400000001</v>
      </c>
      <c r="V34" s="346">
        <v>349.27942719999999</v>
      </c>
      <c r="W34" s="346">
        <v>309.99689030000002</v>
      </c>
      <c r="X34" s="346" t="s">
        <v>101</v>
      </c>
      <c r="Y34" s="346">
        <v>55100</v>
      </c>
      <c r="Z34" s="346">
        <v>5</v>
      </c>
      <c r="AA34" s="346" t="s">
        <v>996</v>
      </c>
      <c r="AB34" s="346" t="s">
        <v>105</v>
      </c>
      <c r="AC34" s="346" t="s">
        <v>105</v>
      </c>
      <c r="AD34" s="347">
        <v>0.53969999999999996</v>
      </c>
      <c r="AE34" s="347">
        <v>0.52149999999999996</v>
      </c>
      <c r="AF34" s="346">
        <v>1.27</v>
      </c>
      <c r="AG34" s="346">
        <v>2.58</v>
      </c>
      <c r="AH34" s="346">
        <v>3.89</v>
      </c>
      <c r="AI34" s="346">
        <v>5.19</v>
      </c>
      <c r="AJ34" s="346">
        <v>6.49</v>
      </c>
      <c r="AK34" s="347">
        <v>1.2699999999999999E-2</v>
      </c>
      <c r="AL34" s="347">
        <v>1.32E-2</v>
      </c>
      <c r="AM34" s="347">
        <v>1.34E-2</v>
      </c>
      <c r="AN34" s="347">
        <v>1.3599999999999999E-2</v>
      </c>
      <c r="AO34" s="347">
        <v>1.37E-2</v>
      </c>
      <c r="AP34" s="347">
        <v>1.2699999999999999E-2</v>
      </c>
      <c r="AQ34" s="347">
        <v>1.2999999999999999E-2</v>
      </c>
      <c r="AR34" s="347">
        <v>1.3100000000000001E-2</v>
      </c>
      <c r="AS34" s="347">
        <v>1.32E-2</v>
      </c>
      <c r="AT34" s="347">
        <v>1.3299999999999999E-2</v>
      </c>
      <c r="AU34" s="347">
        <v>6.4899999999999999E-2</v>
      </c>
      <c r="AV34" s="346">
        <v>12.99</v>
      </c>
      <c r="AW34" s="346">
        <v>-4.22</v>
      </c>
      <c r="AX34" s="346" t="s">
        <v>1889</v>
      </c>
      <c r="AY34" s="346">
        <v>-4.8499999999999996</v>
      </c>
      <c r="AZ34" s="346">
        <v>-8.2100000000000009</v>
      </c>
      <c r="BA34" s="346">
        <v>37.76</v>
      </c>
      <c r="BB34" s="346">
        <v>-18.8</v>
      </c>
      <c r="BC34" s="346">
        <v>-11.31</v>
      </c>
      <c r="BD34" s="346">
        <v>-1.85</v>
      </c>
      <c r="BE34" s="346">
        <v>14.86</v>
      </c>
      <c r="BF34" s="346">
        <v>-2.88</v>
      </c>
      <c r="BG34" s="346" t="s">
        <v>1889</v>
      </c>
      <c r="BH34" s="346">
        <v>-11.16</v>
      </c>
      <c r="BI34" s="346">
        <v>-6.51</v>
      </c>
      <c r="BJ34" s="346">
        <v>35.9</v>
      </c>
      <c r="BK34" s="346">
        <v>-17.41</v>
      </c>
      <c r="BL34" s="346">
        <v>-8.56</v>
      </c>
      <c r="BM34" s="346">
        <v>-2.72</v>
      </c>
      <c r="BN34" s="346">
        <v>217.61</v>
      </c>
      <c r="BO34" s="346">
        <v>7.6</v>
      </c>
      <c r="BP34" s="346">
        <v>0</v>
      </c>
      <c r="BQ34" s="346">
        <v>-5.1100000000000003</v>
      </c>
      <c r="BR34" s="346">
        <v>-23.79</v>
      </c>
      <c r="BS34" s="346">
        <v>106.37</v>
      </c>
      <c r="BT34" s="346">
        <v>-181.9</v>
      </c>
      <c r="BU34" s="346">
        <v>-143.69999999999999</v>
      </c>
      <c r="BV34" s="346">
        <v>-113.93</v>
      </c>
      <c r="BW34" s="346">
        <v>238.99</v>
      </c>
      <c r="BX34" s="346">
        <v>4.8099999999999996</v>
      </c>
      <c r="BY34" s="346">
        <v>0</v>
      </c>
      <c r="BZ34" s="346">
        <v>-11</v>
      </c>
      <c r="CA34" s="346">
        <v>-17.940000000000001</v>
      </c>
      <c r="CB34" s="346">
        <v>97.96</v>
      </c>
      <c r="CC34" s="346">
        <v>-162.36000000000001</v>
      </c>
      <c r="CD34" s="346">
        <v>-105.01</v>
      </c>
      <c r="CE34" s="346">
        <v>-161.94</v>
      </c>
      <c r="CF34" s="346">
        <v>83.9</v>
      </c>
      <c r="CG34" s="346">
        <v>49.06</v>
      </c>
      <c r="CH34" s="346" t="s">
        <v>1889</v>
      </c>
      <c r="CI34" s="346">
        <v>52.76</v>
      </c>
      <c r="CJ34" s="346">
        <v>60</v>
      </c>
      <c r="CK34" s="346">
        <v>98.96</v>
      </c>
      <c r="CL34" s="346">
        <v>82.47</v>
      </c>
      <c r="CM34" s="346">
        <v>80.67</v>
      </c>
      <c r="CN34" s="346">
        <v>73.62</v>
      </c>
      <c r="CO34" s="346">
        <v>15.39</v>
      </c>
      <c r="CP34" s="346">
        <v>-0.05</v>
      </c>
      <c r="CQ34" s="346" t="s">
        <v>1889</v>
      </c>
      <c r="CR34" s="346">
        <v>5.54</v>
      </c>
      <c r="CS34" s="346">
        <v>0.77</v>
      </c>
      <c r="CT34" s="346">
        <v>124.65</v>
      </c>
      <c r="CU34" s="346">
        <v>62.22</v>
      </c>
      <c r="CV34" s="346">
        <v>9.2799999999999994</v>
      </c>
      <c r="CW34" s="346">
        <v>338669664.82999998</v>
      </c>
    </row>
    <row r="35" spans="1:101" x14ac:dyDescent="0.25">
      <c r="A35" s="346" t="str">
        <f>VLOOKUP(B35,'Loan Book Summary'!C:G,5,FALSE)</f>
        <v>0014I00001xvXvo</v>
      </c>
      <c r="B35" s="346">
        <v>1200000117</v>
      </c>
      <c r="C35" s="346" t="s">
        <v>5406</v>
      </c>
      <c r="D35" s="346" t="s">
        <v>1889</v>
      </c>
      <c r="E35" s="346">
        <v>2022</v>
      </c>
      <c r="F35" s="346">
        <v>6</v>
      </c>
      <c r="G35" s="346">
        <v>1440.183818</v>
      </c>
      <c r="H35" s="346">
        <v>391.66025000000002</v>
      </c>
      <c r="I35" s="346">
        <v>391.66025000000002</v>
      </c>
      <c r="J35" s="346">
        <v>8314.7820429999992</v>
      </c>
      <c r="K35" s="346">
        <v>7884.6895290000002</v>
      </c>
      <c r="L35" s="346">
        <v>701.68349000000001</v>
      </c>
      <c r="M35" s="346" t="s">
        <v>1889</v>
      </c>
      <c r="N35" s="346">
        <v>8649.1076599999997</v>
      </c>
      <c r="O35" s="346">
        <v>8714.1076599999997</v>
      </c>
      <c r="P35" s="346">
        <v>6214.8549999999996</v>
      </c>
      <c r="Q35" s="346">
        <v>6970.5339860000004</v>
      </c>
      <c r="R35" s="346">
        <v>6604.9477900000002</v>
      </c>
      <c r="S35" s="346">
        <v>149.8248815</v>
      </c>
      <c r="T35" s="346" t="s">
        <v>1889</v>
      </c>
      <c r="U35" s="346">
        <v>850.49251430000004</v>
      </c>
      <c r="V35" s="346">
        <v>680.39401139999995</v>
      </c>
      <c r="W35" s="346">
        <v>368.5001355</v>
      </c>
      <c r="X35" s="346" t="s">
        <v>101</v>
      </c>
      <c r="Y35" s="346">
        <v>56302</v>
      </c>
      <c r="Z35" s="346">
        <v>5</v>
      </c>
      <c r="AA35" s="346" t="s">
        <v>996</v>
      </c>
      <c r="AB35" s="346" t="s">
        <v>110</v>
      </c>
      <c r="AC35" s="346" t="s">
        <v>110</v>
      </c>
      <c r="AD35" s="347">
        <v>0.42520000000000002</v>
      </c>
      <c r="AE35" s="347">
        <v>0.36370000000000002</v>
      </c>
      <c r="AF35" s="346">
        <v>0.88</v>
      </c>
      <c r="AG35" s="346">
        <v>1.79</v>
      </c>
      <c r="AH35" s="346">
        <v>2.7</v>
      </c>
      <c r="AI35" s="346">
        <v>3.62</v>
      </c>
      <c r="AJ35" s="346">
        <v>4.53</v>
      </c>
      <c r="AK35" s="347">
        <v>8.8000000000000005E-3</v>
      </c>
      <c r="AL35" s="347">
        <v>9.1999999999999998E-3</v>
      </c>
      <c r="AM35" s="347">
        <v>9.2999999999999992E-3</v>
      </c>
      <c r="AN35" s="347">
        <v>9.4000000000000004E-3</v>
      </c>
      <c r="AO35" s="347">
        <v>9.4999999999999998E-3</v>
      </c>
      <c r="AP35" s="347">
        <v>8.8000000000000005E-3</v>
      </c>
      <c r="AQ35" s="347">
        <v>8.9999999999999993E-3</v>
      </c>
      <c r="AR35" s="347">
        <v>9.1000000000000004E-3</v>
      </c>
      <c r="AS35" s="347">
        <v>9.1999999999999998E-3</v>
      </c>
      <c r="AT35" s="347">
        <v>9.1999999999999998E-3</v>
      </c>
      <c r="AU35" s="347">
        <v>4.53E-2</v>
      </c>
      <c r="AV35" s="346">
        <v>5.08</v>
      </c>
      <c r="AW35" s="346">
        <v>-6.41</v>
      </c>
      <c r="AX35" s="346" t="s">
        <v>1889</v>
      </c>
      <c r="AY35" s="346">
        <v>-8.02</v>
      </c>
      <c r="AZ35" s="346">
        <v>-12.66</v>
      </c>
      <c r="BA35" s="346">
        <v>32.51</v>
      </c>
      <c r="BB35" s="346">
        <v>-3.96</v>
      </c>
      <c r="BC35" s="346">
        <v>-18.68</v>
      </c>
      <c r="BD35" s="346">
        <v>-12.68</v>
      </c>
      <c r="BE35" s="346">
        <v>5.48</v>
      </c>
      <c r="BF35" s="346">
        <v>-4.12</v>
      </c>
      <c r="BG35" s="346" t="s">
        <v>1889</v>
      </c>
      <c r="BH35" s="346">
        <v>-17.38</v>
      </c>
      <c r="BI35" s="346">
        <v>-9.4700000000000006</v>
      </c>
      <c r="BJ35" s="346">
        <v>29.15</v>
      </c>
      <c r="BK35" s="346">
        <v>-3.46</v>
      </c>
      <c r="BL35" s="346">
        <v>-13.34</v>
      </c>
      <c r="BM35" s="346">
        <v>-17.600000000000001</v>
      </c>
      <c r="BN35" s="346">
        <v>100.84</v>
      </c>
      <c r="BO35" s="346">
        <v>-12.23</v>
      </c>
      <c r="BP35" s="346">
        <v>0</v>
      </c>
      <c r="BQ35" s="346">
        <v>-1.8</v>
      </c>
      <c r="BR35" s="346">
        <v>22.64</v>
      </c>
      <c r="BS35" s="346">
        <v>202.34</v>
      </c>
      <c r="BT35" s="346">
        <v>-343.69</v>
      </c>
      <c r="BU35" s="346">
        <v>-53.68</v>
      </c>
      <c r="BV35" s="346">
        <v>-62.77</v>
      </c>
      <c r="BW35" s="346">
        <v>116.85</v>
      </c>
      <c r="BX35" s="346">
        <v>-7.89</v>
      </c>
      <c r="BY35" s="346">
        <v>0</v>
      </c>
      <c r="BZ35" s="346">
        <v>-4.08</v>
      </c>
      <c r="CA35" s="346">
        <v>16.57</v>
      </c>
      <c r="CB35" s="346">
        <v>197.34</v>
      </c>
      <c r="CC35" s="346">
        <v>-327.62</v>
      </c>
      <c r="CD35" s="346">
        <v>-38.020000000000003</v>
      </c>
      <c r="CE35" s="346">
        <v>-91.64</v>
      </c>
      <c r="CF35" s="346">
        <v>64.08</v>
      </c>
      <c r="CG35" s="346">
        <v>44.42</v>
      </c>
      <c r="CH35" s="346" t="s">
        <v>1889</v>
      </c>
      <c r="CI35" s="346">
        <v>52.76</v>
      </c>
      <c r="CJ35" s="346">
        <v>67.22</v>
      </c>
      <c r="CK35" s="346">
        <v>83.43</v>
      </c>
      <c r="CL35" s="346">
        <v>59.25</v>
      </c>
      <c r="CM35" s="346">
        <v>81.72</v>
      </c>
      <c r="CN35" s="346">
        <v>87.84</v>
      </c>
      <c r="CO35" s="346">
        <v>10.07</v>
      </c>
      <c r="CP35" s="346">
        <v>-0.31</v>
      </c>
      <c r="CQ35" s="346" t="s">
        <v>1889</v>
      </c>
      <c r="CR35" s="346">
        <v>5.54</v>
      </c>
      <c r="CS35" s="346">
        <v>1.79</v>
      </c>
      <c r="CT35" s="346">
        <v>87.62</v>
      </c>
      <c r="CU35" s="346">
        <v>16.649999999999999</v>
      </c>
      <c r="CV35" s="346">
        <v>9.76</v>
      </c>
      <c r="CW35" s="346">
        <v>867460109.95000005</v>
      </c>
    </row>
    <row r="36" spans="1:101" x14ac:dyDescent="0.25">
      <c r="A36" s="346" t="str">
        <f>VLOOKUP(B36,'Loan Book Summary'!C:G,5,FALSE)</f>
        <v>0015800001Enl9O</v>
      </c>
      <c r="B36" s="346">
        <v>1100000175</v>
      </c>
      <c r="C36" s="346" t="s">
        <v>5407</v>
      </c>
      <c r="D36" s="346" t="s">
        <v>1889</v>
      </c>
      <c r="E36" s="346">
        <v>2022</v>
      </c>
      <c r="F36" s="346">
        <v>6</v>
      </c>
      <c r="G36" s="346">
        <v>50</v>
      </c>
      <c r="H36" s="346" t="s">
        <v>1889</v>
      </c>
      <c r="I36" s="346" t="s">
        <v>1889</v>
      </c>
      <c r="J36" s="346">
        <v>87.654112740000002</v>
      </c>
      <c r="K36" s="346">
        <v>482.54988070000002</v>
      </c>
      <c r="L36" s="346" t="s">
        <v>1889</v>
      </c>
      <c r="M36" s="346" t="s">
        <v>1889</v>
      </c>
      <c r="N36" s="346">
        <v>0</v>
      </c>
      <c r="O36" s="346" t="s">
        <v>1889</v>
      </c>
      <c r="P36" s="346">
        <v>26465.093260000001</v>
      </c>
      <c r="Q36" s="346">
        <v>3672.4130829999999</v>
      </c>
      <c r="R36" s="346">
        <v>2780.578974</v>
      </c>
      <c r="S36" s="346" t="s">
        <v>1889</v>
      </c>
      <c r="T36" s="346">
        <v>2148.7279469999999</v>
      </c>
      <c r="U36" s="346">
        <v>556.33351779999998</v>
      </c>
      <c r="V36" s="346">
        <v>-1592.3944289999999</v>
      </c>
      <c r="W36" s="346">
        <v>-1965.9746070000001</v>
      </c>
      <c r="X36" s="346" t="s">
        <v>101</v>
      </c>
      <c r="Y36" s="346">
        <v>55100</v>
      </c>
      <c r="Z36" s="346">
        <v>5</v>
      </c>
      <c r="AA36" s="346" t="s">
        <v>996</v>
      </c>
      <c r="AB36" s="346" t="s">
        <v>118</v>
      </c>
      <c r="AC36" s="346" t="s">
        <v>118</v>
      </c>
      <c r="AD36" s="347">
        <v>0.96220000000000006</v>
      </c>
      <c r="AE36" s="347">
        <v>0.96970000000000001</v>
      </c>
      <c r="AF36" s="346">
        <v>11.76</v>
      </c>
      <c r="AG36" s="346">
        <v>20.61</v>
      </c>
      <c r="AH36" s="346">
        <v>28.13</v>
      </c>
      <c r="AI36" s="346">
        <v>34.69</v>
      </c>
      <c r="AJ36" s="346">
        <v>40.49</v>
      </c>
      <c r="AK36" s="347">
        <v>0.1176</v>
      </c>
      <c r="AL36" s="347">
        <v>0.1004</v>
      </c>
      <c r="AM36" s="347">
        <v>9.4700000000000006E-2</v>
      </c>
      <c r="AN36" s="347">
        <v>9.1300000000000006E-2</v>
      </c>
      <c r="AO36" s="347">
        <v>8.8800000000000004E-2</v>
      </c>
      <c r="AP36" s="347">
        <v>0.1176</v>
      </c>
      <c r="AQ36" s="347">
        <v>0.109</v>
      </c>
      <c r="AR36" s="347">
        <v>0.1043</v>
      </c>
      <c r="AS36" s="347">
        <v>0.10100000000000001</v>
      </c>
      <c r="AT36" s="347">
        <v>9.8599999999999993E-2</v>
      </c>
      <c r="AU36" s="347">
        <v>0.40489999999999998</v>
      </c>
      <c r="AV36" s="346" t="s">
        <v>1889</v>
      </c>
      <c r="AW36" s="346" t="s">
        <v>1889</v>
      </c>
      <c r="AX36" s="346">
        <v>20.010000000000002</v>
      </c>
      <c r="AY36" s="346">
        <v>2.87</v>
      </c>
      <c r="AZ36" s="346" t="s">
        <v>1889</v>
      </c>
      <c r="BA36" s="346">
        <v>36.380000000000003</v>
      </c>
      <c r="BB36" s="346" t="s">
        <v>1889</v>
      </c>
      <c r="BC36" s="346">
        <v>17.18</v>
      </c>
      <c r="BD36" s="346">
        <v>23.56</v>
      </c>
      <c r="BE36" s="346" t="s">
        <v>1889</v>
      </c>
      <c r="BF36" s="346" t="s">
        <v>1889</v>
      </c>
      <c r="BG36" s="346">
        <v>12.4</v>
      </c>
      <c r="BH36" s="346">
        <v>6.5</v>
      </c>
      <c r="BI36" s="346" t="s">
        <v>1889</v>
      </c>
      <c r="BJ36" s="346">
        <v>34.1</v>
      </c>
      <c r="BK36" s="346" t="s">
        <v>1889</v>
      </c>
      <c r="BL36" s="346">
        <v>12.82</v>
      </c>
      <c r="BM36" s="346">
        <v>34.19</v>
      </c>
      <c r="BN36" s="346">
        <v>0</v>
      </c>
      <c r="BO36" s="346">
        <v>0</v>
      </c>
      <c r="BP36" s="346">
        <v>-174.66</v>
      </c>
      <c r="BQ36" s="346">
        <v>27.72</v>
      </c>
      <c r="BR36" s="346">
        <v>0</v>
      </c>
      <c r="BS36" s="346">
        <v>5.71</v>
      </c>
      <c r="BT36" s="346">
        <v>0</v>
      </c>
      <c r="BU36" s="346">
        <v>-0.12</v>
      </c>
      <c r="BV36" s="346">
        <v>-291.79000000000002</v>
      </c>
      <c r="BW36" s="346">
        <v>0</v>
      </c>
      <c r="BX36" s="346">
        <v>0</v>
      </c>
      <c r="BY36" s="346">
        <v>-105.98</v>
      </c>
      <c r="BZ36" s="346">
        <v>60.48</v>
      </c>
      <c r="CA36" s="346">
        <v>0</v>
      </c>
      <c r="CB36" s="346">
        <v>5.27</v>
      </c>
      <c r="CC36" s="346">
        <v>0</v>
      </c>
      <c r="CD36" s="346">
        <v>-0.09</v>
      </c>
      <c r="CE36" s="346">
        <v>-328.18</v>
      </c>
      <c r="CF36" s="346" t="s">
        <v>1889</v>
      </c>
      <c r="CG36" s="346" t="s">
        <v>1889</v>
      </c>
      <c r="CH36" s="346">
        <v>18.260000000000002</v>
      </c>
      <c r="CI36" s="346">
        <v>87.21</v>
      </c>
      <c r="CJ36" s="346" t="s">
        <v>1889</v>
      </c>
      <c r="CK36" s="346">
        <v>100</v>
      </c>
      <c r="CL36" s="346" t="s">
        <v>1889</v>
      </c>
      <c r="CM36" s="346">
        <v>4.3899999999999997</v>
      </c>
      <c r="CN36" s="346">
        <v>2</v>
      </c>
      <c r="CO36" s="346" t="s">
        <v>1889</v>
      </c>
      <c r="CP36" s="346" t="s">
        <v>1889</v>
      </c>
      <c r="CQ36" s="346">
        <v>25.89</v>
      </c>
      <c r="CR36" s="346">
        <v>32.07</v>
      </c>
      <c r="CS36" s="346" t="s">
        <v>1889</v>
      </c>
      <c r="CT36" s="346">
        <v>30192.639999999999</v>
      </c>
      <c r="CU36" s="346" t="s">
        <v>1889</v>
      </c>
      <c r="CV36" s="346">
        <v>-43.36</v>
      </c>
      <c r="CW36" s="346">
        <v>4482253.04</v>
      </c>
    </row>
    <row r="37" spans="1:101" x14ac:dyDescent="0.25">
      <c r="A37" s="346" t="str">
        <f>VLOOKUP(B37,'Loan Book Summary'!C:G,5,FALSE)</f>
        <v>0014I00001opmrL</v>
      </c>
      <c r="B37" s="346">
        <v>1200000105</v>
      </c>
      <c r="C37" s="346" t="s">
        <v>5408</v>
      </c>
      <c r="D37" s="346" t="s">
        <v>1889</v>
      </c>
      <c r="E37" s="346">
        <v>2022</v>
      </c>
      <c r="F37" s="346">
        <v>6</v>
      </c>
      <c r="G37" s="346">
        <v>440.49603639999998</v>
      </c>
      <c r="H37" s="346">
        <v>105.16246</v>
      </c>
      <c r="I37" s="346">
        <v>105.16246</v>
      </c>
      <c r="J37" s="346">
        <v>1240.4699089999999</v>
      </c>
      <c r="K37" s="346">
        <v>966.630629</v>
      </c>
      <c r="L37" s="346">
        <v>-160.98150999999999</v>
      </c>
      <c r="M37" s="346" t="s">
        <v>1889</v>
      </c>
      <c r="N37" s="346">
        <v>210.31985</v>
      </c>
      <c r="O37" s="346">
        <v>210.31985</v>
      </c>
      <c r="P37" s="346">
        <v>1567.701</v>
      </c>
      <c r="Q37" s="346">
        <v>1117.9969129999999</v>
      </c>
      <c r="R37" s="346">
        <v>1059.3609120000001</v>
      </c>
      <c r="S37" s="346" t="s">
        <v>1889</v>
      </c>
      <c r="T37" s="346">
        <v>156.94293930000001</v>
      </c>
      <c r="U37" s="346">
        <v>522.55021939999995</v>
      </c>
      <c r="V37" s="346">
        <v>292.4858241</v>
      </c>
      <c r="W37" s="346">
        <v>284.52041020000001</v>
      </c>
      <c r="X37" s="346" t="s">
        <v>101</v>
      </c>
      <c r="Y37" s="346">
        <v>55100</v>
      </c>
      <c r="Z37" s="346">
        <v>5</v>
      </c>
      <c r="AA37" s="346" t="s">
        <v>996</v>
      </c>
      <c r="AB37" s="346" t="s">
        <v>110</v>
      </c>
      <c r="AC37" s="346" t="s">
        <v>114</v>
      </c>
      <c r="AD37" s="347">
        <v>0.34429999999999999</v>
      </c>
      <c r="AE37" s="347">
        <v>0.27800000000000002</v>
      </c>
      <c r="AF37" s="346">
        <v>0.68</v>
      </c>
      <c r="AG37" s="346">
        <v>1.38</v>
      </c>
      <c r="AH37" s="346">
        <v>2.09</v>
      </c>
      <c r="AI37" s="346">
        <v>2.81</v>
      </c>
      <c r="AJ37" s="346">
        <v>3.53</v>
      </c>
      <c r="AK37" s="347">
        <v>6.7999999999999996E-3</v>
      </c>
      <c r="AL37" s="347">
        <v>7.1000000000000004E-3</v>
      </c>
      <c r="AM37" s="347">
        <v>7.1999999999999998E-3</v>
      </c>
      <c r="AN37" s="347">
        <v>7.3000000000000001E-3</v>
      </c>
      <c r="AO37" s="347">
        <v>7.4000000000000003E-3</v>
      </c>
      <c r="AP37" s="347">
        <v>6.7999999999999996E-3</v>
      </c>
      <c r="AQ37" s="347">
        <v>6.8999999999999999E-3</v>
      </c>
      <c r="AR37" s="347">
        <v>7.0000000000000001E-3</v>
      </c>
      <c r="AS37" s="347">
        <v>7.1000000000000004E-3</v>
      </c>
      <c r="AT37" s="347">
        <v>7.1999999999999998E-3</v>
      </c>
      <c r="AU37" s="347">
        <v>3.5299999999999998E-2</v>
      </c>
      <c r="AV37" s="346">
        <v>-18.27</v>
      </c>
      <c r="AW37" s="346">
        <v>-2.86</v>
      </c>
      <c r="AX37" s="346">
        <v>6.22</v>
      </c>
      <c r="AY37" s="346">
        <v>-4.1500000000000004</v>
      </c>
      <c r="AZ37" s="346">
        <v>-0.63</v>
      </c>
      <c r="BA37" s="346">
        <v>32.26</v>
      </c>
      <c r="BB37" s="346">
        <v>-21.23</v>
      </c>
      <c r="BC37" s="346">
        <v>-12.9</v>
      </c>
      <c r="BD37" s="346">
        <v>1.48</v>
      </c>
      <c r="BE37" s="346">
        <v>-21.09</v>
      </c>
      <c r="BF37" s="346">
        <v>-1.97</v>
      </c>
      <c r="BG37" s="346">
        <v>3.95</v>
      </c>
      <c r="BH37" s="346">
        <v>-9.6300000000000008</v>
      </c>
      <c r="BI37" s="346">
        <v>-0.5</v>
      </c>
      <c r="BJ37" s="346">
        <v>30.96</v>
      </c>
      <c r="BK37" s="346">
        <v>-19.850000000000001</v>
      </c>
      <c r="BL37" s="346">
        <v>-9.86</v>
      </c>
      <c r="BM37" s="346">
        <v>2.21</v>
      </c>
      <c r="BN37" s="346">
        <v>172.3</v>
      </c>
      <c r="BO37" s="346">
        <v>-12.19</v>
      </c>
      <c r="BP37" s="346">
        <v>-232.82</v>
      </c>
      <c r="BQ37" s="346">
        <v>-1.06</v>
      </c>
      <c r="BR37" s="346">
        <v>-59.94</v>
      </c>
      <c r="BS37" s="346">
        <v>23.21</v>
      </c>
      <c r="BT37" s="346">
        <v>-2.84</v>
      </c>
      <c r="BU37" s="346">
        <v>-4.17</v>
      </c>
      <c r="BV37" s="346">
        <v>-391.46</v>
      </c>
      <c r="BW37" s="346">
        <v>182.36</v>
      </c>
      <c r="BX37" s="346">
        <v>-7.85</v>
      </c>
      <c r="BY37" s="346">
        <v>-135.47999999999999</v>
      </c>
      <c r="BZ37" s="346">
        <v>-2.39</v>
      </c>
      <c r="CA37" s="346">
        <v>-44.67</v>
      </c>
      <c r="CB37" s="346">
        <v>20.81</v>
      </c>
      <c r="CC37" s="346">
        <v>-2.57</v>
      </c>
      <c r="CD37" s="346">
        <v>-3.07</v>
      </c>
      <c r="CE37" s="346">
        <v>-500.79</v>
      </c>
      <c r="CF37" s="346">
        <v>2</v>
      </c>
      <c r="CG37" s="346">
        <v>41.44</v>
      </c>
      <c r="CH37" s="346">
        <v>39.020000000000003</v>
      </c>
      <c r="CI37" s="346">
        <v>52.76</v>
      </c>
      <c r="CJ37" s="346">
        <v>27.91</v>
      </c>
      <c r="CK37" s="346">
        <v>98.8</v>
      </c>
      <c r="CL37" s="346">
        <v>96.82</v>
      </c>
      <c r="CM37" s="346">
        <v>95.47</v>
      </c>
      <c r="CN37" s="346">
        <v>29.28</v>
      </c>
      <c r="CO37" s="346">
        <v>-14.4</v>
      </c>
      <c r="CP37" s="346">
        <v>-0.52</v>
      </c>
      <c r="CQ37" s="346">
        <v>332.96</v>
      </c>
      <c r="CR37" s="346">
        <v>5.54</v>
      </c>
      <c r="CS37" s="346">
        <v>-4.01</v>
      </c>
      <c r="CT37" s="346">
        <v>122.56</v>
      </c>
      <c r="CU37" s="346">
        <v>209.44</v>
      </c>
      <c r="CV37" s="346">
        <v>26.16</v>
      </c>
      <c r="CW37" s="346">
        <v>74187127.239999995</v>
      </c>
    </row>
    <row r="38" spans="1:101" x14ac:dyDescent="0.25">
      <c r="A38" s="346" t="str">
        <f>VLOOKUP(B38,'Loan Book Summary'!C:G,5,FALSE)</f>
        <v>0014I000026e8Lr</v>
      </c>
      <c r="B38" s="346">
        <v>1200000121</v>
      </c>
      <c r="C38" s="346" t="s">
        <v>5409</v>
      </c>
      <c r="D38" s="346" t="s">
        <v>1889</v>
      </c>
      <c r="E38" s="346">
        <v>2022</v>
      </c>
      <c r="F38" s="346">
        <v>6</v>
      </c>
      <c r="G38" s="346">
        <v>178.65434089999999</v>
      </c>
      <c r="H38" s="346">
        <v>19.452999999999999</v>
      </c>
      <c r="I38" s="346">
        <v>19.452999999999999</v>
      </c>
      <c r="J38" s="346">
        <v>3978.1700609999998</v>
      </c>
      <c r="K38" s="346">
        <v>4119.9425789999996</v>
      </c>
      <c r="L38" s="346">
        <v>113.03</v>
      </c>
      <c r="M38" s="346" t="s">
        <v>1889</v>
      </c>
      <c r="N38" s="346">
        <v>443.93299999999999</v>
      </c>
      <c r="O38" s="346">
        <v>443.93299999999999</v>
      </c>
      <c r="P38" s="346">
        <v>2824.518</v>
      </c>
      <c r="Q38" s="346">
        <v>1861.2694429999999</v>
      </c>
      <c r="R38" s="346">
        <v>1763.65075</v>
      </c>
      <c r="S38" s="346">
        <v>40.329029949999999</v>
      </c>
      <c r="T38" s="346">
        <v>29.821040450000002</v>
      </c>
      <c r="U38" s="346">
        <v>179.1062326</v>
      </c>
      <c r="V38" s="346">
        <v>119.4281537</v>
      </c>
      <c r="W38" s="346">
        <v>64.694599690000004</v>
      </c>
      <c r="X38" s="346" t="s">
        <v>101</v>
      </c>
      <c r="Y38" s="346">
        <v>56302</v>
      </c>
      <c r="Z38" s="346">
        <v>5</v>
      </c>
      <c r="AA38" s="346" t="s">
        <v>996</v>
      </c>
      <c r="AB38" s="346" t="s">
        <v>115</v>
      </c>
      <c r="AC38" s="346" t="s">
        <v>115</v>
      </c>
      <c r="AD38" s="347">
        <v>0.1961</v>
      </c>
      <c r="AE38" s="347">
        <v>0.16869999999999999</v>
      </c>
      <c r="AF38" s="346">
        <v>0.4</v>
      </c>
      <c r="AG38" s="346">
        <v>0.87</v>
      </c>
      <c r="AH38" s="346">
        <v>1.37</v>
      </c>
      <c r="AI38" s="346">
        <v>1.89</v>
      </c>
      <c r="AJ38" s="346">
        <v>2.4300000000000002</v>
      </c>
      <c r="AK38" s="347">
        <v>4.0000000000000001E-3</v>
      </c>
      <c r="AL38" s="347">
        <v>4.7000000000000002E-3</v>
      </c>
      <c r="AM38" s="347">
        <v>5.1000000000000004E-3</v>
      </c>
      <c r="AN38" s="347">
        <v>5.3E-3</v>
      </c>
      <c r="AO38" s="347">
        <v>5.4999999999999997E-3</v>
      </c>
      <c r="AP38" s="347">
        <v>4.0000000000000001E-3</v>
      </c>
      <c r="AQ38" s="347">
        <v>4.3E-3</v>
      </c>
      <c r="AR38" s="347">
        <v>4.5999999999999999E-3</v>
      </c>
      <c r="AS38" s="347">
        <v>4.7999999999999996E-3</v>
      </c>
      <c r="AT38" s="347">
        <v>4.8999999999999998E-3</v>
      </c>
      <c r="AU38" s="347">
        <v>2.4299999999999999E-2</v>
      </c>
      <c r="AV38" s="346">
        <v>-9.9499999999999993</v>
      </c>
      <c r="AW38" s="346">
        <v>-7.73</v>
      </c>
      <c r="AX38" s="346">
        <v>-8.98</v>
      </c>
      <c r="AY38" s="346">
        <v>-8.89</v>
      </c>
      <c r="AZ38" s="346">
        <v>-14.8</v>
      </c>
      <c r="BA38" s="346">
        <v>5.78</v>
      </c>
      <c r="BB38" s="346">
        <v>-25.3</v>
      </c>
      <c r="BC38" s="346">
        <v>-15.98</v>
      </c>
      <c r="BD38" s="346">
        <v>-2.58</v>
      </c>
      <c r="BE38" s="346">
        <v>-11.46</v>
      </c>
      <c r="BF38" s="346">
        <v>-5.3</v>
      </c>
      <c r="BG38" s="346">
        <v>-5.68</v>
      </c>
      <c r="BH38" s="346">
        <v>-20.58</v>
      </c>
      <c r="BI38" s="346">
        <v>-11.82</v>
      </c>
      <c r="BJ38" s="346">
        <v>5.54</v>
      </c>
      <c r="BK38" s="346">
        <v>-23.61</v>
      </c>
      <c r="BL38" s="346">
        <v>-12.18</v>
      </c>
      <c r="BM38" s="346">
        <v>-3.83</v>
      </c>
      <c r="BN38" s="346">
        <v>52.99</v>
      </c>
      <c r="BO38" s="346">
        <v>2</v>
      </c>
      <c r="BP38" s="346">
        <v>-309.02999999999997</v>
      </c>
      <c r="BQ38" s="346">
        <v>-1.35</v>
      </c>
      <c r="BR38" s="346">
        <v>3.26</v>
      </c>
      <c r="BS38" s="346">
        <v>111.64</v>
      </c>
      <c r="BT38" s="346">
        <v>-84.18</v>
      </c>
      <c r="BU38" s="346">
        <v>-62.79</v>
      </c>
      <c r="BV38" s="346">
        <v>-272.76</v>
      </c>
      <c r="BW38" s="346">
        <v>52.65</v>
      </c>
      <c r="BX38" s="346">
        <v>1.21</v>
      </c>
      <c r="BY38" s="346">
        <v>-196.07</v>
      </c>
      <c r="BZ38" s="346">
        <v>-2.75</v>
      </c>
      <c r="CA38" s="346">
        <v>2.2999999999999998</v>
      </c>
      <c r="CB38" s="346">
        <v>101.6</v>
      </c>
      <c r="CC38" s="346">
        <v>-72.34</v>
      </c>
      <c r="CD38" s="346">
        <v>-42.26</v>
      </c>
      <c r="CE38" s="346">
        <v>-428.83</v>
      </c>
      <c r="CF38" s="346">
        <v>41.65</v>
      </c>
      <c r="CG38" s="346">
        <v>48.92</v>
      </c>
      <c r="CH38" s="346">
        <v>57.12</v>
      </c>
      <c r="CI38" s="346">
        <v>52.76</v>
      </c>
      <c r="CJ38" s="346">
        <v>63.86</v>
      </c>
      <c r="CK38" s="346">
        <v>65.88</v>
      </c>
      <c r="CL38" s="346">
        <v>74.56</v>
      </c>
      <c r="CM38" s="346">
        <v>72.27</v>
      </c>
      <c r="CN38" s="346">
        <v>64.430000000000007</v>
      </c>
      <c r="CO38" s="346">
        <v>6.07</v>
      </c>
      <c r="CP38" s="346">
        <v>-0.06</v>
      </c>
      <c r="CQ38" s="346">
        <v>735.84</v>
      </c>
      <c r="CR38" s="346">
        <v>5.54</v>
      </c>
      <c r="CS38" s="346">
        <v>1.28</v>
      </c>
      <c r="CT38" s="346">
        <v>73.91</v>
      </c>
      <c r="CU38" s="346">
        <v>40.24</v>
      </c>
      <c r="CV38" s="346">
        <v>6.42</v>
      </c>
      <c r="CW38" s="346">
        <v>226127266.49000001</v>
      </c>
    </row>
    <row r="39" spans="1:101" x14ac:dyDescent="0.25">
      <c r="A39" s="346" t="str">
        <f>VLOOKUP(B39,'Loan Book Summary'!C:G,5,FALSE)</f>
        <v>0014I0000293MAy</v>
      </c>
      <c r="B39" s="346">
        <v>1200000139</v>
      </c>
      <c r="C39" s="346" t="s">
        <v>5410</v>
      </c>
      <c r="D39" s="346" t="s">
        <v>1889</v>
      </c>
      <c r="E39" s="346">
        <v>2022</v>
      </c>
      <c r="F39" s="346">
        <v>6</v>
      </c>
      <c r="G39" s="346">
        <v>123.7024859</v>
      </c>
      <c r="H39" s="346" t="s">
        <v>1889</v>
      </c>
      <c r="I39" s="346" t="s">
        <v>1889</v>
      </c>
      <c r="J39" s="346">
        <v>12939.604380000001</v>
      </c>
      <c r="K39" s="346">
        <v>13098.84303</v>
      </c>
      <c r="L39" s="346" t="s">
        <v>1889</v>
      </c>
      <c r="M39" s="346" t="s">
        <v>1889</v>
      </c>
      <c r="N39" s="346">
        <v>0</v>
      </c>
      <c r="O39" s="346" t="s">
        <v>1889</v>
      </c>
      <c r="P39" s="346">
        <v>4950</v>
      </c>
      <c r="Q39" s="346">
        <v>4139.5102660000002</v>
      </c>
      <c r="R39" s="346">
        <v>3922.4038260000002</v>
      </c>
      <c r="S39" s="346" t="s">
        <v>1889</v>
      </c>
      <c r="T39" s="346">
        <v>437</v>
      </c>
      <c r="U39" s="346">
        <v>327.76134960000002</v>
      </c>
      <c r="V39" s="346">
        <v>-110.2459415</v>
      </c>
      <c r="W39" s="346">
        <v>175.37476040000001</v>
      </c>
      <c r="X39" s="346" t="s">
        <v>101</v>
      </c>
      <c r="Y39" s="346">
        <v>55100</v>
      </c>
      <c r="Z39" s="346">
        <v>5</v>
      </c>
      <c r="AA39" s="346" t="s">
        <v>996</v>
      </c>
      <c r="AB39" s="346" t="s">
        <v>105</v>
      </c>
      <c r="AC39" s="346" t="s">
        <v>110</v>
      </c>
      <c r="AD39" s="347">
        <v>0.51229999999999998</v>
      </c>
      <c r="AE39" s="347">
        <v>0.3528</v>
      </c>
      <c r="AF39" s="346">
        <v>1.17</v>
      </c>
      <c r="AG39" s="346">
        <v>2.08</v>
      </c>
      <c r="AH39" s="346">
        <v>2.9</v>
      </c>
      <c r="AI39" s="346">
        <v>3.68</v>
      </c>
      <c r="AJ39" s="346">
        <v>4.42</v>
      </c>
      <c r="AK39" s="347">
        <v>1.17E-2</v>
      </c>
      <c r="AL39" s="347">
        <v>9.1999999999999998E-3</v>
      </c>
      <c r="AM39" s="347">
        <v>8.5000000000000006E-3</v>
      </c>
      <c r="AN39" s="347">
        <v>8.0000000000000002E-3</v>
      </c>
      <c r="AO39" s="347">
        <v>7.7000000000000002E-3</v>
      </c>
      <c r="AP39" s="347">
        <v>1.17E-2</v>
      </c>
      <c r="AQ39" s="347">
        <v>1.04E-2</v>
      </c>
      <c r="AR39" s="347">
        <v>9.7999999999999997E-3</v>
      </c>
      <c r="AS39" s="347">
        <v>9.2999999999999992E-3</v>
      </c>
      <c r="AT39" s="347">
        <v>8.9999999999999993E-3</v>
      </c>
      <c r="AU39" s="347">
        <v>4.4200000000000003E-2</v>
      </c>
      <c r="AV39" s="346" t="s">
        <v>1889</v>
      </c>
      <c r="AW39" s="346" t="s">
        <v>1889</v>
      </c>
      <c r="AX39" s="346">
        <v>32.14</v>
      </c>
      <c r="AY39" s="346">
        <v>-7.44</v>
      </c>
      <c r="AZ39" s="346" t="s">
        <v>1889</v>
      </c>
      <c r="BA39" s="346">
        <v>-26.66</v>
      </c>
      <c r="BB39" s="346" t="s">
        <v>1889</v>
      </c>
      <c r="BC39" s="346">
        <v>23.88</v>
      </c>
      <c r="BD39" s="346">
        <v>-9.8699999999999992</v>
      </c>
      <c r="BE39" s="346" t="s">
        <v>1889</v>
      </c>
      <c r="BF39" s="346" t="s">
        <v>1889</v>
      </c>
      <c r="BG39" s="346">
        <v>21.2</v>
      </c>
      <c r="BH39" s="346">
        <v>-17.95</v>
      </c>
      <c r="BI39" s="346" t="s">
        <v>1889</v>
      </c>
      <c r="BJ39" s="346">
        <v>-26.61</v>
      </c>
      <c r="BK39" s="346" t="s">
        <v>1889</v>
      </c>
      <c r="BL39" s="346">
        <v>18.97</v>
      </c>
      <c r="BM39" s="346">
        <v>-15.26</v>
      </c>
      <c r="BN39" s="346">
        <v>0</v>
      </c>
      <c r="BO39" s="346">
        <v>0</v>
      </c>
      <c r="BP39" s="346">
        <v>-358.87</v>
      </c>
      <c r="BQ39" s="346">
        <v>-1.62</v>
      </c>
      <c r="BR39" s="346">
        <v>0</v>
      </c>
      <c r="BS39" s="346">
        <v>32.81</v>
      </c>
      <c r="BT39" s="346">
        <v>0</v>
      </c>
      <c r="BU39" s="346">
        <v>-46.93</v>
      </c>
      <c r="BV39" s="346">
        <v>-59.77</v>
      </c>
      <c r="BW39" s="346">
        <v>0</v>
      </c>
      <c r="BX39" s="346">
        <v>0</v>
      </c>
      <c r="BY39" s="346">
        <v>-293.11</v>
      </c>
      <c r="BZ39" s="346">
        <v>-4.2699999999999996</v>
      </c>
      <c r="CA39" s="346">
        <v>0</v>
      </c>
      <c r="CB39" s="346">
        <v>39.880000000000003</v>
      </c>
      <c r="CC39" s="346">
        <v>0</v>
      </c>
      <c r="CD39" s="346">
        <v>-45.84</v>
      </c>
      <c r="CE39" s="346">
        <v>-116.9</v>
      </c>
      <c r="CF39" s="346" t="s">
        <v>1889</v>
      </c>
      <c r="CG39" s="346" t="s">
        <v>1889</v>
      </c>
      <c r="CH39" s="346">
        <v>20.61</v>
      </c>
      <c r="CI39" s="346">
        <v>52.76</v>
      </c>
      <c r="CJ39" s="346" t="s">
        <v>1889</v>
      </c>
      <c r="CK39" s="346">
        <v>22.85</v>
      </c>
      <c r="CL39" s="346" t="s">
        <v>1889</v>
      </c>
      <c r="CM39" s="346">
        <v>16.04</v>
      </c>
      <c r="CN39" s="346">
        <v>84.59</v>
      </c>
      <c r="CO39" s="346" t="s">
        <v>1889</v>
      </c>
      <c r="CP39" s="346" t="s">
        <v>1889</v>
      </c>
      <c r="CQ39" s="346">
        <v>75</v>
      </c>
      <c r="CR39" s="346">
        <v>5.54</v>
      </c>
      <c r="CS39" s="346" t="s">
        <v>1889</v>
      </c>
      <c r="CT39" s="346">
        <v>38.25</v>
      </c>
      <c r="CU39" s="346" t="s">
        <v>1889</v>
      </c>
      <c r="CV39" s="346">
        <v>-2.66</v>
      </c>
      <c r="CW39" s="346">
        <v>661675525.75999999</v>
      </c>
    </row>
    <row r="40" spans="1:101" x14ac:dyDescent="0.25">
      <c r="A40" s="346" t="str">
        <f>VLOOKUP(B40,'Loan Book Summary'!C:G,5,FALSE)</f>
        <v>0014I00002AOsY6</v>
      </c>
      <c r="B40" s="346">
        <v>1100000224</v>
      </c>
      <c r="C40" s="346" t="s">
        <v>5371</v>
      </c>
      <c r="D40" s="346" t="s">
        <v>1889</v>
      </c>
      <c r="E40" s="346">
        <v>2022</v>
      </c>
      <c r="F40" s="346">
        <v>6</v>
      </c>
      <c r="G40" s="346">
        <v>962.71296059999997</v>
      </c>
      <c r="H40" s="346" t="s">
        <v>1889</v>
      </c>
      <c r="I40" s="346" t="s">
        <v>1889</v>
      </c>
      <c r="J40" s="346">
        <v>105240.3744</v>
      </c>
      <c r="K40" s="346">
        <v>104200.11960000001</v>
      </c>
      <c r="L40" s="346" t="s">
        <v>1889</v>
      </c>
      <c r="M40" s="346" t="s">
        <v>1889</v>
      </c>
      <c r="N40" s="346">
        <v>0</v>
      </c>
      <c r="O40" s="346" t="s">
        <v>1889</v>
      </c>
      <c r="P40" s="346">
        <v>749.29978719999997</v>
      </c>
      <c r="Q40" s="346">
        <v>16461.06481</v>
      </c>
      <c r="R40" s="346">
        <v>12463.546350000001</v>
      </c>
      <c r="S40" s="346" t="s">
        <v>1889</v>
      </c>
      <c r="T40" s="346">
        <v>59.68389208</v>
      </c>
      <c r="U40" s="346">
        <v>1067.54387</v>
      </c>
      <c r="V40" s="346">
        <v>799.82994470000006</v>
      </c>
      <c r="W40" s="346">
        <v>-1142.1854109999999</v>
      </c>
      <c r="X40" s="346" t="s">
        <v>101</v>
      </c>
      <c r="Y40" s="346">
        <v>55100</v>
      </c>
      <c r="Z40" s="346">
        <v>5</v>
      </c>
      <c r="AA40" s="346" t="s">
        <v>996</v>
      </c>
      <c r="AB40" s="346" t="s">
        <v>115</v>
      </c>
      <c r="AC40" s="346" t="s">
        <v>134</v>
      </c>
      <c r="AD40" s="347">
        <v>0.1275</v>
      </c>
      <c r="AE40" s="347">
        <v>0.1114</v>
      </c>
      <c r="AF40" s="346">
        <v>0.28999999999999998</v>
      </c>
      <c r="AG40" s="346">
        <v>0.65</v>
      </c>
      <c r="AH40" s="346">
        <v>1.05</v>
      </c>
      <c r="AI40" s="346">
        <v>1.48</v>
      </c>
      <c r="AJ40" s="346">
        <v>1.92</v>
      </c>
      <c r="AK40" s="347">
        <v>2.8999999999999998E-3</v>
      </c>
      <c r="AL40" s="347">
        <v>3.7000000000000002E-3</v>
      </c>
      <c r="AM40" s="347">
        <v>4.0000000000000001E-3</v>
      </c>
      <c r="AN40" s="347">
        <v>4.3E-3</v>
      </c>
      <c r="AO40" s="347">
        <v>4.4999999999999997E-3</v>
      </c>
      <c r="AP40" s="347">
        <v>2.8999999999999998E-3</v>
      </c>
      <c r="AQ40" s="347">
        <v>3.3E-3</v>
      </c>
      <c r="AR40" s="347">
        <v>3.5000000000000001E-3</v>
      </c>
      <c r="AS40" s="347">
        <v>3.7000000000000002E-3</v>
      </c>
      <c r="AT40" s="347">
        <v>3.8999999999999998E-3</v>
      </c>
      <c r="AU40" s="347">
        <v>1.9199999999999998E-2</v>
      </c>
      <c r="AV40" s="346" t="s">
        <v>1889</v>
      </c>
      <c r="AW40" s="346" t="s">
        <v>1889</v>
      </c>
      <c r="AX40" s="346">
        <v>-21.07</v>
      </c>
      <c r="AY40" s="346">
        <v>5.07</v>
      </c>
      <c r="AZ40" s="346" t="s">
        <v>1889</v>
      </c>
      <c r="BA40" s="346">
        <v>-31.94</v>
      </c>
      <c r="BB40" s="346" t="s">
        <v>1889</v>
      </c>
      <c r="BC40" s="346">
        <v>-10.199999999999999</v>
      </c>
      <c r="BD40" s="346">
        <v>-31.73</v>
      </c>
      <c r="BE40" s="346" t="s">
        <v>1889</v>
      </c>
      <c r="BF40" s="346" t="s">
        <v>1889</v>
      </c>
      <c r="BG40" s="346">
        <v>-12.07</v>
      </c>
      <c r="BH40" s="346">
        <v>10.62</v>
      </c>
      <c r="BI40" s="346" t="s">
        <v>1889</v>
      </c>
      <c r="BJ40" s="346">
        <v>-27.69</v>
      </c>
      <c r="BK40" s="346" t="s">
        <v>1889</v>
      </c>
      <c r="BL40" s="346">
        <v>-7.04</v>
      </c>
      <c r="BM40" s="346">
        <v>-42.59</v>
      </c>
      <c r="BN40" s="346">
        <v>0</v>
      </c>
      <c r="BO40" s="346">
        <v>0</v>
      </c>
      <c r="BP40" s="346">
        <v>-320.93</v>
      </c>
      <c r="BQ40" s="346">
        <v>58.83</v>
      </c>
      <c r="BR40" s="346">
        <v>0</v>
      </c>
      <c r="BS40" s="346">
        <v>0</v>
      </c>
      <c r="BT40" s="346">
        <v>0</v>
      </c>
      <c r="BU40" s="346">
        <v>-113.85</v>
      </c>
      <c r="BV40" s="346">
        <v>-6.38</v>
      </c>
      <c r="BW40" s="346">
        <v>0</v>
      </c>
      <c r="BX40" s="346">
        <v>0</v>
      </c>
      <c r="BY40" s="346">
        <v>-221.57</v>
      </c>
      <c r="BZ40" s="346">
        <v>159.01</v>
      </c>
      <c r="CA40" s="346">
        <v>0</v>
      </c>
      <c r="CB40" s="346">
        <v>0</v>
      </c>
      <c r="CC40" s="346">
        <v>0</v>
      </c>
      <c r="CD40" s="346">
        <v>-105.99</v>
      </c>
      <c r="CE40" s="346">
        <v>-13.43</v>
      </c>
      <c r="CF40" s="346" t="s">
        <v>1889</v>
      </c>
      <c r="CG40" s="346" t="s">
        <v>1889</v>
      </c>
      <c r="CH40" s="346">
        <v>74.7</v>
      </c>
      <c r="CI40" s="346">
        <v>87.21</v>
      </c>
      <c r="CJ40" s="346" t="s">
        <v>1889</v>
      </c>
      <c r="CK40" s="346">
        <v>2.2200000000000002</v>
      </c>
      <c r="CL40" s="346" t="s">
        <v>1889</v>
      </c>
      <c r="CM40" s="346">
        <v>65.349999999999994</v>
      </c>
      <c r="CN40" s="346">
        <v>98.17</v>
      </c>
      <c r="CO40" s="346" t="s">
        <v>1889</v>
      </c>
      <c r="CP40" s="346" t="s">
        <v>1889</v>
      </c>
      <c r="CQ40" s="346">
        <v>1788.66</v>
      </c>
      <c r="CR40" s="346">
        <v>32.07</v>
      </c>
      <c r="CS40" s="346" t="s">
        <v>1889</v>
      </c>
      <c r="CT40" s="346">
        <v>0.71</v>
      </c>
      <c r="CU40" s="346" t="s">
        <v>1889</v>
      </c>
      <c r="CV40" s="346">
        <v>4.8600000000000003</v>
      </c>
      <c r="CW40" s="346">
        <v>5381538570.8599997</v>
      </c>
    </row>
    <row r="41" spans="1:101" x14ac:dyDescent="0.25">
      <c r="A41" s="346" t="str">
        <f>VLOOKUP(B41,'Loan Book Summary'!C:G,5,FALSE)</f>
        <v>0018e000003CaFZ</v>
      </c>
      <c r="B41" s="346">
        <v>1100000279</v>
      </c>
      <c r="C41" s="346" t="s">
        <v>5411</v>
      </c>
      <c r="D41" s="346" t="s">
        <v>1889</v>
      </c>
      <c r="E41" s="346">
        <v>2022</v>
      </c>
      <c r="F41" s="346">
        <v>6</v>
      </c>
      <c r="G41" s="346">
        <v>50</v>
      </c>
      <c r="H41" s="346">
        <v>130.226</v>
      </c>
      <c r="I41" s="346">
        <v>130.226</v>
      </c>
      <c r="J41" s="346">
        <v>2059.7324560000002</v>
      </c>
      <c r="K41" s="346">
        <v>2193.9188330000002</v>
      </c>
      <c r="L41" s="346">
        <v>530.65099999999995</v>
      </c>
      <c r="M41" s="346" t="s">
        <v>1889</v>
      </c>
      <c r="N41" s="346">
        <v>1640.309</v>
      </c>
      <c r="O41" s="346">
        <v>1640.309</v>
      </c>
      <c r="P41" s="346">
        <v>15687.71529</v>
      </c>
      <c r="Q41" s="346">
        <v>2166.740875</v>
      </c>
      <c r="R41" s="346">
        <v>1640.554584</v>
      </c>
      <c r="S41" s="346">
        <v>108.2658119</v>
      </c>
      <c r="T41" s="346">
        <v>1103.9887120000001</v>
      </c>
      <c r="U41" s="346">
        <v>282.08704169999999</v>
      </c>
      <c r="V41" s="346">
        <v>-821.90167010000005</v>
      </c>
      <c r="W41" s="346">
        <v>-798.75208429999998</v>
      </c>
      <c r="X41" s="346" t="s">
        <v>101</v>
      </c>
      <c r="Y41" s="346">
        <v>55100</v>
      </c>
      <c r="Z41" s="346">
        <v>5</v>
      </c>
      <c r="AA41" s="346" t="s">
        <v>996</v>
      </c>
      <c r="AB41" s="346" t="s">
        <v>118</v>
      </c>
      <c r="AC41" s="346" t="s">
        <v>118</v>
      </c>
      <c r="AD41" s="347">
        <v>0.96840000000000004</v>
      </c>
      <c r="AE41" s="347">
        <v>0.96350000000000002</v>
      </c>
      <c r="AF41" s="346">
        <v>12.63</v>
      </c>
      <c r="AG41" s="346">
        <v>20.61</v>
      </c>
      <c r="AH41" s="346">
        <v>27.08</v>
      </c>
      <c r="AI41" s="346">
        <v>32.590000000000003</v>
      </c>
      <c r="AJ41" s="346">
        <v>37.42</v>
      </c>
      <c r="AK41" s="347">
        <v>0.1263</v>
      </c>
      <c r="AL41" s="347">
        <v>9.1300000000000006E-2</v>
      </c>
      <c r="AM41" s="347">
        <v>8.1500000000000003E-2</v>
      </c>
      <c r="AN41" s="347">
        <v>7.5600000000000001E-2</v>
      </c>
      <c r="AO41" s="347">
        <v>7.1599999999999997E-2</v>
      </c>
      <c r="AP41" s="347">
        <v>0.1263</v>
      </c>
      <c r="AQ41" s="347">
        <v>0.109</v>
      </c>
      <c r="AR41" s="347">
        <v>9.9900000000000003E-2</v>
      </c>
      <c r="AS41" s="347">
        <v>9.3899999999999997E-2</v>
      </c>
      <c r="AT41" s="347">
        <v>8.9499999999999996E-2</v>
      </c>
      <c r="AU41" s="347">
        <v>0.37419999999999998</v>
      </c>
      <c r="AV41" s="346">
        <v>15.6</v>
      </c>
      <c r="AW41" s="346">
        <v>-0.99</v>
      </c>
      <c r="AX41" s="346">
        <v>17.59</v>
      </c>
      <c r="AY41" s="346">
        <v>2.52</v>
      </c>
      <c r="AZ41" s="346">
        <v>-4.78</v>
      </c>
      <c r="BA41" s="346">
        <v>31.98</v>
      </c>
      <c r="BB41" s="346">
        <v>10.31</v>
      </c>
      <c r="BC41" s="346">
        <v>15.1</v>
      </c>
      <c r="BD41" s="346">
        <v>-1.1299999999999999</v>
      </c>
      <c r="BE41" s="346">
        <v>19.350000000000001</v>
      </c>
      <c r="BF41" s="346">
        <v>-0.73</v>
      </c>
      <c r="BG41" s="346">
        <v>11.99</v>
      </c>
      <c r="BH41" s="346">
        <v>6.29</v>
      </c>
      <c r="BI41" s="346">
        <v>-4.1100000000000003</v>
      </c>
      <c r="BJ41" s="346">
        <v>32.979999999999997</v>
      </c>
      <c r="BK41" s="346">
        <v>10.36</v>
      </c>
      <c r="BL41" s="346">
        <v>12.39</v>
      </c>
      <c r="BM41" s="346">
        <v>-1.81</v>
      </c>
      <c r="BN41" s="346">
        <v>10.69</v>
      </c>
      <c r="BO41" s="346">
        <v>-23.87</v>
      </c>
      <c r="BP41" s="346">
        <v>-233.99</v>
      </c>
      <c r="BQ41" s="346">
        <v>37.090000000000003</v>
      </c>
      <c r="BR41" s="346">
        <v>-48.63</v>
      </c>
      <c r="BS41" s="346">
        <v>7.85</v>
      </c>
      <c r="BT41" s="346">
        <v>-295.33999999999997</v>
      </c>
      <c r="BU41" s="346">
        <v>-0.16</v>
      </c>
      <c r="BV41" s="346">
        <v>-242.39</v>
      </c>
      <c r="BW41" s="346">
        <v>12.2</v>
      </c>
      <c r="BX41" s="346">
        <v>-16.25</v>
      </c>
      <c r="BY41" s="346">
        <v>-148.18</v>
      </c>
      <c r="BZ41" s="346">
        <v>84.63</v>
      </c>
      <c r="CA41" s="346">
        <v>-38.42</v>
      </c>
      <c r="CB41" s="346">
        <v>7.54</v>
      </c>
      <c r="CC41" s="346">
        <v>-270.49</v>
      </c>
      <c r="CD41" s="346">
        <v>-0.13</v>
      </c>
      <c r="CE41" s="346">
        <v>-322.16000000000003</v>
      </c>
      <c r="CF41" s="346">
        <v>95.97</v>
      </c>
      <c r="CG41" s="346">
        <v>28.16</v>
      </c>
      <c r="CH41" s="346">
        <v>18.690000000000001</v>
      </c>
      <c r="CI41" s="346">
        <v>87.21</v>
      </c>
      <c r="CJ41" s="346">
        <v>41.51</v>
      </c>
      <c r="CK41" s="346">
        <v>100</v>
      </c>
      <c r="CL41" s="346">
        <v>39.5</v>
      </c>
      <c r="CM41" s="346">
        <v>4.78</v>
      </c>
      <c r="CN41" s="346">
        <v>59.65</v>
      </c>
      <c r="CO41" s="346">
        <v>24.49</v>
      </c>
      <c r="CP41" s="346">
        <v>-1.93</v>
      </c>
      <c r="CQ41" s="346">
        <v>35.36</v>
      </c>
      <c r="CR41" s="346">
        <v>32.07</v>
      </c>
      <c r="CS41" s="346">
        <v>-1.38</v>
      </c>
      <c r="CT41" s="346">
        <v>468.32</v>
      </c>
      <c r="CU41" s="346">
        <v>3.05</v>
      </c>
      <c r="CV41" s="346">
        <v>-37.93</v>
      </c>
      <c r="CW41" s="346">
        <v>189204152.13999999</v>
      </c>
    </row>
    <row r="42" spans="1:101" x14ac:dyDescent="0.25">
      <c r="A42" s="346" t="str">
        <f>VLOOKUP(B42,'Loan Book Summary'!C:G,5,FALSE)</f>
        <v>0014I00001rYqrM</v>
      </c>
      <c r="B42" s="346">
        <v>1100000004</v>
      </c>
      <c r="C42" s="346" t="s">
        <v>965</v>
      </c>
      <c r="D42" s="346" t="s">
        <v>1889</v>
      </c>
      <c r="E42" s="346">
        <v>2022</v>
      </c>
      <c r="F42" s="346">
        <v>6</v>
      </c>
      <c r="G42" s="346">
        <v>1751.74774</v>
      </c>
      <c r="H42" s="346">
        <v>76.261970000000005</v>
      </c>
      <c r="I42" s="346">
        <v>76.261970000000005</v>
      </c>
      <c r="J42" s="346">
        <v>1868.3454650000001</v>
      </c>
      <c r="K42" s="346">
        <v>990.34758980000004</v>
      </c>
      <c r="L42" s="346">
        <v>226.18226999999999</v>
      </c>
      <c r="M42" s="346" t="s">
        <v>1889</v>
      </c>
      <c r="N42" s="346">
        <v>758.18001000000004</v>
      </c>
      <c r="O42" s="346">
        <v>758.18001000000004</v>
      </c>
      <c r="P42" s="346">
        <v>978.72445000000005</v>
      </c>
      <c r="Q42" s="346">
        <v>4380.4093039999998</v>
      </c>
      <c r="R42" s="346">
        <v>3582.5950050000001</v>
      </c>
      <c r="S42" s="346">
        <v>28.58827046</v>
      </c>
      <c r="T42" s="346">
        <v>100.8148942</v>
      </c>
      <c r="U42" s="346">
        <v>1173.624769</v>
      </c>
      <c r="V42" s="346">
        <v>858.24789989999999</v>
      </c>
      <c r="W42" s="346">
        <v>955.64904200000001</v>
      </c>
      <c r="X42" s="346" t="s">
        <v>101</v>
      </c>
      <c r="Y42" s="346">
        <v>64929</v>
      </c>
      <c r="Z42" s="346">
        <v>5</v>
      </c>
      <c r="AA42" s="346" t="s">
        <v>996</v>
      </c>
      <c r="AB42" s="346" t="s">
        <v>115</v>
      </c>
      <c r="AC42" s="346" t="s">
        <v>115</v>
      </c>
      <c r="AD42" s="347">
        <v>0.1968</v>
      </c>
      <c r="AE42" s="347">
        <v>0.1976</v>
      </c>
      <c r="AF42" s="346">
        <v>0.4</v>
      </c>
      <c r="AG42" s="346">
        <v>0.91</v>
      </c>
      <c r="AH42" s="346">
        <v>1.48</v>
      </c>
      <c r="AI42" s="346">
        <v>2.08</v>
      </c>
      <c r="AJ42" s="346">
        <v>2.71</v>
      </c>
      <c r="AK42" s="347">
        <v>4.0000000000000001E-3</v>
      </c>
      <c r="AL42" s="347">
        <v>5.1999999999999998E-3</v>
      </c>
      <c r="AM42" s="347">
        <v>5.7000000000000002E-3</v>
      </c>
      <c r="AN42" s="347">
        <v>6.1000000000000004E-3</v>
      </c>
      <c r="AO42" s="347">
        <v>6.4000000000000003E-3</v>
      </c>
      <c r="AP42" s="347">
        <v>4.0000000000000001E-3</v>
      </c>
      <c r="AQ42" s="347">
        <v>4.5999999999999999E-3</v>
      </c>
      <c r="AR42" s="347">
        <v>5.0000000000000001E-3</v>
      </c>
      <c r="AS42" s="347">
        <v>5.1999999999999998E-3</v>
      </c>
      <c r="AT42" s="347">
        <v>5.4999999999999997E-3</v>
      </c>
      <c r="AU42" s="347">
        <v>2.7099999999999999E-2</v>
      </c>
      <c r="AV42" s="346">
        <v>-7.79</v>
      </c>
      <c r="AW42" s="346">
        <v>-4.4000000000000004</v>
      </c>
      <c r="AX42" s="346">
        <v>-11.89</v>
      </c>
      <c r="AY42" s="346">
        <v>-0.03</v>
      </c>
      <c r="AZ42" s="346">
        <v>21.99</v>
      </c>
      <c r="BA42" s="346">
        <v>-4.42</v>
      </c>
      <c r="BB42" s="346">
        <v>-30.03</v>
      </c>
      <c r="BC42" s="346">
        <v>-17.75</v>
      </c>
      <c r="BD42" s="346">
        <v>-1.7</v>
      </c>
      <c r="BE42" s="346">
        <v>-10.51</v>
      </c>
      <c r="BF42" s="346">
        <v>-3.53</v>
      </c>
      <c r="BG42" s="346">
        <v>-8.81</v>
      </c>
      <c r="BH42" s="346">
        <v>-0.08</v>
      </c>
      <c r="BI42" s="346">
        <v>20.55</v>
      </c>
      <c r="BJ42" s="346">
        <v>-4.95</v>
      </c>
      <c r="BK42" s="346">
        <v>-32.78</v>
      </c>
      <c r="BL42" s="346">
        <v>-15.83</v>
      </c>
      <c r="BM42" s="346">
        <v>-2.96</v>
      </c>
      <c r="BN42" s="346">
        <v>50.81</v>
      </c>
      <c r="BO42" s="346">
        <v>-11.65</v>
      </c>
      <c r="BP42" s="346">
        <v>-333.99</v>
      </c>
      <c r="BQ42" s="346">
        <v>48.66</v>
      </c>
      <c r="BR42" s="346">
        <v>-11.32</v>
      </c>
      <c r="BS42" s="346">
        <v>92.46</v>
      </c>
      <c r="BT42" s="346">
        <v>-3.67</v>
      </c>
      <c r="BU42" s="346">
        <v>-8.69</v>
      </c>
      <c r="BV42" s="346">
        <v>-338.76</v>
      </c>
      <c r="BW42" s="346">
        <v>48.63</v>
      </c>
      <c r="BX42" s="346">
        <v>-6.63</v>
      </c>
      <c r="BY42" s="346">
        <v>-189.08</v>
      </c>
      <c r="BZ42" s="346">
        <v>91.23</v>
      </c>
      <c r="CA42" s="346">
        <v>-7.48</v>
      </c>
      <c r="CB42" s="346">
        <v>78.66</v>
      </c>
      <c r="CC42" s="346">
        <v>-2.87</v>
      </c>
      <c r="CD42" s="346">
        <v>-5.51</v>
      </c>
      <c r="CE42" s="346">
        <v>-469.9</v>
      </c>
      <c r="CF42" s="346">
        <v>36.14</v>
      </c>
      <c r="CG42" s="346">
        <v>43.28</v>
      </c>
      <c r="CH42" s="346">
        <v>67.41</v>
      </c>
      <c r="CI42" s="346">
        <v>80.319999999999993</v>
      </c>
      <c r="CJ42" s="346">
        <v>6.66</v>
      </c>
      <c r="CK42" s="346">
        <v>55.2</v>
      </c>
      <c r="CL42" s="346">
        <v>97.43</v>
      </c>
      <c r="CM42" s="346">
        <v>92.62</v>
      </c>
      <c r="CN42" s="346">
        <v>49.55</v>
      </c>
      <c r="CO42" s="346">
        <v>5.16</v>
      </c>
      <c r="CP42" s="346">
        <v>-0.39</v>
      </c>
      <c r="CQ42" s="346">
        <v>1192.5</v>
      </c>
      <c r="CR42" s="346">
        <v>22.27</v>
      </c>
      <c r="CS42" s="346">
        <v>-21.98</v>
      </c>
      <c r="CT42" s="346">
        <v>66.13</v>
      </c>
      <c r="CU42" s="346">
        <v>231.05</v>
      </c>
      <c r="CV42" s="346">
        <v>19.59</v>
      </c>
      <c r="CW42" s="346">
        <v>134309177.74000001</v>
      </c>
    </row>
    <row r="43" spans="1:101" x14ac:dyDescent="0.25">
      <c r="A43" s="346" t="str">
        <f>VLOOKUP(B43,'Loan Book Summary'!C:G,5,FALSE)</f>
        <v>0014I000026umUx</v>
      </c>
      <c r="B43" s="346">
        <v>1100000119</v>
      </c>
      <c r="C43" s="346" t="s">
        <v>5412</v>
      </c>
      <c r="D43" s="346" t="s">
        <v>1889</v>
      </c>
      <c r="E43" s="346">
        <v>2022</v>
      </c>
      <c r="F43" s="346">
        <v>6</v>
      </c>
      <c r="G43" s="346">
        <v>1516.555558</v>
      </c>
      <c r="H43" s="346">
        <v>295.62184000000002</v>
      </c>
      <c r="I43" s="346">
        <v>295.62184000000002</v>
      </c>
      <c r="J43" s="346">
        <v>2517.1773069999999</v>
      </c>
      <c r="K43" s="346">
        <v>3009.22352</v>
      </c>
      <c r="L43" s="346">
        <v>255.13604000000001</v>
      </c>
      <c r="M43" s="346" t="s">
        <v>1889</v>
      </c>
      <c r="N43" s="346">
        <v>1635.0454</v>
      </c>
      <c r="O43" s="346">
        <v>1635.0454</v>
      </c>
      <c r="P43" s="346">
        <v>2765.1436100000001</v>
      </c>
      <c r="Q43" s="346">
        <v>6663.15</v>
      </c>
      <c r="R43" s="346">
        <v>6048.09</v>
      </c>
      <c r="S43" s="346">
        <v>38.288713110000003</v>
      </c>
      <c r="T43" s="346">
        <v>412.59865020000001</v>
      </c>
      <c r="U43" s="346">
        <v>506.64128690000001</v>
      </c>
      <c r="V43" s="346">
        <v>75.234109329999995</v>
      </c>
      <c r="W43" s="346">
        <v>-242.2811403</v>
      </c>
      <c r="X43" s="346" t="s">
        <v>101</v>
      </c>
      <c r="Y43" s="346">
        <v>66290</v>
      </c>
      <c r="Z43" s="346">
        <v>5</v>
      </c>
      <c r="AA43" s="346" t="s">
        <v>996</v>
      </c>
      <c r="AB43" s="346" t="s">
        <v>105</v>
      </c>
      <c r="AC43" s="346" t="s">
        <v>105</v>
      </c>
      <c r="AD43" s="347">
        <v>0.60919999999999996</v>
      </c>
      <c r="AE43" s="347">
        <v>0.50470000000000004</v>
      </c>
      <c r="AF43" s="346">
        <v>1.58</v>
      </c>
      <c r="AG43" s="346">
        <v>2.87</v>
      </c>
      <c r="AH43" s="346">
        <v>4.05</v>
      </c>
      <c r="AI43" s="346">
        <v>5.17</v>
      </c>
      <c r="AJ43" s="346">
        <v>6.24</v>
      </c>
      <c r="AK43" s="347">
        <v>1.5800000000000002E-2</v>
      </c>
      <c r="AL43" s="347">
        <v>1.3100000000000001E-2</v>
      </c>
      <c r="AM43" s="347">
        <v>1.2200000000000001E-2</v>
      </c>
      <c r="AN43" s="347">
        <v>1.17E-2</v>
      </c>
      <c r="AO43" s="347">
        <v>1.1299999999999999E-2</v>
      </c>
      <c r="AP43" s="347">
        <v>1.5800000000000002E-2</v>
      </c>
      <c r="AQ43" s="347">
        <v>1.44E-2</v>
      </c>
      <c r="AR43" s="347">
        <v>1.37E-2</v>
      </c>
      <c r="AS43" s="347">
        <v>1.32E-2</v>
      </c>
      <c r="AT43" s="347">
        <v>1.2800000000000001E-2</v>
      </c>
      <c r="AU43" s="347">
        <v>6.2399999999999997E-2</v>
      </c>
      <c r="AV43" s="346">
        <v>-8.34</v>
      </c>
      <c r="AW43" s="346">
        <v>-3.62</v>
      </c>
      <c r="AX43" s="346">
        <v>18.66</v>
      </c>
      <c r="AY43" s="346">
        <v>-4.1900000000000004</v>
      </c>
      <c r="AZ43" s="346">
        <v>-2.15</v>
      </c>
      <c r="BA43" s="346">
        <v>35.18</v>
      </c>
      <c r="BB43" s="346">
        <v>-21.75</v>
      </c>
      <c r="BC43" s="346">
        <v>4.71</v>
      </c>
      <c r="BD43" s="346">
        <v>-1.4</v>
      </c>
      <c r="BE43" s="346">
        <v>-10.119999999999999</v>
      </c>
      <c r="BF43" s="346">
        <v>-2.61</v>
      </c>
      <c r="BG43" s="346">
        <v>12.43</v>
      </c>
      <c r="BH43" s="346">
        <v>-10.23</v>
      </c>
      <c r="BI43" s="346">
        <v>-1.81</v>
      </c>
      <c r="BJ43" s="346">
        <v>35.47</v>
      </c>
      <c r="BK43" s="346">
        <v>-21.36</v>
      </c>
      <c r="BL43" s="346">
        <v>3.78</v>
      </c>
      <c r="BM43" s="346">
        <v>-2.19</v>
      </c>
      <c r="BN43" s="346">
        <v>41.92</v>
      </c>
      <c r="BO43" s="346">
        <v>-8.9499999999999993</v>
      </c>
      <c r="BP43" s="346">
        <v>-262.18</v>
      </c>
      <c r="BQ43" s="346">
        <v>17.3</v>
      </c>
      <c r="BR43" s="346">
        <v>45.15</v>
      </c>
      <c r="BS43" s="346">
        <v>84.52</v>
      </c>
      <c r="BT43" s="346">
        <v>-18.420000000000002</v>
      </c>
      <c r="BU43" s="346">
        <v>-149.1</v>
      </c>
      <c r="BV43" s="346">
        <v>-272.47000000000003</v>
      </c>
      <c r="BW43" s="346">
        <v>49.2</v>
      </c>
      <c r="BX43" s="346">
        <v>-6.54</v>
      </c>
      <c r="BY43" s="346">
        <v>-156.22999999999999</v>
      </c>
      <c r="BZ43" s="346">
        <v>41.85</v>
      </c>
      <c r="CA43" s="346">
        <v>36.5</v>
      </c>
      <c r="CB43" s="346">
        <v>79.180000000000007</v>
      </c>
      <c r="CC43" s="346">
        <v>-18.13</v>
      </c>
      <c r="CD43" s="346">
        <v>-109.28</v>
      </c>
      <c r="CE43" s="346">
        <v>-403.09</v>
      </c>
      <c r="CF43" s="346">
        <v>28.04</v>
      </c>
      <c r="CG43" s="346">
        <v>42.37</v>
      </c>
      <c r="CH43" s="346">
        <v>24.41</v>
      </c>
      <c r="CI43" s="346">
        <v>63.31</v>
      </c>
      <c r="CJ43" s="346">
        <v>85.92</v>
      </c>
      <c r="CK43" s="346">
        <v>96.74</v>
      </c>
      <c r="CL43" s="346">
        <v>88.85</v>
      </c>
      <c r="CM43" s="346">
        <v>37.229999999999997</v>
      </c>
      <c r="CN43" s="346">
        <v>62.79</v>
      </c>
      <c r="CO43" s="346">
        <v>3.83</v>
      </c>
      <c r="CP43" s="346">
        <v>-0.45</v>
      </c>
      <c r="CQ43" s="346">
        <v>132.07</v>
      </c>
      <c r="CR43" s="346">
        <v>10.17</v>
      </c>
      <c r="CS43" s="346">
        <v>7.03</v>
      </c>
      <c r="CT43" s="346">
        <v>105.97</v>
      </c>
      <c r="CU43" s="346">
        <v>92.75</v>
      </c>
      <c r="CV43" s="346">
        <v>1.1299999999999999</v>
      </c>
      <c r="CW43" s="346">
        <v>212326749.88</v>
      </c>
    </row>
    <row r="44" spans="1:101" x14ac:dyDescent="0.25">
      <c r="A44" s="346" t="str">
        <f>VLOOKUP(B44,'Loan Book Summary'!C:G,5,FALSE)</f>
        <v>0014I0000279PJU</v>
      </c>
      <c r="B44" s="346">
        <v>1100000126</v>
      </c>
      <c r="C44" s="346" t="s">
        <v>5413</v>
      </c>
      <c r="D44" s="346" t="s">
        <v>1889</v>
      </c>
      <c r="E44" s="346">
        <v>2022</v>
      </c>
      <c r="F44" s="346">
        <v>6</v>
      </c>
      <c r="G44" s="346">
        <v>3186.9160069999998</v>
      </c>
      <c r="H44" s="346">
        <v>51.380510000000001</v>
      </c>
      <c r="I44" s="346">
        <v>51.380510000000001</v>
      </c>
      <c r="J44" s="346">
        <v>4125.7799569999997</v>
      </c>
      <c r="K44" s="346">
        <v>3084.3598689999999</v>
      </c>
      <c r="L44" s="346">
        <v>314.56518999999997</v>
      </c>
      <c r="M44" s="346" t="s">
        <v>1889</v>
      </c>
      <c r="N44" s="346">
        <v>868.88576</v>
      </c>
      <c r="O44" s="346">
        <v>868.88576</v>
      </c>
      <c r="P44" s="346">
        <v>-3199.3780900000002</v>
      </c>
      <c r="Q44" s="346">
        <v>4515.5700189999998</v>
      </c>
      <c r="R44" s="346">
        <v>5400</v>
      </c>
      <c r="S44" s="346">
        <v>5.4345051890000002</v>
      </c>
      <c r="T44" s="346">
        <v>38.73676313</v>
      </c>
      <c r="U44" s="346">
        <v>1496.8248510000001</v>
      </c>
      <c r="V44" s="346">
        <v>1166.47047</v>
      </c>
      <c r="W44" s="346">
        <v>1214.510047</v>
      </c>
      <c r="X44" s="346" t="s">
        <v>101</v>
      </c>
      <c r="Y44" s="346">
        <v>43999</v>
      </c>
      <c r="Z44" s="346">
        <v>5</v>
      </c>
      <c r="AA44" s="346" t="s">
        <v>996</v>
      </c>
      <c r="AB44" s="346" t="s">
        <v>115</v>
      </c>
      <c r="AC44" s="346" t="s">
        <v>115</v>
      </c>
      <c r="AD44" s="347">
        <v>0.153</v>
      </c>
      <c r="AE44" s="347">
        <v>0.1986</v>
      </c>
      <c r="AF44" s="346">
        <v>0.32</v>
      </c>
      <c r="AG44" s="346">
        <v>0.81</v>
      </c>
      <c r="AH44" s="346">
        <v>1.39</v>
      </c>
      <c r="AI44" s="346">
        <v>2.0299999999999998</v>
      </c>
      <c r="AJ44" s="346">
        <v>2.72</v>
      </c>
      <c r="AK44" s="347">
        <v>3.2000000000000002E-3</v>
      </c>
      <c r="AL44" s="347">
        <v>4.8999999999999998E-3</v>
      </c>
      <c r="AM44" s="347">
        <v>5.7999999999999996E-3</v>
      </c>
      <c r="AN44" s="347">
        <v>6.4999999999999997E-3</v>
      </c>
      <c r="AO44" s="347">
        <v>7.1000000000000004E-3</v>
      </c>
      <c r="AP44" s="347">
        <v>3.2000000000000002E-3</v>
      </c>
      <c r="AQ44" s="347">
        <v>4.1000000000000003E-3</v>
      </c>
      <c r="AR44" s="347">
        <v>4.5999999999999999E-3</v>
      </c>
      <c r="AS44" s="347">
        <v>5.1000000000000004E-3</v>
      </c>
      <c r="AT44" s="347">
        <v>5.4999999999999997E-3</v>
      </c>
      <c r="AU44" s="347">
        <v>2.7199999999999998E-2</v>
      </c>
      <c r="AV44" s="346">
        <v>-4.16</v>
      </c>
      <c r="AW44" s="346">
        <v>-4.0599999999999996</v>
      </c>
      <c r="AX44" s="346">
        <v>-18.68</v>
      </c>
      <c r="AY44" s="346">
        <v>1.72</v>
      </c>
      <c r="AZ44" s="346">
        <v>4.95</v>
      </c>
      <c r="BA44" s="346">
        <v>-21.36</v>
      </c>
      <c r="BB44" s="346">
        <v>-27.28</v>
      </c>
      <c r="BC44" s="346">
        <v>-16.260000000000002</v>
      </c>
      <c r="BD44" s="346">
        <v>-1.52</v>
      </c>
      <c r="BE44" s="346">
        <v>-5.45</v>
      </c>
      <c r="BF44" s="346">
        <v>-3.17</v>
      </c>
      <c r="BG44" s="346">
        <v>-13.45</v>
      </c>
      <c r="BH44" s="346">
        <v>4.5199999999999996</v>
      </c>
      <c r="BI44" s="346">
        <v>4.5</v>
      </c>
      <c r="BJ44" s="346">
        <v>-23.27</v>
      </c>
      <c r="BK44" s="346">
        <v>-28.96</v>
      </c>
      <c r="BL44" s="346">
        <v>-14.11</v>
      </c>
      <c r="BM44" s="346">
        <v>-2.56</v>
      </c>
      <c r="BN44" s="346">
        <v>111.3</v>
      </c>
      <c r="BO44" s="346">
        <v>16.96</v>
      </c>
      <c r="BP44" s="346">
        <v>-97.44</v>
      </c>
      <c r="BQ44" s="346">
        <v>-45.77</v>
      </c>
      <c r="BR44" s="346">
        <v>-122.22</v>
      </c>
      <c r="BS44" s="346">
        <v>0</v>
      </c>
      <c r="BT44" s="346">
        <v>-3.42</v>
      </c>
      <c r="BU44" s="346">
        <v>-10.18</v>
      </c>
      <c r="BV44" s="346">
        <v>-492.71</v>
      </c>
      <c r="BW44" s="346">
        <v>103.42</v>
      </c>
      <c r="BX44" s="346">
        <v>9.27</v>
      </c>
      <c r="BY44" s="346">
        <v>-49.59</v>
      </c>
      <c r="BZ44" s="346">
        <v>-86.38</v>
      </c>
      <c r="CA44" s="346">
        <v>-78.75</v>
      </c>
      <c r="CB44" s="346">
        <v>0</v>
      </c>
      <c r="CC44" s="346">
        <v>-2.5</v>
      </c>
      <c r="CD44" s="346">
        <v>-6.13</v>
      </c>
      <c r="CE44" s="346">
        <v>-563.96</v>
      </c>
      <c r="CF44" s="346">
        <v>47.01</v>
      </c>
      <c r="CG44" s="346">
        <v>58.55</v>
      </c>
      <c r="CH44" s="346">
        <v>85.08</v>
      </c>
      <c r="CI44" s="346">
        <v>14.64</v>
      </c>
      <c r="CJ44" s="346">
        <v>18.61</v>
      </c>
      <c r="CK44" s="346">
        <v>2</v>
      </c>
      <c r="CL44" s="346">
        <v>99.2</v>
      </c>
      <c r="CM44" s="346">
        <v>95.35</v>
      </c>
      <c r="CN44" s="346">
        <v>67.41</v>
      </c>
      <c r="CO44" s="346">
        <v>6.97</v>
      </c>
      <c r="CP44" s="346">
        <v>0.19</v>
      </c>
      <c r="CQ44" s="346">
        <v>3878.12</v>
      </c>
      <c r="CR44" s="346">
        <v>-16.38</v>
      </c>
      <c r="CS44" s="346">
        <v>-7.37</v>
      </c>
      <c r="CT44" s="346">
        <v>-46.66</v>
      </c>
      <c r="CU44" s="346">
        <v>366.78</v>
      </c>
      <c r="CV44" s="346">
        <v>25.83</v>
      </c>
      <c r="CW44" s="346">
        <v>255405649.75999999</v>
      </c>
    </row>
    <row r="45" spans="1:101" x14ac:dyDescent="0.25">
      <c r="A45" s="346" t="str">
        <f>VLOOKUP(B45,'Loan Book Summary'!C:G,5,FALSE)</f>
        <v>0014I00001tNfla</v>
      </c>
      <c r="B45" s="346">
        <v>1100000184</v>
      </c>
      <c r="C45" s="346" t="s">
        <v>5414</v>
      </c>
      <c r="D45" s="346" t="s">
        <v>1889</v>
      </c>
      <c r="E45" s="346">
        <v>2022</v>
      </c>
      <c r="F45" s="346">
        <v>6</v>
      </c>
      <c r="G45" s="346">
        <v>7536.6122750000004</v>
      </c>
      <c r="H45" s="346">
        <v>8966.3950000000004</v>
      </c>
      <c r="I45" s="346">
        <v>8966.3950000000004</v>
      </c>
      <c r="J45" s="346">
        <v>27524.079849999998</v>
      </c>
      <c r="K45" s="346">
        <v>26288.816269999999</v>
      </c>
      <c r="L45" s="346">
        <v>6290.9054999999998</v>
      </c>
      <c r="M45" s="346" t="s">
        <v>1889</v>
      </c>
      <c r="N45" s="346">
        <v>12518.5715</v>
      </c>
      <c r="O45" s="346">
        <v>12518.5715</v>
      </c>
      <c r="P45" s="346">
        <v>29013.771199999999</v>
      </c>
      <c r="Q45" s="346">
        <v>45743.002249999998</v>
      </c>
      <c r="R45" s="346">
        <v>40936.917500000003</v>
      </c>
      <c r="S45" s="346">
        <v>660.06626310000001</v>
      </c>
      <c r="T45" s="346">
        <v>3953.460462</v>
      </c>
      <c r="U45" s="346">
        <v>2580.5917100000001</v>
      </c>
      <c r="V45" s="346">
        <v>-1376.9702299999999</v>
      </c>
      <c r="W45" s="346">
        <v>-4792.564824</v>
      </c>
      <c r="X45" s="346" t="s">
        <v>101</v>
      </c>
      <c r="Y45" s="346">
        <v>43999</v>
      </c>
      <c r="Z45" s="346">
        <v>5</v>
      </c>
      <c r="AA45" s="346" t="s">
        <v>996</v>
      </c>
      <c r="AB45" s="346" t="s">
        <v>102</v>
      </c>
      <c r="AC45" s="346" t="s">
        <v>102</v>
      </c>
      <c r="AD45" s="347">
        <v>0.89080000000000004</v>
      </c>
      <c r="AE45" s="347">
        <v>0.8095</v>
      </c>
      <c r="AF45" s="346">
        <v>5.56</v>
      </c>
      <c r="AG45" s="346">
        <v>8.3699999999999992</v>
      </c>
      <c r="AH45" s="346">
        <v>10.6</v>
      </c>
      <c r="AI45" s="346">
        <v>12.51</v>
      </c>
      <c r="AJ45" s="346">
        <v>14.2</v>
      </c>
      <c r="AK45" s="347">
        <v>5.5599999999999997E-2</v>
      </c>
      <c r="AL45" s="347">
        <v>2.98E-2</v>
      </c>
      <c r="AM45" s="347">
        <v>2.4299999999999999E-2</v>
      </c>
      <c r="AN45" s="347">
        <v>2.1299999999999999E-2</v>
      </c>
      <c r="AO45" s="347">
        <v>1.9400000000000001E-2</v>
      </c>
      <c r="AP45" s="347">
        <v>5.5599999999999997E-2</v>
      </c>
      <c r="AQ45" s="347">
        <v>4.2799999999999998E-2</v>
      </c>
      <c r="AR45" s="347">
        <v>3.6700000000000003E-2</v>
      </c>
      <c r="AS45" s="347">
        <v>3.2800000000000003E-2</v>
      </c>
      <c r="AT45" s="347">
        <v>3.0200000000000001E-2</v>
      </c>
      <c r="AU45" s="347">
        <v>0.14199999999999999</v>
      </c>
      <c r="AV45" s="346">
        <v>8.77</v>
      </c>
      <c r="AW45" s="346">
        <v>-0.35</v>
      </c>
      <c r="AX45" s="346">
        <v>17.489999999999998</v>
      </c>
      <c r="AY45" s="346">
        <v>-3.09</v>
      </c>
      <c r="AZ45" s="346">
        <v>0.33</v>
      </c>
      <c r="BA45" s="346">
        <v>29.5</v>
      </c>
      <c r="BB45" s="346">
        <v>-14.74</v>
      </c>
      <c r="BC45" s="346">
        <v>13.63</v>
      </c>
      <c r="BD45" s="346">
        <v>-12.09</v>
      </c>
      <c r="BE45" s="346">
        <v>10.19</v>
      </c>
      <c r="BF45" s="346">
        <v>-0.24</v>
      </c>
      <c r="BG45" s="346">
        <v>11.16</v>
      </c>
      <c r="BH45" s="346">
        <v>-7.21</v>
      </c>
      <c r="BI45" s="346">
        <v>0.27</v>
      </c>
      <c r="BJ45" s="346">
        <v>28.49</v>
      </c>
      <c r="BK45" s="346">
        <v>-13.87</v>
      </c>
      <c r="BL45" s="346">
        <v>10.48</v>
      </c>
      <c r="BM45" s="346">
        <v>-18.09</v>
      </c>
      <c r="BN45" s="346">
        <v>93.19</v>
      </c>
      <c r="BO45" s="346">
        <v>-34.03</v>
      </c>
      <c r="BP45" s="346">
        <v>-410.01</v>
      </c>
      <c r="BQ45" s="346">
        <v>36.33</v>
      </c>
      <c r="BR45" s="346">
        <v>70.08</v>
      </c>
      <c r="BS45" s="346">
        <v>134.68</v>
      </c>
      <c r="BT45" s="346">
        <v>-71.239999999999995</v>
      </c>
      <c r="BU45" s="346">
        <v>-28.23</v>
      </c>
      <c r="BV45" s="346">
        <v>-22.21</v>
      </c>
      <c r="BW45" s="346">
        <v>126.41</v>
      </c>
      <c r="BX45" s="346">
        <v>-28.46</v>
      </c>
      <c r="BY45" s="346">
        <v>-282.32</v>
      </c>
      <c r="BZ45" s="346">
        <v>101.32</v>
      </c>
      <c r="CA45" s="346">
        <v>65.98</v>
      </c>
      <c r="CB45" s="346">
        <v>150.41</v>
      </c>
      <c r="CC45" s="346">
        <v>-78.56</v>
      </c>
      <c r="CD45" s="346">
        <v>-26.3</v>
      </c>
      <c r="CE45" s="346">
        <v>-40.24</v>
      </c>
      <c r="CF45" s="346">
        <v>79.08</v>
      </c>
      <c r="CG45" s="346">
        <v>25.77</v>
      </c>
      <c r="CH45" s="346">
        <v>21</v>
      </c>
      <c r="CI45" s="346">
        <v>66.319999999999993</v>
      </c>
      <c r="CJ45" s="346">
        <v>89.06</v>
      </c>
      <c r="CK45" s="346">
        <v>96.28</v>
      </c>
      <c r="CL45" s="346">
        <v>81.91</v>
      </c>
      <c r="CM45" s="346">
        <v>15.46</v>
      </c>
      <c r="CN45" s="346">
        <v>94.59</v>
      </c>
      <c r="CO45" s="346">
        <v>13.75</v>
      </c>
      <c r="CP45" s="346">
        <v>-2.2999999999999998</v>
      </c>
      <c r="CQ45" s="346">
        <v>81.97</v>
      </c>
      <c r="CR45" s="346">
        <v>11.74</v>
      </c>
      <c r="CS45" s="346">
        <v>8.91</v>
      </c>
      <c r="CT45" s="346">
        <v>103.72</v>
      </c>
      <c r="CU45" s="346">
        <v>60.2</v>
      </c>
      <c r="CV45" s="346">
        <v>-3.01</v>
      </c>
      <c r="CW45" s="346">
        <v>2047608381.75</v>
      </c>
    </row>
    <row r="46" spans="1:101" x14ac:dyDescent="0.25">
      <c r="A46" s="346" t="str">
        <f>VLOOKUP(B46,'Loan Book Summary'!C:G,5,FALSE)</f>
        <v>0014I000023fvfX</v>
      </c>
      <c r="B46" s="346">
        <v>1100000111</v>
      </c>
      <c r="C46" s="346" t="s">
        <v>5415</v>
      </c>
      <c r="D46" s="346" t="s">
        <v>1889</v>
      </c>
      <c r="E46" s="346">
        <v>2022</v>
      </c>
      <c r="F46" s="346">
        <v>6</v>
      </c>
      <c r="G46" s="346">
        <v>1822.9049379999999</v>
      </c>
      <c r="H46" s="346">
        <v>1343.075</v>
      </c>
      <c r="I46" s="346">
        <v>1343.075</v>
      </c>
      <c r="J46" s="346">
        <v>5257.1283039999998</v>
      </c>
      <c r="K46" s="346">
        <v>4477.3839959999996</v>
      </c>
      <c r="L46" s="346">
        <v>1341.6569999999999</v>
      </c>
      <c r="M46" s="346" t="s">
        <v>1889</v>
      </c>
      <c r="N46" s="346">
        <v>1805.05</v>
      </c>
      <c r="O46" s="346">
        <v>1805.05</v>
      </c>
      <c r="P46" s="346">
        <v>1554.8340000000001</v>
      </c>
      <c r="Q46" s="346">
        <v>9013.56</v>
      </c>
      <c r="R46" s="346">
        <v>8068.59</v>
      </c>
      <c r="S46" s="346">
        <v>99.880223599999994</v>
      </c>
      <c r="T46" s="346">
        <v>63.700084709999999</v>
      </c>
      <c r="U46" s="346">
        <v>1120.169776</v>
      </c>
      <c r="V46" s="346">
        <v>845.1757533</v>
      </c>
      <c r="W46" s="346">
        <v>563.53950329999998</v>
      </c>
      <c r="X46" s="346" t="s">
        <v>101</v>
      </c>
      <c r="Y46" s="346">
        <v>25930</v>
      </c>
      <c r="Z46" s="346">
        <v>5</v>
      </c>
      <c r="AA46" s="346" t="s">
        <v>996</v>
      </c>
      <c r="AB46" s="346" t="s">
        <v>115</v>
      </c>
      <c r="AC46" s="346" t="s">
        <v>115</v>
      </c>
      <c r="AD46" s="347">
        <v>0.1726</v>
      </c>
      <c r="AE46" s="347">
        <v>0.19889999999999999</v>
      </c>
      <c r="AF46" s="346">
        <v>0.35</v>
      </c>
      <c r="AG46" s="346">
        <v>0.86</v>
      </c>
      <c r="AH46" s="346">
        <v>1.43</v>
      </c>
      <c r="AI46" s="346">
        <v>2.0499999999999998</v>
      </c>
      <c r="AJ46" s="346">
        <v>2.72</v>
      </c>
      <c r="AK46" s="347">
        <v>3.5000000000000001E-3</v>
      </c>
      <c r="AL46" s="347">
        <v>5.0000000000000001E-3</v>
      </c>
      <c r="AM46" s="347">
        <v>5.7999999999999996E-3</v>
      </c>
      <c r="AN46" s="347">
        <v>6.3E-3</v>
      </c>
      <c r="AO46" s="347">
        <v>6.7999999999999996E-3</v>
      </c>
      <c r="AP46" s="347">
        <v>3.5000000000000001E-3</v>
      </c>
      <c r="AQ46" s="347">
        <v>4.3E-3</v>
      </c>
      <c r="AR46" s="347">
        <v>4.7999999999999996E-3</v>
      </c>
      <c r="AS46" s="347">
        <v>5.1999999999999998E-3</v>
      </c>
      <c r="AT46" s="347">
        <v>5.4999999999999997E-3</v>
      </c>
      <c r="AU46" s="347">
        <v>2.7199999999999998E-2</v>
      </c>
      <c r="AV46" s="346">
        <v>14.72</v>
      </c>
      <c r="AW46" s="346">
        <v>-1.39</v>
      </c>
      <c r="AX46" s="346">
        <v>-14.82</v>
      </c>
      <c r="AY46" s="346">
        <v>-4.2</v>
      </c>
      <c r="AZ46" s="346">
        <v>-7.48</v>
      </c>
      <c r="BA46" s="346">
        <v>-16.149999999999999</v>
      </c>
      <c r="BB46" s="346">
        <v>-25.85</v>
      </c>
      <c r="BC46" s="346">
        <v>-12.82</v>
      </c>
      <c r="BD46" s="346">
        <v>-2.57</v>
      </c>
      <c r="BE46" s="346">
        <v>17.64</v>
      </c>
      <c r="BF46" s="346">
        <v>-1</v>
      </c>
      <c r="BG46" s="346">
        <v>-9.76</v>
      </c>
      <c r="BH46" s="346">
        <v>-10.11</v>
      </c>
      <c r="BI46" s="346">
        <v>-6.21</v>
      </c>
      <c r="BJ46" s="346">
        <v>-16.079999999999998</v>
      </c>
      <c r="BK46" s="346">
        <v>-25.08</v>
      </c>
      <c r="BL46" s="346">
        <v>-10.16</v>
      </c>
      <c r="BM46" s="346">
        <v>-3.96</v>
      </c>
      <c r="BN46" s="346">
        <v>100.47</v>
      </c>
      <c r="BO46" s="346">
        <v>-50.52</v>
      </c>
      <c r="BP46" s="346">
        <v>-396.73</v>
      </c>
      <c r="BQ46" s="346">
        <v>47.21</v>
      </c>
      <c r="BR46" s="346">
        <v>66.36</v>
      </c>
      <c r="BS46" s="346">
        <v>76.36</v>
      </c>
      <c r="BT46" s="346">
        <v>-35.18</v>
      </c>
      <c r="BU46" s="346">
        <v>-66.08</v>
      </c>
      <c r="BV46" s="346">
        <v>-61.09</v>
      </c>
      <c r="BW46" s="346">
        <v>128.65</v>
      </c>
      <c r="BX46" s="346">
        <v>-38.28</v>
      </c>
      <c r="BY46" s="346">
        <v>-277.26</v>
      </c>
      <c r="BZ46" s="346">
        <v>122.16</v>
      </c>
      <c r="CA46" s="346">
        <v>58.84</v>
      </c>
      <c r="CB46" s="346">
        <v>81.48</v>
      </c>
      <c r="CC46" s="346">
        <v>-36.35</v>
      </c>
      <c r="CD46" s="346">
        <v>-55.86</v>
      </c>
      <c r="CE46" s="346">
        <v>-101.11</v>
      </c>
      <c r="CF46" s="346">
        <v>82.53</v>
      </c>
      <c r="CG46" s="346">
        <v>29.48</v>
      </c>
      <c r="CH46" s="346">
        <v>75.81</v>
      </c>
      <c r="CI46" s="346">
        <v>66.27</v>
      </c>
      <c r="CJ46" s="346">
        <v>73.61</v>
      </c>
      <c r="CK46" s="346">
        <v>32.1</v>
      </c>
      <c r="CL46" s="346">
        <v>90.12</v>
      </c>
      <c r="CM46" s="346">
        <v>80.87</v>
      </c>
      <c r="CN46" s="346">
        <v>74.89</v>
      </c>
      <c r="CO46" s="346">
        <v>14.88</v>
      </c>
      <c r="CP46" s="346">
        <v>-1.75</v>
      </c>
      <c r="CQ46" s="346">
        <v>1915.3</v>
      </c>
      <c r="CR46" s="346">
        <v>11.71</v>
      </c>
      <c r="CS46" s="346">
        <v>3</v>
      </c>
      <c r="CT46" s="346">
        <v>47.58</v>
      </c>
      <c r="CU46" s="346">
        <v>100.99</v>
      </c>
      <c r="CV46" s="346">
        <v>9.3800000000000008</v>
      </c>
      <c r="CW46" s="346">
        <v>361129320.88999999</v>
      </c>
    </row>
    <row r="47" spans="1:101" x14ac:dyDescent="0.25">
      <c r="A47" s="346" t="str">
        <f>VLOOKUP(B47,'Loan Book Summary'!C:G,5,FALSE)</f>
        <v>0015800000YDm0R</v>
      </c>
      <c r="B47" s="346">
        <v>1100000143</v>
      </c>
      <c r="C47" s="346" t="s">
        <v>164</v>
      </c>
      <c r="D47" s="346" t="s">
        <v>1889</v>
      </c>
      <c r="E47" s="346">
        <v>2022</v>
      </c>
      <c r="F47" s="346">
        <v>6</v>
      </c>
      <c r="G47" s="346">
        <v>50</v>
      </c>
      <c r="H47" s="346">
        <v>231.22806</v>
      </c>
      <c r="I47" s="346">
        <v>231.22806</v>
      </c>
      <c r="J47" s="346">
        <v>424.84146779999998</v>
      </c>
      <c r="K47" s="346">
        <v>437.91475730000002</v>
      </c>
      <c r="L47" s="346">
        <v>693.05427250000002</v>
      </c>
      <c r="M47" s="346" t="s">
        <v>1889</v>
      </c>
      <c r="N47" s="346">
        <v>919.21777250000002</v>
      </c>
      <c r="O47" s="346">
        <v>919.21777250000002</v>
      </c>
      <c r="P47" s="346">
        <v>11.5272308</v>
      </c>
      <c r="Q47" s="346">
        <v>3051.125</v>
      </c>
      <c r="R47" s="346">
        <v>2646.875</v>
      </c>
      <c r="S47" s="346">
        <v>11.570226979999999</v>
      </c>
      <c r="T47" s="346">
        <v>9.4580526230000004</v>
      </c>
      <c r="U47" s="346">
        <v>87.933023030000001</v>
      </c>
      <c r="V47" s="346">
        <v>62.779976320000003</v>
      </c>
      <c r="W47" s="346">
        <v>-90.30639438</v>
      </c>
      <c r="X47" s="346" t="s">
        <v>101</v>
      </c>
      <c r="Y47" s="346">
        <v>55100</v>
      </c>
      <c r="Z47" s="346">
        <v>5</v>
      </c>
      <c r="AA47" s="346" t="s">
        <v>996</v>
      </c>
      <c r="AB47" s="346" t="s">
        <v>105</v>
      </c>
      <c r="AC47" s="346" t="s">
        <v>104</v>
      </c>
      <c r="AD47" s="347">
        <v>0.61929999999999996</v>
      </c>
      <c r="AE47" s="347">
        <v>0.64410000000000001</v>
      </c>
      <c r="AF47" s="346">
        <v>1.63</v>
      </c>
      <c r="AG47" s="346">
        <v>3.39</v>
      </c>
      <c r="AH47" s="346">
        <v>5.17</v>
      </c>
      <c r="AI47" s="346">
        <v>6.97</v>
      </c>
      <c r="AJ47" s="346">
        <v>8.75</v>
      </c>
      <c r="AK47" s="347">
        <v>1.6299999999999999E-2</v>
      </c>
      <c r="AL47" s="347">
        <v>1.7899999999999999E-2</v>
      </c>
      <c r="AM47" s="347">
        <v>1.8499999999999999E-2</v>
      </c>
      <c r="AN47" s="347">
        <v>1.89E-2</v>
      </c>
      <c r="AO47" s="347">
        <v>1.9199999999999998E-2</v>
      </c>
      <c r="AP47" s="347">
        <v>1.6299999999999999E-2</v>
      </c>
      <c r="AQ47" s="347">
        <v>1.7100000000000001E-2</v>
      </c>
      <c r="AR47" s="347">
        <v>1.7500000000000002E-2</v>
      </c>
      <c r="AS47" s="347">
        <v>1.7899999999999999E-2</v>
      </c>
      <c r="AT47" s="347">
        <v>1.8200000000000001E-2</v>
      </c>
      <c r="AU47" s="347">
        <v>8.7499999999999994E-2</v>
      </c>
      <c r="AV47" s="346">
        <v>41.32</v>
      </c>
      <c r="AW47" s="346">
        <v>-5.12</v>
      </c>
      <c r="AX47" s="346">
        <v>-18.940000000000001</v>
      </c>
      <c r="AY47" s="346">
        <v>-5.37</v>
      </c>
      <c r="AZ47" s="346">
        <v>4.29</v>
      </c>
      <c r="BA47" s="346">
        <v>-2.31</v>
      </c>
      <c r="BB47" s="346">
        <v>16.8</v>
      </c>
      <c r="BC47" s="346">
        <v>-0.3</v>
      </c>
      <c r="BD47" s="346">
        <v>5.56</v>
      </c>
      <c r="BE47" s="346">
        <v>45.19</v>
      </c>
      <c r="BF47" s="346">
        <v>-3.34</v>
      </c>
      <c r="BG47" s="346">
        <v>-11.38</v>
      </c>
      <c r="BH47" s="346">
        <v>-11.81</v>
      </c>
      <c r="BI47" s="346">
        <v>3.25</v>
      </c>
      <c r="BJ47" s="346">
        <v>-2.1</v>
      </c>
      <c r="BK47" s="346">
        <v>14.88</v>
      </c>
      <c r="BL47" s="346">
        <v>-0.21</v>
      </c>
      <c r="BM47" s="346">
        <v>7.83</v>
      </c>
      <c r="BN47" s="346">
        <v>6.86</v>
      </c>
      <c r="BO47" s="346">
        <v>-17.079999999999998</v>
      </c>
      <c r="BP47" s="346">
        <v>-209.36</v>
      </c>
      <c r="BQ47" s="346">
        <v>20.64</v>
      </c>
      <c r="BR47" s="346">
        <v>26.21</v>
      </c>
      <c r="BS47" s="346">
        <v>58.92</v>
      </c>
      <c r="BT47" s="346">
        <v>-201.02</v>
      </c>
      <c r="BU47" s="346">
        <v>-95.97</v>
      </c>
      <c r="BV47" s="346">
        <v>-263.95</v>
      </c>
      <c r="BW47" s="346">
        <v>8.41</v>
      </c>
      <c r="BX47" s="346">
        <v>-12.09</v>
      </c>
      <c r="BY47" s="346">
        <v>-127.27</v>
      </c>
      <c r="BZ47" s="346">
        <v>49.07</v>
      </c>
      <c r="CA47" s="346">
        <v>21.35</v>
      </c>
      <c r="CB47" s="346">
        <v>56.85</v>
      </c>
      <c r="CC47" s="346">
        <v>-180.07</v>
      </c>
      <c r="CD47" s="346">
        <v>-73.11</v>
      </c>
      <c r="CE47" s="346">
        <v>-371.78</v>
      </c>
      <c r="CF47" s="346">
        <v>94.71</v>
      </c>
      <c r="CG47" s="346">
        <v>34.36</v>
      </c>
      <c r="CH47" s="346">
        <v>64.900000000000006</v>
      </c>
      <c r="CI47" s="346">
        <v>72.12</v>
      </c>
      <c r="CJ47" s="346">
        <v>91.98</v>
      </c>
      <c r="CK47" s="346">
        <v>59.46</v>
      </c>
      <c r="CL47" s="346">
        <v>44.92</v>
      </c>
      <c r="CM47" s="346">
        <v>46.21</v>
      </c>
      <c r="CN47" s="346">
        <v>26.47</v>
      </c>
      <c r="CO47" s="346">
        <v>22.71</v>
      </c>
      <c r="CP47" s="346">
        <v>-1.1599999999999999</v>
      </c>
      <c r="CQ47" s="346">
        <v>1052.05</v>
      </c>
      <c r="CR47" s="346">
        <v>15.27</v>
      </c>
      <c r="CS47" s="346">
        <v>11.33</v>
      </c>
      <c r="CT47" s="346">
        <v>69.25</v>
      </c>
      <c r="CU47" s="346">
        <v>5.44</v>
      </c>
      <c r="CV47" s="346">
        <v>2.06</v>
      </c>
      <c r="CW47" s="346">
        <v>68729389.120000005</v>
      </c>
    </row>
    <row r="48" spans="1:101" x14ac:dyDescent="0.25">
      <c r="A48" s="346" t="str">
        <f>VLOOKUP(B48,'Loan Book Summary'!C:G,5,FALSE)</f>
        <v>0015800001RC0fT</v>
      </c>
      <c r="B48" s="346">
        <v>1200000111</v>
      </c>
      <c r="C48" s="346" t="s">
        <v>5416</v>
      </c>
      <c r="D48" s="346" t="s">
        <v>1889</v>
      </c>
      <c r="E48" s="346">
        <v>2022</v>
      </c>
      <c r="F48" s="346">
        <v>6</v>
      </c>
      <c r="G48" s="346">
        <v>2182.5794820000001</v>
      </c>
      <c r="H48" s="346">
        <v>330.3</v>
      </c>
      <c r="I48" s="346">
        <v>330.3</v>
      </c>
      <c r="J48" s="346">
        <v>6071.8385349999999</v>
      </c>
      <c r="K48" s="346">
        <v>5015.8540629999998</v>
      </c>
      <c r="L48" s="346">
        <v>838.60059100000001</v>
      </c>
      <c r="M48" s="346" t="s">
        <v>1889</v>
      </c>
      <c r="N48" s="346">
        <v>1187.6005909999999</v>
      </c>
      <c r="O48" s="346">
        <v>1187.6005909999999</v>
      </c>
      <c r="P48" s="346">
        <v>1000</v>
      </c>
      <c r="Q48" s="346">
        <v>10418</v>
      </c>
      <c r="R48" s="346">
        <v>9276</v>
      </c>
      <c r="S48" s="346">
        <v>105.6943672</v>
      </c>
      <c r="T48" s="346">
        <v>66.204034820000004</v>
      </c>
      <c r="U48" s="346">
        <v>1125.244475</v>
      </c>
      <c r="V48" s="346">
        <v>847.23235250000005</v>
      </c>
      <c r="W48" s="346">
        <v>648.58868280000002</v>
      </c>
      <c r="X48" s="346" t="s">
        <v>101</v>
      </c>
      <c r="Y48" s="346">
        <v>38220</v>
      </c>
      <c r="Z48" s="346">
        <v>5</v>
      </c>
      <c r="AA48" s="346" t="s">
        <v>996</v>
      </c>
      <c r="AB48" s="346" t="s">
        <v>226</v>
      </c>
      <c r="AC48" s="346" t="s">
        <v>134</v>
      </c>
      <c r="AD48" s="347">
        <v>6.5799999999999997E-2</v>
      </c>
      <c r="AE48" s="347">
        <v>7.9500000000000001E-2</v>
      </c>
      <c r="AF48" s="346">
        <v>0.2</v>
      </c>
      <c r="AG48" s="346">
        <v>0.49</v>
      </c>
      <c r="AH48" s="346">
        <v>0.82</v>
      </c>
      <c r="AI48" s="346">
        <v>1.19</v>
      </c>
      <c r="AJ48" s="346">
        <v>1.58</v>
      </c>
      <c r="AK48" s="347">
        <v>2E-3</v>
      </c>
      <c r="AL48" s="347">
        <v>2.8999999999999998E-3</v>
      </c>
      <c r="AM48" s="347">
        <v>3.3999999999999998E-3</v>
      </c>
      <c r="AN48" s="347">
        <v>3.7000000000000002E-3</v>
      </c>
      <c r="AO48" s="347">
        <v>4.0000000000000001E-3</v>
      </c>
      <c r="AP48" s="347">
        <v>2E-3</v>
      </c>
      <c r="AQ48" s="347">
        <v>2.5000000000000001E-3</v>
      </c>
      <c r="AR48" s="347">
        <v>2.8E-3</v>
      </c>
      <c r="AS48" s="347">
        <v>3.0000000000000001E-3</v>
      </c>
      <c r="AT48" s="347">
        <v>3.2000000000000002E-3</v>
      </c>
      <c r="AU48" s="347">
        <v>1.5800000000000002E-2</v>
      </c>
      <c r="AV48" s="346">
        <v>-2.15</v>
      </c>
      <c r="AW48" s="346">
        <v>-4.22</v>
      </c>
      <c r="AX48" s="346">
        <v>-15.17</v>
      </c>
      <c r="AY48" s="346">
        <v>-4.3</v>
      </c>
      <c r="AZ48" s="346">
        <v>-9.3699999999999992</v>
      </c>
      <c r="BA48" s="346">
        <v>-21.76</v>
      </c>
      <c r="BB48" s="346">
        <v>-28.81</v>
      </c>
      <c r="BC48" s="346">
        <v>-11.6</v>
      </c>
      <c r="BD48" s="346">
        <v>-2.63</v>
      </c>
      <c r="BE48" s="346">
        <v>-2.66</v>
      </c>
      <c r="BF48" s="346">
        <v>-3.12</v>
      </c>
      <c r="BG48" s="346">
        <v>-10.34</v>
      </c>
      <c r="BH48" s="346">
        <v>-10.71</v>
      </c>
      <c r="BI48" s="346">
        <v>-8.06</v>
      </c>
      <c r="BJ48" s="346">
        <v>-22.44</v>
      </c>
      <c r="BK48" s="346">
        <v>-28.95</v>
      </c>
      <c r="BL48" s="346">
        <v>-9.5299999999999994</v>
      </c>
      <c r="BM48" s="346">
        <v>-4.1900000000000004</v>
      </c>
      <c r="BN48" s="346">
        <v>132.01</v>
      </c>
      <c r="BO48" s="346">
        <v>-23.29</v>
      </c>
      <c r="BP48" s="346">
        <v>-466.42</v>
      </c>
      <c r="BQ48" s="346">
        <v>57.45</v>
      </c>
      <c r="BR48" s="346">
        <v>6.74</v>
      </c>
      <c r="BS48" s="346">
        <v>29.76</v>
      </c>
      <c r="BT48" s="346">
        <v>-7.4</v>
      </c>
      <c r="BU48" s="346">
        <v>-102.59</v>
      </c>
      <c r="BV48" s="346">
        <v>-74.349999999999994</v>
      </c>
      <c r="BW48" s="346">
        <v>159.81</v>
      </c>
      <c r="BX48" s="346">
        <v>-17.04</v>
      </c>
      <c r="BY48" s="346">
        <v>-343.58</v>
      </c>
      <c r="BZ48" s="346">
        <v>139.72</v>
      </c>
      <c r="CA48" s="346">
        <v>5.68</v>
      </c>
      <c r="CB48" s="346">
        <v>30.25</v>
      </c>
      <c r="CC48" s="346">
        <v>-7.3</v>
      </c>
      <c r="CD48" s="346">
        <v>-81.650000000000006</v>
      </c>
      <c r="CE48" s="346">
        <v>-114.97</v>
      </c>
      <c r="CF48" s="346">
        <v>53.32</v>
      </c>
      <c r="CG48" s="346">
        <v>43.24</v>
      </c>
      <c r="CH48" s="346">
        <v>75.319999999999993</v>
      </c>
      <c r="CI48" s="346">
        <v>67.33</v>
      </c>
      <c r="CJ48" s="346">
        <v>63.38</v>
      </c>
      <c r="CK48" s="346">
        <v>16.239999999999998</v>
      </c>
      <c r="CL48" s="346">
        <v>96.09</v>
      </c>
      <c r="CM48" s="346">
        <v>77.819999999999993</v>
      </c>
      <c r="CN48" s="346">
        <v>75.430000000000007</v>
      </c>
      <c r="CO48" s="346">
        <v>8.0500000000000007</v>
      </c>
      <c r="CP48" s="346">
        <v>-0.39</v>
      </c>
      <c r="CQ48" s="346">
        <v>1859.31</v>
      </c>
      <c r="CR48" s="346">
        <v>12.31</v>
      </c>
      <c r="CS48" s="346">
        <v>1.22</v>
      </c>
      <c r="CT48" s="346">
        <v>30.13</v>
      </c>
      <c r="CU48" s="346">
        <v>183.78</v>
      </c>
      <c r="CV48" s="346">
        <v>8.1300000000000008</v>
      </c>
      <c r="CW48" s="346">
        <v>371216388.02999997</v>
      </c>
    </row>
    <row r="49" spans="1:101" x14ac:dyDescent="0.25">
      <c r="A49" s="346" t="str">
        <f>VLOOKUP(B49,'Loan Book Summary'!C:G,5,FALSE)</f>
        <v>0014I000027uYyB</v>
      </c>
      <c r="B49" s="346">
        <v>1200000118</v>
      </c>
      <c r="C49" s="346" t="s">
        <v>1602</v>
      </c>
      <c r="D49" s="346" t="s">
        <v>1889</v>
      </c>
      <c r="E49" s="346">
        <v>2022</v>
      </c>
      <c r="F49" s="346">
        <v>6</v>
      </c>
      <c r="G49" s="346">
        <v>1567.3659319999999</v>
      </c>
      <c r="H49" s="346">
        <v>23623.270339999999</v>
      </c>
      <c r="I49" s="346">
        <v>23623.270339999999</v>
      </c>
      <c r="J49" s="346">
        <v>59675.4545</v>
      </c>
      <c r="K49" s="346">
        <v>57555.242530000003</v>
      </c>
      <c r="L49" s="346">
        <v>9623.0740900000001</v>
      </c>
      <c r="M49" s="346" t="s">
        <v>1889</v>
      </c>
      <c r="N49" s="346">
        <v>13884.454239999999</v>
      </c>
      <c r="O49" s="346">
        <v>14571.896479999999</v>
      </c>
      <c r="P49" s="346">
        <v>52490.657010000003</v>
      </c>
      <c r="Q49" s="346">
        <v>37955.385000000002</v>
      </c>
      <c r="R49" s="346">
        <v>33169.5</v>
      </c>
      <c r="S49" s="346">
        <v>857.91940309999995</v>
      </c>
      <c r="T49" s="346">
        <v>234.7887198</v>
      </c>
      <c r="U49" s="346">
        <v>3350.3828469999999</v>
      </c>
      <c r="V49" s="346">
        <v>2492.4753019999998</v>
      </c>
      <c r="W49" s="346">
        <v>1141.7259489999999</v>
      </c>
      <c r="X49" s="346" t="s">
        <v>101</v>
      </c>
      <c r="Y49" s="346">
        <v>69102</v>
      </c>
      <c r="Z49" s="346">
        <v>5</v>
      </c>
      <c r="AA49" s="346" t="s">
        <v>996</v>
      </c>
      <c r="AB49" s="346" t="s">
        <v>105</v>
      </c>
      <c r="AC49" s="346" t="s">
        <v>105</v>
      </c>
      <c r="AD49" s="347">
        <v>0.55569999999999997</v>
      </c>
      <c r="AE49" s="347">
        <v>0.55449999999999999</v>
      </c>
      <c r="AF49" s="346">
        <v>1.34</v>
      </c>
      <c r="AG49" s="346">
        <v>2.74</v>
      </c>
      <c r="AH49" s="346">
        <v>4.16</v>
      </c>
      <c r="AI49" s="346">
        <v>5.58</v>
      </c>
      <c r="AJ49" s="346">
        <v>7</v>
      </c>
      <c r="AK49" s="347">
        <v>1.34E-2</v>
      </c>
      <c r="AL49" s="347">
        <v>1.4200000000000001E-2</v>
      </c>
      <c r="AM49" s="347">
        <v>1.46E-2</v>
      </c>
      <c r="AN49" s="347">
        <v>1.4800000000000001E-2</v>
      </c>
      <c r="AO49" s="347">
        <v>1.4999999999999999E-2</v>
      </c>
      <c r="AP49" s="347">
        <v>1.34E-2</v>
      </c>
      <c r="AQ49" s="347">
        <v>1.38E-2</v>
      </c>
      <c r="AR49" s="347">
        <v>1.41E-2</v>
      </c>
      <c r="AS49" s="347">
        <v>1.43E-2</v>
      </c>
      <c r="AT49" s="347">
        <v>1.44E-2</v>
      </c>
      <c r="AU49" s="347">
        <v>7.0000000000000007E-2</v>
      </c>
      <c r="AV49" s="346">
        <v>20.07</v>
      </c>
      <c r="AW49" s="346">
        <v>3.87</v>
      </c>
      <c r="AX49" s="346">
        <v>-13.19</v>
      </c>
      <c r="AY49" s="346">
        <v>-3.01</v>
      </c>
      <c r="AZ49" s="346">
        <v>-7.73</v>
      </c>
      <c r="BA49" s="346">
        <v>24.27</v>
      </c>
      <c r="BB49" s="346">
        <v>1.98</v>
      </c>
      <c r="BC49" s="346">
        <v>-8.8000000000000007</v>
      </c>
      <c r="BD49" s="346">
        <v>-17.07</v>
      </c>
      <c r="BE49" s="346">
        <v>22.14</v>
      </c>
      <c r="BF49" s="346">
        <v>2.54</v>
      </c>
      <c r="BG49" s="346">
        <v>-8</v>
      </c>
      <c r="BH49" s="346">
        <v>-6.69</v>
      </c>
      <c r="BI49" s="346">
        <v>-5.92</v>
      </c>
      <c r="BJ49" s="346">
        <v>22.27</v>
      </c>
      <c r="BK49" s="346">
        <v>1.77</v>
      </c>
      <c r="BL49" s="346">
        <v>-6.43</v>
      </c>
      <c r="BM49" s="346">
        <v>-24.25</v>
      </c>
      <c r="BN49" s="346">
        <v>5.44</v>
      </c>
      <c r="BO49" s="346">
        <v>-5.75</v>
      </c>
      <c r="BP49" s="346">
        <v>-262.55</v>
      </c>
      <c r="BQ49" s="346">
        <v>37.659999999999997</v>
      </c>
      <c r="BR49" s="346">
        <v>17.21</v>
      </c>
      <c r="BS49" s="346">
        <v>148.33000000000001</v>
      </c>
      <c r="BT49" s="346">
        <v>-345.41</v>
      </c>
      <c r="BU49" s="346">
        <v>-66.349999999999994</v>
      </c>
      <c r="BV49" s="346">
        <v>-11.29</v>
      </c>
      <c r="BW49" s="346">
        <v>6.81</v>
      </c>
      <c r="BX49" s="346">
        <v>-4.2300000000000004</v>
      </c>
      <c r="BY49" s="346">
        <v>-183.6</v>
      </c>
      <c r="BZ49" s="346">
        <v>97.02</v>
      </c>
      <c r="CA49" s="346">
        <v>15.26</v>
      </c>
      <c r="CB49" s="346">
        <v>160.62</v>
      </c>
      <c r="CC49" s="346">
        <v>-357.9</v>
      </c>
      <c r="CD49" s="346">
        <v>-55.98</v>
      </c>
      <c r="CE49" s="346">
        <v>-18.579999999999998</v>
      </c>
      <c r="CF49" s="346">
        <v>96.31</v>
      </c>
      <c r="CG49" s="346">
        <v>8.5500000000000007</v>
      </c>
      <c r="CH49" s="346">
        <v>74.73</v>
      </c>
      <c r="CI49" s="346">
        <v>70.819999999999993</v>
      </c>
      <c r="CJ49" s="346">
        <v>67.31</v>
      </c>
      <c r="CK49" s="346">
        <v>86.24</v>
      </c>
      <c r="CL49" s="346">
        <v>53.65</v>
      </c>
      <c r="CM49" s="346">
        <v>72.819999999999993</v>
      </c>
      <c r="CN49" s="346">
        <v>97.1</v>
      </c>
      <c r="CO49" s="346">
        <v>25.35</v>
      </c>
      <c r="CP49" s="346">
        <v>-8.98</v>
      </c>
      <c r="CQ49" s="346">
        <v>1792.38</v>
      </c>
      <c r="CR49" s="346">
        <v>14.43</v>
      </c>
      <c r="CS49" s="346">
        <v>1.81</v>
      </c>
      <c r="CT49" s="346">
        <v>90.23</v>
      </c>
      <c r="CU49" s="346">
        <v>11.29</v>
      </c>
      <c r="CV49" s="346">
        <v>6.57</v>
      </c>
      <c r="CW49" s="346">
        <v>3761536277.4099998</v>
      </c>
    </row>
    <row r="50" spans="1:101" x14ac:dyDescent="0.25">
      <c r="A50" s="346" t="str">
        <f>VLOOKUP(B50,'Loan Book Summary'!C:G,5,FALSE)</f>
        <v>0014I00002789GY</v>
      </c>
      <c r="B50" s="346">
        <v>1100000234</v>
      </c>
      <c r="C50" s="346" t="s">
        <v>5417</v>
      </c>
      <c r="D50" s="346" t="s">
        <v>1889</v>
      </c>
      <c r="E50" s="346">
        <v>2022</v>
      </c>
      <c r="F50" s="346">
        <v>6</v>
      </c>
      <c r="G50" s="346">
        <v>888.33429020000005</v>
      </c>
      <c r="H50" s="346">
        <v>2202.3266199999998</v>
      </c>
      <c r="I50" s="346">
        <v>2202.3266199999998</v>
      </c>
      <c r="J50" s="346">
        <v>29506.596269999998</v>
      </c>
      <c r="K50" s="346">
        <v>30747.12026</v>
      </c>
      <c r="L50" s="346">
        <v>1321.91697</v>
      </c>
      <c r="M50" s="346" t="s">
        <v>1889</v>
      </c>
      <c r="N50" s="346">
        <v>3010.2828399999999</v>
      </c>
      <c r="O50" s="346">
        <v>3010.2828399999999</v>
      </c>
      <c r="P50" s="346">
        <v>3470.92769</v>
      </c>
      <c r="Q50" s="346">
        <v>11318.18188</v>
      </c>
      <c r="R50" s="346">
        <v>10845.12</v>
      </c>
      <c r="S50" s="346">
        <v>1158.997672</v>
      </c>
      <c r="T50" s="346">
        <v>14.1044482</v>
      </c>
      <c r="U50" s="346">
        <v>-35.991172249999998</v>
      </c>
      <c r="V50" s="346">
        <v>-50.095620449999998</v>
      </c>
      <c r="W50" s="346">
        <v>730.471722</v>
      </c>
      <c r="X50" s="346" t="s">
        <v>101</v>
      </c>
      <c r="Y50" s="346">
        <v>10720</v>
      </c>
      <c r="Z50" s="346">
        <v>5</v>
      </c>
      <c r="AA50" s="346" t="s">
        <v>996</v>
      </c>
      <c r="AB50" s="346" t="s">
        <v>114</v>
      </c>
      <c r="AC50" s="346" t="s">
        <v>114</v>
      </c>
      <c r="AD50" s="347">
        <v>0.24299999999999999</v>
      </c>
      <c r="AE50" s="347">
        <v>0.2288</v>
      </c>
      <c r="AF50" s="346">
        <v>0.48</v>
      </c>
      <c r="AG50" s="346">
        <v>1.06</v>
      </c>
      <c r="AH50" s="346">
        <v>1.69</v>
      </c>
      <c r="AI50" s="346">
        <v>2.35</v>
      </c>
      <c r="AJ50" s="346">
        <v>3.03</v>
      </c>
      <c r="AK50" s="347">
        <v>4.7999999999999996E-3</v>
      </c>
      <c r="AL50" s="347">
        <v>5.8999999999999999E-3</v>
      </c>
      <c r="AM50" s="347">
        <v>6.4000000000000003E-3</v>
      </c>
      <c r="AN50" s="347">
        <v>6.7000000000000002E-3</v>
      </c>
      <c r="AO50" s="347">
        <v>7.0000000000000001E-3</v>
      </c>
      <c r="AP50" s="347">
        <v>4.7999999999999996E-3</v>
      </c>
      <c r="AQ50" s="347">
        <v>5.3E-3</v>
      </c>
      <c r="AR50" s="347">
        <v>5.7000000000000002E-3</v>
      </c>
      <c r="AS50" s="347">
        <v>5.8999999999999999E-3</v>
      </c>
      <c r="AT50" s="347">
        <v>6.1000000000000004E-3</v>
      </c>
      <c r="AU50" s="347">
        <v>3.0300000000000001E-2</v>
      </c>
      <c r="AV50" s="346">
        <v>6.38</v>
      </c>
      <c r="AW50" s="346">
        <v>-2.95</v>
      </c>
      <c r="AX50" s="346">
        <v>-22.35</v>
      </c>
      <c r="AY50" s="346">
        <v>-5.15</v>
      </c>
      <c r="AZ50" s="346">
        <v>-4.46</v>
      </c>
      <c r="BA50" s="346">
        <v>-21.27</v>
      </c>
      <c r="BB50" s="346">
        <v>-10.38</v>
      </c>
      <c r="BC50" s="346">
        <v>13.68</v>
      </c>
      <c r="BD50" s="346">
        <v>-13.38</v>
      </c>
      <c r="BE50" s="346">
        <v>7.4</v>
      </c>
      <c r="BF50" s="346">
        <v>-2.04</v>
      </c>
      <c r="BG50" s="346">
        <v>-14.25</v>
      </c>
      <c r="BH50" s="346">
        <v>-12</v>
      </c>
      <c r="BI50" s="346">
        <v>-3.58</v>
      </c>
      <c r="BJ50" s="346">
        <v>-20.5</v>
      </c>
      <c r="BK50" s="346">
        <v>-9.75</v>
      </c>
      <c r="BL50" s="346">
        <v>10.5</v>
      </c>
      <c r="BM50" s="346">
        <v>-19.97</v>
      </c>
      <c r="BN50" s="346">
        <v>132.12</v>
      </c>
      <c r="BO50" s="346">
        <v>-48.47</v>
      </c>
      <c r="BP50" s="346">
        <v>-47.98</v>
      </c>
      <c r="BQ50" s="346">
        <v>-16.899999999999999</v>
      </c>
      <c r="BR50" s="346">
        <v>-128.72</v>
      </c>
      <c r="BS50" s="346">
        <v>2.97</v>
      </c>
      <c r="BT50" s="346">
        <v>-236.45</v>
      </c>
      <c r="BU50" s="346">
        <v>-243.85</v>
      </c>
      <c r="BV50" s="346">
        <v>-42.53</v>
      </c>
      <c r="BW50" s="346">
        <v>169.75</v>
      </c>
      <c r="BX50" s="346">
        <v>-34.99</v>
      </c>
      <c r="BY50" s="346">
        <v>-32</v>
      </c>
      <c r="BZ50" s="346">
        <v>-41.18</v>
      </c>
      <c r="CA50" s="346">
        <v>-113.28</v>
      </c>
      <c r="CB50" s="346">
        <v>2.82</v>
      </c>
      <c r="CC50" s="346">
        <v>-237.99</v>
      </c>
      <c r="CD50" s="346">
        <v>-199.21</v>
      </c>
      <c r="CE50" s="346">
        <v>-68.78</v>
      </c>
      <c r="CF50" s="346">
        <v>71.349999999999994</v>
      </c>
      <c r="CG50" s="346">
        <v>37.51</v>
      </c>
      <c r="CH50" s="346">
        <v>91.46</v>
      </c>
      <c r="CI50" s="346">
        <v>49.77</v>
      </c>
      <c r="CJ50" s="346">
        <v>35.75</v>
      </c>
      <c r="CK50" s="346">
        <v>9.67</v>
      </c>
      <c r="CL50" s="346">
        <v>68.900000000000006</v>
      </c>
      <c r="CM50" s="346">
        <v>22.31</v>
      </c>
      <c r="CN50" s="346">
        <v>93.39</v>
      </c>
      <c r="CO50" s="346">
        <v>11.68</v>
      </c>
      <c r="CP50" s="346">
        <v>-0.85</v>
      </c>
      <c r="CQ50" s="346">
        <v>7962.07</v>
      </c>
      <c r="CR50" s="346">
        <v>4.3600000000000003</v>
      </c>
      <c r="CS50" s="346">
        <v>-2.3199999999999998</v>
      </c>
      <c r="CT50" s="346">
        <v>19.93</v>
      </c>
      <c r="CU50" s="346">
        <v>29.51</v>
      </c>
      <c r="CV50" s="346">
        <v>-0.44</v>
      </c>
      <c r="CW50" s="346">
        <v>1662772867.6600001</v>
      </c>
    </row>
    <row r="51" spans="1:101" x14ac:dyDescent="0.25">
      <c r="A51" s="346" t="str">
        <f>VLOOKUP(B51,'Loan Book Summary'!C:G,5,FALSE)</f>
        <v>0014I00001r6hl4</v>
      </c>
      <c r="B51" s="346">
        <v>1200000106</v>
      </c>
      <c r="C51" s="346" t="s">
        <v>5418</v>
      </c>
      <c r="D51" s="346" t="s">
        <v>1889</v>
      </c>
      <c r="E51" s="346">
        <v>2022</v>
      </c>
      <c r="F51" s="346">
        <v>6</v>
      </c>
      <c r="G51" s="346">
        <v>414.42575820000002</v>
      </c>
      <c r="H51" s="346">
        <v>289.60199999999998</v>
      </c>
      <c r="I51" s="346">
        <v>289.60199999999998</v>
      </c>
      <c r="J51" s="346">
        <v>8897.0600699999995</v>
      </c>
      <c r="K51" s="346">
        <v>10381.795819999999</v>
      </c>
      <c r="L51" s="346">
        <v>2430.6012599999999</v>
      </c>
      <c r="M51" s="346" t="s">
        <v>1889</v>
      </c>
      <c r="N51" s="346">
        <v>4261.3187600000001</v>
      </c>
      <c r="O51" s="346">
        <v>4261.3187600000001</v>
      </c>
      <c r="P51" s="346">
        <v>13559.415580000001</v>
      </c>
      <c r="Q51" s="346">
        <v>13313.445019999999</v>
      </c>
      <c r="R51" s="346">
        <v>12036.228209999999</v>
      </c>
      <c r="S51" s="346">
        <v>1066.829358</v>
      </c>
      <c r="T51" s="346">
        <v>747.31127739999999</v>
      </c>
      <c r="U51" s="346">
        <v>469.68492930000002</v>
      </c>
      <c r="V51" s="346">
        <v>-395.30968080000002</v>
      </c>
      <c r="W51" s="346">
        <v>-831.55453060000002</v>
      </c>
      <c r="X51" s="346" t="s">
        <v>101</v>
      </c>
      <c r="Y51" s="346">
        <v>25120</v>
      </c>
      <c r="Z51" s="346">
        <v>5</v>
      </c>
      <c r="AA51" s="346" t="s">
        <v>996</v>
      </c>
      <c r="AB51" s="346" t="s">
        <v>119</v>
      </c>
      <c r="AC51" s="346" t="s">
        <v>119</v>
      </c>
      <c r="AD51" s="347">
        <v>0.90859999999999996</v>
      </c>
      <c r="AE51" s="347">
        <v>0.87780000000000002</v>
      </c>
      <c r="AF51" s="346">
        <v>6.59</v>
      </c>
      <c r="AG51" s="346">
        <v>10.32</v>
      </c>
      <c r="AH51" s="346">
        <v>13.36</v>
      </c>
      <c r="AI51" s="346">
        <v>15.99</v>
      </c>
      <c r="AJ51" s="346">
        <v>18.34</v>
      </c>
      <c r="AK51" s="347">
        <v>6.59E-2</v>
      </c>
      <c r="AL51" s="347">
        <v>0.04</v>
      </c>
      <c r="AM51" s="347">
        <v>3.3799999999999997E-2</v>
      </c>
      <c r="AN51" s="347">
        <v>3.0300000000000001E-2</v>
      </c>
      <c r="AO51" s="347">
        <v>2.8000000000000001E-2</v>
      </c>
      <c r="AP51" s="347">
        <v>6.59E-2</v>
      </c>
      <c r="AQ51" s="347">
        <v>5.2999999999999999E-2</v>
      </c>
      <c r="AR51" s="347">
        <v>4.6699999999999998E-2</v>
      </c>
      <c r="AS51" s="347">
        <v>4.2599999999999999E-2</v>
      </c>
      <c r="AT51" s="347">
        <v>3.9699999999999999E-2</v>
      </c>
      <c r="AU51" s="347">
        <v>0.18340000000000001</v>
      </c>
      <c r="AV51" s="346">
        <v>15.19</v>
      </c>
      <c r="AW51" s="346">
        <v>-3.55</v>
      </c>
      <c r="AX51" s="346">
        <v>12.97</v>
      </c>
      <c r="AY51" s="346">
        <v>-3.64</v>
      </c>
      <c r="AZ51" s="346">
        <v>-6.04</v>
      </c>
      <c r="BA51" s="346">
        <v>34.56</v>
      </c>
      <c r="BB51" s="346">
        <v>3.18</v>
      </c>
      <c r="BC51" s="346">
        <v>14.97</v>
      </c>
      <c r="BD51" s="346">
        <v>-5.9</v>
      </c>
      <c r="BE51" s="346">
        <v>17.93</v>
      </c>
      <c r="BF51" s="346">
        <v>-2.5</v>
      </c>
      <c r="BG51" s="346">
        <v>8.41</v>
      </c>
      <c r="BH51" s="346">
        <v>-8.6300000000000008</v>
      </c>
      <c r="BI51" s="346">
        <v>-4.9400000000000004</v>
      </c>
      <c r="BJ51" s="346">
        <v>33.9</v>
      </c>
      <c r="BK51" s="346">
        <v>3.04</v>
      </c>
      <c r="BL51" s="346">
        <v>11.69</v>
      </c>
      <c r="BM51" s="346">
        <v>-8.9600000000000009</v>
      </c>
      <c r="BN51" s="346">
        <v>45.41</v>
      </c>
      <c r="BO51" s="346">
        <v>-10.29</v>
      </c>
      <c r="BP51" s="346">
        <v>-303.27</v>
      </c>
      <c r="BQ51" s="346">
        <v>30.13</v>
      </c>
      <c r="BR51" s="346">
        <v>45.01</v>
      </c>
      <c r="BS51" s="346">
        <v>33.61</v>
      </c>
      <c r="BT51" s="346">
        <v>-348.83</v>
      </c>
      <c r="BU51" s="346">
        <v>-25.28</v>
      </c>
      <c r="BV51" s="346">
        <v>-58.16</v>
      </c>
      <c r="BW51" s="346">
        <v>51.81</v>
      </c>
      <c r="BX51" s="346">
        <v>-6.95</v>
      </c>
      <c r="BY51" s="346">
        <v>-203.84</v>
      </c>
      <c r="BZ51" s="346">
        <v>68.739999999999995</v>
      </c>
      <c r="CA51" s="346">
        <v>35.770000000000003</v>
      </c>
      <c r="CB51" s="346">
        <v>31.69</v>
      </c>
      <c r="CC51" s="346">
        <v>-395.74</v>
      </c>
      <c r="CD51" s="346">
        <v>-18.88</v>
      </c>
      <c r="CE51" s="346">
        <v>-86.57</v>
      </c>
      <c r="CF51" s="346">
        <v>89.8</v>
      </c>
      <c r="CG51" s="346">
        <v>45.69</v>
      </c>
      <c r="CH51" s="346">
        <v>30.08</v>
      </c>
      <c r="CI51" s="346">
        <v>64.2</v>
      </c>
      <c r="CJ51" s="346">
        <v>72.08</v>
      </c>
      <c r="CK51" s="346">
        <v>99.78</v>
      </c>
      <c r="CL51" s="346">
        <v>51.66</v>
      </c>
      <c r="CM51" s="346">
        <v>15.53</v>
      </c>
      <c r="CN51" s="346">
        <v>84.79</v>
      </c>
      <c r="CO51" s="346">
        <v>18.260000000000002</v>
      </c>
      <c r="CP51" s="346">
        <v>-0.23</v>
      </c>
      <c r="CQ51" s="346">
        <v>205.61</v>
      </c>
      <c r="CR51" s="346">
        <v>10.61</v>
      </c>
      <c r="CS51" s="346">
        <v>2.67</v>
      </c>
      <c r="CT51" s="346">
        <v>135.43</v>
      </c>
      <c r="CU51" s="346">
        <v>9.73</v>
      </c>
      <c r="CV51" s="346">
        <v>-2.97</v>
      </c>
      <c r="CW51" s="346">
        <v>672862706.99000001</v>
      </c>
    </row>
    <row r="52" spans="1:101" x14ac:dyDescent="0.25">
      <c r="A52" s="346" t="str">
        <f>VLOOKUP(B52,'Loan Book Summary'!C:G,5,FALSE)</f>
        <v>0015800001Pfprh</v>
      </c>
      <c r="B52" s="346">
        <v>1100000144</v>
      </c>
      <c r="C52" s="346" t="s">
        <v>5419</v>
      </c>
      <c r="D52" s="346" t="s">
        <v>1889</v>
      </c>
      <c r="E52" s="346">
        <v>2022</v>
      </c>
      <c r="F52" s="346">
        <v>6</v>
      </c>
      <c r="G52" s="346">
        <v>15104.437690000001</v>
      </c>
      <c r="H52" s="346">
        <v>7279.6970000000001</v>
      </c>
      <c r="I52" s="346">
        <v>7279.6970000000001</v>
      </c>
      <c r="J52" s="346">
        <v>27956.41361</v>
      </c>
      <c r="K52" s="346">
        <v>26345.509389999999</v>
      </c>
      <c r="L52" s="346">
        <v>150.35550000000001</v>
      </c>
      <c r="M52" s="346" t="s">
        <v>1889</v>
      </c>
      <c r="N52" s="346">
        <v>8704.0195000000003</v>
      </c>
      <c r="O52" s="346">
        <v>8704.0195000000003</v>
      </c>
      <c r="P52" s="346">
        <v>22902.909</v>
      </c>
      <c r="Q52" s="346">
        <v>26131.08581</v>
      </c>
      <c r="R52" s="346">
        <v>24149.097010000001</v>
      </c>
      <c r="S52" s="346">
        <v>1338.282158</v>
      </c>
      <c r="T52" s="346">
        <v>1313.556877</v>
      </c>
      <c r="U52" s="346">
        <v>3518.849702</v>
      </c>
      <c r="V52" s="346">
        <v>1764.2342599999999</v>
      </c>
      <c r="W52" s="346">
        <v>2838.5787129999999</v>
      </c>
      <c r="X52" s="346" t="s">
        <v>101</v>
      </c>
      <c r="Y52" s="346">
        <v>82990</v>
      </c>
      <c r="Z52" s="346">
        <v>5</v>
      </c>
      <c r="AA52" s="346" t="s">
        <v>996</v>
      </c>
      <c r="AB52" s="346" t="s">
        <v>114</v>
      </c>
      <c r="AC52" s="346" t="s">
        <v>115</v>
      </c>
      <c r="AD52" s="347">
        <v>0.24199999999999999</v>
      </c>
      <c r="AE52" s="347">
        <v>0.16139999999999999</v>
      </c>
      <c r="AF52" s="346">
        <v>0.48</v>
      </c>
      <c r="AG52" s="346">
        <v>0.95</v>
      </c>
      <c r="AH52" s="346">
        <v>1.42</v>
      </c>
      <c r="AI52" s="346">
        <v>1.89</v>
      </c>
      <c r="AJ52" s="346">
        <v>2.36</v>
      </c>
      <c r="AK52" s="347">
        <v>4.7999999999999996E-3</v>
      </c>
      <c r="AL52" s="347">
        <v>4.7999999999999996E-3</v>
      </c>
      <c r="AM52" s="347">
        <v>4.7999999999999996E-3</v>
      </c>
      <c r="AN52" s="347">
        <v>4.7999999999999996E-3</v>
      </c>
      <c r="AO52" s="347">
        <v>4.7999999999999996E-3</v>
      </c>
      <c r="AP52" s="347">
        <v>4.7999999999999996E-3</v>
      </c>
      <c r="AQ52" s="347">
        <v>4.7999999999999996E-3</v>
      </c>
      <c r="AR52" s="347">
        <v>4.7999999999999996E-3</v>
      </c>
      <c r="AS52" s="347">
        <v>4.7999999999999996E-3</v>
      </c>
      <c r="AT52" s="347">
        <v>4.7999999999999996E-3</v>
      </c>
      <c r="AU52" s="347">
        <v>2.3599999999999999E-2</v>
      </c>
      <c r="AV52" s="346">
        <v>-16.170000000000002</v>
      </c>
      <c r="AW52" s="346">
        <v>-0.45</v>
      </c>
      <c r="AX52" s="346">
        <v>6.12</v>
      </c>
      <c r="AY52" s="346">
        <v>-4.92</v>
      </c>
      <c r="AZ52" s="346">
        <v>-2.85</v>
      </c>
      <c r="BA52" s="346">
        <v>18.75</v>
      </c>
      <c r="BB52" s="346">
        <v>-25.94</v>
      </c>
      <c r="BC52" s="346">
        <v>-9.32</v>
      </c>
      <c r="BD52" s="346">
        <v>-15.49</v>
      </c>
      <c r="BE52" s="346">
        <v>-17.13</v>
      </c>
      <c r="BF52" s="346">
        <v>-0.28000000000000003</v>
      </c>
      <c r="BG52" s="346">
        <v>3.57</v>
      </c>
      <c r="BH52" s="346">
        <v>-10.48</v>
      </c>
      <c r="BI52" s="346">
        <v>-2.09</v>
      </c>
      <c r="BJ52" s="346">
        <v>16.510000000000002</v>
      </c>
      <c r="BK52" s="346">
        <v>-22.26</v>
      </c>
      <c r="BL52" s="346">
        <v>-6.54</v>
      </c>
      <c r="BM52" s="346">
        <v>-21.13</v>
      </c>
      <c r="BN52" s="346">
        <v>202.75</v>
      </c>
      <c r="BO52" s="346">
        <v>-26.94</v>
      </c>
      <c r="BP52" s="346">
        <v>-326.04000000000002</v>
      </c>
      <c r="BQ52" s="346">
        <v>12.47</v>
      </c>
      <c r="BR52" s="346">
        <v>-77.540000000000006</v>
      </c>
      <c r="BS52" s="346">
        <v>162.94999999999999</v>
      </c>
      <c r="BT52" s="346">
        <v>-7.3</v>
      </c>
      <c r="BU52" s="346">
        <v>-66.28</v>
      </c>
      <c r="BV52" s="346">
        <v>-17.73</v>
      </c>
      <c r="BW52" s="346">
        <v>269.54000000000002</v>
      </c>
      <c r="BX52" s="346">
        <v>-22.05</v>
      </c>
      <c r="BY52" s="346">
        <v>-224.66</v>
      </c>
      <c r="BZ52" s="346">
        <v>34.590000000000003</v>
      </c>
      <c r="CA52" s="346">
        <v>-73.790000000000006</v>
      </c>
      <c r="CB52" s="346">
        <v>175.7</v>
      </c>
      <c r="CC52" s="346">
        <v>-7.89</v>
      </c>
      <c r="CD52" s="346">
        <v>-60.38</v>
      </c>
      <c r="CE52" s="346">
        <v>-31.41</v>
      </c>
      <c r="CF52" s="346">
        <v>9.4600000000000009</v>
      </c>
      <c r="CG52" s="346">
        <v>25.85</v>
      </c>
      <c r="CH52" s="346">
        <v>41.28</v>
      </c>
      <c r="CI52" s="346">
        <v>59.11</v>
      </c>
      <c r="CJ52" s="346">
        <v>30.94</v>
      </c>
      <c r="CK52" s="346">
        <v>81.81</v>
      </c>
      <c r="CL52" s="346">
        <v>95.64</v>
      </c>
      <c r="CM52" s="346">
        <v>73.5</v>
      </c>
      <c r="CN52" s="346">
        <v>94.18</v>
      </c>
      <c r="CO52" s="346">
        <v>0.57999999999999996</v>
      </c>
      <c r="CP52" s="346">
        <v>-2.29</v>
      </c>
      <c r="CQ52" s="346">
        <v>369.77</v>
      </c>
      <c r="CR52" s="346">
        <v>8.2100000000000009</v>
      </c>
      <c r="CS52" s="346">
        <v>-3.29</v>
      </c>
      <c r="CT52" s="346">
        <v>86.22</v>
      </c>
      <c r="CU52" s="346">
        <v>173.53</v>
      </c>
      <c r="CV52" s="346">
        <v>6.75</v>
      </c>
      <c r="CW52" s="346">
        <v>1874656337.27</v>
      </c>
    </row>
    <row r="53" spans="1:101" x14ac:dyDescent="0.25">
      <c r="A53" s="346" t="str">
        <f>VLOOKUP(B53,'Loan Book Summary'!C:G,5,FALSE)</f>
        <v>0015800000bzlGg</v>
      </c>
      <c r="B53" s="346">
        <v>1200000116</v>
      </c>
      <c r="C53" s="346" t="s">
        <v>5420</v>
      </c>
      <c r="D53" s="346" t="s">
        <v>1889</v>
      </c>
      <c r="E53" s="346">
        <v>2022</v>
      </c>
      <c r="F53" s="346">
        <v>6</v>
      </c>
      <c r="G53" s="346">
        <v>748.43436469999995</v>
      </c>
      <c r="H53" s="346">
        <v>391.25700000000001</v>
      </c>
      <c r="I53" s="346">
        <v>391.25700000000001</v>
      </c>
      <c r="J53" s="346">
        <v>2680.0507830000001</v>
      </c>
      <c r="K53" s="346">
        <v>2580.3852849999998</v>
      </c>
      <c r="L53" s="346">
        <v>364.20034249999998</v>
      </c>
      <c r="M53" s="346" t="s">
        <v>1889</v>
      </c>
      <c r="N53" s="346">
        <v>468.81434250000001</v>
      </c>
      <c r="O53" s="346">
        <v>468.81434250000001</v>
      </c>
      <c r="P53" s="346">
        <v>1802.1289999999999</v>
      </c>
      <c r="Q53" s="346">
        <v>2136.1973149999999</v>
      </c>
      <c r="R53" s="346">
        <v>2015.49172</v>
      </c>
      <c r="S53" s="346">
        <v>159.79903959999999</v>
      </c>
      <c r="T53" s="346">
        <v>44.867713080000001</v>
      </c>
      <c r="U53" s="346">
        <v>255.6273381</v>
      </c>
      <c r="V53" s="346">
        <v>168.60769999999999</v>
      </c>
      <c r="W53" s="346">
        <v>186.37664240000001</v>
      </c>
      <c r="X53" s="346" t="s">
        <v>101</v>
      </c>
      <c r="Y53" s="346">
        <v>28290</v>
      </c>
      <c r="Z53" s="346">
        <v>5</v>
      </c>
      <c r="AA53" s="346" t="s">
        <v>996</v>
      </c>
      <c r="AB53" s="346" t="s">
        <v>114</v>
      </c>
      <c r="AC53" s="346" t="s">
        <v>114</v>
      </c>
      <c r="AD53" s="347">
        <v>0.29160000000000003</v>
      </c>
      <c r="AE53" s="347">
        <v>0.31190000000000001</v>
      </c>
      <c r="AF53" s="346">
        <v>0.56000000000000005</v>
      </c>
      <c r="AG53" s="346">
        <v>1.3</v>
      </c>
      <c r="AH53" s="346">
        <v>2.12</v>
      </c>
      <c r="AI53" s="346">
        <v>3</v>
      </c>
      <c r="AJ53" s="346">
        <v>3.91</v>
      </c>
      <c r="AK53" s="347">
        <v>5.5999999999999999E-3</v>
      </c>
      <c r="AL53" s="347">
        <v>7.4000000000000003E-3</v>
      </c>
      <c r="AM53" s="347">
        <v>8.3000000000000001E-3</v>
      </c>
      <c r="AN53" s="347">
        <v>8.8999999999999999E-3</v>
      </c>
      <c r="AO53" s="347">
        <v>9.4000000000000004E-3</v>
      </c>
      <c r="AP53" s="347">
        <v>5.5999999999999999E-3</v>
      </c>
      <c r="AQ53" s="347">
        <v>6.4999999999999997E-3</v>
      </c>
      <c r="AR53" s="347">
        <v>7.1000000000000004E-3</v>
      </c>
      <c r="AS53" s="347">
        <v>7.6E-3</v>
      </c>
      <c r="AT53" s="347">
        <v>8.0000000000000002E-3</v>
      </c>
      <c r="AU53" s="347">
        <v>3.9100000000000003E-2</v>
      </c>
      <c r="AV53" s="346">
        <v>20.46</v>
      </c>
      <c r="AW53" s="346">
        <v>-3.2</v>
      </c>
      <c r="AX53" s="346">
        <v>-10.55</v>
      </c>
      <c r="AY53" s="346">
        <v>-6.45</v>
      </c>
      <c r="AZ53" s="346">
        <v>-9.68</v>
      </c>
      <c r="BA53" s="346">
        <v>2.2000000000000002</v>
      </c>
      <c r="BB53" s="346">
        <v>-32.28</v>
      </c>
      <c r="BC53" s="346">
        <v>-13.3</v>
      </c>
      <c r="BD53" s="346">
        <v>-1.87</v>
      </c>
      <c r="BE53" s="346">
        <v>23.51</v>
      </c>
      <c r="BF53" s="346">
        <v>-2.19</v>
      </c>
      <c r="BG53" s="346">
        <v>-6.66</v>
      </c>
      <c r="BH53" s="346">
        <v>-14.9</v>
      </c>
      <c r="BI53" s="346">
        <v>-7.71</v>
      </c>
      <c r="BJ53" s="346">
        <v>2.1</v>
      </c>
      <c r="BK53" s="346">
        <v>-30.05</v>
      </c>
      <c r="BL53" s="346">
        <v>-10.11</v>
      </c>
      <c r="BM53" s="346">
        <v>-2.77</v>
      </c>
      <c r="BN53" s="346">
        <v>44.51</v>
      </c>
      <c r="BO53" s="346">
        <v>-28.65</v>
      </c>
      <c r="BP53" s="346">
        <v>-305.19</v>
      </c>
      <c r="BQ53" s="346">
        <v>-1.21</v>
      </c>
      <c r="BR53" s="346">
        <v>-41.44</v>
      </c>
      <c r="BS53" s="346">
        <v>106.27</v>
      </c>
      <c r="BT53" s="346">
        <v>-6.3</v>
      </c>
      <c r="BU53" s="346">
        <v>-44.86</v>
      </c>
      <c r="BV53" s="346">
        <v>-321.56</v>
      </c>
      <c r="BW53" s="346">
        <v>55.37</v>
      </c>
      <c r="BX53" s="346">
        <v>-21</v>
      </c>
      <c r="BY53" s="346">
        <v>-185.56</v>
      </c>
      <c r="BZ53" s="346">
        <v>-2.98</v>
      </c>
      <c r="CA53" s="346">
        <v>-35.479999999999997</v>
      </c>
      <c r="CB53" s="346">
        <v>107.29</v>
      </c>
      <c r="CC53" s="346">
        <v>-6.25</v>
      </c>
      <c r="CD53" s="346">
        <v>-36.61</v>
      </c>
      <c r="CE53" s="346">
        <v>-449.45</v>
      </c>
      <c r="CF53" s="346">
        <v>87.62</v>
      </c>
      <c r="CG53" s="346">
        <v>34.950000000000003</v>
      </c>
      <c r="CH53" s="346">
        <v>62.24</v>
      </c>
      <c r="CI53" s="346">
        <v>53.89</v>
      </c>
      <c r="CJ53" s="346">
        <v>46.12</v>
      </c>
      <c r="CK53" s="346">
        <v>63.42</v>
      </c>
      <c r="CL53" s="346">
        <v>94.93</v>
      </c>
      <c r="CM53" s="346">
        <v>77.13</v>
      </c>
      <c r="CN53" s="346">
        <v>55.01</v>
      </c>
      <c r="CO53" s="346">
        <v>17.05</v>
      </c>
      <c r="CP53" s="346">
        <v>-1.1000000000000001</v>
      </c>
      <c r="CQ53" s="346">
        <v>925.89</v>
      </c>
      <c r="CR53" s="346">
        <v>5.99</v>
      </c>
      <c r="CS53" s="346">
        <v>-0.76</v>
      </c>
      <c r="CT53" s="346">
        <v>72.12</v>
      </c>
      <c r="CU53" s="346">
        <v>159.63999999999999</v>
      </c>
      <c r="CV53" s="346">
        <v>7.89</v>
      </c>
      <c r="CW53" s="346">
        <v>161019373.25999999</v>
      </c>
    </row>
    <row r="54" spans="1:101" x14ac:dyDescent="0.25">
      <c r="A54" s="346" t="str">
        <f>VLOOKUP(B54,'Loan Book Summary'!C:G,5,FALSE)</f>
        <v>0014I00001i941O</v>
      </c>
      <c r="B54" s="346">
        <v>1100000187</v>
      </c>
      <c r="C54" s="346" t="s">
        <v>5421</v>
      </c>
      <c r="D54" s="346" t="s">
        <v>1889</v>
      </c>
      <c r="E54" s="346">
        <v>2022</v>
      </c>
      <c r="F54" s="346">
        <v>6</v>
      </c>
      <c r="G54" s="346">
        <v>2186.0787399999999</v>
      </c>
      <c r="H54" s="346">
        <v>184.82354000000001</v>
      </c>
      <c r="I54" s="346">
        <v>184.82354000000001</v>
      </c>
      <c r="J54" s="346">
        <v>2625.3889319999998</v>
      </c>
      <c r="K54" s="346">
        <v>1485.5145110000001</v>
      </c>
      <c r="L54" s="346">
        <v>87.139809470000003</v>
      </c>
      <c r="M54" s="346" t="s">
        <v>1889</v>
      </c>
      <c r="N54" s="346">
        <v>511.50067949999999</v>
      </c>
      <c r="O54" s="346">
        <v>511.50067949999999</v>
      </c>
      <c r="P54" s="346">
        <v>403.76042000000001</v>
      </c>
      <c r="Q54" s="346">
        <v>3653.6059749999999</v>
      </c>
      <c r="R54" s="346">
        <v>3486.138563</v>
      </c>
      <c r="S54" s="346">
        <v>58.488594130000003</v>
      </c>
      <c r="T54" s="346">
        <v>9.3486959639999991</v>
      </c>
      <c r="U54" s="346">
        <v>1239.4087950000001</v>
      </c>
      <c r="V54" s="346">
        <v>984.04807960000005</v>
      </c>
      <c r="W54" s="346">
        <v>927.83446030000005</v>
      </c>
      <c r="X54" s="346" t="s">
        <v>101</v>
      </c>
      <c r="Y54" s="346">
        <v>63990</v>
      </c>
      <c r="Z54" s="346">
        <v>5</v>
      </c>
      <c r="AA54" s="346" t="s">
        <v>996</v>
      </c>
      <c r="AB54" s="346" t="s">
        <v>172</v>
      </c>
      <c r="AC54" s="346" t="s">
        <v>172</v>
      </c>
      <c r="AD54" s="347">
        <v>2.58E-2</v>
      </c>
      <c r="AE54" s="347">
        <v>1.11E-2</v>
      </c>
      <c r="AF54" s="346">
        <v>0.14000000000000001</v>
      </c>
      <c r="AG54" s="346">
        <v>0.31</v>
      </c>
      <c r="AH54" s="346">
        <v>0.49</v>
      </c>
      <c r="AI54" s="346">
        <v>0.68</v>
      </c>
      <c r="AJ54" s="346">
        <v>0.87</v>
      </c>
      <c r="AK54" s="347">
        <v>1.4E-3</v>
      </c>
      <c r="AL54" s="347">
        <v>1.6999999999999999E-3</v>
      </c>
      <c r="AM54" s="347">
        <v>1.8E-3</v>
      </c>
      <c r="AN54" s="347">
        <v>1.9E-3</v>
      </c>
      <c r="AO54" s="347">
        <v>1.9E-3</v>
      </c>
      <c r="AP54" s="347">
        <v>1.4E-3</v>
      </c>
      <c r="AQ54" s="347">
        <v>1.6000000000000001E-3</v>
      </c>
      <c r="AR54" s="347">
        <v>1.6000000000000001E-3</v>
      </c>
      <c r="AS54" s="347">
        <v>1.6999999999999999E-3</v>
      </c>
      <c r="AT54" s="347">
        <v>1.6999999999999999E-3</v>
      </c>
      <c r="AU54" s="347">
        <v>8.6999999999999994E-3</v>
      </c>
      <c r="AV54" s="346">
        <v>-9.2100000000000009</v>
      </c>
      <c r="AW54" s="346">
        <v>-3.24</v>
      </c>
      <c r="AX54" s="346">
        <v>-19.89</v>
      </c>
      <c r="AY54" s="346">
        <v>-4.03</v>
      </c>
      <c r="AZ54" s="346">
        <v>12.74</v>
      </c>
      <c r="BA54" s="346">
        <v>-15.96</v>
      </c>
      <c r="BB54" s="346">
        <v>-21.15</v>
      </c>
      <c r="BC54" s="346">
        <v>-12.61</v>
      </c>
      <c r="BD54" s="346">
        <v>-1.18</v>
      </c>
      <c r="BE54" s="346">
        <v>-11.62</v>
      </c>
      <c r="BF54" s="346">
        <v>-2.44</v>
      </c>
      <c r="BG54" s="346">
        <v>-13.79</v>
      </c>
      <c r="BH54" s="346">
        <v>-10.220000000000001</v>
      </c>
      <c r="BI54" s="346">
        <v>11.14</v>
      </c>
      <c r="BJ54" s="346">
        <v>-16.739999999999998</v>
      </c>
      <c r="BK54" s="346">
        <v>-21.62</v>
      </c>
      <c r="BL54" s="346">
        <v>-10.53</v>
      </c>
      <c r="BM54" s="346">
        <v>-1.91</v>
      </c>
      <c r="BN54" s="346">
        <v>126.07</v>
      </c>
      <c r="BO54" s="346">
        <v>-14.76</v>
      </c>
      <c r="BP54" s="346">
        <v>-20.25</v>
      </c>
      <c r="BQ54" s="346">
        <v>-11.13</v>
      </c>
      <c r="BR54" s="346">
        <v>-34.659999999999997</v>
      </c>
      <c r="BS54" s="346">
        <v>18.309999999999999</v>
      </c>
      <c r="BT54" s="346">
        <v>-3.14</v>
      </c>
      <c r="BU54" s="346">
        <v>-8.93</v>
      </c>
      <c r="BV54" s="346">
        <v>-662.75</v>
      </c>
      <c r="BW54" s="346">
        <v>84.77</v>
      </c>
      <c r="BX54" s="346">
        <v>-5.98</v>
      </c>
      <c r="BY54" s="346">
        <v>-7.64</v>
      </c>
      <c r="BZ54" s="346">
        <v>-15.06</v>
      </c>
      <c r="CA54" s="346">
        <v>-16.55</v>
      </c>
      <c r="CB54" s="346">
        <v>10.42</v>
      </c>
      <c r="CC54" s="346">
        <v>-1.6</v>
      </c>
      <c r="CD54" s="346">
        <v>-3.93</v>
      </c>
      <c r="CE54" s="346">
        <v>-754.05</v>
      </c>
      <c r="CF54" s="346">
        <v>19.43</v>
      </c>
      <c r="CG54" s="346">
        <v>45.5</v>
      </c>
      <c r="CH54" s="346">
        <v>94.68</v>
      </c>
      <c r="CI54" s="346">
        <v>50.9</v>
      </c>
      <c r="CJ54" s="346">
        <v>9.68</v>
      </c>
      <c r="CK54" s="346">
        <v>15.54</v>
      </c>
      <c r="CL54" s="346">
        <v>99.84</v>
      </c>
      <c r="CM54" s="346">
        <v>95.75</v>
      </c>
      <c r="CN54" s="346">
        <v>54.9</v>
      </c>
      <c r="CO54" s="346">
        <v>2.39</v>
      </c>
      <c r="CP54" s="346">
        <v>-0.24</v>
      </c>
      <c r="CQ54" s="346">
        <v>13883.19</v>
      </c>
      <c r="CR54" s="346">
        <v>4.8</v>
      </c>
      <c r="CS54" s="346">
        <v>-15.09</v>
      </c>
      <c r="CT54" s="346">
        <v>29.18</v>
      </c>
      <c r="CU54" s="346">
        <v>427.39</v>
      </c>
      <c r="CV54" s="346">
        <v>26.93</v>
      </c>
      <c r="CW54" s="346">
        <v>160406997.15000001</v>
      </c>
    </row>
    <row r="55" spans="1:101" x14ac:dyDescent="0.25">
      <c r="A55" s="346" t="str">
        <f>VLOOKUP(B55,'Loan Book Summary'!C:G,5,FALSE)</f>
        <v>0014I00002BvrLc</v>
      </c>
      <c r="B55" s="346">
        <v>1100000235</v>
      </c>
      <c r="C55" s="346" t="s">
        <v>5422</v>
      </c>
      <c r="D55" s="346" t="s">
        <v>1889</v>
      </c>
      <c r="E55" s="346">
        <v>2022</v>
      </c>
      <c r="F55" s="346">
        <v>6</v>
      </c>
      <c r="G55" s="346">
        <v>2412.2743230000001</v>
      </c>
      <c r="H55" s="346" t="s">
        <v>1889</v>
      </c>
      <c r="I55" s="346" t="s">
        <v>1889</v>
      </c>
      <c r="J55" s="346">
        <v>12910.807640000001</v>
      </c>
      <c r="K55" s="346">
        <v>12920.100469999999</v>
      </c>
      <c r="L55" s="346" t="s">
        <v>1889</v>
      </c>
      <c r="M55" s="346" t="s">
        <v>1889</v>
      </c>
      <c r="N55" s="346">
        <v>471.90976999999998</v>
      </c>
      <c r="O55" s="346">
        <v>471.90976999999998</v>
      </c>
      <c r="P55" s="346">
        <v>12675.494720000001</v>
      </c>
      <c r="Q55" s="346">
        <v>3591.1575050000001</v>
      </c>
      <c r="R55" s="346">
        <v>3295.6258400000002</v>
      </c>
      <c r="S55" s="346">
        <v>473.68978600000003</v>
      </c>
      <c r="T55" s="346">
        <v>494.5</v>
      </c>
      <c r="U55" s="346">
        <v>485.20716640000001</v>
      </c>
      <c r="V55" s="346">
        <v>-11.020769700000001</v>
      </c>
      <c r="W55" s="346">
        <v>-35.839363689999999</v>
      </c>
      <c r="X55" s="346" t="s">
        <v>101</v>
      </c>
      <c r="Y55" s="346">
        <v>85100</v>
      </c>
      <c r="Z55" s="346">
        <v>5</v>
      </c>
      <c r="AA55" s="346" t="s">
        <v>996</v>
      </c>
      <c r="AB55" s="346" t="s">
        <v>105</v>
      </c>
      <c r="AC55" s="346" t="s">
        <v>110</v>
      </c>
      <c r="AD55" s="347">
        <v>0.56910000000000005</v>
      </c>
      <c r="AE55" s="347">
        <v>0.44429999999999997</v>
      </c>
      <c r="AF55" s="346">
        <v>1.39</v>
      </c>
      <c r="AG55" s="346">
        <v>2.5099999999999998</v>
      </c>
      <c r="AH55" s="346">
        <v>3.54</v>
      </c>
      <c r="AI55" s="346">
        <v>4.51</v>
      </c>
      <c r="AJ55" s="346">
        <v>5.44</v>
      </c>
      <c r="AK55" s="347">
        <v>1.3899999999999999E-2</v>
      </c>
      <c r="AL55" s="347">
        <v>1.14E-2</v>
      </c>
      <c r="AM55" s="347">
        <v>1.06E-2</v>
      </c>
      <c r="AN55" s="347">
        <v>1.01E-2</v>
      </c>
      <c r="AO55" s="347">
        <v>9.7000000000000003E-3</v>
      </c>
      <c r="AP55" s="347">
        <v>1.3899999999999999E-2</v>
      </c>
      <c r="AQ55" s="347">
        <v>1.26E-2</v>
      </c>
      <c r="AR55" s="347">
        <v>1.2E-2</v>
      </c>
      <c r="AS55" s="347">
        <v>1.15E-2</v>
      </c>
      <c r="AT55" s="347">
        <v>1.11E-2</v>
      </c>
      <c r="AU55" s="347">
        <v>5.4399999999999997E-2</v>
      </c>
      <c r="AV55" s="346" t="s">
        <v>1889</v>
      </c>
      <c r="AW55" s="346" t="s">
        <v>1889</v>
      </c>
      <c r="AX55" s="346">
        <v>15.25</v>
      </c>
      <c r="AY55" s="346">
        <v>-4.26</v>
      </c>
      <c r="AZ55" s="346">
        <v>-7.91</v>
      </c>
      <c r="BA55" s="346">
        <v>29.55</v>
      </c>
      <c r="BB55" s="346">
        <v>-24.6</v>
      </c>
      <c r="BC55" s="346">
        <v>12.25</v>
      </c>
      <c r="BD55" s="346">
        <v>-6.19</v>
      </c>
      <c r="BE55" s="346" t="s">
        <v>1889</v>
      </c>
      <c r="BF55" s="346" t="s">
        <v>1889</v>
      </c>
      <c r="BG55" s="346">
        <v>10.09</v>
      </c>
      <c r="BH55" s="346">
        <v>-10.32</v>
      </c>
      <c r="BI55" s="346">
        <v>-6.6</v>
      </c>
      <c r="BJ55" s="346">
        <v>29.6</v>
      </c>
      <c r="BK55" s="346">
        <v>-24.01</v>
      </c>
      <c r="BL55" s="346">
        <v>9.77</v>
      </c>
      <c r="BM55" s="346">
        <v>-9.6</v>
      </c>
      <c r="BN55" s="346">
        <v>0</v>
      </c>
      <c r="BO55" s="346">
        <v>0</v>
      </c>
      <c r="BP55" s="346">
        <v>-339.18</v>
      </c>
      <c r="BQ55" s="346">
        <v>16.25</v>
      </c>
      <c r="BR55" s="346">
        <v>-22.29</v>
      </c>
      <c r="BS55" s="346">
        <v>121.16</v>
      </c>
      <c r="BT55" s="346">
        <v>-0.41</v>
      </c>
      <c r="BU55" s="346">
        <v>-144.71</v>
      </c>
      <c r="BV55" s="346">
        <v>-55.99</v>
      </c>
      <c r="BW55" s="346">
        <v>0</v>
      </c>
      <c r="BX55" s="346">
        <v>0</v>
      </c>
      <c r="BY55" s="346">
        <v>-250.64</v>
      </c>
      <c r="BZ55" s="346">
        <v>46.36</v>
      </c>
      <c r="CA55" s="346">
        <v>-21.87</v>
      </c>
      <c r="CB55" s="346">
        <v>142.71</v>
      </c>
      <c r="CC55" s="346">
        <v>-0.46</v>
      </c>
      <c r="CD55" s="346">
        <v>-135.78</v>
      </c>
      <c r="CE55" s="346">
        <v>-102.18</v>
      </c>
      <c r="CF55" s="346" t="s">
        <v>1889</v>
      </c>
      <c r="CG55" s="346" t="s">
        <v>1889</v>
      </c>
      <c r="CH55" s="346">
        <v>29.18</v>
      </c>
      <c r="CI55" s="346">
        <v>60.79</v>
      </c>
      <c r="CJ55" s="346">
        <v>54.94</v>
      </c>
      <c r="CK55" s="346">
        <v>93.42</v>
      </c>
      <c r="CL55" s="346">
        <v>100</v>
      </c>
      <c r="CM55" s="346">
        <v>22.97</v>
      </c>
      <c r="CN55" s="346">
        <v>85.01</v>
      </c>
      <c r="CO55" s="346" t="s">
        <v>1889</v>
      </c>
      <c r="CP55" s="346" t="s">
        <v>1889</v>
      </c>
      <c r="CQ55" s="346">
        <v>193.91</v>
      </c>
      <c r="CR55" s="346">
        <v>8.9700000000000006</v>
      </c>
      <c r="CS55" s="346">
        <v>0.19</v>
      </c>
      <c r="CT55" s="346">
        <v>98.24</v>
      </c>
      <c r="CU55" s="346">
        <v>511.17</v>
      </c>
      <c r="CV55" s="346">
        <v>-0.31</v>
      </c>
      <c r="CW55" s="346">
        <v>684334413.82000005</v>
      </c>
    </row>
    <row r="56" spans="1:101" x14ac:dyDescent="0.25">
      <c r="A56" s="346" t="str">
        <f>VLOOKUP(B56,'Loan Book Summary'!C:G,5,FALSE)</f>
        <v>0014I00002BVyev</v>
      </c>
      <c r="B56" s="346">
        <v>1100000238</v>
      </c>
      <c r="C56" s="346" t="s">
        <v>5423</v>
      </c>
      <c r="D56" s="346" t="s">
        <v>1889</v>
      </c>
      <c r="E56" s="346">
        <v>2022</v>
      </c>
      <c r="F56" s="346">
        <v>6</v>
      </c>
      <c r="G56" s="346">
        <v>6270.7238749999997</v>
      </c>
      <c r="H56" s="346">
        <v>5807</v>
      </c>
      <c r="I56" s="346">
        <v>5807</v>
      </c>
      <c r="J56" s="346">
        <v>-10022.70672</v>
      </c>
      <c r="K56" s="346">
        <v>-11240.01945</v>
      </c>
      <c r="L56" s="346">
        <v>5270</v>
      </c>
      <c r="M56" s="346" t="s">
        <v>1889</v>
      </c>
      <c r="N56" s="346">
        <v>46715</v>
      </c>
      <c r="O56" s="346">
        <v>46715</v>
      </c>
      <c r="P56" s="346">
        <v>12000</v>
      </c>
      <c r="Q56" s="346">
        <v>178654.50380000001</v>
      </c>
      <c r="R56" s="346">
        <v>159000.29999999999</v>
      </c>
      <c r="S56" s="346">
        <v>51.934607999999997</v>
      </c>
      <c r="T56" s="346">
        <v>1125.5625</v>
      </c>
      <c r="U56" s="346">
        <v>3842.8752330000002</v>
      </c>
      <c r="V56" s="346">
        <v>2173.8501860000001</v>
      </c>
      <c r="W56" s="346">
        <v>-2330.5598500000001</v>
      </c>
      <c r="X56" s="346" t="s">
        <v>101</v>
      </c>
      <c r="Y56" s="346">
        <v>56302</v>
      </c>
      <c r="Z56" s="346">
        <v>5</v>
      </c>
      <c r="AA56" s="346" t="s">
        <v>996</v>
      </c>
      <c r="AB56" s="346" t="s">
        <v>104</v>
      </c>
      <c r="AC56" s="346" t="s">
        <v>105</v>
      </c>
      <c r="AD56" s="347">
        <v>0.65329999999999999</v>
      </c>
      <c r="AE56" s="347">
        <v>0.52290000000000003</v>
      </c>
      <c r="AF56" s="346">
        <v>1.84</v>
      </c>
      <c r="AG56" s="346">
        <v>3.19</v>
      </c>
      <c r="AH56" s="346">
        <v>4.38</v>
      </c>
      <c r="AI56" s="346">
        <v>5.48</v>
      </c>
      <c r="AJ56" s="346">
        <v>6.51</v>
      </c>
      <c r="AK56" s="347">
        <v>1.84E-2</v>
      </c>
      <c r="AL56" s="347">
        <v>1.37E-2</v>
      </c>
      <c r="AM56" s="347">
        <v>1.23E-2</v>
      </c>
      <c r="AN56" s="347">
        <v>1.15E-2</v>
      </c>
      <c r="AO56" s="347">
        <v>1.09E-2</v>
      </c>
      <c r="AP56" s="347">
        <v>1.84E-2</v>
      </c>
      <c r="AQ56" s="347">
        <v>1.61E-2</v>
      </c>
      <c r="AR56" s="347">
        <v>1.4800000000000001E-2</v>
      </c>
      <c r="AS56" s="347">
        <v>1.4E-2</v>
      </c>
      <c r="AT56" s="347">
        <v>1.34E-2</v>
      </c>
      <c r="AU56" s="347">
        <v>6.5100000000000005E-2</v>
      </c>
      <c r="AV56" s="346">
        <v>-11.19</v>
      </c>
      <c r="AW56" s="346">
        <v>-4.17</v>
      </c>
      <c r="AX56" s="346">
        <v>8.34</v>
      </c>
      <c r="AY56" s="346">
        <v>-4.25</v>
      </c>
      <c r="AZ56" s="346">
        <v>4.51</v>
      </c>
      <c r="BA56" s="346">
        <v>45.7</v>
      </c>
      <c r="BB56" s="346">
        <v>-1.07</v>
      </c>
      <c r="BC56" s="346">
        <v>4.1399999999999997</v>
      </c>
      <c r="BD56" s="346">
        <v>-16.63</v>
      </c>
      <c r="BE56" s="346">
        <v>-12.04</v>
      </c>
      <c r="BF56" s="346">
        <v>-2.67</v>
      </c>
      <c r="BG56" s="346">
        <v>4.93</v>
      </c>
      <c r="BH56" s="346">
        <v>-9.18</v>
      </c>
      <c r="BI56" s="346">
        <v>3.37</v>
      </c>
      <c r="BJ56" s="346">
        <v>40.89</v>
      </c>
      <c r="BK56" s="346">
        <v>-0.93</v>
      </c>
      <c r="BL56" s="346">
        <v>2.94</v>
      </c>
      <c r="BM56" s="346">
        <v>-23.04</v>
      </c>
      <c r="BN56" s="346">
        <v>57.1</v>
      </c>
      <c r="BO56" s="346">
        <v>-11.31</v>
      </c>
      <c r="BP56" s="346">
        <v>-274.58</v>
      </c>
      <c r="BQ56" s="346">
        <v>27.96</v>
      </c>
      <c r="BR56" s="346">
        <v>47.49</v>
      </c>
      <c r="BS56" s="346">
        <v>9.7200000000000006</v>
      </c>
      <c r="BT56" s="346">
        <v>-289.41000000000003</v>
      </c>
      <c r="BU56" s="346">
        <v>-165.28</v>
      </c>
      <c r="BV56" s="346">
        <v>-17.149999999999999</v>
      </c>
      <c r="BW56" s="346">
        <v>74.400000000000006</v>
      </c>
      <c r="BX56" s="346">
        <v>-8.94</v>
      </c>
      <c r="BY56" s="346">
        <v>-199.18</v>
      </c>
      <c r="BZ56" s="346">
        <v>72.83</v>
      </c>
      <c r="CA56" s="346">
        <v>43.01</v>
      </c>
      <c r="CB56" s="346">
        <v>10.69</v>
      </c>
      <c r="CC56" s="346">
        <v>-316.95</v>
      </c>
      <c r="CD56" s="346">
        <v>-145.19999999999999</v>
      </c>
      <c r="CE56" s="346">
        <v>-28.8</v>
      </c>
      <c r="CF56" s="346">
        <v>22.76</v>
      </c>
      <c r="CG56" s="346">
        <v>43.08</v>
      </c>
      <c r="CH56" s="346">
        <v>39.85</v>
      </c>
      <c r="CI56" s="346">
        <v>67.42</v>
      </c>
      <c r="CJ56" s="346">
        <v>92.96</v>
      </c>
      <c r="CK56" s="346">
        <v>100</v>
      </c>
      <c r="CL56" s="346">
        <v>56.09</v>
      </c>
      <c r="CM56" s="346">
        <v>38.14</v>
      </c>
      <c r="CN56" s="346">
        <v>94.18</v>
      </c>
      <c r="CO56" s="346">
        <v>2.95</v>
      </c>
      <c r="CP56" s="346">
        <v>-0.4</v>
      </c>
      <c r="CQ56" s="346">
        <v>346.03</v>
      </c>
      <c r="CR56" s="346">
        <v>12.36</v>
      </c>
      <c r="CS56" s="346">
        <v>12.49</v>
      </c>
      <c r="CT56" s="346">
        <v>160.02000000000001</v>
      </c>
      <c r="CU56" s="346">
        <v>13.42</v>
      </c>
      <c r="CV56" s="346">
        <v>1.22</v>
      </c>
      <c r="CW56" s="346">
        <v>1876285528.8699999</v>
      </c>
    </row>
    <row r="57" spans="1:101" x14ac:dyDescent="0.25">
      <c r="A57" s="346" t="str">
        <f>VLOOKUP(B57,'Loan Book Summary'!C:G,5,FALSE)</f>
        <v>0014I000029Mo45</v>
      </c>
      <c r="B57" s="346">
        <v>1100000195</v>
      </c>
      <c r="C57" s="346" t="s">
        <v>5424</v>
      </c>
      <c r="D57" s="346" t="s">
        <v>1889</v>
      </c>
      <c r="E57" s="346">
        <v>2022</v>
      </c>
      <c r="F57" s="346">
        <v>6</v>
      </c>
      <c r="G57" s="346">
        <v>5130.8985000000002</v>
      </c>
      <c r="H57" s="346">
        <v>1946</v>
      </c>
      <c r="I57" s="346">
        <v>1946</v>
      </c>
      <c r="J57" s="346">
        <v>76627.486009999993</v>
      </c>
      <c r="K57" s="346">
        <v>79918.328599999993</v>
      </c>
      <c r="L57" s="346">
        <v>844</v>
      </c>
      <c r="M57" s="346" t="s">
        <v>1889</v>
      </c>
      <c r="N57" s="346">
        <v>2545</v>
      </c>
      <c r="O57" s="346">
        <v>2545</v>
      </c>
      <c r="P57" s="346">
        <v>73287</v>
      </c>
      <c r="Q57" s="346">
        <v>13063.682500000001</v>
      </c>
      <c r="R57" s="346">
        <v>12357.5375</v>
      </c>
      <c r="S57" s="346">
        <v>5603.059835</v>
      </c>
      <c r="T57" s="346">
        <v>5271.5249999999996</v>
      </c>
      <c r="U57" s="346">
        <v>-905.84258550000004</v>
      </c>
      <c r="V57" s="346">
        <v>-6177.367585</v>
      </c>
      <c r="W57" s="346">
        <v>-3077.2928900000002</v>
      </c>
      <c r="X57" s="346" t="s">
        <v>101</v>
      </c>
      <c r="Y57" s="346">
        <v>26600</v>
      </c>
      <c r="Z57" s="346">
        <v>5</v>
      </c>
      <c r="AA57" s="346" t="s">
        <v>996</v>
      </c>
      <c r="AB57" s="346" t="s">
        <v>105</v>
      </c>
      <c r="AC57" s="346" t="s">
        <v>110</v>
      </c>
      <c r="AD57" s="347">
        <v>0.56789999999999996</v>
      </c>
      <c r="AE57" s="347">
        <v>0.38340000000000002</v>
      </c>
      <c r="AF57" s="346">
        <v>1.39</v>
      </c>
      <c r="AG57" s="346">
        <v>2.36</v>
      </c>
      <c r="AH57" s="346">
        <v>3.22</v>
      </c>
      <c r="AI57" s="346">
        <v>4</v>
      </c>
      <c r="AJ57" s="346">
        <v>4.74</v>
      </c>
      <c r="AK57" s="347">
        <v>1.3899999999999999E-2</v>
      </c>
      <c r="AL57" s="347">
        <v>9.9000000000000008E-3</v>
      </c>
      <c r="AM57" s="347">
        <v>8.8000000000000005E-3</v>
      </c>
      <c r="AN57" s="347">
        <v>8.0999999999999996E-3</v>
      </c>
      <c r="AO57" s="347">
        <v>7.7000000000000002E-3</v>
      </c>
      <c r="AP57" s="347">
        <v>1.3899999999999999E-2</v>
      </c>
      <c r="AQ57" s="347">
        <v>1.1900000000000001E-2</v>
      </c>
      <c r="AR57" s="347">
        <v>1.0800000000000001E-2</v>
      </c>
      <c r="AS57" s="347">
        <v>1.0200000000000001E-2</v>
      </c>
      <c r="AT57" s="347">
        <v>9.7000000000000003E-3</v>
      </c>
      <c r="AU57" s="347">
        <v>4.7399999999999998E-2</v>
      </c>
      <c r="AV57" s="346">
        <v>-4.0199999999999996</v>
      </c>
      <c r="AW57" s="346">
        <v>-2.23</v>
      </c>
      <c r="AX57" s="346">
        <v>17</v>
      </c>
      <c r="AY57" s="346">
        <v>-3.93</v>
      </c>
      <c r="AZ57" s="346">
        <v>-0.59</v>
      </c>
      <c r="BA57" s="346">
        <v>23.13</v>
      </c>
      <c r="BB57" s="346">
        <v>-20.13</v>
      </c>
      <c r="BC57" s="346">
        <v>15.26</v>
      </c>
      <c r="BD57" s="346">
        <v>-13.71</v>
      </c>
      <c r="BE57" s="346">
        <v>-4.66</v>
      </c>
      <c r="BF57" s="346">
        <v>-1.54</v>
      </c>
      <c r="BG57" s="346">
        <v>10.83</v>
      </c>
      <c r="BH57" s="346">
        <v>-9.16</v>
      </c>
      <c r="BI57" s="346">
        <v>-0.48</v>
      </c>
      <c r="BJ57" s="346">
        <v>22.28</v>
      </c>
      <c r="BK57" s="346">
        <v>-18.899999999999999</v>
      </c>
      <c r="BL57" s="346">
        <v>11.7</v>
      </c>
      <c r="BM57" s="346">
        <v>-20.46</v>
      </c>
      <c r="BN57" s="346">
        <v>80.069999999999993</v>
      </c>
      <c r="BO57" s="346">
        <v>-40.020000000000003</v>
      </c>
      <c r="BP57" s="346">
        <v>-463.95</v>
      </c>
      <c r="BQ57" s="346">
        <v>-1.96</v>
      </c>
      <c r="BR57" s="346">
        <v>-107.92</v>
      </c>
      <c r="BS57" s="346">
        <v>184.76</v>
      </c>
      <c r="BT57" s="346">
        <v>-5.24</v>
      </c>
      <c r="BU57" s="346">
        <v>-0.28999999999999998</v>
      </c>
      <c r="BV57" s="346">
        <v>-15.78</v>
      </c>
      <c r="BW57" s="346">
        <v>114.86</v>
      </c>
      <c r="BX57" s="346">
        <v>-34.409999999999997</v>
      </c>
      <c r="BY57" s="346">
        <v>-372.41</v>
      </c>
      <c r="BZ57" s="346">
        <v>-5.71</v>
      </c>
      <c r="CA57" s="346">
        <v>-107.62</v>
      </c>
      <c r="CB57" s="346">
        <v>229.43</v>
      </c>
      <c r="CC57" s="346">
        <v>-6.13</v>
      </c>
      <c r="CD57" s="346">
        <v>-0.28000000000000003</v>
      </c>
      <c r="CE57" s="346">
        <v>-29.14</v>
      </c>
      <c r="CF57" s="346">
        <v>43.98</v>
      </c>
      <c r="CG57" s="346">
        <v>37.479999999999997</v>
      </c>
      <c r="CH57" s="346">
        <v>21.39</v>
      </c>
      <c r="CI57" s="346">
        <v>53.21</v>
      </c>
      <c r="CJ57" s="346">
        <v>27.7</v>
      </c>
      <c r="CK57" s="346">
        <v>91.4</v>
      </c>
      <c r="CL57" s="346">
        <v>96.6</v>
      </c>
      <c r="CM57" s="346">
        <v>4.0999999999999996</v>
      </c>
      <c r="CN57" s="346">
        <v>97.38</v>
      </c>
      <c r="CO57" s="346">
        <v>6.46</v>
      </c>
      <c r="CP57" s="346">
        <v>-0.85</v>
      </c>
      <c r="CQ57" s="346">
        <v>89.11</v>
      </c>
      <c r="CR57" s="346">
        <v>5.71</v>
      </c>
      <c r="CS57" s="346">
        <v>-4.07</v>
      </c>
      <c r="CT57" s="346">
        <v>95.78</v>
      </c>
      <c r="CU57" s="346">
        <v>201.61</v>
      </c>
      <c r="CV57" s="346">
        <v>-47.29</v>
      </c>
      <c r="CW57" s="346">
        <v>4048539257.3299999</v>
      </c>
    </row>
    <row r="58" spans="1:101" x14ac:dyDescent="0.25">
      <c r="A58" s="346" t="str">
        <f>VLOOKUP(B58,'Loan Book Summary'!C:G,5,FALSE)</f>
        <v>0014I000023R1Ij</v>
      </c>
      <c r="B58" s="346">
        <v>1100000128</v>
      </c>
      <c r="C58" s="346" t="s">
        <v>5425</v>
      </c>
      <c r="D58" s="346" t="s">
        <v>1889</v>
      </c>
      <c r="E58" s="346">
        <v>2022</v>
      </c>
      <c r="F58" s="346">
        <v>6</v>
      </c>
      <c r="G58" s="346">
        <v>24569.073240000002</v>
      </c>
      <c r="H58" s="346">
        <v>3447</v>
      </c>
      <c r="I58" s="346">
        <v>3447</v>
      </c>
      <c r="J58" s="346">
        <v>121371.95389999999</v>
      </c>
      <c r="K58" s="346">
        <v>116937.3391</v>
      </c>
      <c r="L58" s="346">
        <v>1915</v>
      </c>
      <c r="M58" s="346" t="s">
        <v>1889</v>
      </c>
      <c r="N58" s="346">
        <v>6501</v>
      </c>
      <c r="O58" s="346">
        <v>6501</v>
      </c>
      <c r="P58" s="346">
        <v>79736</v>
      </c>
      <c r="Q58" s="346">
        <v>34010.35671</v>
      </c>
      <c r="R58" s="346">
        <v>31419.887279999999</v>
      </c>
      <c r="S58" s="346">
        <v>4728.0163419999999</v>
      </c>
      <c r="T58" s="346">
        <v>5179.7808459999997</v>
      </c>
      <c r="U58" s="346">
        <v>4797.1148679999997</v>
      </c>
      <c r="V58" s="346">
        <v>-382.66597860000002</v>
      </c>
      <c r="W58" s="346">
        <v>-1531.8349969999999</v>
      </c>
      <c r="X58" s="346" t="s">
        <v>101</v>
      </c>
      <c r="Y58" s="346">
        <v>85590</v>
      </c>
      <c r="Z58" s="346">
        <v>5</v>
      </c>
      <c r="AA58" s="346" t="s">
        <v>996</v>
      </c>
      <c r="AB58" s="346" t="s">
        <v>114</v>
      </c>
      <c r="AC58" s="346" t="s">
        <v>134</v>
      </c>
      <c r="AD58" s="347">
        <v>0.25169999999999998</v>
      </c>
      <c r="AE58" s="347">
        <v>0.1158</v>
      </c>
      <c r="AF58" s="346">
        <v>0.49</v>
      </c>
      <c r="AG58" s="346">
        <v>0.9</v>
      </c>
      <c r="AH58" s="346">
        <v>1.27</v>
      </c>
      <c r="AI58" s="346">
        <v>1.63</v>
      </c>
      <c r="AJ58" s="346">
        <v>1.98</v>
      </c>
      <c r="AK58" s="347">
        <v>4.8999999999999998E-3</v>
      </c>
      <c r="AL58" s="347">
        <v>4.1000000000000003E-3</v>
      </c>
      <c r="AM58" s="347">
        <v>3.8E-3</v>
      </c>
      <c r="AN58" s="347">
        <v>3.5999999999999999E-3</v>
      </c>
      <c r="AO58" s="347">
        <v>3.5000000000000001E-3</v>
      </c>
      <c r="AP58" s="347">
        <v>4.8999999999999998E-3</v>
      </c>
      <c r="AQ58" s="347">
        <v>4.4999999999999997E-3</v>
      </c>
      <c r="AR58" s="347">
        <v>4.3E-3</v>
      </c>
      <c r="AS58" s="347">
        <v>4.1000000000000003E-3</v>
      </c>
      <c r="AT58" s="347">
        <v>4.0000000000000001E-3</v>
      </c>
      <c r="AU58" s="347">
        <v>1.9800000000000002E-2</v>
      </c>
      <c r="AV58" s="346">
        <v>-5.97</v>
      </c>
      <c r="AW58" s="346">
        <v>-2.76</v>
      </c>
      <c r="AX58" s="346">
        <v>15.95</v>
      </c>
      <c r="AY58" s="346">
        <v>-4.63</v>
      </c>
      <c r="AZ58" s="346">
        <v>-8.25</v>
      </c>
      <c r="BA58" s="346">
        <v>-2.39</v>
      </c>
      <c r="BB58" s="346">
        <v>-25.46</v>
      </c>
      <c r="BC58" s="346">
        <v>14.79</v>
      </c>
      <c r="BD58" s="346">
        <v>-19.8</v>
      </c>
      <c r="BE58" s="346">
        <v>-6.68</v>
      </c>
      <c r="BF58" s="346">
        <v>-1.84</v>
      </c>
      <c r="BG58" s="346">
        <v>9.82</v>
      </c>
      <c r="BH58" s="346">
        <v>-10.43</v>
      </c>
      <c r="BI58" s="346">
        <v>-6.4</v>
      </c>
      <c r="BJ58" s="346">
        <v>-2.23</v>
      </c>
      <c r="BK58" s="346">
        <v>-23.09</v>
      </c>
      <c r="BL58" s="346">
        <v>10.96</v>
      </c>
      <c r="BM58" s="346">
        <v>-28.54</v>
      </c>
      <c r="BN58" s="346">
        <v>76.3</v>
      </c>
      <c r="BO58" s="346">
        <v>-41.05</v>
      </c>
      <c r="BP58" s="346">
        <v>-477.84</v>
      </c>
      <c r="BQ58" s="346">
        <v>17.690000000000001</v>
      </c>
      <c r="BR58" s="346">
        <v>-9.35</v>
      </c>
      <c r="BS58" s="346">
        <v>153.79</v>
      </c>
      <c r="BT58" s="346">
        <v>-2.58</v>
      </c>
      <c r="BU58" s="346">
        <v>-113.87</v>
      </c>
      <c r="BV58" s="346">
        <v>-7.52</v>
      </c>
      <c r="BW58" s="346">
        <v>116.26</v>
      </c>
      <c r="BX58" s="346">
        <v>-40.9</v>
      </c>
      <c r="BY58" s="346">
        <v>-346.43</v>
      </c>
      <c r="BZ58" s="346">
        <v>58.08</v>
      </c>
      <c r="CA58" s="346">
        <v>-12.11</v>
      </c>
      <c r="CB58" s="346">
        <v>189.7</v>
      </c>
      <c r="CC58" s="346">
        <v>-3.93</v>
      </c>
      <c r="CD58" s="346">
        <v>-114.56</v>
      </c>
      <c r="CE58" s="346">
        <v>-18.02</v>
      </c>
      <c r="CF58" s="346">
        <v>38.979999999999997</v>
      </c>
      <c r="CG58" s="346">
        <v>37.65</v>
      </c>
      <c r="CH58" s="346">
        <v>28.4</v>
      </c>
      <c r="CI58" s="346">
        <v>59.19</v>
      </c>
      <c r="CJ58" s="346">
        <v>61.37</v>
      </c>
      <c r="CK58" s="346">
        <v>56.97</v>
      </c>
      <c r="CL58" s="346">
        <v>99.32</v>
      </c>
      <c r="CM58" s="346">
        <v>19.8</v>
      </c>
      <c r="CN58" s="346">
        <v>98.45</v>
      </c>
      <c r="CO58" s="346">
        <v>5.63</v>
      </c>
      <c r="CP58" s="346">
        <v>-0.84</v>
      </c>
      <c r="CQ58" s="346">
        <v>183.89</v>
      </c>
      <c r="CR58" s="346">
        <v>8.24</v>
      </c>
      <c r="CS58" s="346">
        <v>0.94</v>
      </c>
      <c r="CT58" s="346">
        <v>67.44</v>
      </c>
      <c r="CU58" s="346">
        <v>377.93</v>
      </c>
      <c r="CV58" s="346">
        <v>-1.1299999999999999</v>
      </c>
      <c r="CW58" s="346">
        <v>6538871013.21</v>
      </c>
    </row>
    <row r="59" spans="1:101" x14ac:dyDescent="0.25">
      <c r="A59" s="346" t="str">
        <f>VLOOKUP(B59,'Loan Book Summary'!C:G,5,FALSE)</f>
        <v>0018e000003CXt8</v>
      </c>
      <c r="B59" s="346">
        <v>1100000268</v>
      </c>
      <c r="C59" s="346" t="s">
        <v>5426</v>
      </c>
      <c r="D59" s="346" t="s">
        <v>1889</v>
      </c>
      <c r="E59" s="346">
        <v>2022</v>
      </c>
      <c r="F59" s="346">
        <v>6</v>
      </c>
      <c r="G59" s="346">
        <v>4959.9690799999998</v>
      </c>
      <c r="H59" s="346">
        <v>414.52429999999998</v>
      </c>
      <c r="I59" s="346">
        <v>414.52429999999998</v>
      </c>
      <c r="J59" s="346">
        <v>13045.194579999999</v>
      </c>
      <c r="K59" s="346">
        <v>11155.96406</v>
      </c>
      <c r="L59" s="346">
        <v>264.55243000000002</v>
      </c>
      <c r="M59" s="346" t="s">
        <v>1889</v>
      </c>
      <c r="N59" s="346">
        <v>1363.4962840000001</v>
      </c>
      <c r="O59" s="346">
        <v>1363.4962840000001</v>
      </c>
      <c r="P59" s="346">
        <v>8210.4825600000004</v>
      </c>
      <c r="Q59" s="346">
        <v>8316.3961500000005</v>
      </c>
      <c r="R59" s="346">
        <v>5933.6084890000002</v>
      </c>
      <c r="S59" s="346">
        <v>172.30388300000001</v>
      </c>
      <c r="T59" s="346">
        <v>291.87727630000001</v>
      </c>
      <c r="U59" s="346">
        <v>2776.95372</v>
      </c>
      <c r="V59" s="346">
        <v>1988.0611550000001</v>
      </c>
      <c r="W59" s="346">
        <v>1177.1845969999999</v>
      </c>
      <c r="X59" s="346" t="s">
        <v>101</v>
      </c>
      <c r="Y59" s="346">
        <v>70100</v>
      </c>
      <c r="Z59" s="346">
        <v>5</v>
      </c>
      <c r="AA59" s="346" t="s">
        <v>996</v>
      </c>
      <c r="AB59" s="346" t="s">
        <v>115</v>
      </c>
      <c r="AC59" s="346" t="s">
        <v>115</v>
      </c>
      <c r="AD59" s="347">
        <v>0.1318</v>
      </c>
      <c r="AE59" s="347">
        <v>0.19120000000000001</v>
      </c>
      <c r="AF59" s="346">
        <v>0.28999999999999998</v>
      </c>
      <c r="AG59" s="346">
        <v>0.76</v>
      </c>
      <c r="AH59" s="346">
        <v>1.32</v>
      </c>
      <c r="AI59" s="346">
        <v>1.95</v>
      </c>
      <c r="AJ59" s="346">
        <v>2.64</v>
      </c>
      <c r="AK59" s="347">
        <v>2.8999999999999998E-3</v>
      </c>
      <c r="AL59" s="347">
        <v>4.7000000000000002E-3</v>
      </c>
      <c r="AM59" s="347">
        <v>5.7000000000000002E-3</v>
      </c>
      <c r="AN59" s="347">
        <v>6.4000000000000003E-3</v>
      </c>
      <c r="AO59" s="347">
        <v>7.1000000000000004E-3</v>
      </c>
      <c r="AP59" s="347">
        <v>2.8999999999999998E-3</v>
      </c>
      <c r="AQ59" s="347">
        <v>3.8E-3</v>
      </c>
      <c r="AR59" s="347">
        <v>4.4000000000000003E-3</v>
      </c>
      <c r="AS59" s="347">
        <v>4.8999999999999998E-3</v>
      </c>
      <c r="AT59" s="347">
        <v>5.3E-3</v>
      </c>
      <c r="AU59" s="347">
        <v>2.64E-2</v>
      </c>
      <c r="AV59" s="346">
        <v>-11.52</v>
      </c>
      <c r="AW59" s="346">
        <v>-1.03</v>
      </c>
      <c r="AX59" s="346">
        <v>-11.08</v>
      </c>
      <c r="AY59" s="346">
        <v>7.36</v>
      </c>
      <c r="AZ59" s="346">
        <v>-6.24</v>
      </c>
      <c r="BA59" s="346">
        <v>-4.54</v>
      </c>
      <c r="BB59" s="346">
        <v>-31.47</v>
      </c>
      <c r="BC59" s="346">
        <v>-18.760000000000002</v>
      </c>
      <c r="BD59" s="346">
        <v>-8.01</v>
      </c>
      <c r="BE59" s="346">
        <v>-12.89</v>
      </c>
      <c r="BF59" s="346">
        <v>-0.69</v>
      </c>
      <c r="BG59" s="346">
        <v>-6.81</v>
      </c>
      <c r="BH59" s="346">
        <v>16.57</v>
      </c>
      <c r="BI59" s="346">
        <v>-4.84</v>
      </c>
      <c r="BJ59" s="346">
        <v>-4.22</v>
      </c>
      <c r="BK59" s="346">
        <v>-28.54</v>
      </c>
      <c r="BL59" s="346">
        <v>-13.9</v>
      </c>
      <c r="BM59" s="346">
        <v>-11.54</v>
      </c>
      <c r="BN59" s="346">
        <v>67.739999999999995</v>
      </c>
      <c r="BO59" s="346">
        <v>-33.54</v>
      </c>
      <c r="BP59" s="346">
        <v>-494.97</v>
      </c>
      <c r="BQ59" s="346">
        <v>45.66</v>
      </c>
      <c r="BR59" s="346">
        <v>64.34</v>
      </c>
      <c r="BS59" s="346">
        <v>121.69</v>
      </c>
      <c r="BT59" s="346">
        <v>-2.14</v>
      </c>
      <c r="BU59" s="346">
        <v>-6.48</v>
      </c>
      <c r="BV59" s="346">
        <v>-63.44</v>
      </c>
      <c r="BW59" s="346">
        <v>92.88</v>
      </c>
      <c r="BX59" s="346">
        <v>-27.75</v>
      </c>
      <c r="BY59" s="346">
        <v>-331.01</v>
      </c>
      <c r="BZ59" s="346">
        <v>127.69</v>
      </c>
      <c r="CA59" s="346">
        <v>60.79</v>
      </c>
      <c r="CB59" s="346">
        <v>138.97</v>
      </c>
      <c r="CC59" s="346">
        <v>-2.4</v>
      </c>
      <c r="CD59" s="346">
        <v>-5.94</v>
      </c>
      <c r="CE59" s="346">
        <v>-112.57</v>
      </c>
      <c r="CF59" s="346">
        <v>24.14</v>
      </c>
      <c r="CG59" s="346">
        <v>27.67</v>
      </c>
      <c r="CH59" s="346">
        <v>64.099999999999994</v>
      </c>
      <c r="CI59" s="346">
        <v>90.62</v>
      </c>
      <c r="CJ59" s="346">
        <v>79.06</v>
      </c>
      <c r="CK59" s="346">
        <v>55.62</v>
      </c>
      <c r="CL59" s="346">
        <v>99.17</v>
      </c>
      <c r="CM59" s="346">
        <v>94.64</v>
      </c>
      <c r="CN59" s="346">
        <v>85.98</v>
      </c>
      <c r="CO59" s="346">
        <v>3.18</v>
      </c>
      <c r="CP59" s="346">
        <v>-2</v>
      </c>
      <c r="CQ59" s="346">
        <v>1010.44</v>
      </c>
      <c r="CR59" s="346">
        <v>40.159999999999997</v>
      </c>
      <c r="CS59" s="346">
        <v>4.3899999999999997</v>
      </c>
      <c r="CT59" s="346">
        <v>66.45</v>
      </c>
      <c r="CU59" s="346">
        <v>363.77</v>
      </c>
      <c r="CV59" s="346">
        <v>23.91</v>
      </c>
      <c r="CW59" s="346">
        <v>736798268.55999994</v>
      </c>
    </row>
    <row r="60" spans="1:101" x14ac:dyDescent="0.25">
      <c r="A60" s="346" t="str">
        <f>VLOOKUP(B60,'Loan Book Summary'!C:G,5,FALSE)</f>
        <v>0018e000003CQVk</v>
      </c>
      <c r="B60" s="346">
        <v>1300000002</v>
      </c>
      <c r="C60" s="346" t="s">
        <v>5427</v>
      </c>
      <c r="D60" s="346" t="s">
        <v>1889</v>
      </c>
      <c r="E60" s="346">
        <v>2022</v>
      </c>
      <c r="F60" s="346">
        <v>6</v>
      </c>
      <c r="G60" s="346">
        <v>1202.3869999999999</v>
      </c>
      <c r="H60" s="346" t="s">
        <v>1889</v>
      </c>
      <c r="I60" s="346" t="s">
        <v>1889</v>
      </c>
      <c r="J60" s="346">
        <v>2794.9199520000002</v>
      </c>
      <c r="K60" s="346">
        <v>2046.9024469999999</v>
      </c>
      <c r="L60" s="346">
        <v>-295.495</v>
      </c>
      <c r="M60" s="346" t="s">
        <v>1889</v>
      </c>
      <c r="N60" s="346">
        <v>-305.14699999999999</v>
      </c>
      <c r="O60" s="346">
        <v>-305.14699999999999</v>
      </c>
      <c r="P60" s="346">
        <v>1412.9860000000001</v>
      </c>
      <c r="Q60" s="346">
        <v>1303.952753</v>
      </c>
      <c r="R60" s="346">
        <v>1196.64492</v>
      </c>
      <c r="S60" s="346">
        <v>25.868040879999999</v>
      </c>
      <c r="T60" s="346" t="s">
        <v>1889</v>
      </c>
      <c r="U60" s="346">
        <v>852.86906699999997</v>
      </c>
      <c r="V60" s="346">
        <v>682.29525360000002</v>
      </c>
      <c r="W60" s="346">
        <v>609.96801430000005</v>
      </c>
      <c r="X60" s="346" t="s">
        <v>101</v>
      </c>
      <c r="Y60" s="346">
        <v>88910</v>
      </c>
      <c r="Z60" s="346">
        <v>5</v>
      </c>
      <c r="AA60" s="346" t="s">
        <v>996</v>
      </c>
      <c r="AB60" s="346" t="s">
        <v>115</v>
      </c>
      <c r="AC60" s="346" t="s">
        <v>134</v>
      </c>
      <c r="AD60" s="347">
        <v>0.1741</v>
      </c>
      <c r="AE60" s="347">
        <v>0.11609999999999999</v>
      </c>
      <c r="AF60" s="346">
        <v>0.36</v>
      </c>
      <c r="AG60" s="346">
        <v>0.75</v>
      </c>
      <c r="AH60" s="346">
        <v>1.1499999999999999</v>
      </c>
      <c r="AI60" s="346">
        <v>1.56</v>
      </c>
      <c r="AJ60" s="346">
        <v>1.98</v>
      </c>
      <c r="AK60" s="347">
        <v>3.5999999999999999E-3</v>
      </c>
      <c r="AL60" s="347">
        <v>3.8999999999999998E-3</v>
      </c>
      <c r="AM60" s="347">
        <v>4.1000000000000003E-3</v>
      </c>
      <c r="AN60" s="347">
        <v>4.1999999999999997E-3</v>
      </c>
      <c r="AO60" s="347">
        <v>4.1999999999999997E-3</v>
      </c>
      <c r="AP60" s="347">
        <v>3.5999999999999999E-3</v>
      </c>
      <c r="AQ60" s="347">
        <v>3.7000000000000002E-3</v>
      </c>
      <c r="AR60" s="347">
        <v>3.8999999999999998E-3</v>
      </c>
      <c r="AS60" s="347">
        <v>3.8999999999999998E-3</v>
      </c>
      <c r="AT60" s="347">
        <v>4.0000000000000001E-3</v>
      </c>
      <c r="AU60" s="347">
        <v>1.9800000000000002E-2</v>
      </c>
      <c r="AV60" s="346">
        <v>-33.979999999999997</v>
      </c>
      <c r="AW60" s="346" t="s">
        <v>1889</v>
      </c>
      <c r="AX60" s="346" t="s">
        <v>1889</v>
      </c>
      <c r="AY60" s="346">
        <v>-7.05</v>
      </c>
      <c r="AZ60" s="346">
        <v>7.3</v>
      </c>
      <c r="BA60" s="346">
        <v>-24.72</v>
      </c>
      <c r="BB60" s="346" t="s">
        <v>1889</v>
      </c>
      <c r="BC60" s="346">
        <v>-24.78</v>
      </c>
      <c r="BD60" s="346">
        <v>-2.17</v>
      </c>
      <c r="BE60" s="346">
        <v>-36.549999999999997</v>
      </c>
      <c r="BF60" s="346" t="s">
        <v>1889</v>
      </c>
      <c r="BG60" s="346" t="s">
        <v>1889</v>
      </c>
      <c r="BH60" s="346">
        <v>-15.24</v>
      </c>
      <c r="BI60" s="346">
        <v>5.44</v>
      </c>
      <c r="BJ60" s="346">
        <v>-22.11</v>
      </c>
      <c r="BK60" s="346" t="s">
        <v>1889</v>
      </c>
      <c r="BL60" s="346">
        <v>-17.64</v>
      </c>
      <c r="BM60" s="346">
        <v>-3.01</v>
      </c>
      <c r="BN60" s="346">
        <v>180.44</v>
      </c>
      <c r="BO60" s="346">
        <v>0</v>
      </c>
      <c r="BP60" s="346">
        <v>0</v>
      </c>
      <c r="BQ60" s="346">
        <v>12.99</v>
      </c>
      <c r="BR60" s="346">
        <v>-57.83</v>
      </c>
      <c r="BS60" s="346">
        <v>32.99</v>
      </c>
      <c r="BT60" s="346">
        <v>0</v>
      </c>
      <c r="BU60" s="346">
        <v>-0.72</v>
      </c>
      <c r="BV60" s="346">
        <v>-315.04000000000002</v>
      </c>
      <c r="BW60" s="346">
        <v>152.41999999999999</v>
      </c>
      <c r="BX60" s="346">
        <v>0</v>
      </c>
      <c r="BY60" s="346">
        <v>0</v>
      </c>
      <c r="BZ60" s="346">
        <v>23.2</v>
      </c>
      <c r="CA60" s="346">
        <v>-34.4</v>
      </c>
      <c r="CB60" s="346">
        <v>24.1</v>
      </c>
      <c r="CC60" s="346">
        <v>0</v>
      </c>
      <c r="CD60" s="346">
        <v>-0.49</v>
      </c>
      <c r="CE60" s="346">
        <v>-365.38</v>
      </c>
      <c r="CF60" s="346">
        <v>2</v>
      </c>
      <c r="CG60" s="346" t="s">
        <v>1889</v>
      </c>
      <c r="CH60" s="346" t="s">
        <v>1889</v>
      </c>
      <c r="CI60" s="346">
        <v>60.79</v>
      </c>
      <c r="CJ60" s="346">
        <v>18.09</v>
      </c>
      <c r="CK60" s="346">
        <v>28.88</v>
      </c>
      <c r="CL60" s="346" t="s">
        <v>1889</v>
      </c>
      <c r="CM60" s="346">
        <v>99.51</v>
      </c>
      <c r="CN60" s="346">
        <v>47.87</v>
      </c>
      <c r="CO60" s="346">
        <v>-22.66</v>
      </c>
      <c r="CP60" s="346" t="s">
        <v>1889</v>
      </c>
      <c r="CQ60" s="346" t="s">
        <v>1889</v>
      </c>
      <c r="CR60" s="346">
        <v>8.9700000000000006</v>
      </c>
      <c r="CS60" s="346">
        <v>-7.62</v>
      </c>
      <c r="CT60" s="346">
        <v>44.5</v>
      </c>
      <c r="CU60" s="346" t="s">
        <v>1889</v>
      </c>
      <c r="CV60" s="346">
        <v>52.33</v>
      </c>
      <c r="CW60" s="346">
        <v>127316243.89</v>
      </c>
    </row>
    <row r="61" spans="1:101" x14ac:dyDescent="0.25">
      <c r="A61" s="346" t="str">
        <f>VLOOKUP(B61,'Loan Book Summary'!C:G,5,FALSE)</f>
        <v>0018e000003COuL</v>
      </c>
      <c r="B61" s="346">
        <v>1100000266</v>
      </c>
      <c r="C61" s="346" t="s">
        <v>5428</v>
      </c>
      <c r="D61" s="346" t="s">
        <v>1889</v>
      </c>
      <c r="E61" s="346">
        <v>2022</v>
      </c>
      <c r="F61" s="346">
        <v>6</v>
      </c>
      <c r="G61" s="346">
        <v>9030.2916249999998</v>
      </c>
      <c r="H61" s="346">
        <v>13158</v>
      </c>
      <c r="I61" s="346">
        <v>13158</v>
      </c>
      <c r="J61" s="346">
        <v>34546.940329999998</v>
      </c>
      <c r="K61" s="346">
        <v>29940.232650000002</v>
      </c>
      <c r="L61" s="346">
        <v>5434.5</v>
      </c>
      <c r="M61" s="346" t="s">
        <v>1889</v>
      </c>
      <c r="N61" s="346">
        <v>10869</v>
      </c>
      <c r="O61" s="346">
        <v>10869</v>
      </c>
      <c r="P61" s="346">
        <v>12800</v>
      </c>
      <c r="Q61" s="346">
        <v>46456.894999999997</v>
      </c>
      <c r="R61" s="346">
        <v>39919.547500000001</v>
      </c>
      <c r="S61" s="346">
        <v>52.601816249999999</v>
      </c>
      <c r="T61" s="346" t="s">
        <v>1889</v>
      </c>
      <c r="U61" s="346">
        <v>6949.332684</v>
      </c>
      <c r="V61" s="346">
        <v>5559.4661470000001</v>
      </c>
      <c r="W61" s="346">
        <v>2748.9185870000001</v>
      </c>
      <c r="X61" s="346" t="s">
        <v>101</v>
      </c>
      <c r="Y61" s="346">
        <v>33190</v>
      </c>
      <c r="Z61" s="346">
        <v>5</v>
      </c>
      <c r="AA61" s="346" t="s">
        <v>996</v>
      </c>
      <c r="AB61" s="346" t="s">
        <v>115</v>
      </c>
      <c r="AC61" s="346" t="s">
        <v>115</v>
      </c>
      <c r="AD61" s="347">
        <v>0.19</v>
      </c>
      <c r="AE61" s="347">
        <v>0.15459999999999999</v>
      </c>
      <c r="AF61" s="347">
        <v>0.39</v>
      </c>
      <c r="AG61" s="347">
        <v>0.83</v>
      </c>
      <c r="AH61" s="347">
        <v>1.31</v>
      </c>
      <c r="AI61" s="347">
        <v>1.8</v>
      </c>
      <c r="AJ61" s="347">
        <v>2.2999999999999998</v>
      </c>
      <c r="AK61" s="347">
        <v>3.8999999999999998E-3</v>
      </c>
      <c r="AL61" s="347">
        <v>4.4999999999999997E-3</v>
      </c>
      <c r="AM61" s="347">
        <v>4.7999999999999996E-3</v>
      </c>
      <c r="AN61" s="347">
        <v>5.0000000000000001E-3</v>
      </c>
      <c r="AO61" s="347">
        <v>5.1000000000000004E-3</v>
      </c>
      <c r="AP61" s="347">
        <v>3.8999999999999998E-3</v>
      </c>
      <c r="AQ61" s="347">
        <v>4.1999999999999997E-3</v>
      </c>
      <c r="AR61" s="347">
        <v>4.4000000000000003E-3</v>
      </c>
      <c r="AS61" s="347">
        <v>4.4999999999999997E-3</v>
      </c>
      <c r="AT61" s="347">
        <v>4.5999999999999999E-3</v>
      </c>
      <c r="AU61" s="347">
        <v>2.3E-2</v>
      </c>
      <c r="AV61" s="347">
        <v>8</v>
      </c>
      <c r="AW61" s="347">
        <v>2.73</v>
      </c>
      <c r="AX61" s="347" t="s">
        <v>1889</v>
      </c>
      <c r="AY61" s="347">
        <v>-3.4</v>
      </c>
      <c r="AZ61" s="347">
        <v>-4.34</v>
      </c>
      <c r="BA61" s="347">
        <v>-17.079999999999998</v>
      </c>
      <c r="BB61" s="347">
        <v>-28.12</v>
      </c>
      <c r="BC61" s="347">
        <v>-16.829999999999998</v>
      </c>
      <c r="BD61" s="347">
        <v>-19.510000000000002</v>
      </c>
      <c r="BE61" s="347">
        <v>8.6300000000000008</v>
      </c>
      <c r="BF61" s="347">
        <v>1.75</v>
      </c>
      <c r="BG61" s="347" t="s">
        <v>1889</v>
      </c>
      <c r="BH61" s="347">
        <v>-7.38</v>
      </c>
      <c r="BI61" s="347">
        <v>-3.25</v>
      </c>
      <c r="BJ61" s="347">
        <v>-15.31</v>
      </c>
      <c r="BK61" s="347">
        <v>-24.57</v>
      </c>
      <c r="BL61" s="347">
        <v>-12.01</v>
      </c>
      <c r="BM61" s="347">
        <v>-27.1</v>
      </c>
      <c r="BN61" s="347">
        <v>192.66</v>
      </c>
      <c r="BO61" s="347">
        <v>-33.64</v>
      </c>
      <c r="BP61" s="347">
        <v>0</v>
      </c>
      <c r="BQ61" s="347">
        <v>100.24</v>
      </c>
      <c r="BR61" s="347">
        <v>140.93</v>
      </c>
      <c r="BS61" s="347">
        <v>137.27000000000001</v>
      </c>
      <c r="BT61" s="347">
        <v>-76.17</v>
      </c>
      <c r="BU61" s="347">
        <v>-74.33</v>
      </c>
      <c r="BV61" s="347">
        <v>-44.75</v>
      </c>
      <c r="BW61" s="347">
        <v>195.89</v>
      </c>
      <c r="BX61" s="347">
        <v>-19.91</v>
      </c>
      <c r="BY61" s="347">
        <v>0</v>
      </c>
      <c r="BZ61" s="347">
        <v>204.06</v>
      </c>
      <c r="CA61" s="347">
        <v>97.62</v>
      </c>
      <c r="CB61" s="347">
        <v>114.51</v>
      </c>
      <c r="CC61" s="347">
        <v>-61.47</v>
      </c>
      <c r="CD61" s="347">
        <v>-49.35</v>
      </c>
      <c r="CE61" s="347">
        <v>-57.2</v>
      </c>
      <c r="CF61" s="347">
        <v>71.430000000000007</v>
      </c>
      <c r="CG61" s="347">
        <v>15.92</v>
      </c>
      <c r="CH61" s="347" t="s">
        <v>1889</v>
      </c>
      <c r="CI61" s="347">
        <v>73.67</v>
      </c>
      <c r="CJ61" s="347">
        <v>82.4</v>
      </c>
      <c r="CK61" s="347">
        <v>37.24</v>
      </c>
      <c r="CL61" s="347">
        <v>87.19</v>
      </c>
      <c r="CM61" s="347">
        <v>85.61</v>
      </c>
      <c r="CN61" s="347">
        <v>95.24</v>
      </c>
      <c r="CO61" s="346">
        <v>11.7</v>
      </c>
      <c r="CP61" s="346">
        <v>-4.6399999999999997</v>
      </c>
      <c r="CQ61" s="346" t="s">
        <v>1889</v>
      </c>
      <c r="CR61" s="346">
        <v>16.38</v>
      </c>
      <c r="CS61" s="346">
        <v>5.51</v>
      </c>
      <c r="CT61" s="346">
        <v>52.12</v>
      </c>
      <c r="CU61" s="346">
        <v>83.08</v>
      </c>
      <c r="CV61" s="346">
        <v>11.97</v>
      </c>
      <c r="CW61" s="346">
        <v>2322375191.1900001</v>
      </c>
    </row>
    <row r="62" spans="1:101" x14ac:dyDescent="0.25">
      <c r="A62" s="346"/>
      <c r="B62" s="346"/>
      <c r="E62" s="346"/>
      <c r="F62" s="346"/>
      <c r="G62" s="346"/>
      <c r="H62" s="346"/>
      <c r="I62" s="346"/>
      <c r="J62" s="346"/>
      <c r="K62" s="346"/>
      <c r="L62" s="346"/>
      <c r="M62" s="346"/>
      <c r="N62" s="346"/>
      <c r="O62" s="346"/>
      <c r="P62" s="346"/>
      <c r="Q62" s="346"/>
      <c r="R62" s="346"/>
      <c r="S62" s="346"/>
      <c r="T62" s="346"/>
      <c r="U62" s="346"/>
      <c r="V62" s="346"/>
      <c r="W62" s="346"/>
      <c r="X62" s="346"/>
      <c r="Y62" s="346"/>
      <c r="Z62" s="346"/>
      <c r="AA62" s="346"/>
      <c r="AB62" s="346"/>
      <c r="AC62" s="346"/>
      <c r="AD62" s="347"/>
      <c r="AE62" s="347"/>
      <c r="AF62" s="347"/>
      <c r="AG62" s="347"/>
      <c r="AH62" s="347"/>
      <c r="AI62" s="347"/>
      <c r="AJ62" s="347"/>
      <c r="AK62" s="347"/>
      <c r="AL62" s="347"/>
      <c r="AM62" s="347"/>
      <c r="AN62" s="347"/>
      <c r="AO62" s="347"/>
      <c r="AP62" s="347"/>
      <c r="AQ62" s="347"/>
      <c r="AR62" s="347"/>
      <c r="AS62" s="347"/>
      <c r="AT62" s="347"/>
      <c r="AU62" s="347"/>
      <c r="AV62" s="347"/>
      <c r="AW62" s="347"/>
      <c r="AX62" s="347"/>
      <c r="AY62" s="347"/>
      <c r="AZ62" s="347"/>
      <c r="BA62" s="347"/>
      <c r="BB62" s="347"/>
      <c r="BC62" s="347"/>
      <c r="BD62" s="347"/>
      <c r="BE62" s="347"/>
      <c r="BF62" s="347"/>
      <c r="BG62" s="347"/>
      <c r="BH62" s="347"/>
      <c r="BI62" s="347"/>
      <c r="BJ62" s="347"/>
      <c r="BK62" s="347"/>
      <c r="BL62" s="347"/>
      <c r="BM62" s="347"/>
      <c r="BN62" s="347"/>
      <c r="BO62" s="347"/>
      <c r="BP62" s="347"/>
      <c r="BQ62" s="347"/>
      <c r="BR62" s="347"/>
      <c r="BS62" s="347"/>
      <c r="BT62" s="347"/>
      <c r="BU62" s="347"/>
      <c r="BV62" s="347"/>
      <c r="BW62" s="347"/>
      <c r="BX62" s="347"/>
      <c r="BY62" s="347"/>
      <c r="BZ62" s="347"/>
      <c r="CA62" s="347"/>
      <c r="CB62" s="347"/>
      <c r="CC62" s="347"/>
      <c r="CD62" s="347"/>
      <c r="CE62" s="347"/>
      <c r="CF62" s="347"/>
      <c r="CG62" s="347"/>
      <c r="CH62" s="347"/>
      <c r="CI62" s="347"/>
      <c r="CJ62" s="347"/>
      <c r="CK62" s="347"/>
      <c r="CL62" s="347"/>
      <c r="CM62" s="347"/>
      <c r="CN62" s="347"/>
      <c r="CO62" s="346"/>
      <c r="CP62" s="346"/>
      <c r="CQ62" s="346"/>
      <c r="CR62" s="346"/>
      <c r="CS62" s="346"/>
      <c r="CT62" s="346"/>
      <c r="CU62" s="346"/>
      <c r="CV62" s="346"/>
      <c r="CW62" s="346"/>
    </row>
    <row r="63" spans="1:101" x14ac:dyDescent="0.25">
      <c r="A63" s="346"/>
      <c r="B63" s="346"/>
      <c r="E63" s="346"/>
      <c r="F63" s="346"/>
      <c r="G63" s="346"/>
      <c r="H63" s="346"/>
      <c r="I63" s="346"/>
      <c r="J63" s="346"/>
      <c r="K63" s="346"/>
      <c r="L63" s="346"/>
      <c r="M63" s="346"/>
      <c r="N63" s="346"/>
      <c r="O63" s="346"/>
      <c r="P63" s="346"/>
      <c r="Q63" s="346"/>
      <c r="R63" s="346"/>
      <c r="S63" s="346"/>
      <c r="T63" s="346"/>
      <c r="U63" s="346"/>
      <c r="V63" s="346"/>
      <c r="W63" s="346"/>
      <c r="X63" s="346"/>
      <c r="Y63" s="346"/>
      <c r="Z63" s="346"/>
      <c r="AA63" s="346"/>
      <c r="AB63" s="346"/>
      <c r="AC63" s="346"/>
      <c r="AD63" s="347"/>
      <c r="AE63" s="347"/>
      <c r="AF63" s="347"/>
      <c r="AG63" s="347"/>
      <c r="AH63" s="347"/>
      <c r="AI63" s="347"/>
      <c r="AJ63" s="347"/>
      <c r="AK63" s="347"/>
      <c r="AL63" s="347"/>
      <c r="AM63" s="347"/>
      <c r="AN63" s="347"/>
      <c r="AO63" s="347"/>
      <c r="AP63" s="347"/>
      <c r="AQ63" s="347"/>
      <c r="AR63" s="347"/>
      <c r="AS63" s="347"/>
      <c r="AT63" s="347"/>
      <c r="AU63" s="347"/>
      <c r="AV63" s="347"/>
      <c r="AW63" s="347"/>
      <c r="AX63" s="347"/>
      <c r="AY63" s="347"/>
      <c r="AZ63" s="347"/>
      <c r="BA63" s="347"/>
      <c r="BB63" s="347"/>
      <c r="BC63" s="347"/>
      <c r="BD63" s="347"/>
      <c r="BE63" s="347"/>
      <c r="BF63" s="347"/>
      <c r="BG63" s="347"/>
      <c r="BH63" s="347"/>
      <c r="BI63" s="347"/>
      <c r="BJ63" s="347"/>
      <c r="BK63" s="347"/>
      <c r="BL63" s="347"/>
      <c r="BM63" s="347"/>
      <c r="BN63" s="347"/>
      <c r="BO63" s="347"/>
      <c r="BP63" s="347"/>
      <c r="BQ63" s="347"/>
      <c r="BR63" s="347"/>
      <c r="BS63" s="347"/>
      <c r="BT63" s="347"/>
      <c r="BU63" s="347"/>
      <c r="BV63" s="347"/>
      <c r="BW63" s="347"/>
      <c r="BX63" s="347"/>
      <c r="BY63" s="347"/>
      <c r="BZ63" s="347"/>
      <c r="CA63" s="347"/>
      <c r="CB63" s="347"/>
      <c r="CC63" s="347"/>
      <c r="CD63" s="347"/>
      <c r="CE63" s="347"/>
      <c r="CF63" s="347"/>
      <c r="CG63" s="347"/>
      <c r="CH63" s="347"/>
      <c r="CI63" s="347"/>
      <c r="CJ63" s="347"/>
      <c r="CK63" s="347"/>
      <c r="CL63" s="347"/>
      <c r="CM63" s="347"/>
      <c r="CN63" s="347"/>
      <c r="CO63" s="346"/>
      <c r="CP63" s="346"/>
      <c r="CQ63" s="346"/>
      <c r="CR63" s="346"/>
      <c r="CS63" s="346"/>
      <c r="CT63" s="346"/>
      <c r="CU63" s="346"/>
      <c r="CV63" s="346"/>
      <c r="CW63" s="346"/>
    </row>
    <row r="64" spans="1:101" x14ac:dyDescent="0.25">
      <c r="A64" s="346"/>
      <c r="B64" s="346"/>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6"/>
      <c r="AC64" s="346"/>
      <c r="AD64" s="347"/>
      <c r="AE64" s="347"/>
      <c r="AF64" s="347"/>
      <c r="AG64" s="347"/>
      <c r="AH64" s="347"/>
      <c r="AI64" s="347"/>
      <c r="AJ64" s="347"/>
      <c r="AK64" s="347"/>
      <c r="AL64" s="347"/>
      <c r="AM64" s="347"/>
      <c r="AN64" s="347"/>
      <c r="AO64" s="347"/>
      <c r="AP64" s="347"/>
      <c r="AQ64" s="347"/>
      <c r="AR64" s="347"/>
      <c r="AS64" s="347"/>
      <c r="AT64" s="347"/>
      <c r="AU64" s="347"/>
      <c r="AV64" s="347"/>
      <c r="AW64" s="347"/>
      <c r="AX64" s="347"/>
      <c r="AY64" s="347"/>
      <c r="AZ64" s="347"/>
      <c r="BA64" s="347"/>
      <c r="BB64" s="346"/>
      <c r="BC64" s="347"/>
      <c r="BD64" s="347"/>
      <c r="BE64" s="347"/>
      <c r="BF64" s="347"/>
      <c r="BG64" s="347"/>
      <c r="BH64" s="347"/>
      <c r="BI64" s="347"/>
      <c r="BJ64" s="347"/>
      <c r="BK64" s="346"/>
      <c r="BL64" s="347"/>
      <c r="BM64" s="347"/>
      <c r="BN64" s="347"/>
      <c r="BO64" s="347"/>
      <c r="BP64" s="347"/>
      <c r="BQ64" s="347"/>
      <c r="BR64" s="347"/>
      <c r="BS64" s="347"/>
      <c r="BT64" s="347"/>
      <c r="BU64" s="347"/>
      <c r="BV64" s="347"/>
      <c r="BW64" s="347"/>
      <c r="BX64" s="347"/>
      <c r="BY64" s="347"/>
      <c r="BZ64" s="347"/>
      <c r="CA64" s="347"/>
      <c r="CB64" s="347"/>
      <c r="CC64" s="347"/>
      <c r="CD64" s="347"/>
      <c r="CE64" s="347"/>
      <c r="CF64" s="347"/>
      <c r="CG64" s="347"/>
      <c r="CH64" s="347"/>
      <c r="CI64" s="347"/>
      <c r="CJ64" s="347"/>
      <c r="CK64" s="347"/>
      <c r="CL64" s="346"/>
      <c r="CM64" s="347"/>
      <c r="CN64" s="347"/>
      <c r="CO64" s="346"/>
      <c r="CP64" s="346"/>
      <c r="CQ64" s="346"/>
      <c r="CR64" s="346"/>
      <c r="CS64" s="346"/>
      <c r="CT64" s="346"/>
      <c r="CU64" s="346"/>
      <c r="CV64" s="346"/>
      <c r="CW64" s="346"/>
    </row>
    <row r="65" spans="1:101" x14ac:dyDescent="0.25">
      <c r="A65" s="346"/>
      <c r="B65" s="346"/>
      <c r="E65" s="346"/>
      <c r="F65" s="346"/>
      <c r="G65" s="346"/>
      <c r="H65" s="346"/>
      <c r="I65" s="346"/>
      <c r="J65" s="346"/>
      <c r="K65" s="346"/>
      <c r="L65" s="346"/>
      <c r="M65" s="346"/>
      <c r="N65" s="346"/>
      <c r="O65" s="346"/>
      <c r="P65" s="346"/>
      <c r="Q65" s="346"/>
      <c r="R65" s="346"/>
      <c r="S65" s="346"/>
      <c r="T65" s="346"/>
      <c r="U65" s="346"/>
      <c r="V65" s="346"/>
      <c r="W65" s="346"/>
      <c r="X65" s="346"/>
      <c r="Y65" s="346"/>
      <c r="Z65" s="346"/>
      <c r="AA65" s="346"/>
      <c r="AB65" s="346"/>
      <c r="AC65" s="346"/>
      <c r="AD65" s="347"/>
      <c r="AE65" s="347"/>
      <c r="AF65" s="347"/>
      <c r="AG65" s="347"/>
      <c r="AH65" s="347"/>
      <c r="AI65" s="347"/>
      <c r="AJ65" s="347"/>
      <c r="AK65" s="347"/>
      <c r="AL65" s="347"/>
      <c r="AM65" s="347"/>
      <c r="AN65" s="347"/>
      <c r="AO65" s="347"/>
      <c r="AP65" s="347"/>
      <c r="AQ65" s="347"/>
      <c r="AR65" s="347"/>
      <c r="AS65" s="347"/>
      <c r="AT65" s="347"/>
      <c r="AU65" s="347"/>
      <c r="AV65" s="347"/>
      <c r="AW65" s="347"/>
      <c r="AX65" s="347"/>
      <c r="AY65" s="347"/>
      <c r="AZ65" s="347"/>
      <c r="BA65" s="347"/>
      <c r="BB65" s="346"/>
      <c r="BC65" s="347"/>
      <c r="BD65" s="347"/>
      <c r="BE65" s="347"/>
      <c r="BF65" s="347"/>
      <c r="BG65" s="347"/>
      <c r="BH65" s="347"/>
      <c r="BI65" s="347"/>
      <c r="BJ65" s="347"/>
      <c r="BK65" s="346"/>
      <c r="BL65" s="347"/>
      <c r="BM65" s="347"/>
      <c r="BN65" s="347"/>
      <c r="BO65" s="347"/>
      <c r="BP65" s="347"/>
      <c r="BQ65" s="347"/>
      <c r="BR65" s="347"/>
      <c r="BS65" s="347"/>
      <c r="BT65" s="347"/>
      <c r="BU65" s="347"/>
      <c r="BV65" s="347"/>
      <c r="BW65" s="347"/>
      <c r="BX65" s="347"/>
      <c r="BY65" s="347"/>
      <c r="BZ65" s="347"/>
      <c r="CA65" s="347"/>
      <c r="CB65" s="347"/>
      <c r="CC65" s="347"/>
      <c r="CD65" s="347"/>
      <c r="CE65" s="347"/>
      <c r="CF65" s="347"/>
      <c r="CG65" s="347"/>
      <c r="CH65" s="347"/>
      <c r="CI65" s="347"/>
      <c r="CJ65" s="347"/>
      <c r="CK65" s="347"/>
      <c r="CL65" s="346"/>
      <c r="CM65" s="347"/>
      <c r="CN65" s="347"/>
      <c r="CO65" s="346"/>
      <c r="CP65" s="346"/>
      <c r="CQ65" s="346"/>
      <c r="CR65" s="346"/>
      <c r="CS65" s="346"/>
      <c r="CT65" s="346"/>
      <c r="CU65" s="346"/>
      <c r="CV65" s="346"/>
      <c r="CW65" s="346"/>
    </row>
    <row r="66" spans="1:101" x14ac:dyDescent="0.25">
      <c r="A66" s="346"/>
      <c r="B66" s="346"/>
      <c r="C66" s="346"/>
      <c r="D66" s="346"/>
      <c r="E66" s="346"/>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6"/>
      <c r="AD66" s="347"/>
      <c r="AE66" s="347"/>
      <c r="AF66" s="347"/>
      <c r="AG66" s="347"/>
      <c r="AH66" s="347"/>
      <c r="AI66" s="347"/>
      <c r="AJ66" s="347"/>
      <c r="AK66" s="347"/>
      <c r="AL66" s="347"/>
      <c r="AM66" s="347"/>
      <c r="AN66" s="347"/>
      <c r="AO66" s="347"/>
      <c r="AP66" s="347"/>
      <c r="AQ66" s="347"/>
      <c r="AR66" s="347"/>
      <c r="AS66" s="347"/>
      <c r="AT66" s="347"/>
      <c r="AU66" s="347"/>
      <c r="AV66" s="347"/>
      <c r="AW66" s="347"/>
      <c r="AX66" s="347"/>
      <c r="AY66" s="347"/>
      <c r="AZ66" s="347"/>
      <c r="BA66" s="347"/>
      <c r="BB66" s="346"/>
      <c r="BC66" s="347"/>
      <c r="BD66" s="347"/>
      <c r="BE66" s="347"/>
      <c r="BF66" s="347"/>
      <c r="BG66" s="347"/>
      <c r="BH66" s="347"/>
      <c r="BI66" s="347"/>
      <c r="BJ66" s="347"/>
      <c r="BK66" s="346"/>
      <c r="BL66" s="347"/>
      <c r="BM66" s="347"/>
      <c r="BN66" s="347"/>
      <c r="BO66" s="347"/>
      <c r="BP66" s="347"/>
      <c r="BQ66" s="347"/>
      <c r="BR66" s="347"/>
      <c r="BS66" s="347"/>
      <c r="BT66" s="347"/>
      <c r="BU66" s="347"/>
      <c r="BV66" s="347"/>
      <c r="BW66" s="347"/>
      <c r="BX66" s="347"/>
      <c r="BY66" s="347"/>
      <c r="BZ66" s="347"/>
      <c r="CA66" s="347"/>
      <c r="CB66" s="347"/>
      <c r="CC66" s="347"/>
      <c r="CD66" s="347"/>
      <c r="CE66" s="347"/>
      <c r="CF66" s="347"/>
      <c r="CG66" s="347"/>
      <c r="CH66" s="347"/>
      <c r="CI66" s="347"/>
      <c r="CJ66" s="347"/>
      <c r="CK66" s="347"/>
      <c r="CL66" s="346"/>
      <c r="CM66" s="347"/>
      <c r="CN66" s="347"/>
      <c r="CO66" s="346"/>
      <c r="CP66" s="346"/>
      <c r="CQ66" s="346"/>
      <c r="CR66" s="346"/>
      <c r="CS66" s="346"/>
      <c r="CT66" s="346"/>
      <c r="CU66" s="346"/>
      <c r="CV66" s="346"/>
      <c r="CW66" s="346"/>
    </row>
    <row r="67" spans="1:101" x14ac:dyDescent="0.25">
      <c r="A67" s="346"/>
      <c r="B67" s="346"/>
      <c r="C67" s="346"/>
      <c r="D67" s="346"/>
      <c r="E67" s="346"/>
      <c r="F67" s="346"/>
      <c r="G67" s="346"/>
      <c r="H67" s="346"/>
      <c r="I67" s="346"/>
      <c r="J67" s="346"/>
      <c r="K67" s="346"/>
      <c r="L67" s="346"/>
      <c r="M67" s="346"/>
      <c r="N67" s="346"/>
      <c r="O67" s="346"/>
      <c r="P67" s="346"/>
      <c r="Q67" s="346"/>
      <c r="R67" s="346"/>
      <c r="S67" s="346"/>
      <c r="T67" s="346"/>
      <c r="U67" s="346"/>
      <c r="V67" s="346"/>
      <c r="W67" s="346"/>
      <c r="X67" s="346"/>
      <c r="Y67" s="346"/>
      <c r="Z67" s="346"/>
      <c r="AA67" s="346"/>
      <c r="AB67" s="346"/>
      <c r="AC67" s="346"/>
      <c r="AD67" s="347"/>
      <c r="AE67" s="347"/>
      <c r="AF67" s="347"/>
      <c r="AG67" s="347"/>
      <c r="AH67" s="347"/>
      <c r="AI67" s="347"/>
      <c r="AJ67" s="347"/>
      <c r="AK67" s="347"/>
      <c r="AL67" s="347"/>
      <c r="AM67" s="347"/>
      <c r="AN67" s="347"/>
      <c r="AO67" s="347"/>
      <c r="AP67" s="347"/>
      <c r="AQ67" s="347"/>
      <c r="AR67" s="347"/>
      <c r="AS67" s="347"/>
      <c r="AT67" s="347"/>
      <c r="AU67" s="347"/>
      <c r="AV67" s="347"/>
      <c r="AW67" s="347"/>
      <c r="AX67" s="347"/>
      <c r="AY67" s="347"/>
      <c r="AZ67" s="347"/>
      <c r="BA67" s="347"/>
      <c r="BB67" s="347"/>
      <c r="BC67" s="347"/>
      <c r="BD67" s="347"/>
      <c r="BE67" s="347"/>
      <c r="BF67" s="347"/>
      <c r="BG67" s="347"/>
      <c r="BH67" s="347"/>
      <c r="BI67" s="347"/>
      <c r="BJ67" s="347"/>
      <c r="BK67" s="347"/>
      <c r="BL67" s="347"/>
      <c r="BM67" s="347"/>
      <c r="BN67" s="347"/>
      <c r="BO67" s="347"/>
      <c r="BP67" s="347"/>
      <c r="BQ67" s="347"/>
      <c r="BR67" s="347"/>
      <c r="BS67" s="347"/>
      <c r="BT67" s="347"/>
      <c r="BU67" s="347"/>
      <c r="BV67" s="347"/>
      <c r="BW67" s="347"/>
      <c r="BX67" s="347"/>
      <c r="BY67" s="347"/>
      <c r="BZ67" s="347"/>
      <c r="CA67" s="347"/>
      <c r="CB67" s="347"/>
      <c r="CC67" s="347"/>
      <c r="CD67" s="347"/>
      <c r="CE67" s="347"/>
      <c r="CF67" s="347"/>
      <c r="CG67" s="347"/>
      <c r="CH67" s="346"/>
      <c r="CI67" s="347"/>
      <c r="CJ67" s="347"/>
      <c r="CK67" s="347"/>
      <c r="CL67" s="347"/>
      <c r="CM67" s="347"/>
      <c r="CN67" s="347"/>
      <c r="CO67" s="346"/>
      <c r="CP67" s="346"/>
      <c r="CQ67" s="346"/>
      <c r="CR67" s="346"/>
      <c r="CS67" s="346"/>
      <c r="CT67" s="346"/>
      <c r="CU67" s="346"/>
      <c r="CV67" s="346"/>
      <c r="CW67" s="346"/>
    </row>
    <row r="68" spans="1:101" x14ac:dyDescent="0.25">
      <c r="A68" s="346"/>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7"/>
      <c r="AE68" s="347"/>
      <c r="AF68" s="347"/>
      <c r="AG68" s="347"/>
      <c r="AH68" s="347"/>
      <c r="AI68" s="347"/>
      <c r="AJ68" s="347"/>
      <c r="AK68" s="347"/>
      <c r="AL68" s="347"/>
      <c r="AM68" s="347"/>
      <c r="AN68" s="347"/>
      <c r="AO68" s="347"/>
      <c r="AP68" s="347"/>
      <c r="AQ68" s="347"/>
      <c r="AR68" s="347"/>
      <c r="AS68" s="347"/>
      <c r="AT68" s="347"/>
      <c r="AU68" s="347"/>
      <c r="AV68" s="347"/>
      <c r="AW68" s="347"/>
      <c r="AX68" s="347"/>
      <c r="AY68" s="347"/>
      <c r="AZ68" s="347"/>
      <c r="BA68" s="347"/>
      <c r="BB68" s="347"/>
      <c r="BC68" s="347"/>
      <c r="BD68" s="347"/>
      <c r="BE68" s="347"/>
      <c r="BF68" s="347"/>
      <c r="BG68" s="347"/>
      <c r="BH68" s="347"/>
      <c r="BI68" s="347"/>
      <c r="BJ68" s="347"/>
      <c r="BK68" s="347"/>
      <c r="BL68" s="347"/>
      <c r="BM68" s="347"/>
      <c r="BN68" s="347"/>
      <c r="BO68" s="347"/>
      <c r="BP68" s="347"/>
      <c r="BQ68" s="347"/>
      <c r="BR68" s="347"/>
      <c r="BS68" s="347"/>
      <c r="BT68" s="347"/>
      <c r="BU68" s="347"/>
      <c r="BV68" s="347"/>
      <c r="BW68" s="347"/>
      <c r="BX68" s="347"/>
      <c r="BY68" s="347"/>
      <c r="BZ68" s="347"/>
      <c r="CA68" s="347"/>
      <c r="CB68" s="347"/>
      <c r="CC68" s="347"/>
      <c r="CD68" s="347"/>
      <c r="CE68" s="347"/>
      <c r="CF68" s="347"/>
      <c r="CG68" s="347"/>
      <c r="CH68" s="346"/>
      <c r="CI68" s="347"/>
      <c r="CJ68" s="347"/>
      <c r="CK68" s="347"/>
      <c r="CL68" s="347"/>
      <c r="CM68" s="347"/>
      <c r="CN68" s="347"/>
      <c r="CO68" s="346"/>
      <c r="CP68" s="346"/>
      <c r="CQ68" s="346"/>
      <c r="CR68" s="346"/>
      <c r="CS68" s="346"/>
      <c r="CT68" s="346"/>
      <c r="CU68" s="346"/>
      <c r="CV68" s="346"/>
      <c r="CW68" s="346"/>
    </row>
    <row r="69" spans="1:101" x14ac:dyDescent="0.25">
      <c r="A69" s="346"/>
      <c r="B69" s="346"/>
      <c r="C69" s="346"/>
      <c r="D69" s="346"/>
      <c r="E69" s="346"/>
      <c r="F69" s="346"/>
      <c r="G69" s="346"/>
      <c r="H69" s="346"/>
      <c r="I69" s="346"/>
      <c r="J69" s="346"/>
      <c r="K69" s="346"/>
      <c r="L69" s="346"/>
      <c r="M69" s="346"/>
      <c r="N69" s="346"/>
      <c r="O69" s="346"/>
      <c r="P69" s="346"/>
      <c r="Q69" s="346"/>
      <c r="R69" s="346"/>
      <c r="S69" s="346"/>
      <c r="T69" s="346"/>
      <c r="U69" s="346"/>
      <c r="V69" s="346"/>
      <c r="W69" s="346"/>
      <c r="X69" s="346"/>
      <c r="Y69" s="346"/>
      <c r="Z69" s="346"/>
      <c r="AA69" s="346"/>
      <c r="AB69" s="346"/>
      <c r="AC69" s="346"/>
      <c r="AD69" s="347"/>
      <c r="AE69" s="347"/>
      <c r="AF69" s="347"/>
      <c r="AG69" s="347"/>
      <c r="AH69" s="347"/>
      <c r="AI69" s="347"/>
      <c r="AJ69" s="347"/>
      <c r="AK69" s="347"/>
      <c r="AL69" s="347"/>
      <c r="AM69" s="347"/>
      <c r="AN69" s="347"/>
      <c r="AO69" s="347"/>
      <c r="AP69" s="347"/>
      <c r="AQ69" s="347"/>
      <c r="AR69" s="347"/>
      <c r="AS69" s="347"/>
      <c r="AT69" s="347"/>
      <c r="AU69" s="347"/>
      <c r="AV69" s="347"/>
      <c r="AW69" s="347"/>
      <c r="AX69" s="347"/>
      <c r="AY69" s="347"/>
      <c r="AZ69" s="347"/>
      <c r="BA69" s="347"/>
      <c r="BB69" s="346"/>
      <c r="BC69" s="347"/>
      <c r="BD69" s="347"/>
      <c r="BE69" s="347"/>
      <c r="BF69" s="347"/>
      <c r="BG69" s="347"/>
      <c r="BH69" s="347"/>
      <c r="BI69" s="347"/>
      <c r="BJ69" s="347"/>
      <c r="BK69" s="346"/>
      <c r="BL69" s="347"/>
      <c r="BM69" s="347"/>
      <c r="BN69" s="347"/>
      <c r="BO69" s="347"/>
      <c r="BP69" s="347"/>
      <c r="BQ69" s="347"/>
      <c r="BR69" s="347"/>
      <c r="BS69" s="347"/>
      <c r="BT69" s="347"/>
      <c r="BU69" s="347"/>
      <c r="BV69" s="347"/>
      <c r="BW69" s="347"/>
      <c r="BX69" s="347"/>
      <c r="BY69" s="347"/>
      <c r="BZ69" s="347"/>
      <c r="CA69" s="347"/>
      <c r="CB69" s="347"/>
      <c r="CC69" s="347"/>
      <c r="CD69" s="347"/>
      <c r="CE69" s="347"/>
      <c r="CF69" s="347"/>
      <c r="CG69" s="347"/>
      <c r="CH69" s="347"/>
      <c r="CI69" s="347"/>
      <c r="CJ69" s="347"/>
      <c r="CK69" s="347"/>
      <c r="CL69" s="346"/>
      <c r="CM69" s="347"/>
      <c r="CN69" s="347"/>
      <c r="CO69" s="346"/>
      <c r="CP69" s="346"/>
      <c r="CQ69" s="346"/>
      <c r="CR69" s="346"/>
      <c r="CS69" s="346"/>
      <c r="CT69" s="346"/>
      <c r="CU69" s="346"/>
      <c r="CV69" s="346"/>
      <c r="CW69" s="346"/>
    </row>
    <row r="70" spans="1:101" x14ac:dyDescent="0.25">
      <c r="A70" s="346"/>
      <c r="B70" s="346"/>
      <c r="C70" s="346"/>
      <c r="D70" s="346"/>
      <c r="E70" s="346"/>
      <c r="F70" s="346"/>
      <c r="G70" s="346"/>
      <c r="H70" s="346"/>
      <c r="I70" s="346"/>
      <c r="J70" s="346"/>
      <c r="K70" s="346"/>
      <c r="L70" s="346"/>
      <c r="M70" s="346"/>
      <c r="N70" s="346"/>
      <c r="O70" s="346"/>
      <c r="P70" s="346"/>
      <c r="Q70" s="346"/>
      <c r="R70" s="346"/>
      <c r="S70" s="346"/>
      <c r="T70" s="346"/>
      <c r="U70" s="346"/>
      <c r="V70" s="346"/>
      <c r="W70" s="346"/>
      <c r="X70" s="346"/>
      <c r="Y70" s="346"/>
      <c r="Z70" s="346"/>
      <c r="AA70" s="346"/>
      <c r="AB70" s="346"/>
      <c r="AC70" s="346"/>
      <c r="AD70" s="347"/>
      <c r="AE70" s="347"/>
      <c r="AF70" s="347"/>
      <c r="AG70" s="347"/>
      <c r="AH70" s="347"/>
      <c r="AI70" s="347"/>
      <c r="AJ70" s="347"/>
      <c r="AK70" s="347"/>
      <c r="AL70" s="347"/>
      <c r="AM70" s="347"/>
      <c r="AN70" s="347"/>
      <c r="AO70" s="347"/>
      <c r="AP70" s="347"/>
      <c r="AQ70" s="347"/>
      <c r="AR70" s="347"/>
      <c r="AS70" s="347"/>
      <c r="AT70" s="347"/>
      <c r="AU70" s="347"/>
      <c r="AV70" s="347"/>
      <c r="AW70" s="347"/>
      <c r="AX70" s="347"/>
      <c r="AY70" s="347"/>
      <c r="AZ70" s="347"/>
      <c r="BA70" s="347"/>
      <c r="BB70" s="346"/>
      <c r="BC70" s="347"/>
      <c r="BD70" s="347"/>
      <c r="BE70" s="347"/>
      <c r="BF70" s="347"/>
      <c r="BG70" s="347"/>
      <c r="BH70" s="347"/>
      <c r="BI70" s="347"/>
      <c r="BJ70" s="347"/>
      <c r="BK70" s="346"/>
      <c r="BL70" s="347"/>
      <c r="BM70" s="347"/>
      <c r="BN70" s="347"/>
      <c r="BO70" s="347"/>
      <c r="BP70" s="347"/>
      <c r="BQ70" s="347"/>
      <c r="BR70" s="347"/>
      <c r="BS70" s="347"/>
      <c r="BT70" s="347"/>
      <c r="BU70" s="347"/>
      <c r="BV70" s="347"/>
      <c r="BW70" s="347"/>
      <c r="BX70" s="347"/>
      <c r="BY70" s="347"/>
      <c r="BZ70" s="347"/>
      <c r="CA70" s="347"/>
      <c r="CB70" s="347"/>
      <c r="CC70" s="347"/>
      <c r="CD70" s="347"/>
      <c r="CE70" s="347"/>
      <c r="CF70" s="347"/>
      <c r="CG70" s="347"/>
      <c r="CH70" s="347"/>
      <c r="CI70" s="347"/>
      <c r="CJ70" s="347"/>
      <c r="CK70" s="347"/>
      <c r="CL70" s="346"/>
      <c r="CM70" s="347"/>
      <c r="CN70" s="347"/>
      <c r="CO70" s="346"/>
      <c r="CP70" s="346"/>
      <c r="CQ70" s="346"/>
      <c r="CR70" s="346"/>
      <c r="CS70" s="346"/>
      <c r="CT70" s="346"/>
      <c r="CU70" s="346"/>
      <c r="CV70" s="346"/>
      <c r="CW70" s="346"/>
    </row>
    <row r="71" spans="1:101" x14ac:dyDescent="0.25">
      <c r="A71" s="346"/>
      <c r="B71" s="346"/>
      <c r="C71" s="346"/>
      <c r="D71" s="346"/>
      <c r="E71" s="346"/>
      <c r="F71" s="346"/>
      <c r="G71" s="346"/>
      <c r="H71" s="346"/>
      <c r="I71" s="346"/>
      <c r="J71" s="346"/>
      <c r="K71" s="346"/>
      <c r="L71" s="346"/>
      <c r="M71" s="346"/>
      <c r="N71" s="346"/>
      <c r="O71" s="346"/>
      <c r="P71" s="346"/>
      <c r="Q71" s="346"/>
      <c r="R71" s="346"/>
      <c r="S71" s="346"/>
      <c r="T71" s="346"/>
      <c r="U71" s="346"/>
      <c r="V71" s="346"/>
      <c r="W71" s="346"/>
      <c r="X71" s="346"/>
      <c r="Y71" s="346"/>
      <c r="Z71" s="346"/>
      <c r="AA71" s="346"/>
      <c r="AB71" s="346"/>
      <c r="AC71" s="346"/>
      <c r="AD71" s="347"/>
      <c r="AE71" s="347"/>
      <c r="AF71" s="347"/>
      <c r="AG71" s="347"/>
      <c r="AH71" s="347"/>
      <c r="AI71" s="347"/>
      <c r="AJ71" s="347"/>
      <c r="AK71" s="347"/>
      <c r="AL71" s="347"/>
      <c r="AM71" s="347"/>
      <c r="AN71" s="347"/>
      <c r="AO71" s="347"/>
      <c r="AP71" s="347"/>
      <c r="AQ71" s="347"/>
      <c r="AR71" s="347"/>
      <c r="AS71" s="347"/>
      <c r="AT71" s="347"/>
      <c r="AU71" s="347"/>
      <c r="AV71" s="347"/>
      <c r="AW71" s="347"/>
      <c r="AX71" s="347"/>
      <c r="AY71" s="347"/>
      <c r="AZ71" s="347"/>
      <c r="BA71" s="347"/>
      <c r="BB71" s="346"/>
      <c r="BC71" s="347"/>
      <c r="BD71" s="347"/>
      <c r="BE71" s="347"/>
      <c r="BF71" s="347"/>
      <c r="BG71" s="347"/>
      <c r="BH71" s="347"/>
      <c r="BI71" s="347"/>
      <c r="BJ71" s="347"/>
      <c r="BK71" s="346"/>
      <c r="BL71" s="347"/>
      <c r="BM71" s="347"/>
      <c r="BN71" s="347"/>
      <c r="BO71" s="347"/>
      <c r="BP71" s="347"/>
      <c r="BQ71" s="347"/>
      <c r="BR71" s="347"/>
      <c r="BS71" s="347"/>
      <c r="BT71" s="347"/>
      <c r="BU71" s="347"/>
      <c r="BV71" s="347"/>
      <c r="BW71" s="347"/>
      <c r="BX71" s="347"/>
      <c r="BY71" s="347"/>
      <c r="BZ71" s="347"/>
      <c r="CA71" s="347"/>
      <c r="CB71" s="347"/>
      <c r="CC71" s="347"/>
      <c r="CD71" s="347"/>
      <c r="CE71" s="347"/>
      <c r="CF71" s="347"/>
      <c r="CG71" s="347"/>
      <c r="CH71" s="347"/>
      <c r="CI71" s="347"/>
      <c r="CJ71" s="347"/>
      <c r="CK71" s="347"/>
      <c r="CL71" s="346"/>
      <c r="CM71" s="347"/>
      <c r="CN71" s="347"/>
      <c r="CO71" s="346"/>
      <c r="CP71" s="346"/>
      <c r="CQ71" s="346"/>
      <c r="CR71" s="346"/>
      <c r="CS71" s="346"/>
      <c r="CT71" s="346"/>
      <c r="CU71" s="346"/>
      <c r="CV71" s="346"/>
      <c r="CW71" s="346"/>
    </row>
    <row r="72" spans="1:101" x14ac:dyDescent="0.25">
      <c r="A72" s="346"/>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7"/>
      <c r="AE72" s="347"/>
      <c r="AF72" s="347"/>
      <c r="AG72" s="347"/>
      <c r="AH72" s="347"/>
      <c r="AI72" s="347"/>
      <c r="AJ72" s="347"/>
      <c r="AK72" s="347"/>
      <c r="AL72" s="347"/>
      <c r="AM72" s="347"/>
      <c r="AN72" s="347"/>
      <c r="AO72" s="347"/>
      <c r="AP72" s="347"/>
      <c r="AQ72" s="347"/>
      <c r="AR72" s="347"/>
      <c r="AS72" s="347"/>
      <c r="AT72" s="347"/>
      <c r="AU72" s="347"/>
      <c r="AV72" s="347"/>
      <c r="AW72" s="347"/>
      <c r="AX72" s="347"/>
      <c r="AY72" s="347"/>
      <c r="AZ72" s="347"/>
      <c r="BA72" s="347"/>
      <c r="BB72" s="346"/>
      <c r="BC72" s="347"/>
      <c r="BD72" s="347"/>
      <c r="BE72" s="347"/>
      <c r="BF72" s="347"/>
      <c r="BG72" s="347"/>
      <c r="BH72" s="347"/>
      <c r="BI72" s="347"/>
      <c r="BJ72" s="347"/>
      <c r="BK72" s="346"/>
      <c r="BL72" s="347"/>
      <c r="BM72" s="347"/>
      <c r="BN72" s="347"/>
      <c r="BO72" s="347"/>
      <c r="BP72" s="347"/>
      <c r="BQ72" s="347"/>
      <c r="BR72" s="347"/>
      <c r="BS72" s="347"/>
      <c r="BT72" s="347"/>
      <c r="BU72" s="347"/>
      <c r="BV72" s="347"/>
      <c r="BW72" s="347"/>
      <c r="BX72" s="347"/>
      <c r="BY72" s="347"/>
      <c r="BZ72" s="347"/>
      <c r="CA72" s="347"/>
      <c r="CB72" s="347"/>
      <c r="CC72" s="347"/>
      <c r="CD72" s="347"/>
      <c r="CE72" s="347"/>
      <c r="CF72" s="347"/>
      <c r="CG72" s="347"/>
      <c r="CH72" s="347"/>
      <c r="CI72" s="347"/>
      <c r="CJ72" s="347"/>
      <c r="CK72" s="347"/>
      <c r="CL72" s="346"/>
      <c r="CM72" s="347"/>
      <c r="CN72" s="347"/>
      <c r="CO72" s="346"/>
      <c r="CP72" s="346"/>
      <c r="CQ72" s="346"/>
      <c r="CR72" s="346"/>
      <c r="CS72" s="346"/>
      <c r="CT72" s="346"/>
      <c r="CU72" s="346"/>
      <c r="CV72" s="346"/>
      <c r="CW72" s="346"/>
    </row>
    <row r="73" spans="1:101" x14ac:dyDescent="0.25">
      <c r="A73" s="346"/>
      <c r="B73" s="346"/>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7"/>
      <c r="AE73" s="347"/>
      <c r="AF73" s="347"/>
      <c r="AG73" s="347"/>
      <c r="AH73" s="347"/>
      <c r="AI73" s="347"/>
      <c r="AJ73" s="347"/>
      <c r="AK73" s="347"/>
      <c r="AL73" s="347"/>
      <c r="AM73" s="347"/>
      <c r="AN73" s="347"/>
      <c r="AO73" s="347"/>
      <c r="AP73" s="347"/>
      <c r="AQ73" s="347"/>
      <c r="AR73" s="347"/>
      <c r="AS73" s="347"/>
      <c r="AT73" s="347"/>
      <c r="AU73" s="347"/>
      <c r="AV73" s="347"/>
      <c r="AW73" s="347"/>
      <c r="AX73" s="347"/>
      <c r="AY73" s="347"/>
      <c r="AZ73" s="347"/>
      <c r="BA73" s="347"/>
      <c r="BB73" s="346"/>
      <c r="BC73" s="347"/>
      <c r="BD73" s="347"/>
      <c r="BE73" s="347"/>
      <c r="BF73" s="347"/>
      <c r="BG73" s="347"/>
      <c r="BH73" s="347"/>
      <c r="BI73" s="347"/>
      <c r="BJ73" s="347"/>
      <c r="BK73" s="346"/>
      <c r="BL73" s="347"/>
      <c r="BM73" s="347"/>
      <c r="BN73" s="347"/>
      <c r="BO73" s="347"/>
      <c r="BP73" s="347"/>
      <c r="BQ73" s="347"/>
      <c r="BR73" s="347"/>
      <c r="BS73" s="347"/>
      <c r="BT73" s="347"/>
      <c r="BU73" s="347"/>
      <c r="BV73" s="347"/>
      <c r="BW73" s="347"/>
      <c r="BX73" s="347"/>
      <c r="BY73" s="347"/>
      <c r="BZ73" s="347"/>
      <c r="CA73" s="347"/>
      <c r="CB73" s="347"/>
      <c r="CC73" s="347"/>
      <c r="CD73" s="347"/>
      <c r="CE73" s="347"/>
      <c r="CF73" s="347"/>
      <c r="CG73" s="347"/>
      <c r="CH73" s="347"/>
      <c r="CI73" s="347"/>
      <c r="CJ73" s="347"/>
      <c r="CK73" s="347"/>
      <c r="CL73" s="346"/>
      <c r="CM73" s="347"/>
      <c r="CN73" s="347"/>
      <c r="CO73" s="346"/>
      <c r="CP73" s="346"/>
      <c r="CQ73" s="346"/>
      <c r="CR73" s="346"/>
      <c r="CS73" s="346"/>
      <c r="CT73" s="346"/>
      <c r="CU73" s="346"/>
      <c r="CV73" s="346"/>
      <c r="CW73" s="346"/>
    </row>
    <row r="74" spans="1:101" x14ac:dyDescent="0.25">
      <c r="A74" s="346"/>
      <c r="B74" s="346"/>
      <c r="C74" s="346"/>
      <c r="D74" s="346"/>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c r="AC74" s="346"/>
      <c r="AD74" s="347"/>
      <c r="AE74" s="347"/>
      <c r="AF74" s="347"/>
      <c r="AG74" s="347"/>
      <c r="AH74" s="347"/>
      <c r="AI74" s="347"/>
      <c r="AJ74" s="347"/>
      <c r="AK74" s="347"/>
      <c r="AL74" s="347"/>
      <c r="AM74" s="347"/>
      <c r="AN74" s="347"/>
      <c r="AO74" s="347"/>
      <c r="AP74" s="347"/>
      <c r="AQ74" s="347"/>
      <c r="AR74" s="347"/>
      <c r="AS74" s="347"/>
      <c r="AT74" s="347"/>
      <c r="AU74" s="347"/>
      <c r="AV74" s="347"/>
      <c r="AW74" s="347"/>
      <c r="AX74" s="347"/>
      <c r="AY74" s="347"/>
      <c r="AZ74" s="347"/>
      <c r="BA74" s="347"/>
      <c r="BB74" s="347"/>
      <c r="BC74" s="347"/>
      <c r="BD74" s="347"/>
      <c r="BE74" s="347"/>
      <c r="BF74" s="347"/>
      <c r="BG74" s="347"/>
      <c r="BH74" s="347"/>
      <c r="BI74" s="347"/>
      <c r="BJ74" s="347"/>
      <c r="BK74" s="347"/>
      <c r="BL74" s="347"/>
      <c r="BM74" s="347"/>
      <c r="BN74" s="347"/>
      <c r="BO74" s="347"/>
      <c r="BP74" s="347"/>
      <c r="BQ74" s="347"/>
      <c r="BR74" s="347"/>
      <c r="BS74" s="347"/>
      <c r="BT74" s="347"/>
      <c r="BU74" s="347"/>
      <c r="BV74" s="347"/>
      <c r="BW74" s="347"/>
      <c r="BX74" s="347"/>
      <c r="BY74" s="347"/>
      <c r="BZ74" s="347"/>
      <c r="CA74" s="347"/>
      <c r="CB74" s="347"/>
      <c r="CC74" s="347"/>
      <c r="CD74" s="347"/>
      <c r="CE74" s="347"/>
      <c r="CF74" s="347"/>
      <c r="CG74" s="347"/>
      <c r="CH74" s="346"/>
      <c r="CI74" s="347"/>
      <c r="CJ74" s="347"/>
      <c r="CK74" s="347"/>
      <c r="CL74" s="347"/>
      <c r="CM74" s="347"/>
      <c r="CN74" s="347"/>
      <c r="CO74" s="346"/>
      <c r="CP74" s="346"/>
      <c r="CQ74" s="346"/>
      <c r="CR74" s="346"/>
      <c r="CS74" s="346"/>
      <c r="CT74" s="346"/>
      <c r="CU74" s="346"/>
      <c r="CV74" s="346"/>
      <c r="CW74" s="346"/>
    </row>
    <row r="75" spans="1:101" x14ac:dyDescent="0.25">
      <c r="A75" s="346"/>
      <c r="B75" s="346"/>
      <c r="C75" s="346"/>
      <c r="D75" s="346"/>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c r="AC75" s="346"/>
      <c r="AD75" s="347"/>
      <c r="AE75" s="347"/>
      <c r="AF75" s="347"/>
      <c r="AG75" s="347"/>
      <c r="AH75" s="347"/>
      <c r="AI75" s="347"/>
      <c r="AJ75" s="347"/>
      <c r="AK75" s="347"/>
      <c r="AL75" s="347"/>
      <c r="AM75" s="347"/>
      <c r="AN75" s="347"/>
      <c r="AO75" s="347"/>
      <c r="AP75" s="347"/>
      <c r="AQ75" s="347"/>
      <c r="AR75" s="347"/>
      <c r="AS75" s="347"/>
      <c r="AT75" s="347"/>
      <c r="AU75" s="347"/>
      <c r="AV75" s="347"/>
      <c r="AW75" s="347"/>
      <c r="AX75" s="347"/>
      <c r="AY75" s="347"/>
      <c r="AZ75" s="347"/>
      <c r="BA75" s="347"/>
      <c r="BB75" s="347"/>
      <c r="BC75" s="347"/>
      <c r="BD75" s="347"/>
      <c r="BE75" s="347"/>
      <c r="BF75" s="347"/>
      <c r="BG75" s="347"/>
      <c r="BH75" s="347"/>
      <c r="BI75" s="347"/>
      <c r="BJ75" s="347"/>
      <c r="BK75" s="347"/>
      <c r="BL75" s="347"/>
      <c r="BM75" s="347"/>
      <c r="BN75" s="347"/>
      <c r="BO75" s="347"/>
      <c r="BP75" s="347"/>
      <c r="BQ75" s="347"/>
      <c r="BR75" s="347"/>
      <c r="BS75" s="347"/>
      <c r="BT75" s="347"/>
      <c r="BU75" s="347"/>
      <c r="BV75" s="347"/>
      <c r="BW75" s="347"/>
      <c r="BX75" s="347"/>
      <c r="BY75" s="347"/>
      <c r="BZ75" s="347"/>
      <c r="CA75" s="347"/>
      <c r="CB75" s="347"/>
      <c r="CC75" s="347"/>
      <c r="CD75" s="347"/>
      <c r="CE75" s="347"/>
      <c r="CF75" s="347"/>
      <c r="CG75" s="347"/>
      <c r="CH75" s="347"/>
      <c r="CI75" s="347"/>
      <c r="CJ75" s="347"/>
      <c r="CK75" s="347"/>
      <c r="CL75" s="347"/>
      <c r="CM75" s="347"/>
      <c r="CN75" s="347"/>
      <c r="CO75" s="346"/>
      <c r="CP75" s="346"/>
      <c r="CQ75" s="346"/>
      <c r="CR75" s="346"/>
      <c r="CS75" s="346"/>
      <c r="CT75" s="346"/>
      <c r="CU75" s="346"/>
      <c r="CV75" s="346"/>
      <c r="CW75" s="346"/>
    </row>
    <row r="76" spans="1:101" x14ac:dyDescent="0.25">
      <c r="A76" s="346"/>
      <c r="B76" s="346"/>
      <c r="C76" s="346"/>
      <c r="D76" s="346"/>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c r="AC76" s="346"/>
      <c r="AD76" s="347"/>
      <c r="AE76" s="347"/>
      <c r="AF76" s="347"/>
      <c r="AG76" s="347"/>
      <c r="AH76" s="347"/>
      <c r="AI76" s="347"/>
      <c r="AJ76" s="347"/>
      <c r="AK76" s="347"/>
      <c r="AL76" s="347"/>
      <c r="AM76" s="347"/>
      <c r="AN76" s="347"/>
      <c r="AO76" s="347"/>
      <c r="AP76" s="347"/>
      <c r="AQ76" s="347"/>
      <c r="AR76" s="347"/>
      <c r="AS76" s="347"/>
      <c r="AT76" s="347"/>
      <c r="AU76" s="347"/>
      <c r="AV76" s="347"/>
      <c r="AW76" s="347"/>
      <c r="AX76" s="347"/>
      <c r="AY76" s="347"/>
      <c r="AZ76" s="347"/>
      <c r="BA76" s="347"/>
      <c r="BB76" s="347"/>
      <c r="BC76" s="347"/>
      <c r="BD76" s="347"/>
      <c r="BE76" s="347"/>
      <c r="BF76" s="347"/>
      <c r="BG76" s="347"/>
      <c r="BH76" s="347"/>
      <c r="BI76" s="347"/>
      <c r="BJ76" s="347"/>
      <c r="BK76" s="347"/>
      <c r="BL76" s="347"/>
      <c r="BM76" s="347"/>
      <c r="BN76" s="347"/>
      <c r="BO76" s="347"/>
      <c r="BP76" s="347"/>
      <c r="BQ76" s="347"/>
      <c r="BR76" s="347"/>
      <c r="BS76" s="347"/>
      <c r="BT76" s="347"/>
      <c r="BU76" s="347"/>
      <c r="BV76" s="347"/>
      <c r="BW76" s="347"/>
      <c r="BX76" s="347"/>
      <c r="BY76" s="347"/>
      <c r="BZ76" s="347"/>
      <c r="CA76" s="347"/>
      <c r="CB76" s="347"/>
      <c r="CC76" s="347"/>
      <c r="CD76" s="347"/>
      <c r="CE76" s="347"/>
      <c r="CF76" s="347"/>
      <c r="CG76" s="347"/>
      <c r="CH76" s="347"/>
      <c r="CI76" s="347"/>
      <c r="CJ76" s="347"/>
      <c r="CK76" s="347"/>
      <c r="CL76" s="347"/>
      <c r="CM76" s="347"/>
      <c r="CN76" s="347"/>
      <c r="CO76" s="346"/>
      <c r="CP76" s="346"/>
      <c r="CQ76" s="346"/>
      <c r="CR76" s="346"/>
      <c r="CS76" s="346"/>
      <c r="CT76" s="346"/>
      <c r="CU76" s="346"/>
      <c r="CV76" s="346"/>
      <c r="CW76" s="346"/>
    </row>
    <row r="77" spans="1:101" x14ac:dyDescent="0.2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7"/>
      <c r="AE77" s="347"/>
      <c r="AF77" s="347"/>
      <c r="AG77" s="347"/>
      <c r="AH77" s="347"/>
      <c r="AI77" s="347"/>
      <c r="AJ77" s="347"/>
      <c r="AK77" s="347"/>
      <c r="AL77" s="347"/>
      <c r="AM77" s="347"/>
      <c r="AN77" s="347"/>
      <c r="AO77" s="347"/>
      <c r="AP77" s="347"/>
      <c r="AQ77" s="347"/>
      <c r="AR77" s="347"/>
      <c r="AS77" s="347"/>
      <c r="AT77" s="347"/>
      <c r="AU77" s="347"/>
      <c r="AV77" s="347"/>
      <c r="AW77" s="347"/>
      <c r="AX77" s="347"/>
      <c r="AY77" s="347"/>
      <c r="AZ77" s="347"/>
      <c r="BA77" s="347"/>
      <c r="BB77" s="347"/>
      <c r="BC77" s="347"/>
      <c r="BD77" s="347"/>
      <c r="BE77" s="347"/>
      <c r="BF77" s="347"/>
      <c r="BG77" s="347"/>
      <c r="BH77" s="347"/>
      <c r="BI77" s="347"/>
      <c r="BJ77" s="347"/>
      <c r="BK77" s="347"/>
      <c r="BL77" s="347"/>
      <c r="BM77" s="347"/>
      <c r="BN77" s="347"/>
      <c r="BO77" s="347"/>
      <c r="BP77" s="347"/>
      <c r="BQ77" s="347"/>
      <c r="BR77" s="347"/>
      <c r="BS77" s="347"/>
      <c r="BT77" s="347"/>
      <c r="BU77" s="347"/>
      <c r="BV77" s="347"/>
      <c r="BW77" s="347"/>
      <c r="BX77" s="347"/>
      <c r="BY77" s="347"/>
      <c r="BZ77" s="347"/>
      <c r="CA77" s="347"/>
      <c r="CB77" s="347"/>
      <c r="CC77" s="347"/>
      <c r="CD77" s="347"/>
      <c r="CE77" s="347"/>
      <c r="CF77" s="347"/>
      <c r="CG77" s="347"/>
      <c r="CH77" s="347"/>
      <c r="CI77" s="347"/>
      <c r="CJ77" s="347"/>
      <c r="CK77" s="347"/>
      <c r="CL77" s="347"/>
      <c r="CM77" s="347"/>
      <c r="CN77" s="347"/>
      <c r="CO77" s="346"/>
      <c r="CP77" s="346"/>
      <c r="CQ77" s="346"/>
      <c r="CR77" s="346"/>
      <c r="CS77" s="346"/>
      <c r="CT77" s="346"/>
      <c r="CU77" s="346"/>
      <c r="CV77" s="346"/>
      <c r="CW77" s="346"/>
    </row>
    <row r="78" spans="1:101" x14ac:dyDescent="0.2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7"/>
      <c r="AE78" s="347"/>
      <c r="AF78" s="347"/>
      <c r="AG78" s="347"/>
      <c r="AH78" s="347"/>
      <c r="AI78" s="347"/>
      <c r="AJ78" s="347"/>
      <c r="AK78" s="347"/>
      <c r="AL78" s="347"/>
      <c r="AM78" s="347"/>
      <c r="AN78" s="347"/>
      <c r="AO78" s="347"/>
      <c r="AP78" s="347"/>
      <c r="AQ78" s="347"/>
      <c r="AR78" s="347"/>
      <c r="AS78" s="347"/>
      <c r="AT78" s="347"/>
      <c r="AU78" s="347"/>
      <c r="AV78" s="347"/>
      <c r="AW78" s="347"/>
      <c r="AX78" s="347"/>
      <c r="AY78" s="347"/>
      <c r="AZ78" s="347"/>
      <c r="BA78" s="347"/>
      <c r="BB78" s="347"/>
      <c r="BC78" s="347"/>
      <c r="BD78" s="347"/>
      <c r="BE78" s="347"/>
      <c r="BF78" s="347"/>
      <c r="BG78" s="347"/>
      <c r="BH78" s="347"/>
      <c r="BI78" s="347"/>
      <c r="BJ78" s="347"/>
      <c r="BK78" s="347"/>
      <c r="BL78" s="347"/>
      <c r="BM78" s="347"/>
      <c r="BN78" s="347"/>
      <c r="BO78" s="347"/>
      <c r="BP78" s="347"/>
      <c r="BQ78" s="347"/>
      <c r="BR78" s="347"/>
      <c r="BS78" s="347"/>
      <c r="BT78" s="347"/>
      <c r="BU78" s="347"/>
      <c r="BV78" s="347"/>
      <c r="BW78" s="347"/>
      <c r="BX78" s="347"/>
      <c r="BY78" s="347"/>
      <c r="BZ78" s="347"/>
      <c r="CA78" s="347"/>
      <c r="CB78" s="347"/>
      <c r="CC78" s="347"/>
      <c r="CD78" s="347"/>
      <c r="CE78" s="347"/>
      <c r="CF78" s="347"/>
      <c r="CG78" s="347"/>
      <c r="CH78" s="347"/>
      <c r="CI78" s="347"/>
      <c r="CJ78" s="347"/>
      <c r="CK78" s="347"/>
      <c r="CL78" s="347"/>
      <c r="CM78" s="347"/>
      <c r="CN78" s="347"/>
      <c r="CO78" s="346"/>
      <c r="CP78" s="346"/>
      <c r="CQ78" s="346"/>
      <c r="CR78" s="346"/>
      <c r="CS78" s="346"/>
      <c r="CT78" s="346"/>
      <c r="CU78" s="346"/>
      <c r="CV78" s="346"/>
      <c r="CW78" s="346"/>
    </row>
    <row r="79" spans="1:101" x14ac:dyDescent="0.2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7"/>
      <c r="AE79" s="347"/>
      <c r="AF79" s="347"/>
      <c r="AG79" s="347"/>
      <c r="AH79" s="347"/>
      <c r="AI79" s="347"/>
      <c r="AJ79" s="347"/>
      <c r="AK79" s="347"/>
      <c r="AL79" s="347"/>
      <c r="AM79" s="347"/>
      <c r="AN79" s="347"/>
      <c r="AO79" s="347"/>
      <c r="AP79" s="347"/>
      <c r="AQ79" s="347"/>
      <c r="AR79" s="347"/>
      <c r="AS79" s="347"/>
      <c r="AT79" s="347"/>
      <c r="AU79" s="347"/>
      <c r="AV79" s="347"/>
      <c r="AW79" s="347"/>
      <c r="AX79" s="347"/>
      <c r="AY79" s="347"/>
      <c r="AZ79" s="347"/>
      <c r="BA79" s="347"/>
      <c r="BB79" s="347"/>
      <c r="BC79" s="347"/>
      <c r="BD79" s="347"/>
      <c r="BE79" s="347"/>
      <c r="BF79" s="347"/>
      <c r="BG79" s="347"/>
      <c r="BH79" s="347"/>
      <c r="BI79" s="347"/>
      <c r="BJ79" s="347"/>
      <c r="BK79" s="347"/>
      <c r="BL79" s="347"/>
      <c r="BM79" s="347"/>
      <c r="BN79" s="347"/>
      <c r="BO79" s="347"/>
      <c r="BP79" s="347"/>
      <c r="BQ79" s="347"/>
      <c r="BR79" s="347"/>
      <c r="BS79" s="347"/>
      <c r="BT79" s="347"/>
      <c r="BU79" s="347"/>
      <c r="BV79" s="347"/>
      <c r="BW79" s="347"/>
      <c r="BX79" s="347"/>
      <c r="BY79" s="347"/>
      <c r="BZ79" s="347"/>
      <c r="CA79" s="347"/>
      <c r="CB79" s="347"/>
      <c r="CC79" s="347"/>
      <c r="CD79" s="347"/>
      <c r="CE79" s="347"/>
      <c r="CF79" s="347"/>
      <c r="CG79" s="347"/>
      <c r="CH79" s="347"/>
      <c r="CI79" s="347"/>
      <c r="CJ79" s="347"/>
      <c r="CK79" s="347"/>
      <c r="CL79" s="347"/>
      <c r="CM79" s="347"/>
      <c r="CN79" s="347"/>
      <c r="CO79" s="346"/>
      <c r="CP79" s="346"/>
      <c r="CQ79" s="346"/>
      <c r="CR79" s="346"/>
      <c r="CS79" s="346"/>
      <c r="CT79" s="346"/>
      <c r="CU79" s="346"/>
      <c r="CV79" s="346"/>
      <c r="CW79" s="346"/>
    </row>
    <row r="80" spans="1:101" x14ac:dyDescent="0.2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7"/>
      <c r="AE80" s="347"/>
      <c r="AF80" s="347"/>
      <c r="AG80" s="347"/>
      <c r="AH80" s="347"/>
      <c r="AI80" s="347"/>
      <c r="AJ80" s="347"/>
      <c r="AK80" s="347"/>
      <c r="AL80" s="347"/>
      <c r="AM80" s="347"/>
      <c r="AN80" s="347"/>
      <c r="AO80" s="347"/>
      <c r="AP80" s="347"/>
      <c r="AQ80" s="347"/>
      <c r="AR80" s="347"/>
      <c r="AS80" s="347"/>
      <c r="AT80" s="347"/>
      <c r="AU80" s="347"/>
      <c r="AV80" s="347"/>
      <c r="AW80" s="347"/>
      <c r="AX80" s="347"/>
      <c r="AY80" s="347"/>
      <c r="AZ80" s="347"/>
      <c r="BA80" s="347"/>
      <c r="BB80" s="347"/>
      <c r="BC80" s="347"/>
      <c r="BD80" s="347"/>
      <c r="BE80" s="347"/>
      <c r="BF80" s="347"/>
      <c r="BG80" s="347"/>
      <c r="BH80" s="347"/>
      <c r="BI80" s="347"/>
      <c r="BJ80" s="347"/>
      <c r="BK80" s="347"/>
      <c r="BL80" s="347"/>
      <c r="BM80" s="347"/>
      <c r="BN80" s="347"/>
      <c r="BO80" s="347"/>
      <c r="BP80" s="347"/>
      <c r="BQ80" s="347"/>
      <c r="BR80" s="347"/>
      <c r="BS80" s="347"/>
      <c r="BT80" s="347"/>
      <c r="BU80" s="347"/>
      <c r="BV80" s="347"/>
      <c r="BW80" s="347"/>
      <c r="BX80" s="347"/>
      <c r="BY80" s="347"/>
      <c r="BZ80" s="347"/>
      <c r="CA80" s="347"/>
      <c r="CB80" s="347"/>
      <c r="CC80" s="347"/>
      <c r="CD80" s="347"/>
      <c r="CE80" s="347"/>
      <c r="CF80" s="347"/>
      <c r="CG80" s="347"/>
      <c r="CH80" s="347"/>
      <c r="CI80" s="347"/>
      <c r="CJ80" s="347"/>
      <c r="CK80" s="347"/>
      <c r="CL80" s="347"/>
      <c r="CM80" s="347"/>
      <c r="CN80" s="347"/>
      <c r="CO80" s="346"/>
      <c r="CP80" s="346"/>
      <c r="CQ80" s="346"/>
      <c r="CR80" s="346"/>
      <c r="CS80" s="346"/>
      <c r="CT80" s="346"/>
      <c r="CU80" s="346"/>
      <c r="CV80" s="346"/>
      <c r="CW80" s="346"/>
    </row>
    <row r="81" spans="1:101" x14ac:dyDescent="0.2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7"/>
      <c r="AE81" s="347"/>
      <c r="AF81" s="347"/>
      <c r="AG81" s="347"/>
      <c r="AH81" s="347"/>
      <c r="AI81" s="347"/>
      <c r="AJ81" s="347"/>
      <c r="AK81" s="347"/>
      <c r="AL81" s="347"/>
      <c r="AM81" s="347"/>
      <c r="AN81" s="347"/>
      <c r="AO81" s="347"/>
      <c r="AP81" s="347"/>
      <c r="AQ81" s="347"/>
      <c r="AR81" s="347"/>
      <c r="AS81" s="347"/>
      <c r="AT81" s="347"/>
      <c r="AU81" s="347"/>
      <c r="AV81" s="347"/>
      <c r="AW81" s="347"/>
      <c r="AX81" s="347"/>
      <c r="AY81" s="347"/>
      <c r="AZ81" s="347"/>
      <c r="BA81" s="347"/>
      <c r="BB81" s="347"/>
      <c r="BC81" s="347"/>
      <c r="BD81" s="347"/>
      <c r="BE81" s="347"/>
      <c r="BF81" s="347"/>
      <c r="BG81" s="347"/>
      <c r="BH81" s="347"/>
      <c r="BI81" s="347"/>
      <c r="BJ81" s="347"/>
      <c r="BK81" s="347"/>
      <c r="BL81" s="347"/>
      <c r="BM81" s="347"/>
      <c r="BN81" s="347"/>
      <c r="BO81" s="347"/>
      <c r="BP81" s="347"/>
      <c r="BQ81" s="347"/>
      <c r="BR81" s="347"/>
      <c r="BS81" s="347"/>
      <c r="BT81" s="347"/>
      <c r="BU81" s="347"/>
      <c r="BV81" s="347"/>
      <c r="BW81" s="347"/>
      <c r="BX81" s="347"/>
      <c r="BY81" s="347"/>
      <c r="BZ81" s="347"/>
      <c r="CA81" s="347"/>
      <c r="CB81" s="347"/>
      <c r="CC81" s="347"/>
      <c r="CD81" s="347"/>
      <c r="CE81" s="347"/>
      <c r="CF81" s="347"/>
      <c r="CG81" s="347"/>
      <c r="CH81" s="347"/>
      <c r="CI81" s="347"/>
      <c r="CJ81" s="347"/>
      <c r="CK81" s="347"/>
      <c r="CL81" s="347"/>
      <c r="CM81" s="347"/>
      <c r="CN81" s="347"/>
      <c r="CO81" s="346"/>
      <c r="CP81" s="346"/>
      <c r="CQ81" s="346"/>
      <c r="CR81" s="346"/>
      <c r="CS81" s="346"/>
      <c r="CT81" s="346"/>
      <c r="CU81" s="346"/>
      <c r="CV81" s="346"/>
      <c r="CW81" s="346"/>
    </row>
    <row r="82" spans="1:101" x14ac:dyDescent="0.2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7"/>
      <c r="AE82" s="347"/>
      <c r="AF82" s="347"/>
      <c r="AG82" s="347"/>
      <c r="AH82" s="347"/>
      <c r="AI82" s="347"/>
      <c r="AJ82" s="347"/>
      <c r="AK82" s="347"/>
      <c r="AL82" s="347"/>
      <c r="AM82" s="347"/>
      <c r="AN82" s="347"/>
      <c r="AO82" s="347"/>
      <c r="AP82" s="347"/>
      <c r="AQ82" s="347"/>
      <c r="AR82" s="347"/>
      <c r="AS82" s="347"/>
      <c r="AT82" s="347"/>
      <c r="AU82" s="347"/>
      <c r="AV82" s="347"/>
      <c r="AW82" s="347"/>
      <c r="AX82" s="347"/>
      <c r="AY82" s="347"/>
      <c r="AZ82" s="347"/>
      <c r="BA82" s="347"/>
      <c r="BB82" s="347"/>
      <c r="BC82" s="347"/>
      <c r="BD82" s="347"/>
      <c r="BE82" s="347"/>
      <c r="BF82" s="347"/>
      <c r="BG82" s="347"/>
      <c r="BH82" s="347"/>
      <c r="BI82" s="347"/>
      <c r="BJ82" s="347"/>
      <c r="BK82" s="347"/>
      <c r="BL82" s="347"/>
      <c r="BM82" s="347"/>
      <c r="BN82" s="347"/>
      <c r="BO82" s="347"/>
      <c r="BP82" s="347"/>
      <c r="BQ82" s="347"/>
      <c r="BR82" s="347"/>
      <c r="BS82" s="347"/>
      <c r="BT82" s="347"/>
      <c r="BU82" s="347"/>
      <c r="BV82" s="347"/>
      <c r="BW82" s="347"/>
      <c r="BX82" s="347"/>
      <c r="BY82" s="347"/>
      <c r="BZ82" s="347"/>
      <c r="CA82" s="347"/>
      <c r="CB82" s="347"/>
      <c r="CC82" s="347"/>
      <c r="CD82" s="347"/>
      <c r="CE82" s="347"/>
      <c r="CF82" s="347"/>
      <c r="CG82" s="347"/>
      <c r="CH82" s="347"/>
      <c r="CI82" s="347"/>
      <c r="CJ82" s="347"/>
      <c r="CK82" s="347"/>
      <c r="CL82" s="347"/>
      <c r="CM82" s="347"/>
      <c r="CN82" s="347"/>
      <c r="CO82" s="346"/>
      <c r="CP82" s="346"/>
      <c r="CQ82" s="346"/>
      <c r="CR82" s="346"/>
      <c r="CS82" s="346"/>
      <c r="CT82" s="346"/>
      <c r="CU82" s="346"/>
      <c r="CV82" s="346"/>
      <c r="CW82" s="346"/>
    </row>
    <row r="83" spans="1:101" x14ac:dyDescent="0.2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7"/>
      <c r="AE83" s="347"/>
      <c r="AF83" s="347"/>
      <c r="AG83" s="347"/>
      <c r="AH83" s="347"/>
      <c r="AI83" s="347"/>
      <c r="AJ83" s="347"/>
      <c r="AK83" s="347"/>
      <c r="AL83" s="347"/>
      <c r="AM83" s="347"/>
      <c r="AN83" s="347"/>
      <c r="AO83" s="347"/>
      <c r="AP83" s="347"/>
      <c r="AQ83" s="347"/>
      <c r="AR83" s="347"/>
      <c r="AS83" s="347"/>
      <c r="AT83" s="347"/>
      <c r="AU83" s="347"/>
      <c r="AV83" s="347"/>
      <c r="AW83" s="347"/>
      <c r="AX83" s="347"/>
      <c r="AY83" s="347"/>
      <c r="AZ83" s="347"/>
      <c r="BA83" s="347"/>
      <c r="BB83" s="347"/>
      <c r="BC83" s="347"/>
      <c r="BD83" s="347"/>
      <c r="BE83" s="347"/>
      <c r="BF83" s="347"/>
      <c r="BG83" s="347"/>
      <c r="BH83" s="347"/>
      <c r="BI83" s="347"/>
      <c r="BJ83" s="347"/>
      <c r="BK83" s="347"/>
      <c r="BL83" s="347"/>
      <c r="BM83" s="347"/>
      <c r="BN83" s="347"/>
      <c r="BO83" s="347"/>
      <c r="BP83" s="347"/>
      <c r="BQ83" s="347"/>
      <c r="BR83" s="347"/>
      <c r="BS83" s="347"/>
      <c r="BT83" s="347"/>
      <c r="BU83" s="347"/>
      <c r="BV83" s="347"/>
      <c r="BW83" s="347"/>
      <c r="BX83" s="347"/>
      <c r="BY83" s="347"/>
      <c r="BZ83" s="347"/>
      <c r="CA83" s="347"/>
      <c r="CB83" s="347"/>
      <c r="CC83" s="347"/>
      <c r="CD83" s="347"/>
      <c r="CE83" s="347"/>
      <c r="CF83" s="347"/>
      <c r="CG83" s="347"/>
      <c r="CH83" s="347"/>
      <c r="CI83" s="347"/>
      <c r="CJ83" s="347"/>
      <c r="CK83" s="347"/>
      <c r="CL83" s="347"/>
      <c r="CM83" s="347"/>
      <c r="CN83" s="347"/>
      <c r="CO83" s="346"/>
      <c r="CP83" s="346"/>
      <c r="CQ83" s="346"/>
      <c r="CR83" s="346"/>
      <c r="CS83" s="346"/>
      <c r="CT83" s="346"/>
      <c r="CU83" s="346"/>
      <c r="CV83" s="346"/>
      <c r="CW83" s="346"/>
    </row>
    <row r="84" spans="1:101" x14ac:dyDescent="0.2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c r="BA84" s="347"/>
      <c r="BB84" s="347"/>
      <c r="BC84" s="347"/>
      <c r="BD84" s="347"/>
      <c r="BE84" s="347"/>
      <c r="BF84" s="347"/>
      <c r="BG84" s="347"/>
      <c r="BH84" s="347"/>
      <c r="BI84" s="347"/>
      <c r="BJ84" s="347"/>
      <c r="BK84" s="347"/>
      <c r="BL84" s="347"/>
      <c r="BM84" s="347"/>
      <c r="BN84" s="347"/>
      <c r="BO84" s="347"/>
      <c r="BP84" s="347"/>
      <c r="BQ84" s="347"/>
      <c r="BR84" s="347"/>
      <c r="BS84" s="347"/>
      <c r="BT84" s="347"/>
      <c r="BU84" s="347"/>
      <c r="BV84" s="347"/>
      <c r="BW84" s="347"/>
      <c r="BX84" s="347"/>
      <c r="BY84" s="347"/>
      <c r="BZ84" s="347"/>
      <c r="CA84" s="347"/>
      <c r="CB84" s="347"/>
      <c r="CC84" s="347"/>
      <c r="CD84" s="347"/>
      <c r="CE84" s="347"/>
      <c r="CF84" s="347"/>
      <c r="CG84" s="347"/>
      <c r="CH84" s="347"/>
      <c r="CI84" s="347"/>
      <c r="CJ84" s="347"/>
      <c r="CK84" s="347"/>
      <c r="CL84" s="347"/>
      <c r="CM84" s="347"/>
      <c r="CN84" s="347"/>
      <c r="CO84" s="346"/>
      <c r="CP84" s="346"/>
      <c r="CQ84" s="346"/>
      <c r="CR84" s="346"/>
      <c r="CS84" s="346"/>
      <c r="CT84" s="346"/>
      <c r="CU84" s="346"/>
      <c r="CV84" s="346"/>
      <c r="CW84" s="346"/>
    </row>
    <row r="85" spans="1:101" x14ac:dyDescent="0.2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7"/>
      <c r="AE85" s="347"/>
      <c r="AF85" s="347"/>
      <c r="AG85" s="347"/>
      <c r="AH85" s="347"/>
      <c r="AI85" s="347"/>
      <c r="AJ85" s="347"/>
      <c r="AK85" s="347"/>
      <c r="AL85" s="347"/>
      <c r="AM85" s="347"/>
      <c r="AN85" s="347"/>
      <c r="AO85" s="347"/>
      <c r="AP85" s="347"/>
      <c r="AQ85" s="347"/>
      <c r="AR85" s="347"/>
      <c r="AS85" s="347"/>
      <c r="AT85" s="347"/>
      <c r="AU85" s="347"/>
      <c r="AV85" s="347"/>
      <c r="AW85" s="347"/>
      <c r="AX85" s="347"/>
      <c r="AY85" s="347"/>
      <c r="AZ85" s="347"/>
      <c r="BA85" s="347"/>
      <c r="BB85" s="347"/>
      <c r="BC85" s="347"/>
      <c r="BD85" s="347"/>
      <c r="BE85" s="347"/>
      <c r="BF85" s="347"/>
      <c r="BG85" s="347"/>
      <c r="BH85" s="347"/>
      <c r="BI85" s="347"/>
      <c r="BJ85" s="347"/>
      <c r="BK85" s="347"/>
      <c r="BL85" s="347"/>
      <c r="BM85" s="347"/>
      <c r="BN85" s="347"/>
      <c r="BO85" s="347"/>
      <c r="BP85" s="347"/>
      <c r="BQ85" s="347"/>
      <c r="BR85" s="347"/>
      <c r="BS85" s="347"/>
      <c r="BT85" s="347"/>
      <c r="BU85" s="347"/>
      <c r="BV85" s="347"/>
      <c r="BW85" s="347"/>
      <c r="BX85" s="347"/>
      <c r="BY85" s="347"/>
      <c r="BZ85" s="347"/>
      <c r="CA85" s="347"/>
      <c r="CB85" s="347"/>
      <c r="CC85" s="347"/>
      <c r="CD85" s="347"/>
      <c r="CE85" s="347"/>
      <c r="CF85" s="347"/>
      <c r="CG85" s="347"/>
      <c r="CH85" s="347"/>
      <c r="CI85" s="347"/>
      <c r="CJ85" s="347"/>
      <c r="CK85" s="347"/>
      <c r="CL85" s="347"/>
      <c r="CM85" s="347"/>
      <c r="CN85" s="347"/>
      <c r="CO85" s="346"/>
      <c r="CP85" s="346"/>
      <c r="CQ85" s="346"/>
      <c r="CR85" s="346"/>
      <c r="CS85" s="346"/>
      <c r="CT85" s="346"/>
      <c r="CU85" s="346"/>
      <c r="CV85" s="346"/>
      <c r="CW85" s="346"/>
    </row>
    <row r="86" spans="1:101" x14ac:dyDescent="0.2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7"/>
      <c r="AE86" s="347"/>
      <c r="AF86" s="347"/>
      <c r="AG86" s="347"/>
      <c r="AH86" s="347"/>
      <c r="AI86" s="347"/>
      <c r="AJ86" s="347"/>
      <c r="AK86" s="347"/>
      <c r="AL86" s="347"/>
      <c r="AM86" s="347"/>
      <c r="AN86" s="347"/>
      <c r="AO86" s="347"/>
      <c r="AP86" s="347"/>
      <c r="AQ86" s="347"/>
      <c r="AR86" s="347"/>
      <c r="AS86" s="347"/>
      <c r="AT86" s="347"/>
      <c r="AU86" s="347"/>
      <c r="AV86" s="347"/>
      <c r="AW86" s="347"/>
      <c r="AX86" s="347"/>
      <c r="AY86" s="347"/>
      <c r="AZ86" s="347"/>
      <c r="BA86" s="347"/>
      <c r="BB86" s="347"/>
      <c r="BC86" s="347"/>
      <c r="BD86" s="347"/>
      <c r="BE86" s="347"/>
      <c r="BF86" s="347"/>
      <c r="BG86" s="347"/>
      <c r="BH86" s="347"/>
      <c r="BI86" s="347"/>
      <c r="BJ86" s="347"/>
      <c r="BK86" s="347"/>
      <c r="BL86" s="347"/>
      <c r="BM86" s="347"/>
      <c r="BN86" s="347"/>
      <c r="BO86" s="347"/>
      <c r="BP86" s="347"/>
      <c r="BQ86" s="347"/>
      <c r="BR86" s="347"/>
      <c r="BS86" s="347"/>
      <c r="BT86" s="347"/>
      <c r="BU86" s="347"/>
      <c r="BV86" s="347"/>
      <c r="BW86" s="347"/>
      <c r="BX86" s="347"/>
      <c r="BY86" s="347"/>
      <c r="BZ86" s="347"/>
      <c r="CA86" s="347"/>
      <c r="CB86" s="347"/>
      <c r="CC86" s="347"/>
      <c r="CD86" s="347"/>
      <c r="CE86" s="347"/>
      <c r="CF86" s="347"/>
      <c r="CG86" s="347"/>
      <c r="CH86" s="347"/>
      <c r="CI86" s="347"/>
      <c r="CJ86" s="347"/>
      <c r="CK86" s="347"/>
      <c r="CL86" s="347"/>
      <c r="CM86" s="347"/>
      <c r="CN86" s="347"/>
      <c r="CO86" s="346"/>
      <c r="CP86" s="346"/>
      <c r="CQ86" s="346"/>
      <c r="CR86" s="346"/>
      <c r="CS86" s="346"/>
      <c r="CT86" s="346"/>
      <c r="CU86" s="346"/>
      <c r="CV86" s="346"/>
      <c r="CW86" s="346"/>
    </row>
    <row r="87" spans="1:101" x14ac:dyDescent="0.2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7"/>
      <c r="AE87" s="347"/>
      <c r="AF87" s="347"/>
      <c r="AG87" s="347"/>
      <c r="AH87" s="347"/>
      <c r="AI87" s="347"/>
      <c r="AJ87" s="347"/>
      <c r="AK87" s="347"/>
      <c r="AL87" s="347"/>
      <c r="AM87" s="347"/>
      <c r="AN87" s="347"/>
      <c r="AO87" s="347"/>
      <c r="AP87" s="347"/>
      <c r="AQ87" s="347"/>
      <c r="AR87" s="347"/>
      <c r="AS87" s="347"/>
      <c r="AT87" s="347"/>
      <c r="AU87" s="347"/>
      <c r="AV87" s="347"/>
      <c r="AW87" s="347"/>
      <c r="AX87" s="347"/>
      <c r="AY87" s="347"/>
      <c r="AZ87" s="347"/>
      <c r="BA87" s="347"/>
      <c r="BB87" s="347"/>
      <c r="BC87" s="347"/>
      <c r="BD87" s="347"/>
      <c r="BE87" s="347"/>
      <c r="BF87" s="347"/>
      <c r="BG87" s="347"/>
      <c r="BH87" s="347"/>
      <c r="BI87" s="347"/>
      <c r="BJ87" s="347"/>
      <c r="BK87" s="347"/>
      <c r="BL87" s="347"/>
      <c r="BM87" s="347"/>
      <c r="BN87" s="347"/>
      <c r="BO87" s="347"/>
      <c r="BP87" s="347"/>
      <c r="BQ87" s="347"/>
      <c r="BR87" s="347"/>
      <c r="BS87" s="347"/>
      <c r="BT87" s="347"/>
      <c r="BU87" s="347"/>
      <c r="BV87" s="347"/>
      <c r="BW87" s="347"/>
      <c r="BX87" s="347"/>
      <c r="BY87" s="347"/>
      <c r="BZ87" s="347"/>
      <c r="CA87" s="347"/>
      <c r="CB87" s="347"/>
      <c r="CC87" s="347"/>
      <c r="CD87" s="347"/>
      <c r="CE87" s="347"/>
      <c r="CF87" s="347"/>
      <c r="CG87" s="347"/>
      <c r="CH87" s="346"/>
      <c r="CI87" s="347"/>
      <c r="CJ87" s="347"/>
      <c r="CK87" s="347"/>
      <c r="CL87" s="347"/>
      <c r="CM87" s="347"/>
      <c r="CN87" s="347"/>
      <c r="CO87" s="346"/>
      <c r="CP87" s="346"/>
      <c r="CQ87" s="346"/>
      <c r="CR87" s="346"/>
      <c r="CS87" s="346"/>
      <c r="CT87" s="346"/>
      <c r="CU87" s="346"/>
      <c r="CV87" s="346"/>
      <c r="CW87" s="346"/>
    </row>
    <row r="88" spans="1:101" x14ac:dyDescent="0.2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7"/>
      <c r="AE88" s="347"/>
      <c r="AF88" s="347"/>
      <c r="AG88" s="347"/>
      <c r="AH88" s="347"/>
      <c r="AI88" s="347"/>
      <c r="AJ88" s="347"/>
      <c r="AK88" s="347"/>
      <c r="AL88" s="347"/>
      <c r="AM88" s="347"/>
      <c r="AN88" s="347"/>
      <c r="AO88" s="347"/>
      <c r="AP88" s="347"/>
      <c r="AQ88" s="347"/>
      <c r="AR88" s="347"/>
      <c r="AS88" s="347"/>
      <c r="AT88" s="347"/>
      <c r="AU88" s="347"/>
      <c r="AV88" s="347"/>
      <c r="AW88" s="347"/>
      <c r="AX88" s="347"/>
      <c r="AY88" s="347"/>
      <c r="AZ88" s="347"/>
      <c r="BA88" s="347"/>
      <c r="BB88" s="347"/>
      <c r="BC88" s="347"/>
      <c r="BD88" s="347"/>
      <c r="BE88" s="347"/>
      <c r="BF88" s="347"/>
      <c r="BG88" s="347"/>
      <c r="BH88" s="347"/>
      <c r="BI88" s="347"/>
      <c r="BJ88" s="347"/>
      <c r="BK88" s="347"/>
      <c r="BL88" s="347"/>
      <c r="BM88" s="347"/>
      <c r="BN88" s="347"/>
      <c r="BO88" s="347"/>
      <c r="BP88" s="347"/>
      <c r="BQ88" s="347"/>
      <c r="BR88" s="347"/>
      <c r="BS88" s="347"/>
      <c r="BT88" s="347"/>
      <c r="BU88" s="347"/>
      <c r="BV88" s="347"/>
      <c r="BW88" s="347"/>
      <c r="BX88" s="347"/>
      <c r="BY88" s="347"/>
      <c r="BZ88" s="347"/>
      <c r="CA88" s="347"/>
      <c r="CB88" s="347"/>
      <c r="CC88" s="347"/>
      <c r="CD88" s="347"/>
      <c r="CE88" s="347"/>
      <c r="CF88" s="347"/>
      <c r="CG88" s="347"/>
      <c r="CH88" s="346"/>
      <c r="CI88" s="347"/>
      <c r="CJ88" s="347"/>
      <c r="CK88" s="347"/>
      <c r="CL88" s="347"/>
      <c r="CM88" s="347"/>
      <c r="CN88" s="347"/>
      <c r="CO88" s="346"/>
      <c r="CP88" s="346"/>
      <c r="CQ88" s="346"/>
      <c r="CR88" s="346"/>
      <c r="CS88" s="346"/>
      <c r="CT88" s="346"/>
      <c r="CU88" s="346"/>
      <c r="CV88" s="346"/>
      <c r="CW88" s="346"/>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A35CF7-809C-4324-9CF5-CE73C8EF004D}">
  <sheetPr codeName="Sheet9"/>
  <dimension ref="A1:CW96"/>
  <sheetViews>
    <sheetView topLeftCell="Z1" zoomScale="80" zoomScaleNormal="80" workbookViewId="0">
      <selection activeCell="AX1" sqref="AX1"/>
    </sheetView>
  </sheetViews>
  <sheetFormatPr defaultRowHeight="15" x14ac:dyDescent="0.25"/>
  <cols>
    <col min="1" max="1" width="17.85546875" bestFit="1" customWidth="1"/>
    <col min="2" max="2" width="12.140625" bestFit="1" customWidth="1"/>
  </cols>
  <sheetData>
    <row r="1" spans="1:101" x14ac:dyDescent="0.25">
      <c r="A1" s="346" t="s">
        <v>0</v>
      </c>
      <c r="B1" s="346" t="s">
        <v>1</v>
      </c>
      <c r="C1" s="346" t="s">
        <v>2</v>
      </c>
      <c r="D1" s="346" t="s">
        <v>3</v>
      </c>
      <c r="E1" s="346" t="s">
        <v>4</v>
      </c>
      <c r="F1" s="346" t="s">
        <v>5</v>
      </c>
      <c r="G1" s="348" t="s">
        <v>6</v>
      </c>
      <c r="H1" s="348" t="s">
        <v>7</v>
      </c>
      <c r="I1" s="348" t="s">
        <v>8</v>
      </c>
      <c r="J1" s="348" t="s">
        <v>9</v>
      </c>
      <c r="K1" s="348" t="s">
        <v>10</v>
      </c>
      <c r="L1" s="348" t="s">
        <v>11</v>
      </c>
      <c r="M1" s="348" t="s">
        <v>12</v>
      </c>
      <c r="N1" s="348" t="s">
        <v>13</v>
      </c>
      <c r="O1" s="348" t="s">
        <v>14</v>
      </c>
      <c r="P1" s="348" t="s">
        <v>15</v>
      </c>
      <c r="Q1" s="348" t="s">
        <v>16</v>
      </c>
      <c r="R1" s="348" t="s">
        <v>17</v>
      </c>
      <c r="S1" s="348" t="s">
        <v>18</v>
      </c>
      <c r="T1" s="348" t="s">
        <v>19</v>
      </c>
      <c r="U1" s="348" t="s">
        <v>20</v>
      </c>
      <c r="V1" s="348" t="s">
        <v>21</v>
      </c>
      <c r="W1" s="348" t="s">
        <v>22</v>
      </c>
      <c r="X1" s="348" t="s">
        <v>23</v>
      </c>
      <c r="Y1" s="348" t="s">
        <v>24</v>
      </c>
      <c r="Z1" s="348" t="s">
        <v>25</v>
      </c>
      <c r="AA1" s="348" t="s">
        <v>26</v>
      </c>
      <c r="AB1" s="346" t="s">
        <v>27</v>
      </c>
      <c r="AC1" s="346" t="s">
        <v>28</v>
      </c>
      <c r="AD1" s="346" t="s">
        <v>29</v>
      </c>
      <c r="AE1" s="346" t="s">
        <v>30</v>
      </c>
      <c r="AF1" s="346" t="s">
        <v>31</v>
      </c>
      <c r="AG1" s="346" t="s">
        <v>32</v>
      </c>
      <c r="AH1" s="346" t="s">
        <v>33</v>
      </c>
      <c r="AI1" s="346" t="s">
        <v>34</v>
      </c>
      <c r="AJ1" s="346" t="s">
        <v>35</v>
      </c>
      <c r="AK1" s="346" t="s">
        <v>36</v>
      </c>
      <c r="AL1" s="346" t="s">
        <v>37</v>
      </c>
      <c r="AM1" s="346" t="s">
        <v>38</v>
      </c>
      <c r="AN1" s="346" t="s">
        <v>39</v>
      </c>
      <c r="AO1" s="346" t="s">
        <v>40</v>
      </c>
      <c r="AP1" s="348" t="s">
        <v>41</v>
      </c>
      <c r="AQ1" s="348" t="s">
        <v>42</v>
      </c>
      <c r="AR1" s="348" t="s">
        <v>43</v>
      </c>
      <c r="AS1" s="348" t="s">
        <v>44</v>
      </c>
      <c r="AT1" s="348" t="s">
        <v>45</v>
      </c>
      <c r="AU1" s="346" t="s">
        <v>46</v>
      </c>
      <c r="AV1" s="346" t="s">
        <v>47</v>
      </c>
      <c r="AW1" s="346" t="s">
        <v>48</v>
      </c>
      <c r="AX1" s="346" t="s">
        <v>49</v>
      </c>
      <c r="AY1" s="346" t="s">
        <v>50</v>
      </c>
      <c r="AZ1" s="346" t="s">
        <v>51</v>
      </c>
      <c r="BA1" s="346" t="s">
        <v>52</v>
      </c>
      <c r="BB1" s="346" t="s">
        <v>53</v>
      </c>
      <c r="BC1" s="346" t="s">
        <v>54</v>
      </c>
      <c r="BD1" s="346" t="s">
        <v>55</v>
      </c>
      <c r="BE1" s="346" t="s">
        <v>56</v>
      </c>
      <c r="BF1" s="346" t="s">
        <v>57</v>
      </c>
      <c r="BG1" s="346" t="s">
        <v>58</v>
      </c>
      <c r="BH1" s="346" t="s">
        <v>59</v>
      </c>
      <c r="BI1" s="346" t="s">
        <v>60</v>
      </c>
      <c r="BJ1" s="346" t="s">
        <v>61</v>
      </c>
      <c r="BK1" s="346" t="s">
        <v>62</v>
      </c>
      <c r="BL1" s="346" t="s">
        <v>63</v>
      </c>
      <c r="BM1" s="346" t="s">
        <v>64</v>
      </c>
      <c r="BN1" s="346" t="s">
        <v>65</v>
      </c>
      <c r="BO1" s="346" t="s">
        <v>66</v>
      </c>
      <c r="BP1" s="346" t="s">
        <v>67</v>
      </c>
      <c r="BQ1" s="346" t="s">
        <v>68</v>
      </c>
      <c r="BR1" s="346" t="s">
        <v>69</v>
      </c>
      <c r="BS1" s="346" t="s">
        <v>70</v>
      </c>
      <c r="BT1" s="346" t="s">
        <v>71</v>
      </c>
      <c r="BU1" s="346" t="s">
        <v>72</v>
      </c>
      <c r="BV1" s="346" t="s">
        <v>73</v>
      </c>
      <c r="BW1" s="346" t="s">
        <v>74</v>
      </c>
      <c r="BX1" s="346" t="s">
        <v>75</v>
      </c>
      <c r="BY1" s="346" t="s">
        <v>76</v>
      </c>
      <c r="BZ1" s="346" t="s">
        <v>77</v>
      </c>
      <c r="CA1" s="346" t="s">
        <v>78</v>
      </c>
      <c r="CB1" s="346" t="s">
        <v>79</v>
      </c>
      <c r="CC1" s="346" t="s">
        <v>80</v>
      </c>
      <c r="CD1" s="346" t="s">
        <v>81</v>
      </c>
      <c r="CE1" s="346" t="s">
        <v>82</v>
      </c>
      <c r="CF1" s="346" t="s">
        <v>83</v>
      </c>
      <c r="CG1" s="346" t="s">
        <v>84</v>
      </c>
      <c r="CH1" s="346" t="s">
        <v>85</v>
      </c>
      <c r="CI1" s="346" t="s">
        <v>86</v>
      </c>
      <c r="CJ1" s="346" t="s">
        <v>87</v>
      </c>
      <c r="CK1" s="346" t="s">
        <v>88</v>
      </c>
      <c r="CL1" s="346" t="s">
        <v>89</v>
      </c>
      <c r="CM1" s="346" t="s">
        <v>90</v>
      </c>
      <c r="CN1" s="346" t="s">
        <v>91</v>
      </c>
      <c r="CO1" s="346" t="s">
        <v>92</v>
      </c>
      <c r="CP1" s="346" t="s">
        <v>93</v>
      </c>
      <c r="CQ1" s="346" t="s">
        <v>94</v>
      </c>
      <c r="CR1" s="346" t="s">
        <v>95</v>
      </c>
      <c r="CS1" s="346" t="s">
        <v>96</v>
      </c>
      <c r="CT1" s="346" t="s">
        <v>97</v>
      </c>
      <c r="CU1" s="346" t="s">
        <v>98</v>
      </c>
      <c r="CV1" s="346" t="s">
        <v>99</v>
      </c>
      <c r="CW1" s="346" t="s">
        <v>100</v>
      </c>
    </row>
    <row r="2" spans="1:101" x14ac:dyDescent="0.25">
      <c r="A2" s="346" t="str">
        <f>VLOOKUP(B2,'Loan Book Summary'!C:G,5,FALSE)</f>
        <v>0015800001fH29a</v>
      </c>
      <c r="B2" s="346">
        <v>1100000151</v>
      </c>
      <c r="C2" s="346" t="s">
        <v>1889</v>
      </c>
      <c r="D2" s="346" t="s">
        <v>1889</v>
      </c>
      <c r="E2" s="346">
        <v>2022</v>
      </c>
      <c r="F2" s="346">
        <v>6</v>
      </c>
      <c r="G2" s="346">
        <v>4766.7020549999997</v>
      </c>
      <c r="H2" s="346">
        <v>1400.9438029999999</v>
      </c>
      <c r="I2" s="346">
        <v>1400.9438029999999</v>
      </c>
      <c r="J2" s="346">
        <v>47208.863960000002</v>
      </c>
      <c r="K2" s="346">
        <v>45525.378940000002</v>
      </c>
      <c r="L2" s="346">
        <v>-1358.7294300000001</v>
      </c>
      <c r="M2" s="346" t="s">
        <v>1889</v>
      </c>
      <c r="N2" s="346">
        <v>13465.528389999999</v>
      </c>
      <c r="O2" s="346">
        <v>13465.528389999999</v>
      </c>
      <c r="P2" s="346">
        <v>29866.446349999998</v>
      </c>
      <c r="Q2" s="346">
        <v>34199.839890000003</v>
      </c>
      <c r="R2" s="346">
        <v>31359.767390000001</v>
      </c>
      <c r="S2" s="346">
        <v>1584.8360399999999</v>
      </c>
      <c r="T2" s="346">
        <v>2029.002156</v>
      </c>
      <c r="U2" s="346">
        <v>5572.4449070000001</v>
      </c>
      <c r="V2" s="346">
        <v>2834.7541999999999</v>
      </c>
      <c r="W2" s="346">
        <v>1662.548722</v>
      </c>
      <c r="X2" s="346" t="s">
        <v>101</v>
      </c>
      <c r="Y2" s="346">
        <v>87300</v>
      </c>
      <c r="Z2" s="346">
        <v>5</v>
      </c>
      <c r="AA2" s="346" t="s">
        <v>996</v>
      </c>
      <c r="AB2" s="346" t="s">
        <v>134</v>
      </c>
      <c r="AC2" s="346" t="s">
        <v>226</v>
      </c>
      <c r="AD2" s="347">
        <v>0.1124</v>
      </c>
      <c r="AE2" s="347">
        <v>3.2899999999999999E-2</v>
      </c>
      <c r="AF2" s="346">
        <v>0.26</v>
      </c>
      <c r="AG2" s="346">
        <v>0.49</v>
      </c>
      <c r="AH2" s="346">
        <v>0.7</v>
      </c>
      <c r="AI2" s="346">
        <v>0.9</v>
      </c>
      <c r="AJ2" s="346">
        <v>1.1000000000000001</v>
      </c>
      <c r="AK2" s="347">
        <v>2.5999999999999999E-3</v>
      </c>
      <c r="AL2" s="347">
        <v>2.3E-3</v>
      </c>
      <c r="AM2" s="347">
        <v>2.0999999999999999E-3</v>
      </c>
      <c r="AN2" s="347">
        <v>2.0999999999999999E-3</v>
      </c>
      <c r="AO2" s="347">
        <v>2E-3</v>
      </c>
      <c r="AP2" s="347">
        <v>2.5999999999999999E-3</v>
      </c>
      <c r="AQ2" s="347">
        <v>2.3999999999999998E-3</v>
      </c>
      <c r="AR2" s="347">
        <v>2.3E-3</v>
      </c>
      <c r="AS2" s="347">
        <v>2.3E-3</v>
      </c>
      <c r="AT2" s="347">
        <v>2.2000000000000001E-3</v>
      </c>
      <c r="AU2" s="347">
        <v>1.0999999999999999E-2</v>
      </c>
      <c r="AV2" s="346">
        <v>-25.3</v>
      </c>
      <c r="AW2" s="346">
        <v>-4.3099999999999996</v>
      </c>
      <c r="AX2" s="346">
        <v>6.79</v>
      </c>
      <c r="AY2" s="346">
        <v>-5.25</v>
      </c>
      <c r="AZ2" s="346">
        <v>-9.07</v>
      </c>
      <c r="BA2" s="346">
        <v>1.95</v>
      </c>
      <c r="BB2" s="346">
        <v>-14.71</v>
      </c>
      <c r="BC2" s="346">
        <v>-12.61</v>
      </c>
      <c r="BD2" s="346">
        <v>-20.02</v>
      </c>
      <c r="BE2" s="346">
        <v>-26.33</v>
      </c>
      <c r="BF2" s="346">
        <v>-2.67</v>
      </c>
      <c r="BG2" s="346">
        <v>3.88</v>
      </c>
      <c r="BH2" s="346">
        <v>-10.98</v>
      </c>
      <c r="BI2" s="346">
        <v>-6.54</v>
      </c>
      <c r="BJ2" s="346">
        <v>1.69</v>
      </c>
      <c r="BK2" s="346">
        <v>-12.4</v>
      </c>
      <c r="BL2" s="346">
        <v>-8.68</v>
      </c>
      <c r="BM2" s="346">
        <v>-26.82</v>
      </c>
      <c r="BN2" s="346">
        <v>235.14</v>
      </c>
      <c r="BO2" s="346">
        <v>-12.16</v>
      </c>
      <c r="BP2" s="346">
        <v>-325.51</v>
      </c>
      <c r="BQ2" s="346">
        <v>15.69</v>
      </c>
      <c r="BR2" s="346">
        <v>17.59</v>
      </c>
      <c r="BS2" s="346">
        <v>126.54</v>
      </c>
      <c r="BT2" s="346">
        <v>-106.23</v>
      </c>
      <c r="BU2" s="346">
        <v>-49.54</v>
      </c>
      <c r="BV2" s="346">
        <v>-11.6</v>
      </c>
      <c r="BW2" s="346">
        <v>294.19</v>
      </c>
      <c r="BX2" s="346">
        <v>-9.3699999999999992</v>
      </c>
      <c r="BY2" s="346">
        <v>-225.76</v>
      </c>
      <c r="BZ2" s="346">
        <v>40.409999999999997</v>
      </c>
      <c r="CA2" s="346">
        <v>15.72</v>
      </c>
      <c r="CB2" s="346">
        <v>140.37</v>
      </c>
      <c r="CC2" s="346">
        <v>-113.32</v>
      </c>
      <c r="CD2" s="346">
        <v>-41.77</v>
      </c>
      <c r="CE2" s="346">
        <v>-19.09</v>
      </c>
      <c r="CF2" s="346">
        <v>2</v>
      </c>
      <c r="CG2" s="346">
        <v>43.52</v>
      </c>
      <c r="CH2" s="346">
        <v>40.26</v>
      </c>
      <c r="CI2" s="346">
        <v>60.98</v>
      </c>
      <c r="CJ2" s="346">
        <v>67.61</v>
      </c>
      <c r="CK2" s="346">
        <v>62.46</v>
      </c>
      <c r="CL2" s="346">
        <v>72.23</v>
      </c>
      <c r="CM2" s="346">
        <v>78.239999999999995</v>
      </c>
      <c r="CN2" s="346">
        <v>96.45</v>
      </c>
      <c r="CO2" s="346">
        <v>-3.97</v>
      </c>
      <c r="CP2" s="346">
        <v>-0.37</v>
      </c>
      <c r="CQ2" s="346">
        <v>352.75</v>
      </c>
      <c r="CR2" s="346">
        <v>9.06</v>
      </c>
      <c r="CS2" s="346">
        <v>1.85</v>
      </c>
      <c r="CT2" s="346">
        <v>71.42</v>
      </c>
      <c r="CU2" s="346">
        <v>35.4</v>
      </c>
      <c r="CV2" s="346">
        <v>8.2899999999999991</v>
      </c>
      <c r="CW2" s="346">
        <v>3102626578.0300002</v>
      </c>
    </row>
    <row r="3" spans="1:101" x14ac:dyDescent="0.25">
      <c r="A3" s="346" t="str">
        <f>VLOOKUP(B3,'Loan Book Summary'!C:G,5,FALSE)</f>
        <v>0014I000027xjkG</v>
      </c>
      <c r="B3" s="346">
        <v>1100000241</v>
      </c>
      <c r="C3" s="346" t="s">
        <v>1889</v>
      </c>
      <c r="D3" s="346" t="s">
        <v>1889</v>
      </c>
      <c r="E3" s="346">
        <v>2022</v>
      </c>
      <c r="F3" s="346">
        <v>6</v>
      </c>
      <c r="G3" s="346">
        <v>3804.7280679999999</v>
      </c>
      <c r="H3" s="346">
        <v>62.4251</v>
      </c>
      <c r="I3" s="346">
        <v>62.4251</v>
      </c>
      <c r="J3" s="346">
        <v>33600.04825</v>
      </c>
      <c r="K3" s="346">
        <v>31965.647860000001</v>
      </c>
      <c r="L3" s="346">
        <v>262.76191999999998</v>
      </c>
      <c r="M3" s="346" t="s">
        <v>1889</v>
      </c>
      <c r="N3" s="346">
        <v>3783.8144010000001</v>
      </c>
      <c r="O3" s="346">
        <v>3783.8144010000001</v>
      </c>
      <c r="P3" s="346">
        <v>14978.90085</v>
      </c>
      <c r="Q3" s="346">
        <v>12567.12386</v>
      </c>
      <c r="R3" s="346">
        <v>11519.49099</v>
      </c>
      <c r="S3" s="346" t="s">
        <v>1889</v>
      </c>
      <c r="T3" s="346">
        <v>1347.5984390000001</v>
      </c>
      <c r="U3" s="346">
        <v>3426.454827</v>
      </c>
      <c r="V3" s="346">
        <v>1663.0851110000001</v>
      </c>
      <c r="W3" s="346">
        <v>1191.708494</v>
      </c>
      <c r="X3" s="346" t="s">
        <v>101</v>
      </c>
      <c r="Y3" s="346">
        <v>87300</v>
      </c>
      <c r="Z3" s="346">
        <v>5</v>
      </c>
      <c r="AA3" s="346" t="s">
        <v>996</v>
      </c>
      <c r="AB3" s="346" t="s">
        <v>226</v>
      </c>
      <c r="AC3" s="346" t="s">
        <v>172</v>
      </c>
      <c r="AD3" s="347">
        <v>7.4800000000000005E-2</v>
      </c>
      <c r="AE3" s="347">
        <v>2.0400000000000001E-2</v>
      </c>
      <c r="AF3" s="346">
        <v>0.22</v>
      </c>
      <c r="AG3" s="346">
        <v>0.41</v>
      </c>
      <c r="AH3" s="346">
        <v>0.6</v>
      </c>
      <c r="AI3" s="346">
        <v>0.79</v>
      </c>
      <c r="AJ3" s="346">
        <v>0.97</v>
      </c>
      <c r="AK3" s="347">
        <v>2.2000000000000001E-3</v>
      </c>
      <c r="AL3" s="347">
        <v>2E-3</v>
      </c>
      <c r="AM3" s="347">
        <v>1.9E-3</v>
      </c>
      <c r="AN3" s="347">
        <v>1.9E-3</v>
      </c>
      <c r="AO3" s="347">
        <v>1.8E-3</v>
      </c>
      <c r="AP3" s="347">
        <v>2.2000000000000001E-3</v>
      </c>
      <c r="AQ3" s="347">
        <v>2.0999999999999999E-3</v>
      </c>
      <c r="AR3" s="347">
        <v>2E-3</v>
      </c>
      <c r="AS3" s="347">
        <v>2E-3</v>
      </c>
      <c r="AT3" s="347">
        <v>1.9E-3</v>
      </c>
      <c r="AU3" s="347">
        <v>9.7000000000000003E-3</v>
      </c>
      <c r="AV3" s="346">
        <v>-11.13</v>
      </c>
      <c r="AW3" s="346">
        <v>-4.03</v>
      </c>
      <c r="AX3" s="346">
        <v>11.85</v>
      </c>
      <c r="AY3" s="346">
        <v>-4.24</v>
      </c>
      <c r="AZ3" s="346">
        <v>-7.72</v>
      </c>
      <c r="BA3" s="346">
        <v>-12.89</v>
      </c>
      <c r="BB3" s="346">
        <v>-21.78</v>
      </c>
      <c r="BC3" s="346">
        <v>-12.5</v>
      </c>
      <c r="BD3" s="346">
        <v>-13.86</v>
      </c>
      <c r="BE3" s="346">
        <v>-12.59</v>
      </c>
      <c r="BF3" s="346">
        <v>-2.72</v>
      </c>
      <c r="BG3" s="346">
        <v>7.37</v>
      </c>
      <c r="BH3" s="346">
        <v>-9.64</v>
      </c>
      <c r="BI3" s="346">
        <v>-6.06</v>
      </c>
      <c r="BJ3" s="346">
        <v>-12.12</v>
      </c>
      <c r="BK3" s="346">
        <v>-19.96</v>
      </c>
      <c r="BL3" s="346">
        <v>-9.36</v>
      </c>
      <c r="BM3" s="346">
        <v>-20.190000000000001</v>
      </c>
      <c r="BN3" s="346">
        <v>134.11000000000001</v>
      </c>
      <c r="BO3" s="346">
        <v>4.18</v>
      </c>
      <c r="BP3" s="346">
        <v>-510.6</v>
      </c>
      <c r="BQ3" s="346">
        <v>29.78</v>
      </c>
      <c r="BR3" s="346">
        <v>6.81</v>
      </c>
      <c r="BS3" s="346">
        <v>91.33</v>
      </c>
      <c r="BT3" s="346">
        <v>-42.06</v>
      </c>
      <c r="BU3" s="346">
        <v>-46.42</v>
      </c>
      <c r="BV3" s="346">
        <v>-34.72</v>
      </c>
      <c r="BW3" s="346">
        <v>181.77</v>
      </c>
      <c r="BX3" s="346">
        <v>3.17</v>
      </c>
      <c r="BY3" s="346">
        <v>-396.01</v>
      </c>
      <c r="BZ3" s="346">
        <v>74.42</v>
      </c>
      <c r="CA3" s="346">
        <v>6.01</v>
      </c>
      <c r="CB3" s="346">
        <v>100.6</v>
      </c>
      <c r="CC3" s="346">
        <v>-43.07</v>
      </c>
      <c r="CD3" s="346">
        <v>-38.94</v>
      </c>
      <c r="CE3" s="346">
        <v>-56</v>
      </c>
      <c r="CF3" s="346">
        <v>17.71</v>
      </c>
      <c r="CG3" s="346">
        <v>49.2</v>
      </c>
      <c r="CH3" s="346">
        <v>33.69</v>
      </c>
      <c r="CI3" s="346">
        <v>61.06</v>
      </c>
      <c r="CJ3" s="346">
        <v>62.66</v>
      </c>
      <c r="CK3" s="346">
        <v>35.03</v>
      </c>
      <c r="CL3" s="346">
        <v>90.07</v>
      </c>
      <c r="CM3" s="346">
        <v>87.3</v>
      </c>
      <c r="CN3" s="346">
        <v>94.26</v>
      </c>
      <c r="CO3" s="346">
        <v>2.09</v>
      </c>
      <c r="CP3" s="346">
        <v>-0.05</v>
      </c>
      <c r="CQ3" s="346">
        <v>254.26</v>
      </c>
      <c r="CR3" s="346">
        <v>9.09</v>
      </c>
      <c r="CS3" s="346">
        <v>1.1200000000000001</v>
      </c>
      <c r="CT3" s="346">
        <v>50.19</v>
      </c>
      <c r="CU3" s="346">
        <v>100.55</v>
      </c>
      <c r="CV3" s="346">
        <v>13.23</v>
      </c>
      <c r="CW3" s="346">
        <v>1911649401.96</v>
      </c>
    </row>
    <row r="4" spans="1:101" x14ac:dyDescent="0.25">
      <c r="A4" s="346" t="str">
        <f>VLOOKUP(B4,'Loan Book Summary'!C:G,5,FALSE)</f>
        <v>0014I000027xjiZ</v>
      </c>
      <c r="B4" s="346">
        <v>1100000242</v>
      </c>
      <c r="C4" s="346" t="s">
        <v>1889</v>
      </c>
      <c r="D4" s="346" t="s">
        <v>1889</v>
      </c>
      <c r="E4" s="346">
        <v>2022</v>
      </c>
      <c r="F4" s="346">
        <v>6</v>
      </c>
      <c r="G4" s="346">
        <v>3804.7280679999999</v>
      </c>
      <c r="H4" s="346">
        <v>62.4251</v>
      </c>
      <c r="I4" s="346">
        <v>62.4251</v>
      </c>
      <c r="J4" s="346">
        <v>33600.04825</v>
      </c>
      <c r="K4" s="346">
        <v>31965.647860000001</v>
      </c>
      <c r="L4" s="346">
        <v>262.76191999999998</v>
      </c>
      <c r="M4" s="346" t="s">
        <v>1889</v>
      </c>
      <c r="N4" s="346">
        <v>3783.8144010000001</v>
      </c>
      <c r="O4" s="346">
        <v>3783.8144010000001</v>
      </c>
      <c r="P4" s="346">
        <v>14978.90085</v>
      </c>
      <c r="Q4" s="346">
        <v>12567.12386</v>
      </c>
      <c r="R4" s="346">
        <v>11519.49099</v>
      </c>
      <c r="S4" s="346" t="s">
        <v>1889</v>
      </c>
      <c r="T4" s="346">
        <v>1347.5984390000001</v>
      </c>
      <c r="U4" s="346">
        <v>3426.454827</v>
      </c>
      <c r="V4" s="346">
        <v>1663.0851110000001</v>
      </c>
      <c r="W4" s="346">
        <v>1191.708494</v>
      </c>
      <c r="X4" s="346" t="s">
        <v>101</v>
      </c>
      <c r="Y4" s="346">
        <v>87300</v>
      </c>
      <c r="Z4" s="346">
        <v>5</v>
      </c>
      <c r="AA4" s="346" t="s">
        <v>996</v>
      </c>
      <c r="AB4" s="346" t="s">
        <v>226</v>
      </c>
      <c r="AC4" s="346" t="s">
        <v>172</v>
      </c>
      <c r="AD4" s="347">
        <v>7.4800000000000005E-2</v>
      </c>
      <c r="AE4" s="347">
        <v>2.0400000000000001E-2</v>
      </c>
      <c r="AF4" s="346">
        <v>0.22</v>
      </c>
      <c r="AG4" s="346">
        <v>0.41</v>
      </c>
      <c r="AH4" s="346">
        <v>0.6</v>
      </c>
      <c r="AI4" s="346">
        <v>0.79</v>
      </c>
      <c r="AJ4" s="346">
        <v>0.97</v>
      </c>
      <c r="AK4" s="347">
        <v>2.2000000000000001E-3</v>
      </c>
      <c r="AL4" s="347">
        <v>2E-3</v>
      </c>
      <c r="AM4" s="347">
        <v>1.9E-3</v>
      </c>
      <c r="AN4" s="347">
        <v>1.9E-3</v>
      </c>
      <c r="AO4" s="347">
        <v>1.8E-3</v>
      </c>
      <c r="AP4" s="347">
        <v>2.2000000000000001E-3</v>
      </c>
      <c r="AQ4" s="347">
        <v>2.0999999999999999E-3</v>
      </c>
      <c r="AR4" s="347">
        <v>2E-3</v>
      </c>
      <c r="AS4" s="347">
        <v>2E-3</v>
      </c>
      <c r="AT4" s="347">
        <v>1.9E-3</v>
      </c>
      <c r="AU4" s="347">
        <v>9.7000000000000003E-3</v>
      </c>
      <c r="AV4" s="346">
        <v>-11.13</v>
      </c>
      <c r="AW4" s="346">
        <v>-4.03</v>
      </c>
      <c r="AX4" s="346">
        <v>11.85</v>
      </c>
      <c r="AY4" s="346">
        <v>-4.24</v>
      </c>
      <c r="AZ4" s="346">
        <v>-7.72</v>
      </c>
      <c r="BA4" s="346">
        <v>-12.89</v>
      </c>
      <c r="BB4" s="346">
        <v>-21.78</v>
      </c>
      <c r="BC4" s="346">
        <v>-12.5</v>
      </c>
      <c r="BD4" s="346">
        <v>-13.86</v>
      </c>
      <c r="BE4" s="346">
        <v>-12.59</v>
      </c>
      <c r="BF4" s="346">
        <v>-2.72</v>
      </c>
      <c r="BG4" s="346">
        <v>7.37</v>
      </c>
      <c r="BH4" s="346">
        <v>-9.64</v>
      </c>
      <c r="BI4" s="346">
        <v>-6.06</v>
      </c>
      <c r="BJ4" s="346">
        <v>-12.12</v>
      </c>
      <c r="BK4" s="346">
        <v>-19.96</v>
      </c>
      <c r="BL4" s="346">
        <v>-9.36</v>
      </c>
      <c r="BM4" s="346">
        <v>-20.190000000000001</v>
      </c>
      <c r="BN4" s="346">
        <v>134.11000000000001</v>
      </c>
      <c r="BO4" s="346">
        <v>4.18</v>
      </c>
      <c r="BP4" s="346">
        <v>-510.6</v>
      </c>
      <c r="BQ4" s="346">
        <v>29.78</v>
      </c>
      <c r="BR4" s="346">
        <v>6.81</v>
      </c>
      <c r="BS4" s="346">
        <v>91.33</v>
      </c>
      <c r="BT4" s="346">
        <v>-42.06</v>
      </c>
      <c r="BU4" s="346">
        <v>-46.42</v>
      </c>
      <c r="BV4" s="346">
        <v>-34.72</v>
      </c>
      <c r="BW4" s="346">
        <v>181.77</v>
      </c>
      <c r="BX4" s="346">
        <v>3.17</v>
      </c>
      <c r="BY4" s="346">
        <v>-396.01</v>
      </c>
      <c r="BZ4" s="346">
        <v>74.42</v>
      </c>
      <c r="CA4" s="346">
        <v>6.01</v>
      </c>
      <c r="CB4" s="346">
        <v>100.6</v>
      </c>
      <c r="CC4" s="346">
        <v>-43.07</v>
      </c>
      <c r="CD4" s="346">
        <v>-38.94</v>
      </c>
      <c r="CE4" s="346">
        <v>-56</v>
      </c>
      <c r="CF4" s="346">
        <v>17.71</v>
      </c>
      <c r="CG4" s="346">
        <v>49.2</v>
      </c>
      <c r="CH4" s="346">
        <v>33.69</v>
      </c>
      <c r="CI4" s="346">
        <v>61.06</v>
      </c>
      <c r="CJ4" s="346">
        <v>62.66</v>
      </c>
      <c r="CK4" s="346">
        <v>35.03</v>
      </c>
      <c r="CL4" s="346">
        <v>90.07</v>
      </c>
      <c r="CM4" s="346">
        <v>87.3</v>
      </c>
      <c r="CN4" s="346">
        <v>94.26</v>
      </c>
      <c r="CO4" s="346">
        <v>2.09</v>
      </c>
      <c r="CP4" s="346">
        <v>-0.05</v>
      </c>
      <c r="CQ4" s="346">
        <v>254.26</v>
      </c>
      <c r="CR4" s="346">
        <v>9.09</v>
      </c>
      <c r="CS4" s="346">
        <v>1.1200000000000001</v>
      </c>
      <c r="CT4" s="346">
        <v>50.19</v>
      </c>
      <c r="CU4" s="346">
        <v>100.55</v>
      </c>
      <c r="CV4" s="346">
        <v>13.23</v>
      </c>
      <c r="CW4" s="346">
        <v>1911649401.96</v>
      </c>
    </row>
    <row r="5" spans="1:101" x14ac:dyDescent="0.25">
      <c r="A5" s="346" t="str">
        <f>VLOOKUP(B5,'Loan Book Summary'!C:G,5,FALSE)</f>
        <v>0014I000027xjgR</v>
      </c>
      <c r="B5" s="346">
        <v>1100000243</v>
      </c>
      <c r="C5" s="346" t="s">
        <v>1889</v>
      </c>
      <c r="D5" s="346" t="s">
        <v>1889</v>
      </c>
      <c r="E5" s="346">
        <v>2022</v>
      </c>
      <c r="F5" s="346">
        <v>6</v>
      </c>
      <c r="G5" s="346">
        <v>3804.7280679999999</v>
      </c>
      <c r="H5" s="346">
        <v>62.4251</v>
      </c>
      <c r="I5" s="346">
        <v>62.4251</v>
      </c>
      <c r="J5" s="346">
        <v>33600.04825</v>
      </c>
      <c r="K5" s="346">
        <v>31965.647860000001</v>
      </c>
      <c r="L5" s="346">
        <v>262.76191999999998</v>
      </c>
      <c r="M5" s="346" t="s">
        <v>1889</v>
      </c>
      <c r="N5" s="346">
        <v>3783.8144010000001</v>
      </c>
      <c r="O5" s="346">
        <v>3783.8144010000001</v>
      </c>
      <c r="P5" s="346">
        <v>14978.90085</v>
      </c>
      <c r="Q5" s="346">
        <v>12567.12386</v>
      </c>
      <c r="R5" s="346">
        <v>11519.49099</v>
      </c>
      <c r="S5" s="346" t="s">
        <v>1889</v>
      </c>
      <c r="T5" s="346">
        <v>1347.5984390000001</v>
      </c>
      <c r="U5" s="346">
        <v>3426.454827</v>
      </c>
      <c r="V5" s="346">
        <v>1663.0851110000001</v>
      </c>
      <c r="W5" s="346">
        <v>1191.708494</v>
      </c>
      <c r="X5" s="346" t="s">
        <v>101</v>
      </c>
      <c r="Y5" s="346">
        <v>87300</v>
      </c>
      <c r="Z5" s="346">
        <v>5</v>
      </c>
      <c r="AA5" s="346" t="s">
        <v>996</v>
      </c>
      <c r="AB5" s="346" t="s">
        <v>226</v>
      </c>
      <c r="AC5" s="346" t="s">
        <v>172</v>
      </c>
      <c r="AD5" s="347">
        <v>7.4800000000000005E-2</v>
      </c>
      <c r="AE5" s="347">
        <v>2.0400000000000001E-2</v>
      </c>
      <c r="AF5" s="346">
        <v>0.22</v>
      </c>
      <c r="AG5" s="346">
        <v>0.41</v>
      </c>
      <c r="AH5" s="346">
        <v>0.6</v>
      </c>
      <c r="AI5" s="346">
        <v>0.79</v>
      </c>
      <c r="AJ5" s="346">
        <v>0.97</v>
      </c>
      <c r="AK5" s="347">
        <v>2.2000000000000001E-3</v>
      </c>
      <c r="AL5" s="347">
        <v>2E-3</v>
      </c>
      <c r="AM5" s="347">
        <v>1.9E-3</v>
      </c>
      <c r="AN5" s="347">
        <v>1.9E-3</v>
      </c>
      <c r="AO5" s="347">
        <v>1.8E-3</v>
      </c>
      <c r="AP5" s="347">
        <v>2.2000000000000001E-3</v>
      </c>
      <c r="AQ5" s="347">
        <v>2.0999999999999999E-3</v>
      </c>
      <c r="AR5" s="347">
        <v>2E-3</v>
      </c>
      <c r="AS5" s="347">
        <v>2E-3</v>
      </c>
      <c r="AT5" s="347">
        <v>1.9E-3</v>
      </c>
      <c r="AU5" s="347">
        <v>9.7000000000000003E-3</v>
      </c>
      <c r="AV5" s="346">
        <v>-11.13</v>
      </c>
      <c r="AW5" s="346">
        <v>-4.03</v>
      </c>
      <c r="AX5" s="346">
        <v>11.85</v>
      </c>
      <c r="AY5" s="346">
        <v>-4.24</v>
      </c>
      <c r="AZ5" s="346">
        <v>-7.72</v>
      </c>
      <c r="BA5" s="346">
        <v>-12.89</v>
      </c>
      <c r="BB5" s="346">
        <v>-21.78</v>
      </c>
      <c r="BC5" s="346">
        <v>-12.5</v>
      </c>
      <c r="BD5" s="346">
        <v>-13.86</v>
      </c>
      <c r="BE5" s="346">
        <v>-12.59</v>
      </c>
      <c r="BF5" s="346">
        <v>-2.72</v>
      </c>
      <c r="BG5" s="346">
        <v>7.37</v>
      </c>
      <c r="BH5" s="346">
        <v>-9.64</v>
      </c>
      <c r="BI5" s="346">
        <v>-6.06</v>
      </c>
      <c r="BJ5" s="346">
        <v>-12.12</v>
      </c>
      <c r="BK5" s="346">
        <v>-19.96</v>
      </c>
      <c r="BL5" s="346">
        <v>-9.36</v>
      </c>
      <c r="BM5" s="346">
        <v>-20.190000000000001</v>
      </c>
      <c r="BN5" s="346">
        <v>134.11000000000001</v>
      </c>
      <c r="BO5" s="346">
        <v>4.18</v>
      </c>
      <c r="BP5" s="346">
        <v>-510.6</v>
      </c>
      <c r="BQ5" s="346">
        <v>29.78</v>
      </c>
      <c r="BR5" s="346">
        <v>6.81</v>
      </c>
      <c r="BS5" s="346">
        <v>91.33</v>
      </c>
      <c r="BT5" s="346">
        <v>-42.06</v>
      </c>
      <c r="BU5" s="346">
        <v>-46.42</v>
      </c>
      <c r="BV5" s="346">
        <v>-34.72</v>
      </c>
      <c r="BW5" s="346">
        <v>181.77</v>
      </c>
      <c r="BX5" s="346">
        <v>3.17</v>
      </c>
      <c r="BY5" s="346">
        <v>-396.01</v>
      </c>
      <c r="BZ5" s="346">
        <v>74.42</v>
      </c>
      <c r="CA5" s="346">
        <v>6.01</v>
      </c>
      <c r="CB5" s="346">
        <v>100.6</v>
      </c>
      <c r="CC5" s="346">
        <v>-43.07</v>
      </c>
      <c r="CD5" s="346">
        <v>-38.94</v>
      </c>
      <c r="CE5" s="346">
        <v>-56</v>
      </c>
      <c r="CF5" s="346">
        <v>17.71</v>
      </c>
      <c r="CG5" s="346">
        <v>49.2</v>
      </c>
      <c r="CH5" s="346">
        <v>33.69</v>
      </c>
      <c r="CI5" s="346">
        <v>61.06</v>
      </c>
      <c r="CJ5" s="346">
        <v>62.66</v>
      </c>
      <c r="CK5" s="346">
        <v>35.03</v>
      </c>
      <c r="CL5" s="346">
        <v>90.07</v>
      </c>
      <c r="CM5" s="346">
        <v>87.3</v>
      </c>
      <c r="CN5" s="346">
        <v>94.26</v>
      </c>
      <c r="CO5" s="346">
        <v>2.09</v>
      </c>
      <c r="CP5" s="346">
        <v>-0.05</v>
      </c>
      <c r="CQ5" s="346">
        <v>254.26</v>
      </c>
      <c r="CR5" s="346">
        <v>9.09</v>
      </c>
      <c r="CS5" s="346">
        <v>1.1200000000000001</v>
      </c>
      <c r="CT5" s="346">
        <v>50.19</v>
      </c>
      <c r="CU5" s="346">
        <v>100.55</v>
      </c>
      <c r="CV5" s="346">
        <v>13.23</v>
      </c>
      <c r="CW5" s="346">
        <v>1911649401.96</v>
      </c>
    </row>
    <row r="6" spans="1:101" x14ac:dyDescent="0.25">
      <c r="A6" s="346" t="str">
        <f>VLOOKUP(B6,'Loan Book Summary'!C:G,5,FALSE)</f>
        <v>0014I000027xjnF</v>
      </c>
      <c r="B6" s="346">
        <v>1100000245</v>
      </c>
      <c r="C6" s="346" t="s">
        <v>1889</v>
      </c>
      <c r="D6" s="346" t="s">
        <v>1889</v>
      </c>
      <c r="E6" s="346">
        <v>2022</v>
      </c>
      <c r="F6" s="346">
        <v>6</v>
      </c>
      <c r="G6" s="346">
        <v>3804.7280679999999</v>
      </c>
      <c r="H6" s="346">
        <v>62.4251</v>
      </c>
      <c r="I6" s="346">
        <v>62.4251</v>
      </c>
      <c r="J6" s="346">
        <v>33600.04825</v>
      </c>
      <c r="K6" s="346">
        <v>31965.647860000001</v>
      </c>
      <c r="L6" s="346">
        <v>262.76191999999998</v>
      </c>
      <c r="M6" s="346" t="s">
        <v>1889</v>
      </c>
      <c r="N6" s="346">
        <v>3783.8144010000001</v>
      </c>
      <c r="O6" s="346">
        <v>3783.8144010000001</v>
      </c>
      <c r="P6" s="346">
        <v>14978.90085</v>
      </c>
      <c r="Q6" s="346">
        <v>12567.12386</v>
      </c>
      <c r="R6" s="346">
        <v>11519.49099</v>
      </c>
      <c r="S6" s="346" t="s">
        <v>1889</v>
      </c>
      <c r="T6" s="346">
        <v>1347.5984390000001</v>
      </c>
      <c r="U6" s="346">
        <v>3426.454827</v>
      </c>
      <c r="V6" s="346">
        <v>1663.0851110000001</v>
      </c>
      <c r="W6" s="346">
        <v>1191.708494</v>
      </c>
      <c r="X6" s="346" t="s">
        <v>101</v>
      </c>
      <c r="Y6" s="346">
        <v>87300</v>
      </c>
      <c r="Z6" s="346">
        <v>5</v>
      </c>
      <c r="AA6" s="346" t="s">
        <v>996</v>
      </c>
      <c r="AB6" s="346" t="s">
        <v>226</v>
      </c>
      <c r="AC6" s="346" t="s">
        <v>172</v>
      </c>
      <c r="AD6" s="347">
        <v>7.4800000000000005E-2</v>
      </c>
      <c r="AE6" s="347">
        <v>2.0400000000000001E-2</v>
      </c>
      <c r="AF6" s="346">
        <v>0.22</v>
      </c>
      <c r="AG6" s="346">
        <v>0.41</v>
      </c>
      <c r="AH6" s="346">
        <v>0.6</v>
      </c>
      <c r="AI6" s="346">
        <v>0.79</v>
      </c>
      <c r="AJ6" s="346">
        <v>0.97</v>
      </c>
      <c r="AK6" s="347">
        <v>2.2000000000000001E-3</v>
      </c>
      <c r="AL6" s="347">
        <v>2E-3</v>
      </c>
      <c r="AM6" s="347">
        <v>1.9E-3</v>
      </c>
      <c r="AN6" s="347">
        <v>1.9E-3</v>
      </c>
      <c r="AO6" s="347">
        <v>1.8E-3</v>
      </c>
      <c r="AP6" s="347">
        <v>2.2000000000000001E-3</v>
      </c>
      <c r="AQ6" s="347">
        <v>2.0999999999999999E-3</v>
      </c>
      <c r="AR6" s="347">
        <v>2E-3</v>
      </c>
      <c r="AS6" s="347">
        <v>2E-3</v>
      </c>
      <c r="AT6" s="347">
        <v>1.9E-3</v>
      </c>
      <c r="AU6" s="347">
        <v>9.7000000000000003E-3</v>
      </c>
      <c r="AV6" s="346">
        <v>-11.13</v>
      </c>
      <c r="AW6" s="346">
        <v>-4.03</v>
      </c>
      <c r="AX6" s="346">
        <v>11.85</v>
      </c>
      <c r="AY6" s="346">
        <v>-4.24</v>
      </c>
      <c r="AZ6" s="346">
        <v>-7.72</v>
      </c>
      <c r="BA6" s="346">
        <v>-12.89</v>
      </c>
      <c r="BB6" s="346">
        <v>-21.78</v>
      </c>
      <c r="BC6" s="346">
        <v>-12.5</v>
      </c>
      <c r="BD6" s="346">
        <v>-13.86</v>
      </c>
      <c r="BE6" s="346">
        <v>-12.59</v>
      </c>
      <c r="BF6" s="346">
        <v>-2.72</v>
      </c>
      <c r="BG6" s="346">
        <v>7.37</v>
      </c>
      <c r="BH6" s="346">
        <v>-9.64</v>
      </c>
      <c r="BI6" s="346">
        <v>-6.06</v>
      </c>
      <c r="BJ6" s="346">
        <v>-12.12</v>
      </c>
      <c r="BK6" s="346">
        <v>-19.96</v>
      </c>
      <c r="BL6" s="346">
        <v>-9.36</v>
      </c>
      <c r="BM6" s="346">
        <v>-20.190000000000001</v>
      </c>
      <c r="BN6" s="346">
        <v>134.11000000000001</v>
      </c>
      <c r="BO6" s="346">
        <v>4.18</v>
      </c>
      <c r="BP6" s="346">
        <v>-510.6</v>
      </c>
      <c r="BQ6" s="346">
        <v>29.78</v>
      </c>
      <c r="BR6" s="346">
        <v>6.81</v>
      </c>
      <c r="BS6" s="346">
        <v>91.33</v>
      </c>
      <c r="BT6" s="346">
        <v>-42.06</v>
      </c>
      <c r="BU6" s="346">
        <v>-46.42</v>
      </c>
      <c r="BV6" s="346">
        <v>-34.72</v>
      </c>
      <c r="BW6" s="346">
        <v>181.77</v>
      </c>
      <c r="BX6" s="346">
        <v>3.17</v>
      </c>
      <c r="BY6" s="346">
        <v>-396.01</v>
      </c>
      <c r="BZ6" s="346">
        <v>74.42</v>
      </c>
      <c r="CA6" s="346">
        <v>6.01</v>
      </c>
      <c r="CB6" s="346">
        <v>100.6</v>
      </c>
      <c r="CC6" s="346">
        <v>-43.07</v>
      </c>
      <c r="CD6" s="346">
        <v>-38.94</v>
      </c>
      <c r="CE6" s="346">
        <v>-56</v>
      </c>
      <c r="CF6" s="346">
        <v>17.71</v>
      </c>
      <c r="CG6" s="346">
        <v>49.2</v>
      </c>
      <c r="CH6" s="346">
        <v>33.69</v>
      </c>
      <c r="CI6" s="346">
        <v>61.06</v>
      </c>
      <c r="CJ6" s="346">
        <v>62.66</v>
      </c>
      <c r="CK6" s="346">
        <v>35.03</v>
      </c>
      <c r="CL6" s="346">
        <v>90.07</v>
      </c>
      <c r="CM6" s="346">
        <v>87.3</v>
      </c>
      <c r="CN6" s="346">
        <v>94.26</v>
      </c>
      <c r="CO6" s="346">
        <v>2.09</v>
      </c>
      <c r="CP6" s="346">
        <v>-0.05</v>
      </c>
      <c r="CQ6" s="346">
        <v>254.26</v>
      </c>
      <c r="CR6" s="346">
        <v>9.09</v>
      </c>
      <c r="CS6" s="346">
        <v>1.1200000000000001</v>
      </c>
      <c r="CT6" s="346">
        <v>50.19</v>
      </c>
      <c r="CU6" s="346">
        <v>100.55</v>
      </c>
      <c r="CV6" s="346">
        <v>13.23</v>
      </c>
      <c r="CW6" s="346">
        <v>1911649401.96</v>
      </c>
    </row>
    <row r="7" spans="1:101" x14ac:dyDescent="0.25">
      <c r="A7" s="346" t="str">
        <f>VLOOKUP(B7,'Loan Book Summary'!C:G,5,FALSE)</f>
        <v>0014I000027xjnt</v>
      </c>
      <c r="B7" s="346">
        <v>1100000244</v>
      </c>
      <c r="C7" s="346" t="s">
        <v>1889</v>
      </c>
      <c r="D7" s="346" t="s">
        <v>1889</v>
      </c>
      <c r="E7" s="346">
        <v>2022</v>
      </c>
      <c r="F7" s="346">
        <v>6</v>
      </c>
      <c r="G7" s="346">
        <v>3804.7280679999999</v>
      </c>
      <c r="H7" s="346">
        <v>62.4251</v>
      </c>
      <c r="I7" s="346">
        <v>62.4251</v>
      </c>
      <c r="J7" s="346">
        <v>33600.04825</v>
      </c>
      <c r="K7" s="346">
        <v>31965.647860000001</v>
      </c>
      <c r="L7" s="346">
        <v>262.76191999999998</v>
      </c>
      <c r="M7" s="346" t="s">
        <v>1889</v>
      </c>
      <c r="N7" s="346">
        <v>3783.8144010000001</v>
      </c>
      <c r="O7" s="346">
        <v>3783.8144010000001</v>
      </c>
      <c r="P7" s="346">
        <v>14978.90085</v>
      </c>
      <c r="Q7" s="346">
        <v>12567.12386</v>
      </c>
      <c r="R7" s="346">
        <v>11519.49099</v>
      </c>
      <c r="S7" s="346" t="s">
        <v>1889</v>
      </c>
      <c r="T7" s="346">
        <v>1347.5984390000001</v>
      </c>
      <c r="U7" s="346">
        <v>3426.454827</v>
      </c>
      <c r="V7" s="346">
        <v>1663.0851110000001</v>
      </c>
      <c r="W7" s="346">
        <v>1191.708494</v>
      </c>
      <c r="X7" s="346" t="s">
        <v>101</v>
      </c>
      <c r="Y7" s="346">
        <v>87300</v>
      </c>
      <c r="Z7" s="346">
        <v>5</v>
      </c>
      <c r="AA7" s="346" t="s">
        <v>996</v>
      </c>
      <c r="AB7" s="346" t="s">
        <v>226</v>
      </c>
      <c r="AC7" s="346" t="s">
        <v>172</v>
      </c>
      <c r="AD7" s="347">
        <v>7.4800000000000005E-2</v>
      </c>
      <c r="AE7" s="347">
        <v>2.0400000000000001E-2</v>
      </c>
      <c r="AF7" s="346">
        <v>0.22</v>
      </c>
      <c r="AG7" s="346">
        <v>0.41</v>
      </c>
      <c r="AH7" s="346">
        <v>0.6</v>
      </c>
      <c r="AI7" s="346">
        <v>0.79</v>
      </c>
      <c r="AJ7" s="346">
        <v>0.97</v>
      </c>
      <c r="AK7" s="347">
        <v>2.2000000000000001E-3</v>
      </c>
      <c r="AL7" s="347">
        <v>2E-3</v>
      </c>
      <c r="AM7" s="347">
        <v>1.9E-3</v>
      </c>
      <c r="AN7" s="347">
        <v>1.9E-3</v>
      </c>
      <c r="AO7" s="347">
        <v>1.8E-3</v>
      </c>
      <c r="AP7" s="347">
        <v>2.2000000000000001E-3</v>
      </c>
      <c r="AQ7" s="347">
        <v>2.0999999999999999E-3</v>
      </c>
      <c r="AR7" s="347">
        <v>2E-3</v>
      </c>
      <c r="AS7" s="347">
        <v>2E-3</v>
      </c>
      <c r="AT7" s="347">
        <v>1.9E-3</v>
      </c>
      <c r="AU7" s="347">
        <v>9.7000000000000003E-3</v>
      </c>
      <c r="AV7" s="346">
        <v>-11.13</v>
      </c>
      <c r="AW7" s="346">
        <v>-4.03</v>
      </c>
      <c r="AX7" s="346">
        <v>11.85</v>
      </c>
      <c r="AY7" s="346">
        <v>-4.24</v>
      </c>
      <c r="AZ7" s="346">
        <v>-7.72</v>
      </c>
      <c r="BA7" s="346">
        <v>-12.89</v>
      </c>
      <c r="BB7" s="346">
        <v>-21.78</v>
      </c>
      <c r="BC7" s="346">
        <v>-12.5</v>
      </c>
      <c r="BD7" s="346">
        <v>-13.86</v>
      </c>
      <c r="BE7" s="346">
        <v>-12.59</v>
      </c>
      <c r="BF7" s="346">
        <v>-2.72</v>
      </c>
      <c r="BG7" s="346">
        <v>7.37</v>
      </c>
      <c r="BH7" s="346">
        <v>-9.64</v>
      </c>
      <c r="BI7" s="346">
        <v>-6.06</v>
      </c>
      <c r="BJ7" s="346">
        <v>-12.12</v>
      </c>
      <c r="BK7" s="346">
        <v>-19.96</v>
      </c>
      <c r="BL7" s="346">
        <v>-9.36</v>
      </c>
      <c r="BM7" s="346">
        <v>-20.190000000000001</v>
      </c>
      <c r="BN7" s="346">
        <v>134.11000000000001</v>
      </c>
      <c r="BO7" s="346">
        <v>4.18</v>
      </c>
      <c r="BP7" s="346">
        <v>-510.6</v>
      </c>
      <c r="BQ7" s="346">
        <v>29.78</v>
      </c>
      <c r="BR7" s="346">
        <v>6.81</v>
      </c>
      <c r="BS7" s="346">
        <v>91.33</v>
      </c>
      <c r="BT7" s="346">
        <v>-42.06</v>
      </c>
      <c r="BU7" s="346">
        <v>-46.42</v>
      </c>
      <c r="BV7" s="346">
        <v>-34.72</v>
      </c>
      <c r="BW7" s="346">
        <v>181.77</v>
      </c>
      <c r="BX7" s="346">
        <v>3.17</v>
      </c>
      <c r="BY7" s="346">
        <v>-396.01</v>
      </c>
      <c r="BZ7" s="346">
        <v>74.42</v>
      </c>
      <c r="CA7" s="346">
        <v>6.01</v>
      </c>
      <c r="CB7" s="346">
        <v>100.6</v>
      </c>
      <c r="CC7" s="346">
        <v>-43.07</v>
      </c>
      <c r="CD7" s="346">
        <v>-38.94</v>
      </c>
      <c r="CE7" s="346">
        <v>-56</v>
      </c>
      <c r="CF7" s="346">
        <v>17.71</v>
      </c>
      <c r="CG7" s="346">
        <v>49.2</v>
      </c>
      <c r="CH7" s="346">
        <v>33.69</v>
      </c>
      <c r="CI7" s="346">
        <v>61.06</v>
      </c>
      <c r="CJ7" s="346">
        <v>62.66</v>
      </c>
      <c r="CK7" s="346">
        <v>35.03</v>
      </c>
      <c r="CL7" s="346">
        <v>90.07</v>
      </c>
      <c r="CM7" s="346">
        <v>87.3</v>
      </c>
      <c r="CN7" s="346">
        <v>94.26</v>
      </c>
      <c r="CO7" s="346">
        <v>2.09</v>
      </c>
      <c r="CP7" s="346">
        <v>-0.05</v>
      </c>
      <c r="CQ7" s="346">
        <v>254.26</v>
      </c>
      <c r="CR7" s="346">
        <v>9.09</v>
      </c>
      <c r="CS7" s="346">
        <v>1.1200000000000001</v>
      </c>
      <c r="CT7" s="346">
        <v>50.19</v>
      </c>
      <c r="CU7" s="346">
        <v>100.55</v>
      </c>
      <c r="CV7" s="346">
        <v>13.23</v>
      </c>
      <c r="CW7" s="346">
        <v>1911649401.96</v>
      </c>
    </row>
    <row r="8" spans="1:101" x14ac:dyDescent="0.25">
      <c r="A8" s="346" t="str">
        <f>VLOOKUP(B8,'Loan Book Summary'!C:G,5,FALSE)</f>
        <v>0014I00001oqqTN</v>
      </c>
      <c r="B8" s="346">
        <v>1100000130</v>
      </c>
      <c r="C8" s="346" t="s">
        <v>1889</v>
      </c>
      <c r="D8" s="346" t="s">
        <v>1889</v>
      </c>
      <c r="E8" s="346">
        <v>2022</v>
      </c>
      <c r="F8" s="346">
        <v>6</v>
      </c>
      <c r="G8" s="346">
        <v>2682.4990499999999</v>
      </c>
      <c r="H8" s="346">
        <v>119.889</v>
      </c>
      <c r="I8" s="346">
        <v>119.889</v>
      </c>
      <c r="J8" s="346">
        <v>9257.1767629999995</v>
      </c>
      <c r="K8" s="346">
        <v>8556.2178509999994</v>
      </c>
      <c r="L8" s="346">
        <v>204.56100000000001</v>
      </c>
      <c r="M8" s="346" t="s">
        <v>1889</v>
      </c>
      <c r="N8" s="346">
        <v>331.26400000000001</v>
      </c>
      <c r="O8" s="346">
        <v>331.26400000000001</v>
      </c>
      <c r="P8" s="346">
        <v>3761.97</v>
      </c>
      <c r="Q8" s="346">
        <v>3068.7635529999998</v>
      </c>
      <c r="R8" s="346">
        <v>2794.9936269999998</v>
      </c>
      <c r="S8" s="346">
        <v>45.058794900000002</v>
      </c>
      <c r="T8" s="346">
        <v>212.69262140000001</v>
      </c>
      <c r="U8" s="346">
        <v>924.19739259999994</v>
      </c>
      <c r="V8" s="346">
        <v>569.20381699999996</v>
      </c>
      <c r="W8" s="346">
        <v>479.40255769999999</v>
      </c>
      <c r="X8" s="346" t="s">
        <v>101</v>
      </c>
      <c r="Y8" s="346">
        <v>87200</v>
      </c>
      <c r="Z8" s="346">
        <v>5</v>
      </c>
      <c r="AA8" s="346" t="s">
        <v>996</v>
      </c>
      <c r="AB8" s="346" t="s">
        <v>226</v>
      </c>
      <c r="AC8" s="346" t="s">
        <v>226</v>
      </c>
      <c r="AD8" s="347">
        <v>7.4300000000000005E-2</v>
      </c>
      <c r="AE8" s="347">
        <v>3.9100000000000003E-2</v>
      </c>
      <c r="AF8" s="346">
        <v>0.21</v>
      </c>
      <c r="AG8" s="346">
        <v>0.45</v>
      </c>
      <c r="AH8" s="346">
        <v>0.68</v>
      </c>
      <c r="AI8" s="346">
        <v>0.93</v>
      </c>
      <c r="AJ8" s="346">
        <v>1.17</v>
      </c>
      <c r="AK8" s="347">
        <v>2.0999999999999999E-3</v>
      </c>
      <c r="AL8" s="347">
        <v>2.3E-3</v>
      </c>
      <c r="AM8" s="347">
        <v>2.3999999999999998E-3</v>
      </c>
      <c r="AN8" s="347">
        <v>2.3999999999999998E-3</v>
      </c>
      <c r="AO8" s="347">
        <v>2.5000000000000001E-3</v>
      </c>
      <c r="AP8" s="347">
        <v>2.0999999999999999E-3</v>
      </c>
      <c r="AQ8" s="347">
        <v>2.2000000000000001E-3</v>
      </c>
      <c r="AR8" s="347">
        <v>2.3E-3</v>
      </c>
      <c r="AS8" s="347">
        <v>2.3E-3</v>
      </c>
      <c r="AT8" s="347">
        <v>2.3999999999999998E-3</v>
      </c>
      <c r="AU8" s="347">
        <v>1.17E-2</v>
      </c>
      <c r="AV8" s="346">
        <v>-5.4</v>
      </c>
      <c r="AW8" s="346">
        <v>-4.41</v>
      </c>
      <c r="AX8" s="346">
        <v>1.54</v>
      </c>
      <c r="AY8" s="346">
        <v>-5.1100000000000003</v>
      </c>
      <c r="AZ8" s="346">
        <v>-10</v>
      </c>
      <c r="BA8" s="346">
        <v>-19.59</v>
      </c>
      <c r="BB8" s="346">
        <v>-31</v>
      </c>
      <c r="BC8" s="346">
        <v>-17.78</v>
      </c>
      <c r="BD8" s="346">
        <v>-5.17</v>
      </c>
      <c r="BE8" s="346">
        <v>-6.28</v>
      </c>
      <c r="BF8" s="346">
        <v>-3.06</v>
      </c>
      <c r="BG8" s="346">
        <v>0.99</v>
      </c>
      <c r="BH8" s="346">
        <v>-11.96</v>
      </c>
      <c r="BI8" s="346">
        <v>-8.07</v>
      </c>
      <c r="BJ8" s="346">
        <v>-18.96</v>
      </c>
      <c r="BK8" s="346">
        <v>-29.23</v>
      </c>
      <c r="BL8" s="346">
        <v>-13.7</v>
      </c>
      <c r="BM8" s="346">
        <v>-7.76</v>
      </c>
      <c r="BN8" s="346">
        <v>109.23</v>
      </c>
      <c r="BO8" s="346">
        <v>-23.53</v>
      </c>
      <c r="BP8" s="346">
        <v>-509.35</v>
      </c>
      <c r="BQ8" s="346">
        <v>45.29</v>
      </c>
      <c r="BR8" s="346">
        <v>-23.01</v>
      </c>
      <c r="BS8" s="346">
        <v>71.459999999999994</v>
      </c>
      <c r="BT8" s="346">
        <v>-0.79</v>
      </c>
      <c r="BU8" s="346">
        <v>-17.579999999999998</v>
      </c>
      <c r="BV8" s="346">
        <v>-99.74</v>
      </c>
      <c r="BW8" s="346">
        <v>143.03</v>
      </c>
      <c r="BX8" s="346">
        <v>-17.28</v>
      </c>
      <c r="BY8" s="346">
        <v>-356.05</v>
      </c>
      <c r="BZ8" s="346">
        <v>109.27</v>
      </c>
      <c r="CA8" s="346">
        <v>-19.68</v>
      </c>
      <c r="CB8" s="346">
        <v>72.94</v>
      </c>
      <c r="CC8" s="346">
        <v>-0.76</v>
      </c>
      <c r="CD8" s="346">
        <v>-14.32</v>
      </c>
      <c r="CE8" s="346">
        <v>-166.67</v>
      </c>
      <c r="CF8" s="346">
        <v>45.22</v>
      </c>
      <c r="CG8" s="346">
        <v>43.35</v>
      </c>
      <c r="CH8" s="346">
        <v>46.01</v>
      </c>
      <c r="CI8" s="346">
        <v>62.54</v>
      </c>
      <c r="CJ8" s="346">
        <v>58.18</v>
      </c>
      <c r="CK8" s="346">
        <v>27.06</v>
      </c>
      <c r="CL8" s="346">
        <v>100</v>
      </c>
      <c r="CM8" s="346">
        <v>92.06</v>
      </c>
      <c r="CN8" s="346">
        <v>80.3</v>
      </c>
      <c r="CO8" s="346">
        <v>6.67</v>
      </c>
      <c r="CP8" s="346">
        <v>-0.38</v>
      </c>
      <c r="CQ8" s="346">
        <v>455.71</v>
      </c>
      <c r="CR8" s="346">
        <v>9.8000000000000007</v>
      </c>
      <c r="CS8" s="346">
        <v>0.54</v>
      </c>
      <c r="CT8" s="346">
        <v>42.69</v>
      </c>
      <c r="CU8" s="346">
        <v>809.78</v>
      </c>
      <c r="CV8" s="346">
        <v>18.55</v>
      </c>
      <c r="CW8" s="346">
        <v>490311480.69</v>
      </c>
    </row>
    <row r="9" spans="1:101" x14ac:dyDescent="0.25">
      <c r="A9" s="346" t="str">
        <f>VLOOKUP(B9,'Loan Book Summary'!C:G,5,FALSE)</f>
        <v>0015800000QSQGI</v>
      </c>
      <c r="B9" s="346">
        <v>1200000128</v>
      </c>
      <c r="C9" s="346" t="s">
        <v>1889</v>
      </c>
      <c r="D9" s="346" t="s">
        <v>1889</v>
      </c>
      <c r="E9" s="346">
        <v>2022</v>
      </c>
      <c r="F9" s="346">
        <v>6</v>
      </c>
      <c r="G9" s="346">
        <v>1039.0967209999999</v>
      </c>
      <c r="H9" s="346">
        <v>132.94072</v>
      </c>
      <c r="I9" s="346">
        <v>132.94072</v>
      </c>
      <c r="J9" s="346">
        <v>1645.1869240000001</v>
      </c>
      <c r="K9" s="346">
        <v>861.68747759999997</v>
      </c>
      <c r="L9" s="346">
        <v>404.09386999999998</v>
      </c>
      <c r="M9" s="346" t="s">
        <v>1889</v>
      </c>
      <c r="N9" s="346">
        <v>2808.0613800000001</v>
      </c>
      <c r="O9" s="346">
        <v>2808.0613800000001</v>
      </c>
      <c r="P9" s="346">
        <v>6052.2463900000002</v>
      </c>
      <c r="Q9" s="346">
        <v>10784.438039999999</v>
      </c>
      <c r="R9" s="346">
        <v>9300.6014290000003</v>
      </c>
      <c r="S9" s="346">
        <v>233.16341499999999</v>
      </c>
      <c r="T9" s="346">
        <v>246.51929459999999</v>
      </c>
      <c r="U9" s="346">
        <v>978.57913269999995</v>
      </c>
      <c r="V9" s="346">
        <v>583.58785880000005</v>
      </c>
      <c r="W9" s="346">
        <v>-137.16091040000001</v>
      </c>
      <c r="X9" s="346" t="s">
        <v>101</v>
      </c>
      <c r="Y9" s="346">
        <v>56302</v>
      </c>
      <c r="Z9" s="346">
        <v>5</v>
      </c>
      <c r="AA9" s="346" t="s">
        <v>996</v>
      </c>
      <c r="AB9" s="346" t="s">
        <v>105</v>
      </c>
      <c r="AC9" s="346" t="s">
        <v>105</v>
      </c>
      <c r="AD9" s="347">
        <v>0.57640000000000002</v>
      </c>
      <c r="AE9" s="347">
        <v>0.5353</v>
      </c>
      <c r="AF9" s="346">
        <v>1.43</v>
      </c>
      <c r="AG9" s="346">
        <v>2.79</v>
      </c>
      <c r="AH9" s="346">
        <v>4.12</v>
      </c>
      <c r="AI9" s="346">
        <v>5.42</v>
      </c>
      <c r="AJ9" s="346">
        <v>6.7</v>
      </c>
      <c r="AK9" s="347">
        <v>1.43E-2</v>
      </c>
      <c r="AL9" s="347">
        <v>1.38E-2</v>
      </c>
      <c r="AM9" s="347">
        <v>1.37E-2</v>
      </c>
      <c r="AN9" s="347">
        <v>1.3599999999999999E-2</v>
      </c>
      <c r="AO9" s="347">
        <v>1.35E-2</v>
      </c>
      <c r="AP9" s="347">
        <v>1.43E-2</v>
      </c>
      <c r="AQ9" s="347">
        <v>1.4E-2</v>
      </c>
      <c r="AR9" s="347">
        <v>1.3899999999999999E-2</v>
      </c>
      <c r="AS9" s="347">
        <v>1.38E-2</v>
      </c>
      <c r="AT9" s="347">
        <v>1.38E-2</v>
      </c>
      <c r="AU9" s="347">
        <v>6.7000000000000004E-2</v>
      </c>
      <c r="AV9" s="346">
        <v>-10.49</v>
      </c>
      <c r="AW9" s="346">
        <v>-4.8499999999999996</v>
      </c>
      <c r="AX9" s="346">
        <v>1.52</v>
      </c>
      <c r="AY9" s="346">
        <v>-3</v>
      </c>
      <c r="AZ9" s="346">
        <v>7.35</v>
      </c>
      <c r="BA9" s="346">
        <v>47.37</v>
      </c>
      <c r="BB9" s="346">
        <v>-14.78</v>
      </c>
      <c r="BC9" s="346">
        <v>-8.9600000000000009</v>
      </c>
      <c r="BD9" s="346">
        <v>-1.68</v>
      </c>
      <c r="BE9" s="346">
        <v>-12.38</v>
      </c>
      <c r="BF9" s="346">
        <v>-3.41</v>
      </c>
      <c r="BG9" s="346">
        <v>0.98</v>
      </c>
      <c r="BH9" s="346">
        <v>-7.12</v>
      </c>
      <c r="BI9" s="346">
        <v>6.01</v>
      </c>
      <c r="BJ9" s="346">
        <v>46.45</v>
      </c>
      <c r="BK9" s="346">
        <v>-14.11</v>
      </c>
      <c r="BL9" s="346">
        <v>-7</v>
      </c>
      <c r="BM9" s="346">
        <v>-2.54</v>
      </c>
      <c r="BN9" s="346">
        <v>49.51</v>
      </c>
      <c r="BO9" s="346">
        <v>-4.54</v>
      </c>
      <c r="BP9" s="346">
        <v>-282.52999999999997</v>
      </c>
      <c r="BQ9" s="346">
        <v>36.53</v>
      </c>
      <c r="BR9" s="346">
        <v>37.61</v>
      </c>
      <c r="BS9" s="346">
        <v>9.23</v>
      </c>
      <c r="BT9" s="346">
        <v>-93.46</v>
      </c>
      <c r="BU9" s="346">
        <v>-70.75</v>
      </c>
      <c r="BV9" s="346">
        <v>-315.83</v>
      </c>
      <c r="BW9" s="346">
        <v>53.51</v>
      </c>
      <c r="BX9" s="346">
        <v>-2.97</v>
      </c>
      <c r="BY9" s="346">
        <v>-159.47999999999999</v>
      </c>
      <c r="BZ9" s="346">
        <v>79.44</v>
      </c>
      <c r="CA9" s="346">
        <v>28.2</v>
      </c>
      <c r="CB9" s="346">
        <v>8.1999999999999993</v>
      </c>
      <c r="CC9" s="346">
        <v>-82.05</v>
      </c>
      <c r="CD9" s="346">
        <v>-50.49</v>
      </c>
      <c r="CE9" s="346">
        <v>-435.67</v>
      </c>
      <c r="CF9" s="346">
        <v>27.54</v>
      </c>
      <c r="CG9" s="346">
        <v>46.27</v>
      </c>
      <c r="CH9" s="346">
        <v>47.72</v>
      </c>
      <c r="CI9" s="346">
        <v>73.08</v>
      </c>
      <c r="CJ9" s="346">
        <v>95.75</v>
      </c>
      <c r="CK9" s="346">
        <v>100</v>
      </c>
      <c r="CL9" s="346">
        <v>73.02</v>
      </c>
      <c r="CM9" s="346">
        <v>68.06</v>
      </c>
      <c r="CN9" s="346">
        <v>64.61</v>
      </c>
      <c r="CO9" s="346">
        <v>3.75</v>
      </c>
      <c r="CP9" s="346">
        <v>-0.2</v>
      </c>
      <c r="CQ9" s="346">
        <v>491.54</v>
      </c>
      <c r="CR9" s="346">
        <v>15.95</v>
      </c>
      <c r="CS9" s="346">
        <v>16.84</v>
      </c>
      <c r="CT9" s="346">
        <v>198.96</v>
      </c>
      <c r="CU9" s="346">
        <v>37</v>
      </c>
      <c r="CV9" s="346">
        <v>5.41</v>
      </c>
      <c r="CW9" s="346">
        <v>227719899.80000001</v>
      </c>
    </row>
    <row r="10" spans="1:101" x14ac:dyDescent="0.25">
      <c r="A10" s="346" t="str">
        <f>VLOOKUP(B10,'Loan Book Summary'!C:G,5,FALSE)</f>
        <v>0015800000dRt2K</v>
      </c>
      <c r="B10" s="346">
        <v>1100000205</v>
      </c>
      <c r="C10" s="346" t="s">
        <v>1889</v>
      </c>
      <c r="D10" s="346" t="s">
        <v>1889</v>
      </c>
      <c r="E10" s="346">
        <v>2022</v>
      </c>
      <c r="F10" s="346">
        <v>6</v>
      </c>
      <c r="G10" s="346">
        <v>1298.8867299999999</v>
      </c>
      <c r="H10" s="346">
        <v>801.02782999999999</v>
      </c>
      <c r="I10" s="346">
        <v>801.02782999999999</v>
      </c>
      <c r="J10" s="346">
        <v>2565.6975400000001</v>
      </c>
      <c r="K10" s="346">
        <v>595.62823349999996</v>
      </c>
      <c r="L10" s="346">
        <v>-862.61561549999999</v>
      </c>
      <c r="M10" s="346" t="s">
        <v>1889</v>
      </c>
      <c r="N10" s="346">
        <v>4613.8324339999999</v>
      </c>
      <c r="O10" s="346">
        <v>5613.3934900000004</v>
      </c>
      <c r="P10" s="346">
        <v>5852.9640849999996</v>
      </c>
      <c r="Q10" s="346">
        <v>19081.585869999999</v>
      </c>
      <c r="R10" s="346">
        <v>16128.709930000001</v>
      </c>
      <c r="S10" s="346">
        <v>469.19433729999997</v>
      </c>
      <c r="T10" s="346">
        <v>271.70065720000002</v>
      </c>
      <c r="U10" s="346">
        <v>1026.862263</v>
      </c>
      <c r="V10" s="346">
        <v>426.10445679999998</v>
      </c>
      <c r="W10" s="346">
        <v>-1277.741143</v>
      </c>
      <c r="X10" s="346" t="s">
        <v>101</v>
      </c>
      <c r="Y10" s="346">
        <v>56302</v>
      </c>
      <c r="Z10" s="346">
        <v>5</v>
      </c>
      <c r="AA10" s="346" t="s">
        <v>996</v>
      </c>
      <c r="AB10" s="346" t="s">
        <v>105</v>
      </c>
      <c r="AC10" s="346" t="s">
        <v>105</v>
      </c>
      <c r="AD10" s="347">
        <v>0.59250000000000003</v>
      </c>
      <c r="AE10" s="347">
        <v>0.52749999999999997</v>
      </c>
      <c r="AF10" s="346">
        <v>1.5</v>
      </c>
      <c r="AG10" s="346">
        <v>2.85</v>
      </c>
      <c r="AH10" s="346">
        <v>4.13</v>
      </c>
      <c r="AI10" s="346">
        <v>5.37</v>
      </c>
      <c r="AJ10" s="346">
        <v>6.58</v>
      </c>
      <c r="AK10" s="347">
        <v>1.4999999999999999E-2</v>
      </c>
      <c r="AL10" s="347">
        <v>1.37E-2</v>
      </c>
      <c r="AM10" s="347">
        <v>1.32E-2</v>
      </c>
      <c r="AN10" s="347">
        <v>1.29E-2</v>
      </c>
      <c r="AO10" s="347">
        <v>1.2699999999999999E-2</v>
      </c>
      <c r="AP10" s="347">
        <v>1.4999999999999999E-2</v>
      </c>
      <c r="AQ10" s="347">
        <v>1.43E-2</v>
      </c>
      <c r="AR10" s="347">
        <v>1.4E-2</v>
      </c>
      <c r="AS10" s="347">
        <v>1.37E-2</v>
      </c>
      <c r="AT10" s="347">
        <v>1.35E-2</v>
      </c>
      <c r="AU10" s="347">
        <v>6.5799999999999997E-2</v>
      </c>
      <c r="AV10" s="346">
        <v>-23.33</v>
      </c>
      <c r="AW10" s="346">
        <v>-3.32</v>
      </c>
      <c r="AX10" s="346">
        <v>-1.56</v>
      </c>
      <c r="AY10" s="346">
        <v>-1.59</v>
      </c>
      <c r="AZ10" s="346">
        <v>13.52</v>
      </c>
      <c r="BA10" s="346">
        <v>43.51</v>
      </c>
      <c r="BB10" s="346">
        <v>-10.55</v>
      </c>
      <c r="BC10" s="346">
        <v>-0.15</v>
      </c>
      <c r="BD10" s="346">
        <v>-2.4700000000000002</v>
      </c>
      <c r="BE10" s="346">
        <v>-26.9</v>
      </c>
      <c r="BF10" s="346">
        <v>-2.2799999999999998</v>
      </c>
      <c r="BG10" s="346">
        <v>-0.99</v>
      </c>
      <c r="BH10" s="346">
        <v>-3.68</v>
      </c>
      <c r="BI10" s="346">
        <v>10.81</v>
      </c>
      <c r="BJ10" s="346">
        <v>41.7</v>
      </c>
      <c r="BK10" s="346">
        <v>-9.86</v>
      </c>
      <c r="BL10" s="346">
        <v>-0.12</v>
      </c>
      <c r="BM10" s="346">
        <v>-3.67</v>
      </c>
      <c r="BN10" s="346">
        <v>205.19</v>
      </c>
      <c r="BO10" s="346">
        <v>-18.87</v>
      </c>
      <c r="BP10" s="346">
        <v>-279.35000000000002</v>
      </c>
      <c r="BQ10" s="346">
        <v>41.03</v>
      </c>
      <c r="BR10" s="346">
        <v>22.18</v>
      </c>
      <c r="BS10" s="346">
        <v>9.0500000000000007</v>
      </c>
      <c r="BT10" s="346">
        <v>-121.96</v>
      </c>
      <c r="BU10" s="346">
        <v>-168.95</v>
      </c>
      <c r="BV10" s="346">
        <v>-33.43</v>
      </c>
      <c r="BW10" s="346">
        <v>253.48</v>
      </c>
      <c r="BX10" s="346">
        <v>-14.7</v>
      </c>
      <c r="BY10" s="346">
        <v>-182.54</v>
      </c>
      <c r="BZ10" s="346">
        <v>105.65</v>
      </c>
      <c r="CA10" s="346">
        <v>19.940000000000001</v>
      </c>
      <c r="CB10" s="346">
        <v>9.86</v>
      </c>
      <c r="CC10" s="346">
        <v>-122.73</v>
      </c>
      <c r="CD10" s="346">
        <v>-136.16</v>
      </c>
      <c r="CE10" s="346">
        <v>-54.95</v>
      </c>
      <c r="CF10" s="346">
        <v>2</v>
      </c>
      <c r="CG10" s="346">
        <v>38.4</v>
      </c>
      <c r="CH10" s="346">
        <v>50.4</v>
      </c>
      <c r="CI10" s="346">
        <v>76.16</v>
      </c>
      <c r="CJ10" s="346">
        <v>98.47</v>
      </c>
      <c r="CK10" s="346">
        <v>100</v>
      </c>
      <c r="CL10" s="346">
        <v>68.08</v>
      </c>
      <c r="CM10" s="346">
        <v>47.73</v>
      </c>
      <c r="CN10" s="346">
        <v>75.209999999999994</v>
      </c>
      <c r="CO10" s="346">
        <v>-4.5199999999999996</v>
      </c>
      <c r="CP10" s="346">
        <v>-0.77</v>
      </c>
      <c r="CQ10" s="346">
        <v>550.63</v>
      </c>
      <c r="CR10" s="346">
        <v>18.309999999999999</v>
      </c>
      <c r="CS10" s="346">
        <v>26.51</v>
      </c>
      <c r="CT10" s="346">
        <v>145.79</v>
      </c>
      <c r="CU10" s="346">
        <v>28.15</v>
      </c>
      <c r="CV10" s="346">
        <v>2.23</v>
      </c>
      <c r="CW10" s="346">
        <v>367130178.85000002</v>
      </c>
    </row>
    <row r="11" spans="1:101" x14ac:dyDescent="0.25">
      <c r="A11" s="346" t="str">
        <f>VLOOKUP(B11,'Loan Book Summary'!C:G,5,FALSE)</f>
        <v>00158000013gcxO</v>
      </c>
      <c r="B11" s="346">
        <v>1200000146</v>
      </c>
      <c r="C11" s="346" t="s">
        <v>1889</v>
      </c>
      <c r="D11" s="346" t="s">
        <v>1889</v>
      </c>
      <c r="E11" s="346">
        <v>2022</v>
      </c>
      <c r="F11" s="346">
        <v>6</v>
      </c>
      <c r="G11" s="346">
        <v>1463.702851</v>
      </c>
      <c r="H11" s="346">
        <v>40.785629999999998</v>
      </c>
      <c r="I11" s="346">
        <v>40.785629999999998</v>
      </c>
      <c r="J11" s="346">
        <v>6413.6832029999996</v>
      </c>
      <c r="K11" s="346">
        <v>5508.0605070000001</v>
      </c>
      <c r="L11" s="346">
        <v>1085.3264730000001</v>
      </c>
      <c r="M11" s="346" t="s">
        <v>1889</v>
      </c>
      <c r="N11" s="346">
        <v>3750.640868</v>
      </c>
      <c r="O11" s="346">
        <v>3817.3075349999999</v>
      </c>
      <c r="P11" s="346">
        <v>13208.13586</v>
      </c>
      <c r="Q11" s="346">
        <v>25765.54422</v>
      </c>
      <c r="R11" s="346">
        <v>22133.806420000001</v>
      </c>
      <c r="S11" s="346">
        <v>369.88811879999997</v>
      </c>
      <c r="T11" s="346">
        <v>7.1823932920000004</v>
      </c>
      <c r="U11" s="346">
        <v>1222.2585939999999</v>
      </c>
      <c r="V11" s="346">
        <v>929.48679449999997</v>
      </c>
      <c r="W11" s="346">
        <v>-1168.125853</v>
      </c>
      <c r="X11" s="346" t="s">
        <v>101</v>
      </c>
      <c r="Y11" s="346">
        <v>56302</v>
      </c>
      <c r="Z11" s="346">
        <v>5</v>
      </c>
      <c r="AA11" s="346" t="s">
        <v>996</v>
      </c>
      <c r="AB11" s="346" t="s">
        <v>110</v>
      </c>
      <c r="AC11" s="346" t="s">
        <v>110</v>
      </c>
      <c r="AD11" s="347">
        <v>0.40770000000000001</v>
      </c>
      <c r="AE11" s="347">
        <v>0.40870000000000001</v>
      </c>
      <c r="AF11" s="346">
        <v>0.83</v>
      </c>
      <c r="AG11" s="346">
        <v>1.81</v>
      </c>
      <c r="AH11" s="346">
        <v>2.85</v>
      </c>
      <c r="AI11" s="346">
        <v>3.92</v>
      </c>
      <c r="AJ11" s="346">
        <v>5.0199999999999996</v>
      </c>
      <c r="AK11" s="347">
        <v>8.3000000000000001E-3</v>
      </c>
      <c r="AL11" s="347">
        <v>9.9000000000000008E-3</v>
      </c>
      <c r="AM11" s="347">
        <v>1.06E-2</v>
      </c>
      <c r="AN11" s="347">
        <v>1.0999999999999999E-2</v>
      </c>
      <c r="AO11" s="347">
        <v>1.14E-2</v>
      </c>
      <c r="AP11" s="347">
        <v>8.3000000000000001E-3</v>
      </c>
      <c r="AQ11" s="347">
        <v>9.1000000000000004E-3</v>
      </c>
      <c r="AR11" s="347">
        <v>9.5999999999999992E-3</v>
      </c>
      <c r="AS11" s="347">
        <v>0.01</v>
      </c>
      <c r="AT11" s="347">
        <v>1.0200000000000001E-2</v>
      </c>
      <c r="AU11" s="347">
        <v>5.0200000000000002E-2</v>
      </c>
      <c r="AV11" s="346">
        <v>-7.1</v>
      </c>
      <c r="AW11" s="346">
        <v>-3.78</v>
      </c>
      <c r="AX11" s="346">
        <v>-22.9</v>
      </c>
      <c r="AY11" s="346">
        <v>-2.2599999999999998</v>
      </c>
      <c r="AZ11" s="346">
        <v>8.0399999999999991</v>
      </c>
      <c r="BA11" s="346">
        <v>35.71</v>
      </c>
      <c r="BB11" s="346">
        <v>-12.38</v>
      </c>
      <c r="BC11" s="346">
        <v>-4</v>
      </c>
      <c r="BD11" s="346">
        <v>-3.83</v>
      </c>
      <c r="BE11" s="346">
        <v>-8.9499999999999993</v>
      </c>
      <c r="BF11" s="346">
        <v>-2.84</v>
      </c>
      <c r="BG11" s="346">
        <v>-15.86</v>
      </c>
      <c r="BH11" s="346">
        <v>-5.74</v>
      </c>
      <c r="BI11" s="346">
        <v>7.02</v>
      </c>
      <c r="BJ11" s="346">
        <v>37.409999999999997</v>
      </c>
      <c r="BK11" s="346">
        <v>-12.63</v>
      </c>
      <c r="BL11" s="346">
        <v>-3.34</v>
      </c>
      <c r="BM11" s="346">
        <v>-6.21</v>
      </c>
      <c r="BN11" s="346">
        <v>111.32</v>
      </c>
      <c r="BO11" s="346">
        <v>4.3899999999999997</v>
      </c>
      <c r="BP11" s="346">
        <v>-16.079999999999998</v>
      </c>
      <c r="BQ11" s="346">
        <v>85.03</v>
      </c>
      <c r="BR11" s="346">
        <v>73.41</v>
      </c>
      <c r="BS11" s="346">
        <v>21.56</v>
      </c>
      <c r="BT11" s="346">
        <v>-197.13</v>
      </c>
      <c r="BU11" s="346">
        <v>-278.01</v>
      </c>
      <c r="BV11" s="346">
        <v>-113.07</v>
      </c>
      <c r="BW11" s="346">
        <v>117.54</v>
      </c>
      <c r="BX11" s="346">
        <v>2.79</v>
      </c>
      <c r="BY11" s="346">
        <v>-9.2100000000000009</v>
      </c>
      <c r="BZ11" s="346">
        <v>180.74</v>
      </c>
      <c r="CA11" s="346">
        <v>53.48</v>
      </c>
      <c r="CB11" s="346">
        <v>18.59</v>
      </c>
      <c r="CC11" s="346">
        <v>-168.71</v>
      </c>
      <c r="CD11" s="346">
        <v>-194.71</v>
      </c>
      <c r="CE11" s="346">
        <v>-154.25</v>
      </c>
      <c r="CF11" s="346">
        <v>30.34</v>
      </c>
      <c r="CG11" s="346">
        <v>49.63</v>
      </c>
      <c r="CH11" s="346">
        <v>96.59</v>
      </c>
      <c r="CI11" s="346">
        <v>73.72</v>
      </c>
      <c r="CJ11" s="346">
        <v>97.45</v>
      </c>
      <c r="CK11" s="346">
        <v>100</v>
      </c>
      <c r="CL11" s="346">
        <v>74.010000000000005</v>
      </c>
      <c r="CM11" s="346">
        <v>58.07</v>
      </c>
      <c r="CN11" s="346">
        <v>81.180000000000007</v>
      </c>
      <c r="CO11" s="346">
        <v>4.21</v>
      </c>
      <c r="CP11" s="346">
        <v>-0.03</v>
      </c>
      <c r="CQ11" s="346">
        <v>22167.360000000001</v>
      </c>
      <c r="CR11" s="346">
        <v>16.41</v>
      </c>
      <c r="CS11" s="346">
        <v>21.67</v>
      </c>
      <c r="CT11" s="346">
        <v>166.85</v>
      </c>
      <c r="CU11" s="346">
        <v>39.03</v>
      </c>
      <c r="CV11" s="346">
        <v>3.61</v>
      </c>
      <c r="CW11" s="346">
        <v>519759667.77999997</v>
      </c>
    </row>
    <row r="12" spans="1:101" x14ac:dyDescent="0.25">
      <c r="A12" s="346" t="str">
        <f>VLOOKUP(B12,'Loan Book Summary'!C:G,5,FALSE)</f>
        <v>0015800000z8vOY</v>
      </c>
      <c r="B12" s="346">
        <v>1100000248</v>
      </c>
      <c r="C12" s="346" t="s">
        <v>1889</v>
      </c>
      <c r="D12" s="346" t="s">
        <v>1889</v>
      </c>
      <c r="E12" s="346">
        <v>2022</v>
      </c>
      <c r="F12" s="346">
        <v>6</v>
      </c>
      <c r="G12" s="346">
        <v>437.17986760000002</v>
      </c>
      <c r="H12" s="346">
        <v>3461.6129999999998</v>
      </c>
      <c r="I12" s="346">
        <v>3461.6129999999998</v>
      </c>
      <c r="J12" s="346">
        <v>134717.4013</v>
      </c>
      <c r="K12" s="346">
        <v>134258.07149999999</v>
      </c>
      <c r="L12" s="346">
        <v>-4450.3068249999997</v>
      </c>
      <c r="M12" s="346" t="s">
        <v>1889</v>
      </c>
      <c r="N12" s="346">
        <v>-1658.668075</v>
      </c>
      <c r="O12" s="346">
        <v>1141.331925</v>
      </c>
      <c r="P12" s="346">
        <v>143574.51809999999</v>
      </c>
      <c r="Q12" s="346">
        <v>32526.575629999999</v>
      </c>
      <c r="R12" s="346">
        <v>29335.740860000002</v>
      </c>
      <c r="S12" s="346">
        <v>13164.223760000001</v>
      </c>
      <c r="T12" s="346">
        <v>10537.55639</v>
      </c>
      <c r="U12" s="346">
        <v>-9146.9300920000005</v>
      </c>
      <c r="V12" s="346">
        <v>-19684.48648</v>
      </c>
      <c r="W12" s="346">
        <v>-17400.845509999999</v>
      </c>
      <c r="X12" s="346" t="s">
        <v>101</v>
      </c>
      <c r="Y12" s="346">
        <v>56302</v>
      </c>
      <c r="Z12" s="346">
        <v>5</v>
      </c>
      <c r="AA12" s="346" t="s">
        <v>996</v>
      </c>
      <c r="AB12" s="346" t="s">
        <v>104</v>
      </c>
      <c r="AC12" s="346" t="s">
        <v>110</v>
      </c>
      <c r="AD12" s="347">
        <v>0.65839999999999999</v>
      </c>
      <c r="AE12" s="347">
        <v>0.4385</v>
      </c>
      <c r="AF12" s="346">
        <v>1.88</v>
      </c>
      <c r="AG12" s="346">
        <v>2.96</v>
      </c>
      <c r="AH12" s="346">
        <v>3.86</v>
      </c>
      <c r="AI12" s="346">
        <v>4.6500000000000004</v>
      </c>
      <c r="AJ12" s="346">
        <v>5.37</v>
      </c>
      <c r="AK12" s="347">
        <v>1.8800000000000001E-2</v>
      </c>
      <c r="AL12" s="347">
        <v>1.0999999999999999E-2</v>
      </c>
      <c r="AM12" s="347">
        <v>9.1999999999999998E-3</v>
      </c>
      <c r="AN12" s="347">
        <v>8.2000000000000007E-3</v>
      </c>
      <c r="AO12" s="347">
        <v>7.6E-3</v>
      </c>
      <c r="AP12" s="347">
        <v>1.8800000000000001E-2</v>
      </c>
      <c r="AQ12" s="347">
        <v>1.49E-2</v>
      </c>
      <c r="AR12" s="347">
        <v>1.2999999999999999E-2</v>
      </c>
      <c r="AS12" s="347">
        <v>1.18E-2</v>
      </c>
      <c r="AT12" s="347">
        <v>1.0999999999999999E-2</v>
      </c>
      <c r="AU12" s="347">
        <v>5.3699999999999998E-2</v>
      </c>
      <c r="AV12" s="346">
        <v>-16.61</v>
      </c>
      <c r="AW12" s="346">
        <v>-1.87</v>
      </c>
      <c r="AX12" s="346">
        <v>17.04</v>
      </c>
      <c r="AY12" s="346">
        <v>-3.09</v>
      </c>
      <c r="AZ12" s="346">
        <v>-3.74</v>
      </c>
      <c r="BA12" s="346">
        <v>27.5</v>
      </c>
      <c r="BB12" s="346" t="s">
        <v>1889</v>
      </c>
      <c r="BC12" s="346">
        <v>14.85</v>
      </c>
      <c r="BD12" s="346">
        <v>-15.3</v>
      </c>
      <c r="BE12" s="346">
        <v>-18.82</v>
      </c>
      <c r="BF12" s="346">
        <v>-1.26</v>
      </c>
      <c r="BG12" s="346">
        <v>10.61</v>
      </c>
      <c r="BH12" s="346">
        <v>-7.03</v>
      </c>
      <c r="BI12" s="346">
        <v>-2.94</v>
      </c>
      <c r="BJ12" s="346">
        <v>25.9</v>
      </c>
      <c r="BK12" s="346" t="s">
        <v>1889</v>
      </c>
      <c r="BL12" s="346">
        <v>11.13</v>
      </c>
      <c r="BM12" s="346">
        <v>-22.31</v>
      </c>
      <c r="BN12" s="346">
        <v>221.71</v>
      </c>
      <c r="BO12" s="346">
        <v>-34.799999999999997</v>
      </c>
      <c r="BP12" s="346">
        <v>-323.13</v>
      </c>
      <c r="BQ12" s="346">
        <v>28.22</v>
      </c>
      <c r="BR12" s="346">
        <v>-76.760000000000005</v>
      </c>
      <c r="BS12" s="346">
        <v>109.53</v>
      </c>
      <c r="BT12" s="346">
        <v>0</v>
      </c>
      <c r="BU12" s="346">
        <v>-0.23</v>
      </c>
      <c r="BV12" s="346">
        <v>-5.63</v>
      </c>
      <c r="BW12" s="346">
        <v>288.97000000000003</v>
      </c>
      <c r="BX12" s="346">
        <v>-25.96</v>
      </c>
      <c r="BY12" s="346">
        <v>-225.1</v>
      </c>
      <c r="BZ12" s="346">
        <v>71.06</v>
      </c>
      <c r="CA12" s="346">
        <v>-66.52</v>
      </c>
      <c r="CB12" s="346">
        <v>113.27</v>
      </c>
      <c r="CC12" s="346">
        <v>0</v>
      </c>
      <c r="CD12" s="346">
        <v>-0.19</v>
      </c>
      <c r="CE12" s="346">
        <v>-8.93</v>
      </c>
      <c r="CF12" s="346">
        <v>2</v>
      </c>
      <c r="CG12" s="346">
        <v>34.36</v>
      </c>
      <c r="CH12" s="346">
        <v>18.82</v>
      </c>
      <c r="CI12" s="346">
        <v>64.7</v>
      </c>
      <c r="CJ12" s="346">
        <v>37.89</v>
      </c>
      <c r="CK12" s="346">
        <v>96.88</v>
      </c>
      <c r="CL12" s="346" t="s">
        <v>1889</v>
      </c>
      <c r="CM12" s="346">
        <v>4</v>
      </c>
      <c r="CN12" s="346">
        <v>98.52</v>
      </c>
      <c r="CO12" s="346">
        <v>-13.68</v>
      </c>
      <c r="CP12" s="346">
        <v>-1.1599999999999999</v>
      </c>
      <c r="CQ12" s="346">
        <v>38.119999999999997</v>
      </c>
      <c r="CR12" s="346">
        <v>10.88</v>
      </c>
      <c r="CS12" s="346">
        <v>-1.94</v>
      </c>
      <c r="CT12" s="346">
        <v>106.66</v>
      </c>
      <c r="CU12" s="346" t="s">
        <v>1889</v>
      </c>
      <c r="CV12" s="346">
        <v>-60.52</v>
      </c>
      <c r="CW12" s="346">
        <v>6804049388.1099997</v>
      </c>
    </row>
    <row r="13" spans="1:101" x14ac:dyDescent="0.25">
      <c r="A13" s="346" t="str">
        <f>VLOOKUP(B13,'Loan Book Summary'!C:G,5,FALSE)</f>
        <v>0018e000003Cg7J</v>
      </c>
      <c r="B13" s="346">
        <v>1100000277</v>
      </c>
      <c r="C13" s="346" t="s">
        <v>1889</v>
      </c>
      <c r="D13" s="346" t="s">
        <v>1889</v>
      </c>
      <c r="E13" s="346">
        <v>2022</v>
      </c>
      <c r="F13" s="346">
        <v>6</v>
      </c>
      <c r="G13" s="346">
        <v>50</v>
      </c>
      <c r="H13" s="346" t="s">
        <v>1889</v>
      </c>
      <c r="I13" s="346" t="s">
        <v>1889</v>
      </c>
      <c r="J13" s="346">
        <v>37599.99495</v>
      </c>
      <c r="K13" s="346">
        <v>38606.238109999998</v>
      </c>
      <c r="L13" s="346" t="s">
        <v>1889</v>
      </c>
      <c r="M13" s="346" t="s">
        <v>1889</v>
      </c>
      <c r="N13" s="346">
        <v>0</v>
      </c>
      <c r="O13" s="346" t="s">
        <v>1889</v>
      </c>
      <c r="P13" s="346">
        <v>27479.113000000001</v>
      </c>
      <c r="Q13" s="346">
        <v>15044.39797</v>
      </c>
      <c r="R13" s="346">
        <v>13117.92477</v>
      </c>
      <c r="S13" s="346">
        <v>1156.6871430000001</v>
      </c>
      <c r="T13" s="346">
        <v>2474.588123</v>
      </c>
      <c r="U13" s="346">
        <v>-963.11719159999996</v>
      </c>
      <c r="V13" s="346">
        <v>-3437.7053139999998</v>
      </c>
      <c r="W13" s="346">
        <v>-3913.4142860000002</v>
      </c>
      <c r="X13" s="346" t="s">
        <v>101</v>
      </c>
      <c r="Y13" s="346">
        <v>56302</v>
      </c>
      <c r="Z13" s="346">
        <v>5</v>
      </c>
      <c r="AA13" s="346" t="s">
        <v>996</v>
      </c>
      <c r="AB13" s="346" t="s">
        <v>104</v>
      </c>
      <c r="AC13" s="346" t="s">
        <v>110</v>
      </c>
      <c r="AD13" s="347">
        <v>0.64170000000000005</v>
      </c>
      <c r="AE13" s="347">
        <v>0.46650000000000003</v>
      </c>
      <c r="AF13" s="346">
        <v>1.77</v>
      </c>
      <c r="AG13" s="346">
        <v>2.94</v>
      </c>
      <c r="AH13" s="346">
        <v>3.95</v>
      </c>
      <c r="AI13" s="346">
        <v>4.87</v>
      </c>
      <c r="AJ13" s="346">
        <v>5.72</v>
      </c>
      <c r="AK13" s="347">
        <v>1.77E-2</v>
      </c>
      <c r="AL13" s="347">
        <v>1.1900000000000001E-2</v>
      </c>
      <c r="AM13" s="347">
        <v>1.04E-2</v>
      </c>
      <c r="AN13" s="347">
        <v>9.5999999999999992E-3</v>
      </c>
      <c r="AO13" s="347">
        <v>8.9999999999999993E-3</v>
      </c>
      <c r="AP13" s="347">
        <v>1.77E-2</v>
      </c>
      <c r="AQ13" s="347">
        <v>1.4800000000000001E-2</v>
      </c>
      <c r="AR13" s="347">
        <v>1.34E-2</v>
      </c>
      <c r="AS13" s="347">
        <v>1.24E-2</v>
      </c>
      <c r="AT13" s="347">
        <v>1.17E-2</v>
      </c>
      <c r="AU13" s="347">
        <v>5.7200000000000001E-2</v>
      </c>
      <c r="AV13" s="346" t="s">
        <v>1889</v>
      </c>
      <c r="AW13" s="346" t="s">
        <v>1889</v>
      </c>
      <c r="AX13" s="346">
        <v>36.409999999999997</v>
      </c>
      <c r="AY13" s="346">
        <v>-4.8099999999999996</v>
      </c>
      <c r="AZ13" s="346" t="s">
        <v>1889</v>
      </c>
      <c r="BA13" s="346">
        <v>5.09</v>
      </c>
      <c r="BB13" s="346" t="s">
        <v>1889</v>
      </c>
      <c r="BC13" s="346">
        <v>30.32</v>
      </c>
      <c r="BD13" s="346">
        <v>-23.37</v>
      </c>
      <c r="BE13" s="346" t="s">
        <v>1889</v>
      </c>
      <c r="BF13" s="346" t="s">
        <v>1889</v>
      </c>
      <c r="BG13" s="346">
        <v>23.8</v>
      </c>
      <c r="BH13" s="346">
        <v>-11.51</v>
      </c>
      <c r="BI13" s="346" t="s">
        <v>1889</v>
      </c>
      <c r="BJ13" s="346">
        <v>5.03</v>
      </c>
      <c r="BK13" s="346" t="s">
        <v>1889</v>
      </c>
      <c r="BL13" s="346">
        <v>23.87</v>
      </c>
      <c r="BM13" s="346">
        <v>-35.79</v>
      </c>
      <c r="BN13" s="346">
        <v>0</v>
      </c>
      <c r="BO13" s="346">
        <v>0</v>
      </c>
      <c r="BP13" s="346">
        <v>-316.66000000000003</v>
      </c>
      <c r="BQ13" s="346">
        <v>38.82</v>
      </c>
      <c r="BR13" s="346">
        <v>0</v>
      </c>
      <c r="BS13" s="346">
        <v>126.15</v>
      </c>
      <c r="BT13" s="346">
        <v>0</v>
      </c>
      <c r="BU13" s="346">
        <v>-0.22</v>
      </c>
      <c r="BV13" s="346">
        <v>-18.149999999999999</v>
      </c>
      <c r="BW13" s="346">
        <v>0</v>
      </c>
      <c r="BX13" s="346">
        <v>0</v>
      </c>
      <c r="BY13" s="346">
        <v>-230.53</v>
      </c>
      <c r="BZ13" s="346">
        <v>99.89</v>
      </c>
      <c r="CA13" s="346">
        <v>0</v>
      </c>
      <c r="CB13" s="346">
        <v>139.21</v>
      </c>
      <c r="CC13" s="346">
        <v>0</v>
      </c>
      <c r="CD13" s="346">
        <v>-0.19</v>
      </c>
      <c r="CE13" s="346">
        <v>-30.19</v>
      </c>
      <c r="CF13" s="346" t="s">
        <v>1889</v>
      </c>
      <c r="CG13" s="346" t="s">
        <v>1889</v>
      </c>
      <c r="CH13" s="346">
        <v>17.52</v>
      </c>
      <c r="CI13" s="346">
        <v>71.22</v>
      </c>
      <c r="CJ13" s="346" t="s">
        <v>1889</v>
      </c>
      <c r="CK13" s="346">
        <v>64.739999999999995</v>
      </c>
      <c r="CL13" s="346" t="s">
        <v>1889</v>
      </c>
      <c r="CM13" s="346">
        <v>5.88</v>
      </c>
      <c r="CN13" s="346">
        <v>94.29</v>
      </c>
      <c r="CO13" s="346" t="s">
        <v>1889</v>
      </c>
      <c r="CP13" s="346" t="s">
        <v>1889</v>
      </c>
      <c r="CQ13" s="346">
        <v>7.82</v>
      </c>
      <c r="CR13" s="346">
        <v>14.69</v>
      </c>
      <c r="CS13" s="346" t="s">
        <v>1889</v>
      </c>
      <c r="CT13" s="346">
        <v>73.08</v>
      </c>
      <c r="CU13" s="346" t="s">
        <v>1889</v>
      </c>
      <c r="CV13" s="346">
        <v>-22.85</v>
      </c>
      <c r="CW13" s="346">
        <v>1922701474.99</v>
      </c>
    </row>
    <row r="14" spans="1:101" x14ac:dyDescent="0.25">
      <c r="A14" s="346" t="str">
        <f>VLOOKUP(B14,'Loan Book Summary'!C:G,5,FALSE)</f>
        <v>0015800000WRe2v</v>
      </c>
      <c r="B14" s="346">
        <v>1100000271</v>
      </c>
      <c r="C14" s="346" t="s">
        <v>1889</v>
      </c>
      <c r="D14" s="346" t="s">
        <v>1889</v>
      </c>
      <c r="E14" s="346">
        <v>2022</v>
      </c>
      <c r="F14" s="346">
        <v>6</v>
      </c>
      <c r="G14" s="346">
        <v>6843.9325250000002</v>
      </c>
      <c r="H14" s="346">
        <v>237.75632999999999</v>
      </c>
      <c r="I14" s="346">
        <v>237.75632999999999</v>
      </c>
      <c r="J14" s="346">
        <v>12253.80005</v>
      </c>
      <c r="K14" s="346">
        <v>16678.388070000001</v>
      </c>
      <c r="L14" s="346">
        <v>980.11392000000001</v>
      </c>
      <c r="M14" s="346" t="s">
        <v>1889</v>
      </c>
      <c r="N14" s="346">
        <v>14249.808849999999</v>
      </c>
      <c r="O14" s="346">
        <v>15373.808849999999</v>
      </c>
      <c r="P14" s="346">
        <v>15000</v>
      </c>
      <c r="Q14" s="346">
        <v>52722.936410000002</v>
      </c>
      <c r="R14" s="346">
        <v>50496.309159999997</v>
      </c>
      <c r="S14" s="346">
        <v>2483.62862</v>
      </c>
      <c r="T14" s="346">
        <v>622.34922329999995</v>
      </c>
      <c r="U14" s="346">
        <v>-2974.5880200000001</v>
      </c>
      <c r="V14" s="346">
        <v>-3596.9372429999999</v>
      </c>
      <c r="W14" s="346">
        <v>-893.03165730000001</v>
      </c>
      <c r="X14" s="346" t="s">
        <v>101</v>
      </c>
      <c r="Y14" s="346">
        <v>56101</v>
      </c>
      <c r="Z14" s="346">
        <v>5</v>
      </c>
      <c r="AA14" s="346" t="s">
        <v>996</v>
      </c>
      <c r="AB14" s="346" t="s">
        <v>107</v>
      </c>
      <c r="AC14" s="346" t="s">
        <v>105</v>
      </c>
      <c r="AD14" s="347">
        <v>0.74819999999999998</v>
      </c>
      <c r="AE14" s="347">
        <v>0.56730000000000003</v>
      </c>
      <c r="AF14" s="346">
        <v>2.64</v>
      </c>
      <c r="AG14" s="346">
        <v>4.08</v>
      </c>
      <c r="AH14" s="346">
        <v>5.25</v>
      </c>
      <c r="AI14" s="346">
        <v>6.28</v>
      </c>
      <c r="AJ14" s="346">
        <v>7.21</v>
      </c>
      <c r="AK14" s="347">
        <v>2.64E-2</v>
      </c>
      <c r="AL14" s="347">
        <v>1.4800000000000001E-2</v>
      </c>
      <c r="AM14" s="347">
        <v>1.2200000000000001E-2</v>
      </c>
      <c r="AN14" s="347">
        <v>1.0800000000000001E-2</v>
      </c>
      <c r="AO14" s="347">
        <v>9.9000000000000008E-3</v>
      </c>
      <c r="AP14" s="347">
        <v>2.64E-2</v>
      </c>
      <c r="AQ14" s="347">
        <v>2.06E-2</v>
      </c>
      <c r="AR14" s="347">
        <v>1.78E-2</v>
      </c>
      <c r="AS14" s="347">
        <v>1.61E-2</v>
      </c>
      <c r="AT14" s="347">
        <v>1.4800000000000001E-2</v>
      </c>
      <c r="AU14" s="347">
        <v>7.2099999999999997E-2</v>
      </c>
      <c r="AV14" s="346">
        <v>-8.65</v>
      </c>
      <c r="AW14" s="346">
        <v>-3.14</v>
      </c>
      <c r="AX14" s="346">
        <v>17.07</v>
      </c>
      <c r="AY14" s="346">
        <v>-3.56</v>
      </c>
      <c r="AZ14" s="346">
        <v>7.63</v>
      </c>
      <c r="BA14" s="346">
        <v>26.3</v>
      </c>
      <c r="BB14" s="346">
        <v>-11.27</v>
      </c>
      <c r="BC14" s="346">
        <v>13.12</v>
      </c>
      <c r="BD14" s="346">
        <v>-9.26</v>
      </c>
      <c r="BE14" s="346">
        <v>-10.31</v>
      </c>
      <c r="BF14" s="346">
        <v>-2.23</v>
      </c>
      <c r="BG14" s="346">
        <v>11.17</v>
      </c>
      <c r="BH14" s="346">
        <v>-8.5299999999999994</v>
      </c>
      <c r="BI14" s="346">
        <v>6.3</v>
      </c>
      <c r="BJ14" s="346">
        <v>26.04</v>
      </c>
      <c r="BK14" s="346">
        <v>-10.88</v>
      </c>
      <c r="BL14" s="346">
        <v>10.34</v>
      </c>
      <c r="BM14" s="346">
        <v>-14.2</v>
      </c>
      <c r="BN14" s="346">
        <v>104.84</v>
      </c>
      <c r="BO14" s="346">
        <v>2.99</v>
      </c>
      <c r="BP14" s="346">
        <v>-420.72</v>
      </c>
      <c r="BQ14" s="346">
        <v>-14.1</v>
      </c>
      <c r="BR14" s="346">
        <v>-63.5</v>
      </c>
      <c r="BS14" s="346">
        <v>139.82</v>
      </c>
      <c r="BT14" s="346">
        <v>-110.73</v>
      </c>
      <c r="BU14" s="346">
        <v>-8.06</v>
      </c>
      <c r="BV14" s="346">
        <v>-35.229999999999997</v>
      </c>
      <c r="BW14" s="346">
        <v>138.19999999999999</v>
      </c>
      <c r="BX14" s="346">
        <v>2.23</v>
      </c>
      <c r="BY14" s="346">
        <v>-329.93</v>
      </c>
      <c r="BZ14" s="346">
        <v>-35.56</v>
      </c>
      <c r="CA14" s="346">
        <v>-55.76</v>
      </c>
      <c r="CB14" s="346">
        <v>156.91999999999999</v>
      </c>
      <c r="CC14" s="346">
        <v>-117.32</v>
      </c>
      <c r="CD14" s="346">
        <v>-6.58</v>
      </c>
      <c r="CE14" s="346">
        <v>-57.5</v>
      </c>
      <c r="CF14" s="346">
        <v>16.39</v>
      </c>
      <c r="CG14" s="346">
        <v>49.76</v>
      </c>
      <c r="CH14" s="346">
        <v>14.76</v>
      </c>
      <c r="CI14" s="346">
        <v>49.89</v>
      </c>
      <c r="CJ14" s="346">
        <v>13.4</v>
      </c>
      <c r="CK14" s="346">
        <v>97.64</v>
      </c>
      <c r="CL14" s="346">
        <v>77.83</v>
      </c>
      <c r="CM14" s="346">
        <v>11.06</v>
      </c>
      <c r="CN14" s="346">
        <v>92.02</v>
      </c>
      <c r="CO14" s="346">
        <v>1.86</v>
      </c>
      <c r="CP14" s="346">
        <v>-0.02</v>
      </c>
      <c r="CQ14" s="346">
        <v>-78.89</v>
      </c>
      <c r="CR14" s="346">
        <v>4.41</v>
      </c>
      <c r="CS14" s="346">
        <v>-10.79</v>
      </c>
      <c r="CT14" s="346">
        <v>110.36</v>
      </c>
      <c r="CU14" s="346">
        <v>48.03</v>
      </c>
      <c r="CV14" s="346">
        <v>-6.82</v>
      </c>
      <c r="CW14" s="346">
        <v>1355280180.02</v>
      </c>
    </row>
    <row r="15" spans="1:101" x14ac:dyDescent="0.25">
      <c r="A15" s="346" t="str">
        <f>VLOOKUP(B15,'Loan Book Summary'!C:G,5,FALSE)</f>
        <v>0018e000003CbBk</v>
      </c>
      <c r="B15" s="346">
        <v>1100000275</v>
      </c>
      <c r="C15" s="346" t="s">
        <v>1889</v>
      </c>
      <c r="D15" s="346" t="s">
        <v>1889</v>
      </c>
      <c r="E15" s="346">
        <v>2022</v>
      </c>
      <c r="F15" s="346">
        <v>6</v>
      </c>
      <c r="G15" s="346">
        <v>6843.9325250000002</v>
      </c>
      <c r="H15" s="346">
        <v>237.75632999999999</v>
      </c>
      <c r="I15" s="346">
        <v>237.75632999999999</v>
      </c>
      <c r="J15" s="346">
        <v>12253.80005</v>
      </c>
      <c r="K15" s="346">
        <v>16678.388070000001</v>
      </c>
      <c r="L15" s="346">
        <v>980.11392000000001</v>
      </c>
      <c r="M15" s="346" t="s">
        <v>1889</v>
      </c>
      <c r="N15" s="346">
        <v>14249.808849999999</v>
      </c>
      <c r="O15" s="346">
        <v>15373.808849999999</v>
      </c>
      <c r="P15" s="346">
        <v>15000</v>
      </c>
      <c r="Q15" s="346">
        <v>52722.936410000002</v>
      </c>
      <c r="R15" s="346">
        <v>50496.309159999997</v>
      </c>
      <c r="S15" s="346">
        <v>2483.62862</v>
      </c>
      <c r="T15" s="346">
        <v>622.34922329999995</v>
      </c>
      <c r="U15" s="346">
        <v>-2974.5880200000001</v>
      </c>
      <c r="V15" s="346">
        <v>-3596.9372429999999</v>
      </c>
      <c r="W15" s="346">
        <v>-893.03165730000001</v>
      </c>
      <c r="X15" s="346" t="s">
        <v>101</v>
      </c>
      <c r="Y15" s="346">
        <v>56101</v>
      </c>
      <c r="Z15" s="346">
        <v>5</v>
      </c>
      <c r="AA15" s="346" t="s">
        <v>996</v>
      </c>
      <c r="AB15" s="346" t="s">
        <v>107</v>
      </c>
      <c r="AC15" s="346" t="s">
        <v>105</v>
      </c>
      <c r="AD15" s="347">
        <v>0.74819999999999998</v>
      </c>
      <c r="AE15" s="347">
        <v>0.56730000000000003</v>
      </c>
      <c r="AF15" s="346">
        <v>2.64</v>
      </c>
      <c r="AG15" s="346">
        <v>4.08</v>
      </c>
      <c r="AH15" s="346">
        <v>5.25</v>
      </c>
      <c r="AI15" s="346">
        <v>6.28</v>
      </c>
      <c r="AJ15" s="346">
        <v>7.21</v>
      </c>
      <c r="AK15" s="347">
        <v>2.64E-2</v>
      </c>
      <c r="AL15" s="347">
        <v>1.4800000000000001E-2</v>
      </c>
      <c r="AM15" s="347">
        <v>1.2200000000000001E-2</v>
      </c>
      <c r="AN15" s="347">
        <v>1.0800000000000001E-2</v>
      </c>
      <c r="AO15" s="347">
        <v>9.9000000000000008E-3</v>
      </c>
      <c r="AP15" s="347">
        <v>2.64E-2</v>
      </c>
      <c r="AQ15" s="347">
        <v>2.06E-2</v>
      </c>
      <c r="AR15" s="347">
        <v>1.78E-2</v>
      </c>
      <c r="AS15" s="347">
        <v>1.61E-2</v>
      </c>
      <c r="AT15" s="347">
        <v>1.4800000000000001E-2</v>
      </c>
      <c r="AU15" s="347">
        <v>7.2099999999999997E-2</v>
      </c>
      <c r="AV15" s="346">
        <v>-8.65</v>
      </c>
      <c r="AW15" s="346">
        <v>-3.14</v>
      </c>
      <c r="AX15" s="346">
        <v>17.07</v>
      </c>
      <c r="AY15" s="346">
        <v>-3.56</v>
      </c>
      <c r="AZ15" s="346">
        <v>7.63</v>
      </c>
      <c r="BA15" s="346">
        <v>26.3</v>
      </c>
      <c r="BB15" s="346">
        <v>-11.27</v>
      </c>
      <c r="BC15" s="346">
        <v>13.12</v>
      </c>
      <c r="BD15" s="346">
        <v>-9.26</v>
      </c>
      <c r="BE15" s="346">
        <v>-10.31</v>
      </c>
      <c r="BF15" s="346">
        <v>-2.23</v>
      </c>
      <c r="BG15" s="346">
        <v>11.17</v>
      </c>
      <c r="BH15" s="346">
        <v>-8.5299999999999994</v>
      </c>
      <c r="BI15" s="346">
        <v>6.3</v>
      </c>
      <c r="BJ15" s="346">
        <v>26.04</v>
      </c>
      <c r="BK15" s="346">
        <v>-10.88</v>
      </c>
      <c r="BL15" s="346">
        <v>10.34</v>
      </c>
      <c r="BM15" s="346">
        <v>-14.2</v>
      </c>
      <c r="BN15" s="346">
        <v>104.84</v>
      </c>
      <c r="BO15" s="346">
        <v>2.99</v>
      </c>
      <c r="BP15" s="346">
        <v>-420.72</v>
      </c>
      <c r="BQ15" s="346">
        <v>-14.1</v>
      </c>
      <c r="BR15" s="346">
        <v>-63.5</v>
      </c>
      <c r="BS15" s="346">
        <v>139.82</v>
      </c>
      <c r="BT15" s="346">
        <v>-110.73</v>
      </c>
      <c r="BU15" s="346">
        <v>-8.06</v>
      </c>
      <c r="BV15" s="346">
        <v>-35.229999999999997</v>
      </c>
      <c r="BW15" s="346">
        <v>138.19999999999999</v>
      </c>
      <c r="BX15" s="346">
        <v>2.23</v>
      </c>
      <c r="BY15" s="346">
        <v>-329.93</v>
      </c>
      <c r="BZ15" s="346">
        <v>-35.56</v>
      </c>
      <c r="CA15" s="346">
        <v>-55.76</v>
      </c>
      <c r="CB15" s="346">
        <v>156.91999999999999</v>
      </c>
      <c r="CC15" s="346">
        <v>-117.32</v>
      </c>
      <c r="CD15" s="346">
        <v>-6.58</v>
      </c>
      <c r="CE15" s="346">
        <v>-57.5</v>
      </c>
      <c r="CF15" s="346">
        <v>16.39</v>
      </c>
      <c r="CG15" s="346">
        <v>49.76</v>
      </c>
      <c r="CH15" s="346">
        <v>14.76</v>
      </c>
      <c r="CI15" s="346">
        <v>49.89</v>
      </c>
      <c r="CJ15" s="346">
        <v>13.4</v>
      </c>
      <c r="CK15" s="346">
        <v>97.64</v>
      </c>
      <c r="CL15" s="346">
        <v>77.83</v>
      </c>
      <c r="CM15" s="346">
        <v>11.06</v>
      </c>
      <c r="CN15" s="346">
        <v>92.02</v>
      </c>
      <c r="CO15" s="346">
        <v>1.86</v>
      </c>
      <c r="CP15" s="346">
        <v>-0.02</v>
      </c>
      <c r="CQ15" s="346">
        <v>-78.89</v>
      </c>
      <c r="CR15" s="346">
        <v>4.41</v>
      </c>
      <c r="CS15" s="346">
        <v>-10.79</v>
      </c>
      <c r="CT15" s="346">
        <v>110.36</v>
      </c>
      <c r="CU15" s="346">
        <v>48.03</v>
      </c>
      <c r="CV15" s="346">
        <v>-6.82</v>
      </c>
      <c r="CW15" s="346">
        <v>1355280180.02</v>
      </c>
    </row>
    <row r="16" spans="1:101" x14ac:dyDescent="0.25">
      <c r="A16" s="346" t="str">
        <f>VLOOKUP(B16,'Loan Book Summary'!C:G,5,FALSE)</f>
        <v>00158000010bEcS</v>
      </c>
      <c r="B16" s="346">
        <v>1200000125</v>
      </c>
      <c r="C16" s="346" t="s">
        <v>1889</v>
      </c>
      <c r="D16" s="346" t="s">
        <v>1889</v>
      </c>
      <c r="E16" s="346">
        <v>2022</v>
      </c>
      <c r="F16" s="346">
        <v>6</v>
      </c>
      <c r="G16" s="346">
        <v>2127.3712300000002</v>
      </c>
      <c r="H16" s="346">
        <v>40.383870000000002</v>
      </c>
      <c r="I16" s="346">
        <v>40.383870000000002</v>
      </c>
      <c r="J16" s="346">
        <v>5902.3667340000002</v>
      </c>
      <c r="K16" s="346">
        <v>7071.8755110000002</v>
      </c>
      <c r="L16" s="346">
        <v>184.95749570000001</v>
      </c>
      <c r="M16" s="346" t="s">
        <v>1889</v>
      </c>
      <c r="N16" s="346">
        <v>1981.4841759999999</v>
      </c>
      <c r="O16" s="346">
        <v>2048.150842</v>
      </c>
      <c r="P16" s="346">
        <v>4150.6435099999999</v>
      </c>
      <c r="Q16" s="346">
        <v>8638.1647539999994</v>
      </c>
      <c r="R16" s="346">
        <v>9009.5244220000004</v>
      </c>
      <c r="S16" s="346">
        <v>542.30173009999999</v>
      </c>
      <c r="T16" s="346">
        <v>127.71273789999999</v>
      </c>
      <c r="U16" s="346">
        <v>-369.52484099999998</v>
      </c>
      <c r="V16" s="346">
        <v>-499.65753410000002</v>
      </c>
      <c r="W16" s="346">
        <v>-483.39630160000002</v>
      </c>
      <c r="X16" s="346" t="s">
        <v>101</v>
      </c>
      <c r="Y16" s="346">
        <v>56101</v>
      </c>
      <c r="Z16" s="346">
        <v>5</v>
      </c>
      <c r="AA16" s="346" t="s">
        <v>996</v>
      </c>
      <c r="AB16" s="346" t="s">
        <v>110</v>
      </c>
      <c r="AC16" s="346" t="s">
        <v>110</v>
      </c>
      <c r="AD16" s="347">
        <v>0.46379999999999999</v>
      </c>
      <c r="AE16" s="347">
        <v>0.35070000000000001</v>
      </c>
      <c r="AF16" s="346">
        <v>1</v>
      </c>
      <c r="AG16" s="346">
        <v>1.9</v>
      </c>
      <c r="AH16" s="346">
        <v>2.75</v>
      </c>
      <c r="AI16" s="346">
        <v>3.59</v>
      </c>
      <c r="AJ16" s="346">
        <v>4.4000000000000004</v>
      </c>
      <c r="AK16" s="347">
        <v>0.01</v>
      </c>
      <c r="AL16" s="347">
        <v>9.1000000000000004E-3</v>
      </c>
      <c r="AM16" s="347">
        <v>8.8000000000000005E-3</v>
      </c>
      <c r="AN16" s="347">
        <v>8.6E-3</v>
      </c>
      <c r="AO16" s="347">
        <v>8.3999999999999995E-3</v>
      </c>
      <c r="AP16" s="347">
        <v>0.01</v>
      </c>
      <c r="AQ16" s="347">
        <v>9.4999999999999998E-3</v>
      </c>
      <c r="AR16" s="347">
        <v>9.2999999999999992E-3</v>
      </c>
      <c r="AS16" s="347">
        <v>9.1000000000000004E-3</v>
      </c>
      <c r="AT16" s="347">
        <v>8.9999999999999993E-3</v>
      </c>
      <c r="AU16" s="347">
        <v>4.3999999999999997E-2</v>
      </c>
      <c r="AV16" s="346">
        <v>-12.3</v>
      </c>
      <c r="AW16" s="346">
        <v>-4.3499999999999996</v>
      </c>
      <c r="AX16" s="346">
        <v>19.82</v>
      </c>
      <c r="AY16" s="346">
        <v>-2.56</v>
      </c>
      <c r="AZ16" s="346">
        <v>-6.81</v>
      </c>
      <c r="BA16" s="346">
        <v>8.48</v>
      </c>
      <c r="BB16" s="346">
        <v>-24.08</v>
      </c>
      <c r="BC16" s="346">
        <v>18.649999999999999</v>
      </c>
      <c r="BD16" s="346">
        <v>-2.95</v>
      </c>
      <c r="BE16" s="346">
        <v>-15.7</v>
      </c>
      <c r="BF16" s="346">
        <v>-3.31</v>
      </c>
      <c r="BG16" s="346">
        <v>13.9</v>
      </c>
      <c r="BH16" s="346">
        <v>-6.58</v>
      </c>
      <c r="BI16" s="346">
        <v>-6.03</v>
      </c>
      <c r="BJ16" s="346">
        <v>9</v>
      </c>
      <c r="BK16" s="346">
        <v>-24.89</v>
      </c>
      <c r="BL16" s="346">
        <v>15.75</v>
      </c>
      <c r="BM16" s="346">
        <v>-4.8499999999999996</v>
      </c>
      <c r="BN16" s="346">
        <v>99.22</v>
      </c>
      <c r="BO16" s="346">
        <v>2.67</v>
      </c>
      <c r="BP16" s="346">
        <v>-396.96</v>
      </c>
      <c r="BQ16" s="346">
        <v>-56.97</v>
      </c>
      <c r="BR16" s="346">
        <v>-76.64</v>
      </c>
      <c r="BS16" s="346">
        <v>180.41</v>
      </c>
      <c r="BT16" s="346">
        <v>-27.75</v>
      </c>
      <c r="BU16" s="346">
        <v>-7.2</v>
      </c>
      <c r="BV16" s="346">
        <v>-52.17</v>
      </c>
      <c r="BW16" s="346">
        <v>122.38</v>
      </c>
      <c r="BX16" s="346">
        <v>1.77</v>
      </c>
      <c r="BY16" s="346">
        <v>-269.20999999999998</v>
      </c>
      <c r="BZ16" s="346">
        <v>-141.08000000000001</v>
      </c>
      <c r="CA16" s="346">
        <v>-65.27</v>
      </c>
      <c r="CB16" s="346">
        <v>185.31</v>
      </c>
      <c r="CC16" s="346">
        <v>-27.04</v>
      </c>
      <c r="CD16" s="346">
        <v>-5.26</v>
      </c>
      <c r="CE16" s="346">
        <v>-82.67</v>
      </c>
      <c r="CF16" s="346">
        <v>18</v>
      </c>
      <c r="CG16" s="346">
        <v>54.8</v>
      </c>
      <c r="CH16" s="346">
        <v>24.65</v>
      </c>
      <c r="CI16" s="346">
        <v>29.54</v>
      </c>
      <c r="CJ16" s="346">
        <v>43.95</v>
      </c>
      <c r="CK16" s="346">
        <v>71.12</v>
      </c>
      <c r="CL16" s="346">
        <v>90.87</v>
      </c>
      <c r="CM16" s="346">
        <v>11.87</v>
      </c>
      <c r="CN16" s="346">
        <v>76.959999999999994</v>
      </c>
      <c r="CO16" s="346">
        <v>2.14</v>
      </c>
      <c r="CP16" s="346">
        <v>0.02</v>
      </c>
      <c r="CQ16" s="346">
        <v>135.29</v>
      </c>
      <c r="CR16" s="346">
        <v>-4.12</v>
      </c>
      <c r="CS16" s="346">
        <v>-1.04</v>
      </c>
      <c r="CT16" s="346">
        <v>77.78</v>
      </c>
      <c r="CU16" s="346">
        <v>107.36</v>
      </c>
      <c r="CV16" s="346">
        <v>-5.78</v>
      </c>
      <c r="CW16" s="346">
        <v>403146111.94999999</v>
      </c>
    </row>
    <row r="17" spans="1:101" x14ac:dyDescent="0.25">
      <c r="A17" s="346" t="str">
        <f>VLOOKUP(B17,'Loan Book Summary'!C:G,5,FALSE)</f>
        <v>0015800000blLRK</v>
      </c>
      <c r="B17" s="346">
        <v>1100000141</v>
      </c>
      <c r="C17" s="346" t="s">
        <v>1889</v>
      </c>
      <c r="D17" s="346" t="s">
        <v>1889</v>
      </c>
      <c r="E17" s="346">
        <v>2022</v>
      </c>
      <c r="F17" s="346">
        <v>6</v>
      </c>
      <c r="G17" s="346">
        <v>178.00588959999999</v>
      </c>
      <c r="H17" s="346">
        <v>142.34899999999999</v>
      </c>
      <c r="I17" s="346">
        <v>142.34899999999999</v>
      </c>
      <c r="J17" s="346">
        <v>837.00889459999996</v>
      </c>
      <c r="K17" s="346">
        <v>883.55802319999998</v>
      </c>
      <c r="L17" s="346">
        <v>351.13067560000002</v>
      </c>
      <c r="M17" s="346" t="s">
        <v>1889</v>
      </c>
      <c r="N17" s="346">
        <v>933.26467560000003</v>
      </c>
      <c r="O17" s="346">
        <v>933.26467560000003</v>
      </c>
      <c r="P17" s="346">
        <v>1388.5540000000001</v>
      </c>
      <c r="Q17" s="346">
        <v>5503.7690039999998</v>
      </c>
      <c r="R17" s="346">
        <v>4157.2957569999999</v>
      </c>
      <c r="S17" s="346">
        <v>60.262685040000001</v>
      </c>
      <c r="T17" s="346" t="s">
        <v>1889</v>
      </c>
      <c r="U17" s="346">
        <v>-46.549128590000002</v>
      </c>
      <c r="V17" s="346">
        <v>-48.466478809999998</v>
      </c>
      <c r="W17" s="346">
        <v>8.2398056999999998</v>
      </c>
      <c r="X17" s="346" t="s">
        <v>101</v>
      </c>
      <c r="Y17" s="346">
        <v>56101</v>
      </c>
      <c r="Z17" s="346">
        <v>5</v>
      </c>
      <c r="AA17" s="346" t="s">
        <v>996</v>
      </c>
      <c r="AB17" s="346" t="s">
        <v>107</v>
      </c>
      <c r="AC17" s="346" t="s">
        <v>107</v>
      </c>
      <c r="AD17" s="347">
        <v>0.77690000000000003</v>
      </c>
      <c r="AE17" s="347">
        <v>0.77339999999999998</v>
      </c>
      <c r="AF17" s="346">
        <v>2.99</v>
      </c>
      <c r="AG17" s="346">
        <v>5.6</v>
      </c>
      <c r="AH17" s="346">
        <v>8.0399999999999991</v>
      </c>
      <c r="AI17" s="346">
        <v>10.35</v>
      </c>
      <c r="AJ17" s="346">
        <v>12.57</v>
      </c>
      <c r="AK17" s="347">
        <v>2.9899999999999999E-2</v>
      </c>
      <c r="AL17" s="347">
        <v>2.69E-2</v>
      </c>
      <c r="AM17" s="347">
        <v>2.58E-2</v>
      </c>
      <c r="AN17" s="347">
        <v>2.52E-2</v>
      </c>
      <c r="AO17" s="347">
        <v>2.47E-2</v>
      </c>
      <c r="AP17" s="347">
        <v>2.9899999999999999E-2</v>
      </c>
      <c r="AQ17" s="347">
        <v>2.8400000000000002E-2</v>
      </c>
      <c r="AR17" s="347">
        <v>2.75E-2</v>
      </c>
      <c r="AS17" s="347">
        <v>2.7E-2</v>
      </c>
      <c r="AT17" s="347">
        <v>2.6499999999999999E-2</v>
      </c>
      <c r="AU17" s="347">
        <v>0.12570000000000001</v>
      </c>
      <c r="AV17" s="346">
        <v>-7.13</v>
      </c>
      <c r="AW17" s="346">
        <v>-3.95</v>
      </c>
      <c r="AX17" s="346" t="s">
        <v>1889</v>
      </c>
      <c r="AY17" s="346">
        <v>4.5199999999999996</v>
      </c>
      <c r="AZ17" s="346">
        <v>-3.84</v>
      </c>
      <c r="BA17" s="346">
        <v>54.29</v>
      </c>
      <c r="BB17" s="346">
        <v>-5.56</v>
      </c>
      <c r="BC17" s="346">
        <v>19.8</v>
      </c>
      <c r="BD17" s="346">
        <v>-0.9</v>
      </c>
      <c r="BE17" s="346">
        <v>-8.3800000000000008</v>
      </c>
      <c r="BF17" s="346">
        <v>-2.77</v>
      </c>
      <c r="BG17" s="346" t="s">
        <v>1889</v>
      </c>
      <c r="BH17" s="346">
        <v>10.68</v>
      </c>
      <c r="BI17" s="346">
        <v>-3.12</v>
      </c>
      <c r="BJ17" s="346">
        <v>53.01</v>
      </c>
      <c r="BK17" s="346">
        <v>-5.29</v>
      </c>
      <c r="BL17" s="346">
        <v>15.39</v>
      </c>
      <c r="BM17" s="346">
        <v>-1.36</v>
      </c>
      <c r="BN17" s="346">
        <v>43.46</v>
      </c>
      <c r="BO17" s="346">
        <v>-21.78</v>
      </c>
      <c r="BP17" s="346">
        <v>0</v>
      </c>
      <c r="BQ17" s="346">
        <v>36.770000000000003</v>
      </c>
      <c r="BR17" s="346">
        <v>-59.19</v>
      </c>
      <c r="BS17" s="346">
        <v>22.82</v>
      </c>
      <c r="BT17" s="346">
        <v>-168.74</v>
      </c>
      <c r="BU17" s="346">
        <v>-97.41</v>
      </c>
      <c r="BV17" s="346">
        <v>-349.83</v>
      </c>
      <c r="BW17" s="346">
        <v>41.86</v>
      </c>
      <c r="BX17" s="346">
        <v>-11.89</v>
      </c>
      <c r="BY17" s="346">
        <v>0</v>
      </c>
      <c r="BZ17" s="346">
        <v>73.37</v>
      </c>
      <c r="CA17" s="346">
        <v>-39.21</v>
      </c>
      <c r="CB17" s="346">
        <v>17.37</v>
      </c>
      <c r="CC17" s="346">
        <v>-138.26</v>
      </c>
      <c r="CD17" s="346">
        <v>-63.61</v>
      </c>
      <c r="CE17" s="346">
        <v>-414.42</v>
      </c>
      <c r="CF17" s="346">
        <v>43.5</v>
      </c>
      <c r="CG17" s="346">
        <v>37.619999999999997</v>
      </c>
      <c r="CH17" s="346" t="s">
        <v>1889</v>
      </c>
      <c r="CI17" s="346">
        <v>87.38</v>
      </c>
      <c r="CJ17" s="346">
        <v>31.37</v>
      </c>
      <c r="CK17" s="346">
        <v>99.45</v>
      </c>
      <c r="CL17" s="346">
        <v>61.4</v>
      </c>
      <c r="CM17" s="346">
        <v>20.64</v>
      </c>
      <c r="CN17" s="346">
        <v>36.479999999999997</v>
      </c>
      <c r="CO17" s="346">
        <v>6.38</v>
      </c>
      <c r="CP17" s="346">
        <v>-0.84</v>
      </c>
      <c r="CQ17" s="346" t="s">
        <v>1889</v>
      </c>
      <c r="CR17" s="346">
        <v>32.39</v>
      </c>
      <c r="CS17" s="346">
        <v>-3.19</v>
      </c>
      <c r="CT17" s="346">
        <v>131.16</v>
      </c>
      <c r="CU17" s="346">
        <v>19.07</v>
      </c>
      <c r="CV17" s="346">
        <v>-0.88</v>
      </c>
      <c r="CW17" s="346">
        <v>90524150.579999998</v>
      </c>
    </row>
    <row r="18" spans="1:101" x14ac:dyDescent="0.25">
      <c r="A18" s="346" t="str">
        <f>VLOOKUP(B18,'Loan Book Summary'!C:G,5,FALSE)</f>
        <v>0014I00001pussv</v>
      </c>
      <c r="B18" s="346">
        <v>1100000203</v>
      </c>
      <c r="C18" s="346" t="s">
        <v>1889</v>
      </c>
      <c r="D18" s="346" t="s">
        <v>1889</v>
      </c>
      <c r="E18" s="346">
        <v>2022</v>
      </c>
      <c r="F18" s="346">
        <v>6</v>
      </c>
      <c r="G18" s="346">
        <v>453.70547160000001</v>
      </c>
      <c r="H18" s="346">
        <v>47.357419999999998</v>
      </c>
      <c r="I18" s="346">
        <v>47.357419999999998</v>
      </c>
      <c r="J18" s="346">
        <v>2741.6080740000002</v>
      </c>
      <c r="K18" s="346">
        <v>2598.7837639999998</v>
      </c>
      <c r="L18" s="346">
        <v>74.925087210000001</v>
      </c>
      <c r="M18" s="346" t="s">
        <v>1889</v>
      </c>
      <c r="N18" s="346">
        <v>419.76313720000002</v>
      </c>
      <c r="O18" s="346">
        <v>421.50301789999997</v>
      </c>
      <c r="P18" s="346">
        <v>895.19547</v>
      </c>
      <c r="Q18" s="346">
        <v>2334.1112939999998</v>
      </c>
      <c r="R18" s="346">
        <v>2264.1452899999999</v>
      </c>
      <c r="S18" s="346">
        <v>96.923859280000002</v>
      </c>
      <c r="T18" s="346">
        <v>49.190636300000001</v>
      </c>
      <c r="U18" s="346">
        <v>291.54250070000001</v>
      </c>
      <c r="V18" s="346">
        <v>193.88149150000001</v>
      </c>
      <c r="W18" s="346">
        <v>181.82460280000001</v>
      </c>
      <c r="X18" s="346" t="s">
        <v>101</v>
      </c>
      <c r="Y18" s="346">
        <v>56102</v>
      </c>
      <c r="Z18" s="346">
        <v>5</v>
      </c>
      <c r="AA18" s="346" t="s">
        <v>996</v>
      </c>
      <c r="AB18" s="346" t="s">
        <v>226</v>
      </c>
      <c r="AC18" s="346" t="s">
        <v>226</v>
      </c>
      <c r="AD18" s="347">
        <v>5.1900000000000002E-2</v>
      </c>
      <c r="AE18" s="347">
        <v>4.1099999999999998E-2</v>
      </c>
      <c r="AF18" s="346">
        <v>0.18</v>
      </c>
      <c r="AG18" s="346">
        <v>0.41</v>
      </c>
      <c r="AH18" s="346">
        <v>0.66</v>
      </c>
      <c r="AI18" s="346">
        <v>0.92</v>
      </c>
      <c r="AJ18" s="346">
        <v>1.2</v>
      </c>
      <c r="AK18" s="347">
        <v>1.8E-3</v>
      </c>
      <c r="AL18" s="347">
        <v>2.3E-3</v>
      </c>
      <c r="AM18" s="347">
        <v>2.5000000000000001E-3</v>
      </c>
      <c r="AN18" s="347">
        <v>2.5999999999999999E-3</v>
      </c>
      <c r="AO18" s="347">
        <v>2.8E-3</v>
      </c>
      <c r="AP18" s="347">
        <v>1.8E-3</v>
      </c>
      <c r="AQ18" s="347">
        <v>2E-3</v>
      </c>
      <c r="AR18" s="347">
        <v>2.2000000000000001E-3</v>
      </c>
      <c r="AS18" s="347">
        <v>2.3E-3</v>
      </c>
      <c r="AT18" s="347">
        <v>2.3999999999999998E-3</v>
      </c>
      <c r="AU18" s="347">
        <v>1.2E-2</v>
      </c>
      <c r="AV18" s="346">
        <v>-11.02</v>
      </c>
      <c r="AW18" s="346">
        <v>-5.0199999999999996</v>
      </c>
      <c r="AX18" s="346">
        <v>-7.06</v>
      </c>
      <c r="AY18" s="346">
        <v>-5.64</v>
      </c>
      <c r="AZ18" s="346">
        <v>-9.7899999999999991</v>
      </c>
      <c r="BA18" s="346">
        <v>-19.989999999999998</v>
      </c>
      <c r="BB18" s="346">
        <v>-27.12</v>
      </c>
      <c r="BC18" s="346">
        <v>-12.68</v>
      </c>
      <c r="BD18" s="346">
        <v>-1.68</v>
      </c>
      <c r="BE18" s="346">
        <v>-12.95</v>
      </c>
      <c r="BF18" s="346">
        <v>-3.51</v>
      </c>
      <c r="BG18" s="346">
        <v>-4.55</v>
      </c>
      <c r="BH18" s="346">
        <v>-13.32</v>
      </c>
      <c r="BI18" s="346">
        <v>-7.97</v>
      </c>
      <c r="BJ18" s="346">
        <v>-19.52</v>
      </c>
      <c r="BK18" s="346">
        <v>-25.8</v>
      </c>
      <c r="BL18" s="346">
        <v>-9.85</v>
      </c>
      <c r="BM18" s="346">
        <v>-2.54</v>
      </c>
      <c r="BN18" s="346">
        <v>53.55</v>
      </c>
      <c r="BO18" s="346">
        <v>1.87</v>
      </c>
      <c r="BP18" s="346">
        <v>-363.03</v>
      </c>
      <c r="BQ18" s="346">
        <v>-14.25</v>
      </c>
      <c r="BR18" s="346">
        <v>-19.47</v>
      </c>
      <c r="BS18" s="346">
        <v>30.74</v>
      </c>
      <c r="BT18" s="346">
        <v>-20.03</v>
      </c>
      <c r="BU18" s="346">
        <v>-45.59</v>
      </c>
      <c r="BV18" s="346">
        <v>-351.48</v>
      </c>
      <c r="BW18" s="346">
        <v>66.11</v>
      </c>
      <c r="BX18" s="346">
        <v>1.46</v>
      </c>
      <c r="BY18" s="346">
        <v>-206.67</v>
      </c>
      <c r="BZ18" s="346">
        <v>-36.979999999999997</v>
      </c>
      <c r="CA18" s="346">
        <v>-17.100000000000001</v>
      </c>
      <c r="CB18" s="346">
        <v>31.85</v>
      </c>
      <c r="CC18" s="346">
        <v>-20.53</v>
      </c>
      <c r="CD18" s="346">
        <v>-37.21</v>
      </c>
      <c r="CE18" s="346">
        <v>-482.09</v>
      </c>
      <c r="CF18" s="346">
        <v>24.31</v>
      </c>
      <c r="CG18" s="346">
        <v>48.82</v>
      </c>
      <c r="CH18" s="346">
        <v>58.73</v>
      </c>
      <c r="CI18" s="346">
        <v>46.5</v>
      </c>
      <c r="CJ18" s="346">
        <v>54.25</v>
      </c>
      <c r="CK18" s="346">
        <v>25.97</v>
      </c>
      <c r="CL18" s="346">
        <v>90.96</v>
      </c>
      <c r="CM18" s="346">
        <v>78.290000000000006</v>
      </c>
      <c r="CN18" s="346">
        <v>55.13</v>
      </c>
      <c r="CO18" s="346">
        <v>3.21</v>
      </c>
      <c r="CP18" s="346">
        <v>-0.06</v>
      </c>
      <c r="CQ18" s="346">
        <v>789.72</v>
      </c>
      <c r="CR18" s="346">
        <v>3.09</v>
      </c>
      <c r="CS18" s="346">
        <v>0.11</v>
      </c>
      <c r="CT18" s="346">
        <v>41.59</v>
      </c>
      <c r="CU18" s="346">
        <v>108.09</v>
      </c>
      <c r="CV18" s="346">
        <v>8.31</v>
      </c>
      <c r="CW18" s="346">
        <v>161658880.50999999</v>
      </c>
    </row>
    <row r="19" spans="1:101" x14ac:dyDescent="0.25">
      <c r="A19" s="346" t="str">
        <f>VLOOKUP(B19,'Loan Book Summary'!C:G,5,FALSE)</f>
        <v>0014I00001zbcqS</v>
      </c>
      <c r="B19" s="346">
        <v>1200000157</v>
      </c>
      <c r="C19" s="346" t="s">
        <v>1889</v>
      </c>
      <c r="D19" s="346" t="s">
        <v>1889</v>
      </c>
      <c r="E19" s="346">
        <v>2022</v>
      </c>
      <c r="F19" s="346">
        <v>6</v>
      </c>
      <c r="G19" s="346">
        <v>1467.6642730000001</v>
      </c>
      <c r="H19" s="346">
        <v>1026.405</v>
      </c>
      <c r="I19" s="346">
        <v>1026.405</v>
      </c>
      <c r="J19" s="346">
        <v>3068.3552100000002</v>
      </c>
      <c r="K19" s="346">
        <v>4395.2602749999996</v>
      </c>
      <c r="L19" s="346">
        <v>2329.6779999999999</v>
      </c>
      <c r="M19" s="346" t="s">
        <v>1889</v>
      </c>
      <c r="N19" s="346">
        <v>3500.6660000000002</v>
      </c>
      <c r="O19" s="346">
        <v>3500.6660000000002</v>
      </c>
      <c r="P19" s="346">
        <v>941.44135000000006</v>
      </c>
      <c r="Q19" s="346">
        <v>18021.605009999999</v>
      </c>
      <c r="R19" s="346">
        <v>18749.678879999999</v>
      </c>
      <c r="S19" s="346">
        <v>393.7531055</v>
      </c>
      <c r="T19" s="346">
        <v>50.436610039999998</v>
      </c>
      <c r="U19" s="346">
        <v>-587.34831299999996</v>
      </c>
      <c r="V19" s="346">
        <v>-653.34147170000006</v>
      </c>
      <c r="W19" s="346">
        <v>-329.46477829999998</v>
      </c>
      <c r="X19" s="346" t="s">
        <v>101</v>
      </c>
      <c r="Y19" s="346">
        <v>56101</v>
      </c>
      <c r="Z19" s="346">
        <v>5</v>
      </c>
      <c r="AA19" s="346" t="s">
        <v>996</v>
      </c>
      <c r="AB19" s="346" t="s">
        <v>104</v>
      </c>
      <c r="AC19" s="346" t="s">
        <v>105</v>
      </c>
      <c r="AD19" s="347">
        <v>0.6774</v>
      </c>
      <c r="AE19" s="347">
        <v>0.5877</v>
      </c>
      <c r="AF19" s="346">
        <v>2.0099999999999998</v>
      </c>
      <c r="AG19" s="346">
        <v>3.57</v>
      </c>
      <c r="AH19" s="346">
        <v>4.99</v>
      </c>
      <c r="AI19" s="346">
        <v>6.3</v>
      </c>
      <c r="AJ19" s="346">
        <v>7.55</v>
      </c>
      <c r="AK19" s="347">
        <v>2.01E-2</v>
      </c>
      <c r="AL19" s="347">
        <v>1.5900000000000001E-2</v>
      </c>
      <c r="AM19" s="347">
        <v>1.46E-2</v>
      </c>
      <c r="AN19" s="347">
        <v>1.3899999999999999E-2</v>
      </c>
      <c r="AO19" s="347">
        <v>1.3299999999999999E-2</v>
      </c>
      <c r="AP19" s="347">
        <v>2.01E-2</v>
      </c>
      <c r="AQ19" s="347">
        <v>1.7999999999999999E-2</v>
      </c>
      <c r="AR19" s="347">
        <v>1.6899999999999998E-2</v>
      </c>
      <c r="AS19" s="347">
        <v>1.61E-2</v>
      </c>
      <c r="AT19" s="347">
        <v>1.5599999999999999E-2</v>
      </c>
      <c r="AU19" s="347">
        <v>7.5499999999999998E-2</v>
      </c>
      <c r="AV19" s="346">
        <v>12.52</v>
      </c>
      <c r="AW19" s="346">
        <v>-5.07</v>
      </c>
      <c r="AX19" s="346">
        <v>30.85</v>
      </c>
      <c r="AY19" s="346">
        <v>-3.26</v>
      </c>
      <c r="AZ19" s="346">
        <v>2.13</v>
      </c>
      <c r="BA19" s="346">
        <v>-3.19</v>
      </c>
      <c r="BB19" s="346">
        <v>-18.55</v>
      </c>
      <c r="BC19" s="346">
        <v>21.95</v>
      </c>
      <c r="BD19" s="346">
        <v>-2.48</v>
      </c>
      <c r="BE19" s="346">
        <v>16.48</v>
      </c>
      <c r="BF19" s="346">
        <v>-3.98</v>
      </c>
      <c r="BG19" s="346">
        <v>22.33</v>
      </c>
      <c r="BH19" s="346">
        <v>-8.6300000000000008</v>
      </c>
      <c r="BI19" s="346">
        <v>1.95</v>
      </c>
      <c r="BJ19" s="346">
        <v>-3.5</v>
      </c>
      <c r="BK19" s="346">
        <v>-19.79</v>
      </c>
      <c r="BL19" s="346">
        <v>19.14</v>
      </c>
      <c r="BM19" s="346">
        <v>-4.21</v>
      </c>
      <c r="BN19" s="346">
        <v>113.74</v>
      </c>
      <c r="BO19" s="346">
        <v>14.2</v>
      </c>
      <c r="BP19" s="346">
        <v>-209.48</v>
      </c>
      <c r="BQ19" s="346">
        <v>-66.8</v>
      </c>
      <c r="BR19" s="346">
        <v>-111.83</v>
      </c>
      <c r="BS19" s="346">
        <v>160.72999999999999</v>
      </c>
      <c r="BT19" s="346">
        <v>-140.09</v>
      </c>
      <c r="BU19" s="346">
        <v>-34.340000000000003</v>
      </c>
      <c r="BV19" s="346">
        <v>-48.78</v>
      </c>
      <c r="BW19" s="346">
        <v>131.59</v>
      </c>
      <c r="BX19" s="346">
        <v>8.7799999999999994</v>
      </c>
      <c r="BY19" s="346">
        <v>-133.71</v>
      </c>
      <c r="BZ19" s="346">
        <v>-155.22999999999999</v>
      </c>
      <c r="CA19" s="346">
        <v>-88.78</v>
      </c>
      <c r="CB19" s="346">
        <v>155.04</v>
      </c>
      <c r="CC19" s="346">
        <v>-131.53</v>
      </c>
      <c r="CD19" s="346">
        <v>-24.24</v>
      </c>
      <c r="CE19" s="346">
        <v>-71.09</v>
      </c>
      <c r="CF19" s="346">
        <v>76.260000000000005</v>
      </c>
      <c r="CG19" s="346">
        <v>59.13</v>
      </c>
      <c r="CH19" s="346">
        <v>10.25</v>
      </c>
      <c r="CI19" s="346">
        <v>29.98</v>
      </c>
      <c r="CJ19" s="346">
        <v>22.31</v>
      </c>
      <c r="CK19" s="346">
        <v>57.22</v>
      </c>
      <c r="CL19" s="346">
        <v>75.319999999999993</v>
      </c>
      <c r="CM19" s="346">
        <v>14.45</v>
      </c>
      <c r="CN19" s="346">
        <v>73.44</v>
      </c>
      <c r="CO19" s="346">
        <v>12.93</v>
      </c>
      <c r="CP19" s="346">
        <v>0.22</v>
      </c>
      <c r="CQ19" s="346">
        <v>-383.84</v>
      </c>
      <c r="CR19" s="346">
        <v>-3.88</v>
      </c>
      <c r="CS19" s="346">
        <v>-5.77</v>
      </c>
      <c r="CT19" s="346">
        <v>67.62</v>
      </c>
      <c r="CU19" s="346">
        <v>41.93</v>
      </c>
      <c r="CV19" s="346">
        <v>-3.63</v>
      </c>
      <c r="CW19" s="346">
        <v>335911395.37</v>
      </c>
    </row>
    <row r="20" spans="1:101" x14ac:dyDescent="0.25">
      <c r="A20" s="346" t="str">
        <f>VLOOKUP(B20,'Loan Book Summary'!C:G,5,FALSE)</f>
        <v>0014I00001oIXfG</v>
      </c>
      <c r="B20" s="346">
        <v>1100000276</v>
      </c>
      <c r="C20" s="346" t="s">
        <v>1889</v>
      </c>
      <c r="D20" s="346" t="s">
        <v>1889</v>
      </c>
      <c r="E20" s="346">
        <v>2022</v>
      </c>
      <c r="F20" s="346">
        <v>6</v>
      </c>
      <c r="G20" s="346">
        <v>50</v>
      </c>
      <c r="H20" s="346">
        <v>3.6782900000000001</v>
      </c>
      <c r="I20" s="346">
        <v>3.6782900000000001</v>
      </c>
      <c r="J20" s="346">
        <v>25410.75851</v>
      </c>
      <c r="K20" s="346">
        <v>25543.024109999998</v>
      </c>
      <c r="L20" s="346">
        <v>3811.3322600000001</v>
      </c>
      <c r="M20" s="346" t="s">
        <v>1889</v>
      </c>
      <c r="N20" s="346">
        <v>10154.86976</v>
      </c>
      <c r="O20" s="346">
        <v>10154.86976</v>
      </c>
      <c r="P20" s="346">
        <v>27180.447670000001</v>
      </c>
      <c r="Q20" s="346">
        <v>7081.1863009999997</v>
      </c>
      <c r="R20" s="346">
        <v>5264.7846740000005</v>
      </c>
      <c r="S20" s="346">
        <v>347.52797779999997</v>
      </c>
      <c r="T20" s="346">
        <v>2265.063568</v>
      </c>
      <c r="U20" s="346">
        <v>-518.12838469999997</v>
      </c>
      <c r="V20" s="346">
        <v>-2783.191953</v>
      </c>
      <c r="W20" s="346">
        <v>-3753.4200089999999</v>
      </c>
      <c r="X20" s="346" t="s">
        <v>101</v>
      </c>
      <c r="Y20" s="346">
        <v>55100</v>
      </c>
      <c r="Z20" s="346">
        <v>5</v>
      </c>
      <c r="AA20" s="346" t="s">
        <v>996</v>
      </c>
      <c r="AB20" s="346" t="s">
        <v>118</v>
      </c>
      <c r="AC20" s="346" t="s">
        <v>118</v>
      </c>
      <c r="AD20" s="347">
        <v>0.95179999999999998</v>
      </c>
      <c r="AE20" s="347">
        <v>0.93569999999999998</v>
      </c>
      <c r="AF20" s="346">
        <v>10.4</v>
      </c>
      <c r="AG20" s="346">
        <v>15.71</v>
      </c>
      <c r="AH20" s="346">
        <v>19.86</v>
      </c>
      <c r="AI20" s="346">
        <v>23.36</v>
      </c>
      <c r="AJ20" s="346">
        <v>26.41</v>
      </c>
      <c r="AK20" s="347">
        <v>0.104</v>
      </c>
      <c r="AL20" s="347">
        <v>5.9299999999999999E-2</v>
      </c>
      <c r="AM20" s="347">
        <v>4.9200000000000001E-2</v>
      </c>
      <c r="AN20" s="347">
        <v>4.36E-2</v>
      </c>
      <c r="AO20" s="347">
        <v>3.9899999999999998E-2</v>
      </c>
      <c r="AP20" s="347">
        <v>0.104</v>
      </c>
      <c r="AQ20" s="347">
        <v>8.1900000000000001E-2</v>
      </c>
      <c r="AR20" s="347">
        <v>7.1099999999999997E-2</v>
      </c>
      <c r="AS20" s="347">
        <v>6.4299999999999996E-2</v>
      </c>
      <c r="AT20" s="347">
        <v>5.9499999999999997E-2</v>
      </c>
      <c r="AU20" s="347">
        <v>0.2641</v>
      </c>
      <c r="AV20" s="346">
        <v>13.54</v>
      </c>
      <c r="AW20" s="346">
        <v>-2.87</v>
      </c>
      <c r="AX20" s="346">
        <v>15.39</v>
      </c>
      <c r="AY20" s="346">
        <v>3.03</v>
      </c>
      <c r="AZ20" s="346">
        <v>-4.49</v>
      </c>
      <c r="BA20" s="346">
        <v>24.1</v>
      </c>
      <c r="BB20" s="346">
        <v>13.88</v>
      </c>
      <c r="BC20" s="346">
        <v>12.82</v>
      </c>
      <c r="BD20" s="346">
        <v>-9.8800000000000008</v>
      </c>
      <c r="BE20" s="346">
        <v>15.86</v>
      </c>
      <c r="BF20" s="346">
        <v>-2.0099999999999998</v>
      </c>
      <c r="BG20" s="346">
        <v>9.91</v>
      </c>
      <c r="BH20" s="346">
        <v>7.13</v>
      </c>
      <c r="BI20" s="346">
        <v>-3.65</v>
      </c>
      <c r="BJ20" s="346">
        <v>23.46</v>
      </c>
      <c r="BK20" s="346">
        <v>13.17</v>
      </c>
      <c r="BL20" s="346">
        <v>9.93</v>
      </c>
      <c r="BM20" s="346">
        <v>-14.89</v>
      </c>
      <c r="BN20" s="346">
        <v>0</v>
      </c>
      <c r="BO20" s="346">
        <v>2.21</v>
      </c>
      <c r="BP20" s="346">
        <v>-300.42</v>
      </c>
      <c r="BQ20" s="346">
        <v>42.88</v>
      </c>
      <c r="BR20" s="346">
        <v>40.57</v>
      </c>
      <c r="BS20" s="346">
        <v>104.59</v>
      </c>
      <c r="BT20" s="346">
        <v>-390.72</v>
      </c>
      <c r="BU20" s="346">
        <v>-0.23</v>
      </c>
      <c r="BV20" s="346">
        <v>-18.37</v>
      </c>
      <c r="BW20" s="346">
        <v>0</v>
      </c>
      <c r="BX20" s="346">
        <v>1.77</v>
      </c>
      <c r="BY20" s="346">
        <v>-213.16</v>
      </c>
      <c r="BZ20" s="346">
        <v>121.93</v>
      </c>
      <c r="CA20" s="346">
        <v>39.99</v>
      </c>
      <c r="CB20" s="346">
        <v>122.2</v>
      </c>
      <c r="CC20" s="346">
        <v>-368.26</v>
      </c>
      <c r="CD20" s="346">
        <v>-0.2</v>
      </c>
      <c r="CE20" s="346">
        <v>-32.479999999999997</v>
      </c>
      <c r="CF20" s="346">
        <v>100</v>
      </c>
      <c r="CG20" s="346">
        <v>49.8</v>
      </c>
      <c r="CH20" s="346">
        <v>16.93</v>
      </c>
      <c r="CI20" s="346">
        <v>88.41</v>
      </c>
      <c r="CJ20" s="346">
        <v>72.150000000000006</v>
      </c>
      <c r="CK20" s="346">
        <v>96.54</v>
      </c>
      <c r="CL20" s="346">
        <v>27.6</v>
      </c>
      <c r="CM20" s="346">
        <v>4.68</v>
      </c>
      <c r="CN20" s="346">
        <v>94.04</v>
      </c>
      <c r="CO20" s="346">
        <v>53.82</v>
      </c>
      <c r="CP20" s="346">
        <v>-0.02</v>
      </c>
      <c r="CQ20" s="346">
        <v>-7.53</v>
      </c>
      <c r="CR20" s="346">
        <v>34.5</v>
      </c>
      <c r="CS20" s="346">
        <v>2.69</v>
      </c>
      <c r="CT20" s="346">
        <v>104.98</v>
      </c>
      <c r="CU20" s="346">
        <v>0.49</v>
      </c>
      <c r="CV20" s="346">
        <v>-39.299999999999997</v>
      </c>
      <c r="CW20" s="346">
        <v>1818672742.5</v>
      </c>
    </row>
    <row r="21" spans="1:101" x14ac:dyDescent="0.25">
      <c r="A21" s="346" t="str">
        <f>VLOOKUP(B21,'Loan Book Summary'!C:G,5,FALSE)</f>
        <v>0015800001cfgV5</v>
      </c>
      <c r="B21" s="346">
        <v>1200000144</v>
      </c>
      <c r="C21" s="346" t="s">
        <v>1889</v>
      </c>
      <c r="D21" s="346" t="s">
        <v>1889</v>
      </c>
      <c r="E21" s="346">
        <v>2022</v>
      </c>
      <c r="F21" s="346">
        <v>6</v>
      </c>
      <c r="G21" s="346">
        <v>87.142228160000002</v>
      </c>
      <c r="H21" s="346">
        <v>79.655879999999996</v>
      </c>
      <c r="I21" s="346">
        <v>79.655879999999996</v>
      </c>
      <c r="J21" s="346">
        <v>5054.2137489999996</v>
      </c>
      <c r="K21" s="346">
        <v>5270.206862</v>
      </c>
      <c r="L21" s="346">
        <v>417.99977999999999</v>
      </c>
      <c r="M21" s="346" t="s">
        <v>1889</v>
      </c>
      <c r="N21" s="346">
        <v>515.41467999999998</v>
      </c>
      <c r="O21" s="346">
        <v>521.24098000000004</v>
      </c>
      <c r="P21" s="346">
        <v>1822.419482</v>
      </c>
      <c r="Q21" s="346">
        <v>2139.127422</v>
      </c>
      <c r="R21" s="346">
        <v>1970.151973</v>
      </c>
      <c r="S21" s="346">
        <v>278.90614310000001</v>
      </c>
      <c r="T21" s="346">
        <v>50.870348219999997</v>
      </c>
      <c r="U21" s="346">
        <v>-82.660361429999995</v>
      </c>
      <c r="V21" s="346">
        <v>-136.67416639999999</v>
      </c>
      <c r="W21" s="346">
        <v>-89.375596430000002</v>
      </c>
      <c r="X21" s="346" t="s">
        <v>101</v>
      </c>
      <c r="Y21" s="346">
        <v>55100</v>
      </c>
      <c r="Z21" s="346">
        <v>5</v>
      </c>
      <c r="AA21" s="346" t="s">
        <v>996</v>
      </c>
      <c r="AB21" s="346" t="s">
        <v>105</v>
      </c>
      <c r="AC21" s="346" t="s">
        <v>110</v>
      </c>
      <c r="AD21" s="347">
        <v>0.53349999999999997</v>
      </c>
      <c r="AE21" s="347">
        <v>0.47720000000000001</v>
      </c>
      <c r="AF21" s="346">
        <v>1.25</v>
      </c>
      <c r="AG21" s="346">
        <v>2.44</v>
      </c>
      <c r="AH21" s="346">
        <v>3.6</v>
      </c>
      <c r="AI21" s="346">
        <v>4.74</v>
      </c>
      <c r="AJ21" s="346">
        <v>5.86</v>
      </c>
      <c r="AK21" s="347">
        <v>1.2500000000000001E-2</v>
      </c>
      <c r="AL21" s="347">
        <v>1.21E-2</v>
      </c>
      <c r="AM21" s="347">
        <v>1.1900000000000001E-2</v>
      </c>
      <c r="AN21" s="347">
        <v>1.18E-2</v>
      </c>
      <c r="AO21" s="347">
        <v>1.18E-2</v>
      </c>
      <c r="AP21" s="347">
        <v>1.2500000000000001E-2</v>
      </c>
      <c r="AQ21" s="347">
        <v>1.23E-2</v>
      </c>
      <c r="AR21" s="347">
        <v>1.2200000000000001E-2</v>
      </c>
      <c r="AS21" s="347">
        <v>1.21E-2</v>
      </c>
      <c r="AT21" s="347">
        <v>1.2E-2</v>
      </c>
      <c r="AU21" s="347">
        <v>5.8599999999999999E-2</v>
      </c>
      <c r="AV21" s="346">
        <v>23.65</v>
      </c>
      <c r="AW21" s="346">
        <v>-5.18</v>
      </c>
      <c r="AX21" s="346">
        <v>5.6</v>
      </c>
      <c r="AY21" s="346">
        <v>-6.15</v>
      </c>
      <c r="AZ21" s="346">
        <v>-9.19</v>
      </c>
      <c r="BA21" s="346">
        <v>-21.59</v>
      </c>
      <c r="BB21" s="346">
        <v>-3.2</v>
      </c>
      <c r="BC21" s="346">
        <v>23.56</v>
      </c>
      <c r="BD21" s="346">
        <v>-1.88</v>
      </c>
      <c r="BE21" s="346">
        <v>27.15</v>
      </c>
      <c r="BF21" s="346">
        <v>-3.54</v>
      </c>
      <c r="BG21" s="346">
        <v>3.53</v>
      </c>
      <c r="BH21" s="346">
        <v>-14.19</v>
      </c>
      <c r="BI21" s="346">
        <v>-7.32</v>
      </c>
      <c r="BJ21" s="346">
        <v>-20.61</v>
      </c>
      <c r="BK21" s="346">
        <v>-2.97</v>
      </c>
      <c r="BL21" s="346">
        <v>17.899999999999999</v>
      </c>
      <c r="BM21" s="346">
        <v>-2.78</v>
      </c>
      <c r="BN21" s="346">
        <v>35.299999999999997</v>
      </c>
      <c r="BO21" s="346">
        <v>-10.210000000000001</v>
      </c>
      <c r="BP21" s="346">
        <v>-332.62</v>
      </c>
      <c r="BQ21" s="346">
        <v>13.83</v>
      </c>
      <c r="BR21" s="346">
        <v>-58.28</v>
      </c>
      <c r="BS21" s="346">
        <v>40.28</v>
      </c>
      <c r="BT21" s="346">
        <v>-289.35000000000002</v>
      </c>
      <c r="BU21" s="346">
        <v>-6.2</v>
      </c>
      <c r="BV21" s="346">
        <v>-113.94</v>
      </c>
      <c r="BW21" s="346">
        <v>44.97</v>
      </c>
      <c r="BX21" s="346">
        <v>-7.74</v>
      </c>
      <c r="BY21" s="346">
        <v>-227.98</v>
      </c>
      <c r="BZ21" s="346">
        <v>35.520000000000003</v>
      </c>
      <c r="CA21" s="346">
        <v>-51.66</v>
      </c>
      <c r="CB21" s="346">
        <v>42.71</v>
      </c>
      <c r="CC21" s="346">
        <v>-295.70999999999998</v>
      </c>
      <c r="CD21" s="346">
        <v>-5.19</v>
      </c>
      <c r="CE21" s="346">
        <v>-188.53</v>
      </c>
      <c r="CF21" s="346">
        <v>91.64</v>
      </c>
      <c r="CG21" s="346">
        <v>44.29</v>
      </c>
      <c r="CH21" s="346">
        <v>42.22</v>
      </c>
      <c r="CI21" s="346">
        <v>59.94</v>
      </c>
      <c r="CJ21" s="346">
        <v>44.93</v>
      </c>
      <c r="CK21" s="346">
        <v>26.35</v>
      </c>
      <c r="CL21" s="346">
        <v>59.49</v>
      </c>
      <c r="CM21" s="346">
        <v>11.4</v>
      </c>
      <c r="CN21" s="346">
        <v>69.959999999999994</v>
      </c>
      <c r="CO21" s="346">
        <v>19.54</v>
      </c>
      <c r="CP21" s="346">
        <v>-0.32</v>
      </c>
      <c r="CQ21" s="346">
        <v>385.78</v>
      </c>
      <c r="CR21" s="346">
        <v>8.58</v>
      </c>
      <c r="CS21" s="346">
        <v>-0.91</v>
      </c>
      <c r="CT21" s="346">
        <v>41.97</v>
      </c>
      <c r="CU21" s="346">
        <v>16.91</v>
      </c>
      <c r="CV21" s="346">
        <v>-6.39</v>
      </c>
      <c r="CW21" s="346">
        <v>284806761.54000002</v>
      </c>
    </row>
    <row r="22" spans="1:101" x14ac:dyDescent="0.25">
      <c r="A22" s="346" t="str">
        <f>VLOOKUP(B22,'Loan Book Summary'!C:G,5,FALSE)</f>
        <v>0014I00001or3M2</v>
      </c>
      <c r="B22" s="346">
        <v>1100000005</v>
      </c>
      <c r="C22" s="346" t="s">
        <v>1889</v>
      </c>
      <c r="D22" s="346" t="s">
        <v>1889</v>
      </c>
      <c r="E22" s="346">
        <v>2022</v>
      </c>
      <c r="F22" s="346">
        <v>6</v>
      </c>
      <c r="G22" s="346">
        <v>85.621788170000002</v>
      </c>
      <c r="H22" s="346" t="s">
        <v>1889</v>
      </c>
      <c r="I22" s="346" t="s">
        <v>1889</v>
      </c>
      <c r="J22" s="346">
        <v>7617.5581030000003</v>
      </c>
      <c r="K22" s="346">
        <v>7703.3042420000002</v>
      </c>
      <c r="L22" s="346">
        <v>-11.66666667</v>
      </c>
      <c r="M22" s="346" t="s">
        <v>1889</v>
      </c>
      <c r="N22" s="346">
        <v>-11.66666667</v>
      </c>
      <c r="O22" s="346">
        <v>-11.66666667</v>
      </c>
      <c r="P22" s="346">
        <v>2066.828602</v>
      </c>
      <c r="Q22" s="346">
        <v>484.77858259999999</v>
      </c>
      <c r="R22" s="346">
        <v>363.73771090000002</v>
      </c>
      <c r="S22" s="346">
        <v>147.76775330000001</v>
      </c>
      <c r="T22" s="346">
        <v>100.48854</v>
      </c>
      <c r="U22" s="346">
        <v>63.6801326</v>
      </c>
      <c r="V22" s="346">
        <v>-36.808407379999998</v>
      </c>
      <c r="W22" s="346">
        <v>-138.4178052</v>
      </c>
      <c r="X22" s="346" t="s">
        <v>101</v>
      </c>
      <c r="Y22" s="346">
        <v>87200</v>
      </c>
      <c r="Z22" s="346">
        <v>5</v>
      </c>
      <c r="AA22" s="346" t="s">
        <v>996</v>
      </c>
      <c r="AB22" s="346" t="s">
        <v>110</v>
      </c>
      <c r="AC22" s="346" t="s">
        <v>114</v>
      </c>
      <c r="AD22" s="347">
        <v>0.37530000000000002</v>
      </c>
      <c r="AE22" s="347">
        <v>0.26369999999999999</v>
      </c>
      <c r="AF22" s="346">
        <v>0.75</v>
      </c>
      <c r="AG22" s="346">
        <v>1.43</v>
      </c>
      <c r="AH22" s="346">
        <v>2.1</v>
      </c>
      <c r="AI22" s="346">
        <v>2.74</v>
      </c>
      <c r="AJ22" s="346">
        <v>3.37</v>
      </c>
      <c r="AK22" s="347">
        <v>7.4999999999999997E-3</v>
      </c>
      <c r="AL22" s="347">
        <v>6.8999999999999999E-3</v>
      </c>
      <c r="AM22" s="347">
        <v>6.7000000000000002E-3</v>
      </c>
      <c r="AN22" s="347">
        <v>6.6E-3</v>
      </c>
      <c r="AO22" s="347">
        <v>6.4999999999999997E-3</v>
      </c>
      <c r="AP22" s="347">
        <v>7.4999999999999997E-3</v>
      </c>
      <c r="AQ22" s="347">
        <v>7.1999999999999998E-3</v>
      </c>
      <c r="AR22" s="347">
        <v>7.0000000000000001E-3</v>
      </c>
      <c r="AS22" s="347">
        <v>6.8999999999999999E-3</v>
      </c>
      <c r="AT22" s="347">
        <v>6.7999999999999996E-3</v>
      </c>
      <c r="AU22" s="347">
        <v>3.3700000000000001E-2</v>
      </c>
      <c r="AV22" s="346">
        <v>-24.82</v>
      </c>
      <c r="AW22" s="346" t="s">
        <v>1889</v>
      </c>
      <c r="AX22" s="346">
        <v>16.45</v>
      </c>
      <c r="AY22" s="346">
        <v>3.65</v>
      </c>
      <c r="AZ22" s="346">
        <v>-9.18</v>
      </c>
      <c r="BA22" s="346">
        <v>-22.17</v>
      </c>
      <c r="BB22" s="346" t="s">
        <v>1889</v>
      </c>
      <c r="BC22" s="346">
        <v>20.49</v>
      </c>
      <c r="BD22" s="346">
        <v>-3.24</v>
      </c>
      <c r="BE22" s="346">
        <v>-29.64</v>
      </c>
      <c r="BF22" s="346" t="s">
        <v>1889</v>
      </c>
      <c r="BG22" s="346">
        <v>10.79</v>
      </c>
      <c r="BH22" s="346">
        <v>8.77</v>
      </c>
      <c r="BI22" s="346">
        <v>-7.6</v>
      </c>
      <c r="BJ22" s="346">
        <v>-22.02</v>
      </c>
      <c r="BK22" s="346" t="s">
        <v>1889</v>
      </c>
      <c r="BL22" s="346">
        <v>16.2</v>
      </c>
      <c r="BM22" s="346">
        <v>-4.9800000000000004</v>
      </c>
      <c r="BN22" s="346">
        <v>238.46</v>
      </c>
      <c r="BO22" s="346">
        <v>0</v>
      </c>
      <c r="BP22" s="346">
        <v>-335.34</v>
      </c>
      <c r="BQ22" s="346">
        <v>51.63</v>
      </c>
      <c r="BR22" s="346">
        <v>13.05</v>
      </c>
      <c r="BS22" s="346">
        <v>12.22</v>
      </c>
      <c r="BT22" s="346">
        <v>0</v>
      </c>
      <c r="BU22" s="346">
        <v>-5.96</v>
      </c>
      <c r="BV22" s="346">
        <v>-43.35</v>
      </c>
      <c r="BW22" s="346">
        <v>279.93</v>
      </c>
      <c r="BX22" s="346">
        <v>0</v>
      </c>
      <c r="BY22" s="346">
        <v>-210.74</v>
      </c>
      <c r="BZ22" s="346">
        <v>119.05</v>
      </c>
      <c r="CA22" s="346">
        <v>10.45</v>
      </c>
      <c r="CB22" s="346">
        <v>11.77</v>
      </c>
      <c r="CC22" s="346">
        <v>0</v>
      </c>
      <c r="CD22" s="346">
        <v>-4.49</v>
      </c>
      <c r="CE22" s="346">
        <v>-63.57</v>
      </c>
      <c r="CF22" s="346">
        <v>2</v>
      </c>
      <c r="CG22" s="346" t="s">
        <v>1889</v>
      </c>
      <c r="CH22" s="346">
        <v>30.45</v>
      </c>
      <c r="CI22" s="346">
        <v>87.86</v>
      </c>
      <c r="CJ22" s="346">
        <v>64.09</v>
      </c>
      <c r="CK22" s="346">
        <v>14.01</v>
      </c>
      <c r="CL22" s="346" t="s">
        <v>1889</v>
      </c>
      <c r="CM22" s="346">
        <v>10.47</v>
      </c>
      <c r="CN22" s="346">
        <v>76.319999999999993</v>
      </c>
      <c r="CO22" s="346">
        <v>-2.41</v>
      </c>
      <c r="CP22" s="346" t="s">
        <v>1889</v>
      </c>
      <c r="CQ22" s="346">
        <v>210.42</v>
      </c>
      <c r="CR22" s="346">
        <v>33.28</v>
      </c>
      <c r="CS22" s="346">
        <v>1.32</v>
      </c>
      <c r="CT22" s="346">
        <v>27.02</v>
      </c>
      <c r="CU22" s="346" t="s">
        <v>1889</v>
      </c>
      <c r="CV22" s="346">
        <v>-7.59</v>
      </c>
      <c r="CW22" s="346">
        <v>388932464.02999997</v>
      </c>
    </row>
    <row r="23" spans="1:101" x14ac:dyDescent="0.25">
      <c r="A23" s="346" t="str">
        <f>VLOOKUP(B23,'Loan Book Summary'!C:G,5,FALSE)</f>
        <v>0015800000me5DQ</v>
      </c>
      <c r="B23" s="346">
        <v>1100000145</v>
      </c>
      <c r="C23" s="346" t="s">
        <v>1889</v>
      </c>
      <c r="D23" s="346" t="s">
        <v>1889</v>
      </c>
      <c r="E23" s="346">
        <v>2022</v>
      </c>
      <c r="F23" s="346">
        <v>6</v>
      </c>
      <c r="G23" s="346">
        <v>50</v>
      </c>
      <c r="H23" s="346">
        <v>46.596179999999997</v>
      </c>
      <c r="I23" s="346">
        <v>46.596179999999997</v>
      </c>
      <c r="J23" s="346">
        <v>40123.343180000003</v>
      </c>
      <c r="K23" s="346">
        <v>41165.093840000001</v>
      </c>
      <c r="L23" s="346">
        <v>4779.25</v>
      </c>
      <c r="M23" s="346" t="s">
        <v>1889</v>
      </c>
      <c r="N23" s="346">
        <v>10916.10986</v>
      </c>
      <c r="O23" s="346">
        <v>12049.44319</v>
      </c>
      <c r="P23" s="346">
        <v>73881.944990000004</v>
      </c>
      <c r="Q23" s="346">
        <v>15284.9349</v>
      </c>
      <c r="R23" s="346">
        <v>11468.54963</v>
      </c>
      <c r="S23" s="346">
        <v>2658.9220070000001</v>
      </c>
      <c r="T23" s="346">
        <v>5501.8232930000004</v>
      </c>
      <c r="U23" s="346">
        <v>-482.57411480000002</v>
      </c>
      <c r="V23" s="346">
        <v>-5984.3974079999998</v>
      </c>
      <c r="W23" s="346">
        <v>-9275.2613089999995</v>
      </c>
      <c r="X23" s="346" t="s">
        <v>101</v>
      </c>
      <c r="Y23" s="346">
        <v>55110</v>
      </c>
      <c r="Z23" s="346">
        <v>5</v>
      </c>
      <c r="AA23" s="346" t="s">
        <v>996</v>
      </c>
      <c r="AB23" s="346" t="s">
        <v>118</v>
      </c>
      <c r="AC23" s="346" t="s">
        <v>118</v>
      </c>
      <c r="AD23" s="347">
        <v>0.95860000000000001</v>
      </c>
      <c r="AE23" s="347">
        <v>0.94</v>
      </c>
      <c r="AF23" s="346">
        <v>11.26</v>
      </c>
      <c r="AG23" s="346">
        <v>16.829999999999998</v>
      </c>
      <c r="AH23" s="346">
        <v>21.14</v>
      </c>
      <c r="AI23" s="346">
        <v>24.74</v>
      </c>
      <c r="AJ23" s="346">
        <v>27.87</v>
      </c>
      <c r="AK23" s="347">
        <v>0.11260000000000001</v>
      </c>
      <c r="AL23" s="347">
        <v>6.2700000000000006E-2</v>
      </c>
      <c r="AM23" s="347">
        <v>5.1799999999999999E-2</v>
      </c>
      <c r="AN23" s="347">
        <v>4.5699999999999998E-2</v>
      </c>
      <c r="AO23" s="347">
        <v>4.1599999999999998E-2</v>
      </c>
      <c r="AP23" s="347">
        <v>0.11260000000000001</v>
      </c>
      <c r="AQ23" s="347">
        <v>8.7999999999999995E-2</v>
      </c>
      <c r="AR23" s="347">
        <v>7.6100000000000001E-2</v>
      </c>
      <c r="AS23" s="347">
        <v>6.8599999999999994E-2</v>
      </c>
      <c r="AT23" s="347">
        <v>6.3299999999999995E-2</v>
      </c>
      <c r="AU23" s="347">
        <v>0.2787</v>
      </c>
      <c r="AV23" s="346">
        <v>13.64</v>
      </c>
      <c r="AW23" s="346">
        <v>-2.8</v>
      </c>
      <c r="AX23" s="346">
        <v>15.03</v>
      </c>
      <c r="AY23" s="346">
        <v>2.16</v>
      </c>
      <c r="AZ23" s="346">
        <v>-2.21</v>
      </c>
      <c r="BA23" s="346">
        <v>27.33</v>
      </c>
      <c r="BB23" s="346">
        <v>13.97</v>
      </c>
      <c r="BC23" s="346">
        <v>12.91</v>
      </c>
      <c r="BD23" s="346">
        <v>-9.9499999999999993</v>
      </c>
      <c r="BE23" s="346">
        <v>16.079999999999998</v>
      </c>
      <c r="BF23" s="346">
        <v>-1.97</v>
      </c>
      <c r="BG23" s="346">
        <v>9.74</v>
      </c>
      <c r="BH23" s="346">
        <v>5.1100000000000003</v>
      </c>
      <c r="BI23" s="346">
        <v>-1.81</v>
      </c>
      <c r="BJ23" s="346">
        <v>26.79</v>
      </c>
      <c r="BK23" s="346">
        <v>13.34</v>
      </c>
      <c r="BL23" s="346">
        <v>10.07</v>
      </c>
      <c r="BM23" s="346">
        <v>-15.1</v>
      </c>
      <c r="BN23" s="346">
        <v>0</v>
      </c>
      <c r="BO23" s="346">
        <v>-5.58</v>
      </c>
      <c r="BP23" s="346">
        <v>-323.56</v>
      </c>
      <c r="BQ23" s="346">
        <v>52.32</v>
      </c>
      <c r="BR23" s="346">
        <v>60.8</v>
      </c>
      <c r="BS23" s="346">
        <v>11.15</v>
      </c>
      <c r="BT23" s="346">
        <v>-426.71</v>
      </c>
      <c r="BU23" s="346">
        <v>-0.23</v>
      </c>
      <c r="BV23" s="346">
        <v>-19.64</v>
      </c>
      <c r="BW23" s="346">
        <v>0</v>
      </c>
      <c r="BX23" s="346">
        <v>-4.66</v>
      </c>
      <c r="BY23" s="346">
        <v>-238.49</v>
      </c>
      <c r="BZ23" s="346">
        <v>145.31</v>
      </c>
      <c r="CA23" s="346">
        <v>59.35</v>
      </c>
      <c r="CB23" s="346">
        <v>12.96</v>
      </c>
      <c r="CC23" s="346">
        <v>-403.98</v>
      </c>
      <c r="CD23" s="346">
        <v>-0.22</v>
      </c>
      <c r="CE23" s="346">
        <v>-35.04</v>
      </c>
      <c r="CF23" s="346">
        <v>98.21</v>
      </c>
      <c r="CG23" s="346">
        <v>47.97</v>
      </c>
      <c r="CH23" s="346">
        <v>18.88</v>
      </c>
      <c r="CI23" s="346">
        <v>87.86</v>
      </c>
      <c r="CJ23" s="346">
        <v>82.92</v>
      </c>
      <c r="CK23" s="346">
        <v>100</v>
      </c>
      <c r="CL23" s="346">
        <v>27.18</v>
      </c>
      <c r="CM23" s="346">
        <v>4.6900000000000004</v>
      </c>
      <c r="CN23" s="346">
        <v>95.93</v>
      </c>
      <c r="CO23" s="346">
        <v>31.27</v>
      </c>
      <c r="CP23" s="346">
        <v>-0.1</v>
      </c>
      <c r="CQ23" s="346">
        <v>39.56</v>
      </c>
      <c r="CR23" s="346">
        <v>33.28</v>
      </c>
      <c r="CS23" s="346">
        <v>5.7</v>
      </c>
      <c r="CT23" s="346">
        <v>166.14</v>
      </c>
      <c r="CU23" s="346">
        <v>0.46</v>
      </c>
      <c r="CV23" s="346">
        <v>-39.15</v>
      </c>
      <c r="CW23" s="346">
        <v>2609937362.3099999</v>
      </c>
    </row>
    <row r="24" spans="1:101" x14ac:dyDescent="0.25">
      <c r="A24" s="346" t="str">
        <f>VLOOKUP(B24,'Loan Book Summary'!C:G,5,FALSE)</f>
        <v>0015800001Eo5rw</v>
      </c>
      <c r="B24" s="346">
        <v>1100000168</v>
      </c>
      <c r="C24" s="346" t="s">
        <v>1889</v>
      </c>
      <c r="D24" s="346" t="s">
        <v>1889</v>
      </c>
      <c r="E24" s="346">
        <v>2022</v>
      </c>
      <c r="F24" s="346">
        <v>6</v>
      </c>
      <c r="G24" s="346">
        <v>50</v>
      </c>
      <c r="H24" s="346">
        <v>46.596179999999997</v>
      </c>
      <c r="I24" s="346">
        <v>46.596179999999997</v>
      </c>
      <c r="J24" s="346">
        <v>40123.343180000003</v>
      </c>
      <c r="K24" s="346">
        <v>41165.093840000001</v>
      </c>
      <c r="L24" s="346">
        <v>4779.25</v>
      </c>
      <c r="M24" s="346" t="s">
        <v>1889</v>
      </c>
      <c r="N24" s="346">
        <v>10916.10986</v>
      </c>
      <c r="O24" s="346">
        <v>12049.44319</v>
      </c>
      <c r="P24" s="346">
        <v>73881.944990000004</v>
      </c>
      <c r="Q24" s="346">
        <v>15284.9349</v>
      </c>
      <c r="R24" s="346">
        <v>11468.54963</v>
      </c>
      <c r="S24" s="346">
        <v>2658.9220070000001</v>
      </c>
      <c r="T24" s="346">
        <v>5501.8232930000004</v>
      </c>
      <c r="U24" s="346">
        <v>-482.57411480000002</v>
      </c>
      <c r="V24" s="346">
        <v>-5984.3974079999998</v>
      </c>
      <c r="W24" s="346">
        <v>-9275.2613089999995</v>
      </c>
      <c r="X24" s="346" t="s">
        <v>101</v>
      </c>
      <c r="Y24" s="346">
        <v>55110</v>
      </c>
      <c r="Z24" s="346">
        <v>5</v>
      </c>
      <c r="AA24" s="346" t="s">
        <v>996</v>
      </c>
      <c r="AB24" s="346" t="s">
        <v>118</v>
      </c>
      <c r="AC24" s="346" t="s">
        <v>118</v>
      </c>
      <c r="AD24" s="347">
        <v>0.95860000000000001</v>
      </c>
      <c r="AE24" s="347">
        <v>0.94</v>
      </c>
      <c r="AF24" s="346">
        <v>11.26</v>
      </c>
      <c r="AG24" s="346">
        <v>16.829999999999998</v>
      </c>
      <c r="AH24" s="346">
        <v>21.14</v>
      </c>
      <c r="AI24" s="346">
        <v>24.74</v>
      </c>
      <c r="AJ24" s="346">
        <v>27.87</v>
      </c>
      <c r="AK24" s="347">
        <v>0.11260000000000001</v>
      </c>
      <c r="AL24" s="347">
        <v>6.2700000000000006E-2</v>
      </c>
      <c r="AM24" s="347">
        <v>5.1799999999999999E-2</v>
      </c>
      <c r="AN24" s="347">
        <v>4.5699999999999998E-2</v>
      </c>
      <c r="AO24" s="347">
        <v>4.1599999999999998E-2</v>
      </c>
      <c r="AP24" s="347">
        <v>0.11260000000000001</v>
      </c>
      <c r="AQ24" s="347">
        <v>8.7999999999999995E-2</v>
      </c>
      <c r="AR24" s="347">
        <v>7.6100000000000001E-2</v>
      </c>
      <c r="AS24" s="347">
        <v>6.8599999999999994E-2</v>
      </c>
      <c r="AT24" s="347">
        <v>6.3299999999999995E-2</v>
      </c>
      <c r="AU24" s="347">
        <v>0.2787</v>
      </c>
      <c r="AV24" s="346">
        <v>13.64</v>
      </c>
      <c r="AW24" s="346">
        <v>-2.8</v>
      </c>
      <c r="AX24" s="346">
        <v>15.03</v>
      </c>
      <c r="AY24" s="346">
        <v>2.16</v>
      </c>
      <c r="AZ24" s="346">
        <v>-2.21</v>
      </c>
      <c r="BA24" s="346">
        <v>27.33</v>
      </c>
      <c r="BB24" s="346">
        <v>13.97</v>
      </c>
      <c r="BC24" s="346">
        <v>12.91</v>
      </c>
      <c r="BD24" s="346">
        <v>-9.9499999999999993</v>
      </c>
      <c r="BE24" s="346">
        <v>16.079999999999998</v>
      </c>
      <c r="BF24" s="346">
        <v>-1.97</v>
      </c>
      <c r="BG24" s="346">
        <v>9.74</v>
      </c>
      <c r="BH24" s="346">
        <v>5.1100000000000003</v>
      </c>
      <c r="BI24" s="346">
        <v>-1.81</v>
      </c>
      <c r="BJ24" s="346">
        <v>26.79</v>
      </c>
      <c r="BK24" s="346">
        <v>13.34</v>
      </c>
      <c r="BL24" s="346">
        <v>10.07</v>
      </c>
      <c r="BM24" s="346">
        <v>-15.1</v>
      </c>
      <c r="BN24" s="346">
        <v>0</v>
      </c>
      <c r="BO24" s="346">
        <v>-5.58</v>
      </c>
      <c r="BP24" s="346">
        <v>-323.56</v>
      </c>
      <c r="BQ24" s="346">
        <v>52.32</v>
      </c>
      <c r="BR24" s="346">
        <v>60.8</v>
      </c>
      <c r="BS24" s="346">
        <v>11.15</v>
      </c>
      <c r="BT24" s="346">
        <v>-426.71</v>
      </c>
      <c r="BU24" s="346">
        <v>-0.23</v>
      </c>
      <c r="BV24" s="346">
        <v>-19.64</v>
      </c>
      <c r="BW24" s="346">
        <v>0</v>
      </c>
      <c r="BX24" s="346">
        <v>-4.66</v>
      </c>
      <c r="BY24" s="346">
        <v>-238.49</v>
      </c>
      <c r="BZ24" s="346">
        <v>145.31</v>
      </c>
      <c r="CA24" s="346">
        <v>59.35</v>
      </c>
      <c r="CB24" s="346">
        <v>12.96</v>
      </c>
      <c r="CC24" s="346">
        <v>-403.98</v>
      </c>
      <c r="CD24" s="346">
        <v>-0.22</v>
      </c>
      <c r="CE24" s="346">
        <v>-35.04</v>
      </c>
      <c r="CF24" s="346">
        <v>98.21</v>
      </c>
      <c r="CG24" s="346">
        <v>47.97</v>
      </c>
      <c r="CH24" s="346">
        <v>18.88</v>
      </c>
      <c r="CI24" s="346">
        <v>87.86</v>
      </c>
      <c r="CJ24" s="346">
        <v>82.92</v>
      </c>
      <c r="CK24" s="346">
        <v>100</v>
      </c>
      <c r="CL24" s="346">
        <v>27.18</v>
      </c>
      <c r="CM24" s="346">
        <v>4.6900000000000004</v>
      </c>
      <c r="CN24" s="346">
        <v>95.93</v>
      </c>
      <c r="CO24" s="346">
        <v>31.27</v>
      </c>
      <c r="CP24" s="346">
        <v>-0.1</v>
      </c>
      <c r="CQ24" s="346">
        <v>39.56</v>
      </c>
      <c r="CR24" s="346">
        <v>33.28</v>
      </c>
      <c r="CS24" s="346">
        <v>5.7</v>
      </c>
      <c r="CT24" s="346">
        <v>166.14</v>
      </c>
      <c r="CU24" s="346">
        <v>0.46</v>
      </c>
      <c r="CV24" s="346">
        <v>-39.15</v>
      </c>
      <c r="CW24" s="346">
        <v>2609937362.3099999</v>
      </c>
    </row>
    <row r="25" spans="1:101" x14ac:dyDescent="0.25">
      <c r="A25" s="346" t="str">
        <f>VLOOKUP(B25,'Loan Book Summary'!C:G,5,FALSE)</f>
        <v>0015800001b11sC</v>
      </c>
      <c r="B25" s="346">
        <v>1100000153</v>
      </c>
      <c r="C25" s="346" t="s">
        <v>1889</v>
      </c>
      <c r="D25" s="346" t="s">
        <v>1889</v>
      </c>
      <c r="E25" s="346">
        <v>2022</v>
      </c>
      <c r="F25" s="346">
        <v>6</v>
      </c>
      <c r="G25" s="346">
        <v>50</v>
      </c>
      <c r="H25" s="346">
        <v>46.596179999999997</v>
      </c>
      <c r="I25" s="346">
        <v>46.596179999999997</v>
      </c>
      <c r="J25" s="346">
        <v>40123.343180000003</v>
      </c>
      <c r="K25" s="346">
        <v>41165.093840000001</v>
      </c>
      <c r="L25" s="346">
        <v>4779.25</v>
      </c>
      <c r="M25" s="346" t="s">
        <v>1889</v>
      </c>
      <c r="N25" s="346">
        <v>10916.10986</v>
      </c>
      <c r="O25" s="346">
        <v>12049.44319</v>
      </c>
      <c r="P25" s="346">
        <v>73881.944990000004</v>
      </c>
      <c r="Q25" s="346">
        <v>15284.9349</v>
      </c>
      <c r="R25" s="346">
        <v>11468.54963</v>
      </c>
      <c r="S25" s="346">
        <v>2658.9220070000001</v>
      </c>
      <c r="T25" s="346">
        <v>5501.8232930000004</v>
      </c>
      <c r="U25" s="346">
        <v>-482.57411480000002</v>
      </c>
      <c r="V25" s="346">
        <v>-5984.3974079999998</v>
      </c>
      <c r="W25" s="346">
        <v>-9275.2613089999995</v>
      </c>
      <c r="X25" s="346" t="s">
        <v>101</v>
      </c>
      <c r="Y25" s="346">
        <v>55110</v>
      </c>
      <c r="Z25" s="346">
        <v>5</v>
      </c>
      <c r="AA25" s="346" t="s">
        <v>996</v>
      </c>
      <c r="AB25" s="346" t="s">
        <v>118</v>
      </c>
      <c r="AC25" s="346" t="s">
        <v>118</v>
      </c>
      <c r="AD25" s="347">
        <v>0.95860000000000001</v>
      </c>
      <c r="AE25" s="347">
        <v>0.94</v>
      </c>
      <c r="AF25" s="346">
        <v>11.26</v>
      </c>
      <c r="AG25" s="346">
        <v>16.829999999999998</v>
      </c>
      <c r="AH25" s="346">
        <v>21.14</v>
      </c>
      <c r="AI25" s="346">
        <v>24.74</v>
      </c>
      <c r="AJ25" s="346">
        <v>27.87</v>
      </c>
      <c r="AK25" s="347">
        <v>0.11260000000000001</v>
      </c>
      <c r="AL25" s="347">
        <v>6.2700000000000006E-2</v>
      </c>
      <c r="AM25" s="347">
        <v>5.1799999999999999E-2</v>
      </c>
      <c r="AN25" s="347">
        <v>4.5699999999999998E-2</v>
      </c>
      <c r="AO25" s="347">
        <v>4.1599999999999998E-2</v>
      </c>
      <c r="AP25" s="347">
        <v>0.11260000000000001</v>
      </c>
      <c r="AQ25" s="347">
        <v>8.7999999999999995E-2</v>
      </c>
      <c r="AR25" s="347">
        <v>7.6100000000000001E-2</v>
      </c>
      <c r="AS25" s="347">
        <v>6.8599999999999994E-2</v>
      </c>
      <c r="AT25" s="347">
        <v>6.3299999999999995E-2</v>
      </c>
      <c r="AU25" s="347">
        <v>0.2787</v>
      </c>
      <c r="AV25" s="346">
        <v>13.64</v>
      </c>
      <c r="AW25" s="346">
        <v>-2.8</v>
      </c>
      <c r="AX25" s="346">
        <v>15.03</v>
      </c>
      <c r="AY25" s="346">
        <v>2.16</v>
      </c>
      <c r="AZ25" s="346">
        <v>-2.21</v>
      </c>
      <c r="BA25" s="346">
        <v>27.33</v>
      </c>
      <c r="BB25" s="346">
        <v>13.97</v>
      </c>
      <c r="BC25" s="346">
        <v>12.91</v>
      </c>
      <c r="BD25" s="346">
        <v>-9.9499999999999993</v>
      </c>
      <c r="BE25" s="346">
        <v>16.079999999999998</v>
      </c>
      <c r="BF25" s="346">
        <v>-1.97</v>
      </c>
      <c r="BG25" s="346">
        <v>9.74</v>
      </c>
      <c r="BH25" s="346">
        <v>5.1100000000000003</v>
      </c>
      <c r="BI25" s="346">
        <v>-1.81</v>
      </c>
      <c r="BJ25" s="346">
        <v>26.79</v>
      </c>
      <c r="BK25" s="346">
        <v>13.34</v>
      </c>
      <c r="BL25" s="346">
        <v>10.07</v>
      </c>
      <c r="BM25" s="346">
        <v>-15.1</v>
      </c>
      <c r="BN25" s="346">
        <v>0</v>
      </c>
      <c r="BO25" s="346">
        <v>-5.58</v>
      </c>
      <c r="BP25" s="346">
        <v>-323.56</v>
      </c>
      <c r="BQ25" s="346">
        <v>52.32</v>
      </c>
      <c r="BR25" s="346">
        <v>60.8</v>
      </c>
      <c r="BS25" s="346">
        <v>11.15</v>
      </c>
      <c r="BT25" s="346">
        <v>-426.71</v>
      </c>
      <c r="BU25" s="346">
        <v>-0.23</v>
      </c>
      <c r="BV25" s="346">
        <v>-19.64</v>
      </c>
      <c r="BW25" s="346">
        <v>0</v>
      </c>
      <c r="BX25" s="346">
        <v>-4.66</v>
      </c>
      <c r="BY25" s="346">
        <v>-238.49</v>
      </c>
      <c r="BZ25" s="346">
        <v>145.31</v>
      </c>
      <c r="CA25" s="346">
        <v>59.35</v>
      </c>
      <c r="CB25" s="346">
        <v>12.96</v>
      </c>
      <c r="CC25" s="346">
        <v>-403.98</v>
      </c>
      <c r="CD25" s="346">
        <v>-0.22</v>
      </c>
      <c r="CE25" s="346">
        <v>-35.04</v>
      </c>
      <c r="CF25" s="346">
        <v>98.21</v>
      </c>
      <c r="CG25" s="346">
        <v>47.97</v>
      </c>
      <c r="CH25" s="346">
        <v>18.88</v>
      </c>
      <c r="CI25" s="346">
        <v>87.86</v>
      </c>
      <c r="CJ25" s="346">
        <v>82.92</v>
      </c>
      <c r="CK25" s="346">
        <v>100</v>
      </c>
      <c r="CL25" s="346">
        <v>27.18</v>
      </c>
      <c r="CM25" s="346">
        <v>4.6900000000000004</v>
      </c>
      <c r="CN25" s="346">
        <v>95.93</v>
      </c>
      <c r="CO25" s="346">
        <v>31.27</v>
      </c>
      <c r="CP25" s="346">
        <v>-0.1</v>
      </c>
      <c r="CQ25" s="346">
        <v>39.56</v>
      </c>
      <c r="CR25" s="346">
        <v>33.28</v>
      </c>
      <c r="CS25" s="346">
        <v>5.7</v>
      </c>
      <c r="CT25" s="346">
        <v>166.14</v>
      </c>
      <c r="CU25" s="346">
        <v>0.46</v>
      </c>
      <c r="CV25" s="346">
        <v>-39.15</v>
      </c>
      <c r="CW25" s="346">
        <v>2609937362.3099999</v>
      </c>
    </row>
    <row r="26" spans="1:101" x14ac:dyDescent="0.25">
      <c r="A26" s="346" t="str">
        <f>VLOOKUP(B26,'Loan Book Summary'!C:G,5,FALSE)</f>
        <v>0014I00001lGVkG</v>
      </c>
      <c r="B26" s="346">
        <v>1100000223</v>
      </c>
      <c r="C26" s="346" t="s">
        <v>1889</v>
      </c>
      <c r="D26" s="346" t="s">
        <v>1889</v>
      </c>
      <c r="E26" s="346">
        <v>2022</v>
      </c>
      <c r="F26" s="346">
        <v>6</v>
      </c>
      <c r="G26" s="346">
        <v>1765.404401</v>
      </c>
      <c r="H26" s="346">
        <v>138.83441999999999</v>
      </c>
      <c r="I26" s="346">
        <v>138.83441999999999</v>
      </c>
      <c r="J26" s="346">
        <v>28996.678879999999</v>
      </c>
      <c r="K26" s="346">
        <v>28394.238710000001</v>
      </c>
      <c r="L26" s="346">
        <v>806.43225689999997</v>
      </c>
      <c r="M26" s="346" t="s">
        <v>1889</v>
      </c>
      <c r="N26" s="346">
        <v>14795.012189999999</v>
      </c>
      <c r="O26" s="346">
        <v>14795.012189999999</v>
      </c>
      <c r="P26" s="346">
        <v>26559.555</v>
      </c>
      <c r="Q26" s="346">
        <v>5860.6157599999997</v>
      </c>
      <c r="R26" s="346">
        <v>5595.0569370000003</v>
      </c>
      <c r="S26" s="346" t="s">
        <v>1889</v>
      </c>
      <c r="T26" s="346">
        <v>2422.5</v>
      </c>
      <c r="U26" s="346">
        <v>3024.9401659999999</v>
      </c>
      <c r="V26" s="346">
        <v>481.9521325</v>
      </c>
      <c r="W26" s="346">
        <v>405.46859219999999</v>
      </c>
      <c r="X26" s="346" t="s">
        <v>101</v>
      </c>
      <c r="Y26" s="346">
        <v>55100</v>
      </c>
      <c r="Z26" s="346">
        <v>5</v>
      </c>
      <c r="AA26" s="346" t="s">
        <v>996</v>
      </c>
      <c r="AB26" s="346" t="s">
        <v>105</v>
      </c>
      <c r="AC26" s="346" t="s">
        <v>105</v>
      </c>
      <c r="AD26" s="347">
        <v>0.62150000000000005</v>
      </c>
      <c r="AE26" s="347">
        <v>0.51090000000000002</v>
      </c>
      <c r="AF26" s="346">
        <v>1.64</v>
      </c>
      <c r="AG26" s="346">
        <v>2.95</v>
      </c>
      <c r="AH26" s="346">
        <v>4.1399999999999997</v>
      </c>
      <c r="AI26" s="346">
        <v>5.26</v>
      </c>
      <c r="AJ26" s="346">
        <v>6.33</v>
      </c>
      <c r="AK26" s="347">
        <v>1.6400000000000001E-2</v>
      </c>
      <c r="AL26" s="347">
        <v>1.3299999999999999E-2</v>
      </c>
      <c r="AM26" s="347">
        <v>1.23E-2</v>
      </c>
      <c r="AN26" s="347">
        <v>1.17E-2</v>
      </c>
      <c r="AO26" s="347">
        <v>1.1299999999999999E-2</v>
      </c>
      <c r="AP26" s="347">
        <v>1.6400000000000001E-2</v>
      </c>
      <c r="AQ26" s="347">
        <v>1.49E-2</v>
      </c>
      <c r="AR26" s="347">
        <v>1.4E-2</v>
      </c>
      <c r="AS26" s="347">
        <v>1.34E-2</v>
      </c>
      <c r="AT26" s="347">
        <v>1.2999999999999999E-2</v>
      </c>
      <c r="AU26" s="347">
        <v>6.3299999999999995E-2</v>
      </c>
      <c r="AV26" s="346">
        <v>10.33</v>
      </c>
      <c r="AW26" s="346">
        <v>-4.01</v>
      </c>
      <c r="AX26" s="346">
        <v>19.63</v>
      </c>
      <c r="AY26" s="346">
        <v>-4.74</v>
      </c>
      <c r="AZ26" s="346">
        <v>-8.08</v>
      </c>
      <c r="BA26" s="346">
        <v>28.02</v>
      </c>
      <c r="BB26" s="346">
        <v>0.48</v>
      </c>
      <c r="BC26" s="346">
        <v>-10.47</v>
      </c>
      <c r="BD26" s="346">
        <v>-14.25</v>
      </c>
      <c r="BE26" s="346">
        <v>11.8</v>
      </c>
      <c r="BF26" s="346">
        <v>-2.73</v>
      </c>
      <c r="BG26" s="346">
        <v>12.31</v>
      </c>
      <c r="BH26" s="346">
        <v>-10.87</v>
      </c>
      <c r="BI26" s="346">
        <v>-6.4</v>
      </c>
      <c r="BJ26" s="346">
        <v>26.6</v>
      </c>
      <c r="BK26" s="346">
        <v>0.45</v>
      </c>
      <c r="BL26" s="346">
        <v>-7.91</v>
      </c>
      <c r="BM26" s="346">
        <v>-20.94</v>
      </c>
      <c r="BN26" s="346">
        <v>70.010000000000005</v>
      </c>
      <c r="BO26" s="346">
        <v>-4.7300000000000004</v>
      </c>
      <c r="BP26" s="346">
        <v>-306.7</v>
      </c>
      <c r="BQ26" s="346">
        <v>-6.43</v>
      </c>
      <c r="BR26" s="346">
        <v>-20.05</v>
      </c>
      <c r="BS26" s="346">
        <v>127.9</v>
      </c>
      <c r="BT26" s="346">
        <v>-301.35000000000002</v>
      </c>
      <c r="BU26" s="346">
        <v>-45.93</v>
      </c>
      <c r="BV26" s="346">
        <v>-16.89</v>
      </c>
      <c r="BW26" s="346">
        <v>94.74</v>
      </c>
      <c r="BX26" s="346">
        <v>-4.05</v>
      </c>
      <c r="BY26" s="346">
        <v>-222.05</v>
      </c>
      <c r="BZ26" s="346">
        <v>-18.36</v>
      </c>
      <c r="CA26" s="346">
        <v>-19.239999999999998</v>
      </c>
      <c r="CB26" s="346">
        <v>142.30000000000001</v>
      </c>
      <c r="CC26" s="346">
        <v>-327.41000000000003</v>
      </c>
      <c r="CD26" s="346">
        <v>-41.75</v>
      </c>
      <c r="CE26" s="346">
        <v>-30.1</v>
      </c>
      <c r="CF26" s="346">
        <v>79.11</v>
      </c>
      <c r="CG26" s="346">
        <v>47.78</v>
      </c>
      <c r="CH26" s="346">
        <v>23.86</v>
      </c>
      <c r="CI26" s="346">
        <v>50.76</v>
      </c>
      <c r="CJ26" s="346">
        <v>54.72</v>
      </c>
      <c r="CK26" s="346">
        <v>90.26</v>
      </c>
      <c r="CL26" s="346">
        <v>54.42</v>
      </c>
      <c r="CM26" s="346">
        <v>78.08</v>
      </c>
      <c r="CN26" s="346">
        <v>95.04</v>
      </c>
      <c r="CO26" s="346">
        <v>13.76</v>
      </c>
      <c r="CP26" s="346">
        <v>-0.11</v>
      </c>
      <c r="CQ26" s="346">
        <v>124.87</v>
      </c>
      <c r="CR26" s="346">
        <v>4.75</v>
      </c>
      <c r="CS26" s="346">
        <v>0.16</v>
      </c>
      <c r="CT26" s="346">
        <v>94.43</v>
      </c>
      <c r="CU26" s="346">
        <v>11.93</v>
      </c>
      <c r="CV26" s="346">
        <v>8.2200000000000006</v>
      </c>
      <c r="CW26" s="346">
        <v>2239318093.6500001</v>
      </c>
    </row>
    <row r="27" spans="1:101" x14ac:dyDescent="0.25">
      <c r="A27" s="346" t="str">
        <f>VLOOKUP(B27,'Loan Book Summary'!C:G,5,FALSE)</f>
        <v>0014I00001zbxX3</v>
      </c>
      <c r="B27" s="346">
        <v>1100000225</v>
      </c>
      <c r="C27" s="346" t="s">
        <v>1889</v>
      </c>
      <c r="D27" s="346" t="s">
        <v>1889</v>
      </c>
      <c r="E27" s="346">
        <v>2022</v>
      </c>
      <c r="F27" s="346">
        <v>6</v>
      </c>
      <c r="G27" s="346">
        <v>12721.628059999999</v>
      </c>
      <c r="H27" s="346">
        <v>5290.8572759999997</v>
      </c>
      <c r="I27" s="346">
        <v>5290.8572759999997</v>
      </c>
      <c r="J27" s="346">
        <v>45876.44182</v>
      </c>
      <c r="K27" s="346">
        <v>58596.448360000002</v>
      </c>
      <c r="L27" s="346">
        <v>-4954.3312679999999</v>
      </c>
      <c r="M27" s="346" t="s">
        <v>1889</v>
      </c>
      <c r="N27" s="346">
        <v>19057.414980000001</v>
      </c>
      <c r="O27" s="346">
        <v>19057.414980000001</v>
      </c>
      <c r="P27" s="346">
        <v>31260</v>
      </c>
      <c r="Q27" s="346">
        <v>68386.106060000006</v>
      </c>
      <c r="R27" s="346">
        <v>65287.364459999997</v>
      </c>
      <c r="S27" s="346">
        <v>2037.059242</v>
      </c>
      <c r="T27" s="346">
        <v>223.76521120000001</v>
      </c>
      <c r="U27" s="346">
        <v>-9345.0065340000001</v>
      </c>
      <c r="V27" s="346">
        <v>-9568.771745</v>
      </c>
      <c r="W27" s="346">
        <v>-9989.0241559999995</v>
      </c>
      <c r="X27" s="346" t="s">
        <v>101</v>
      </c>
      <c r="Y27" s="346">
        <v>26600</v>
      </c>
      <c r="Z27" s="346">
        <v>5</v>
      </c>
      <c r="AA27" s="346" t="s">
        <v>996</v>
      </c>
      <c r="AB27" s="346" t="s">
        <v>114</v>
      </c>
      <c r="AC27" s="346" t="s">
        <v>115</v>
      </c>
      <c r="AD27" s="347">
        <v>0.33139999999999997</v>
      </c>
      <c r="AE27" s="347">
        <v>0.15609999999999999</v>
      </c>
      <c r="AF27" s="346">
        <v>0.65</v>
      </c>
      <c r="AG27" s="346">
        <v>1.1200000000000001</v>
      </c>
      <c r="AH27" s="346">
        <v>1.55</v>
      </c>
      <c r="AI27" s="346">
        <v>1.94</v>
      </c>
      <c r="AJ27" s="346">
        <v>2.31</v>
      </c>
      <c r="AK27" s="347">
        <v>6.4999999999999997E-3</v>
      </c>
      <c r="AL27" s="347">
        <v>4.7999999999999996E-3</v>
      </c>
      <c r="AM27" s="347">
        <v>4.3E-3</v>
      </c>
      <c r="AN27" s="347">
        <v>4.0000000000000001E-3</v>
      </c>
      <c r="AO27" s="347">
        <v>3.8E-3</v>
      </c>
      <c r="AP27" s="347">
        <v>6.4999999999999997E-3</v>
      </c>
      <c r="AQ27" s="347">
        <v>5.5999999999999999E-3</v>
      </c>
      <c r="AR27" s="347">
        <v>5.1999999999999998E-3</v>
      </c>
      <c r="AS27" s="347">
        <v>4.8999999999999998E-3</v>
      </c>
      <c r="AT27" s="347">
        <v>4.7000000000000002E-3</v>
      </c>
      <c r="AU27" s="347">
        <v>2.3099999999999999E-2</v>
      </c>
      <c r="AV27" s="346">
        <v>-17.75</v>
      </c>
      <c r="AW27" s="346">
        <v>-3.02</v>
      </c>
      <c r="AX27" s="346">
        <v>19.079999999999998</v>
      </c>
      <c r="AY27" s="346">
        <v>-4</v>
      </c>
      <c r="AZ27" s="346">
        <v>-4.4800000000000004</v>
      </c>
      <c r="BA27" s="346">
        <v>6.67</v>
      </c>
      <c r="BB27" s="346">
        <v>-15.6</v>
      </c>
      <c r="BC27" s="346">
        <v>15.35</v>
      </c>
      <c r="BD27" s="346">
        <v>-14.05</v>
      </c>
      <c r="BE27" s="346">
        <v>-20.260000000000002</v>
      </c>
      <c r="BF27" s="346">
        <v>-2.0499999999999998</v>
      </c>
      <c r="BG27" s="346">
        <v>11.96</v>
      </c>
      <c r="BH27" s="346">
        <v>-9.19</v>
      </c>
      <c r="BI27" s="346">
        <v>-3.55</v>
      </c>
      <c r="BJ27" s="346">
        <v>6.33</v>
      </c>
      <c r="BK27" s="346">
        <v>-14.42</v>
      </c>
      <c r="BL27" s="346">
        <v>11.6</v>
      </c>
      <c r="BM27" s="346">
        <v>-20.64</v>
      </c>
      <c r="BN27" s="346">
        <v>385.85</v>
      </c>
      <c r="BO27" s="346">
        <v>-20.97</v>
      </c>
      <c r="BP27" s="346">
        <v>0</v>
      </c>
      <c r="BQ27" s="346">
        <v>-12.3</v>
      </c>
      <c r="BR27" s="346">
        <v>-121.13</v>
      </c>
      <c r="BS27" s="346">
        <v>248.07</v>
      </c>
      <c r="BT27" s="346">
        <v>-90.64</v>
      </c>
      <c r="BU27" s="346">
        <v>-1.07</v>
      </c>
      <c r="BV27" s="346">
        <v>-19.98</v>
      </c>
      <c r="BW27" s="346">
        <v>446.04</v>
      </c>
      <c r="BX27" s="346">
        <v>-13.1</v>
      </c>
      <c r="BY27" s="346">
        <v>0</v>
      </c>
      <c r="BZ27" s="346">
        <v>-26.07</v>
      </c>
      <c r="CA27" s="346">
        <v>-88.85</v>
      </c>
      <c r="CB27" s="346">
        <v>221.1</v>
      </c>
      <c r="CC27" s="346">
        <v>-77.040000000000006</v>
      </c>
      <c r="CD27" s="346">
        <v>-0.74</v>
      </c>
      <c r="CE27" s="346">
        <v>-27.05</v>
      </c>
      <c r="CF27" s="346">
        <v>2</v>
      </c>
      <c r="CG27" s="346">
        <v>43.57</v>
      </c>
      <c r="CH27" s="346">
        <v>5.03</v>
      </c>
      <c r="CI27" s="346">
        <v>50.76</v>
      </c>
      <c r="CJ27" s="346">
        <v>38.31</v>
      </c>
      <c r="CK27" s="346">
        <v>70.73</v>
      </c>
      <c r="CL27" s="346">
        <v>83.7</v>
      </c>
      <c r="CM27" s="346">
        <v>7.66</v>
      </c>
      <c r="CN27" s="346">
        <v>96.67</v>
      </c>
      <c r="CO27" s="346">
        <v>-7.24</v>
      </c>
      <c r="CP27" s="346">
        <v>-0.37</v>
      </c>
      <c r="CQ27" s="346">
        <v>-3265.9</v>
      </c>
      <c r="CR27" s="346">
        <v>4.75</v>
      </c>
      <c r="CS27" s="346">
        <v>-1.87</v>
      </c>
      <c r="CT27" s="346">
        <v>77.489999999999995</v>
      </c>
      <c r="CU27" s="346">
        <v>66.75</v>
      </c>
      <c r="CV27" s="346">
        <v>-13.99</v>
      </c>
      <c r="CW27" s="346">
        <v>3320437207.8299999</v>
      </c>
    </row>
    <row r="28" spans="1:101" x14ac:dyDescent="0.25">
      <c r="A28" s="346" t="str">
        <f>VLOOKUP(B28,'Loan Book Summary'!C:G,5,FALSE)</f>
        <v>0014I00001lzk4N</v>
      </c>
      <c r="B28" s="346">
        <v>1200000131</v>
      </c>
      <c r="C28" s="346" t="s">
        <v>1889</v>
      </c>
      <c r="D28" s="346" t="s">
        <v>1889</v>
      </c>
      <c r="E28" s="346">
        <v>2022</v>
      </c>
      <c r="F28" s="346">
        <v>6</v>
      </c>
      <c r="G28" s="346">
        <v>341.72702340000001</v>
      </c>
      <c r="H28" s="346">
        <v>-200.99199999999999</v>
      </c>
      <c r="I28" s="346">
        <v>-200.99199999999999</v>
      </c>
      <c r="J28" s="346">
        <v>7756.332136</v>
      </c>
      <c r="K28" s="346">
        <v>7907.4286009999996</v>
      </c>
      <c r="L28" s="346">
        <v>466.70499999999998</v>
      </c>
      <c r="M28" s="346" t="s">
        <v>1889</v>
      </c>
      <c r="N28" s="346">
        <v>3434.9470000000001</v>
      </c>
      <c r="O28" s="346">
        <v>3434.9470000000001</v>
      </c>
      <c r="P28" s="346">
        <v>7113.0178999999998</v>
      </c>
      <c r="Q28" s="346">
        <v>3443.523741</v>
      </c>
      <c r="R28" s="346">
        <v>3287.4892639999998</v>
      </c>
      <c r="S28" s="346">
        <v>103.32306920000001</v>
      </c>
      <c r="T28" s="346">
        <v>438.00483279999997</v>
      </c>
      <c r="U28" s="346">
        <v>559.66977880000002</v>
      </c>
      <c r="V28" s="346">
        <v>94.674416260000001</v>
      </c>
      <c r="W28" s="346">
        <v>247.44504860000001</v>
      </c>
      <c r="X28" s="346" t="s">
        <v>101</v>
      </c>
      <c r="Y28" s="346">
        <v>55100</v>
      </c>
      <c r="Z28" s="346">
        <v>5</v>
      </c>
      <c r="AA28" s="346" t="s">
        <v>996</v>
      </c>
      <c r="AB28" s="346" t="s">
        <v>107</v>
      </c>
      <c r="AC28" s="346" t="s">
        <v>104</v>
      </c>
      <c r="AD28" s="347">
        <v>0.75839999999999996</v>
      </c>
      <c r="AE28" s="347">
        <v>0.68389999999999995</v>
      </c>
      <c r="AF28" s="346">
        <v>2.76</v>
      </c>
      <c r="AG28" s="346">
        <v>4.7699999999999996</v>
      </c>
      <c r="AH28" s="346">
        <v>6.56</v>
      </c>
      <c r="AI28" s="346">
        <v>8.1999999999999993</v>
      </c>
      <c r="AJ28" s="346">
        <v>9.73</v>
      </c>
      <c r="AK28" s="347">
        <v>2.76E-2</v>
      </c>
      <c r="AL28" s="347">
        <v>2.07E-2</v>
      </c>
      <c r="AM28" s="347">
        <v>1.8700000000000001E-2</v>
      </c>
      <c r="AN28" s="347">
        <v>1.7600000000000001E-2</v>
      </c>
      <c r="AO28" s="347">
        <v>1.67E-2</v>
      </c>
      <c r="AP28" s="347">
        <v>2.76E-2</v>
      </c>
      <c r="AQ28" s="347">
        <v>2.4199999999999999E-2</v>
      </c>
      <c r="AR28" s="347">
        <v>2.24E-2</v>
      </c>
      <c r="AS28" s="347">
        <v>2.12E-2</v>
      </c>
      <c r="AT28" s="347">
        <v>2.0299999999999999E-2</v>
      </c>
      <c r="AU28" s="347">
        <v>9.7299999999999998E-2</v>
      </c>
      <c r="AV28" s="346">
        <v>12.72</v>
      </c>
      <c r="AW28" s="346">
        <v>-4.2699999999999996</v>
      </c>
      <c r="AX28" s="346">
        <v>22.69</v>
      </c>
      <c r="AY28" s="346">
        <v>-5.83</v>
      </c>
      <c r="AZ28" s="346">
        <v>-7.2</v>
      </c>
      <c r="BA28" s="346">
        <v>34.49</v>
      </c>
      <c r="BB28" s="346">
        <v>4.2</v>
      </c>
      <c r="BC28" s="346">
        <v>-2.16</v>
      </c>
      <c r="BD28" s="346">
        <v>-6.45</v>
      </c>
      <c r="BE28" s="346">
        <v>14.74</v>
      </c>
      <c r="BF28" s="346">
        <v>-2.95</v>
      </c>
      <c r="BG28" s="346">
        <v>14.46</v>
      </c>
      <c r="BH28" s="346">
        <v>-13.59</v>
      </c>
      <c r="BI28" s="346">
        <v>-5.79</v>
      </c>
      <c r="BJ28" s="346">
        <v>33.25</v>
      </c>
      <c r="BK28" s="346">
        <v>3.94</v>
      </c>
      <c r="BL28" s="346">
        <v>-1.66</v>
      </c>
      <c r="BM28" s="346">
        <v>-9.6300000000000008</v>
      </c>
      <c r="BN28" s="346">
        <v>56.44</v>
      </c>
      <c r="BO28" s="346">
        <v>10.46</v>
      </c>
      <c r="BP28" s="346">
        <v>-235.09</v>
      </c>
      <c r="BQ28" s="346">
        <v>-5.45</v>
      </c>
      <c r="BR28" s="346">
        <v>-49.22</v>
      </c>
      <c r="BS28" s="346">
        <v>99.27</v>
      </c>
      <c r="BT28" s="346">
        <v>-268.13</v>
      </c>
      <c r="BU28" s="346">
        <v>-134.06</v>
      </c>
      <c r="BV28" s="346">
        <v>-41.89</v>
      </c>
      <c r="BW28" s="346">
        <v>73.98</v>
      </c>
      <c r="BX28" s="346">
        <v>7.97</v>
      </c>
      <c r="BY28" s="346">
        <v>-174.31</v>
      </c>
      <c r="BZ28" s="346">
        <v>-13.92</v>
      </c>
      <c r="CA28" s="346">
        <v>-44.35</v>
      </c>
      <c r="CB28" s="346">
        <v>111.58</v>
      </c>
      <c r="CC28" s="346">
        <v>-281.92</v>
      </c>
      <c r="CD28" s="346">
        <v>-121.58</v>
      </c>
      <c r="CE28" s="346">
        <v>-70.39</v>
      </c>
      <c r="CF28" s="346">
        <v>78.44</v>
      </c>
      <c r="CG28" s="346">
        <v>60.06</v>
      </c>
      <c r="CH28" s="346">
        <v>25.88</v>
      </c>
      <c r="CI28" s="346">
        <v>50.76</v>
      </c>
      <c r="CJ28" s="346">
        <v>41.82</v>
      </c>
      <c r="CK28" s="346">
        <v>90.1</v>
      </c>
      <c r="CL28" s="346">
        <v>51.96</v>
      </c>
      <c r="CM28" s="346">
        <v>51.95</v>
      </c>
      <c r="CN28" s="346">
        <v>82.61</v>
      </c>
      <c r="CO28" s="346">
        <v>13.55</v>
      </c>
      <c r="CP28" s="346">
        <v>0.28000000000000003</v>
      </c>
      <c r="CQ28" s="346">
        <v>151.37</v>
      </c>
      <c r="CR28" s="346">
        <v>4.75</v>
      </c>
      <c r="CS28" s="346">
        <v>-1.34</v>
      </c>
      <c r="CT28" s="346">
        <v>94.25</v>
      </c>
      <c r="CU28" s="346">
        <v>9.9499999999999993</v>
      </c>
      <c r="CV28" s="346">
        <v>2.75</v>
      </c>
      <c r="CW28" s="346">
        <v>572273717.87</v>
      </c>
    </row>
    <row r="29" spans="1:101" x14ac:dyDescent="0.25">
      <c r="A29" s="346" t="str">
        <f>VLOOKUP(B29,'Loan Book Summary'!C:G,5,FALSE)</f>
        <v>0015800001fFIlI</v>
      </c>
      <c r="B29" s="346">
        <v>1200000143</v>
      </c>
      <c r="C29" s="346" t="s">
        <v>1889</v>
      </c>
      <c r="D29" s="346" t="s">
        <v>1889</v>
      </c>
      <c r="E29" s="346">
        <v>2022</v>
      </c>
      <c r="F29" s="346">
        <v>6</v>
      </c>
      <c r="G29" s="346">
        <v>231.57559470000001</v>
      </c>
      <c r="H29" s="346">
        <v>106.07899999999999</v>
      </c>
      <c r="I29" s="346">
        <v>106.07899999999999</v>
      </c>
      <c r="J29" s="346">
        <v>5602.5425649999997</v>
      </c>
      <c r="K29" s="346">
        <v>5808.7400319999997</v>
      </c>
      <c r="L29" s="346">
        <v>393.84832080000001</v>
      </c>
      <c r="M29" s="346" t="s">
        <v>1889</v>
      </c>
      <c r="N29" s="346">
        <v>393.84832080000001</v>
      </c>
      <c r="O29" s="346">
        <v>393.84832080000001</v>
      </c>
      <c r="P29" s="346">
        <v>3657.6668399999999</v>
      </c>
      <c r="Q29" s="346">
        <v>2782.0412369999999</v>
      </c>
      <c r="R29" s="346">
        <v>2605.092427</v>
      </c>
      <c r="S29" s="346">
        <v>56.904951660000002</v>
      </c>
      <c r="T29" s="346">
        <v>69.240243179999993</v>
      </c>
      <c r="U29" s="346">
        <v>243.1378473</v>
      </c>
      <c r="V29" s="346">
        <v>127.46713990000001</v>
      </c>
      <c r="W29" s="346">
        <v>127.7638943</v>
      </c>
      <c r="X29" s="346" t="s">
        <v>101</v>
      </c>
      <c r="Y29" s="346">
        <v>55100</v>
      </c>
      <c r="Z29" s="346">
        <v>5</v>
      </c>
      <c r="AA29" s="346" t="s">
        <v>996</v>
      </c>
      <c r="AB29" s="346" t="s">
        <v>114</v>
      </c>
      <c r="AC29" s="346" t="s">
        <v>114</v>
      </c>
      <c r="AD29" s="347">
        <v>0.3049</v>
      </c>
      <c r="AE29" s="347">
        <v>0.2757</v>
      </c>
      <c r="AF29" s="346">
        <v>0.59</v>
      </c>
      <c r="AG29" s="346">
        <v>1.28</v>
      </c>
      <c r="AH29" s="346">
        <v>2</v>
      </c>
      <c r="AI29" s="346">
        <v>2.74</v>
      </c>
      <c r="AJ29" s="346">
        <v>3.5</v>
      </c>
      <c r="AK29" s="347">
        <v>5.8999999999999999E-3</v>
      </c>
      <c r="AL29" s="347">
        <v>6.8999999999999999E-3</v>
      </c>
      <c r="AM29" s="347">
        <v>7.3000000000000001E-3</v>
      </c>
      <c r="AN29" s="347">
        <v>7.6E-3</v>
      </c>
      <c r="AO29" s="347">
        <v>7.7999999999999996E-3</v>
      </c>
      <c r="AP29" s="347">
        <v>5.8999999999999999E-3</v>
      </c>
      <c r="AQ29" s="347">
        <v>6.4000000000000003E-3</v>
      </c>
      <c r="AR29" s="347">
        <v>6.7000000000000002E-3</v>
      </c>
      <c r="AS29" s="347">
        <v>6.8999999999999999E-3</v>
      </c>
      <c r="AT29" s="347">
        <v>7.1000000000000004E-3</v>
      </c>
      <c r="AU29" s="347">
        <v>3.5000000000000003E-2</v>
      </c>
      <c r="AV29" s="346">
        <v>20.11</v>
      </c>
      <c r="AW29" s="346">
        <v>-6.61</v>
      </c>
      <c r="AX29" s="346">
        <v>4.6500000000000004</v>
      </c>
      <c r="AY29" s="346">
        <v>-8.24</v>
      </c>
      <c r="AZ29" s="346">
        <v>-13.77</v>
      </c>
      <c r="BA29" s="346">
        <v>-4.05</v>
      </c>
      <c r="BB29" s="346">
        <v>-30.14</v>
      </c>
      <c r="BC29" s="346">
        <v>-9.7899999999999991</v>
      </c>
      <c r="BD29" s="346">
        <v>-2.65</v>
      </c>
      <c r="BE29" s="346">
        <v>22.25</v>
      </c>
      <c r="BF29" s="346">
        <v>-4.3600000000000003</v>
      </c>
      <c r="BG29" s="346">
        <v>2.83</v>
      </c>
      <c r="BH29" s="346">
        <v>-18.329999999999998</v>
      </c>
      <c r="BI29" s="346">
        <v>-10.56</v>
      </c>
      <c r="BJ29" s="346">
        <v>-3.73</v>
      </c>
      <c r="BK29" s="346">
        <v>-27.01</v>
      </c>
      <c r="BL29" s="346">
        <v>-7.17</v>
      </c>
      <c r="BM29" s="346">
        <v>-3.77</v>
      </c>
      <c r="BN29" s="346">
        <v>86.75</v>
      </c>
      <c r="BO29" s="346">
        <v>-11.66</v>
      </c>
      <c r="BP29" s="346">
        <v>-366.31</v>
      </c>
      <c r="BQ29" s="346">
        <v>1.58</v>
      </c>
      <c r="BR29" s="346">
        <v>-38.65</v>
      </c>
      <c r="BS29" s="346">
        <v>133.58000000000001</v>
      </c>
      <c r="BT29" s="346">
        <v>-69.930000000000007</v>
      </c>
      <c r="BU29" s="346">
        <v>-135.35</v>
      </c>
      <c r="BV29" s="346">
        <v>-56.18</v>
      </c>
      <c r="BW29" s="346">
        <v>118.9</v>
      </c>
      <c r="BX29" s="346">
        <v>-9.58</v>
      </c>
      <c r="BY29" s="346">
        <v>-279.52</v>
      </c>
      <c r="BZ29" s="346">
        <v>4.46</v>
      </c>
      <c r="CA29" s="346">
        <v>-36.630000000000003</v>
      </c>
      <c r="CB29" s="346">
        <v>151.49</v>
      </c>
      <c r="CC29" s="346">
        <v>-77.430000000000007</v>
      </c>
      <c r="CD29" s="346">
        <v>-122.88</v>
      </c>
      <c r="CE29" s="346">
        <v>-99.1</v>
      </c>
      <c r="CF29" s="346">
        <v>80.36</v>
      </c>
      <c r="CG29" s="346">
        <v>45.25</v>
      </c>
      <c r="CH29" s="346">
        <v>44.85</v>
      </c>
      <c r="CI29" s="346">
        <v>55.84</v>
      </c>
      <c r="CJ29" s="346">
        <v>53.77</v>
      </c>
      <c r="CK29" s="346">
        <v>57.15</v>
      </c>
      <c r="CL29" s="346">
        <v>81.47</v>
      </c>
      <c r="CM29" s="346">
        <v>63.89</v>
      </c>
      <c r="CN29" s="346">
        <v>71.540000000000006</v>
      </c>
      <c r="CO29" s="346">
        <v>14.16</v>
      </c>
      <c r="CP29" s="346">
        <v>-0.26</v>
      </c>
      <c r="CQ29" s="346">
        <v>433.34</v>
      </c>
      <c r="CR29" s="346">
        <v>6.79</v>
      </c>
      <c r="CS29" s="346">
        <v>7.0000000000000007E-2</v>
      </c>
      <c r="CT29" s="346">
        <v>67.569999999999993</v>
      </c>
      <c r="CU29" s="346">
        <v>58.8</v>
      </c>
      <c r="CV29" s="346">
        <v>4.58</v>
      </c>
      <c r="CW29" s="346">
        <v>306629551.83999997</v>
      </c>
    </row>
    <row r="30" spans="1:101" x14ac:dyDescent="0.25">
      <c r="A30" s="346" t="str">
        <f>VLOOKUP(B30,'Loan Book Summary'!C:G,5,FALSE)</f>
        <v>0014I00001z5rPw</v>
      </c>
      <c r="B30" s="346">
        <v>1100000136</v>
      </c>
      <c r="C30" s="346" t="s">
        <v>1889</v>
      </c>
      <c r="D30" s="346" t="s">
        <v>1889</v>
      </c>
      <c r="E30" s="346">
        <v>2022</v>
      </c>
      <c r="F30" s="346">
        <v>6</v>
      </c>
      <c r="G30" s="346">
        <v>412.73303950000002</v>
      </c>
      <c r="H30" s="346">
        <v>472.41322000000002</v>
      </c>
      <c r="I30" s="346">
        <v>472.41322000000002</v>
      </c>
      <c r="J30" s="346">
        <v>2493.0824149999999</v>
      </c>
      <c r="K30" s="346">
        <v>2442.2892539999998</v>
      </c>
      <c r="L30" s="346">
        <v>457.49285149999997</v>
      </c>
      <c r="M30" s="346" t="s">
        <v>1889</v>
      </c>
      <c r="N30" s="346">
        <v>3361.9918510000002</v>
      </c>
      <c r="O30" s="346">
        <v>3361.9918510000002</v>
      </c>
      <c r="P30" s="346">
        <v>2191.3910000000001</v>
      </c>
      <c r="Q30" s="346">
        <v>3302.2826319999999</v>
      </c>
      <c r="R30" s="346">
        <v>3152.6481349999999</v>
      </c>
      <c r="S30" s="346">
        <v>95.780357530000003</v>
      </c>
      <c r="T30" s="346" t="s">
        <v>1889</v>
      </c>
      <c r="U30" s="346">
        <v>378.31701829999997</v>
      </c>
      <c r="V30" s="346">
        <v>302.65361469999999</v>
      </c>
      <c r="W30" s="346">
        <v>190.2871126</v>
      </c>
      <c r="X30" s="346" t="s">
        <v>101</v>
      </c>
      <c r="Y30" s="346">
        <v>56302</v>
      </c>
      <c r="Z30" s="346">
        <v>5</v>
      </c>
      <c r="AA30" s="346" t="s">
        <v>996</v>
      </c>
      <c r="AB30" s="346" t="s">
        <v>105</v>
      </c>
      <c r="AC30" s="346" t="s">
        <v>105</v>
      </c>
      <c r="AD30" s="347">
        <v>0.60509999999999997</v>
      </c>
      <c r="AE30" s="347">
        <v>0.58040000000000003</v>
      </c>
      <c r="AF30" s="346">
        <v>1.56</v>
      </c>
      <c r="AG30" s="346">
        <v>3.07</v>
      </c>
      <c r="AH30" s="346">
        <v>4.55</v>
      </c>
      <c r="AI30" s="346">
        <v>6</v>
      </c>
      <c r="AJ30" s="346">
        <v>7.43</v>
      </c>
      <c r="AK30" s="347">
        <v>1.5599999999999999E-2</v>
      </c>
      <c r="AL30" s="347">
        <v>1.54E-2</v>
      </c>
      <c r="AM30" s="347">
        <v>1.5299999999999999E-2</v>
      </c>
      <c r="AN30" s="347">
        <v>1.52E-2</v>
      </c>
      <c r="AO30" s="347">
        <v>1.52E-2</v>
      </c>
      <c r="AP30" s="347">
        <v>1.5599999999999999E-2</v>
      </c>
      <c r="AQ30" s="347">
        <v>1.55E-2</v>
      </c>
      <c r="AR30" s="347">
        <v>1.54E-2</v>
      </c>
      <c r="AS30" s="347">
        <v>1.54E-2</v>
      </c>
      <c r="AT30" s="347">
        <v>1.5299999999999999E-2</v>
      </c>
      <c r="AU30" s="347">
        <v>7.4300000000000005E-2</v>
      </c>
      <c r="AV30" s="346">
        <v>15.49</v>
      </c>
      <c r="AW30" s="346">
        <v>-4.4800000000000004</v>
      </c>
      <c r="AX30" s="346" t="s">
        <v>1889</v>
      </c>
      <c r="AY30" s="346">
        <v>-7.1</v>
      </c>
      <c r="AZ30" s="346">
        <v>-11.28</v>
      </c>
      <c r="BA30" s="346">
        <v>42</v>
      </c>
      <c r="BB30" s="346">
        <v>0.72</v>
      </c>
      <c r="BC30" s="346">
        <v>-16.649999999999999</v>
      </c>
      <c r="BD30" s="346">
        <v>-2.29</v>
      </c>
      <c r="BE30" s="346">
        <v>17.260000000000002</v>
      </c>
      <c r="BF30" s="346">
        <v>-2.98</v>
      </c>
      <c r="BG30" s="346" t="s">
        <v>1889</v>
      </c>
      <c r="BH30" s="346">
        <v>-15.91</v>
      </c>
      <c r="BI30" s="346">
        <v>-8.7200000000000006</v>
      </c>
      <c r="BJ30" s="346">
        <v>38.92</v>
      </c>
      <c r="BK30" s="346">
        <v>0.65</v>
      </c>
      <c r="BL30" s="346">
        <v>-12.28</v>
      </c>
      <c r="BM30" s="346">
        <v>-3.28</v>
      </c>
      <c r="BN30" s="346">
        <v>87.99</v>
      </c>
      <c r="BO30" s="346">
        <v>-25.07</v>
      </c>
      <c r="BP30" s="346">
        <v>0</v>
      </c>
      <c r="BQ30" s="346">
        <v>-8.18</v>
      </c>
      <c r="BR30" s="346">
        <v>20.14</v>
      </c>
      <c r="BS30" s="346">
        <v>164.17</v>
      </c>
      <c r="BT30" s="346">
        <v>-393.91</v>
      </c>
      <c r="BU30" s="346">
        <v>-47.8</v>
      </c>
      <c r="BV30" s="346">
        <v>-52.73</v>
      </c>
      <c r="BW30" s="346">
        <v>103.96</v>
      </c>
      <c r="BX30" s="346">
        <v>-17.18</v>
      </c>
      <c r="BY30" s="346">
        <v>0</v>
      </c>
      <c r="BZ30" s="346">
        <v>-18.86</v>
      </c>
      <c r="CA30" s="346">
        <v>16.12</v>
      </c>
      <c r="CB30" s="346">
        <v>158.71</v>
      </c>
      <c r="CC30" s="346">
        <v>-367.28</v>
      </c>
      <c r="CD30" s="346">
        <v>-36.44</v>
      </c>
      <c r="CE30" s="346">
        <v>-81.459999999999994</v>
      </c>
      <c r="CF30" s="346">
        <v>79.41</v>
      </c>
      <c r="CG30" s="346">
        <v>39.450000000000003</v>
      </c>
      <c r="CH30" s="346" t="s">
        <v>1889</v>
      </c>
      <c r="CI30" s="346">
        <v>50.76</v>
      </c>
      <c r="CJ30" s="346">
        <v>67.84</v>
      </c>
      <c r="CK30" s="346">
        <v>90.61</v>
      </c>
      <c r="CL30" s="346">
        <v>54.8</v>
      </c>
      <c r="CM30" s="346">
        <v>80.41</v>
      </c>
      <c r="CN30" s="346">
        <v>71.02</v>
      </c>
      <c r="CO30" s="346">
        <v>13.85</v>
      </c>
      <c r="CP30" s="346">
        <v>-0.68</v>
      </c>
      <c r="CQ30" s="346" t="s">
        <v>1889</v>
      </c>
      <c r="CR30" s="346">
        <v>4.75</v>
      </c>
      <c r="CS30" s="346">
        <v>1.89</v>
      </c>
      <c r="CT30" s="346">
        <v>94.85</v>
      </c>
      <c r="CU30" s="346">
        <v>12.28</v>
      </c>
      <c r="CV30" s="346">
        <v>9.16</v>
      </c>
      <c r="CW30" s="346">
        <v>299403229.76999998</v>
      </c>
    </row>
    <row r="31" spans="1:101" x14ac:dyDescent="0.25">
      <c r="A31" s="346" t="str">
        <f>VLOOKUP(B31,'Loan Book Summary'!C:G,5,FALSE)</f>
        <v>0014I00001wCsHB</v>
      </c>
      <c r="B31" s="346">
        <v>1100000190</v>
      </c>
      <c r="C31" s="346" t="s">
        <v>1889</v>
      </c>
      <c r="D31" s="346" t="s">
        <v>1889</v>
      </c>
      <c r="E31" s="346">
        <v>2022</v>
      </c>
      <c r="F31" s="346">
        <v>6</v>
      </c>
      <c r="G31" s="346">
        <v>1749.3812089999999</v>
      </c>
      <c r="H31" s="346">
        <v>219.84800000000001</v>
      </c>
      <c r="I31" s="346">
        <v>219.84800000000001</v>
      </c>
      <c r="J31" s="346">
        <v>25810.17643</v>
      </c>
      <c r="K31" s="346">
        <v>26708.573230000002</v>
      </c>
      <c r="L31" s="346">
        <v>639.25099999999998</v>
      </c>
      <c r="M31" s="346" t="s">
        <v>1889</v>
      </c>
      <c r="N31" s="346">
        <v>1707.8920000000001</v>
      </c>
      <c r="O31" s="346">
        <v>1745.9690000000001</v>
      </c>
      <c r="P31" s="346">
        <v>29133.973999999998</v>
      </c>
      <c r="Q31" s="346">
        <v>5896.0784379999996</v>
      </c>
      <c r="R31" s="346">
        <v>5561.8184229999997</v>
      </c>
      <c r="S31" s="346">
        <v>256.92246870000002</v>
      </c>
      <c r="T31" s="346">
        <v>1002.187403</v>
      </c>
      <c r="U31" s="346">
        <v>621.60319700000002</v>
      </c>
      <c r="V31" s="346">
        <v>-380.58420610000002</v>
      </c>
      <c r="W31" s="346">
        <v>-567.71698000000004</v>
      </c>
      <c r="X31" s="346" t="s">
        <v>101</v>
      </c>
      <c r="Y31" s="346">
        <v>87200</v>
      </c>
      <c r="Z31" s="346">
        <v>5</v>
      </c>
      <c r="AA31" s="346" t="s">
        <v>996</v>
      </c>
      <c r="AB31" s="346" t="s">
        <v>104</v>
      </c>
      <c r="AC31" s="346" t="s">
        <v>105</v>
      </c>
      <c r="AD31" s="347">
        <v>0.69869999999999999</v>
      </c>
      <c r="AE31" s="347">
        <v>0.50629999999999997</v>
      </c>
      <c r="AF31" s="346">
        <v>2.1800000000000002</v>
      </c>
      <c r="AG31" s="346">
        <v>3.44</v>
      </c>
      <c r="AH31" s="346">
        <v>4.49</v>
      </c>
      <c r="AI31" s="346">
        <v>5.42</v>
      </c>
      <c r="AJ31" s="346">
        <v>6.27</v>
      </c>
      <c r="AK31" s="347">
        <v>2.18E-2</v>
      </c>
      <c r="AL31" s="347">
        <v>1.29E-2</v>
      </c>
      <c r="AM31" s="347">
        <v>1.09E-2</v>
      </c>
      <c r="AN31" s="347">
        <v>9.7000000000000003E-3</v>
      </c>
      <c r="AO31" s="347">
        <v>8.8999999999999999E-3</v>
      </c>
      <c r="AP31" s="347">
        <v>2.18E-2</v>
      </c>
      <c r="AQ31" s="347">
        <v>1.7399999999999999E-2</v>
      </c>
      <c r="AR31" s="347">
        <v>1.52E-2</v>
      </c>
      <c r="AS31" s="347">
        <v>1.38E-2</v>
      </c>
      <c r="AT31" s="347">
        <v>1.29E-2</v>
      </c>
      <c r="AU31" s="347">
        <v>6.2700000000000006E-2</v>
      </c>
      <c r="AV31" s="346">
        <v>3.07</v>
      </c>
      <c r="AW31" s="346">
        <v>-2.98</v>
      </c>
      <c r="AX31" s="346">
        <v>16.100000000000001</v>
      </c>
      <c r="AY31" s="346">
        <v>-3.72</v>
      </c>
      <c r="AZ31" s="346">
        <v>-6.34</v>
      </c>
      <c r="BA31" s="346">
        <v>27.17</v>
      </c>
      <c r="BB31" s="346">
        <v>-17.5</v>
      </c>
      <c r="BC31" s="346">
        <v>13.55</v>
      </c>
      <c r="BD31" s="346">
        <v>-9.56</v>
      </c>
      <c r="BE31" s="346">
        <v>3.67</v>
      </c>
      <c r="BF31" s="346">
        <v>-2.12</v>
      </c>
      <c r="BG31" s="346">
        <v>10.58</v>
      </c>
      <c r="BH31" s="346">
        <v>-8.9600000000000009</v>
      </c>
      <c r="BI31" s="346">
        <v>-5.26</v>
      </c>
      <c r="BJ31" s="346">
        <v>27.01</v>
      </c>
      <c r="BK31" s="346">
        <v>-16.95</v>
      </c>
      <c r="BL31" s="346">
        <v>10.73</v>
      </c>
      <c r="BM31" s="346">
        <v>-14.73</v>
      </c>
      <c r="BN31" s="346">
        <v>119.23</v>
      </c>
      <c r="BO31" s="346">
        <v>-14.37</v>
      </c>
      <c r="BP31" s="346">
        <v>-504.31</v>
      </c>
      <c r="BQ31" s="346">
        <v>-2.2200000000000002</v>
      </c>
      <c r="BR31" s="346">
        <v>-17.850000000000001</v>
      </c>
      <c r="BS31" s="346">
        <v>160.88</v>
      </c>
      <c r="BT31" s="346">
        <v>-33.46</v>
      </c>
      <c r="BU31" s="346">
        <v>-8.7899999999999991</v>
      </c>
      <c r="BV31" s="346">
        <v>-38.89</v>
      </c>
      <c r="BW31" s="346">
        <v>170.7</v>
      </c>
      <c r="BX31" s="346">
        <v>-12.6</v>
      </c>
      <c r="BY31" s="346">
        <v>-379.15</v>
      </c>
      <c r="BZ31" s="346">
        <v>-6.47</v>
      </c>
      <c r="CA31" s="346">
        <v>-18.170000000000002</v>
      </c>
      <c r="CB31" s="346">
        <v>192.21</v>
      </c>
      <c r="CC31" s="346">
        <v>-39.51</v>
      </c>
      <c r="CD31" s="346">
        <v>-8.5299999999999994</v>
      </c>
      <c r="CE31" s="346">
        <v>-72.66</v>
      </c>
      <c r="CF31" s="346">
        <v>67.709999999999994</v>
      </c>
      <c r="CG31" s="346">
        <v>45.8</v>
      </c>
      <c r="CH31" s="346">
        <v>21.31</v>
      </c>
      <c r="CI31" s="346">
        <v>53.95</v>
      </c>
      <c r="CJ31" s="346">
        <v>58.75</v>
      </c>
      <c r="CK31" s="346">
        <v>97.99</v>
      </c>
      <c r="CL31" s="346">
        <v>90.29</v>
      </c>
      <c r="CM31" s="346">
        <v>11.35</v>
      </c>
      <c r="CN31" s="346">
        <v>92.25</v>
      </c>
      <c r="CO31" s="346">
        <v>10.84</v>
      </c>
      <c r="CP31" s="346">
        <v>-0.22</v>
      </c>
      <c r="CQ31" s="346">
        <v>87.66</v>
      </c>
      <c r="CR31" s="346">
        <v>6.01</v>
      </c>
      <c r="CS31" s="346">
        <v>0.61</v>
      </c>
      <c r="CT31" s="346">
        <v>112.08</v>
      </c>
      <c r="CU31" s="346">
        <v>102.43</v>
      </c>
      <c r="CV31" s="346">
        <v>-6.45</v>
      </c>
      <c r="CW31" s="346">
        <v>1407155262.3800001</v>
      </c>
    </row>
    <row r="32" spans="1:101" x14ac:dyDescent="0.25">
      <c r="A32" s="346" t="str">
        <f>VLOOKUP(B32,'Loan Book Summary'!C:G,5,FALSE)</f>
        <v>0014I000029MDAV</v>
      </c>
      <c r="B32" s="346">
        <v>1100000226</v>
      </c>
      <c r="C32" s="346" t="s">
        <v>1889</v>
      </c>
      <c r="D32" s="346" t="s">
        <v>1889</v>
      </c>
      <c r="E32" s="346">
        <v>2022</v>
      </c>
      <c r="F32" s="346">
        <v>6</v>
      </c>
      <c r="G32" s="346">
        <v>50</v>
      </c>
      <c r="H32" s="346">
        <v>3379.9290000000001</v>
      </c>
      <c r="I32" s="346">
        <v>3379.9290000000001</v>
      </c>
      <c r="J32" s="346">
        <v>86602.847200000004</v>
      </c>
      <c r="K32" s="346">
        <v>87738.940050000005</v>
      </c>
      <c r="L32" s="346">
        <v>2312.3519999999999</v>
      </c>
      <c r="M32" s="346" t="s">
        <v>1889</v>
      </c>
      <c r="N32" s="346">
        <v>4863.6859999999997</v>
      </c>
      <c r="O32" s="346">
        <v>4863.6859999999997</v>
      </c>
      <c r="P32" s="346">
        <v>64718.778749999998</v>
      </c>
      <c r="Q32" s="346">
        <v>18562.144240000001</v>
      </c>
      <c r="R32" s="346">
        <v>17721.04811</v>
      </c>
      <c r="S32" s="346">
        <v>838.19190119999996</v>
      </c>
      <c r="T32" s="346">
        <v>15381.513269999999</v>
      </c>
      <c r="U32" s="346">
        <v>890.6188363</v>
      </c>
      <c r="V32" s="346">
        <v>-14490.89444</v>
      </c>
      <c r="W32" s="346">
        <v>-14781.344069999999</v>
      </c>
      <c r="X32" s="346" t="s">
        <v>101</v>
      </c>
      <c r="Y32" s="346">
        <v>56302</v>
      </c>
      <c r="Z32" s="346">
        <v>5</v>
      </c>
      <c r="AA32" s="346" t="s">
        <v>996</v>
      </c>
      <c r="AB32" s="346" t="s">
        <v>107</v>
      </c>
      <c r="AC32" s="346" t="s">
        <v>104</v>
      </c>
      <c r="AD32" s="347">
        <v>0.77049999999999996</v>
      </c>
      <c r="AE32" s="347">
        <v>0.61680000000000001</v>
      </c>
      <c r="AF32" s="346">
        <v>2.91</v>
      </c>
      <c r="AG32" s="346">
        <v>4.55</v>
      </c>
      <c r="AH32" s="346">
        <v>5.89</v>
      </c>
      <c r="AI32" s="346">
        <v>7.07</v>
      </c>
      <c r="AJ32" s="346">
        <v>8.14</v>
      </c>
      <c r="AK32" s="347">
        <v>2.9100000000000001E-2</v>
      </c>
      <c r="AL32" s="347">
        <v>1.6899999999999998E-2</v>
      </c>
      <c r="AM32" s="347">
        <v>1.41E-2</v>
      </c>
      <c r="AN32" s="347">
        <v>1.2500000000000001E-2</v>
      </c>
      <c r="AO32" s="347">
        <v>1.15E-2</v>
      </c>
      <c r="AP32" s="347">
        <v>2.9100000000000001E-2</v>
      </c>
      <c r="AQ32" s="347">
        <v>2.3E-2</v>
      </c>
      <c r="AR32" s="347">
        <v>0.02</v>
      </c>
      <c r="AS32" s="347">
        <v>1.8200000000000001E-2</v>
      </c>
      <c r="AT32" s="347">
        <v>1.6799999999999999E-2</v>
      </c>
      <c r="AU32" s="347">
        <v>8.14E-2</v>
      </c>
      <c r="AV32" s="346">
        <v>7.55</v>
      </c>
      <c r="AW32" s="346">
        <v>-2.56</v>
      </c>
      <c r="AX32" s="346">
        <v>21.02</v>
      </c>
      <c r="AY32" s="346">
        <v>-4.4800000000000004</v>
      </c>
      <c r="AZ32" s="346">
        <v>-7.65</v>
      </c>
      <c r="BA32" s="346">
        <v>5.89</v>
      </c>
      <c r="BB32" s="346">
        <v>17.37</v>
      </c>
      <c r="BC32" s="346">
        <v>17.760000000000002</v>
      </c>
      <c r="BD32" s="346">
        <v>-15.73</v>
      </c>
      <c r="BE32" s="346">
        <v>8.7899999999999991</v>
      </c>
      <c r="BF32" s="346">
        <v>-1.77</v>
      </c>
      <c r="BG32" s="346">
        <v>13.44</v>
      </c>
      <c r="BH32" s="346">
        <v>-10.49</v>
      </c>
      <c r="BI32" s="346">
        <v>-6.17</v>
      </c>
      <c r="BJ32" s="346">
        <v>5.7</v>
      </c>
      <c r="BK32" s="346">
        <v>16.38</v>
      </c>
      <c r="BL32" s="346">
        <v>13.68</v>
      </c>
      <c r="BM32" s="346">
        <v>-23.57</v>
      </c>
      <c r="BN32" s="346">
        <v>64.02</v>
      </c>
      <c r="BO32" s="346">
        <v>-24.51</v>
      </c>
      <c r="BP32" s="346">
        <v>-276.81</v>
      </c>
      <c r="BQ32" s="346">
        <v>-5.99</v>
      </c>
      <c r="BR32" s="346">
        <v>-17.95</v>
      </c>
      <c r="BS32" s="346">
        <v>115.98</v>
      </c>
      <c r="BT32" s="346">
        <v>-384.97</v>
      </c>
      <c r="BU32" s="346">
        <v>-0.19</v>
      </c>
      <c r="BV32" s="346">
        <v>-9.58</v>
      </c>
      <c r="BW32" s="346">
        <v>88.78</v>
      </c>
      <c r="BX32" s="346">
        <v>-20.55</v>
      </c>
      <c r="BY32" s="346">
        <v>-202.1</v>
      </c>
      <c r="BZ32" s="346">
        <v>-16.8</v>
      </c>
      <c r="CA32" s="346">
        <v>-17.62</v>
      </c>
      <c r="CB32" s="346">
        <v>132.34</v>
      </c>
      <c r="CC32" s="346">
        <v>-404.2</v>
      </c>
      <c r="CD32" s="346">
        <v>-0.16</v>
      </c>
      <c r="CE32" s="346">
        <v>-17.45</v>
      </c>
      <c r="CF32" s="346">
        <v>74.47</v>
      </c>
      <c r="CG32" s="346">
        <v>37.340000000000003</v>
      </c>
      <c r="CH32" s="346">
        <v>17.66</v>
      </c>
      <c r="CI32" s="346">
        <v>50.76</v>
      </c>
      <c r="CJ32" s="346">
        <v>54.31</v>
      </c>
      <c r="CK32" s="346">
        <v>68.819999999999993</v>
      </c>
      <c r="CL32" s="346">
        <v>31.77</v>
      </c>
      <c r="CM32" s="346">
        <v>4</v>
      </c>
      <c r="CN32" s="346">
        <v>97.99</v>
      </c>
      <c r="CO32" s="346">
        <v>12.46</v>
      </c>
      <c r="CP32" s="346">
        <v>-0.86</v>
      </c>
      <c r="CQ32" s="346">
        <v>11.24</v>
      </c>
      <c r="CR32" s="346">
        <v>4.75</v>
      </c>
      <c r="CS32" s="346">
        <v>0.12</v>
      </c>
      <c r="CT32" s="346">
        <v>76.069999999999993</v>
      </c>
      <c r="CU32" s="346">
        <v>1.03</v>
      </c>
      <c r="CV32" s="346">
        <v>-78.069999999999993</v>
      </c>
      <c r="CW32" s="346">
        <v>4677203774.3599997</v>
      </c>
    </row>
    <row r="33" spans="1:101" x14ac:dyDescent="0.25">
      <c r="A33" s="346" t="str">
        <f>VLOOKUP(B33,'Loan Book Summary'!C:G,5,FALSE)</f>
        <v>0014I00001jTjtP</v>
      </c>
      <c r="B33" s="346">
        <v>1100000002</v>
      </c>
      <c r="C33" s="346" t="s">
        <v>1889</v>
      </c>
      <c r="D33" s="346" t="s">
        <v>1889</v>
      </c>
      <c r="E33" s="346">
        <v>2022</v>
      </c>
      <c r="F33" s="346">
        <v>6</v>
      </c>
      <c r="G33" s="346">
        <v>125.2646104</v>
      </c>
      <c r="H33" s="346" t="s">
        <v>1889</v>
      </c>
      <c r="I33" s="346" t="s">
        <v>1889</v>
      </c>
      <c r="J33" s="346">
        <v>16278.27988</v>
      </c>
      <c r="K33" s="346">
        <v>16342.54997</v>
      </c>
      <c r="L33" s="346" t="s">
        <v>1889</v>
      </c>
      <c r="M33" s="346" t="s">
        <v>1889</v>
      </c>
      <c r="N33" s="346">
        <v>0</v>
      </c>
      <c r="O33" s="346" t="s">
        <v>1889</v>
      </c>
      <c r="P33" s="346">
        <v>6574.7867200000001</v>
      </c>
      <c r="Q33" s="346">
        <v>3370.980333</v>
      </c>
      <c r="R33" s="346">
        <v>3218.2329749999999</v>
      </c>
      <c r="S33" s="346" t="s">
        <v>1889</v>
      </c>
      <c r="T33" s="346">
        <v>680.57546479999996</v>
      </c>
      <c r="U33" s="346">
        <v>703.79352940000001</v>
      </c>
      <c r="V33" s="346">
        <v>10.966101419999999</v>
      </c>
      <c r="W33" s="346">
        <v>-77.885179030000003</v>
      </c>
      <c r="X33" s="346" t="s">
        <v>101</v>
      </c>
      <c r="Y33" s="346">
        <v>55100</v>
      </c>
      <c r="Z33" s="346">
        <v>5</v>
      </c>
      <c r="AA33" s="346" t="s">
        <v>996</v>
      </c>
      <c r="AB33" s="346" t="s">
        <v>110</v>
      </c>
      <c r="AC33" s="346" t="s">
        <v>114</v>
      </c>
      <c r="AD33" s="347">
        <v>0.45800000000000002</v>
      </c>
      <c r="AE33" s="347">
        <v>0.3075</v>
      </c>
      <c r="AF33" s="346">
        <v>0.98</v>
      </c>
      <c r="AG33" s="346">
        <v>1.77</v>
      </c>
      <c r="AH33" s="346">
        <v>2.5</v>
      </c>
      <c r="AI33" s="346">
        <v>3.2</v>
      </c>
      <c r="AJ33" s="346">
        <v>3.86</v>
      </c>
      <c r="AK33" s="347">
        <v>9.7999999999999997E-3</v>
      </c>
      <c r="AL33" s="347">
        <v>8.0000000000000002E-3</v>
      </c>
      <c r="AM33" s="347">
        <v>7.4999999999999997E-3</v>
      </c>
      <c r="AN33" s="347">
        <v>7.1000000000000004E-3</v>
      </c>
      <c r="AO33" s="347">
        <v>6.8999999999999999E-3</v>
      </c>
      <c r="AP33" s="347">
        <v>9.7999999999999997E-3</v>
      </c>
      <c r="AQ33" s="347">
        <v>8.8999999999999999E-3</v>
      </c>
      <c r="AR33" s="347">
        <v>8.3999999999999995E-3</v>
      </c>
      <c r="AS33" s="347">
        <v>8.0999999999999996E-3</v>
      </c>
      <c r="AT33" s="347">
        <v>7.7999999999999996E-3</v>
      </c>
      <c r="AU33" s="347">
        <v>3.8600000000000002E-2</v>
      </c>
      <c r="AV33" s="346" t="s">
        <v>1889</v>
      </c>
      <c r="AW33" s="346" t="s">
        <v>1889</v>
      </c>
      <c r="AX33" s="346">
        <v>34.049999999999997</v>
      </c>
      <c r="AY33" s="346">
        <v>-8.2200000000000006</v>
      </c>
      <c r="AZ33" s="346" t="s">
        <v>1889</v>
      </c>
      <c r="BA33" s="346">
        <v>-28.63</v>
      </c>
      <c r="BB33" s="346" t="s">
        <v>1889</v>
      </c>
      <c r="BC33" s="346">
        <v>16.03</v>
      </c>
      <c r="BD33" s="346">
        <v>-13.07</v>
      </c>
      <c r="BE33" s="346" t="s">
        <v>1889</v>
      </c>
      <c r="BF33" s="346" t="s">
        <v>1889</v>
      </c>
      <c r="BG33" s="346">
        <v>21.64</v>
      </c>
      <c r="BH33" s="346">
        <v>-19.100000000000001</v>
      </c>
      <c r="BI33" s="346" t="s">
        <v>1889</v>
      </c>
      <c r="BJ33" s="346">
        <v>-27.52</v>
      </c>
      <c r="BK33" s="346" t="s">
        <v>1889</v>
      </c>
      <c r="BL33" s="346">
        <v>12.27</v>
      </c>
      <c r="BM33" s="346">
        <v>-19.46</v>
      </c>
      <c r="BN33" s="346">
        <v>0</v>
      </c>
      <c r="BO33" s="346">
        <v>0</v>
      </c>
      <c r="BP33" s="346">
        <v>-276.67</v>
      </c>
      <c r="BQ33" s="346">
        <v>-6.05</v>
      </c>
      <c r="BR33" s="346">
        <v>0</v>
      </c>
      <c r="BS33" s="346">
        <v>29.06</v>
      </c>
      <c r="BT33" s="346">
        <v>0</v>
      </c>
      <c r="BU33" s="346">
        <v>-146.03</v>
      </c>
      <c r="BV33" s="346">
        <v>-42.19</v>
      </c>
      <c r="BW33" s="346">
        <v>0</v>
      </c>
      <c r="BX33" s="346">
        <v>0</v>
      </c>
      <c r="BY33" s="346">
        <v>-218.14</v>
      </c>
      <c r="BZ33" s="346">
        <v>-18.239999999999998</v>
      </c>
      <c r="CA33" s="346">
        <v>0</v>
      </c>
      <c r="CB33" s="346">
        <v>36.200000000000003</v>
      </c>
      <c r="CC33" s="346">
        <v>0</v>
      </c>
      <c r="CD33" s="346">
        <v>-145.41</v>
      </c>
      <c r="CE33" s="346">
        <v>-82.02</v>
      </c>
      <c r="CF33" s="346" t="s">
        <v>1889</v>
      </c>
      <c r="CG33" s="346" t="s">
        <v>1889</v>
      </c>
      <c r="CH33" s="346">
        <v>22.26</v>
      </c>
      <c r="CI33" s="346">
        <v>50.76</v>
      </c>
      <c r="CJ33" s="346" t="s">
        <v>1889</v>
      </c>
      <c r="CK33" s="346">
        <v>24.82</v>
      </c>
      <c r="CL33" s="346" t="s">
        <v>1889</v>
      </c>
      <c r="CM33" s="346">
        <v>28.48</v>
      </c>
      <c r="CN33" s="346">
        <v>87.34</v>
      </c>
      <c r="CO33" s="346" t="s">
        <v>1889</v>
      </c>
      <c r="CP33" s="346" t="s">
        <v>1889</v>
      </c>
      <c r="CQ33" s="346">
        <v>103.41</v>
      </c>
      <c r="CR33" s="346">
        <v>4.75</v>
      </c>
      <c r="CS33" s="346" t="s">
        <v>1889</v>
      </c>
      <c r="CT33" s="346">
        <v>40.39</v>
      </c>
      <c r="CU33" s="346" t="s">
        <v>1889</v>
      </c>
      <c r="CV33" s="346">
        <v>0.33</v>
      </c>
      <c r="CW33" s="346">
        <v>832400982.42999995</v>
      </c>
    </row>
    <row r="34" spans="1:101" x14ac:dyDescent="0.25">
      <c r="A34" s="346" t="str">
        <f>VLOOKUP(B34,'Loan Book Summary'!C:G,5,FALSE)</f>
        <v>0015800001VjgTF</v>
      </c>
      <c r="B34" s="346">
        <v>1100000202</v>
      </c>
      <c r="C34" s="346" t="s">
        <v>1889</v>
      </c>
      <c r="D34" s="346" t="s">
        <v>1889</v>
      </c>
      <c r="E34" s="346">
        <v>2022</v>
      </c>
      <c r="F34" s="346">
        <v>6</v>
      </c>
      <c r="G34" s="346">
        <v>50</v>
      </c>
      <c r="H34" s="346">
        <v>35.199860000000001</v>
      </c>
      <c r="I34" s="346">
        <v>35.199860000000001</v>
      </c>
      <c r="J34" s="346">
        <v>5614.1072400000003</v>
      </c>
      <c r="K34" s="346">
        <v>5914.8156410000001</v>
      </c>
      <c r="L34" s="346">
        <v>578.90259000000003</v>
      </c>
      <c r="M34" s="346" t="s">
        <v>1889</v>
      </c>
      <c r="N34" s="346">
        <v>648.82230000000004</v>
      </c>
      <c r="O34" s="346">
        <v>648.82230000000004</v>
      </c>
      <c r="P34" s="346">
        <v>7905.7048709999999</v>
      </c>
      <c r="Q34" s="346">
        <v>3358.0221580000002</v>
      </c>
      <c r="R34" s="346">
        <v>3205.8619669999998</v>
      </c>
      <c r="S34" s="346">
        <v>130.9541906</v>
      </c>
      <c r="T34" s="346" t="s">
        <v>1889</v>
      </c>
      <c r="U34" s="346">
        <v>177.12635420000001</v>
      </c>
      <c r="V34" s="346">
        <v>141.70108339999999</v>
      </c>
      <c r="W34" s="346">
        <v>109.06017370000001</v>
      </c>
      <c r="X34" s="346" t="s">
        <v>101</v>
      </c>
      <c r="Y34" s="346">
        <v>55100</v>
      </c>
      <c r="Z34" s="346">
        <v>5</v>
      </c>
      <c r="AA34" s="346" t="s">
        <v>996</v>
      </c>
      <c r="AB34" s="346" t="s">
        <v>107</v>
      </c>
      <c r="AC34" s="346" t="s">
        <v>107</v>
      </c>
      <c r="AD34" s="347">
        <v>0.75190000000000001</v>
      </c>
      <c r="AE34" s="347">
        <v>0.73309999999999997</v>
      </c>
      <c r="AF34" s="346">
        <v>2.68</v>
      </c>
      <c r="AG34" s="346">
        <v>5</v>
      </c>
      <c r="AH34" s="346">
        <v>7.16</v>
      </c>
      <c r="AI34" s="346">
        <v>9.2200000000000006</v>
      </c>
      <c r="AJ34" s="346">
        <v>11.19</v>
      </c>
      <c r="AK34" s="347">
        <v>2.6800000000000001E-2</v>
      </c>
      <c r="AL34" s="347">
        <v>2.3800000000000002E-2</v>
      </c>
      <c r="AM34" s="347">
        <v>2.2800000000000001E-2</v>
      </c>
      <c r="AN34" s="347">
        <v>2.2200000000000001E-2</v>
      </c>
      <c r="AO34" s="347">
        <v>2.1700000000000001E-2</v>
      </c>
      <c r="AP34" s="347">
        <v>2.6800000000000001E-2</v>
      </c>
      <c r="AQ34" s="347">
        <v>2.53E-2</v>
      </c>
      <c r="AR34" s="347">
        <v>2.4500000000000001E-2</v>
      </c>
      <c r="AS34" s="347">
        <v>2.3900000000000001E-2</v>
      </c>
      <c r="AT34" s="347">
        <v>2.35E-2</v>
      </c>
      <c r="AU34" s="347">
        <v>0.1119</v>
      </c>
      <c r="AV34" s="346">
        <v>19.850000000000001</v>
      </c>
      <c r="AW34" s="346">
        <v>-5.05</v>
      </c>
      <c r="AX34" s="346" t="s">
        <v>1889</v>
      </c>
      <c r="AY34" s="346">
        <v>-5.77</v>
      </c>
      <c r="AZ34" s="346">
        <v>-9.8800000000000008</v>
      </c>
      <c r="BA34" s="346">
        <v>45.15</v>
      </c>
      <c r="BB34" s="346">
        <v>5.97</v>
      </c>
      <c r="BC34" s="346">
        <v>-6.11</v>
      </c>
      <c r="BD34" s="346">
        <v>-2.21</v>
      </c>
      <c r="BE34" s="346">
        <v>21.91</v>
      </c>
      <c r="BF34" s="346">
        <v>-3.32</v>
      </c>
      <c r="BG34" s="346" t="s">
        <v>1889</v>
      </c>
      <c r="BH34" s="346">
        <v>-12.81</v>
      </c>
      <c r="BI34" s="346">
        <v>-7.56</v>
      </c>
      <c r="BJ34" s="346">
        <v>41.44</v>
      </c>
      <c r="BK34" s="346">
        <v>5.34</v>
      </c>
      <c r="BL34" s="346">
        <v>-4.47</v>
      </c>
      <c r="BM34" s="346">
        <v>-3.14</v>
      </c>
      <c r="BN34" s="346">
        <v>57.04</v>
      </c>
      <c r="BO34" s="346">
        <v>2.89</v>
      </c>
      <c r="BP34" s="346">
        <v>0</v>
      </c>
      <c r="BQ34" s="346">
        <v>-9.57</v>
      </c>
      <c r="BR34" s="346">
        <v>-15.99</v>
      </c>
      <c r="BS34" s="346">
        <v>41.91</v>
      </c>
      <c r="BT34" s="346">
        <v>-469.97</v>
      </c>
      <c r="BU34" s="346">
        <v>-157.88999999999999</v>
      </c>
      <c r="BV34" s="346">
        <v>-44.74</v>
      </c>
      <c r="BW34" s="346">
        <v>65.739999999999995</v>
      </c>
      <c r="BX34" s="346">
        <v>2.0699999999999998</v>
      </c>
      <c r="BY34" s="346">
        <v>0</v>
      </c>
      <c r="BZ34" s="346">
        <v>-22.32</v>
      </c>
      <c r="CA34" s="346">
        <v>-12.75</v>
      </c>
      <c r="CB34" s="346">
        <v>39.94</v>
      </c>
      <c r="CC34" s="346">
        <v>-465.23</v>
      </c>
      <c r="CD34" s="346">
        <v>-125.63</v>
      </c>
      <c r="CE34" s="346">
        <v>-66.319999999999993</v>
      </c>
      <c r="CF34" s="346">
        <v>88.01</v>
      </c>
      <c r="CG34" s="346">
        <v>49.1</v>
      </c>
      <c r="CH34" s="346" t="s">
        <v>1889</v>
      </c>
      <c r="CI34" s="346">
        <v>50.76</v>
      </c>
      <c r="CJ34" s="346">
        <v>58.66</v>
      </c>
      <c r="CK34" s="346">
        <v>99.87</v>
      </c>
      <c r="CL34" s="346">
        <v>48.77</v>
      </c>
      <c r="CM34" s="346">
        <v>61.85</v>
      </c>
      <c r="CN34" s="346">
        <v>72.459999999999994</v>
      </c>
      <c r="CO34" s="346">
        <v>17.239999999999998</v>
      </c>
      <c r="CP34" s="346">
        <v>-0.05</v>
      </c>
      <c r="CQ34" s="346" t="s">
        <v>1889</v>
      </c>
      <c r="CR34" s="346">
        <v>4.75</v>
      </c>
      <c r="CS34" s="346">
        <v>0.6</v>
      </c>
      <c r="CT34" s="346">
        <v>136.59</v>
      </c>
      <c r="CU34" s="346">
        <v>7.71</v>
      </c>
      <c r="CV34" s="346">
        <v>4.22</v>
      </c>
      <c r="CW34" s="346">
        <v>320259188.33999997</v>
      </c>
    </row>
    <row r="35" spans="1:101" x14ac:dyDescent="0.25">
      <c r="A35" s="346" t="str">
        <f>VLOOKUP(B35,'Loan Book Summary'!C:G,5,FALSE)</f>
        <v>0014I00001xvXvo</v>
      </c>
      <c r="B35" s="346">
        <v>1200000117</v>
      </c>
      <c r="C35" s="346" t="s">
        <v>1889</v>
      </c>
      <c r="D35" s="346" t="s">
        <v>1889</v>
      </c>
      <c r="E35" s="346">
        <v>2022</v>
      </c>
      <c r="F35" s="346">
        <v>6</v>
      </c>
      <c r="G35" s="346">
        <v>769.31396159999997</v>
      </c>
      <c r="H35" s="346">
        <v>391.66025000000002</v>
      </c>
      <c r="I35" s="346">
        <v>391.66025000000002</v>
      </c>
      <c r="J35" s="346">
        <v>7630.8547760000001</v>
      </c>
      <c r="K35" s="346">
        <v>7557.2570580000001</v>
      </c>
      <c r="L35" s="346">
        <v>701.68349000000001</v>
      </c>
      <c r="M35" s="346" t="s">
        <v>1889</v>
      </c>
      <c r="N35" s="346">
        <v>8649.1076599999997</v>
      </c>
      <c r="O35" s="346">
        <v>8714.1076599999997</v>
      </c>
      <c r="P35" s="346">
        <v>6214.8549999999996</v>
      </c>
      <c r="Q35" s="346">
        <v>6221.7040429999997</v>
      </c>
      <c r="R35" s="346">
        <v>5939.7834270000003</v>
      </c>
      <c r="S35" s="346">
        <v>149.758365</v>
      </c>
      <c r="T35" s="346" t="s">
        <v>1889</v>
      </c>
      <c r="U35" s="346">
        <v>493.99771779999998</v>
      </c>
      <c r="V35" s="346">
        <v>395.19817430000001</v>
      </c>
      <c r="W35" s="346">
        <v>110.3752964</v>
      </c>
      <c r="X35" s="346" t="s">
        <v>101</v>
      </c>
      <c r="Y35" s="346">
        <v>56302</v>
      </c>
      <c r="Z35" s="346">
        <v>5</v>
      </c>
      <c r="AA35" s="346" t="s">
        <v>996</v>
      </c>
      <c r="AB35" s="346" t="s">
        <v>105</v>
      </c>
      <c r="AC35" s="346" t="s">
        <v>110</v>
      </c>
      <c r="AD35" s="347">
        <v>0.52729999999999999</v>
      </c>
      <c r="AE35" s="347">
        <v>0.4652</v>
      </c>
      <c r="AF35" s="346">
        <v>1.22</v>
      </c>
      <c r="AG35" s="346">
        <v>2.38</v>
      </c>
      <c r="AH35" s="346">
        <v>3.51</v>
      </c>
      <c r="AI35" s="346">
        <v>4.62</v>
      </c>
      <c r="AJ35" s="346">
        <v>5.71</v>
      </c>
      <c r="AK35" s="347">
        <v>1.2200000000000001E-2</v>
      </c>
      <c r="AL35" s="347">
        <v>1.17E-2</v>
      </c>
      <c r="AM35" s="347">
        <v>1.1599999999999999E-2</v>
      </c>
      <c r="AN35" s="347">
        <v>1.15E-2</v>
      </c>
      <c r="AO35" s="347">
        <v>1.14E-2</v>
      </c>
      <c r="AP35" s="347">
        <v>1.2200000000000001E-2</v>
      </c>
      <c r="AQ35" s="347">
        <v>1.2E-2</v>
      </c>
      <c r="AR35" s="347">
        <v>1.1900000000000001E-2</v>
      </c>
      <c r="AS35" s="347">
        <v>1.18E-2</v>
      </c>
      <c r="AT35" s="347">
        <v>1.17E-2</v>
      </c>
      <c r="AU35" s="347">
        <v>5.7099999999999998E-2</v>
      </c>
      <c r="AV35" s="346">
        <v>7.57</v>
      </c>
      <c r="AW35" s="346">
        <v>-5.94</v>
      </c>
      <c r="AX35" s="346" t="s">
        <v>1889</v>
      </c>
      <c r="AY35" s="346">
        <v>-7.39</v>
      </c>
      <c r="AZ35" s="346">
        <v>-11.75</v>
      </c>
      <c r="BA35" s="346">
        <v>36.880000000000003</v>
      </c>
      <c r="BB35" s="346">
        <v>5.32</v>
      </c>
      <c r="BC35" s="346">
        <v>-13.38</v>
      </c>
      <c r="BD35" s="346">
        <v>-11.76</v>
      </c>
      <c r="BE35" s="346">
        <v>8.1300000000000008</v>
      </c>
      <c r="BF35" s="346">
        <v>-3.8</v>
      </c>
      <c r="BG35" s="346" t="s">
        <v>1889</v>
      </c>
      <c r="BH35" s="346">
        <v>-15.97</v>
      </c>
      <c r="BI35" s="346">
        <v>-8.75</v>
      </c>
      <c r="BJ35" s="346">
        <v>32.93</v>
      </c>
      <c r="BK35" s="346">
        <v>4.63</v>
      </c>
      <c r="BL35" s="346">
        <v>-9.51</v>
      </c>
      <c r="BM35" s="346">
        <v>-16.27</v>
      </c>
      <c r="BN35" s="346">
        <v>83.37</v>
      </c>
      <c r="BO35" s="346">
        <v>-10.050000000000001</v>
      </c>
      <c r="BP35" s="346">
        <v>0</v>
      </c>
      <c r="BQ35" s="346">
        <v>-7.52</v>
      </c>
      <c r="BR35" s="346">
        <v>18.41</v>
      </c>
      <c r="BS35" s="346">
        <v>162.19999999999999</v>
      </c>
      <c r="BT35" s="346">
        <v>-395.19</v>
      </c>
      <c r="BU35" s="346">
        <v>-71.94</v>
      </c>
      <c r="BV35" s="346">
        <v>-51.32</v>
      </c>
      <c r="BW35" s="346">
        <v>99.05</v>
      </c>
      <c r="BX35" s="346">
        <v>-7.13</v>
      </c>
      <c r="BY35" s="346">
        <v>0</v>
      </c>
      <c r="BZ35" s="346">
        <v>-17.87</v>
      </c>
      <c r="CA35" s="346">
        <v>15.21</v>
      </c>
      <c r="CB35" s="346">
        <v>158.91</v>
      </c>
      <c r="CC35" s="346">
        <v>-366.85</v>
      </c>
      <c r="CD35" s="346">
        <v>-56.63</v>
      </c>
      <c r="CE35" s="346">
        <v>-78.349999999999994</v>
      </c>
      <c r="CF35" s="346">
        <v>69.650000000000006</v>
      </c>
      <c r="CG35" s="346">
        <v>44.61</v>
      </c>
      <c r="CH35" s="346" t="s">
        <v>1889</v>
      </c>
      <c r="CI35" s="346">
        <v>50.76</v>
      </c>
      <c r="CJ35" s="346">
        <v>66.959999999999994</v>
      </c>
      <c r="CK35" s="346">
        <v>87.31</v>
      </c>
      <c r="CL35" s="346">
        <v>50.52</v>
      </c>
      <c r="CM35" s="346">
        <v>72.03</v>
      </c>
      <c r="CN35" s="346">
        <v>87.34</v>
      </c>
      <c r="CO35" s="346">
        <v>11.28</v>
      </c>
      <c r="CP35" s="346">
        <v>-0.3</v>
      </c>
      <c r="CQ35" s="346" t="s">
        <v>1889</v>
      </c>
      <c r="CR35" s="346">
        <v>4.75</v>
      </c>
      <c r="CS35" s="346">
        <v>1.75</v>
      </c>
      <c r="CT35" s="346">
        <v>91.3</v>
      </c>
      <c r="CU35" s="346">
        <v>8.89</v>
      </c>
      <c r="CV35" s="346">
        <v>6.35</v>
      </c>
      <c r="CW35" s="346">
        <v>832487021.08000004</v>
      </c>
    </row>
    <row r="36" spans="1:101" x14ac:dyDescent="0.25">
      <c r="A36" s="346" t="str">
        <f>VLOOKUP(B36,'Loan Book Summary'!C:G,5,FALSE)</f>
        <v>0015800001Enl9O</v>
      </c>
      <c r="B36" s="346">
        <v>1100000175</v>
      </c>
      <c r="C36" s="346" t="s">
        <v>1889</v>
      </c>
      <c r="D36" s="346" t="s">
        <v>1889</v>
      </c>
      <c r="E36" s="346">
        <v>2022</v>
      </c>
      <c r="F36" s="346">
        <v>6</v>
      </c>
      <c r="G36" s="346">
        <v>50</v>
      </c>
      <c r="H36" s="346" t="s">
        <v>1889</v>
      </c>
      <c r="I36" s="346" t="s">
        <v>1889</v>
      </c>
      <c r="J36" s="346">
        <v>83.454653649999997</v>
      </c>
      <c r="K36" s="346">
        <v>257.7521011</v>
      </c>
      <c r="L36" s="346" t="s">
        <v>1889</v>
      </c>
      <c r="M36" s="346" t="s">
        <v>1889</v>
      </c>
      <c r="N36" s="346">
        <v>0</v>
      </c>
      <c r="O36" s="346" t="s">
        <v>1889</v>
      </c>
      <c r="P36" s="346">
        <v>27466.032490000001</v>
      </c>
      <c r="Q36" s="346">
        <v>3282.6153370000002</v>
      </c>
      <c r="R36" s="346">
        <v>2463.002763</v>
      </c>
      <c r="S36" s="346" t="s">
        <v>1889</v>
      </c>
      <c r="T36" s="346">
        <v>2527.6871649999998</v>
      </c>
      <c r="U36" s="346">
        <v>417.1614659</v>
      </c>
      <c r="V36" s="346">
        <v>-2110.5256989999998</v>
      </c>
      <c r="W36" s="346">
        <v>-2453.177369</v>
      </c>
      <c r="X36" s="346" t="s">
        <v>101</v>
      </c>
      <c r="Y36" s="346">
        <v>55100</v>
      </c>
      <c r="Z36" s="346">
        <v>5</v>
      </c>
      <c r="AA36" s="346" t="s">
        <v>996</v>
      </c>
      <c r="AB36" s="346" t="s">
        <v>118</v>
      </c>
      <c r="AC36" s="346" t="s">
        <v>118</v>
      </c>
      <c r="AD36" s="347">
        <v>0.96350000000000002</v>
      </c>
      <c r="AE36" s="347">
        <v>0.97050000000000003</v>
      </c>
      <c r="AF36" s="346">
        <v>11.93</v>
      </c>
      <c r="AG36" s="346">
        <v>20.89</v>
      </c>
      <c r="AH36" s="346">
        <v>28.47</v>
      </c>
      <c r="AI36" s="346">
        <v>35.07</v>
      </c>
      <c r="AJ36" s="346">
        <v>40.89</v>
      </c>
      <c r="AK36" s="347">
        <v>0.1193</v>
      </c>
      <c r="AL36" s="347">
        <v>0.1016</v>
      </c>
      <c r="AM36" s="347">
        <v>9.5899999999999999E-2</v>
      </c>
      <c r="AN36" s="347">
        <v>9.2299999999999993E-2</v>
      </c>
      <c r="AO36" s="347">
        <v>8.9700000000000002E-2</v>
      </c>
      <c r="AP36" s="347">
        <v>0.1193</v>
      </c>
      <c r="AQ36" s="347">
        <v>0.1105</v>
      </c>
      <c r="AR36" s="347">
        <v>0.1057</v>
      </c>
      <c r="AS36" s="347">
        <v>0.1023</v>
      </c>
      <c r="AT36" s="347">
        <v>9.98E-2</v>
      </c>
      <c r="AU36" s="347">
        <v>0.40889999999999999</v>
      </c>
      <c r="AV36" s="346" t="s">
        <v>1889</v>
      </c>
      <c r="AW36" s="346" t="s">
        <v>1889</v>
      </c>
      <c r="AX36" s="346">
        <v>20.45</v>
      </c>
      <c r="AY36" s="346">
        <v>2.84</v>
      </c>
      <c r="AZ36" s="346" t="s">
        <v>1889</v>
      </c>
      <c r="BA36" s="346">
        <v>36.07</v>
      </c>
      <c r="BB36" s="346" t="s">
        <v>1889</v>
      </c>
      <c r="BC36" s="346">
        <v>17.28</v>
      </c>
      <c r="BD36" s="346">
        <v>23.35</v>
      </c>
      <c r="BE36" s="346" t="s">
        <v>1889</v>
      </c>
      <c r="BF36" s="346" t="s">
        <v>1889</v>
      </c>
      <c r="BG36" s="346">
        <v>12.71</v>
      </c>
      <c r="BH36" s="346">
        <v>6.47</v>
      </c>
      <c r="BI36" s="346" t="s">
        <v>1889</v>
      </c>
      <c r="BJ36" s="346">
        <v>33.9</v>
      </c>
      <c r="BK36" s="346" t="s">
        <v>1889</v>
      </c>
      <c r="BL36" s="346">
        <v>12.93</v>
      </c>
      <c r="BM36" s="346">
        <v>33.99</v>
      </c>
      <c r="BN36" s="346">
        <v>0</v>
      </c>
      <c r="BO36" s="346">
        <v>0</v>
      </c>
      <c r="BP36" s="346">
        <v>-177.1</v>
      </c>
      <c r="BQ36" s="346">
        <v>27.3</v>
      </c>
      <c r="BR36" s="346">
        <v>0</v>
      </c>
      <c r="BS36" s="346">
        <v>5.61</v>
      </c>
      <c r="BT36" s="346">
        <v>0</v>
      </c>
      <c r="BU36" s="346">
        <v>-0.12</v>
      </c>
      <c r="BV36" s="346">
        <v>-289.87</v>
      </c>
      <c r="BW36" s="346">
        <v>0</v>
      </c>
      <c r="BX36" s="346">
        <v>0</v>
      </c>
      <c r="BY36" s="346">
        <v>-107.21</v>
      </c>
      <c r="BZ36" s="346">
        <v>59.77</v>
      </c>
      <c r="CA36" s="346">
        <v>0</v>
      </c>
      <c r="CB36" s="346">
        <v>5.28</v>
      </c>
      <c r="CC36" s="346">
        <v>0</v>
      </c>
      <c r="CD36" s="346">
        <v>-0.09</v>
      </c>
      <c r="CE36" s="346">
        <v>-327.64999999999998</v>
      </c>
      <c r="CF36" s="346" t="s">
        <v>1889</v>
      </c>
      <c r="CG36" s="346" t="s">
        <v>1889</v>
      </c>
      <c r="CH36" s="346">
        <v>17.86</v>
      </c>
      <c r="CI36" s="346">
        <v>87.86</v>
      </c>
      <c r="CJ36" s="346" t="s">
        <v>1889</v>
      </c>
      <c r="CK36" s="346">
        <v>100</v>
      </c>
      <c r="CL36" s="346" t="s">
        <v>1889</v>
      </c>
      <c r="CM36" s="346">
        <v>4</v>
      </c>
      <c r="CN36" s="346">
        <v>2</v>
      </c>
      <c r="CO36" s="346" t="s">
        <v>1889</v>
      </c>
      <c r="CP36" s="346" t="s">
        <v>1889</v>
      </c>
      <c r="CQ36" s="346">
        <v>16.5</v>
      </c>
      <c r="CR36" s="346">
        <v>33.28</v>
      </c>
      <c r="CS36" s="346" t="s">
        <v>1889</v>
      </c>
      <c r="CT36" s="346">
        <v>32911.33</v>
      </c>
      <c r="CU36" s="346" t="s">
        <v>1889</v>
      </c>
      <c r="CV36" s="346">
        <v>-64.290000000000006</v>
      </c>
      <c r="CW36" s="346">
        <v>4267510.83</v>
      </c>
    </row>
    <row r="37" spans="1:101" x14ac:dyDescent="0.25">
      <c r="A37" s="346" t="str">
        <f>VLOOKUP(B37,'Loan Book Summary'!C:G,5,FALSE)</f>
        <v>0014I00001opmrL</v>
      </c>
      <c r="B37" s="346">
        <v>1200000105</v>
      </c>
      <c r="C37" s="346" t="s">
        <v>1889</v>
      </c>
      <c r="D37" s="346" t="s">
        <v>1889</v>
      </c>
      <c r="E37" s="346">
        <v>2022</v>
      </c>
      <c r="F37" s="346">
        <v>6</v>
      </c>
      <c r="G37" s="346">
        <v>236.4883725</v>
      </c>
      <c r="H37" s="346">
        <v>105.16246</v>
      </c>
      <c r="I37" s="346">
        <v>105.16246</v>
      </c>
      <c r="J37" s="346">
        <v>1034.3573120000001</v>
      </c>
      <c r="K37" s="346">
        <v>868.85262890000001</v>
      </c>
      <c r="L37" s="346">
        <v>-160.98150999999999</v>
      </c>
      <c r="M37" s="346" t="s">
        <v>1889</v>
      </c>
      <c r="N37" s="346">
        <v>210.31985</v>
      </c>
      <c r="O37" s="346">
        <v>210.31985</v>
      </c>
      <c r="P37" s="346">
        <v>1567.701</v>
      </c>
      <c r="Q37" s="346">
        <v>997.89283399999999</v>
      </c>
      <c r="R37" s="346">
        <v>952.67587079999998</v>
      </c>
      <c r="S37" s="346" t="s">
        <v>1889</v>
      </c>
      <c r="T37" s="346">
        <v>177.39952679999999</v>
      </c>
      <c r="U37" s="346">
        <v>434.67220959999997</v>
      </c>
      <c r="V37" s="346">
        <v>205.8181462</v>
      </c>
      <c r="W37" s="346">
        <v>205.57151429999999</v>
      </c>
      <c r="X37" s="346" t="s">
        <v>101</v>
      </c>
      <c r="Y37" s="346">
        <v>55100</v>
      </c>
      <c r="Z37" s="346">
        <v>5</v>
      </c>
      <c r="AA37" s="346" t="s">
        <v>996</v>
      </c>
      <c r="AB37" s="346" t="s">
        <v>110</v>
      </c>
      <c r="AC37" s="346" t="s">
        <v>114</v>
      </c>
      <c r="AD37" s="347">
        <v>0.40689999999999998</v>
      </c>
      <c r="AE37" s="347">
        <v>0.34160000000000001</v>
      </c>
      <c r="AF37" s="346">
        <v>0.83</v>
      </c>
      <c r="AG37" s="346">
        <v>1.69</v>
      </c>
      <c r="AH37" s="346">
        <v>2.5499999999999998</v>
      </c>
      <c r="AI37" s="346">
        <v>3.42</v>
      </c>
      <c r="AJ37" s="346">
        <v>4.29</v>
      </c>
      <c r="AK37" s="347">
        <v>8.3000000000000001E-3</v>
      </c>
      <c r="AL37" s="347">
        <v>8.6999999999999994E-3</v>
      </c>
      <c r="AM37" s="347">
        <v>8.8000000000000005E-3</v>
      </c>
      <c r="AN37" s="347">
        <v>8.8999999999999999E-3</v>
      </c>
      <c r="AO37" s="347">
        <v>8.9999999999999993E-3</v>
      </c>
      <c r="AP37" s="347">
        <v>8.3000000000000001E-3</v>
      </c>
      <c r="AQ37" s="347">
        <v>8.5000000000000006E-3</v>
      </c>
      <c r="AR37" s="347">
        <v>8.6E-3</v>
      </c>
      <c r="AS37" s="347">
        <v>8.6999999999999994E-3</v>
      </c>
      <c r="AT37" s="347">
        <v>8.6999999999999994E-3</v>
      </c>
      <c r="AU37" s="347">
        <v>4.2900000000000001E-2</v>
      </c>
      <c r="AV37" s="346">
        <v>-16.670000000000002</v>
      </c>
      <c r="AW37" s="346">
        <v>-2.61</v>
      </c>
      <c r="AX37" s="346">
        <v>9.67</v>
      </c>
      <c r="AY37" s="346">
        <v>-3.76</v>
      </c>
      <c r="AZ37" s="346">
        <v>-3.24</v>
      </c>
      <c r="BA37" s="346">
        <v>31.08</v>
      </c>
      <c r="BB37" s="346">
        <v>-17.77</v>
      </c>
      <c r="BC37" s="346">
        <v>-11.44</v>
      </c>
      <c r="BD37" s="346">
        <v>3.77</v>
      </c>
      <c r="BE37" s="346">
        <v>-19.38</v>
      </c>
      <c r="BF37" s="346">
        <v>-1.81</v>
      </c>
      <c r="BG37" s="346">
        <v>6.18</v>
      </c>
      <c r="BH37" s="346">
        <v>-8.7899999999999991</v>
      </c>
      <c r="BI37" s="346">
        <v>-2.61</v>
      </c>
      <c r="BJ37" s="346">
        <v>30.05</v>
      </c>
      <c r="BK37" s="346">
        <v>-16.739999999999998</v>
      </c>
      <c r="BL37" s="346">
        <v>-8.81</v>
      </c>
      <c r="BM37" s="346">
        <v>5.64</v>
      </c>
      <c r="BN37" s="346">
        <v>171.63</v>
      </c>
      <c r="BO37" s="346">
        <v>-12.39</v>
      </c>
      <c r="BP37" s="346">
        <v>-240.14</v>
      </c>
      <c r="BQ37" s="346">
        <v>-5.35</v>
      </c>
      <c r="BR37" s="346">
        <v>-58.67</v>
      </c>
      <c r="BS37" s="346">
        <v>7.86</v>
      </c>
      <c r="BT37" s="346">
        <v>-16.86</v>
      </c>
      <c r="BU37" s="346">
        <v>-6.81</v>
      </c>
      <c r="BV37" s="346">
        <v>-380.27</v>
      </c>
      <c r="BW37" s="346">
        <v>174.23</v>
      </c>
      <c r="BX37" s="346">
        <v>-8.98</v>
      </c>
      <c r="BY37" s="346">
        <v>-133.72999999999999</v>
      </c>
      <c r="BZ37" s="346">
        <v>-13.08</v>
      </c>
      <c r="CA37" s="346">
        <v>-44.14</v>
      </c>
      <c r="CB37" s="346">
        <v>7.97</v>
      </c>
      <c r="CC37" s="346">
        <v>-16.11</v>
      </c>
      <c r="CD37" s="346">
        <v>-5.48</v>
      </c>
      <c r="CE37" s="346">
        <v>-496.27</v>
      </c>
      <c r="CF37" s="346">
        <v>2</v>
      </c>
      <c r="CG37" s="346">
        <v>41.7</v>
      </c>
      <c r="CH37" s="346">
        <v>33.020000000000003</v>
      </c>
      <c r="CI37" s="346">
        <v>50.76</v>
      </c>
      <c r="CJ37" s="346">
        <v>34.69</v>
      </c>
      <c r="CK37" s="346">
        <v>100</v>
      </c>
      <c r="CL37" s="346">
        <v>91.47</v>
      </c>
      <c r="CM37" s="346">
        <v>93.18</v>
      </c>
      <c r="CN37" s="346">
        <v>23.62</v>
      </c>
      <c r="CO37" s="346">
        <v>-16.13</v>
      </c>
      <c r="CP37" s="346">
        <v>-0.5</v>
      </c>
      <c r="CQ37" s="346">
        <v>245.02</v>
      </c>
      <c r="CR37" s="346">
        <v>4.75</v>
      </c>
      <c r="CS37" s="346">
        <v>-2.5099999999999998</v>
      </c>
      <c r="CT37" s="346">
        <v>142.85</v>
      </c>
      <c r="CU37" s="346">
        <v>112.44</v>
      </c>
      <c r="CV37" s="346">
        <v>20.63</v>
      </c>
      <c r="CW37" s="346">
        <v>63647418.530000001</v>
      </c>
    </row>
    <row r="38" spans="1:101" x14ac:dyDescent="0.25">
      <c r="A38" s="346" t="str">
        <f>VLOOKUP(B38,'Loan Book Summary'!C:G,5,FALSE)</f>
        <v>0014I000026e8Lr</v>
      </c>
      <c r="B38" s="346">
        <v>1200000121</v>
      </c>
      <c r="C38" s="346" t="s">
        <v>1889</v>
      </c>
      <c r="D38" s="346" t="s">
        <v>1889</v>
      </c>
      <c r="E38" s="346">
        <v>2022</v>
      </c>
      <c r="F38" s="346">
        <v>6</v>
      </c>
      <c r="G38" s="346">
        <v>50</v>
      </c>
      <c r="H38" s="346">
        <v>19.452999999999999</v>
      </c>
      <c r="I38" s="346">
        <v>19.452999999999999</v>
      </c>
      <c r="J38" s="346">
        <v>3846.0291350000002</v>
      </c>
      <c r="K38" s="346">
        <v>4016.2139029999998</v>
      </c>
      <c r="L38" s="346">
        <v>113.03</v>
      </c>
      <c r="M38" s="346" t="s">
        <v>1889</v>
      </c>
      <c r="N38" s="346">
        <v>443.93299999999999</v>
      </c>
      <c r="O38" s="346">
        <v>443.93299999999999</v>
      </c>
      <c r="P38" s="346">
        <v>2908.89788</v>
      </c>
      <c r="Q38" s="346">
        <v>1661.317145</v>
      </c>
      <c r="R38" s="346">
        <v>1586.0388049999999</v>
      </c>
      <c r="S38" s="346">
        <v>40.311268750000004</v>
      </c>
      <c r="T38" s="346">
        <v>30.101953380000001</v>
      </c>
      <c r="U38" s="346">
        <v>94.298156469999995</v>
      </c>
      <c r="V38" s="346">
        <v>51.356962469999999</v>
      </c>
      <c r="W38" s="346">
        <v>-18.012556969999999</v>
      </c>
      <c r="X38" s="346" t="s">
        <v>101</v>
      </c>
      <c r="Y38" s="346">
        <v>56302</v>
      </c>
      <c r="Z38" s="346">
        <v>5</v>
      </c>
      <c r="AA38" s="346" t="s">
        <v>996</v>
      </c>
      <c r="AB38" s="346" t="s">
        <v>110</v>
      </c>
      <c r="AC38" s="346" t="s">
        <v>110</v>
      </c>
      <c r="AD38" s="347">
        <v>0.41770000000000002</v>
      </c>
      <c r="AE38" s="347">
        <v>0.36109999999999998</v>
      </c>
      <c r="AF38" s="346">
        <v>0.86</v>
      </c>
      <c r="AG38" s="346">
        <v>1.76</v>
      </c>
      <c r="AH38" s="346">
        <v>2.67</v>
      </c>
      <c r="AI38" s="346">
        <v>3.59</v>
      </c>
      <c r="AJ38" s="346">
        <v>4.5</v>
      </c>
      <c r="AK38" s="347">
        <v>8.6E-3</v>
      </c>
      <c r="AL38" s="347">
        <v>9.1000000000000004E-3</v>
      </c>
      <c r="AM38" s="347">
        <v>9.2999999999999992E-3</v>
      </c>
      <c r="AN38" s="347">
        <v>9.4000000000000004E-3</v>
      </c>
      <c r="AO38" s="347">
        <v>9.4999999999999998E-3</v>
      </c>
      <c r="AP38" s="347">
        <v>8.6E-3</v>
      </c>
      <c r="AQ38" s="347">
        <v>8.8000000000000005E-3</v>
      </c>
      <c r="AR38" s="347">
        <v>8.9999999999999993E-3</v>
      </c>
      <c r="AS38" s="347">
        <v>9.1000000000000004E-3</v>
      </c>
      <c r="AT38" s="347">
        <v>9.1999999999999998E-3</v>
      </c>
      <c r="AU38" s="347">
        <v>4.4999999999999998E-2</v>
      </c>
      <c r="AV38" s="346">
        <v>-10.18</v>
      </c>
      <c r="AW38" s="346">
        <v>-11.12</v>
      </c>
      <c r="AX38" s="346">
        <v>7.19</v>
      </c>
      <c r="AY38" s="346">
        <v>-12.71</v>
      </c>
      <c r="AZ38" s="346">
        <v>-20.2</v>
      </c>
      <c r="BA38" s="346">
        <v>21.16</v>
      </c>
      <c r="BB38" s="346">
        <v>5.17</v>
      </c>
      <c r="BC38" s="346">
        <v>-8.5399999999999991</v>
      </c>
      <c r="BD38" s="346">
        <v>-3.72</v>
      </c>
      <c r="BE38" s="346">
        <v>-11</v>
      </c>
      <c r="BF38" s="346">
        <v>-7.16</v>
      </c>
      <c r="BG38" s="346">
        <v>4.2699999999999996</v>
      </c>
      <c r="BH38" s="346">
        <v>-27.62</v>
      </c>
      <c r="BI38" s="346">
        <v>-15.14</v>
      </c>
      <c r="BJ38" s="346">
        <v>19.010000000000002</v>
      </c>
      <c r="BK38" s="346">
        <v>4.53</v>
      </c>
      <c r="BL38" s="346">
        <v>-6.11</v>
      </c>
      <c r="BM38" s="346">
        <v>-5.17</v>
      </c>
      <c r="BN38" s="346">
        <v>40.68</v>
      </c>
      <c r="BO38" s="346">
        <v>1.41</v>
      </c>
      <c r="BP38" s="346">
        <v>-197.52</v>
      </c>
      <c r="BQ38" s="346">
        <v>-4.6399999999999997</v>
      </c>
      <c r="BR38" s="346">
        <v>11.52</v>
      </c>
      <c r="BS38" s="346">
        <v>94.31</v>
      </c>
      <c r="BT38" s="346">
        <v>-221.21</v>
      </c>
      <c r="BU38" s="346">
        <v>-109.39</v>
      </c>
      <c r="BV38" s="346">
        <v>-219.31</v>
      </c>
      <c r="BW38" s="346">
        <v>46.19</v>
      </c>
      <c r="BX38" s="346">
        <v>0.86</v>
      </c>
      <c r="BY38" s="346">
        <v>-124.79</v>
      </c>
      <c r="BZ38" s="346">
        <v>-9.73</v>
      </c>
      <c r="CA38" s="346">
        <v>8.36</v>
      </c>
      <c r="CB38" s="346">
        <v>90.97</v>
      </c>
      <c r="CC38" s="346">
        <v>-206.43</v>
      </c>
      <c r="CD38" s="346">
        <v>-83.63</v>
      </c>
      <c r="CE38" s="346">
        <v>-329.05</v>
      </c>
      <c r="CF38" s="346">
        <v>46.05</v>
      </c>
      <c r="CG38" s="346">
        <v>48.97</v>
      </c>
      <c r="CH38" s="346">
        <v>45.57</v>
      </c>
      <c r="CI38" s="346">
        <v>50.76</v>
      </c>
      <c r="CJ38" s="346">
        <v>66.040000000000006</v>
      </c>
      <c r="CK38" s="346">
        <v>71.61</v>
      </c>
      <c r="CL38" s="346">
        <v>53.62</v>
      </c>
      <c r="CM38" s="346">
        <v>54.52</v>
      </c>
      <c r="CN38" s="346">
        <v>63.66</v>
      </c>
      <c r="CO38" s="346">
        <v>6.8</v>
      </c>
      <c r="CP38" s="346">
        <v>-0.06</v>
      </c>
      <c r="CQ38" s="346">
        <v>447.18</v>
      </c>
      <c r="CR38" s="346">
        <v>4.75</v>
      </c>
      <c r="CS38" s="346">
        <v>1.6</v>
      </c>
      <c r="CT38" s="346">
        <v>78.16</v>
      </c>
      <c r="CU38" s="346">
        <v>11.26</v>
      </c>
      <c r="CV38" s="346">
        <v>3.09</v>
      </c>
      <c r="CW38" s="346">
        <v>219370149.80000001</v>
      </c>
    </row>
    <row r="39" spans="1:101" x14ac:dyDescent="0.25">
      <c r="A39" s="346" t="str">
        <f>VLOOKUP(B39,'Loan Book Summary'!C:G,5,FALSE)</f>
        <v>0014I0000293MAy</v>
      </c>
      <c r="B39" s="346">
        <v>1200000139</v>
      </c>
      <c r="C39" s="346" t="s">
        <v>1889</v>
      </c>
      <c r="D39" s="346" t="s">
        <v>1889</v>
      </c>
      <c r="E39" s="346">
        <v>2022</v>
      </c>
      <c r="F39" s="346">
        <v>6</v>
      </c>
      <c r="G39" s="346">
        <v>50</v>
      </c>
      <c r="H39" s="346" t="s">
        <v>1889</v>
      </c>
      <c r="I39" s="346" t="s">
        <v>1889</v>
      </c>
      <c r="J39" s="346">
        <v>12858.10814</v>
      </c>
      <c r="K39" s="346">
        <v>12830.003769999999</v>
      </c>
      <c r="L39" s="346" t="s">
        <v>1889</v>
      </c>
      <c r="M39" s="346" t="s">
        <v>1889</v>
      </c>
      <c r="N39" s="346">
        <v>0</v>
      </c>
      <c r="O39" s="346" t="s">
        <v>1889</v>
      </c>
      <c r="P39" s="346">
        <v>5500.8912440000004</v>
      </c>
      <c r="Q39" s="346">
        <v>3694.8113020000001</v>
      </c>
      <c r="R39" s="346">
        <v>3527.3903719999998</v>
      </c>
      <c r="S39" s="346" t="s">
        <v>1889</v>
      </c>
      <c r="T39" s="346">
        <v>515.50038159999997</v>
      </c>
      <c r="U39" s="346">
        <v>42.71351611</v>
      </c>
      <c r="V39" s="346">
        <v>-472.78686549999998</v>
      </c>
      <c r="W39" s="346">
        <v>-67.85415605</v>
      </c>
      <c r="X39" s="346" t="s">
        <v>101</v>
      </c>
      <c r="Y39" s="346">
        <v>55100</v>
      </c>
      <c r="Z39" s="346">
        <v>5</v>
      </c>
      <c r="AA39" s="346" t="s">
        <v>996</v>
      </c>
      <c r="AB39" s="346" t="s">
        <v>105</v>
      </c>
      <c r="AC39" s="346" t="s">
        <v>110</v>
      </c>
      <c r="AD39" s="347">
        <v>0.55210000000000004</v>
      </c>
      <c r="AE39" s="347">
        <v>0.3851</v>
      </c>
      <c r="AF39" s="346">
        <v>1.32</v>
      </c>
      <c r="AG39" s="346">
        <v>2.2999999999999998</v>
      </c>
      <c r="AH39" s="346">
        <v>3.18</v>
      </c>
      <c r="AI39" s="346">
        <v>3.99</v>
      </c>
      <c r="AJ39" s="346">
        <v>4.76</v>
      </c>
      <c r="AK39" s="347">
        <v>1.32E-2</v>
      </c>
      <c r="AL39" s="347">
        <v>9.9000000000000008E-3</v>
      </c>
      <c r="AM39" s="347">
        <v>8.9999999999999993E-3</v>
      </c>
      <c r="AN39" s="347">
        <v>8.3999999999999995E-3</v>
      </c>
      <c r="AO39" s="347">
        <v>8.0000000000000002E-3</v>
      </c>
      <c r="AP39" s="347">
        <v>1.32E-2</v>
      </c>
      <c r="AQ39" s="347">
        <v>1.1599999999999999E-2</v>
      </c>
      <c r="AR39" s="347">
        <v>1.0699999999999999E-2</v>
      </c>
      <c r="AS39" s="347">
        <v>1.01E-2</v>
      </c>
      <c r="AT39" s="347">
        <v>9.7000000000000003E-3</v>
      </c>
      <c r="AU39" s="347">
        <v>4.7600000000000003E-2</v>
      </c>
      <c r="AV39" s="346" t="s">
        <v>1889</v>
      </c>
      <c r="AW39" s="346" t="s">
        <v>1889</v>
      </c>
      <c r="AX39" s="346">
        <v>32.979999999999997</v>
      </c>
      <c r="AY39" s="346">
        <v>-7.04</v>
      </c>
      <c r="AZ39" s="346" t="s">
        <v>1889</v>
      </c>
      <c r="BA39" s="346">
        <v>-23.61</v>
      </c>
      <c r="BB39" s="346" t="s">
        <v>1889</v>
      </c>
      <c r="BC39" s="346">
        <v>26.97</v>
      </c>
      <c r="BD39" s="346">
        <v>-9.4</v>
      </c>
      <c r="BE39" s="346" t="s">
        <v>1889</v>
      </c>
      <c r="BF39" s="346" t="s">
        <v>1889</v>
      </c>
      <c r="BG39" s="346">
        <v>22.14</v>
      </c>
      <c r="BH39" s="346">
        <v>-17.29</v>
      </c>
      <c r="BI39" s="346" t="s">
        <v>1889</v>
      </c>
      <c r="BJ39" s="346">
        <v>-23.98</v>
      </c>
      <c r="BK39" s="346" t="s">
        <v>1889</v>
      </c>
      <c r="BL39" s="346">
        <v>21.81</v>
      </c>
      <c r="BM39" s="346">
        <v>-14.78</v>
      </c>
      <c r="BN39" s="346">
        <v>0</v>
      </c>
      <c r="BO39" s="346">
        <v>0</v>
      </c>
      <c r="BP39" s="346">
        <v>-388.06</v>
      </c>
      <c r="BQ39" s="346">
        <v>-8.08</v>
      </c>
      <c r="BR39" s="346">
        <v>0</v>
      </c>
      <c r="BS39" s="346">
        <v>42.1</v>
      </c>
      <c r="BT39" s="346">
        <v>0</v>
      </c>
      <c r="BU39" s="346">
        <v>-0.71</v>
      </c>
      <c r="BV39" s="346">
        <v>-61.05</v>
      </c>
      <c r="BW39" s="346">
        <v>0</v>
      </c>
      <c r="BX39" s="346">
        <v>0</v>
      </c>
      <c r="BY39" s="346">
        <v>-313.16000000000003</v>
      </c>
      <c r="BZ39" s="346">
        <v>-23.11</v>
      </c>
      <c r="CA39" s="346">
        <v>0</v>
      </c>
      <c r="CB39" s="346">
        <v>50.42</v>
      </c>
      <c r="CC39" s="346">
        <v>0</v>
      </c>
      <c r="CD39" s="346">
        <v>-0.68</v>
      </c>
      <c r="CE39" s="346">
        <v>-112.63</v>
      </c>
      <c r="CF39" s="346" t="s">
        <v>1889</v>
      </c>
      <c r="CG39" s="346" t="s">
        <v>1889</v>
      </c>
      <c r="CH39" s="346">
        <v>17.54</v>
      </c>
      <c r="CI39" s="346">
        <v>50.76</v>
      </c>
      <c r="CJ39" s="346" t="s">
        <v>1889</v>
      </c>
      <c r="CK39" s="346">
        <v>27.15</v>
      </c>
      <c r="CL39" s="346" t="s">
        <v>1889</v>
      </c>
      <c r="CM39" s="346">
        <v>7.93</v>
      </c>
      <c r="CN39" s="346">
        <v>84.51</v>
      </c>
      <c r="CO39" s="346" t="s">
        <v>1889</v>
      </c>
      <c r="CP39" s="346" t="s">
        <v>1889</v>
      </c>
      <c r="CQ39" s="346">
        <v>8.2899999999999991</v>
      </c>
      <c r="CR39" s="346">
        <v>4.75</v>
      </c>
      <c r="CS39" s="346" t="s">
        <v>1889</v>
      </c>
      <c r="CT39" s="346">
        <v>42.78</v>
      </c>
      <c r="CU39" s="346" t="s">
        <v>1889</v>
      </c>
      <c r="CV39" s="346">
        <v>-12.8</v>
      </c>
      <c r="CW39" s="346">
        <v>657508159.75999999</v>
      </c>
    </row>
    <row r="40" spans="1:101" x14ac:dyDescent="0.25">
      <c r="A40" s="346" t="str">
        <f>VLOOKUP(B40,'Loan Book Summary'!C:G,5,FALSE)</f>
        <v>0014I00002AOsY6</v>
      </c>
      <c r="B40" s="346">
        <v>1100000224</v>
      </c>
      <c r="C40" s="346" t="s">
        <v>1889</v>
      </c>
      <c r="D40" s="346" t="s">
        <v>1889</v>
      </c>
      <c r="E40" s="346">
        <v>2022</v>
      </c>
      <c r="F40" s="346">
        <v>6</v>
      </c>
      <c r="G40" s="346">
        <v>418.5098127</v>
      </c>
      <c r="H40" s="346" t="s">
        <v>1889</v>
      </c>
      <c r="I40" s="346" t="s">
        <v>1889</v>
      </c>
      <c r="J40" s="346">
        <v>104676.4722</v>
      </c>
      <c r="K40" s="346">
        <v>104195.42419999999</v>
      </c>
      <c r="L40" s="346" t="s">
        <v>1889</v>
      </c>
      <c r="M40" s="346" t="s">
        <v>1889</v>
      </c>
      <c r="N40" s="346">
        <v>0</v>
      </c>
      <c r="O40" s="346" t="s">
        <v>1889</v>
      </c>
      <c r="P40" s="346">
        <v>1761.125873</v>
      </c>
      <c r="Q40" s="346">
        <v>14713.85233</v>
      </c>
      <c r="R40" s="346">
        <v>11040.056549999999</v>
      </c>
      <c r="S40" s="346" t="s">
        <v>1889</v>
      </c>
      <c r="T40" s="346">
        <v>161.38506509999999</v>
      </c>
      <c r="U40" s="346">
        <v>387.7104152</v>
      </c>
      <c r="V40" s="346">
        <v>132.63832120000001</v>
      </c>
      <c r="W40" s="346">
        <v>-1911.0093400000001</v>
      </c>
      <c r="X40" s="346" t="s">
        <v>101</v>
      </c>
      <c r="Y40" s="346">
        <v>55100</v>
      </c>
      <c r="Z40" s="346">
        <v>5</v>
      </c>
      <c r="AA40" s="346" t="s">
        <v>996</v>
      </c>
      <c r="AB40" s="346" t="s">
        <v>114</v>
      </c>
      <c r="AC40" s="346" t="s">
        <v>114</v>
      </c>
      <c r="AD40" s="347">
        <v>0.33560000000000001</v>
      </c>
      <c r="AE40" s="347">
        <v>0.24440000000000001</v>
      </c>
      <c r="AF40" s="346">
        <v>0.66</v>
      </c>
      <c r="AG40" s="346">
        <v>1.3</v>
      </c>
      <c r="AH40" s="346">
        <v>1.93</v>
      </c>
      <c r="AI40" s="346">
        <v>2.56</v>
      </c>
      <c r="AJ40" s="346">
        <v>3.18</v>
      </c>
      <c r="AK40" s="347">
        <v>6.6E-3</v>
      </c>
      <c r="AL40" s="347">
        <v>6.4999999999999997E-3</v>
      </c>
      <c r="AM40" s="347">
        <v>6.4000000000000003E-3</v>
      </c>
      <c r="AN40" s="347">
        <v>6.4000000000000003E-3</v>
      </c>
      <c r="AO40" s="347">
        <v>6.4000000000000003E-3</v>
      </c>
      <c r="AP40" s="347">
        <v>6.6E-3</v>
      </c>
      <c r="AQ40" s="347">
        <v>6.4999999999999997E-3</v>
      </c>
      <c r="AR40" s="347">
        <v>6.4999999999999997E-3</v>
      </c>
      <c r="AS40" s="347">
        <v>6.4999999999999997E-3</v>
      </c>
      <c r="AT40" s="347">
        <v>6.4000000000000003E-3</v>
      </c>
      <c r="AU40" s="347">
        <v>3.1800000000000002E-2</v>
      </c>
      <c r="AV40" s="346" t="s">
        <v>1889</v>
      </c>
      <c r="AW40" s="346" t="s">
        <v>1889</v>
      </c>
      <c r="AX40" s="346">
        <v>20.34</v>
      </c>
      <c r="AY40" s="346">
        <v>5.16</v>
      </c>
      <c r="AZ40" s="346" t="s">
        <v>1889</v>
      </c>
      <c r="BA40" s="346">
        <v>-32.520000000000003</v>
      </c>
      <c r="BB40" s="346" t="s">
        <v>1889</v>
      </c>
      <c r="BC40" s="346">
        <v>9.68</v>
      </c>
      <c r="BD40" s="346">
        <v>-32.299999999999997</v>
      </c>
      <c r="BE40" s="346" t="s">
        <v>1889</v>
      </c>
      <c r="BF40" s="346" t="s">
        <v>1889</v>
      </c>
      <c r="BG40" s="346">
        <v>11.57</v>
      </c>
      <c r="BH40" s="346">
        <v>10.74</v>
      </c>
      <c r="BI40" s="346" t="s">
        <v>1889</v>
      </c>
      <c r="BJ40" s="346">
        <v>-27.99</v>
      </c>
      <c r="BK40" s="346" t="s">
        <v>1889</v>
      </c>
      <c r="BL40" s="346">
        <v>6.63</v>
      </c>
      <c r="BM40" s="346">
        <v>-43.06</v>
      </c>
      <c r="BN40" s="346">
        <v>0</v>
      </c>
      <c r="BO40" s="346">
        <v>0</v>
      </c>
      <c r="BP40" s="346">
        <v>-283.64999999999998</v>
      </c>
      <c r="BQ40" s="346">
        <v>44.45</v>
      </c>
      <c r="BR40" s="346">
        <v>0</v>
      </c>
      <c r="BS40" s="346">
        <v>0</v>
      </c>
      <c r="BT40" s="346">
        <v>0</v>
      </c>
      <c r="BU40" s="346">
        <v>-166.9</v>
      </c>
      <c r="BV40" s="346">
        <v>-5.01</v>
      </c>
      <c r="BW40" s="346">
        <v>0</v>
      </c>
      <c r="BX40" s="346">
        <v>0</v>
      </c>
      <c r="BY40" s="346">
        <v>-215.94</v>
      </c>
      <c r="BZ40" s="346">
        <v>122.75</v>
      </c>
      <c r="CA40" s="346">
        <v>0</v>
      </c>
      <c r="CB40" s="346">
        <v>0</v>
      </c>
      <c r="CC40" s="346">
        <v>0</v>
      </c>
      <c r="CD40" s="346">
        <v>-153.16999999999999</v>
      </c>
      <c r="CE40" s="346">
        <v>-8.14</v>
      </c>
      <c r="CF40" s="346" t="s">
        <v>1889</v>
      </c>
      <c r="CG40" s="346" t="s">
        <v>1889</v>
      </c>
      <c r="CH40" s="346">
        <v>32.67</v>
      </c>
      <c r="CI40" s="346">
        <v>87.86</v>
      </c>
      <c r="CJ40" s="346" t="s">
        <v>1889</v>
      </c>
      <c r="CK40" s="346">
        <v>2.5099999999999998</v>
      </c>
      <c r="CL40" s="346" t="s">
        <v>1889</v>
      </c>
      <c r="CM40" s="346">
        <v>34.82</v>
      </c>
      <c r="CN40" s="346">
        <v>98.16</v>
      </c>
      <c r="CO40" s="346" t="s">
        <v>1889</v>
      </c>
      <c r="CP40" s="346" t="s">
        <v>1889</v>
      </c>
      <c r="CQ40" s="346">
        <v>240.24</v>
      </c>
      <c r="CR40" s="346">
        <v>33.28</v>
      </c>
      <c r="CS40" s="346" t="s">
        <v>1889</v>
      </c>
      <c r="CT40" s="346">
        <v>1.68</v>
      </c>
      <c r="CU40" s="346" t="s">
        <v>1889</v>
      </c>
      <c r="CV40" s="346">
        <v>0.9</v>
      </c>
      <c r="CW40" s="346">
        <v>5352703045.9399996</v>
      </c>
    </row>
    <row r="41" spans="1:101" x14ac:dyDescent="0.25">
      <c r="A41" s="346" t="str">
        <f>VLOOKUP(B41,'Loan Book Summary'!C:G,5,FALSE)</f>
        <v>0018e000003CaFZ</v>
      </c>
      <c r="B41" s="346">
        <v>1100000279</v>
      </c>
      <c r="C41" s="346" t="s">
        <v>1889</v>
      </c>
      <c r="D41" s="346" t="s">
        <v>1889</v>
      </c>
      <c r="E41" s="346">
        <v>2022</v>
      </c>
      <c r="F41" s="346">
        <v>6</v>
      </c>
      <c r="G41" s="346">
        <v>50</v>
      </c>
      <c r="H41" s="346">
        <v>130.226</v>
      </c>
      <c r="I41" s="346">
        <v>130.226</v>
      </c>
      <c r="J41" s="346">
        <v>2057.1580429999999</v>
      </c>
      <c r="K41" s="346">
        <v>2148.1593469999998</v>
      </c>
      <c r="L41" s="346">
        <v>530.65099999999995</v>
      </c>
      <c r="M41" s="346" t="s">
        <v>1889</v>
      </c>
      <c r="N41" s="346">
        <v>1640.309</v>
      </c>
      <c r="O41" s="346">
        <v>1640.309</v>
      </c>
      <c r="P41" s="346">
        <v>16260.208339999999</v>
      </c>
      <c r="Q41" s="346">
        <v>1936.758384</v>
      </c>
      <c r="R41" s="346">
        <v>1453.183137</v>
      </c>
      <c r="S41" s="346">
        <v>108.2472704</v>
      </c>
      <c r="T41" s="346">
        <v>1325.139371</v>
      </c>
      <c r="U41" s="346">
        <v>184.0503137</v>
      </c>
      <c r="V41" s="346">
        <v>-1141.0890569999999</v>
      </c>
      <c r="W41" s="346">
        <v>-1054.632155</v>
      </c>
      <c r="X41" s="346" t="s">
        <v>101</v>
      </c>
      <c r="Y41" s="346">
        <v>55100</v>
      </c>
      <c r="Z41" s="346">
        <v>5</v>
      </c>
      <c r="AA41" s="346" t="s">
        <v>996</v>
      </c>
      <c r="AB41" s="346" t="s">
        <v>118</v>
      </c>
      <c r="AC41" s="346" t="s">
        <v>118</v>
      </c>
      <c r="AD41" s="347">
        <v>0.97270000000000001</v>
      </c>
      <c r="AE41" s="347">
        <v>0.96750000000000003</v>
      </c>
      <c r="AF41" s="346">
        <v>13.29</v>
      </c>
      <c r="AG41" s="346">
        <v>21.72</v>
      </c>
      <c r="AH41" s="346">
        <v>28.54</v>
      </c>
      <c r="AI41" s="346">
        <v>34.33</v>
      </c>
      <c r="AJ41" s="346">
        <v>39.380000000000003</v>
      </c>
      <c r="AK41" s="347">
        <v>0.13289999999999999</v>
      </c>
      <c r="AL41" s="347">
        <v>9.7199999999999995E-2</v>
      </c>
      <c r="AM41" s="347">
        <v>8.7099999999999997E-2</v>
      </c>
      <c r="AN41" s="347">
        <v>8.1100000000000005E-2</v>
      </c>
      <c r="AO41" s="347">
        <v>7.6899999999999996E-2</v>
      </c>
      <c r="AP41" s="347">
        <v>0.13289999999999999</v>
      </c>
      <c r="AQ41" s="347">
        <v>0.1152</v>
      </c>
      <c r="AR41" s="347">
        <v>0.106</v>
      </c>
      <c r="AS41" s="347">
        <v>9.98E-2</v>
      </c>
      <c r="AT41" s="347">
        <v>9.5299999999999996E-2</v>
      </c>
      <c r="AU41" s="347">
        <v>0.39379999999999998</v>
      </c>
      <c r="AV41" s="346">
        <v>16.239999999999998</v>
      </c>
      <c r="AW41" s="346">
        <v>-0.68</v>
      </c>
      <c r="AX41" s="346">
        <v>17.91</v>
      </c>
      <c r="AY41" s="346">
        <v>2.57</v>
      </c>
      <c r="AZ41" s="346">
        <v>-2.81</v>
      </c>
      <c r="BA41" s="346">
        <v>32.549999999999997</v>
      </c>
      <c r="BB41" s="346">
        <v>10.5</v>
      </c>
      <c r="BC41" s="346">
        <v>15.6</v>
      </c>
      <c r="BD41" s="346">
        <v>-1.1499999999999999</v>
      </c>
      <c r="BE41" s="346">
        <v>20.059999999999999</v>
      </c>
      <c r="BF41" s="346">
        <v>-0.5</v>
      </c>
      <c r="BG41" s="346">
        <v>12.15</v>
      </c>
      <c r="BH41" s="346">
        <v>6.38</v>
      </c>
      <c r="BI41" s="346">
        <v>-2.4</v>
      </c>
      <c r="BJ41" s="346">
        <v>33.43</v>
      </c>
      <c r="BK41" s="346">
        <v>10.5</v>
      </c>
      <c r="BL41" s="346">
        <v>12.75</v>
      </c>
      <c r="BM41" s="346">
        <v>-1.83</v>
      </c>
      <c r="BN41" s="346">
        <v>4.04</v>
      </c>
      <c r="BO41" s="346">
        <v>-21.28</v>
      </c>
      <c r="BP41" s="346">
        <v>-233.9</v>
      </c>
      <c r="BQ41" s="346">
        <v>36.33</v>
      </c>
      <c r="BR41" s="346">
        <v>-57.92</v>
      </c>
      <c r="BS41" s="346">
        <v>7.59</v>
      </c>
      <c r="BT41" s="346">
        <v>-296.45</v>
      </c>
      <c r="BU41" s="346">
        <v>-0.16</v>
      </c>
      <c r="BV41" s="346">
        <v>-242.33</v>
      </c>
      <c r="BW41" s="346">
        <v>4.62</v>
      </c>
      <c r="BX41" s="346">
        <v>-14.16</v>
      </c>
      <c r="BY41" s="346">
        <v>-145.71</v>
      </c>
      <c r="BZ41" s="346">
        <v>83.15</v>
      </c>
      <c r="CA41" s="346">
        <v>-45.2</v>
      </c>
      <c r="CB41" s="346">
        <v>7.17</v>
      </c>
      <c r="CC41" s="346">
        <v>-266.63</v>
      </c>
      <c r="CD41" s="346">
        <v>-0.12</v>
      </c>
      <c r="CE41" s="346">
        <v>-333.25</v>
      </c>
      <c r="CF41" s="346">
        <v>97.11</v>
      </c>
      <c r="CG41" s="346">
        <v>26.15</v>
      </c>
      <c r="CH41" s="346">
        <v>18.09</v>
      </c>
      <c r="CI41" s="346">
        <v>87.86</v>
      </c>
      <c r="CJ41" s="346">
        <v>32.130000000000003</v>
      </c>
      <c r="CK41" s="346">
        <v>100</v>
      </c>
      <c r="CL41" s="346">
        <v>39.5</v>
      </c>
      <c r="CM41" s="346">
        <v>4</v>
      </c>
      <c r="CN41" s="346">
        <v>59.63</v>
      </c>
      <c r="CO41" s="346">
        <v>27.4</v>
      </c>
      <c r="CP41" s="346">
        <v>-2.2400000000000002</v>
      </c>
      <c r="CQ41" s="346">
        <v>22.06</v>
      </c>
      <c r="CR41" s="346">
        <v>33.28</v>
      </c>
      <c r="CS41" s="346">
        <v>-3.02</v>
      </c>
      <c r="CT41" s="346">
        <v>484.13</v>
      </c>
      <c r="CU41" s="346">
        <v>3.05</v>
      </c>
      <c r="CV41" s="346">
        <v>-58.92</v>
      </c>
      <c r="CW41" s="346">
        <v>189072507.77000001</v>
      </c>
    </row>
    <row r="42" spans="1:101" x14ac:dyDescent="0.25">
      <c r="A42" s="346" t="str">
        <f>VLOOKUP(B42,'Loan Book Summary'!C:G,5,FALSE)</f>
        <v>0014I00001rYqrM</v>
      </c>
      <c r="B42" s="346">
        <v>1100000004</v>
      </c>
      <c r="C42" s="346" t="s">
        <v>1889</v>
      </c>
      <c r="D42" s="346" t="s">
        <v>1889</v>
      </c>
      <c r="E42" s="346">
        <v>2022</v>
      </c>
      <c r="F42" s="346">
        <v>6</v>
      </c>
      <c r="G42" s="346">
        <v>1513.5470560000001</v>
      </c>
      <c r="H42" s="346">
        <v>76.261970000000005</v>
      </c>
      <c r="I42" s="346">
        <v>76.261970000000005</v>
      </c>
      <c r="J42" s="346">
        <v>1624.458153</v>
      </c>
      <c r="K42" s="346">
        <v>816.18505870000001</v>
      </c>
      <c r="L42" s="346">
        <v>226.18226999999999</v>
      </c>
      <c r="M42" s="346" t="s">
        <v>1889</v>
      </c>
      <c r="N42" s="346">
        <v>758.18001000000004</v>
      </c>
      <c r="O42" s="346">
        <v>758.18001000000004</v>
      </c>
      <c r="P42" s="346">
        <v>978.72445000000005</v>
      </c>
      <c r="Q42" s="346">
        <v>4278.7018520000001</v>
      </c>
      <c r="R42" s="346">
        <v>3369.9323250000002</v>
      </c>
      <c r="S42" s="346">
        <v>28.29360625</v>
      </c>
      <c r="T42" s="346">
        <v>114.4680489</v>
      </c>
      <c r="U42" s="346">
        <v>1117.5531430000001</v>
      </c>
      <c r="V42" s="346">
        <v>802.46807560000002</v>
      </c>
      <c r="W42" s="346">
        <v>842.0543917</v>
      </c>
      <c r="X42" s="346" t="s">
        <v>101</v>
      </c>
      <c r="Y42" s="346">
        <v>64929</v>
      </c>
      <c r="Z42" s="346">
        <v>5</v>
      </c>
      <c r="AA42" s="346" t="s">
        <v>996</v>
      </c>
      <c r="AB42" s="346" t="s">
        <v>114</v>
      </c>
      <c r="AC42" s="346" t="s">
        <v>114</v>
      </c>
      <c r="AD42" s="347">
        <v>0.25890000000000002</v>
      </c>
      <c r="AE42" s="347">
        <v>0.27439999999999998</v>
      </c>
      <c r="AF42" s="346">
        <v>0.5</v>
      </c>
      <c r="AG42" s="346">
        <v>1.1599999999999999</v>
      </c>
      <c r="AH42" s="346">
        <v>1.89</v>
      </c>
      <c r="AI42" s="346">
        <v>2.67</v>
      </c>
      <c r="AJ42" s="346">
        <v>3.49</v>
      </c>
      <c r="AK42" s="347">
        <v>5.0000000000000001E-3</v>
      </c>
      <c r="AL42" s="347">
        <v>6.6E-3</v>
      </c>
      <c r="AM42" s="347">
        <v>7.4000000000000003E-3</v>
      </c>
      <c r="AN42" s="347">
        <v>7.9000000000000008E-3</v>
      </c>
      <c r="AO42" s="347">
        <v>8.3999999999999995E-3</v>
      </c>
      <c r="AP42" s="347">
        <v>5.0000000000000001E-3</v>
      </c>
      <c r="AQ42" s="347">
        <v>5.7999999999999996E-3</v>
      </c>
      <c r="AR42" s="347">
        <v>6.4000000000000003E-3</v>
      </c>
      <c r="AS42" s="347">
        <v>6.7999999999999996E-3</v>
      </c>
      <c r="AT42" s="347">
        <v>7.1000000000000004E-3</v>
      </c>
      <c r="AU42" s="347">
        <v>3.49E-2</v>
      </c>
      <c r="AV42" s="346">
        <v>-7.87</v>
      </c>
      <c r="AW42" s="346">
        <v>-4.08</v>
      </c>
      <c r="AX42" s="346">
        <v>-9.68</v>
      </c>
      <c r="AY42" s="346">
        <v>2.41</v>
      </c>
      <c r="AZ42" s="346">
        <v>22.2</v>
      </c>
      <c r="BA42" s="346">
        <v>3.85</v>
      </c>
      <c r="BB42" s="346">
        <v>-30.31</v>
      </c>
      <c r="BC42" s="346">
        <v>-17.920000000000002</v>
      </c>
      <c r="BD42" s="346">
        <v>-1.67</v>
      </c>
      <c r="BE42" s="346">
        <v>-10.14</v>
      </c>
      <c r="BF42" s="346">
        <v>-3.13</v>
      </c>
      <c r="BG42" s="346">
        <v>-6.85</v>
      </c>
      <c r="BH42" s="346">
        <v>6.25</v>
      </c>
      <c r="BI42" s="346">
        <v>19.82</v>
      </c>
      <c r="BJ42" s="346">
        <v>4.13</v>
      </c>
      <c r="BK42" s="346">
        <v>-31.63</v>
      </c>
      <c r="BL42" s="346">
        <v>-15.27</v>
      </c>
      <c r="BM42" s="346">
        <v>-2.77</v>
      </c>
      <c r="BN42" s="346">
        <v>43.25</v>
      </c>
      <c r="BO42" s="346">
        <v>-13.54</v>
      </c>
      <c r="BP42" s="346">
        <v>-311.33</v>
      </c>
      <c r="BQ42" s="346">
        <v>42.48</v>
      </c>
      <c r="BR42" s="346">
        <v>-9.76</v>
      </c>
      <c r="BS42" s="346">
        <v>107.35</v>
      </c>
      <c r="BT42" s="346">
        <v>-3.17</v>
      </c>
      <c r="BU42" s="346">
        <v>-7.5</v>
      </c>
      <c r="BV42" s="346">
        <v>-361.63</v>
      </c>
      <c r="BW42" s="346">
        <v>47.68</v>
      </c>
      <c r="BX42" s="346">
        <v>-8.9700000000000006</v>
      </c>
      <c r="BY42" s="346">
        <v>-178.53</v>
      </c>
      <c r="BZ42" s="346">
        <v>93.77</v>
      </c>
      <c r="CA42" s="346">
        <v>-7.5</v>
      </c>
      <c r="CB42" s="346">
        <v>98.12</v>
      </c>
      <c r="CC42" s="346">
        <v>-2.83</v>
      </c>
      <c r="CD42" s="346">
        <v>-5.48</v>
      </c>
      <c r="CE42" s="346">
        <v>-457.12</v>
      </c>
      <c r="CF42" s="346">
        <v>36.880000000000003</v>
      </c>
      <c r="CG42" s="346">
        <v>41.95</v>
      </c>
      <c r="CH42" s="346">
        <v>63.91</v>
      </c>
      <c r="CI42" s="346">
        <v>84.15</v>
      </c>
      <c r="CJ42" s="346">
        <v>7.4</v>
      </c>
      <c r="CK42" s="346">
        <v>64.48</v>
      </c>
      <c r="CL42" s="346">
        <v>96.54</v>
      </c>
      <c r="CM42" s="346">
        <v>92.17</v>
      </c>
      <c r="CN42" s="346">
        <v>46.45</v>
      </c>
      <c r="CO42" s="346">
        <v>5.29</v>
      </c>
      <c r="CP42" s="346">
        <v>-0.48</v>
      </c>
      <c r="CQ42" s="346">
        <v>1001.02</v>
      </c>
      <c r="CR42" s="346">
        <v>26.97</v>
      </c>
      <c r="CS42" s="346">
        <v>-19.809999999999999</v>
      </c>
      <c r="CT42" s="346">
        <v>72.900000000000006</v>
      </c>
      <c r="CU42" s="346">
        <v>199.63</v>
      </c>
      <c r="CV42" s="346">
        <v>18.75</v>
      </c>
      <c r="CW42" s="346">
        <v>121837833.13</v>
      </c>
    </row>
    <row r="43" spans="1:101" x14ac:dyDescent="0.25">
      <c r="A43" s="346" t="str">
        <f>VLOOKUP(B43,'Loan Book Summary'!C:G,5,FALSE)</f>
        <v>0014I000026umUx</v>
      </c>
      <c r="B43" s="346">
        <v>1100000119</v>
      </c>
      <c r="C43" s="346" t="s">
        <v>1889</v>
      </c>
      <c r="D43" s="346" t="s">
        <v>1889</v>
      </c>
      <c r="E43" s="346">
        <v>2022</v>
      </c>
      <c r="F43" s="346">
        <v>6</v>
      </c>
      <c r="G43" s="346">
        <v>1153.999331</v>
      </c>
      <c r="H43" s="346">
        <v>295.62184000000002</v>
      </c>
      <c r="I43" s="346">
        <v>295.62184000000002</v>
      </c>
      <c r="J43" s="346">
        <v>2154.6210809999998</v>
      </c>
      <c r="K43" s="346">
        <v>2757.6414599999998</v>
      </c>
      <c r="L43" s="346">
        <v>255.13604000000001</v>
      </c>
      <c r="M43" s="346" t="s">
        <v>1889</v>
      </c>
      <c r="N43" s="346">
        <v>1635.0454</v>
      </c>
      <c r="O43" s="346">
        <v>1635.0454</v>
      </c>
      <c r="P43" s="346">
        <v>2765.1436100000001</v>
      </c>
      <c r="Q43" s="346">
        <v>6509.3850000000002</v>
      </c>
      <c r="R43" s="346">
        <v>5723.4750000000004</v>
      </c>
      <c r="S43" s="346">
        <v>38.288713110000003</v>
      </c>
      <c r="T43" s="346">
        <v>412.59865020000001</v>
      </c>
      <c r="U43" s="346">
        <v>425.77128690000001</v>
      </c>
      <c r="V43" s="346">
        <v>5.0331751530000002</v>
      </c>
      <c r="W43" s="346">
        <v>-429.25914030000001</v>
      </c>
      <c r="X43" s="346" t="s">
        <v>101</v>
      </c>
      <c r="Y43" s="346">
        <v>66290</v>
      </c>
      <c r="Z43" s="346">
        <v>5</v>
      </c>
      <c r="AA43" s="346" t="s">
        <v>996</v>
      </c>
      <c r="AB43" s="346" t="s">
        <v>104</v>
      </c>
      <c r="AC43" s="346" t="s">
        <v>104</v>
      </c>
      <c r="AD43" s="347">
        <v>0.72109999999999996</v>
      </c>
      <c r="AE43" s="347">
        <v>0.61829999999999996</v>
      </c>
      <c r="AF43" s="346">
        <v>2.36</v>
      </c>
      <c r="AG43" s="346">
        <v>4.05</v>
      </c>
      <c r="AH43" s="346">
        <v>5.54</v>
      </c>
      <c r="AI43" s="346">
        <v>6.9</v>
      </c>
      <c r="AJ43" s="346">
        <v>8.17</v>
      </c>
      <c r="AK43" s="347">
        <v>2.3599999999999999E-2</v>
      </c>
      <c r="AL43" s="347">
        <v>1.7299999999999999E-2</v>
      </c>
      <c r="AM43" s="347">
        <v>1.55E-2</v>
      </c>
      <c r="AN43" s="347">
        <v>1.44E-2</v>
      </c>
      <c r="AO43" s="347">
        <v>1.37E-2</v>
      </c>
      <c r="AP43" s="347">
        <v>2.3599999999999999E-2</v>
      </c>
      <c r="AQ43" s="347">
        <v>2.0500000000000001E-2</v>
      </c>
      <c r="AR43" s="347">
        <v>1.8800000000000001E-2</v>
      </c>
      <c r="AS43" s="347">
        <v>1.77E-2</v>
      </c>
      <c r="AT43" s="347">
        <v>1.6899999999999998E-2</v>
      </c>
      <c r="AU43" s="347">
        <v>8.1699999999999995E-2</v>
      </c>
      <c r="AV43" s="346">
        <v>-7.78</v>
      </c>
      <c r="AW43" s="346">
        <v>-3.1</v>
      </c>
      <c r="AX43" s="346">
        <v>18.54</v>
      </c>
      <c r="AY43" s="346">
        <v>-3.13</v>
      </c>
      <c r="AZ43" s="346">
        <v>1.87</v>
      </c>
      <c r="BA43" s="346">
        <v>35.01</v>
      </c>
      <c r="BB43" s="346">
        <v>-18.45</v>
      </c>
      <c r="BC43" s="346">
        <v>10.82</v>
      </c>
      <c r="BD43" s="346">
        <v>-1.31</v>
      </c>
      <c r="BE43" s="346">
        <v>-9.69</v>
      </c>
      <c r="BF43" s="346">
        <v>-2.2999999999999998</v>
      </c>
      <c r="BG43" s="346">
        <v>12.69</v>
      </c>
      <c r="BH43" s="346">
        <v>-7.84</v>
      </c>
      <c r="BI43" s="346">
        <v>1.62</v>
      </c>
      <c r="BJ43" s="346">
        <v>36.24</v>
      </c>
      <c r="BK43" s="346">
        <v>-18.61</v>
      </c>
      <c r="BL43" s="346">
        <v>8.92</v>
      </c>
      <c r="BM43" s="346">
        <v>-2.1</v>
      </c>
      <c r="BN43" s="346">
        <v>44.63</v>
      </c>
      <c r="BO43" s="346">
        <v>-13.09</v>
      </c>
      <c r="BP43" s="346">
        <v>-278.17</v>
      </c>
      <c r="BQ43" s="346">
        <v>28.54</v>
      </c>
      <c r="BR43" s="346">
        <v>42.11</v>
      </c>
      <c r="BS43" s="346">
        <v>24.45</v>
      </c>
      <c r="BT43" s="346">
        <v>-34.119999999999997</v>
      </c>
      <c r="BU43" s="346">
        <v>-146.38999999999999</v>
      </c>
      <c r="BV43" s="346">
        <v>-288.5</v>
      </c>
      <c r="BW43" s="346">
        <v>53.49</v>
      </c>
      <c r="BX43" s="346">
        <v>-9.44</v>
      </c>
      <c r="BY43" s="346">
        <v>-164.55</v>
      </c>
      <c r="BZ43" s="346">
        <v>69.599999999999994</v>
      </c>
      <c r="CA43" s="346">
        <v>35.18</v>
      </c>
      <c r="CB43" s="346">
        <v>24.99</v>
      </c>
      <c r="CC43" s="346">
        <v>-33.81</v>
      </c>
      <c r="CD43" s="346">
        <v>-106.16</v>
      </c>
      <c r="CE43" s="346">
        <v>-402.79</v>
      </c>
      <c r="CF43" s="346">
        <v>28.58</v>
      </c>
      <c r="CG43" s="346">
        <v>40.11</v>
      </c>
      <c r="CH43" s="346">
        <v>22.93</v>
      </c>
      <c r="CI43" s="346">
        <v>69.72</v>
      </c>
      <c r="CJ43" s="346">
        <v>90.38</v>
      </c>
      <c r="CK43" s="346">
        <v>98.3</v>
      </c>
      <c r="CL43" s="346">
        <v>84.61</v>
      </c>
      <c r="CM43" s="346">
        <v>25.75</v>
      </c>
      <c r="CN43" s="346">
        <v>60.31</v>
      </c>
      <c r="CO43" s="346">
        <v>3.92</v>
      </c>
      <c r="CP43" s="346">
        <v>-0.62</v>
      </c>
      <c r="CQ43" s="346">
        <v>112.47</v>
      </c>
      <c r="CR43" s="346">
        <v>13.73</v>
      </c>
      <c r="CS43" s="346">
        <v>9.9</v>
      </c>
      <c r="CT43" s="346">
        <v>116.11</v>
      </c>
      <c r="CU43" s="346">
        <v>70.58</v>
      </c>
      <c r="CV43" s="346">
        <v>0.08</v>
      </c>
      <c r="CW43" s="346">
        <v>193787189.13</v>
      </c>
    </row>
    <row r="44" spans="1:101" x14ac:dyDescent="0.25">
      <c r="A44" s="346" t="str">
        <f>VLOOKUP(B44,'Loan Book Summary'!C:G,5,FALSE)</f>
        <v>0014I0000279PJU</v>
      </c>
      <c r="B44" s="346">
        <v>1100000126</v>
      </c>
      <c r="C44" s="346" t="s">
        <v>1889</v>
      </c>
      <c r="D44" s="346" t="s">
        <v>1889</v>
      </c>
      <c r="E44" s="346">
        <v>2022</v>
      </c>
      <c r="F44" s="346">
        <v>6</v>
      </c>
      <c r="G44" s="346">
        <v>2939.379152</v>
      </c>
      <c r="H44" s="346">
        <v>51.380510000000001</v>
      </c>
      <c r="I44" s="346">
        <v>51.380510000000001</v>
      </c>
      <c r="J44" s="346">
        <v>3873.0389180000002</v>
      </c>
      <c r="K44" s="346">
        <v>2942.310219</v>
      </c>
      <c r="L44" s="346">
        <v>314.56518999999997</v>
      </c>
      <c r="M44" s="346" t="s">
        <v>1889</v>
      </c>
      <c r="N44" s="346">
        <v>868.88576</v>
      </c>
      <c r="O44" s="346">
        <v>868.88576</v>
      </c>
      <c r="P44" s="346">
        <v>-3199.3780900000002</v>
      </c>
      <c r="Q44" s="346">
        <v>4320.2116130000004</v>
      </c>
      <c r="R44" s="346">
        <v>5205</v>
      </c>
      <c r="S44" s="346">
        <v>5.3955051889999996</v>
      </c>
      <c r="T44" s="346">
        <v>44.433345940000002</v>
      </c>
      <c r="U44" s="346">
        <v>1391.830044</v>
      </c>
      <c r="V44" s="346">
        <v>1077.917359</v>
      </c>
      <c r="W44" s="346">
        <v>1100.6666829999999</v>
      </c>
      <c r="X44" s="346" t="s">
        <v>101</v>
      </c>
      <c r="Y44" s="346">
        <v>43999</v>
      </c>
      <c r="Z44" s="346">
        <v>5</v>
      </c>
      <c r="AA44" s="346" t="s">
        <v>996</v>
      </c>
      <c r="AB44" s="346" t="s">
        <v>115</v>
      </c>
      <c r="AC44" s="346" t="s">
        <v>115</v>
      </c>
      <c r="AD44" s="347">
        <v>0.15310000000000001</v>
      </c>
      <c r="AE44" s="347">
        <v>0.19900000000000001</v>
      </c>
      <c r="AF44" s="346">
        <v>0.32</v>
      </c>
      <c r="AG44" s="346">
        <v>0.81</v>
      </c>
      <c r="AH44" s="346">
        <v>1.39</v>
      </c>
      <c r="AI44" s="346">
        <v>2.0299999999999998</v>
      </c>
      <c r="AJ44" s="346">
        <v>2.72</v>
      </c>
      <c r="AK44" s="347">
        <v>3.2000000000000002E-3</v>
      </c>
      <c r="AL44" s="347">
        <v>4.8999999999999998E-3</v>
      </c>
      <c r="AM44" s="347">
        <v>5.7999999999999996E-3</v>
      </c>
      <c r="AN44" s="347">
        <v>6.4999999999999997E-3</v>
      </c>
      <c r="AO44" s="347">
        <v>7.1000000000000004E-3</v>
      </c>
      <c r="AP44" s="347">
        <v>3.2000000000000002E-3</v>
      </c>
      <c r="AQ44" s="347">
        <v>4.1000000000000003E-3</v>
      </c>
      <c r="AR44" s="347">
        <v>4.5999999999999999E-3</v>
      </c>
      <c r="AS44" s="347">
        <v>5.1000000000000004E-3</v>
      </c>
      <c r="AT44" s="347">
        <v>5.4999999999999997E-3</v>
      </c>
      <c r="AU44" s="347">
        <v>2.7199999999999998E-2</v>
      </c>
      <c r="AV44" s="346">
        <v>-3.61</v>
      </c>
      <c r="AW44" s="346">
        <v>-4.21</v>
      </c>
      <c r="AX44" s="346">
        <v>-18.28</v>
      </c>
      <c r="AY44" s="346">
        <v>1.78</v>
      </c>
      <c r="AZ44" s="346">
        <v>3.39</v>
      </c>
      <c r="BA44" s="346">
        <v>-22.1</v>
      </c>
      <c r="BB44" s="346">
        <v>-28.23</v>
      </c>
      <c r="BC44" s="346">
        <v>-16.829999999999998</v>
      </c>
      <c r="BD44" s="346">
        <v>-1.57</v>
      </c>
      <c r="BE44" s="346">
        <v>-4.72</v>
      </c>
      <c r="BF44" s="346">
        <v>-3.28</v>
      </c>
      <c r="BG44" s="346">
        <v>-13.13</v>
      </c>
      <c r="BH44" s="346">
        <v>4.67</v>
      </c>
      <c r="BI44" s="346">
        <v>3.07</v>
      </c>
      <c r="BJ44" s="346">
        <v>-24.02</v>
      </c>
      <c r="BK44" s="346">
        <v>-29.9</v>
      </c>
      <c r="BL44" s="346">
        <v>-14.56</v>
      </c>
      <c r="BM44" s="346">
        <v>-2.65</v>
      </c>
      <c r="BN44" s="346">
        <v>112.56</v>
      </c>
      <c r="BO44" s="346">
        <v>16.55</v>
      </c>
      <c r="BP44" s="346">
        <v>-108.94</v>
      </c>
      <c r="BQ44" s="346">
        <v>-44.66</v>
      </c>
      <c r="BR44" s="346">
        <v>-123.21</v>
      </c>
      <c r="BS44" s="346">
        <v>0</v>
      </c>
      <c r="BT44" s="346">
        <v>-3.34</v>
      </c>
      <c r="BU44" s="346">
        <v>-9.94</v>
      </c>
      <c r="BV44" s="346">
        <v>-480.79</v>
      </c>
      <c r="BW44" s="346">
        <v>105.58</v>
      </c>
      <c r="BX44" s="346">
        <v>9.1</v>
      </c>
      <c r="BY44" s="346">
        <v>-56.1</v>
      </c>
      <c r="BZ44" s="346">
        <v>-85.17</v>
      </c>
      <c r="CA44" s="346">
        <v>-80.14</v>
      </c>
      <c r="CB44" s="346">
        <v>0</v>
      </c>
      <c r="CC44" s="346">
        <v>-2.46</v>
      </c>
      <c r="CD44" s="346">
        <v>-6.03</v>
      </c>
      <c r="CE44" s="346">
        <v>-555.41999999999996</v>
      </c>
      <c r="CF44" s="346">
        <v>48.87</v>
      </c>
      <c r="CG44" s="346">
        <v>58.81</v>
      </c>
      <c r="CH44" s="346">
        <v>82.66</v>
      </c>
      <c r="CI44" s="346">
        <v>14.17</v>
      </c>
      <c r="CJ44" s="346">
        <v>21.35</v>
      </c>
      <c r="CK44" s="346">
        <v>2</v>
      </c>
      <c r="CL44" s="346">
        <v>98.91</v>
      </c>
      <c r="CM44" s="346">
        <v>95.02</v>
      </c>
      <c r="CN44" s="346">
        <v>66.19</v>
      </c>
      <c r="CO44" s="346">
        <v>7.28</v>
      </c>
      <c r="CP44" s="346">
        <v>0.2</v>
      </c>
      <c r="CQ44" s="346">
        <v>3144.54</v>
      </c>
      <c r="CR44" s="346">
        <v>-17</v>
      </c>
      <c r="CS44" s="346">
        <v>-6.15</v>
      </c>
      <c r="CT44" s="346">
        <v>-49.15</v>
      </c>
      <c r="CU44" s="346">
        <v>338.29</v>
      </c>
      <c r="CV44" s="346">
        <v>24.95</v>
      </c>
      <c r="CW44" s="346">
        <v>242481563.75999999</v>
      </c>
    </row>
    <row r="45" spans="1:101" x14ac:dyDescent="0.25">
      <c r="A45" s="346" t="str">
        <f>VLOOKUP(B45,'Loan Book Summary'!C:G,5,FALSE)</f>
        <v>0014I00001tNfla</v>
      </c>
      <c r="B45" s="346">
        <v>1100000184</v>
      </c>
      <c r="C45" s="346" t="s">
        <v>1889</v>
      </c>
      <c r="D45" s="346" t="s">
        <v>1889</v>
      </c>
      <c r="E45" s="346">
        <v>2022</v>
      </c>
      <c r="F45" s="346">
        <v>6</v>
      </c>
      <c r="G45" s="346">
        <v>6030.7496510000001</v>
      </c>
      <c r="H45" s="346">
        <v>8966.3950000000004</v>
      </c>
      <c r="I45" s="346">
        <v>8966.3950000000004</v>
      </c>
      <c r="J45" s="346">
        <v>26018.217229999998</v>
      </c>
      <c r="K45" s="346">
        <v>25307.336619999998</v>
      </c>
      <c r="L45" s="346">
        <v>6290.9054999999998</v>
      </c>
      <c r="M45" s="346" t="s">
        <v>1889</v>
      </c>
      <c r="N45" s="346">
        <v>12518.5715</v>
      </c>
      <c r="O45" s="346">
        <v>12518.5715</v>
      </c>
      <c r="P45" s="346">
        <v>29013.771199999999</v>
      </c>
      <c r="Q45" s="346">
        <v>43836.311130000002</v>
      </c>
      <c r="R45" s="346">
        <v>39521.799939999997</v>
      </c>
      <c r="S45" s="346">
        <v>660.06626310000001</v>
      </c>
      <c r="T45" s="346">
        <v>3953.460462</v>
      </c>
      <c r="U45" s="346">
        <v>2110.5056119999999</v>
      </c>
      <c r="V45" s="346">
        <v>-1842.9548500000001</v>
      </c>
      <c r="W45" s="346">
        <v>-5383.8942399999996</v>
      </c>
      <c r="X45" s="346" t="s">
        <v>101</v>
      </c>
      <c r="Y45" s="346">
        <v>43999</v>
      </c>
      <c r="Z45" s="346">
        <v>5</v>
      </c>
      <c r="AA45" s="346" t="s">
        <v>996</v>
      </c>
      <c r="AB45" s="346" t="s">
        <v>119</v>
      </c>
      <c r="AC45" s="346" t="s">
        <v>102</v>
      </c>
      <c r="AD45" s="347">
        <v>0.90239999999999998</v>
      </c>
      <c r="AE45" s="347">
        <v>0.8256</v>
      </c>
      <c r="AF45" s="346">
        <v>6.2</v>
      </c>
      <c r="AG45" s="346">
        <v>9.1300000000000008</v>
      </c>
      <c r="AH45" s="346">
        <v>11.41</v>
      </c>
      <c r="AI45" s="346">
        <v>13.34</v>
      </c>
      <c r="AJ45" s="346">
        <v>15.04</v>
      </c>
      <c r="AK45" s="347">
        <v>6.2E-2</v>
      </c>
      <c r="AL45" s="347">
        <v>3.1199999999999999E-2</v>
      </c>
      <c r="AM45" s="347">
        <v>2.5100000000000001E-2</v>
      </c>
      <c r="AN45" s="347">
        <v>2.18E-2</v>
      </c>
      <c r="AO45" s="347">
        <v>1.9599999999999999E-2</v>
      </c>
      <c r="AP45" s="347">
        <v>6.2E-2</v>
      </c>
      <c r="AQ45" s="347">
        <v>4.6800000000000001E-2</v>
      </c>
      <c r="AR45" s="347">
        <v>3.9600000000000003E-2</v>
      </c>
      <c r="AS45" s="347">
        <v>3.5200000000000002E-2</v>
      </c>
      <c r="AT45" s="347">
        <v>3.2099999999999997E-2</v>
      </c>
      <c r="AU45" s="347">
        <v>0.15040000000000001</v>
      </c>
      <c r="AV45" s="346">
        <v>9.83</v>
      </c>
      <c r="AW45" s="346">
        <v>-0.69</v>
      </c>
      <c r="AX45" s="346">
        <v>17.47</v>
      </c>
      <c r="AY45" s="346">
        <v>-3.31</v>
      </c>
      <c r="AZ45" s="346">
        <v>0.33</v>
      </c>
      <c r="BA45" s="346">
        <v>29.47</v>
      </c>
      <c r="BB45" s="346">
        <v>-12.63</v>
      </c>
      <c r="BC45" s="346">
        <v>14.19</v>
      </c>
      <c r="BD45" s="346">
        <v>-12.08</v>
      </c>
      <c r="BE45" s="346">
        <v>11.37</v>
      </c>
      <c r="BF45" s="346">
        <v>-0.48</v>
      </c>
      <c r="BG45" s="346">
        <v>11.11</v>
      </c>
      <c r="BH45" s="346">
        <v>-7.7</v>
      </c>
      <c r="BI45" s="346">
        <v>0.27</v>
      </c>
      <c r="BJ45" s="346">
        <v>28.36</v>
      </c>
      <c r="BK45" s="346">
        <v>-11.84</v>
      </c>
      <c r="BL45" s="346">
        <v>10.87</v>
      </c>
      <c r="BM45" s="346">
        <v>-18</v>
      </c>
      <c r="BN45" s="346">
        <v>93.25</v>
      </c>
      <c r="BO45" s="346">
        <v>-37.840000000000003</v>
      </c>
      <c r="BP45" s="346">
        <v>-374.27</v>
      </c>
      <c r="BQ45" s="346">
        <v>36.159999999999997</v>
      </c>
      <c r="BR45" s="346">
        <v>74.209999999999994</v>
      </c>
      <c r="BS45" s="346">
        <v>132.63999999999999</v>
      </c>
      <c r="BT45" s="346">
        <v>-107.91</v>
      </c>
      <c r="BU45" s="346">
        <v>-19.93</v>
      </c>
      <c r="BV45" s="346">
        <v>-23.78</v>
      </c>
      <c r="BW45" s="346">
        <v>116.5</v>
      </c>
      <c r="BX45" s="346">
        <v>-28.18</v>
      </c>
      <c r="BY45" s="346">
        <v>-288.5</v>
      </c>
      <c r="BZ45" s="346">
        <v>90.77</v>
      </c>
      <c r="CA45" s="346">
        <v>63.96</v>
      </c>
      <c r="CB45" s="346">
        <v>145.88999999999999</v>
      </c>
      <c r="CC45" s="346">
        <v>-111.06</v>
      </c>
      <c r="CD45" s="346">
        <v>-16.59</v>
      </c>
      <c r="CE45" s="346">
        <v>-38.549999999999997</v>
      </c>
      <c r="CF45" s="346">
        <v>80.959999999999994</v>
      </c>
      <c r="CG45" s="346">
        <v>26.18</v>
      </c>
      <c r="CH45" s="346">
        <v>20.34</v>
      </c>
      <c r="CI45" s="346">
        <v>64.78</v>
      </c>
      <c r="CJ45" s="346">
        <v>89.83</v>
      </c>
      <c r="CK45" s="346">
        <v>97.11</v>
      </c>
      <c r="CL45" s="346">
        <v>77.89</v>
      </c>
      <c r="CM45" s="346">
        <v>13.65</v>
      </c>
      <c r="CN45" s="346">
        <v>94.4</v>
      </c>
      <c r="CO45" s="346">
        <v>14.35</v>
      </c>
      <c r="CP45" s="346">
        <v>-2.23</v>
      </c>
      <c r="CQ45" s="346">
        <v>70.08</v>
      </c>
      <c r="CR45" s="346">
        <v>10.92</v>
      </c>
      <c r="CS45" s="346">
        <v>9.4499999999999993</v>
      </c>
      <c r="CT45" s="346">
        <v>107.77</v>
      </c>
      <c r="CU45" s="346">
        <v>48.17</v>
      </c>
      <c r="CV45" s="346">
        <v>-4.2</v>
      </c>
      <c r="CW45" s="346">
        <v>1970605066.0699999</v>
      </c>
    </row>
    <row r="46" spans="1:101" x14ac:dyDescent="0.25">
      <c r="A46" s="346" t="str">
        <f>VLOOKUP(B46,'Loan Book Summary'!C:G,5,FALSE)</f>
        <v>0014I000023fvfX</v>
      </c>
      <c r="B46" s="346">
        <v>1100000111</v>
      </c>
      <c r="C46" s="346" t="s">
        <v>1889</v>
      </c>
      <c r="D46" s="346" t="s">
        <v>1889</v>
      </c>
      <c r="E46" s="346">
        <v>2022</v>
      </c>
      <c r="F46" s="346">
        <v>6</v>
      </c>
      <c r="G46" s="346">
        <v>1291.4496879999999</v>
      </c>
      <c r="H46" s="346">
        <v>1343.075</v>
      </c>
      <c r="I46" s="346">
        <v>1343.075</v>
      </c>
      <c r="J46" s="346">
        <v>4725.6730539999999</v>
      </c>
      <c r="K46" s="346">
        <v>4134.9139960000002</v>
      </c>
      <c r="L46" s="346">
        <v>1341.6569999999999</v>
      </c>
      <c r="M46" s="346" t="s">
        <v>1889</v>
      </c>
      <c r="N46" s="346">
        <v>1805.05</v>
      </c>
      <c r="O46" s="346">
        <v>1805.05</v>
      </c>
      <c r="P46" s="346">
        <v>1554.8340000000001</v>
      </c>
      <c r="Q46" s="346">
        <v>8674.34</v>
      </c>
      <c r="R46" s="346">
        <v>7680.91</v>
      </c>
      <c r="S46" s="346">
        <v>99.880223599999994</v>
      </c>
      <c r="T46" s="346">
        <v>63.700084709999999</v>
      </c>
      <c r="U46" s="346">
        <v>945.71577639999998</v>
      </c>
      <c r="V46" s="346">
        <v>705.61255329999995</v>
      </c>
      <c r="W46" s="346">
        <v>347.35490329999999</v>
      </c>
      <c r="X46" s="346" t="s">
        <v>101</v>
      </c>
      <c r="Y46" s="346">
        <v>25930</v>
      </c>
      <c r="Z46" s="346">
        <v>5</v>
      </c>
      <c r="AA46" s="346" t="s">
        <v>996</v>
      </c>
      <c r="AB46" s="346" t="s">
        <v>114</v>
      </c>
      <c r="AC46" s="346" t="s">
        <v>114</v>
      </c>
      <c r="AD46" s="347">
        <v>0.2329</v>
      </c>
      <c r="AE46" s="347">
        <v>0.26279999999999998</v>
      </c>
      <c r="AF46" s="346">
        <v>0.46</v>
      </c>
      <c r="AG46" s="346">
        <v>1.0900000000000001</v>
      </c>
      <c r="AH46" s="346">
        <v>1.8</v>
      </c>
      <c r="AI46" s="346">
        <v>2.56</v>
      </c>
      <c r="AJ46" s="346">
        <v>3.37</v>
      </c>
      <c r="AK46" s="347">
        <v>4.5999999999999999E-3</v>
      </c>
      <c r="AL46" s="347">
        <v>6.3E-3</v>
      </c>
      <c r="AM46" s="347">
        <v>7.1999999999999998E-3</v>
      </c>
      <c r="AN46" s="347">
        <v>7.7999999999999996E-3</v>
      </c>
      <c r="AO46" s="347">
        <v>8.3000000000000001E-3</v>
      </c>
      <c r="AP46" s="347">
        <v>4.5999999999999999E-3</v>
      </c>
      <c r="AQ46" s="347">
        <v>5.4999999999999997E-3</v>
      </c>
      <c r="AR46" s="347">
        <v>6.0000000000000001E-3</v>
      </c>
      <c r="AS46" s="347">
        <v>6.4999999999999997E-3</v>
      </c>
      <c r="AT46" s="347">
        <v>6.7999999999999996E-3</v>
      </c>
      <c r="AU46" s="347">
        <v>3.3700000000000001E-2</v>
      </c>
      <c r="AV46" s="346">
        <v>17.899999999999999</v>
      </c>
      <c r="AW46" s="346">
        <v>-1.05</v>
      </c>
      <c r="AX46" s="346">
        <v>-15.49</v>
      </c>
      <c r="AY46" s="346">
        <v>-4.25</v>
      </c>
      <c r="AZ46" s="346">
        <v>-5.34</v>
      </c>
      <c r="BA46" s="346">
        <v>-16</v>
      </c>
      <c r="BB46" s="346">
        <v>-25.06</v>
      </c>
      <c r="BC46" s="346">
        <v>-12.6</v>
      </c>
      <c r="BD46" s="346">
        <v>-2.33</v>
      </c>
      <c r="BE46" s="346">
        <v>21.25</v>
      </c>
      <c r="BF46" s="346">
        <v>-0.74</v>
      </c>
      <c r="BG46" s="346">
        <v>-10.11</v>
      </c>
      <c r="BH46" s="346">
        <v>-10.15</v>
      </c>
      <c r="BI46" s="346">
        <v>-4.4000000000000004</v>
      </c>
      <c r="BJ46" s="346">
        <v>-15.79</v>
      </c>
      <c r="BK46" s="346">
        <v>-24.1</v>
      </c>
      <c r="BL46" s="346">
        <v>-9.91</v>
      </c>
      <c r="BM46" s="346">
        <v>-3.56</v>
      </c>
      <c r="BN46" s="346">
        <v>66.91</v>
      </c>
      <c r="BO46" s="346">
        <v>-31.97</v>
      </c>
      <c r="BP46" s="346">
        <v>-493.68</v>
      </c>
      <c r="BQ46" s="346">
        <v>39.700000000000003</v>
      </c>
      <c r="BR46" s="346">
        <v>62.56</v>
      </c>
      <c r="BS46" s="346">
        <v>62.45</v>
      </c>
      <c r="BT46" s="346">
        <v>-47.18</v>
      </c>
      <c r="BU46" s="346">
        <v>-59.1</v>
      </c>
      <c r="BV46" s="346">
        <v>-36.450000000000003</v>
      </c>
      <c r="BW46" s="346">
        <v>94.63</v>
      </c>
      <c r="BX46" s="346">
        <v>-26.95</v>
      </c>
      <c r="BY46" s="346">
        <v>-353.33</v>
      </c>
      <c r="BZ46" s="346">
        <v>112.7</v>
      </c>
      <c r="CA46" s="346">
        <v>61.72</v>
      </c>
      <c r="CB46" s="346">
        <v>73.73</v>
      </c>
      <c r="CC46" s="346">
        <v>-54.42</v>
      </c>
      <c r="CD46" s="346">
        <v>-55.64</v>
      </c>
      <c r="CE46" s="346">
        <v>-66.88</v>
      </c>
      <c r="CF46" s="346">
        <v>84.1</v>
      </c>
      <c r="CG46" s="346">
        <v>27.66</v>
      </c>
      <c r="CH46" s="346">
        <v>73.260000000000005</v>
      </c>
      <c r="CI46" s="346">
        <v>68.400000000000006</v>
      </c>
      <c r="CJ46" s="346">
        <v>80.84</v>
      </c>
      <c r="CK46" s="346">
        <v>36.47</v>
      </c>
      <c r="CL46" s="346">
        <v>84.83</v>
      </c>
      <c r="CM46" s="346">
        <v>77.83</v>
      </c>
      <c r="CN46" s="346">
        <v>73.319999999999993</v>
      </c>
      <c r="CO46" s="346">
        <v>15.47</v>
      </c>
      <c r="CP46" s="346">
        <v>-2</v>
      </c>
      <c r="CQ46" s="346">
        <v>1641.44</v>
      </c>
      <c r="CR46" s="346">
        <v>12.93</v>
      </c>
      <c r="CS46" s="346">
        <v>4.96</v>
      </c>
      <c r="CT46" s="346">
        <v>51.45</v>
      </c>
      <c r="CU46" s="346">
        <v>71.55</v>
      </c>
      <c r="CV46" s="346">
        <v>8.1300000000000008</v>
      </c>
      <c r="CW46" s="346">
        <v>333952992.95999998</v>
      </c>
    </row>
    <row r="47" spans="1:101" x14ac:dyDescent="0.25">
      <c r="A47" s="346" t="str">
        <f>VLOOKUP(B47,'Loan Book Summary'!C:G,5,FALSE)</f>
        <v>0015800000YDm0R</v>
      </c>
      <c r="B47" s="346">
        <v>1100000143</v>
      </c>
      <c r="C47" s="346" t="s">
        <v>1889</v>
      </c>
      <c r="D47" s="346" t="s">
        <v>1889</v>
      </c>
      <c r="E47" s="346">
        <v>2022</v>
      </c>
      <c r="F47" s="346">
        <v>6</v>
      </c>
      <c r="G47" s="346">
        <v>56.614464750000003</v>
      </c>
      <c r="H47" s="346">
        <v>231.22806</v>
      </c>
      <c r="I47" s="346">
        <v>231.22806</v>
      </c>
      <c r="J47" s="346">
        <v>431.45593250000002</v>
      </c>
      <c r="K47" s="346">
        <v>377.43450730000001</v>
      </c>
      <c r="L47" s="346">
        <v>693.05427250000002</v>
      </c>
      <c r="M47" s="346" t="s">
        <v>1889</v>
      </c>
      <c r="N47" s="346">
        <v>919.21777250000002</v>
      </c>
      <c r="O47" s="346">
        <v>919.21777250000002</v>
      </c>
      <c r="P47" s="346">
        <v>295.00263569999998</v>
      </c>
      <c r="Q47" s="346">
        <v>3080</v>
      </c>
      <c r="R47" s="346">
        <v>2290.75</v>
      </c>
      <c r="S47" s="346">
        <v>11.570226979999999</v>
      </c>
      <c r="T47" s="346">
        <v>36.101163219999997</v>
      </c>
      <c r="U47" s="346">
        <v>57.06977303</v>
      </c>
      <c r="V47" s="346">
        <v>13.74810986</v>
      </c>
      <c r="W47" s="346">
        <v>-309.24077979999998</v>
      </c>
      <c r="X47" s="346" t="s">
        <v>101</v>
      </c>
      <c r="Y47" s="346">
        <v>55100</v>
      </c>
      <c r="Z47" s="346">
        <v>5</v>
      </c>
      <c r="AA47" s="346" t="s">
        <v>996</v>
      </c>
      <c r="AB47" s="346" t="s">
        <v>118</v>
      </c>
      <c r="AC47" s="346" t="s">
        <v>118</v>
      </c>
      <c r="AD47" s="347">
        <v>0.94410000000000005</v>
      </c>
      <c r="AE47" s="347">
        <v>0.9466</v>
      </c>
      <c r="AF47" s="346">
        <v>9.51</v>
      </c>
      <c r="AG47" s="346">
        <v>15.94</v>
      </c>
      <c r="AH47" s="346">
        <v>21.32</v>
      </c>
      <c r="AI47" s="346">
        <v>26.04</v>
      </c>
      <c r="AJ47" s="346">
        <v>30.25</v>
      </c>
      <c r="AK47" s="347">
        <v>9.5100000000000004E-2</v>
      </c>
      <c r="AL47" s="347">
        <v>7.0999999999999994E-2</v>
      </c>
      <c r="AM47" s="347">
        <v>6.4100000000000004E-2</v>
      </c>
      <c r="AN47" s="347">
        <v>5.9900000000000002E-2</v>
      </c>
      <c r="AO47" s="347">
        <v>5.7000000000000002E-2</v>
      </c>
      <c r="AP47" s="347">
        <v>9.5100000000000004E-2</v>
      </c>
      <c r="AQ47" s="347">
        <v>8.3199999999999996E-2</v>
      </c>
      <c r="AR47" s="347">
        <v>7.6799999999999993E-2</v>
      </c>
      <c r="AS47" s="347">
        <v>7.2599999999999998E-2</v>
      </c>
      <c r="AT47" s="347">
        <v>6.9500000000000006E-2</v>
      </c>
      <c r="AU47" s="347">
        <v>0.30249999999999999</v>
      </c>
      <c r="AV47" s="346">
        <v>20.94</v>
      </c>
      <c r="AW47" s="346">
        <v>-0.45</v>
      </c>
      <c r="AX47" s="346">
        <v>17.079999999999998</v>
      </c>
      <c r="AY47" s="346">
        <v>4.79</v>
      </c>
      <c r="AZ47" s="346">
        <v>13.34</v>
      </c>
      <c r="BA47" s="346">
        <v>23.51</v>
      </c>
      <c r="BB47" s="346">
        <v>6.93</v>
      </c>
      <c r="BC47" s="346">
        <v>10.130000000000001</v>
      </c>
      <c r="BD47" s="346">
        <v>2.82</v>
      </c>
      <c r="BE47" s="346">
        <v>24.64</v>
      </c>
      <c r="BF47" s="346">
        <v>-0.32</v>
      </c>
      <c r="BG47" s="346">
        <v>11.05</v>
      </c>
      <c r="BH47" s="346">
        <v>11.33</v>
      </c>
      <c r="BI47" s="346">
        <v>10.89</v>
      </c>
      <c r="BJ47" s="346">
        <v>23</v>
      </c>
      <c r="BK47" s="346">
        <v>6.61</v>
      </c>
      <c r="BL47" s="346">
        <v>7.89</v>
      </c>
      <c r="BM47" s="346">
        <v>4.2699999999999996</v>
      </c>
      <c r="BN47" s="346">
        <v>8.7200000000000006</v>
      </c>
      <c r="BO47" s="346">
        <v>-17.22</v>
      </c>
      <c r="BP47" s="346">
        <v>-177.79</v>
      </c>
      <c r="BQ47" s="346">
        <v>27.36</v>
      </c>
      <c r="BR47" s="346">
        <v>15.84</v>
      </c>
      <c r="BS47" s="346">
        <v>91.67</v>
      </c>
      <c r="BT47" s="346">
        <v>-202.56</v>
      </c>
      <c r="BU47" s="346">
        <v>-100.39</v>
      </c>
      <c r="BV47" s="346">
        <v>-258.45999999999998</v>
      </c>
      <c r="BW47" s="346">
        <v>10.41</v>
      </c>
      <c r="BX47" s="346">
        <v>-12.14</v>
      </c>
      <c r="BY47" s="346">
        <v>-125.13</v>
      </c>
      <c r="BZ47" s="346">
        <v>65.64</v>
      </c>
      <c r="CA47" s="346">
        <v>12.99</v>
      </c>
      <c r="CB47" s="346">
        <v>93.45</v>
      </c>
      <c r="CC47" s="346">
        <v>-185.21</v>
      </c>
      <c r="CD47" s="346">
        <v>-82.4</v>
      </c>
      <c r="CE47" s="346">
        <v>-312.64999999999998</v>
      </c>
      <c r="CF47" s="346">
        <v>94.56</v>
      </c>
      <c r="CG47" s="346">
        <v>24.16</v>
      </c>
      <c r="CH47" s="346">
        <v>28.89</v>
      </c>
      <c r="CI47" s="346">
        <v>88.39</v>
      </c>
      <c r="CJ47" s="346">
        <v>98.23</v>
      </c>
      <c r="CK47" s="346">
        <v>85.9</v>
      </c>
      <c r="CL47" s="346">
        <v>46.25</v>
      </c>
      <c r="CM47" s="346">
        <v>29.82</v>
      </c>
      <c r="CN47" s="346">
        <v>26.65</v>
      </c>
      <c r="CO47" s="346">
        <v>22.5</v>
      </c>
      <c r="CP47" s="346">
        <v>-2.59</v>
      </c>
      <c r="CQ47" s="346">
        <v>190.13</v>
      </c>
      <c r="CR47" s="346">
        <v>34.450000000000003</v>
      </c>
      <c r="CS47" s="346">
        <v>24.87</v>
      </c>
      <c r="CT47" s="346">
        <v>89.9</v>
      </c>
      <c r="CU47" s="346">
        <v>6.16</v>
      </c>
      <c r="CV47" s="346">
        <v>0.45</v>
      </c>
      <c r="CW47" s="346">
        <v>69067624.299999997</v>
      </c>
    </row>
    <row r="48" spans="1:101" x14ac:dyDescent="0.25">
      <c r="A48" s="346" t="str">
        <f>VLOOKUP(B48,'Loan Book Summary'!C:G,5,FALSE)</f>
        <v>0015800001RC0fT</v>
      </c>
      <c r="B48" s="346">
        <v>1200000111</v>
      </c>
      <c r="C48" s="346" t="s">
        <v>1889</v>
      </c>
      <c r="D48" s="346" t="s">
        <v>1889</v>
      </c>
      <c r="E48" s="346">
        <v>2022</v>
      </c>
      <c r="F48" s="346">
        <v>6</v>
      </c>
      <c r="G48" s="346">
        <v>1769.3848170000001</v>
      </c>
      <c r="H48" s="346">
        <v>330.3</v>
      </c>
      <c r="I48" s="346">
        <v>330.3</v>
      </c>
      <c r="J48" s="346">
        <v>5658.6438710000002</v>
      </c>
      <c r="K48" s="346">
        <v>4732.178973</v>
      </c>
      <c r="L48" s="346">
        <v>838.60059100000001</v>
      </c>
      <c r="M48" s="346" t="s">
        <v>1889</v>
      </c>
      <c r="N48" s="346">
        <v>1187.6005909999999</v>
      </c>
      <c r="O48" s="346">
        <v>1187.6005909999999</v>
      </c>
      <c r="P48" s="346">
        <v>1000</v>
      </c>
      <c r="Q48" s="346">
        <v>9970</v>
      </c>
      <c r="R48" s="346">
        <v>8928</v>
      </c>
      <c r="S48" s="346">
        <v>105.6943672</v>
      </c>
      <c r="T48" s="346">
        <v>66.204034820000004</v>
      </c>
      <c r="U48" s="346">
        <v>996.14156760000003</v>
      </c>
      <c r="V48" s="346">
        <v>743.95002620000002</v>
      </c>
      <c r="W48" s="346">
        <v>485.96352760000002</v>
      </c>
      <c r="X48" s="346" t="s">
        <v>101</v>
      </c>
      <c r="Y48" s="346">
        <v>38220</v>
      </c>
      <c r="Z48" s="346">
        <v>5</v>
      </c>
      <c r="AA48" s="346" t="s">
        <v>996</v>
      </c>
      <c r="AB48" s="346" t="s">
        <v>226</v>
      </c>
      <c r="AC48" s="346" t="s">
        <v>134</v>
      </c>
      <c r="AD48" s="347">
        <v>7.7700000000000005E-2</v>
      </c>
      <c r="AE48" s="347">
        <v>9.0999999999999998E-2</v>
      </c>
      <c r="AF48" s="346">
        <v>0.22</v>
      </c>
      <c r="AG48" s="346">
        <v>0.53</v>
      </c>
      <c r="AH48" s="346">
        <v>0.89</v>
      </c>
      <c r="AI48" s="346">
        <v>1.28</v>
      </c>
      <c r="AJ48" s="346">
        <v>1.7</v>
      </c>
      <c r="AK48" s="347">
        <v>2.2000000000000001E-3</v>
      </c>
      <c r="AL48" s="347">
        <v>3.0999999999999999E-3</v>
      </c>
      <c r="AM48" s="347">
        <v>3.5999999999999999E-3</v>
      </c>
      <c r="AN48" s="347">
        <v>3.8999999999999998E-3</v>
      </c>
      <c r="AO48" s="347">
        <v>4.1999999999999997E-3</v>
      </c>
      <c r="AP48" s="347">
        <v>2.2000000000000001E-3</v>
      </c>
      <c r="AQ48" s="347">
        <v>2.7000000000000001E-3</v>
      </c>
      <c r="AR48" s="347">
        <v>3.0000000000000001E-3</v>
      </c>
      <c r="AS48" s="347">
        <v>3.2000000000000002E-3</v>
      </c>
      <c r="AT48" s="347">
        <v>3.3999999999999998E-3</v>
      </c>
      <c r="AU48" s="347">
        <v>1.7000000000000001E-2</v>
      </c>
      <c r="AV48" s="346">
        <v>-1.38</v>
      </c>
      <c r="AW48" s="346">
        <v>-4.42</v>
      </c>
      <c r="AX48" s="346">
        <v>-14.91</v>
      </c>
      <c r="AY48" s="346">
        <v>-4.49</v>
      </c>
      <c r="AZ48" s="346">
        <v>-8.4700000000000006</v>
      </c>
      <c r="BA48" s="346">
        <v>-22.76</v>
      </c>
      <c r="BB48" s="346">
        <v>-29.47</v>
      </c>
      <c r="BC48" s="346">
        <v>-11.34</v>
      </c>
      <c r="BD48" s="346">
        <v>-2.75</v>
      </c>
      <c r="BE48" s="346">
        <v>-1.71</v>
      </c>
      <c r="BF48" s="346">
        <v>-3.25</v>
      </c>
      <c r="BG48" s="346">
        <v>-10.119999999999999</v>
      </c>
      <c r="BH48" s="346">
        <v>-11.16</v>
      </c>
      <c r="BI48" s="346">
        <v>-7.26</v>
      </c>
      <c r="BJ48" s="346">
        <v>-23.37</v>
      </c>
      <c r="BK48" s="346">
        <v>-29.49</v>
      </c>
      <c r="BL48" s="346">
        <v>-9.27</v>
      </c>
      <c r="BM48" s="346">
        <v>-4.37</v>
      </c>
      <c r="BN48" s="346">
        <v>96.53</v>
      </c>
      <c r="BO48" s="346">
        <v>-19</v>
      </c>
      <c r="BP48" s="346">
        <v>-524.62</v>
      </c>
      <c r="BQ48" s="346">
        <v>42.42</v>
      </c>
      <c r="BR48" s="346">
        <v>46.94</v>
      </c>
      <c r="BS48" s="346">
        <v>23.67</v>
      </c>
      <c r="BT48" s="346">
        <v>-11.78</v>
      </c>
      <c r="BU48" s="346">
        <v>-81.23</v>
      </c>
      <c r="BV48" s="346">
        <v>-53.8</v>
      </c>
      <c r="BW48" s="346">
        <v>138.80000000000001</v>
      </c>
      <c r="BX48" s="346">
        <v>-14.09</v>
      </c>
      <c r="BY48" s="346">
        <v>-378.45</v>
      </c>
      <c r="BZ48" s="346">
        <v>116.06</v>
      </c>
      <c r="CA48" s="346">
        <v>44.6</v>
      </c>
      <c r="CB48" s="346">
        <v>25.14</v>
      </c>
      <c r="CC48" s="346">
        <v>-11.84</v>
      </c>
      <c r="CD48" s="346">
        <v>-75.7</v>
      </c>
      <c r="CE48" s="346">
        <v>-95.32</v>
      </c>
      <c r="CF48" s="346">
        <v>55.39</v>
      </c>
      <c r="CG48" s="346">
        <v>43.3</v>
      </c>
      <c r="CH48" s="346">
        <v>73.510000000000005</v>
      </c>
      <c r="CI48" s="346">
        <v>66.2</v>
      </c>
      <c r="CJ48" s="346">
        <v>72</v>
      </c>
      <c r="CK48" s="346">
        <v>17.61</v>
      </c>
      <c r="CL48" s="346">
        <v>94.38</v>
      </c>
      <c r="CM48" s="346">
        <v>75.87</v>
      </c>
      <c r="CN48" s="346">
        <v>74.290000000000006</v>
      </c>
      <c r="CO48" s="346">
        <v>8.41</v>
      </c>
      <c r="CP48" s="346">
        <v>-0.39</v>
      </c>
      <c r="CQ48" s="346">
        <v>1664.3</v>
      </c>
      <c r="CR48" s="346">
        <v>11.67</v>
      </c>
      <c r="CS48" s="346">
        <v>2.66</v>
      </c>
      <c r="CT48" s="346">
        <v>31.95</v>
      </c>
      <c r="CU48" s="346">
        <v>148.99</v>
      </c>
      <c r="CV48" s="346">
        <v>7.46</v>
      </c>
      <c r="CW48" s="346">
        <v>350087396.10000002</v>
      </c>
    </row>
    <row r="49" spans="1:101" x14ac:dyDescent="0.25">
      <c r="A49" s="346" t="str">
        <f>VLOOKUP(B49,'Loan Book Summary'!C:G,5,FALSE)</f>
        <v>0014I000027uYyB</v>
      </c>
      <c r="B49" s="346">
        <v>1200000118</v>
      </c>
      <c r="C49" s="346" t="s">
        <v>1889</v>
      </c>
      <c r="D49" s="346" t="s">
        <v>1889</v>
      </c>
      <c r="E49" s="346">
        <v>2022</v>
      </c>
      <c r="F49" s="346">
        <v>6</v>
      </c>
      <c r="G49" s="346">
        <v>529.66277509999998</v>
      </c>
      <c r="H49" s="346">
        <v>23623.270339999999</v>
      </c>
      <c r="I49" s="346">
        <v>23623.270339999999</v>
      </c>
      <c r="J49" s="346">
        <v>58637.751340000003</v>
      </c>
      <c r="K49" s="346">
        <v>57555.242530000003</v>
      </c>
      <c r="L49" s="346">
        <v>9623.0740900000001</v>
      </c>
      <c r="M49" s="346" t="s">
        <v>1889</v>
      </c>
      <c r="N49" s="346">
        <v>13884.454239999999</v>
      </c>
      <c r="O49" s="346">
        <v>14571.896479999999</v>
      </c>
      <c r="P49" s="346">
        <v>53460.105810000001</v>
      </c>
      <c r="Q49" s="346">
        <v>36012.6</v>
      </c>
      <c r="R49" s="346">
        <v>31463.64</v>
      </c>
      <c r="S49" s="346">
        <v>857.91940309999995</v>
      </c>
      <c r="T49" s="346">
        <v>239.12502749999999</v>
      </c>
      <c r="U49" s="346">
        <v>2502.200597</v>
      </c>
      <c r="V49" s="346">
        <v>1810.4604549999999</v>
      </c>
      <c r="W49" s="346">
        <v>311.43212519999997</v>
      </c>
      <c r="X49" s="346" t="s">
        <v>101</v>
      </c>
      <c r="Y49" s="346">
        <v>69102</v>
      </c>
      <c r="Z49" s="346">
        <v>5</v>
      </c>
      <c r="AA49" s="346" t="s">
        <v>996</v>
      </c>
      <c r="AB49" s="346" t="s">
        <v>104</v>
      </c>
      <c r="AC49" s="346" t="s">
        <v>104</v>
      </c>
      <c r="AD49" s="347">
        <v>0.65590000000000004</v>
      </c>
      <c r="AE49" s="347">
        <v>0.64849999999999997</v>
      </c>
      <c r="AF49" s="346">
        <v>1.86</v>
      </c>
      <c r="AG49" s="346">
        <v>3.67</v>
      </c>
      <c r="AH49" s="346">
        <v>5.44</v>
      </c>
      <c r="AI49" s="346">
        <v>7.16</v>
      </c>
      <c r="AJ49" s="346">
        <v>8.86</v>
      </c>
      <c r="AK49" s="347">
        <v>1.8599999999999998E-2</v>
      </c>
      <c r="AL49" s="347">
        <v>1.84E-2</v>
      </c>
      <c r="AM49" s="347">
        <v>1.83E-2</v>
      </c>
      <c r="AN49" s="347">
        <v>1.83E-2</v>
      </c>
      <c r="AO49" s="347">
        <v>1.8200000000000001E-2</v>
      </c>
      <c r="AP49" s="347">
        <v>1.8599999999999998E-2</v>
      </c>
      <c r="AQ49" s="347">
        <v>1.8499999999999999E-2</v>
      </c>
      <c r="AR49" s="347">
        <v>1.8499999999999999E-2</v>
      </c>
      <c r="AS49" s="347">
        <v>1.84E-2</v>
      </c>
      <c r="AT49" s="347">
        <v>1.84E-2</v>
      </c>
      <c r="AU49" s="347">
        <v>8.8599999999999998E-2</v>
      </c>
      <c r="AV49" s="346">
        <v>18.61</v>
      </c>
      <c r="AW49" s="346">
        <v>3.59</v>
      </c>
      <c r="AX49" s="346">
        <v>-10.77</v>
      </c>
      <c r="AY49" s="346">
        <v>-2.8</v>
      </c>
      <c r="AZ49" s="346">
        <v>-6.86</v>
      </c>
      <c r="BA49" s="346">
        <v>24.61</v>
      </c>
      <c r="BB49" s="346">
        <v>10.44</v>
      </c>
      <c r="BC49" s="346">
        <v>-6.5</v>
      </c>
      <c r="BD49" s="346">
        <v>-15.83</v>
      </c>
      <c r="BE49" s="346">
        <v>20.53</v>
      </c>
      <c r="BF49" s="346">
        <v>2.36</v>
      </c>
      <c r="BG49" s="346">
        <v>-6.53</v>
      </c>
      <c r="BH49" s="346">
        <v>-6.2</v>
      </c>
      <c r="BI49" s="346">
        <v>-5.25</v>
      </c>
      <c r="BJ49" s="346">
        <v>22.57</v>
      </c>
      <c r="BK49" s="346">
        <v>9.33</v>
      </c>
      <c r="BL49" s="346">
        <v>-4.74</v>
      </c>
      <c r="BM49" s="346">
        <v>-22.48</v>
      </c>
      <c r="BN49" s="346">
        <v>4.29</v>
      </c>
      <c r="BO49" s="346">
        <v>-4.53</v>
      </c>
      <c r="BP49" s="346">
        <v>-323.38</v>
      </c>
      <c r="BQ49" s="346">
        <v>30.77</v>
      </c>
      <c r="BR49" s="346">
        <v>20.18</v>
      </c>
      <c r="BS49" s="346">
        <v>112.03</v>
      </c>
      <c r="BT49" s="346">
        <v>-326.52</v>
      </c>
      <c r="BU49" s="346">
        <v>-69.22</v>
      </c>
      <c r="BV49" s="346">
        <v>-9.08</v>
      </c>
      <c r="BW49" s="346">
        <v>5.87</v>
      </c>
      <c r="BX49" s="346">
        <v>-3.69</v>
      </c>
      <c r="BY49" s="346">
        <v>-235.8</v>
      </c>
      <c r="BZ49" s="346">
        <v>83.14</v>
      </c>
      <c r="CA49" s="346">
        <v>18.8</v>
      </c>
      <c r="CB49" s="346">
        <v>127.63</v>
      </c>
      <c r="CC49" s="346">
        <v>-347.71</v>
      </c>
      <c r="CD49" s="346">
        <v>-61.55</v>
      </c>
      <c r="CE49" s="346">
        <v>-15.82</v>
      </c>
      <c r="CF49" s="346">
        <v>96.84</v>
      </c>
      <c r="CG49" s="346">
        <v>8.01</v>
      </c>
      <c r="CH49" s="346">
        <v>70.5</v>
      </c>
      <c r="CI49" s="346">
        <v>70.86</v>
      </c>
      <c r="CJ49" s="346">
        <v>68.84</v>
      </c>
      <c r="CK49" s="346">
        <v>88.81</v>
      </c>
      <c r="CL49" s="346">
        <v>41.47</v>
      </c>
      <c r="CM49" s="346">
        <v>66.209999999999994</v>
      </c>
      <c r="CN49" s="346">
        <v>97.05</v>
      </c>
      <c r="CO49" s="346">
        <v>26.72</v>
      </c>
      <c r="CP49" s="346">
        <v>-9.48</v>
      </c>
      <c r="CQ49" s="346">
        <v>1405.17</v>
      </c>
      <c r="CR49" s="346">
        <v>14.46</v>
      </c>
      <c r="CS49" s="346">
        <v>2.06</v>
      </c>
      <c r="CT49" s="346">
        <v>92.86</v>
      </c>
      <c r="CU49" s="346">
        <v>3.81</v>
      </c>
      <c r="CV49" s="346">
        <v>5.03</v>
      </c>
      <c r="CW49" s="346">
        <v>3708472616.1199999</v>
      </c>
    </row>
    <row r="50" spans="1:101" x14ac:dyDescent="0.25">
      <c r="A50" s="346" t="str">
        <f>VLOOKUP(B50,'Loan Book Summary'!C:G,5,FALSE)</f>
        <v>0014I00002789GY</v>
      </c>
      <c r="B50" s="346">
        <v>1100000234</v>
      </c>
      <c r="C50" s="346" t="s">
        <v>1889</v>
      </c>
      <c r="D50" s="346" t="s">
        <v>1889</v>
      </c>
      <c r="E50" s="346">
        <v>2022</v>
      </c>
      <c r="F50" s="346">
        <v>6</v>
      </c>
      <c r="G50" s="346">
        <v>628.16169649999995</v>
      </c>
      <c r="H50" s="346">
        <v>2202.3266199999998</v>
      </c>
      <c r="I50" s="346">
        <v>2202.3266199999998</v>
      </c>
      <c r="J50" s="346">
        <v>29246.42368</v>
      </c>
      <c r="K50" s="346">
        <v>30610.346720000001</v>
      </c>
      <c r="L50" s="346">
        <v>1321.91697</v>
      </c>
      <c r="M50" s="346" t="s">
        <v>1889</v>
      </c>
      <c r="N50" s="346">
        <v>3010.2828399999999</v>
      </c>
      <c r="O50" s="346">
        <v>3010.2828399999999</v>
      </c>
      <c r="P50" s="346">
        <v>3470.92769</v>
      </c>
      <c r="Q50" s="346">
        <v>11042.817499999999</v>
      </c>
      <c r="R50" s="346">
        <v>10590.9375</v>
      </c>
      <c r="S50" s="346">
        <v>1158.997672</v>
      </c>
      <c r="T50" s="346">
        <v>14.1044482</v>
      </c>
      <c r="U50" s="346">
        <v>-110.9761723</v>
      </c>
      <c r="V50" s="346">
        <v>-125.0806204</v>
      </c>
      <c r="W50" s="346">
        <v>637.55702199999996</v>
      </c>
      <c r="X50" s="346" t="s">
        <v>101</v>
      </c>
      <c r="Y50" s="346">
        <v>10720</v>
      </c>
      <c r="Z50" s="346">
        <v>5</v>
      </c>
      <c r="AA50" s="346" t="s">
        <v>996</v>
      </c>
      <c r="AB50" s="346" t="s">
        <v>114</v>
      </c>
      <c r="AC50" s="346" t="s">
        <v>114</v>
      </c>
      <c r="AD50" s="347">
        <v>0.28699999999999998</v>
      </c>
      <c r="AE50" s="347">
        <v>0.2707</v>
      </c>
      <c r="AF50" s="346">
        <v>0.56000000000000005</v>
      </c>
      <c r="AG50" s="346">
        <v>1.22</v>
      </c>
      <c r="AH50" s="346">
        <v>1.94</v>
      </c>
      <c r="AI50" s="346">
        <v>2.68</v>
      </c>
      <c r="AJ50" s="346">
        <v>3.45</v>
      </c>
      <c r="AK50" s="347">
        <v>5.5999999999999999E-3</v>
      </c>
      <c r="AL50" s="347">
        <v>6.7000000000000002E-3</v>
      </c>
      <c r="AM50" s="347">
        <v>7.1999999999999998E-3</v>
      </c>
      <c r="AN50" s="347">
        <v>7.6E-3</v>
      </c>
      <c r="AO50" s="347">
        <v>7.9000000000000008E-3</v>
      </c>
      <c r="AP50" s="347">
        <v>5.5999999999999999E-3</v>
      </c>
      <c r="AQ50" s="347">
        <v>6.1000000000000004E-3</v>
      </c>
      <c r="AR50" s="347">
        <v>6.4999999999999997E-3</v>
      </c>
      <c r="AS50" s="347">
        <v>6.7999999999999996E-3</v>
      </c>
      <c r="AT50" s="347">
        <v>7.0000000000000001E-3</v>
      </c>
      <c r="AU50" s="347">
        <v>3.4500000000000003E-2</v>
      </c>
      <c r="AV50" s="346">
        <v>7.61</v>
      </c>
      <c r="AW50" s="346">
        <v>-2.99</v>
      </c>
      <c r="AX50" s="346">
        <v>-22.67</v>
      </c>
      <c r="AY50" s="346">
        <v>-5.22</v>
      </c>
      <c r="AZ50" s="346">
        <v>-4.5199999999999996</v>
      </c>
      <c r="BA50" s="346">
        <v>-21.57</v>
      </c>
      <c r="BB50" s="346">
        <v>-5.84</v>
      </c>
      <c r="BC50" s="346">
        <v>16.010000000000002</v>
      </c>
      <c r="BD50" s="346">
        <v>-13.57</v>
      </c>
      <c r="BE50" s="346">
        <v>8.83</v>
      </c>
      <c r="BF50" s="346">
        <v>-2.0699999999999998</v>
      </c>
      <c r="BG50" s="346">
        <v>-14.45</v>
      </c>
      <c r="BH50" s="346">
        <v>-12.17</v>
      </c>
      <c r="BI50" s="346">
        <v>-3.64</v>
      </c>
      <c r="BJ50" s="346">
        <v>-20.8</v>
      </c>
      <c r="BK50" s="346">
        <v>-5.49</v>
      </c>
      <c r="BL50" s="346">
        <v>12.29</v>
      </c>
      <c r="BM50" s="346">
        <v>-20.260000000000002</v>
      </c>
      <c r="BN50" s="346">
        <v>134.02000000000001</v>
      </c>
      <c r="BO50" s="346">
        <v>-49.55</v>
      </c>
      <c r="BP50" s="346">
        <v>-49.03</v>
      </c>
      <c r="BQ50" s="346">
        <v>-17.41</v>
      </c>
      <c r="BR50" s="346">
        <v>-131.88999999999999</v>
      </c>
      <c r="BS50" s="346">
        <v>2.85</v>
      </c>
      <c r="BT50" s="346">
        <v>-334.19</v>
      </c>
      <c r="BU50" s="346">
        <v>-137.56</v>
      </c>
      <c r="BV50" s="346">
        <v>-43.51</v>
      </c>
      <c r="BW50" s="346">
        <v>162.44</v>
      </c>
      <c r="BX50" s="346">
        <v>-36.549999999999997</v>
      </c>
      <c r="BY50" s="346">
        <v>-33.36</v>
      </c>
      <c r="BZ50" s="346">
        <v>-42.71</v>
      </c>
      <c r="CA50" s="346">
        <v>-110.68</v>
      </c>
      <c r="CB50" s="346">
        <v>3.05</v>
      </c>
      <c r="CC50" s="346">
        <v>-332.48</v>
      </c>
      <c r="CD50" s="346">
        <v>-110.15</v>
      </c>
      <c r="CE50" s="346">
        <v>-68.59</v>
      </c>
      <c r="CF50" s="346">
        <v>72.540000000000006</v>
      </c>
      <c r="CG50" s="346">
        <v>37.479999999999997</v>
      </c>
      <c r="CH50" s="346">
        <v>90.93</v>
      </c>
      <c r="CI50" s="346">
        <v>49.52</v>
      </c>
      <c r="CJ50" s="346">
        <v>35.93</v>
      </c>
      <c r="CK50" s="346">
        <v>9.76</v>
      </c>
      <c r="CL50" s="346">
        <v>62.87</v>
      </c>
      <c r="CM50" s="346">
        <v>19.78</v>
      </c>
      <c r="CN50" s="346">
        <v>93.33</v>
      </c>
      <c r="CO50" s="346">
        <v>11.97</v>
      </c>
      <c r="CP50" s="346">
        <v>-0.85</v>
      </c>
      <c r="CQ50" s="346">
        <v>7430.43</v>
      </c>
      <c r="CR50" s="346">
        <v>4.2699999999999996</v>
      </c>
      <c r="CS50" s="346">
        <v>-2.2799999999999998</v>
      </c>
      <c r="CT50" s="346">
        <v>20.09</v>
      </c>
      <c r="CU50" s="346">
        <v>20.87</v>
      </c>
      <c r="CV50" s="346">
        <v>-1.1299999999999999</v>
      </c>
      <c r="CW50" s="346">
        <v>1649468764.21</v>
      </c>
    </row>
    <row r="51" spans="1:101" x14ac:dyDescent="0.25">
      <c r="A51" s="346" t="str">
        <f>VLOOKUP(B51,'Loan Book Summary'!C:G,5,FALSE)</f>
        <v>0014I00001r6hl4</v>
      </c>
      <c r="B51" s="346">
        <v>1200000106</v>
      </c>
      <c r="C51" s="346" t="s">
        <v>1889</v>
      </c>
      <c r="D51" s="346" t="s">
        <v>1889</v>
      </c>
      <c r="E51" s="346">
        <v>2022</v>
      </c>
      <c r="F51" s="346">
        <v>6</v>
      </c>
      <c r="G51" s="346">
        <v>340.69469520000001</v>
      </c>
      <c r="H51" s="346">
        <v>289.60199999999998</v>
      </c>
      <c r="I51" s="346">
        <v>289.60199999999998</v>
      </c>
      <c r="J51" s="346">
        <v>8823.3290070000003</v>
      </c>
      <c r="K51" s="346">
        <v>9982.1340560000008</v>
      </c>
      <c r="L51" s="346">
        <v>2430.6012599999999</v>
      </c>
      <c r="M51" s="346" t="s">
        <v>1889</v>
      </c>
      <c r="N51" s="346">
        <v>4261.3187600000001</v>
      </c>
      <c r="O51" s="346">
        <v>4261.3187600000001</v>
      </c>
      <c r="P51" s="346">
        <v>14108.71552</v>
      </c>
      <c r="Q51" s="346">
        <v>12796.764090000001</v>
      </c>
      <c r="R51" s="346">
        <v>11588.416370000001</v>
      </c>
      <c r="S51" s="346">
        <v>1066.829358</v>
      </c>
      <c r="T51" s="346">
        <v>777.58529910000004</v>
      </c>
      <c r="U51" s="346">
        <v>318.63525499999997</v>
      </c>
      <c r="V51" s="346">
        <v>-554.69933790000005</v>
      </c>
      <c r="W51" s="346">
        <v>-1057.6211470000001</v>
      </c>
      <c r="X51" s="346" t="s">
        <v>101</v>
      </c>
      <c r="Y51" s="346">
        <v>25120</v>
      </c>
      <c r="Z51" s="346">
        <v>5</v>
      </c>
      <c r="AA51" s="346" t="s">
        <v>996</v>
      </c>
      <c r="AB51" s="346" t="s">
        <v>119</v>
      </c>
      <c r="AC51" s="346" t="s">
        <v>119</v>
      </c>
      <c r="AD51" s="347">
        <v>0.93110000000000004</v>
      </c>
      <c r="AE51" s="347">
        <v>0.90169999999999995</v>
      </c>
      <c r="AF51" s="346">
        <v>8.1999999999999993</v>
      </c>
      <c r="AG51" s="346">
        <v>12.19</v>
      </c>
      <c r="AH51" s="346">
        <v>15.3</v>
      </c>
      <c r="AI51" s="346">
        <v>17.93</v>
      </c>
      <c r="AJ51" s="346">
        <v>20.239999999999998</v>
      </c>
      <c r="AK51" s="347">
        <v>8.2000000000000003E-2</v>
      </c>
      <c r="AL51" s="347">
        <v>4.3499999999999997E-2</v>
      </c>
      <c r="AM51" s="347">
        <v>3.5400000000000001E-2</v>
      </c>
      <c r="AN51" s="347">
        <v>3.1E-2</v>
      </c>
      <c r="AO51" s="347">
        <v>2.81E-2</v>
      </c>
      <c r="AP51" s="347">
        <v>8.2000000000000003E-2</v>
      </c>
      <c r="AQ51" s="347">
        <v>6.2899999999999998E-2</v>
      </c>
      <c r="AR51" s="347">
        <v>5.3800000000000001E-2</v>
      </c>
      <c r="AS51" s="347">
        <v>4.82E-2</v>
      </c>
      <c r="AT51" s="347">
        <v>4.4200000000000003E-2</v>
      </c>
      <c r="AU51" s="347">
        <v>0.2024</v>
      </c>
      <c r="AV51" s="346">
        <v>15.06</v>
      </c>
      <c r="AW51" s="346">
        <v>-3.3</v>
      </c>
      <c r="AX51" s="346">
        <v>14.77</v>
      </c>
      <c r="AY51" s="346">
        <v>-3.59</v>
      </c>
      <c r="AZ51" s="346">
        <v>-5.19</v>
      </c>
      <c r="BA51" s="346">
        <v>33.89</v>
      </c>
      <c r="BB51" s="346">
        <v>4.24</v>
      </c>
      <c r="BC51" s="346">
        <v>14.48</v>
      </c>
      <c r="BD51" s="346">
        <v>-5.48</v>
      </c>
      <c r="BE51" s="346">
        <v>17.89</v>
      </c>
      <c r="BF51" s="346">
        <v>-2.33</v>
      </c>
      <c r="BG51" s="346">
        <v>9.64</v>
      </c>
      <c r="BH51" s="346">
        <v>-8.56</v>
      </c>
      <c r="BI51" s="346">
        <v>-4.28</v>
      </c>
      <c r="BJ51" s="346">
        <v>33.46</v>
      </c>
      <c r="BK51" s="346">
        <v>4.08</v>
      </c>
      <c r="BL51" s="346">
        <v>11.38</v>
      </c>
      <c r="BM51" s="346">
        <v>-8.3699999999999992</v>
      </c>
      <c r="BN51" s="346">
        <v>34.32</v>
      </c>
      <c r="BO51" s="346">
        <v>-9.59</v>
      </c>
      <c r="BP51" s="346">
        <v>-328.3</v>
      </c>
      <c r="BQ51" s="346">
        <v>24.09</v>
      </c>
      <c r="BR51" s="346">
        <v>51.83</v>
      </c>
      <c r="BS51" s="346">
        <v>10.53</v>
      </c>
      <c r="BT51" s="346">
        <v>-368.19</v>
      </c>
      <c r="BU51" s="346">
        <v>-15.8</v>
      </c>
      <c r="BV51" s="346">
        <v>-57.36</v>
      </c>
      <c r="BW51" s="346">
        <v>33.31</v>
      </c>
      <c r="BX51" s="346">
        <v>-5.73</v>
      </c>
      <c r="BY51" s="346">
        <v>-226.82</v>
      </c>
      <c r="BZ51" s="346">
        <v>47.36</v>
      </c>
      <c r="CA51" s="346">
        <v>34.58</v>
      </c>
      <c r="CB51" s="346">
        <v>8.74</v>
      </c>
      <c r="CC51" s="346">
        <v>-462.25</v>
      </c>
      <c r="CD51" s="346">
        <v>-10.29</v>
      </c>
      <c r="CE51" s="346">
        <v>-70.930000000000007</v>
      </c>
      <c r="CF51" s="346">
        <v>90.87</v>
      </c>
      <c r="CG51" s="346">
        <v>45.61</v>
      </c>
      <c r="CH51" s="346">
        <v>27.96</v>
      </c>
      <c r="CI51" s="346">
        <v>63.83</v>
      </c>
      <c r="CJ51" s="346">
        <v>74.45</v>
      </c>
      <c r="CK51" s="346">
        <v>100</v>
      </c>
      <c r="CL51" s="346">
        <v>49.21</v>
      </c>
      <c r="CM51" s="346">
        <v>13.49</v>
      </c>
      <c r="CN51" s="346">
        <v>84.72</v>
      </c>
      <c r="CO51" s="346">
        <v>18.989999999999998</v>
      </c>
      <c r="CP51" s="346">
        <v>-0.24</v>
      </c>
      <c r="CQ51" s="346">
        <v>178.18</v>
      </c>
      <c r="CR51" s="346">
        <v>10.43</v>
      </c>
      <c r="CS51" s="346">
        <v>3.19</v>
      </c>
      <c r="CT51" s="346">
        <v>140.38999999999999</v>
      </c>
      <c r="CU51" s="346">
        <v>8</v>
      </c>
      <c r="CV51" s="346">
        <v>-4.33</v>
      </c>
      <c r="CW51" s="346">
        <v>669092418.62</v>
      </c>
    </row>
    <row r="52" spans="1:101" x14ac:dyDescent="0.25">
      <c r="A52" s="346" t="str">
        <f>VLOOKUP(B52,'Loan Book Summary'!C:G,5,FALSE)</f>
        <v>0015800001Pfprh</v>
      </c>
      <c r="B52" s="346">
        <v>1100000144</v>
      </c>
      <c r="C52" s="346" t="s">
        <v>1889</v>
      </c>
      <c r="D52" s="346" t="s">
        <v>1889</v>
      </c>
      <c r="E52" s="346">
        <v>2022</v>
      </c>
      <c r="F52" s="346">
        <v>6</v>
      </c>
      <c r="G52" s="346">
        <v>13724.33985</v>
      </c>
      <c r="H52" s="346">
        <v>7279.6970000000001</v>
      </c>
      <c r="I52" s="346">
        <v>7279.6970000000001</v>
      </c>
      <c r="J52" s="346">
        <v>26576.315770000001</v>
      </c>
      <c r="K52" s="346">
        <v>25591.480309999999</v>
      </c>
      <c r="L52" s="346">
        <v>150.35550000000001</v>
      </c>
      <c r="M52" s="346" t="s">
        <v>1889</v>
      </c>
      <c r="N52" s="346">
        <v>8704.0195000000003</v>
      </c>
      <c r="O52" s="346">
        <v>8704.0195000000003</v>
      </c>
      <c r="P52" s="346">
        <v>22902.909</v>
      </c>
      <c r="Q52" s="346">
        <v>24818.723239999999</v>
      </c>
      <c r="R52" s="346">
        <v>23017.909019999999</v>
      </c>
      <c r="S52" s="346">
        <v>1338.282158</v>
      </c>
      <c r="T52" s="346">
        <v>1313.556877</v>
      </c>
      <c r="U52" s="346">
        <v>2941.564644</v>
      </c>
      <c r="V52" s="346">
        <v>1302.4062140000001</v>
      </c>
      <c r="W52" s="346">
        <v>2383.7919230000002</v>
      </c>
      <c r="X52" s="346" t="s">
        <v>101</v>
      </c>
      <c r="Y52" s="346">
        <v>82990</v>
      </c>
      <c r="Z52" s="346">
        <v>5</v>
      </c>
      <c r="AA52" s="346" t="s">
        <v>996</v>
      </c>
      <c r="AB52" s="346" t="s">
        <v>114</v>
      </c>
      <c r="AC52" s="346" t="s">
        <v>115</v>
      </c>
      <c r="AD52" s="347">
        <v>0.28760000000000002</v>
      </c>
      <c r="AE52" s="347">
        <v>0.1961</v>
      </c>
      <c r="AF52" s="346">
        <v>0.56000000000000005</v>
      </c>
      <c r="AG52" s="346">
        <v>1.1000000000000001</v>
      </c>
      <c r="AH52" s="346">
        <v>1.64</v>
      </c>
      <c r="AI52" s="346">
        <v>2.17</v>
      </c>
      <c r="AJ52" s="346">
        <v>2.69</v>
      </c>
      <c r="AK52" s="347">
        <v>5.5999999999999999E-3</v>
      </c>
      <c r="AL52" s="347">
        <v>5.4999999999999997E-3</v>
      </c>
      <c r="AM52" s="347">
        <v>5.4000000000000003E-3</v>
      </c>
      <c r="AN52" s="347">
        <v>5.4000000000000003E-3</v>
      </c>
      <c r="AO52" s="347">
        <v>5.4000000000000003E-3</v>
      </c>
      <c r="AP52" s="347">
        <v>5.5999999999999999E-3</v>
      </c>
      <c r="AQ52" s="347">
        <v>5.4999999999999997E-3</v>
      </c>
      <c r="AR52" s="347">
        <v>5.4999999999999997E-3</v>
      </c>
      <c r="AS52" s="347">
        <v>5.4999999999999997E-3</v>
      </c>
      <c r="AT52" s="347">
        <v>5.4000000000000003E-3</v>
      </c>
      <c r="AU52" s="347">
        <v>2.69E-2</v>
      </c>
      <c r="AV52" s="346">
        <v>-15.5</v>
      </c>
      <c r="AW52" s="346">
        <v>-0.43</v>
      </c>
      <c r="AX52" s="346">
        <v>7.45</v>
      </c>
      <c r="AY52" s="346">
        <v>-4.72</v>
      </c>
      <c r="AZ52" s="346">
        <v>-2.73</v>
      </c>
      <c r="BA52" s="346">
        <v>22.35</v>
      </c>
      <c r="BB52" s="346">
        <v>-24.86</v>
      </c>
      <c r="BC52" s="346">
        <v>-7.11</v>
      </c>
      <c r="BD52" s="346">
        <v>-14.85</v>
      </c>
      <c r="BE52" s="346">
        <v>-16.53</v>
      </c>
      <c r="BF52" s="346">
        <v>-0.27</v>
      </c>
      <c r="BG52" s="346">
        <v>4.37</v>
      </c>
      <c r="BH52" s="346">
        <v>-10.11</v>
      </c>
      <c r="BI52" s="346">
        <v>-2.02</v>
      </c>
      <c r="BJ52" s="346">
        <v>19.82</v>
      </c>
      <c r="BK52" s="346">
        <v>-21.48</v>
      </c>
      <c r="BL52" s="346">
        <v>-5.0199999999999996</v>
      </c>
      <c r="BM52" s="346">
        <v>-20.39</v>
      </c>
      <c r="BN52" s="346">
        <v>195.5</v>
      </c>
      <c r="BO52" s="346">
        <v>-27.99</v>
      </c>
      <c r="BP52" s="346">
        <v>-312.19</v>
      </c>
      <c r="BQ52" s="346">
        <v>13.07</v>
      </c>
      <c r="BR52" s="346">
        <v>-80.819999999999993</v>
      </c>
      <c r="BS52" s="346">
        <v>155.75</v>
      </c>
      <c r="BT52" s="346">
        <v>-7.56</v>
      </c>
      <c r="BU52" s="346">
        <v>-88.63</v>
      </c>
      <c r="BV52" s="346">
        <v>-18.48</v>
      </c>
      <c r="BW52" s="346">
        <v>252.99</v>
      </c>
      <c r="BX52" s="346">
        <v>-22.98</v>
      </c>
      <c r="BY52" s="346">
        <v>-218.4</v>
      </c>
      <c r="BZ52" s="346">
        <v>36.04</v>
      </c>
      <c r="CA52" s="346">
        <v>-77.069999999999993</v>
      </c>
      <c r="CB52" s="346">
        <v>170.98</v>
      </c>
      <c r="CC52" s="346">
        <v>-8.3800000000000008</v>
      </c>
      <c r="CD52" s="346">
        <v>-80.459999999999994</v>
      </c>
      <c r="CE52" s="346">
        <v>-32.69</v>
      </c>
      <c r="CF52" s="346">
        <v>9.61</v>
      </c>
      <c r="CG52" s="346">
        <v>25.8</v>
      </c>
      <c r="CH52" s="346">
        <v>38.57</v>
      </c>
      <c r="CI52" s="346">
        <v>58.24</v>
      </c>
      <c r="CJ52" s="346">
        <v>31.06</v>
      </c>
      <c r="CK52" s="346">
        <v>85.57</v>
      </c>
      <c r="CL52" s="346">
        <v>94.82</v>
      </c>
      <c r="CM52" s="346">
        <v>67.27</v>
      </c>
      <c r="CN52" s="346">
        <v>94.01</v>
      </c>
      <c r="CO52" s="346">
        <v>0.61</v>
      </c>
      <c r="CP52" s="346">
        <v>-2.29</v>
      </c>
      <c r="CQ52" s="346">
        <v>325.82</v>
      </c>
      <c r="CR52" s="346">
        <v>7.82</v>
      </c>
      <c r="CS52" s="346">
        <v>-3.26</v>
      </c>
      <c r="CT52" s="346">
        <v>89.59</v>
      </c>
      <c r="CU52" s="346">
        <v>157.68</v>
      </c>
      <c r="CV52" s="346">
        <v>5.25</v>
      </c>
      <c r="CW52" s="346">
        <v>1804084089.6900001</v>
      </c>
    </row>
    <row r="53" spans="1:101" x14ac:dyDescent="0.25">
      <c r="A53" s="346" t="str">
        <f>VLOOKUP(B53,'Loan Book Summary'!C:G,5,FALSE)</f>
        <v>0015800000bzlGg</v>
      </c>
      <c r="B53" s="346">
        <v>1200000116</v>
      </c>
      <c r="C53" s="346" t="s">
        <v>1889</v>
      </c>
      <c r="D53" s="346" t="s">
        <v>1889</v>
      </c>
      <c r="E53" s="346">
        <v>2022</v>
      </c>
      <c r="F53" s="346">
        <v>6</v>
      </c>
      <c r="G53" s="346">
        <v>653.2690953</v>
      </c>
      <c r="H53" s="346">
        <v>391.25700000000001</v>
      </c>
      <c r="I53" s="346">
        <v>391.25700000000001</v>
      </c>
      <c r="J53" s="346">
        <v>2584.8855130000002</v>
      </c>
      <c r="K53" s="346">
        <v>2530.2430279999999</v>
      </c>
      <c r="L53" s="346">
        <v>364.20034249999998</v>
      </c>
      <c r="M53" s="346" t="s">
        <v>1889</v>
      </c>
      <c r="N53" s="346">
        <v>468.81434250000001</v>
      </c>
      <c r="O53" s="346">
        <v>468.81434250000001</v>
      </c>
      <c r="P53" s="346">
        <v>1802.1289999999999</v>
      </c>
      <c r="Q53" s="346">
        <v>2048.9518950000001</v>
      </c>
      <c r="R53" s="346">
        <v>1937.1009280000001</v>
      </c>
      <c r="S53" s="346">
        <v>159.79903959999999</v>
      </c>
      <c r="T53" s="346">
        <v>44.867713080000001</v>
      </c>
      <c r="U53" s="346">
        <v>214.19418239999999</v>
      </c>
      <c r="V53" s="346">
        <v>135.4611755</v>
      </c>
      <c r="W53" s="346">
        <v>153.39391929999999</v>
      </c>
      <c r="X53" s="346" t="s">
        <v>101</v>
      </c>
      <c r="Y53" s="346">
        <v>28290</v>
      </c>
      <c r="Z53" s="346">
        <v>5</v>
      </c>
      <c r="AA53" s="346" t="s">
        <v>996</v>
      </c>
      <c r="AB53" s="346" t="s">
        <v>110</v>
      </c>
      <c r="AC53" s="346" t="s">
        <v>110</v>
      </c>
      <c r="AD53" s="347">
        <v>0.34410000000000002</v>
      </c>
      <c r="AE53" s="347">
        <v>0.3624</v>
      </c>
      <c r="AF53" s="346">
        <v>0.68</v>
      </c>
      <c r="AG53" s="346">
        <v>1.54</v>
      </c>
      <c r="AH53" s="346">
        <v>2.48</v>
      </c>
      <c r="AI53" s="346">
        <v>3.48</v>
      </c>
      <c r="AJ53" s="346">
        <v>4.5199999999999996</v>
      </c>
      <c r="AK53" s="347">
        <v>6.7999999999999996E-3</v>
      </c>
      <c r="AL53" s="347">
        <v>8.6999999999999994E-3</v>
      </c>
      <c r="AM53" s="347">
        <v>9.5999999999999992E-3</v>
      </c>
      <c r="AN53" s="347">
        <v>1.0200000000000001E-2</v>
      </c>
      <c r="AO53" s="347">
        <v>1.0699999999999999E-2</v>
      </c>
      <c r="AP53" s="347">
        <v>6.7999999999999996E-3</v>
      </c>
      <c r="AQ53" s="347">
        <v>7.7000000000000002E-3</v>
      </c>
      <c r="AR53" s="347">
        <v>8.3000000000000001E-3</v>
      </c>
      <c r="AS53" s="347">
        <v>8.8000000000000005E-3</v>
      </c>
      <c r="AT53" s="347">
        <v>9.1999999999999998E-3</v>
      </c>
      <c r="AU53" s="347">
        <v>4.5199999999999997E-2</v>
      </c>
      <c r="AV53" s="346">
        <v>21.96</v>
      </c>
      <c r="AW53" s="346">
        <v>-3.19</v>
      </c>
      <c r="AX53" s="346">
        <v>-7.85</v>
      </c>
      <c r="AY53" s="346">
        <v>-6.42</v>
      </c>
      <c r="AZ53" s="346">
        <v>-9.64</v>
      </c>
      <c r="BA53" s="346">
        <v>6.26</v>
      </c>
      <c r="BB53" s="346">
        <v>-31.25</v>
      </c>
      <c r="BC53" s="346">
        <v>-11.55</v>
      </c>
      <c r="BD53" s="346">
        <v>-1.87</v>
      </c>
      <c r="BE53" s="346">
        <v>24.86</v>
      </c>
      <c r="BF53" s="346">
        <v>-2.15</v>
      </c>
      <c r="BG53" s="346">
        <v>-4.88</v>
      </c>
      <c r="BH53" s="346">
        <v>-14.62</v>
      </c>
      <c r="BI53" s="346">
        <v>-7.57</v>
      </c>
      <c r="BJ53" s="346">
        <v>5.89</v>
      </c>
      <c r="BK53" s="346">
        <v>-28.65</v>
      </c>
      <c r="BL53" s="346">
        <v>-8.65</v>
      </c>
      <c r="BM53" s="346">
        <v>-2.72</v>
      </c>
      <c r="BN53" s="346">
        <v>34.020000000000003</v>
      </c>
      <c r="BO53" s="346">
        <v>-27.51</v>
      </c>
      <c r="BP53" s="346">
        <v>-315.58</v>
      </c>
      <c r="BQ53" s="346">
        <v>-1.1399999999999999</v>
      </c>
      <c r="BR53" s="346">
        <v>-39.85</v>
      </c>
      <c r="BS53" s="346">
        <v>110.73</v>
      </c>
      <c r="BT53" s="346">
        <v>-10.36</v>
      </c>
      <c r="BU53" s="346">
        <v>-55</v>
      </c>
      <c r="BV53" s="346">
        <v>-305.8</v>
      </c>
      <c r="BW53" s="346">
        <v>37.31</v>
      </c>
      <c r="BX53" s="346">
        <v>-17.48</v>
      </c>
      <c r="BY53" s="346">
        <v>-197.85</v>
      </c>
      <c r="BZ53" s="346">
        <v>-2.5499999999999998</v>
      </c>
      <c r="CA53" s="346">
        <v>-29.66</v>
      </c>
      <c r="CB53" s="346">
        <v>107.26</v>
      </c>
      <c r="CC53" s="346">
        <v>-9.02</v>
      </c>
      <c r="CD53" s="346">
        <v>-40.299999999999997</v>
      </c>
      <c r="CE53" s="346">
        <v>-458.58</v>
      </c>
      <c r="CF53" s="346">
        <v>88.95</v>
      </c>
      <c r="CG53" s="346">
        <v>34.9</v>
      </c>
      <c r="CH53" s="346">
        <v>59.97</v>
      </c>
      <c r="CI53" s="346">
        <v>53.36</v>
      </c>
      <c r="CJ53" s="346">
        <v>46.77</v>
      </c>
      <c r="CK53" s="346">
        <v>66.5</v>
      </c>
      <c r="CL53" s="346">
        <v>93.81</v>
      </c>
      <c r="CM53" s="346">
        <v>72.98</v>
      </c>
      <c r="CN53" s="346">
        <v>54.13</v>
      </c>
      <c r="CO53" s="346">
        <v>17.77</v>
      </c>
      <c r="CP53" s="346">
        <v>-1.1000000000000001</v>
      </c>
      <c r="CQ53" s="346">
        <v>833.55</v>
      </c>
      <c r="CR53" s="346">
        <v>5.77</v>
      </c>
      <c r="CS53" s="346">
        <v>-0.68</v>
      </c>
      <c r="CT53" s="346">
        <v>74.37</v>
      </c>
      <c r="CU53" s="346">
        <v>139.34</v>
      </c>
      <c r="CV53" s="346">
        <v>6.61</v>
      </c>
      <c r="CW53" s="346">
        <v>156153032.05000001</v>
      </c>
    </row>
    <row r="54" spans="1:101" x14ac:dyDescent="0.25">
      <c r="A54" s="346" t="str">
        <f>VLOOKUP(B54,'Loan Book Summary'!C:G,5,FALSE)</f>
        <v>0014I00001i941O</v>
      </c>
      <c r="B54" s="346">
        <v>1100000187</v>
      </c>
      <c r="C54" s="346" t="s">
        <v>1889</v>
      </c>
      <c r="D54" s="346" t="s">
        <v>1889</v>
      </c>
      <c r="E54" s="346">
        <v>2022</v>
      </c>
      <c r="F54" s="346">
        <v>6</v>
      </c>
      <c r="G54" s="346">
        <v>2093.5327560000001</v>
      </c>
      <c r="H54" s="346">
        <v>184.82354000000001</v>
      </c>
      <c r="I54" s="346">
        <v>184.82354000000001</v>
      </c>
      <c r="J54" s="346">
        <v>2532.842948</v>
      </c>
      <c r="K54" s="346">
        <v>1421.27773</v>
      </c>
      <c r="L54" s="346">
        <v>87.139809470000003</v>
      </c>
      <c r="M54" s="346" t="s">
        <v>1889</v>
      </c>
      <c r="N54" s="346">
        <v>511.50067949999999</v>
      </c>
      <c r="O54" s="346">
        <v>511.50067949999999</v>
      </c>
      <c r="P54" s="346">
        <v>403.76042000000001</v>
      </c>
      <c r="Q54" s="346">
        <v>3591.6284169999999</v>
      </c>
      <c r="R54" s="346">
        <v>3394.5550699999999</v>
      </c>
      <c r="S54" s="346">
        <v>58.488594130000003</v>
      </c>
      <c r="T54" s="346">
        <v>9.3486959639999991</v>
      </c>
      <c r="U54" s="346">
        <v>1212.4238109999999</v>
      </c>
      <c r="V54" s="346">
        <v>962.46009200000003</v>
      </c>
      <c r="W54" s="346">
        <v>878.40441069999997</v>
      </c>
      <c r="X54" s="346" t="s">
        <v>101</v>
      </c>
      <c r="Y54" s="346">
        <v>63990</v>
      </c>
      <c r="Z54" s="346">
        <v>5</v>
      </c>
      <c r="AA54" s="346" t="s">
        <v>996</v>
      </c>
      <c r="AB54" s="346" t="s">
        <v>5429</v>
      </c>
      <c r="AC54" s="346" t="s">
        <v>5429</v>
      </c>
      <c r="AD54" s="347">
        <v>2.2200000000000001E-2</v>
      </c>
      <c r="AE54" s="347">
        <v>9.7000000000000003E-3</v>
      </c>
      <c r="AF54" s="346">
        <v>0.14000000000000001</v>
      </c>
      <c r="AG54" s="346">
        <v>0.3</v>
      </c>
      <c r="AH54" s="346">
        <v>0.48</v>
      </c>
      <c r="AI54" s="346">
        <v>0.66</v>
      </c>
      <c r="AJ54" s="346">
        <v>0.85</v>
      </c>
      <c r="AK54" s="347">
        <v>1.4E-3</v>
      </c>
      <c r="AL54" s="347">
        <v>1.6000000000000001E-3</v>
      </c>
      <c r="AM54" s="347">
        <v>1.8E-3</v>
      </c>
      <c r="AN54" s="347">
        <v>1.9E-3</v>
      </c>
      <c r="AO54" s="347">
        <v>1.9E-3</v>
      </c>
      <c r="AP54" s="347">
        <v>1.4E-3</v>
      </c>
      <c r="AQ54" s="347">
        <v>1.5E-3</v>
      </c>
      <c r="AR54" s="347">
        <v>1.6000000000000001E-3</v>
      </c>
      <c r="AS54" s="347">
        <v>1.6999999999999999E-3</v>
      </c>
      <c r="AT54" s="347">
        <v>1.6999999999999999E-3</v>
      </c>
      <c r="AU54" s="347">
        <v>8.5000000000000006E-3</v>
      </c>
      <c r="AV54" s="346">
        <v>-9.4499999999999993</v>
      </c>
      <c r="AW54" s="346">
        <v>-3.32</v>
      </c>
      <c r="AX54" s="346">
        <v>-20.39</v>
      </c>
      <c r="AY54" s="346">
        <v>-4.16</v>
      </c>
      <c r="AZ54" s="346">
        <v>10.79</v>
      </c>
      <c r="BA54" s="346">
        <v>-16.07</v>
      </c>
      <c r="BB54" s="346">
        <v>-21.69</v>
      </c>
      <c r="BC54" s="346">
        <v>-12.93</v>
      </c>
      <c r="BD54" s="346">
        <v>-1.21</v>
      </c>
      <c r="BE54" s="346">
        <v>-11.88</v>
      </c>
      <c r="BF54" s="346">
        <v>-2.4900000000000002</v>
      </c>
      <c r="BG54" s="346">
        <v>-14.09</v>
      </c>
      <c r="BH54" s="346">
        <v>-10.51</v>
      </c>
      <c r="BI54" s="346">
        <v>9.41</v>
      </c>
      <c r="BJ54" s="346">
        <v>-16.8</v>
      </c>
      <c r="BK54" s="346">
        <v>-22.1</v>
      </c>
      <c r="BL54" s="346">
        <v>-10.76</v>
      </c>
      <c r="BM54" s="346">
        <v>-1.96</v>
      </c>
      <c r="BN54" s="346">
        <v>133.04</v>
      </c>
      <c r="BO54" s="346">
        <v>-23.43</v>
      </c>
      <c r="BP54" s="346">
        <v>-32.409999999999997</v>
      </c>
      <c r="BQ54" s="346">
        <v>-3.62</v>
      </c>
      <c r="BR54" s="346">
        <v>-77.61</v>
      </c>
      <c r="BS54" s="346">
        <v>37.92</v>
      </c>
      <c r="BT54" s="346">
        <v>-4.7</v>
      </c>
      <c r="BU54" s="346">
        <v>-13.92</v>
      </c>
      <c r="BV54" s="346">
        <v>-573.36</v>
      </c>
      <c r="BW54" s="346">
        <v>86.33</v>
      </c>
      <c r="BX54" s="346">
        <v>-8.5500000000000007</v>
      </c>
      <c r="BY54" s="346">
        <v>-10.93</v>
      </c>
      <c r="BZ54" s="346">
        <v>-4.38</v>
      </c>
      <c r="CA54" s="346">
        <v>-31.88</v>
      </c>
      <c r="CB54" s="346">
        <v>18.12</v>
      </c>
      <c r="CC54" s="346">
        <v>-2.29</v>
      </c>
      <c r="CD54" s="346">
        <v>-5.62</v>
      </c>
      <c r="CE54" s="346">
        <v>-731.91</v>
      </c>
      <c r="CF54" s="346">
        <v>19.670000000000002</v>
      </c>
      <c r="CG54" s="346">
        <v>44.62</v>
      </c>
      <c r="CH54" s="346">
        <v>94.58</v>
      </c>
      <c r="CI54" s="346">
        <v>53.44</v>
      </c>
      <c r="CJ54" s="346">
        <v>10.56</v>
      </c>
      <c r="CK54" s="346">
        <v>16.190000000000001</v>
      </c>
      <c r="CL54" s="346">
        <v>99.65</v>
      </c>
      <c r="CM54" s="346">
        <v>95.7</v>
      </c>
      <c r="CN54" s="346">
        <v>54.04</v>
      </c>
      <c r="CO54" s="346">
        <v>2.4300000000000002</v>
      </c>
      <c r="CP54" s="346">
        <v>-0.3</v>
      </c>
      <c r="CQ54" s="346">
        <v>13594.54</v>
      </c>
      <c r="CR54" s="346">
        <v>5.81</v>
      </c>
      <c r="CS54" s="346">
        <v>-13.83</v>
      </c>
      <c r="CT54" s="346">
        <v>30.06</v>
      </c>
      <c r="CU54" s="346">
        <v>409.29</v>
      </c>
      <c r="CV54" s="346">
        <v>26.8</v>
      </c>
      <c r="CW54" s="346">
        <v>155674594.91999999</v>
      </c>
    </row>
    <row r="55" spans="1:101" x14ac:dyDescent="0.25">
      <c r="A55" s="346" t="str">
        <f>VLOOKUP(B55,'Loan Book Summary'!C:G,5,FALSE)</f>
        <v>0014I00002BvrLc</v>
      </c>
      <c r="B55" s="346">
        <v>1100000235</v>
      </c>
      <c r="C55" s="346" t="s">
        <v>1889</v>
      </c>
      <c r="D55" s="346" t="s">
        <v>1889</v>
      </c>
      <c r="E55" s="346">
        <v>2022</v>
      </c>
      <c r="F55" s="346">
        <v>6</v>
      </c>
      <c r="G55" s="346">
        <v>1949.0694470000001</v>
      </c>
      <c r="H55" s="346" t="s">
        <v>1889</v>
      </c>
      <c r="I55" s="346" t="s">
        <v>1889</v>
      </c>
      <c r="J55" s="346">
        <v>12447.60276</v>
      </c>
      <c r="K55" s="346">
        <v>12699.4522</v>
      </c>
      <c r="L55" s="346" t="s">
        <v>1889</v>
      </c>
      <c r="M55" s="346" t="s">
        <v>1889</v>
      </c>
      <c r="N55" s="346">
        <v>471.90976999999998</v>
      </c>
      <c r="O55" s="346">
        <v>471.90976999999998</v>
      </c>
      <c r="P55" s="346">
        <v>12675.494720000001</v>
      </c>
      <c r="Q55" s="346">
        <v>3420.475903</v>
      </c>
      <c r="R55" s="346">
        <v>3143.7619420000001</v>
      </c>
      <c r="S55" s="346">
        <v>473.68978600000003</v>
      </c>
      <c r="T55" s="346">
        <v>566.375</v>
      </c>
      <c r="U55" s="346">
        <v>314.52556390000001</v>
      </c>
      <c r="V55" s="346">
        <v>-251.84943609999999</v>
      </c>
      <c r="W55" s="346">
        <v>-237.91768870000001</v>
      </c>
      <c r="X55" s="346" t="s">
        <v>101</v>
      </c>
      <c r="Y55" s="346">
        <v>85100</v>
      </c>
      <c r="Z55" s="346">
        <v>5</v>
      </c>
      <c r="AA55" s="346" t="s">
        <v>996</v>
      </c>
      <c r="AB55" s="346" t="s">
        <v>104</v>
      </c>
      <c r="AC55" s="346" t="s">
        <v>105</v>
      </c>
      <c r="AD55" s="347">
        <v>0.6401</v>
      </c>
      <c r="AE55" s="347">
        <v>0.50590000000000002</v>
      </c>
      <c r="AF55" s="346">
        <v>1.76</v>
      </c>
      <c r="AG55" s="346">
        <v>3.05</v>
      </c>
      <c r="AH55" s="346">
        <v>4.2</v>
      </c>
      <c r="AI55" s="346">
        <v>5.26</v>
      </c>
      <c r="AJ55" s="346">
        <v>6.26</v>
      </c>
      <c r="AK55" s="347">
        <v>1.7600000000000001E-2</v>
      </c>
      <c r="AL55" s="347">
        <v>1.3100000000000001E-2</v>
      </c>
      <c r="AM55" s="347">
        <v>1.1900000000000001E-2</v>
      </c>
      <c r="AN55" s="347">
        <v>1.11E-2</v>
      </c>
      <c r="AO55" s="347">
        <v>1.06E-2</v>
      </c>
      <c r="AP55" s="347">
        <v>1.7600000000000001E-2</v>
      </c>
      <c r="AQ55" s="347">
        <v>1.54E-2</v>
      </c>
      <c r="AR55" s="347">
        <v>1.4200000000000001E-2</v>
      </c>
      <c r="AS55" s="347">
        <v>1.34E-2</v>
      </c>
      <c r="AT55" s="347">
        <v>1.2800000000000001E-2</v>
      </c>
      <c r="AU55" s="347">
        <v>6.2600000000000003E-2</v>
      </c>
      <c r="AV55" s="346" t="s">
        <v>1889</v>
      </c>
      <c r="AW55" s="346" t="s">
        <v>1889</v>
      </c>
      <c r="AX55" s="346">
        <v>16.54</v>
      </c>
      <c r="AY55" s="346">
        <v>-3.91</v>
      </c>
      <c r="AZ55" s="346">
        <v>-6.93</v>
      </c>
      <c r="BA55" s="346">
        <v>29.06</v>
      </c>
      <c r="BB55" s="346">
        <v>-22.32</v>
      </c>
      <c r="BC55" s="346">
        <v>15.56</v>
      </c>
      <c r="BD55" s="346">
        <v>-5.68</v>
      </c>
      <c r="BE55" s="346" t="s">
        <v>1889</v>
      </c>
      <c r="BF55" s="346" t="s">
        <v>1889</v>
      </c>
      <c r="BG55" s="346">
        <v>11.14</v>
      </c>
      <c r="BH55" s="346">
        <v>-9.6300000000000008</v>
      </c>
      <c r="BI55" s="346">
        <v>-5.89</v>
      </c>
      <c r="BJ55" s="346">
        <v>29.6</v>
      </c>
      <c r="BK55" s="346">
        <v>-22.16</v>
      </c>
      <c r="BL55" s="346">
        <v>12.62</v>
      </c>
      <c r="BM55" s="346">
        <v>-8.9600000000000009</v>
      </c>
      <c r="BN55" s="346">
        <v>0</v>
      </c>
      <c r="BO55" s="346">
        <v>0</v>
      </c>
      <c r="BP55" s="346">
        <v>-410.33</v>
      </c>
      <c r="BQ55" s="346">
        <v>20.77</v>
      </c>
      <c r="BR55" s="346">
        <v>-42.14</v>
      </c>
      <c r="BS55" s="346">
        <v>144.71</v>
      </c>
      <c r="BT55" s="346">
        <v>-2.48</v>
      </c>
      <c r="BU55" s="346">
        <v>-7.67</v>
      </c>
      <c r="BV55" s="346">
        <v>-71.900000000000006</v>
      </c>
      <c r="BW55" s="346">
        <v>0</v>
      </c>
      <c r="BX55" s="346">
        <v>0</v>
      </c>
      <c r="BY55" s="346">
        <v>-308.14</v>
      </c>
      <c r="BZ55" s="346">
        <v>55.97</v>
      </c>
      <c r="CA55" s="346">
        <v>-39.1</v>
      </c>
      <c r="CB55" s="346">
        <v>164.09</v>
      </c>
      <c r="CC55" s="346">
        <v>-2.72</v>
      </c>
      <c r="CD55" s="346">
        <v>-6.9</v>
      </c>
      <c r="CE55" s="346">
        <v>-123.08</v>
      </c>
      <c r="CF55" s="346" t="s">
        <v>1889</v>
      </c>
      <c r="CG55" s="346" t="s">
        <v>1889</v>
      </c>
      <c r="CH55" s="346">
        <v>24.95</v>
      </c>
      <c r="CI55" s="346">
        <v>60.43</v>
      </c>
      <c r="CJ55" s="346">
        <v>51.55</v>
      </c>
      <c r="CK55" s="346">
        <v>95.66</v>
      </c>
      <c r="CL55" s="346">
        <v>99.69</v>
      </c>
      <c r="CM55" s="346">
        <v>10.65</v>
      </c>
      <c r="CN55" s="346">
        <v>84.57</v>
      </c>
      <c r="CO55" s="346" t="s">
        <v>1889</v>
      </c>
      <c r="CP55" s="346" t="s">
        <v>1889</v>
      </c>
      <c r="CQ55" s="346">
        <v>139.16999999999999</v>
      </c>
      <c r="CR55" s="346">
        <v>8.8000000000000007</v>
      </c>
      <c r="CS55" s="346">
        <v>-0.14000000000000001</v>
      </c>
      <c r="CT55" s="346">
        <v>101.76</v>
      </c>
      <c r="CU55" s="346">
        <v>413.02</v>
      </c>
      <c r="CV55" s="346">
        <v>-7.36</v>
      </c>
      <c r="CW55" s="346">
        <v>660648115.25999999</v>
      </c>
    </row>
    <row r="56" spans="1:101" x14ac:dyDescent="0.25">
      <c r="A56" s="346" t="str">
        <f>VLOOKUP(B56,'Loan Book Summary'!C:G,5,FALSE)</f>
        <v>0014I00002BVyev</v>
      </c>
      <c r="B56" s="346">
        <v>1100000238</v>
      </c>
      <c r="C56" s="346" t="s">
        <v>1889</v>
      </c>
      <c r="D56" s="346" t="s">
        <v>1889</v>
      </c>
      <c r="E56" s="346">
        <v>2022</v>
      </c>
      <c r="F56" s="346">
        <v>6</v>
      </c>
      <c r="G56" s="346">
        <v>513.45262500000001</v>
      </c>
      <c r="H56" s="346">
        <v>5807</v>
      </c>
      <c r="I56" s="346">
        <v>5807</v>
      </c>
      <c r="J56" s="346">
        <v>-15779.97797</v>
      </c>
      <c r="K56" s="346">
        <v>-15296.54883</v>
      </c>
      <c r="L56" s="346">
        <v>5270</v>
      </c>
      <c r="M56" s="346" t="s">
        <v>1889</v>
      </c>
      <c r="N56" s="346">
        <v>46715</v>
      </c>
      <c r="O56" s="346">
        <v>46715</v>
      </c>
      <c r="P56" s="346">
        <v>12000</v>
      </c>
      <c r="Q56" s="346">
        <v>170925.32250000001</v>
      </c>
      <c r="R56" s="346">
        <v>153258.6225</v>
      </c>
      <c r="S56" s="346">
        <v>51.934607999999997</v>
      </c>
      <c r="T56" s="346">
        <v>1287.28125</v>
      </c>
      <c r="U56" s="346">
        <v>2303.852108</v>
      </c>
      <c r="V56" s="346">
        <v>809.71635430000003</v>
      </c>
      <c r="W56" s="346">
        <v>-5491.7892250000004</v>
      </c>
      <c r="X56" s="346" t="s">
        <v>101</v>
      </c>
      <c r="Y56" s="346">
        <v>56302</v>
      </c>
      <c r="Z56" s="346">
        <v>5</v>
      </c>
      <c r="AA56" s="346" t="s">
        <v>996</v>
      </c>
      <c r="AB56" s="346" t="s">
        <v>102</v>
      </c>
      <c r="AC56" s="346" t="s">
        <v>107</v>
      </c>
      <c r="AD56" s="347">
        <v>0.85489999999999999</v>
      </c>
      <c r="AE56" s="347">
        <v>0.74329999999999996</v>
      </c>
      <c r="AF56" s="346">
        <v>4.4400000000000004</v>
      </c>
      <c r="AG56" s="346">
        <v>6.72</v>
      </c>
      <c r="AH56" s="346">
        <v>8.5500000000000007</v>
      </c>
      <c r="AI56" s="346">
        <v>10.119999999999999</v>
      </c>
      <c r="AJ56" s="346">
        <v>11.52</v>
      </c>
      <c r="AK56" s="347">
        <v>4.4400000000000002E-2</v>
      </c>
      <c r="AL56" s="347">
        <v>2.3900000000000001E-2</v>
      </c>
      <c r="AM56" s="347">
        <v>1.9599999999999999E-2</v>
      </c>
      <c r="AN56" s="347">
        <v>1.72E-2</v>
      </c>
      <c r="AO56" s="347">
        <v>1.5599999999999999E-2</v>
      </c>
      <c r="AP56" s="347">
        <v>4.4400000000000002E-2</v>
      </c>
      <c r="AQ56" s="347">
        <v>3.4200000000000001E-2</v>
      </c>
      <c r="AR56" s="347">
        <v>2.93E-2</v>
      </c>
      <c r="AS56" s="347">
        <v>2.63E-2</v>
      </c>
      <c r="AT56" s="347">
        <v>2.4199999999999999E-2</v>
      </c>
      <c r="AU56" s="347">
        <v>0.1152</v>
      </c>
      <c r="AV56" s="346">
        <v>-8.11</v>
      </c>
      <c r="AW56" s="346">
        <v>-3.02</v>
      </c>
      <c r="AX56" s="346">
        <v>13.19</v>
      </c>
      <c r="AY56" s="346">
        <v>-3.3</v>
      </c>
      <c r="AZ56" s="346">
        <v>7.46</v>
      </c>
      <c r="BA56" s="346">
        <v>33.14</v>
      </c>
      <c r="BB56" s="346">
        <v>14.57</v>
      </c>
      <c r="BC56" s="346">
        <v>6.85</v>
      </c>
      <c r="BD56" s="346">
        <v>-10.36</v>
      </c>
      <c r="BE56" s="346">
        <v>-9.41</v>
      </c>
      <c r="BF56" s="346">
        <v>-2.09</v>
      </c>
      <c r="BG56" s="346">
        <v>8.41</v>
      </c>
      <c r="BH56" s="346">
        <v>-7.7</v>
      </c>
      <c r="BI56" s="346">
        <v>6</v>
      </c>
      <c r="BJ56" s="346">
        <v>31.96</v>
      </c>
      <c r="BK56" s="346">
        <v>13.7</v>
      </c>
      <c r="BL56" s="346">
        <v>5.26</v>
      </c>
      <c r="BM56" s="346">
        <v>-15.47</v>
      </c>
      <c r="BN56" s="346">
        <v>49.65</v>
      </c>
      <c r="BO56" s="346">
        <v>-9.84</v>
      </c>
      <c r="BP56" s="346">
        <v>-253.97</v>
      </c>
      <c r="BQ56" s="346">
        <v>22.5</v>
      </c>
      <c r="BR56" s="346">
        <v>28.82</v>
      </c>
      <c r="BS56" s="346">
        <v>8.49</v>
      </c>
      <c r="BT56" s="346">
        <v>-374.56</v>
      </c>
      <c r="BU56" s="346">
        <v>-131.11000000000001</v>
      </c>
      <c r="BV56" s="346">
        <v>-21.06</v>
      </c>
      <c r="BW56" s="346">
        <v>64.900000000000006</v>
      </c>
      <c r="BX56" s="346">
        <v>-7.69</v>
      </c>
      <c r="BY56" s="346">
        <v>-185.65</v>
      </c>
      <c r="BZ56" s="346">
        <v>59.25</v>
      </c>
      <c r="CA56" s="346">
        <v>26.34</v>
      </c>
      <c r="CB56" s="346">
        <v>9.2200000000000006</v>
      </c>
      <c r="CC56" s="346">
        <v>-394.27</v>
      </c>
      <c r="CD56" s="346">
        <v>-117</v>
      </c>
      <c r="CE56" s="346">
        <v>-35.659999999999997</v>
      </c>
      <c r="CF56" s="346">
        <v>23.56</v>
      </c>
      <c r="CG56" s="346">
        <v>43.22</v>
      </c>
      <c r="CH56" s="346">
        <v>28.33</v>
      </c>
      <c r="CI56" s="346">
        <v>65.94</v>
      </c>
      <c r="CJ56" s="346">
        <v>96.93</v>
      </c>
      <c r="CK56" s="346">
        <v>100</v>
      </c>
      <c r="CL56" s="346">
        <v>32.18</v>
      </c>
      <c r="CM56" s="346">
        <v>30.12</v>
      </c>
      <c r="CN56" s="346">
        <v>93.03</v>
      </c>
      <c r="CO56" s="346">
        <v>3.08</v>
      </c>
      <c r="CP56" s="346">
        <v>-0.39</v>
      </c>
      <c r="CQ56" s="346">
        <v>183</v>
      </c>
      <c r="CR56" s="346">
        <v>11.53</v>
      </c>
      <c r="CS56" s="346">
        <v>20.100000000000001</v>
      </c>
      <c r="CT56" s="346">
        <v>189.8</v>
      </c>
      <c r="CU56" s="346">
        <v>1.1000000000000001</v>
      </c>
      <c r="CV56" s="346">
        <v>0.47</v>
      </c>
      <c r="CW56" s="346">
        <v>1581883523.26</v>
      </c>
    </row>
    <row r="57" spans="1:101" x14ac:dyDescent="0.25">
      <c r="A57" s="346" t="str">
        <f>VLOOKUP(B57,'Loan Book Summary'!C:G,5,FALSE)</f>
        <v>0014I000029Mo45</v>
      </c>
      <c r="B57" s="346">
        <v>1100000195</v>
      </c>
      <c r="C57" s="346" t="s">
        <v>1889</v>
      </c>
      <c r="D57" s="346" t="s">
        <v>1889</v>
      </c>
      <c r="E57" s="346">
        <v>2022</v>
      </c>
      <c r="F57" s="346">
        <v>6</v>
      </c>
      <c r="G57" s="346">
        <v>4565.4409999999998</v>
      </c>
      <c r="H57" s="346">
        <v>1946</v>
      </c>
      <c r="I57" s="346">
        <v>1946</v>
      </c>
      <c r="J57" s="346">
        <v>76062.028510000004</v>
      </c>
      <c r="K57" s="346">
        <v>79596.349600000001</v>
      </c>
      <c r="L57" s="346">
        <v>844</v>
      </c>
      <c r="M57" s="346" t="s">
        <v>1889</v>
      </c>
      <c r="N57" s="346">
        <v>2545</v>
      </c>
      <c r="O57" s="346">
        <v>2545</v>
      </c>
      <c r="P57" s="346">
        <v>73287</v>
      </c>
      <c r="Q57" s="346">
        <v>12726.658750000001</v>
      </c>
      <c r="R57" s="346">
        <v>11908.172500000001</v>
      </c>
      <c r="S57" s="346">
        <v>5603.059835</v>
      </c>
      <c r="T57" s="346">
        <v>6150.1125000000002</v>
      </c>
      <c r="U57" s="346">
        <v>-1111.821085</v>
      </c>
      <c r="V57" s="346">
        <v>-7261.9335849999998</v>
      </c>
      <c r="W57" s="346">
        <v>-3970.6720460000001</v>
      </c>
      <c r="X57" s="346" t="s">
        <v>101</v>
      </c>
      <c r="Y57" s="346">
        <v>26600</v>
      </c>
      <c r="Z57" s="346">
        <v>5</v>
      </c>
      <c r="AA57" s="346" t="s">
        <v>996</v>
      </c>
      <c r="AB57" s="346" t="s">
        <v>105</v>
      </c>
      <c r="AC57" s="346" t="s">
        <v>110</v>
      </c>
      <c r="AD57" s="347">
        <v>0.57999999999999996</v>
      </c>
      <c r="AE57" s="347">
        <v>0.3962</v>
      </c>
      <c r="AF57" s="346">
        <v>1.44</v>
      </c>
      <c r="AG57" s="346">
        <v>2.44</v>
      </c>
      <c r="AH57" s="346">
        <v>3.32</v>
      </c>
      <c r="AI57" s="346">
        <v>4.13</v>
      </c>
      <c r="AJ57" s="346">
        <v>4.88</v>
      </c>
      <c r="AK57" s="347">
        <v>1.44E-2</v>
      </c>
      <c r="AL57" s="347">
        <v>1.0200000000000001E-2</v>
      </c>
      <c r="AM57" s="347">
        <v>8.9999999999999993E-3</v>
      </c>
      <c r="AN57" s="347">
        <v>8.3000000000000001E-3</v>
      </c>
      <c r="AO57" s="347">
        <v>7.7999999999999996E-3</v>
      </c>
      <c r="AP57" s="347">
        <v>1.44E-2</v>
      </c>
      <c r="AQ57" s="347">
        <v>1.23E-2</v>
      </c>
      <c r="AR57" s="347">
        <v>1.12E-2</v>
      </c>
      <c r="AS57" s="347">
        <v>1.0500000000000001E-2</v>
      </c>
      <c r="AT57" s="347">
        <v>0.01</v>
      </c>
      <c r="AU57" s="347">
        <v>4.8800000000000003E-2</v>
      </c>
      <c r="AV57" s="346">
        <v>-3.65</v>
      </c>
      <c r="AW57" s="346">
        <v>-1.97</v>
      </c>
      <c r="AX57" s="346">
        <v>17.170000000000002</v>
      </c>
      <c r="AY57" s="346">
        <v>-3.89</v>
      </c>
      <c r="AZ57" s="346">
        <v>-0.6</v>
      </c>
      <c r="BA57" s="346">
        <v>23.35</v>
      </c>
      <c r="BB57" s="346">
        <v>-19.88</v>
      </c>
      <c r="BC57" s="346">
        <v>15.64</v>
      </c>
      <c r="BD57" s="346">
        <v>-13.85</v>
      </c>
      <c r="BE57" s="346">
        <v>-4.2300000000000004</v>
      </c>
      <c r="BF57" s="346">
        <v>-1.36</v>
      </c>
      <c r="BG57" s="346">
        <v>10.95</v>
      </c>
      <c r="BH57" s="346">
        <v>-9.07</v>
      </c>
      <c r="BI57" s="346">
        <v>-0.48</v>
      </c>
      <c r="BJ57" s="346">
        <v>22.53</v>
      </c>
      <c r="BK57" s="346">
        <v>-18.68</v>
      </c>
      <c r="BL57" s="346">
        <v>12.01</v>
      </c>
      <c r="BM57" s="346">
        <v>-20.68</v>
      </c>
      <c r="BN57" s="346">
        <v>80.41</v>
      </c>
      <c r="BO57" s="346">
        <v>-45.34</v>
      </c>
      <c r="BP57" s="346">
        <v>-453.83</v>
      </c>
      <c r="BQ57" s="346">
        <v>9.74</v>
      </c>
      <c r="BR57" s="346">
        <v>-104.81</v>
      </c>
      <c r="BS57" s="346">
        <v>180.06</v>
      </c>
      <c r="BT57" s="346">
        <v>-10.07</v>
      </c>
      <c r="BU57" s="346">
        <v>-0.3</v>
      </c>
      <c r="BV57" s="346">
        <v>-15.45</v>
      </c>
      <c r="BW57" s="346">
        <v>116.16</v>
      </c>
      <c r="BX57" s="346">
        <v>-38.770000000000003</v>
      </c>
      <c r="BY57" s="346">
        <v>-356.09</v>
      </c>
      <c r="BZ57" s="346">
        <v>27.76</v>
      </c>
      <c r="CA57" s="346">
        <v>-104.86</v>
      </c>
      <c r="CB57" s="346">
        <v>216.2</v>
      </c>
      <c r="CC57" s="346">
        <v>-11.58</v>
      </c>
      <c r="CD57" s="346">
        <v>-0.28000000000000003</v>
      </c>
      <c r="CE57" s="346">
        <v>-28.31</v>
      </c>
      <c r="CF57" s="346">
        <v>45.01</v>
      </c>
      <c r="CG57" s="346">
        <v>35.4</v>
      </c>
      <c r="CH57" s="346">
        <v>20.5</v>
      </c>
      <c r="CI57" s="346">
        <v>56.03</v>
      </c>
      <c r="CJ57" s="346">
        <v>26.49</v>
      </c>
      <c r="CK57" s="346">
        <v>91.98</v>
      </c>
      <c r="CL57" s="346">
        <v>95.94</v>
      </c>
      <c r="CM57" s="346">
        <v>4</v>
      </c>
      <c r="CN57" s="346">
        <v>97.35</v>
      </c>
      <c r="CO57" s="346">
        <v>6.63</v>
      </c>
      <c r="CP57" s="346">
        <v>-1.05</v>
      </c>
      <c r="CQ57" s="346">
        <v>73.03</v>
      </c>
      <c r="CR57" s="346">
        <v>6.87</v>
      </c>
      <c r="CS57" s="346">
        <v>-4.4000000000000004</v>
      </c>
      <c r="CT57" s="346">
        <v>96.47</v>
      </c>
      <c r="CU57" s="346">
        <v>179.39</v>
      </c>
      <c r="CV57" s="346">
        <v>-57.06</v>
      </c>
      <c r="CW57" s="346">
        <v>4019624201.0700002</v>
      </c>
    </row>
    <row r="58" spans="1:101" x14ac:dyDescent="0.25">
      <c r="A58" s="346" t="str">
        <f>VLOOKUP(B58,'Loan Book Summary'!C:G,5,FALSE)</f>
        <v>0014I000023R1Ij</v>
      </c>
      <c r="B58" s="346">
        <v>1100000128</v>
      </c>
      <c r="C58" s="346" t="s">
        <v>1889</v>
      </c>
      <c r="D58" s="346" t="s">
        <v>1889</v>
      </c>
      <c r="E58" s="346">
        <v>2022</v>
      </c>
      <c r="F58" s="346">
        <v>6</v>
      </c>
      <c r="G58" s="346">
        <v>22173.39068</v>
      </c>
      <c r="H58" s="346">
        <v>3447</v>
      </c>
      <c r="I58" s="346">
        <v>3447</v>
      </c>
      <c r="J58" s="346">
        <v>118976.2714</v>
      </c>
      <c r="K58" s="346">
        <v>115682.3639</v>
      </c>
      <c r="L58" s="346">
        <v>1915</v>
      </c>
      <c r="M58" s="346" t="s">
        <v>1889</v>
      </c>
      <c r="N58" s="346">
        <v>6501</v>
      </c>
      <c r="O58" s="346">
        <v>6501</v>
      </c>
      <c r="P58" s="346">
        <v>79736</v>
      </c>
      <c r="Q58" s="346">
        <v>31670.577870000001</v>
      </c>
      <c r="R58" s="346">
        <v>29414.362560000001</v>
      </c>
      <c r="S58" s="346">
        <v>4728.0163419999999</v>
      </c>
      <c r="T58" s="346">
        <v>5179.7808459999997</v>
      </c>
      <c r="U58" s="346">
        <v>3718.9075280000002</v>
      </c>
      <c r="V58" s="346">
        <v>-1460.873319</v>
      </c>
      <c r="W58" s="346">
        <v>-2603.6277169999998</v>
      </c>
      <c r="X58" s="346" t="s">
        <v>101</v>
      </c>
      <c r="Y58" s="346">
        <v>85590</v>
      </c>
      <c r="Z58" s="346">
        <v>5</v>
      </c>
      <c r="AA58" s="346" t="s">
        <v>996</v>
      </c>
      <c r="AB58" s="346" t="s">
        <v>114</v>
      </c>
      <c r="AC58" s="346" t="s">
        <v>115</v>
      </c>
      <c r="AD58" s="347">
        <v>0.28499999999999998</v>
      </c>
      <c r="AE58" s="347">
        <v>0.1343</v>
      </c>
      <c r="AF58" s="346">
        <v>0.55000000000000004</v>
      </c>
      <c r="AG58" s="346">
        <v>0.99</v>
      </c>
      <c r="AH58" s="346">
        <v>1.39</v>
      </c>
      <c r="AI58" s="346">
        <v>1.77</v>
      </c>
      <c r="AJ58" s="346">
        <v>2.13</v>
      </c>
      <c r="AK58" s="347">
        <v>5.4999999999999997E-3</v>
      </c>
      <c r="AL58" s="347">
        <v>4.4000000000000003E-3</v>
      </c>
      <c r="AM58" s="347">
        <v>4.0000000000000001E-3</v>
      </c>
      <c r="AN58" s="347">
        <v>3.8E-3</v>
      </c>
      <c r="AO58" s="347">
        <v>3.7000000000000002E-3</v>
      </c>
      <c r="AP58" s="347">
        <v>5.4999999999999997E-3</v>
      </c>
      <c r="AQ58" s="347">
        <v>5.0000000000000001E-3</v>
      </c>
      <c r="AR58" s="347">
        <v>4.7000000000000002E-3</v>
      </c>
      <c r="AS58" s="347">
        <v>4.4000000000000003E-3</v>
      </c>
      <c r="AT58" s="347">
        <v>4.3E-3</v>
      </c>
      <c r="AU58" s="347">
        <v>2.1299999999999999E-2</v>
      </c>
      <c r="AV58" s="346">
        <v>-5.35</v>
      </c>
      <c r="AW58" s="346">
        <v>-2.7</v>
      </c>
      <c r="AX58" s="346">
        <v>17.09</v>
      </c>
      <c r="AY58" s="346">
        <v>-4.67</v>
      </c>
      <c r="AZ58" s="346">
        <v>-8.07</v>
      </c>
      <c r="BA58" s="346">
        <v>-1.07</v>
      </c>
      <c r="BB58" s="346">
        <v>-24.91</v>
      </c>
      <c r="BC58" s="346">
        <v>16.760000000000002</v>
      </c>
      <c r="BD58" s="346">
        <v>-19.37</v>
      </c>
      <c r="BE58" s="346">
        <v>-6.05</v>
      </c>
      <c r="BF58" s="346">
        <v>-1.82</v>
      </c>
      <c r="BG58" s="346">
        <v>10.62</v>
      </c>
      <c r="BH58" s="346">
        <v>-10.63</v>
      </c>
      <c r="BI58" s="346">
        <v>-6.33</v>
      </c>
      <c r="BJ58" s="346">
        <v>-1</v>
      </c>
      <c r="BK58" s="346">
        <v>-22.82</v>
      </c>
      <c r="BL58" s="346">
        <v>12.54</v>
      </c>
      <c r="BM58" s="346">
        <v>-28.2</v>
      </c>
      <c r="BN58" s="346">
        <v>90.34</v>
      </c>
      <c r="BO58" s="346">
        <v>-46.94</v>
      </c>
      <c r="BP58" s="346">
        <v>-517.46</v>
      </c>
      <c r="BQ58" s="346">
        <v>11.63</v>
      </c>
      <c r="BR58" s="346">
        <v>-10.95</v>
      </c>
      <c r="BS58" s="346">
        <v>186.31</v>
      </c>
      <c r="BT58" s="346">
        <v>-3.1</v>
      </c>
      <c r="BU58" s="346">
        <v>-24.43</v>
      </c>
      <c r="BV58" s="346">
        <v>-8.83</v>
      </c>
      <c r="BW58" s="346">
        <v>121.35</v>
      </c>
      <c r="BX58" s="346">
        <v>-37.94</v>
      </c>
      <c r="BY58" s="346">
        <v>-431.46</v>
      </c>
      <c r="BZ58" s="346">
        <v>31.56</v>
      </c>
      <c r="CA58" s="346">
        <v>-10.45</v>
      </c>
      <c r="CB58" s="346">
        <v>226.07</v>
      </c>
      <c r="CC58" s="346">
        <v>-3.38</v>
      </c>
      <c r="CD58" s="346">
        <v>-22.27</v>
      </c>
      <c r="CE58" s="346">
        <v>-15.53</v>
      </c>
      <c r="CF58" s="346">
        <v>41.5</v>
      </c>
      <c r="CG58" s="346">
        <v>37.659999999999997</v>
      </c>
      <c r="CH58" s="346">
        <v>26.78</v>
      </c>
      <c r="CI58" s="346">
        <v>57.89</v>
      </c>
      <c r="CJ58" s="346">
        <v>61.56</v>
      </c>
      <c r="CK58" s="346">
        <v>58.74</v>
      </c>
      <c r="CL58" s="346">
        <v>98.94</v>
      </c>
      <c r="CM58" s="346">
        <v>13.17</v>
      </c>
      <c r="CN58" s="346">
        <v>98.42</v>
      </c>
      <c r="CO58" s="346">
        <v>6.05</v>
      </c>
      <c r="CP58" s="346">
        <v>-0.83</v>
      </c>
      <c r="CQ58" s="346">
        <v>163.07</v>
      </c>
      <c r="CR58" s="346">
        <v>7.67</v>
      </c>
      <c r="CS58" s="346">
        <v>0.97</v>
      </c>
      <c r="CT58" s="346">
        <v>68.73</v>
      </c>
      <c r="CU58" s="346">
        <v>341.08</v>
      </c>
      <c r="CV58" s="346">
        <v>-4.6100000000000003</v>
      </c>
      <c r="CW58" s="346">
        <v>6416366148.9799995</v>
      </c>
    </row>
    <row r="59" spans="1:101" x14ac:dyDescent="0.25">
      <c r="A59" s="346" t="str">
        <f>VLOOKUP(B59,'Loan Book Summary'!C:G,5,FALSE)</f>
        <v>0018e000003CXt8</v>
      </c>
      <c r="B59" s="346">
        <v>1100000268</v>
      </c>
      <c r="C59" s="346" t="s">
        <v>1889</v>
      </c>
      <c r="D59" s="346" t="s">
        <v>1889</v>
      </c>
      <c r="E59" s="346">
        <v>2022</v>
      </c>
      <c r="F59" s="346">
        <v>6</v>
      </c>
      <c r="G59" s="346">
        <v>3338.0223179999998</v>
      </c>
      <c r="H59" s="346">
        <v>414.52429999999998</v>
      </c>
      <c r="I59" s="346">
        <v>414.52429999999998</v>
      </c>
      <c r="J59" s="346">
        <v>11423.247820000001</v>
      </c>
      <c r="K59" s="346">
        <v>10136.783009999999</v>
      </c>
      <c r="L59" s="346">
        <v>264.55243000000002</v>
      </c>
      <c r="M59" s="346" t="s">
        <v>1889</v>
      </c>
      <c r="N59" s="346">
        <v>1363.4962840000001</v>
      </c>
      <c r="O59" s="346">
        <v>1363.4962840000001</v>
      </c>
      <c r="P59" s="346">
        <v>8210.4825600000004</v>
      </c>
      <c r="Q59" s="346">
        <v>7335.2482900000005</v>
      </c>
      <c r="R59" s="346">
        <v>4391.804709</v>
      </c>
      <c r="S59" s="346">
        <v>172.30388300000001</v>
      </c>
      <c r="T59" s="346">
        <v>291.87727630000001</v>
      </c>
      <c r="U59" s="346">
        <v>2230.6572620000002</v>
      </c>
      <c r="V59" s="346">
        <v>1551.023989</v>
      </c>
      <c r="W59" s="346">
        <v>378.29513170000001</v>
      </c>
      <c r="X59" s="346" t="s">
        <v>101</v>
      </c>
      <c r="Y59" s="346">
        <v>70100</v>
      </c>
      <c r="Z59" s="346">
        <v>5</v>
      </c>
      <c r="AA59" s="346" t="s">
        <v>996</v>
      </c>
      <c r="AB59" s="346" t="s">
        <v>114</v>
      </c>
      <c r="AC59" s="346" t="s">
        <v>110</v>
      </c>
      <c r="AD59" s="347">
        <v>0.26790000000000003</v>
      </c>
      <c r="AE59" s="347">
        <v>0.39150000000000001</v>
      </c>
      <c r="AF59" s="346">
        <v>0.52</v>
      </c>
      <c r="AG59" s="346">
        <v>1.36</v>
      </c>
      <c r="AH59" s="346">
        <v>2.39</v>
      </c>
      <c r="AI59" s="346">
        <v>3.56</v>
      </c>
      <c r="AJ59" s="346">
        <v>4.82</v>
      </c>
      <c r="AK59" s="347">
        <v>5.1999999999999998E-3</v>
      </c>
      <c r="AL59" s="347">
        <v>8.5000000000000006E-3</v>
      </c>
      <c r="AM59" s="347">
        <v>1.04E-2</v>
      </c>
      <c r="AN59" s="347">
        <v>1.1900000000000001E-2</v>
      </c>
      <c r="AO59" s="347">
        <v>1.32E-2</v>
      </c>
      <c r="AP59" s="347">
        <v>5.1999999999999998E-3</v>
      </c>
      <c r="AQ59" s="347">
        <v>6.7999999999999996E-3</v>
      </c>
      <c r="AR59" s="347">
        <v>8.0000000000000002E-3</v>
      </c>
      <c r="AS59" s="347">
        <v>8.9999999999999993E-3</v>
      </c>
      <c r="AT59" s="347">
        <v>9.7999999999999997E-3</v>
      </c>
      <c r="AU59" s="347">
        <v>4.82E-2</v>
      </c>
      <c r="AV59" s="346">
        <v>-11.22</v>
      </c>
      <c r="AW59" s="346">
        <v>1.19</v>
      </c>
      <c r="AX59" s="346">
        <v>-7.53</v>
      </c>
      <c r="AY59" s="346">
        <v>15.18</v>
      </c>
      <c r="AZ59" s="346">
        <v>0.51</v>
      </c>
      <c r="BA59" s="346">
        <v>6</v>
      </c>
      <c r="BB59" s="346">
        <v>-31.54</v>
      </c>
      <c r="BC59" s="346">
        <v>-18.649999999999999</v>
      </c>
      <c r="BD59" s="346">
        <v>-8.18</v>
      </c>
      <c r="BE59" s="346">
        <v>-11.18</v>
      </c>
      <c r="BF59" s="346">
        <v>0.71</v>
      </c>
      <c r="BG59" s="346">
        <v>-4.13</v>
      </c>
      <c r="BH59" s="346">
        <v>30.41</v>
      </c>
      <c r="BI59" s="346">
        <v>0.35</v>
      </c>
      <c r="BJ59" s="346">
        <v>4.97</v>
      </c>
      <c r="BK59" s="346">
        <v>-25.46</v>
      </c>
      <c r="BL59" s="346">
        <v>-12.3</v>
      </c>
      <c r="BM59" s="346">
        <v>-10.5</v>
      </c>
      <c r="BN59" s="346">
        <v>65.760000000000005</v>
      </c>
      <c r="BO59" s="346">
        <v>-24.59</v>
      </c>
      <c r="BP59" s="346">
        <v>-477.25</v>
      </c>
      <c r="BQ59" s="346">
        <v>26.57</v>
      </c>
      <c r="BR59" s="346">
        <v>66.38</v>
      </c>
      <c r="BS59" s="346">
        <v>160.07</v>
      </c>
      <c r="BT59" s="346">
        <v>-4.67</v>
      </c>
      <c r="BU59" s="346">
        <v>-10.87</v>
      </c>
      <c r="BV59" s="346">
        <v>-63.84</v>
      </c>
      <c r="BW59" s="346">
        <v>88.69</v>
      </c>
      <c r="BX59" s="346">
        <v>-19.43</v>
      </c>
      <c r="BY59" s="346">
        <v>-352.42</v>
      </c>
      <c r="BZ59" s="346">
        <v>70.8</v>
      </c>
      <c r="CA59" s="346">
        <v>61.76</v>
      </c>
      <c r="CB59" s="346">
        <v>181.88</v>
      </c>
      <c r="CC59" s="346">
        <v>-4.91</v>
      </c>
      <c r="CD59" s="346">
        <v>-9.4</v>
      </c>
      <c r="CE59" s="346">
        <v>-110.7</v>
      </c>
      <c r="CF59" s="346">
        <v>26.69</v>
      </c>
      <c r="CG59" s="346">
        <v>18.77</v>
      </c>
      <c r="CH59" s="346">
        <v>59.68</v>
      </c>
      <c r="CI59" s="346">
        <v>96.03</v>
      </c>
      <c r="CJ59" s="346">
        <v>88.95</v>
      </c>
      <c r="CK59" s="346">
        <v>67.19</v>
      </c>
      <c r="CL59" s="346">
        <v>97.82</v>
      </c>
      <c r="CM59" s="346">
        <v>93.45</v>
      </c>
      <c r="CN59" s="346">
        <v>84.44</v>
      </c>
      <c r="CO59" s="346">
        <v>3.61</v>
      </c>
      <c r="CP59" s="346">
        <v>-3.79</v>
      </c>
      <c r="CQ59" s="346">
        <v>823.28</v>
      </c>
      <c r="CR59" s="346">
        <v>67.02</v>
      </c>
      <c r="CS59" s="346">
        <v>8.84</v>
      </c>
      <c r="CT59" s="346">
        <v>74.87</v>
      </c>
      <c r="CU59" s="346">
        <v>244.81</v>
      </c>
      <c r="CV59" s="346">
        <v>21.14</v>
      </c>
      <c r="CW59" s="346">
        <v>653858910.92999995</v>
      </c>
    </row>
    <row r="60" spans="1:101" x14ac:dyDescent="0.25">
      <c r="A60" s="346" t="str">
        <f>VLOOKUP(B60,'Loan Book Summary'!C:G,5,FALSE)</f>
        <v>0018e000003CQVk</v>
      </c>
      <c r="B60" s="346">
        <v>1300000002</v>
      </c>
      <c r="C60" s="346" t="s">
        <v>1889</v>
      </c>
      <c r="D60" s="346" t="s">
        <v>1889</v>
      </c>
      <c r="E60" s="346">
        <v>2022</v>
      </c>
      <c r="F60" s="346">
        <v>6</v>
      </c>
      <c r="G60" s="346">
        <v>1069.142488</v>
      </c>
      <c r="H60" s="346" t="s">
        <v>1889</v>
      </c>
      <c r="I60" s="346" t="s">
        <v>1889</v>
      </c>
      <c r="J60" s="346">
        <v>2661.67544</v>
      </c>
      <c r="K60" s="346">
        <v>1984.734152</v>
      </c>
      <c r="L60" s="346">
        <v>-295.495</v>
      </c>
      <c r="M60" s="346" t="s">
        <v>1889</v>
      </c>
      <c r="N60" s="346">
        <v>-305.14699999999999</v>
      </c>
      <c r="O60" s="346">
        <v>-305.14699999999999</v>
      </c>
      <c r="P60" s="346">
        <v>1412.9860000000001</v>
      </c>
      <c r="Q60" s="346">
        <v>1241.978098</v>
      </c>
      <c r="R60" s="346">
        <v>1141.5029919999999</v>
      </c>
      <c r="S60" s="346">
        <v>25.868040879999999</v>
      </c>
      <c r="T60" s="346" t="s">
        <v>1889</v>
      </c>
      <c r="U60" s="346">
        <v>790.89441260000001</v>
      </c>
      <c r="V60" s="346">
        <v>632.71553010000002</v>
      </c>
      <c r="W60" s="346">
        <v>565.85447190000002</v>
      </c>
      <c r="X60" s="346" t="s">
        <v>101</v>
      </c>
      <c r="Y60" s="346">
        <v>88910</v>
      </c>
      <c r="Z60" s="346">
        <v>5</v>
      </c>
      <c r="AA60" s="346" t="s">
        <v>996</v>
      </c>
      <c r="AB60" s="346" t="s">
        <v>115</v>
      </c>
      <c r="AC60" s="346" t="s">
        <v>115</v>
      </c>
      <c r="AD60" s="347">
        <v>0.17730000000000001</v>
      </c>
      <c r="AE60" s="347">
        <v>0.1187</v>
      </c>
      <c r="AF60" s="346">
        <v>0.36</v>
      </c>
      <c r="AG60" s="346">
        <v>0.76</v>
      </c>
      <c r="AH60" s="346">
        <v>1.17</v>
      </c>
      <c r="AI60" s="346">
        <v>1.59</v>
      </c>
      <c r="AJ60" s="346">
        <v>2.0099999999999998</v>
      </c>
      <c r="AK60" s="347">
        <v>3.5999999999999999E-3</v>
      </c>
      <c r="AL60" s="347">
        <v>4.0000000000000001E-3</v>
      </c>
      <c r="AM60" s="347">
        <v>4.1000000000000003E-3</v>
      </c>
      <c r="AN60" s="347">
        <v>4.1999999999999997E-3</v>
      </c>
      <c r="AO60" s="347">
        <v>4.3E-3</v>
      </c>
      <c r="AP60" s="347">
        <v>3.5999999999999999E-3</v>
      </c>
      <c r="AQ60" s="347">
        <v>3.8E-3</v>
      </c>
      <c r="AR60" s="347">
        <v>3.8999999999999998E-3</v>
      </c>
      <c r="AS60" s="347">
        <v>4.0000000000000001E-3</v>
      </c>
      <c r="AT60" s="347">
        <v>4.1000000000000003E-3</v>
      </c>
      <c r="AU60" s="347">
        <v>2.01E-2</v>
      </c>
      <c r="AV60" s="346">
        <v>-34.32</v>
      </c>
      <c r="AW60" s="346" t="s">
        <v>1889</v>
      </c>
      <c r="AX60" s="346" t="s">
        <v>1889</v>
      </c>
      <c r="AY60" s="346">
        <v>-7.12</v>
      </c>
      <c r="AZ60" s="346">
        <v>7.37</v>
      </c>
      <c r="BA60" s="346">
        <v>-23.95</v>
      </c>
      <c r="BB60" s="346" t="s">
        <v>1889</v>
      </c>
      <c r="BC60" s="346">
        <v>-25.04</v>
      </c>
      <c r="BD60" s="346">
        <v>-2.2000000000000002</v>
      </c>
      <c r="BE60" s="346">
        <v>-36.880000000000003</v>
      </c>
      <c r="BF60" s="346" t="s">
        <v>1889</v>
      </c>
      <c r="BG60" s="346" t="s">
        <v>1889</v>
      </c>
      <c r="BH60" s="346">
        <v>-15.38</v>
      </c>
      <c r="BI60" s="346">
        <v>5.49</v>
      </c>
      <c r="BJ60" s="346">
        <v>-21.4</v>
      </c>
      <c r="BK60" s="346" t="s">
        <v>1889</v>
      </c>
      <c r="BL60" s="346">
        <v>-17.809999999999999</v>
      </c>
      <c r="BM60" s="346">
        <v>-3.04</v>
      </c>
      <c r="BN60" s="346">
        <v>178.46</v>
      </c>
      <c r="BO60" s="346">
        <v>0</v>
      </c>
      <c r="BP60" s="346">
        <v>0</v>
      </c>
      <c r="BQ60" s="346">
        <v>13.11</v>
      </c>
      <c r="BR60" s="346">
        <v>-58.07</v>
      </c>
      <c r="BS60" s="346">
        <v>36.729999999999997</v>
      </c>
      <c r="BT60" s="346">
        <v>0</v>
      </c>
      <c r="BU60" s="346">
        <v>-0.73</v>
      </c>
      <c r="BV60" s="346">
        <v>-312.89</v>
      </c>
      <c r="BW60" s="346">
        <v>152.94</v>
      </c>
      <c r="BX60" s="346">
        <v>0</v>
      </c>
      <c r="BY60" s="346">
        <v>0</v>
      </c>
      <c r="BZ60" s="346">
        <v>21.86</v>
      </c>
      <c r="CA60" s="346">
        <v>-32.92</v>
      </c>
      <c r="CB60" s="346">
        <v>25.31</v>
      </c>
      <c r="CC60" s="346">
        <v>0</v>
      </c>
      <c r="CD60" s="346">
        <v>-0.31</v>
      </c>
      <c r="CE60" s="346">
        <v>-366.65</v>
      </c>
      <c r="CF60" s="346">
        <v>2</v>
      </c>
      <c r="CG60" s="346" t="s">
        <v>1889</v>
      </c>
      <c r="CH60" s="346" t="s">
        <v>1889</v>
      </c>
      <c r="CI60" s="346">
        <v>60.43</v>
      </c>
      <c r="CJ60" s="346">
        <v>19.71</v>
      </c>
      <c r="CK60" s="346">
        <v>31.5</v>
      </c>
      <c r="CL60" s="346" t="s">
        <v>1889</v>
      </c>
      <c r="CM60" s="346">
        <v>99.37</v>
      </c>
      <c r="CN60" s="346">
        <v>46.1</v>
      </c>
      <c r="CO60" s="346">
        <v>-23.79</v>
      </c>
      <c r="CP60" s="346" t="s">
        <v>1889</v>
      </c>
      <c r="CQ60" s="346" t="s">
        <v>1889</v>
      </c>
      <c r="CR60" s="346">
        <v>8.8000000000000007</v>
      </c>
      <c r="CS60" s="346">
        <v>-6.84</v>
      </c>
      <c r="CT60" s="346">
        <v>47.01</v>
      </c>
      <c r="CU60" s="346" t="s">
        <v>1889</v>
      </c>
      <c r="CV60" s="346">
        <v>50.94</v>
      </c>
      <c r="CW60" s="346">
        <v>120502694.56999999</v>
      </c>
    </row>
    <row r="61" spans="1:101" x14ac:dyDescent="0.25">
      <c r="A61" s="346" t="str">
        <f>VLOOKUP(B61,'Loan Book Summary'!C:G,5,FALSE)</f>
        <v>0018e000003COuL</v>
      </c>
      <c r="B61" s="346">
        <v>1100000266</v>
      </c>
      <c r="C61" s="346" t="s">
        <v>1889</v>
      </c>
      <c r="D61" s="346" t="s">
        <v>1889</v>
      </c>
      <c r="E61" s="346">
        <v>2022</v>
      </c>
      <c r="F61" s="346">
        <v>6</v>
      </c>
      <c r="G61" s="346">
        <v>4816.0033750000002</v>
      </c>
      <c r="H61" s="346">
        <v>13158</v>
      </c>
      <c r="I61" s="346">
        <v>13158</v>
      </c>
      <c r="J61" s="346">
        <v>30332.65208</v>
      </c>
      <c r="K61" s="346">
        <v>27141.6469</v>
      </c>
      <c r="L61" s="346">
        <v>5434.5</v>
      </c>
      <c r="M61" s="346" t="s">
        <v>1889</v>
      </c>
      <c r="N61" s="346">
        <v>10869</v>
      </c>
      <c r="O61" s="346">
        <v>10869</v>
      </c>
      <c r="P61" s="346">
        <v>12800</v>
      </c>
      <c r="Q61" s="346">
        <v>44787.785000000003</v>
      </c>
      <c r="R61" s="346">
        <v>36024.957499999997</v>
      </c>
      <c r="S61" s="346">
        <v>52.601816249999999</v>
      </c>
      <c r="T61" s="346" t="s">
        <v>1889</v>
      </c>
      <c r="U61" s="346">
        <v>5706.7551839999996</v>
      </c>
      <c r="V61" s="346">
        <v>4565.4041470000002</v>
      </c>
      <c r="W61" s="346">
        <v>564.59568000000002</v>
      </c>
      <c r="X61" s="346" t="s">
        <v>101</v>
      </c>
      <c r="Y61" s="346">
        <v>33190</v>
      </c>
      <c r="Z61" s="346">
        <v>5</v>
      </c>
      <c r="AA61" s="346" t="s">
        <v>996</v>
      </c>
      <c r="AB61" s="346" t="s">
        <v>114</v>
      </c>
      <c r="AC61" s="346" t="s">
        <v>114</v>
      </c>
      <c r="AD61" s="347">
        <v>0.30530000000000002</v>
      </c>
      <c r="AE61" s="347">
        <v>0.2863</v>
      </c>
      <c r="AF61" s="347">
        <v>0.59</v>
      </c>
      <c r="AG61" s="347">
        <v>1.29</v>
      </c>
      <c r="AH61" s="347">
        <v>2.04</v>
      </c>
      <c r="AI61" s="347">
        <v>2.82</v>
      </c>
      <c r="AJ61" s="347">
        <v>3.62</v>
      </c>
      <c r="AK61" s="347">
        <v>5.8999999999999999E-3</v>
      </c>
      <c r="AL61" s="347">
        <v>7.1000000000000004E-3</v>
      </c>
      <c r="AM61" s="347">
        <v>7.6E-3</v>
      </c>
      <c r="AN61" s="347">
        <v>7.9000000000000008E-3</v>
      </c>
      <c r="AO61" s="347">
        <v>8.2000000000000007E-3</v>
      </c>
      <c r="AP61" s="347">
        <v>5.8999999999999999E-3</v>
      </c>
      <c r="AQ61" s="347">
        <v>6.4999999999999997E-3</v>
      </c>
      <c r="AR61" s="347">
        <v>6.8999999999999999E-3</v>
      </c>
      <c r="AS61" s="347">
        <v>7.1000000000000004E-3</v>
      </c>
      <c r="AT61" s="347">
        <v>7.3000000000000001E-3</v>
      </c>
      <c r="AU61" s="347">
        <v>3.6200000000000003E-2</v>
      </c>
      <c r="AV61" s="347">
        <v>10.79</v>
      </c>
      <c r="AW61" s="347">
        <v>4.92</v>
      </c>
      <c r="AX61" s="347" t="s">
        <v>1889</v>
      </c>
      <c r="AY61" s="347">
        <v>1.44</v>
      </c>
      <c r="AZ61" s="347">
        <v>3.12</v>
      </c>
      <c r="BA61" s="347">
        <v>-15.56</v>
      </c>
      <c r="BB61" s="347">
        <v>-23.41</v>
      </c>
      <c r="BC61" s="347">
        <v>-18.38</v>
      </c>
      <c r="BD61" s="347">
        <v>-22.39</v>
      </c>
      <c r="BE61" s="347">
        <v>11.77</v>
      </c>
      <c r="BF61" s="347">
        <v>3.2</v>
      </c>
      <c r="BG61" s="347" t="s">
        <v>1889</v>
      </c>
      <c r="BH61" s="347">
        <v>3.15</v>
      </c>
      <c r="BI61" s="347">
        <v>2.36</v>
      </c>
      <c r="BJ61" s="347">
        <v>-14.11</v>
      </c>
      <c r="BK61" s="347">
        <v>-20.69</v>
      </c>
      <c r="BL61" s="347">
        <v>-13.27</v>
      </c>
      <c r="BM61" s="347">
        <v>-31.45</v>
      </c>
      <c r="BN61" s="347">
        <v>157.1</v>
      </c>
      <c r="BO61" s="347">
        <v>-16.73</v>
      </c>
      <c r="BP61" s="347">
        <v>0</v>
      </c>
      <c r="BQ61" s="347">
        <v>100.92</v>
      </c>
      <c r="BR61" s="347">
        <v>103.9</v>
      </c>
      <c r="BS61" s="347">
        <v>146.83000000000001</v>
      </c>
      <c r="BT61" s="347">
        <v>-167.04</v>
      </c>
      <c r="BU61" s="347">
        <v>-71.12</v>
      </c>
      <c r="BV61" s="347">
        <v>-36.369999999999997</v>
      </c>
      <c r="BW61" s="347">
        <v>158.36000000000001</v>
      </c>
      <c r="BX61" s="347">
        <v>-10.06</v>
      </c>
      <c r="BY61" s="347">
        <v>0</v>
      </c>
      <c r="BZ61" s="347">
        <v>204.57</v>
      </c>
      <c r="CA61" s="347">
        <v>72.94</v>
      </c>
      <c r="CB61" s="347">
        <v>122.91</v>
      </c>
      <c r="CC61" s="347">
        <v>-136.34</v>
      </c>
      <c r="CD61" s="347">
        <v>-47.35</v>
      </c>
      <c r="CE61" s="347">
        <v>-47.46</v>
      </c>
      <c r="CF61" s="347">
        <v>73.2</v>
      </c>
      <c r="CG61" s="347">
        <v>10.74</v>
      </c>
      <c r="CH61" s="347" t="s">
        <v>1889</v>
      </c>
      <c r="CI61" s="347">
        <v>82.14</v>
      </c>
      <c r="CJ61" s="347">
        <v>90.03</v>
      </c>
      <c r="CK61" s="347">
        <v>43.73</v>
      </c>
      <c r="CL61" s="347">
        <v>76.349999999999994</v>
      </c>
      <c r="CM61" s="347">
        <v>82.58</v>
      </c>
      <c r="CN61" s="347">
        <v>94.73</v>
      </c>
      <c r="CO61" s="346">
        <v>12.13</v>
      </c>
      <c r="CP61" s="346">
        <v>-7.15</v>
      </c>
      <c r="CQ61" s="346" t="s">
        <v>1889</v>
      </c>
      <c r="CR61" s="346">
        <v>24.32</v>
      </c>
      <c r="CS61" s="346">
        <v>9.6</v>
      </c>
      <c r="CT61" s="346">
        <v>57.45</v>
      </c>
      <c r="CU61" s="346">
        <v>44.31</v>
      </c>
      <c r="CV61" s="346">
        <v>10.19</v>
      </c>
      <c r="CW61" s="346">
        <v>2106874677.29</v>
      </c>
    </row>
    <row r="62" spans="1:101" x14ac:dyDescent="0.25">
      <c r="A62" s="346"/>
      <c r="B62" s="346"/>
      <c r="C62" s="346"/>
      <c r="D62" s="346"/>
      <c r="E62" s="346"/>
      <c r="F62" s="346"/>
      <c r="G62" s="346"/>
      <c r="H62" s="346"/>
      <c r="I62" s="346"/>
      <c r="J62" s="346"/>
      <c r="K62" s="346"/>
      <c r="L62" s="346"/>
      <c r="M62" s="346"/>
      <c r="N62" s="346"/>
      <c r="O62" s="346"/>
      <c r="P62" s="346"/>
      <c r="Q62" s="346"/>
      <c r="R62" s="346"/>
      <c r="S62" s="346"/>
      <c r="T62" s="346"/>
      <c r="U62" s="346"/>
      <c r="V62" s="346"/>
      <c r="W62" s="346"/>
      <c r="X62" s="346"/>
      <c r="Y62" s="346"/>
      <c r="Z62" s="346"/>
      <c r="AA62" s="346"/>
      <c r="AB62" s="346"/>
      <c r="AC62" s="346"/>
      <c r="AD62" s="347"/>
      <c r="AE62" s="347"/>
      <c r="AF62" s="347"/>
      <c r="AG62" s="347"/>
      <c r="AH62" s="347"/>
      <c r="AI62" s="347"/>
      <c r="AJ62" s="347"/>
      <c r="AK62" s="347"/>
      <c r="AL62" s="347"/>
      <c r="AM62" s="347"/>
      <c r="AN62" s="347"/>
      <c r="AO62" s="347"/>
      <c r="AP62" s="347"/>
      <c r="AQ62" s="347"/>
      <c r="AR62" s="347"/>
      <c r="AS62" s="347"/>
      <c r="AT62" s="347"/>
      <c r="AU62" s="347"/>
      <c r="AV62" s="347"/>
      <c r="AW62" s="347"/>
      <c r="AX62" s="347"/>
      <c r="AY62" s="347"/>
      <c r="AZ62" s="347"/>
      <c r="BA62" s="347"/>
      <c r="BB62" s="347"/>
      <c r="BC62" s="347"/>
      <c r="BD62" s="347"/>
      <c r="BE62" s="347"/>
      <c r="BF62" s="347"/>
      <c r="BG62" s="347"/>
      <c r="BH62" s="347"/>
      <c r="BI62" s="347"/>
      <c r="BJ62" s="347"/>
      <c r="BK62" s="347"/>
      <c r="BL62" s="347"/>
      <c r="BM62" s="347"/>
      <c r="BN62" s="347"/>
      <c r="BO62" s="347"/>
      <c r="BP62" s="347"/>
      <c r="BQ62" s="347"/>
      <c r="BR62" s="347"/>
      <c r="BS62" s="347"/>
      <c r="BT62" s="347"/>
      <c r="BU62" s="347"/>
      <c r="BV62" s="347"/>
      <c r="BW62" s="347"/>
      <c r="BX62" s="347"/>
      <c r="BY62" s="347"/>
      <c r="BZ62" s="347"/>
      <c r="CA62" s="347"/>
      <c r="CB62" s="347"/>
      <c r="CC62" s="347"/>
      <c r="CD62" s="347"/>
      <c r="CE62" s="347"/>
      <c r="CF62" s="347"/>
      <c r="CG62" s="347"/>
      <c r="CH62" s="347"/>
      <c r="CI62" s="347"/>
      <c r="CJ62" s="347"/>
      <c r="CK62" s="347"/>
      <c r="CL62" s="347"/>
      <c r="CM62" s="347"/>
      <c r="CN62" s="347"/>
      <c r="CO62" s="346"/>
      <c r="CP62" s="346"/>
      <c r="CQ62" s="346"/>
      <c r="CR62" s="346"/>
      <c r="CS62" s="346"/>
      <c r="CT62" s="346"/>
      <c r="CU62" s="346"/>
      <c r="CV62" s="346"/>
      <c r="CW62" s="346"/>
    </row>
    <row r="63" spans="1:101" x14ac:dyDescent="0.25">
      <c r="A63" s="346"/>
      <c r="B63" s="346"/>
      <c r="C63" s="346"/>
      <c r="D63" s="346"/>
      <c r="E63" s="346"/>
      <c r="F63" s="346"/>
      <c r="G63" s="346"/>
      <c r="H63" s="346"/>
      <c r="I63" s="346"/>
      <c r="J63" s="346"/>
      <c r="K63" s="346"/>
      <c r="L63" s="346"/>
      <c r="M63" s="346"/>
      <c r="N63" s="346"/>
      <c r="O63" s="346"/>
      <c r="P63" s="346"/>
      <c r="Q63" s="346"/>
      <c r="R63" s="346"/>
      <c r="S63" s="346"/>
      <c r="T63" s="346"/>
      <c r="U63" s="346"/>
      <c r="V63" s="346"/>
      <c r="W63" s="346"/>
      <c r="X63" s="346"/>
      <c r="Y63" s="346"/>
      <c r="Z63" s="346"/>
      <c r="AA63" s="346"/>
      <c r="AB63" s="346"/>
      <c r="AC63" s="346"/>
      <c r="AD63" s="347"/>
      <c r="AE63" s="347"/>
      <c r="AF63" s="347"/>
      <c r="AG63" s="347"/>
      <c r="AH63" s="347"/>
      <c r="AI63" s="347"/>
      <c r="AJ63" s="347"/>
      <c r="AK63" s="347"/>
      <c r="AL63" s="347"/>
      <c r="AM63" s="347"/>
      <c r="AN63" s="347"/>
      <c r="AO63" s="347"/>
      <c r="AP63" s="347"/>
      <c r="AQ63" s="347"/>
      <c r="AR63" s="347"/>
      <c r="AS63" s="347"/>
      <c r="AT63" s="347"/>
      <c r="AU63" s="347"/>
      <c r="AV63" s="347"/>
      <c r="AW63" s="347"/>
      <c r="AX63" s="347"/>
      <c r="AY63" s="347"/>
      <c r="AZ63" s="347"/>
      <c r="BA63" s="347"/>
      <c r="BB63" s="347"/>
      <c r="BC63" s="347"/>
      <c r="BD63" s="347"/>
      <c r="BE63" s="347"/>
      <c r="BF63" s="347"/>
      <c r="BG63" s="347"/>
      <c r="BH63" s="347"/>
      <c r="BI63" s="347"/>
      <c r="BJ63" s="347"/>
      <c r="BK63" s="347"/>
      <c r="BL63" s="347"/>
      <c r="BM63" s="347"/>
      <c r="BN63" s="347"/>
      <c r="BO63" s="347"/>
      <c r="BP63" s="347"/>
      <c r="BQ63" s="347"/>
      <c r="BR63" s="347"/>
      <c r="BS63" s="347"/>
      <c r="BT63" s="347"/>
      <c r="BU63" s="347"/>
      <c r="BV63" s="347"/>
      <c r="BW63" s="347"/>
      <c r="BX63" s="347"/>
      <c r="BY63" s="347"/>
      <c r="BZ63" s="347"/>
      <c r="CA63" s="347"/>
      <c r="CB63" s="347"/>
      <c r="CC63" s="347"/>
      <c r="CD63" s="347"/>
      <c r="CE63" s="347"/>
      <c r="CF63" s="347"/>
      <c r="CG63" s="347"/>
      <c r="CH63" s="347"/>
      <c r="CI63" s="347"/>
      <c r="CJ63" s="347"/>
      <c r="CK63" s="347"/>
      <c r="CL63" s="347"/>
      <c r="CM63" s="347"/>
      <c r="CN63" s="347"/>
      <c r="CO63" s="346"/>
      <c r="CP63" s="346"/>
      <c r="CQ63" s="346"/>
      <c r="CR63" s="346"/>
      <c r="CS63" s="346"/>
      <c r="CT63" s="346"/>
      <c r="CU63" s="346"/>
      <c r="CV63" s="346"/>
      <c r="CW63" s="346"/>
    </row>
    <row r="64" spans="1:101" x14ac:dyDescent="0.25">
      <c r="A64" s="346"/>
      <c r="B64" s="346"/>
      <c r="C64" s="346"/>
      <c r="D64" s="346"/>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6"/>
      <c r="AC64" s="346"/>
      <c r="AD64" s="347"/>
      <c r="AE64" s="347"/>
      <c r="AF64" s="347"/>
      <c r="AG64" s="347"/>
      <c r="AH64" s="347"/>
      <c r="AI64" s="347"/>
      <c r="AJ64" s="347"/>
      <c r="AK64" s="347"/>
      <c r="AL64" s="347"/>
      <c r="AM64" s="347"/>
      <c r="AN64" s="347"/>
      <c r="AO64" s="347"/>
      <c r="AP64" s="347"/>
      <c r="AQ64" s="347"/>
      <c r="AR64" s="347"/>
      <c r="AS64" s="347"/>
      <c r="AT64" s="347"/>
      <c r="AU64" s="347"/>
      <c r="AV64" s="347"/>
      <c r="AW64" s="347"/>
      <c r="AX64" s="347"/>
      <c r="AY64" s="347"/>
      <c r="AZ64" s="347"/>
      <c r="BA64" s="347"/>
      <c r="BB64" s="346"/>
      <c r="BC64" s="347"/>
      <c r="BD64" s="347"/>
      <c r="BE64" s="347"/>
      <c r="BF64" s="347"/>
      <c r="BG64" s="347"/>
      <c r="BH64" s="347"/>
      <c r="BI64" s="347"/>
      <c r="BJ64" s="347"/>
      <c r="BK64" s="346"/>
      <c r="BL64" s="347"/>
      <c r="BM64" s="347"/>
      <c r="BN64" s="347"/>
      <c r="BO64" s="347"/>
      <c r="BP64" s="347"/>
      <c r="BQ64" s="347"/>
      <c r="BR64" s="347"/>
      <c r="BS64" s="347"/>
      <c r="BT64" s="347"/>
      <c r="BU64" s="347"/>
      <c r="BV64" s="347"/>
      <c r="BW64" s="347"/>
      <c r="BX64" s="347"/>
      <c r="BY64" s="347"/>
      <c r="BZ64" s="347"/>
      <c r="CA64" s="347"/>
      <c r="CB64" s="347"/>
      <c r="CC64" s="347"/>
      <c r="CD64" s="347"/>
      <c r="CE64" s="347"/>
      <c r="CF64" s="347"/>
      <c r="CG64" s="347"/>
      <c r="CH64" s="347"/>
      <c r="CI64" s="347"/>
      <c r="CJ64" s="347"/>
      <c r="CK64" s="347"/>
      <c r="CL64" s="346"/>
      <c r="CM64" s="347"/>
      <c r="CN64" s="347"/>
      <c r="CO64" s="346"/>
      <c r="CP64" s="346"/>
      <c r="CQ64" s="346"/>
      <c r="CR64" s="346"/>
      <c r="CS64" s="346"/>
      <c r="CT64" s="346"/>
      <c r="CU64" s="346"/>
      <c r="CV64" s="346"/>
      <c r="CW64" s="346"/>
    </row>
    <row r="65" spans="1:101" x14ac:dyDescent="0.25">
      <c r="A65" s="346"/>
      <c r="B65" s="346"/>
      <c r="C65" s="346"/>
      <c r="D65" s="346"/>
      <c r="E65" s="346"/>
      <c r="F65" s="346"/>
      <c r="G65" s="346"/>
      <c r="H65" s="346"/>
      <c r="I65" s="346"/>
      <c r="J65" s="346"/>
      <c r="K65" s="346"/>
      <c r="L65" s="346"/>
      <c r="M65" s="346"/>
      <c r="N65" s="346"/>
      <c r="O65" s="346"/>
      <c r="P65" s="346"/>
      <c r="Q65" s="346"/>
      <c r="R65" s="346"/>
      <c r="S65" s="346"/>
      <c r="T65" s="346"/>
      <c r="U65" s="346"/>
      <c r="V65" s="346"/>
      <c r="W65" s="346"/>
      <c r="X65" s="346"/>
      <c r="Y65" s="346"/>
      <c r="Z65" s="346"/>
      <c r="AA65" s="346"/>
      <c r="AB65" s="346"/>
      <c r="AC65" s="346"/>
      <c r="AD65" s="347"/>
      <c r="AE65" s="347"/>
      <c r="AF65" s="347"/>
      <c r="AG65" s="347"/>
      <c r="AH65" s="347"/>
      <c r="AI65" s="347"/>
      <c r="AJ65" s="347"/>
      <c r="AK65" s="347"/>
      <c r="AL65" s="347"/>
      <c r="AM65" s="347"/>
      <c r="AN65" s="347"/>
      <c r="AO65" s="347"/>
      <c r="AP65" s="347"/>
      <c r="AQ65" s="347"/>
      <c r="AR65" s="347"/>
      <c r="AS65" s="347"/>
      <c r="AT65" s="347"/>
      <c r="AU65" s="347"/>
      <c r="AV65" s="347"/>
      <c r="AW65" s="347"/>
      <c r="AX65" s="347"/>
      <c r="AY65" s="347"/>
      <c r="AZ65" s="347"/>
      <c r="BA65" s="347"/>
      <c r="BB65" s="346"/>
      <c r="BC65" s="347"/>
      <c r="BD65" s="347"/>
      <c r="BE65" s="347"/>
      <c r="BF65" s="347"/>
      <c r="BG65" s="347"/>
      <c r="BH65" s="347"/>
      <c r="BI65" s="347"/>
      <c r="BJ65" s="347"/>
      <c r="BK65" s="346"/>
      <c r="BL65" s="347"/>
      <c r="BM65" s="347"/>
      <c r="BN65" s="347"/>
      <c r="BO65" s="347"/>
      <c r="BP65" s="347"/>
      <c r="BQ65" s="347"/>
      <c r="BR65" s="347"/>
      <c r="BS65" s="347"/>
      <c r="BT65" s="347"/>
      <c r="BU65" s="347"/>
      <c r="BV65" s="347"/>
      <c r="BW65" s="347"/>
      <c r="BX65" s="347"/>
      <c r="BY65" s="347"/>
      <c r="BZ65" s="347"/>
      <c r="CA65" s="347"/>
      <c r="CB65" s="347"/>
      <c r="CC65" s="347"/>
      <c r="CD65" s="347"/>
      <c r="CE65" s="347"/>
      <c r="CF65" s="347"/>
      <c r="CG65" s="347"/>
      <c r="CH65" s="347"/>
      <c r="CI65" s="347"/>
      <c r="CJ65" s="347"/>
      <c r="CK65" s="347"/>
      <c r="CL65" s="346"/>
      <c r="CM65" s="347"/>
      <c r="CN65" s="347"/>
      <c r="CO65" s="346"/>
      <c r="CP65" s="346"/>
      <c r="CQ65" s="346"/>
      <c r="CR65" s="346"/>
      <c r="CS65" s="346"/>
      <c r="CT65" s="346"/>
      <c r="CU65" s="346"/>
      <c r="CV65" s="346"/>
      <c r="CW65" s="346"/>
    </row>
    <row r="66" spans="1:101" x14ac:dyDescent="0.25">
      <c r="A66" s="346"/>
      <c r="B66" s="346"/>
      <c r="C66" s="346"/>
      <c r="D66" s="346"/>
      <c r="E66" s="346"/>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6"/>
      <c r="AD66" s="347"/>
      <c r="AE66" s="347"/>
      <c r="AF66" s="347"/>
      <c r="AG66" s="347"/>
      <c r="AH66" s="347"/>
      <c r="AI66" s="347"/>
      <c r="AJ66" s="347"/>
      <c r="AK66" s="347"/>
      <c r="AL66" s="347"/>
      <c r="AM66" s="347"/>
      <c r="AN66" s="347"/>
      <c r="AO66" s="347"/>
      <c r="AP66" s="347"/>
      <c r="AQ66" s="347"/>
      <c r="AR66" s="347"/>
      <c r="AS66" s="347"/>
      <c r="AT66" s="347"/>
      <c r="AU66" s="347"/>
      <c r="AV66" s="347"/>
      <c r="AW66" s="347"/>
      <c r="AX66" s="347"/>
      <c r="AY66" s="347"/>
      <c r="AZ66" s="347"/>
      <c r="BA66" s="347"/>
      <c r="BB66" s="346"/>
      <c r="BC66" s="347"/>
      <c r="BD66" s="347"/>
      <c r="BE66" s="347"/>
      <c r="BF66" s="347"/>
      <c r="BG66" s="347"/>
      <c r="BH66" s="347"/>
      <c r="BI66" s="347"/>
      <c r="BJ66" s="347"/>
      <c r="BK66" s="346"/>
      <c r="BL66" s="347"/>
      <c r="BM66" s="347"/>
      <c r="BN66" s="347"/>
      <c r="BO66" s="347"/>
      <c r="BP66" s="347"/>
      <c r="BQ66" s="347"/>
      <c r="BR66" s="347"/>
      <c r="BS66" s="347"/>
      <c r="BT66" s="347"/>
      <c r="BU66" s="347"/>
      <c r="BV66" s="347"/>
      <c r="BW66" s="347"/>
      <c r="BX66" s="347"/>
      <c r="BY66" s="347"/>
      <c r="BZ66" s="347"/>
      <c r="CA66" s="347"/>
      <c r="CB66" s="347"/>
      <c r="CC66" s="347"/>
      <c r="CD66" s="347"/>
      <c r="CE66" s="347"/>
      <c r="CF66" s="347"/>
      <c r="CG66" s="347"/>
      <c r="CH66" s="347"/>
      <c r="CI66" s="347"/>
      <c r="CJ66" s="347"/>
      <c r="CK66" s="347"/>
      <c r="CL66" s="346"/>
      <c r="CM66" s="347"/>
      <c r="CN66" s="347"/>
      <c r="CO66" s="346"/>
      <c r="CP66" s="346"/>
      <c r="CQ66" s="346"/>
      <c r="CR66" s="346"/>
      <c r="CS66" s="346"/>
      <c r="CT66" s="346"/>
      <c r="CU66" s="346"/>
      <c r="CV66" s="346"/>
      <c r="CW66" s="346"/>
    </row>
    <row r="67" spans="1:101" x14ac:dyDescent="0.25">
      <c r="A67" s="346"/>
      <c r="B67" s="346"/>
      <c r="C67" s="346"/>
      <c r="D67" s="346"/>
      <c r="E67" s="346"/>
      <c r="F67" s="346"/>
      <c r="G67" s="346"/>
      <c r="H67" s="346"/>
      <c r="I67" s="346"/>
      <c r="J67" s="346"/>
      <c r="K67" s="346"/>
      <c r="L67" s="346"/>
      <c r="M67" s="346"/>
      <c r="N67" s="346"/>
      <c r="O67" s="346"/>
      <c r="P67" s="346"/>
      <c r="Q67" s="346"/>
      <c r="R67" s="346"/>
      <c r="S67" s="346"/>
      <c r="T67" s="346"/>
      <c r="U67" s="346"/>
      <c r="V67" s="346"/>
      <c r="W67" s="346"/>
      <c r="X67" s="346"/>
      <c r="Y67" s="346"/>
      <c r="Z67" s="346"/>
      <c r="AA67" s="346"/>
      <c r="AB67" s="346"/>
      <c r="AC67" s="346"/>
      <c r="AD67" s="347"/>
      <c r="AE67" s="347"/>
      <c r="AF67" s="347"/>
      <c r="AG67" s="347"/>
      <c r="AH67" s="347"/>
      <c r="AI67" s="347"/>
      <c r="AJ67" s="347"/>
      <c r="AK67" s="347"/>
      <c r="AL67" s="347"/>
      <c r="AM67" s="347"/>
      <c r="AN67" s="347"/>
      <c r="AO67" s="347"/>
      <c r="AP67" s="347"/>
      <c r="AQ67" s="347"/>
      <c r="AR67" s="347"/>
      <c r="AS67" s="347"/>
      <c r="AT67" s="347"/>
      <c r="AU67" s="347"/>
      <c r="AV67" s="347"/>
      <c r="AW67" s="347"/>
      <c r="AX67" s="347"/>
      <c r="AY67" s="347"/>
      <c r="AZ67" s="347"/>
      <c r="BA67" s="347"/>
      <c r="BB67" s="346"/>
      <c r="BC67" s="347"/>
      <c r="BD67" s="347"/>
      <c r="BE67" s="347"/>
      <c r="BF67" s="347"/>
      <c r="BG67" s="347"/>
      <c r="BH67" s="347"/>
      <c r="BI67" s="347"/>
      <c r="BJ67" s="347"/>
      <c r="BK67" s="346"/>
      <c r="BL67" s="347"/>
      <c r="BM67" s="347"/>
      <c r="BN67" s="347"/>
      <c r="BO67" s="347"/>
      <c r="BP67" s="347"/>
      <c r="BQ67" s="347"/>
      <c r="BR67" s="347"/>
      <c r="BS67" s="347"/>
      <c r="BT67" s="347"/>
      <c r="BU67" s="347"/>
      <c r="BV67" s="347"/>
      <c r="BW67" s="347"/>
      <c r="BX67" s="347"/>
      <c r="BY67" s="347"/>
      <c r="BZ67" s="347"/>
      <c r="CA67" s="347"/>
      <c r="CB67" s="347"/>
      <c r="CC67" s="347"/>
      <c r="CD67" s="347"/>
      <c r="CE67" s="347"/>
      <c r="CF67" s="347"/>
      <c r="CG67" s="347"/>
      <c r="CH67" s="347"/>
      <c r="CI67" s="347"/>
      <c r="CJ67" s="347"/>
      <c r="CK67" s="347"/>
      <c r="CL67" s="346"/>
      <c r="CM67" s="347"/>
      <c r="CN67" s="347"/>
      <c r="CO67" s="346"/>
      <c r="CP67" s="346"/>
      <c r="CQ67" s="346"/>
      <c r="CR67" s="346"/>
      <c r="CS67" s="346"/>
      <c r="CT67" s="346"/>
      <c r="CU67" s="346"/>
      <c r="CV67" s="346"/>
      <c r="CW67" s="346"/>
    </row>
    <row r="68" spans="1:101" x14ac:dyDescent="0.25">
      <c r="A68" s="346"/>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7"/>
      <c r="AE68" s="347"/>
      <c r="AF68" s="347"/>
      <c r="AG68" s="347"/>
      <c r="AH68" s="347"/>
      <c r="AI68" s="347"/>
      <c r="AJ68" s="347"/>
      <c r="AK68" s="347"/>
      <c r="AL68" s="347"/>
      <c r="AM68" s="347"/>
      <c r="AN68" s="347"/>
      <c r="AO68" s="347"/>
      <c r="AP68" s="347"/>
      <c r="AQ68" s="347"/>
      <c r="AR68" s="347"/>
      <c r="AS68" s="347"/>
      <c r="AT68" s="347"/>
      <c r="AU68" s="347"/>
      <c r="AV68" s="347"/>
      <c r="AW68" s="347"/>
      <c r="AX68" s="347"/>
      <c r="AY68" s="347"/>
      <c r="AZ68" s="347"/>
      <c r="BA68" s="347"/>
      <c r="BB68" s="346"/>
      <c r="BC68" s="347"/>
      <c r="BD68" s="347"/>
      <c r="BE68" s="347"/>
      <c r="BF68" s="347"/>
      <c r="BG68" s="347"/>
      <c r="BH68" s="347"/>
      <c r="BI68" s="347"/>
      <c r="BJ68" s="347"/>
      <c r="BK68" s="346"/>
      <c r="BL68" s="347"/>
      <c r="BM68" s="347"/>
      <c r="BN68" s="347"/>
      <c r="BO68" s="347"/>
      <c r="BP68" s="347"/>
      <c r="BQ68" s="347"/>
      <c r="BR68" s="347"/>
      <c r="BS68" s="347"/>
      <c r="BT68" s="347"/>
      <c r="BU68" s="347"/>
      <c r="BV68" s="347"/>
      <c r="BW68" s="347"/>
      <c r="BX68" s="347"/>
      <c r="BY68" s="347"/>
      <c r="BZ68" s="347"/>
      <c r="CA68" s="347"/>
      <c r="CB68" s="347"/>
      <c r="CC68" s="347"/>
      <c r="CD68" s="347"/>
      <c r="CE68" s="347"/>
      <c r="CF68" s="347"/>
      <c r="CG68" s="347"/>
      <c r="CH68" s="347"/>
      <c r="CI68" s="347"/>
      <c r="CJ68" s="347"/>
      <c r="CK68" s="347"/>
      <c r="CL68" s="346"/>
      <c r="CM68" s="347"/>
      <c r="CN68" s="347"/>
      <c r="CO68" s="346"/>
      <c r="CP68" s="346"/>
      <c r="CQ68" s="346"/>
      <c r="CR68" s="346"/>
      <c r="CS68" s="346"/>
      <c r="CT68" s="346"/>
      <c r="CU68" s="346"/>
      <c r="CV68" s="346"/>
      <c r="CW68" s="346"/>
    </row>
    <row r="69" spans="1:101" x14ac:dyDescent="0.25">
      <c r="A69" s="346"/>
      <c r="B69" s="346"/>
      <c r="C69" s="346"/>
      <c r="D69" s="346"/>
      <c r="E69" s="346"/>
      <c r="F69" s="346"/>
      <c r="G69" s="346"/>
      <c r="H69" s="346"/>
      <c r="I69" s="346"/>
      <c r="J69" s="346"/>
      <c r="K69" s="346"/>
      <c r="L69" s="346"/>
      <c r="M69" s="346"/>
      <c r="N69" s="346"/>
      <c r="O69" s="346"/>
      <c r="P69" s="346"/>
      <c r="Q69" s="346"/>
      <c r="R69" s="346"/>
      <c r="S69" s="346"/>
      <c r="T69" s="346"/>
      <c r="U69" s="346"/>
      <c r="V69" s="346"/>
      <c r="W69" s="346"/>
      <c r="X69" s="346"/>
      <c r="Y69" s="346"/>
      <c r="Z69" s="346"/>
      <c r="AA69" s="346"/>
      <c r="AB69" s="346"/>
      <c r="AC69" s="346"/>
      <c r="AD69" s="347"/>
      <c r="AE69" s="347"/>
      <c r="AF69" s="347"/>
      <c r="AG69" s="347"/>
      <c r="AH69" s="347"/>
      <c r="AI69" s="347"/>
      <c r="AJ69" s="347"/>
      <c r="AK69" s="347"/>
      <c r="AL69" s="347"/>
      <c r="AM69" s="347"/>
      <c r="AN69" s="347"/>
      <c r="AO69" s="347"/>
      <c r="AP69" s="347"/>
      <c r="AQ69" s="347"/>
      <c r="AR69" s="347"/>
      <c r="AS69" s="347"/>
      <c r="AT69" s="347"/>
      <c r="AU69" s="347"/>
      <c r="AV69" s="347"/>
      <c r="AW69" s="347"/>
      <c r="AX69" s="347"/>
      <c r="AY69" s="347"/>
      <c r="AZ69" s="347"/>
      <c r="BA69" s="347"/>
      <c r="BB69" s="347"/>
      <c r="BC69" s="347"/>
      <c r="BD69" s="347"/>
      <c r="BE69" s="347"/>
      <c r="BF69" s="347"/>
      <c r="BG69" s="347"/>
      <c r="BH69" s="347"/>
      <c r="BI69" s="347"/>
      <c r="BJ69" s="347"/>
      <c r="BK69" s="347"/>
      <c r="BL69" s="347"/>
      <c r="BM69" s="347"/>
      <c r="BN69" s="347"/>
      <c r="BO69" s="347"/>
      <c r="BP69" s="347"/>
      <c r="BQ69" s="347"/>
      <c r="BR69" s="347"/>
      <c r="BS69" s="347"/>
      <c r="BT69" s="347"/>
      <c r="BU69" s="347"/>
      <c r="BV69" s="347"/>
      <c r="BW69" s="347"/>
      <c r="BX69" s="347"/>
      <c r="BY69" s="347"/>
      <c r="BZ69" s="347"/>
      <c r="CA69" s="347"/>
      <c r="CB69" s="347"/>
      <c r="CC69" s="347"/>
      <c r="CD69" s="347"/>
      <c r="CE69" s="347"/>
      <c r="CF69" s="347"/>
      <c r="CG69" s="347"/>
      <c r="CH69" s="347"/>
      <c r="CI69" s="347"/>
      <c r="CJ69" s="347"/>
      <c r="CK69" s="347"/>
      <c r="CL69" s="347"/>
      <c r="CM69" s="347"/>
      <c r="CN69" s="347"/>
      <c r="CO69" s="346"/>
      <c r="CP69" s="346"/>
      <c r="CQ69" s="346"/>
      <c r="CR69" s="346"/>
      <c r="CS69" s="346"/>
      <c r="CT69" s="346"/>
      <c r="CU69" s="346"/>
      <c r="CV69" s="346"/>
      <c r="CW69" s="346"/>
    </row>
    <row r="70" spans="1:101" x14ac:dyDescent="0.25">
      <c r="A70" s="346"/>
      <c r="B70" s="346"/>
      <c r="C70" s="346"/>
      <c r="D70" s="346"/>
      <c r="E70" s="346"/>
      <c r="F70" s="346"/>
      <c r="G70" s="346"/>
      <c r="H70" s="346"/>
      <c r="I70" s="346"/>
      <c r="J70" s="346"/>
      <c r="K70" s="346"/>
      <c r="L70" s="346"/>
      <c r="M70" s="346"/>
      <c r="N70" s="346"/>
      <c r="O70" s="346"/>
      <c r="P70" s="346"/>
      <c r="Q70" s="346"/>
      <c r="R70" s="346"/>
      <c r="S70" s="346"/>
      <c r="T70" s="346"/>
      <c r="U70" s="346"/>
      <c r="V70" s="346"/>
      <c r="W70" s="346"/>
      <c r="X70" s="346"/>
      <c r="Y70" s="346"/>
      <c r="Z70" s="346"/>
      <c r="AA70" s="346"/>
      <c r="AB70" s="346"/>
      <c r="AC70" s="346"/>
      <c r="AD70" s="347"/>
      <c r="AE70" s="347"/>
      <c r="AF70" s="347"/>
      <c r="AG70" s="347"/>
      <c r="AH70" s="347"/>
      <c r="AI70" s="347"/>
      <c r="AJ70" s="347"/>
      <c r="AK70" s="347"/>
      <c r="AL70" s="347"/>
      <c r="AM70" s="347"/>
      <c r="AN70" s="347"/>
      <c r="AO70" s="347"/>
      <c r="AP70" s="347"/>
      <c r="AQ70" s="347"/>
      <c r="AR70" s="347"/>
      <c r="AS70" s="347"/>
      <c r="AT70" s="347"/>
      <c r="AU70" s="347"/>
      <c r="AV70" s="347"/>
      <c r="AW70" s="347"/>
      <c r="AX70" s="347"/>
      <c r="AY70" s="347"/>
      <c r="AZ70" s="347"/>
      <c r="BA70" s="347"/>
      <c r="BB70" s="347"/>
      <c r="BC70" s="347"/>
      <c r="BD70" s="347"/>
      <c r="BE70" s="347"/>
      <c r="BF70" s="347"/>
      <c r="BG70" s="347"/>
      <c r="BH70" s="347"/>
      <c r="BI70" s="347"/>
      <c r="BJ70" s="347"/>
      <c r="BK70" s="347"/>
      <c r="BL70" s="347"/>
      <c r="BM70" s="347"/>
      <c r="BN70" s="347"/>
      <c r="BO70" s="347"/>
      <c r="BP70" s="347"/>
      <c r="BQ70" s="347"/>
      <c r="BR70" s="347"/>
      <c r="BS70" s="347"/>
      <c r="BT70" s="347"/>
      <c r="BU70" s="347"/>
      <c r="BV70" s="347"/>
      <c r="BW70" s="347"/>
      <c r="BX70" s="347"/>
      <c r="BY70" s="347"/>
      <c r="BZ70" s="347"/>
      <c r="CA70" s="347"/>
      <c r="CB70" s="347"/>
      <c r="CC70" s="347"/>
      <c r="CD70" s="347"/>
      <c r="CE70" s="347"/>
      <c r="CF70" s="347"/>
      <c r="CG70" s="347"/>
      <c r="CH70" s="347"/>
      <c r="CI70" s="347"/>
      <c r="CJ70" s="347"/>
      <c r="CK70" s="347"/>
      <c r="CL70" s="347"/>
      <c r="CM70" s="347"/>
      <c r="CN70" s="347"/>
      <c r="CO70" s="346"/>
      <c r="CP70" s="346"/>
      <c r="CQ70" s="346"/>
      <c r="CR70" s="346"/>
      <c r="CS70" s="346"/>
      <c r="CT70" s="346"/>
      <c r="CU70" s="346"/>
      <c r="CV70" s="346"/>
      <c r="CW70" s="346"/>
    </row>
    <row r="71" spans="1:101" x14ac:dyDescent="0.25">
      <c r="A71" s="346"/>
      <c r="B71" s="346"/>
      <c r="C71" s="346"/>
      <c r="D71" s="346"/>
      <c r="E71" s="346"/>
      <c r="F71" s="346"/>
      <c r="G71" s="346"/>
      <c r="H71" s="346"/>
      <c r="I71" s="346"/>
      <c r="J71" s="346"/>
      <c r="K71" s="346"/>
      <c r="L71" s="346"/>
      <c r="M71" s="346"/>
      <c r="N71" s="346"/>
      <c r="O71" s="346"/>
      <c r="P71" s="346"/>
      <c r="Q71" s="346"/>
      <c r="R71" s="346"/>
      <c r="S71" s="346"/>
      <c r="T71" s="346"/>
      <c r="U71" s="346"/>
      <c r="V71" s="346"/>
      <c r="W71" s="346"/>
      <c r="X71" s="346"/>
      <c r="Y71" s="346"/>
      <c r="Z71" s="346"/>
      <c r="AA71" s="346"/>
      <c r="AB71" s="346"/>
      <c r="AC71" s="346"/>
      <c r="AD71" s="347"/>
      <c r="AE71" s="347"/>
      <c r="AF71" s="347"/>
      <c r="AG71" s="347"/>
      <c r="AH71" s="347"/>
      <c r="AI71" s="347"/>
      <c r="AJ71" s="347"/>
      <c r="AK71" s="347"/>
      <c r="AL71" s="347"/>
      <c r="AM71" s="347"/>
      <c r="AN71" s="347"/>
      <c r="AO71" s="347"/>
      <c r="AP71" s="347"/>
      <c r="AQ71" s="347"/>
      <c r="AR71" s="347"/>
      <c r="AS71" s="347"/>
      <c r="AT71" s="347"/>
      <c r="AU71" s="347"/>
      <c r="AV71" s="347"/>
      <c r="AW71" s="347"/>
      <c r="AX71" s="347"/>
      <c r="AY71" s="347"/>
      <c r="AZ71" s="347"/>
      <c r="BA71" s="347"/>
      <c r="BB71" s="347"/>
      <c r="BC71" s="347"/>
      <c r="BD71" s="347"/>
      <c r="BE71" s="347"/>
      <c r="BF71" s="347"/>
      <c r="BG71" s="347"/>
      <c r="BH71" s="347"/>
      <c r="BI71" s="347"/>
      <c r="BJ71" s="347"/>
      <c r="BK71" s="347"/>
      <c r="BL71" s="347"/>
      <c r="BM71" s="347"/>
      <c r="BN71" s="347"/>
      <c r="BO71" s="347"/>
      <c r="BP71" s="347"/>
      <c r="BQ71" s="347"/>
      <c r="BR71" s="347"/>
      <c r="BS71" s="347"/>
      <c r="BT71" s="347"/>
      <c r="BU71" s="347"/>
      <c r="BV71" s="347"/>
      <c r="BW71" s="347"/>
      <c r="BX71" s="347"/>
      <c r="BY71" s="347"/>
      <c r="BZ71" s="347"/>
      <c r="CA71" s="347"/>
      <c r="CB71" s="347"/>
      <c r="CC71" s="347"/>
      <c r="CD71" s="347"/>
      <c r="CE71" s="347"/>
      <c r="CF71" s="347"/>
      <c r="CG71" s="347"/>
      <c r="CH71" s="347"/>
      <c r="CI71" s="347"/>
      <c r="CJ71" s="347"/>
      <c r="CK71" s="347"/>
      <c r="CL71" s="347"/>
      <c r="CM71" s="347"/>
      <c r="CN71" s="347"/>
      <c r="CO71" s="346"/>
      <c r="CP71" s="346"/>
      <c r="CQ71" s="346"/>
      <c r="CR71" s="346"/>
      <c r="CS71" s="346"/>
      <c r="CT71" s="346"/>
      <c r="CU71" s="346"/>
      <c r="CV71" s="346"/>
      <c r="CW71" s="346"/>
    </row>
    <row r="72" spans="1:101" x14ac:dyDescent="0.25">
      <c r="A72" s="346"/>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7"/>
      <c r="AE72" s="347"/>
      <c r="AF72" s="347"/>
      <c r="AG72" s="347"/>
      <c r="AH72" s="347"/>
      <c r="AI72" s="347"/>
      <c r="AJ72" s="347"/>
      <c r="AK72" s="347"/>
      <c r="AL72" s="347"/>
      <c r="AM72" s="347"/>
      <c r="AN72" s="347"/>
      <c r="AO72" s="347"/>
      <c r="AP72" s="347"/>
      <c r="AQ72" s="347"/>
      <c r="AR72" s="347"/>
      <c r="AS72" s="347"/>
      <c r="AT72" s="347"/>
      <c r="AU72" s="347"/>
      <c r="AV72" s="347"/>
      <c r="AW72" s="347"/>
      <c r="AX72" s="347"/>
      <c r="AY72" s="347"/>
      <c r="AZ72" s="347"/>
      <c r="BA72" s="347"/>
      <c r="BB72" s="346"/>
      <c r="BC72" s="347"/>
      <c r="BD72" s="347"/>
      <c r="BE72" s="347"/>
      <c r="BF72" s="347"/>
      <c r="BG72" s="347"/>
      <c r="BH72" s="347"/>
      <c r="BI72" s="347"/>
      <c r="BJ72" s="347"/>
      <c r="BK72" s="346"/>
      <c r="BL72" s="347"/>
      <c r="BM72" s="347"/>
      <c r="BN72" s="347"/>
      <c r="BO72" s="347"/>
      <c r="BP72" s="347"/>
      <c r="BQ72" s="347"/>
      <c r="BR72" s="347"/>
      <c r="BS72" s="347"/>
      <c r="BT72" s="347"/>
      <c r="BU72" s="347"/>
      <c r="BV72" s="347"/>
      <c r="BW72" s="347"/>
      <c r="BX72" s="347"/>
      <c r="BY72" s="347"/>
      <c r="BZ72" s="347"/>
      <c r="CA72" s="347"/>
      <c r="CB72" s="347"/>
      <c r="CC72" s="347"/>
      <c r="CD72" s="347"/>
      <c r="CE72" s="347"/>
      <c r="CF72" s="347"/>
      <c r="CG72" s="347"/>
      <c r="CH72" s="347"/>
      <c r="CI72" s="347"/>
      <c r="CJ72" s="347"/>
      <c r="CK72" s="347"/>
      <c r="CL72" s="346"/>
      <c r="CM72" s="347"/>
      <c r="CN72" s="347"/>
      <c r="CO72" s="346"/>
      <c r="CP72" s="346"/>
      <c r="CQ72" s="346"/>
      <c r="CR72" s="346"/>
      <c r="CS72" s="346"/>
      <c r="CT72" s="346"/>
      <c r="CU72" s="346"/>
      <c r="CV72" s="346"/>
      <c r="CW72" s="346"/>
    </row>
    <row r="73" spans="1:101" x14ac:dyDescent="0.25">
      <c r="A73" s="346"/>
      <c r="B73" s="346"/>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7"/>
      <c r="AE73" s="347"/>
      <c r="AF73" s="347"/>
      <c r="AG73" s="347"/>
      <c r="AH73" s="347"/>
      <c r="AI73" s="347"/>
      <c r="AJ73" s="347"/>
      <c r="AK73" s="347"/>
      <c r="AL73" s="347"/>
      <c r="AM73" s="347"/>
      <c r="AN73" s="347"/>
      <c r="AO73" s="347"/>
      <c r="AP73" s="347"/>
      <c r="AQ73" s="347"/>
      <c r="AR73" s="347"/>
      <c r="AS73" s="347"/>
      <c r="AT73" s="347"/>
      <c r="AU73" s="347"/>
      <c r="AV73" s="347"/>
      <c r="AW73" s="347"/>
      <c r="AX73" s="347"/>
      <c r="AY73" s="347"/>
      <c r="AZ73" s="347"/>
      <c r="BA73" s="347"/>
      <c r="BB73" s="346"/>
      <c r="BC73" s="347"/>
      <c r="BD73" s="347"/>
      <c r="BE73" s="347"/>
      <c r="BF73" s="347"/>
      <c r="BG73" s="347"/>
      <c r="BH73" s="347"/>
      <c r="BI73" s="347"/>
      <c r="BJ73" s="347"/>
      <c r="BK73" s="346"/>
      <c r="BL73" s="347"/>
      <c r="BM73" s="347"/>
      <c r="BN73" s="347"/>
      <c r="BO73" s="347"/>
      <c r="BP73" s="347"/>
      <c r="BQ73" s="347"/>
      <c r="BR73" s="347"/>
      <c r="BS73" s="347"/>
      <c r="BT73" s="347"/>
      <c r="BU73" s="347"/>
      <c r="BV73" s="347"/>
      <c r="BW73" s="347"/>
      <c r="BX73" s="347"/>
      <c r="BY73" s="347"/>
      <c r="BZ73" s="347"/>
      <c r="CA73" s="347"/>
      <c r="CB73" s="347"/>
      <c r="CC73" s="347"/>
      <c r="CD73" s="347"/>
      <c r="CE73" s="347"/>
      <c r="CF73" s="347"/>
      <c r="CG73" s="347"/>
      <c r="CH73" s="347"/>
      <c r="CI73" s="347"/>
      <c r="CJ73" s="347"/>
      <c r="CK73" s="347"/>
      <c r="CL73" s="346"/>
      <c r="CM73" s="347"/>
      <c r="CN73" s="347"/>
      <c r="CO73" s="346"/>
      <c r="CP73" s="346"/>
      <c r="CQ73" s="346"/>
      <c r="CR73" s="346"/>
      <c r="CS73" s="346"/>
      <c r="CT73" s="346"/>
      <c r="CU73" s="346"/>
      <c r="CV73" s="346"/>
      <c r="CW73" s="346"/>
    </row>
    <row r="74" spans="1:101" x14ac:dyDescent="0.25">
      <c r="A74" s="346"/>
      <c r="B74" s="346"/>
      <c r="C74" s="346"/>
      <c r="D74" s="346"/>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c r="AC74" s="346"/>
      <c r="AD74" s="347"/>
      <c r="AE74" s="347"/>
      <c r="AF74" s="347"/>
      <c r="AG74" s="347"/>
      <c r="AH74" s="347"/>
      <c r="AI74" s="347"/>
      <c r="AJ74" s="347"/>
      <c r="AK74" s="347"/>
      <c r="AL74" s="347"/>
      <c r="AM74" s="347"/>
      <c r="AN74" s="347"/>
      <c r="AO74" s="347"/>
      <c r="AP74" s="347"/>
      <c r="AQ74" s="347"/>
      <c r="AR74" s="347"/>
      <c r="AS74" s="347"/>
      <c r="AT74" s="347"/>
      <c r="AU74" s="347"/>
      <c r="AV74" s="347"/>
      <c r="AW74" s="347"/>
      <c r="AX74" s="347"/>
      <c r="AY74" s="347"/>
      <c r="AZ74" s="347"/>
      <c r="BA74" s="347"/>
      <c r="BB74" s="346"/>
      <c r="BC74" s="347"/>
      <c r="BD74" s="347"/>
      <c r="BE74" s="347"/>
      <c r="BF74" s="347"/>
      <c r="BG74" s="347"/>
      <c r="BH74" s="347"/>
      <c r="BI74" s="347"/>
      <c r="BJ74" s="347"/>
      <c r="BK74" s="346"/>
      <c r="BL74" s="347"/>
      <c r="BM74" s="347"/>
      <c r="BN74" s="347"/>
      <c r="BO74" s="347"/>
      <c r="BP74" s="347"/>
      <c r="BQ74" s="347"/>
      <c r="BR74" s="347"/>
      <c r="BS74" s="347"/>
      <c r="BT74" s="347"/>
      <c r="BU74" s="347"/>
      <c r="BV74" s="347"/>
      <c r="BW74" s="347"/>
      <c r="BX74" s="347"/>
      <c r="BY74" s="347"/>
      <c r="BZ74" s="347"/>
      <c r="CA74" s="347"/>
      <c r="CB74" s="347"/>
      <c r="CC74" s="347"/>
      <c r="CD74" s="347"/>
      <c r="CE74" s="347"/>
      <c r="CF74" s="347"/>
      <c r="CG74" s="347"/>
      <c r="CH74" s="347"/>
      <c r="CI74" s="347"/>
      <c r="CJ74" s="347"/>
      <c r="CK74" s="347"/>
      <c r="CL74" s="346"/>
      <c r="CM74" s="347"/>
      <c r="CN74" s="347"/>
      <c r="CO74" s="346"/>
      <c r="CP74" s="346"/>
      <c r="CQ74" s="346"/>
      <c r="CR74" s="346"/>
      <c r="CS74" s="346"/>
      <c r="CT74" s="346"/>
      <c r="CU74" s="346"/>
      <c r="CV74" s="346"/>
      <c r="CW74" s="346"/>
    </row>
    <row r="75" spans="1:101" x14ac:dyDescent="0.25">
      <c r="A75" s="346"/>
      <c r="B75" s="346"/>
      <c r="C75" s="346"/>
      <c r="D75" s="346"/>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c r="AC75" s="346"/>
      <c r="AD75" s="347"/>
      <c r="AE75" s="347"/>
      <c r="AF75" s="347"/>
      <c r="AG75" s="347"/>
      <c r="AH75" s="347"/>
      <c r="AI75" s="347"/>
      <c r="AJ75" s="347"/>
      <c r="AK75" s="347"/>
      <c r="AL75" s="347"/>
      <c r="AM75" s="347"/>
      <c r="AN75" s="347"/>
      <c r="AO75" s="347"/>
      <c r="AP75" s="347"/>
      <c r="AQ75" s="347"/>
      <c r="AR75" s="347"/>
      <c r="AS75" s="347"/>
      <c r="AT75" s="347"/>
      <c r="AU75" s="347"/>
      <c r="AV75" s="347"/>
      <c r="AW75" s="347"/>
      <c r="AX75" s="347"/>
      <c r="AY75" s="347"/>
      <c r="AZ75" s="347"/>
      <c r="BA75" s="347"/>
      <c r="BB75" s="347"/>
      <c r="BC75" s="347"/>
      <c r="BD75" s="347"/>
      <c r="BE75" s="347"/>
      <c r="BF75" s="347"/>
      <c r="BG75" s="347"/>
      <c r="BH75" s="347"/>
      <c r="BI75" s="347"/>
      <c r="BJ75" s="347"/>
      <c r="BK75" s="347"/>
      <c r="BL75" s="347"/>
      <c r="BM75" s="347"/>
      <c r="BN75" s="347"/>
      <c r="BO75" s="347"/>
      <c r="BP75" s="347"/>
      <c r="BQ75" s="347"/>
      <c r="BR75" s="347"/>
      <c r="BS75" s="347"/>
      <c r="BT75" s="347"/>
      <c r="BU75" s="347"/>
      <c r="BV75" s="347"/>
      <c r="BW75" s="347"/>
      <c r="BX75" s="347"/>
      <c r="BY75" s="347"/>
      <c r="BZ75" s="347"/>
      <c r="CA75" s="347"/>
      <c r="CB75" s="347"/>
      <c r="CC75" s="347"/>
      <c r="CD75" s="347"/>
      <c r="CE75" s="347"/>
      <c r="CF75" s="347"/>
      <c r="CG75" s="347"/>
      <c r="CH75" s="346"/>
      <c r="CI75" s="347"/>
      <c r="CJ75" s="347"/>
      <c r="CK75" s="347"/>
      <c r="CL75" s="347"/>
      <c r="CM75" s="347"/>
      <c r="CN75" s="347"/>
      <c r="CO75" s="346"/>
      <c r="CP75" s="346"/>
      <c r="CQ75" s="346"/>
      <c r="CR75" s="346"/>
      <c r="CS75" s="346"/>
      <c r="CT75" s="346"/>
      <c r="CU75" s="346"/>
      <c r="CV75" s="346"/>
      <c r="CW75" s="346"/>
    </row>
    <row r="76" spans="1:101" x14ac:dyDescent="0.25">
      <c r="A76" s="346"/>
      <c r="B76" s="346"/>
      <c r="C76" s="346"/>
      <c r="D76" s="346"/>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c r="AC76" s="346"/>
      <c r="AD76" s="347"/>
      <c r="AE76" s="347"/>
      <c r="AF76" s="347"/>
      <c r="AG76" s="347"/>
      <c r="AH76" s="347"/>
      <c r="AI76" s="347"/>
      <c r="AJ76" s="347"/>
      <c r="AK76" s="347"/>
      <c r="AL76" s="347"/>
      <c r="AM76" s="347"/>
      <c r="AN76" s="347"/>
      <c r="AO76" s="347"/>
      <c r="AP76" s="347"/>
      <c r="AQ76" s="347"/>
      <c r="AR76" s="347"/>
      <c r="AS76" s="347"/>
      <c r="AT76" s="347"/>
      <c r="AU76" s="347"/>
      <c r="AV76" s="347"/>
      <c r="AW76" s="347"/>
      <c r="AX76" s="347"/>
      <c r="AY76" s="347"/>
      <c r="AZ76" s="347"/>
      <c r="BA76" s="347"/>
      <c r="BB76" s="347"/>
      <c r="BC76" s="347"/>
      <c r="BD76" s="347"/>
      <c r="BE76" s="347"/>
      <c r="BF76" s="347"/>
      <c r="BG76" s="347"/>
      <c r="BH76" s="347"/>
      <c r="BI76" s="347"/>
      <c r="BJ76" s="347"/>
      <c r="BK76" s="347"/>
      <c r="BL76" s="347"/>
      <c r="BM76" s="347"/>
      <c r="BN76" s="347"/>
      <c r="BO76" s="347"/>
      <c r="BP76" s="347"/>
      <c r="BQ76" s="347"/>
      <c r="BR76" s="347"/>
      <c r="BS76" s="347"/>
      <c r="BT76" s="347"/>
      <c r="BU76" s="347"/>
      <c r="BV76" s="347"/>
      <c r="BW76" s="347"/>
      <c r="BX76" s="347"/>
      <c r="BY76" s="347"/>
      <c r="BZ76" s="347"/>
      <c r="CA76" s="347"/>
      <c r="CB76" s="347"/>
      <c r="CC76" s="347"/>
      <c r="CD76" s="347"/>
      <c r="CE76" s="347"/>
      <c r="CF76" s="347"/>
      <c r="CG76" s="347"/>
      <c r="CH76" s="346"/>
      <c r="CI76" s="347"/>
      <c r="CJ76" s="347"/>
      <c r="CK76" s="347"/>
      <c r="CL76" s="347"/>
      <c r="CM76" s="347"/>
      <c r="CN76" s="347"/>
      <c r="CO76" s="346"/>
      <c r="CP76" s="346"/>
      <c r="CQ76" s="346"/>
      <c r="CR76" s="346"/>
      <c r="CS76" s="346"/>
      <c r="CT76" s="346"/>
      <c r="CU76" s="346"/>
      <c r="CV76" s="346"/>
      <c r="CW76" s="346"/>
    </row>
    <row r="77" spans="1:101" x14ac:dyDescent="0.2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7"/>
      <c r="AE77" s="347"/>
      <c r="AF77" s="347"/>
      <c r="AG77" s="347"/>
      <c r="AH77" s="347"/>
      <c r="AI77" s="347"/>
      <c r="AJ77" s="347"/>
      <c r="AK77" s="347"/>
      <c r="AL77" s="347"/>
      <c r="AM77" s="347"/>
      <c r="AN77" s="347"/>
      <c r="AO77" s="347"/>
      <c r="AP77" s="347"/>
      <c r="AQ77" s="347"/>
      <c r="AR77" s="347"/>
      <c r="AS77" s="347"/>
      <c r="AT77" s="347"/>
      <c r="AU77" s="347"/>
      <c r="AV77" s="347"/>
      <c r="AW77" s="347"/>
      <c r="AX77" s="347"/>
      <c r="AY77" s="347"/>
      <c r="AZ77" s="347"/>
      <c r="BA77" s="347"/>
      <c r="BB77" s="346"/>
      <c r="BC77" s="347"/>
      <c r="BD77" s="347"/>
      <c r="BE77" s="347"/>
      <c r="BF77" s="347"/>
      <c r="BG77" s="347"/>
      <c r="BH77" s="347"/>
      <c r="BI77" s="347"/>
      <c r="BJ77" s="347"/>
      <c r="BK77" s="346"/>
      <c r="BL77" s="347"/>
      <c r="BM77" s="347"/>
      <c r="BN77" s="347"/>
      <c r="BO77" s="347"/>
      <c r="BP77" s="347"/>
      <c r="BQ77" s="347"/>
      <c r="BR77" s="347"/>
      <c r="BS77" s="347"/>
      <c r="BT77" s="347"/>
      <c r="BU77" s="347"/>
      <c r="BV77" s="347"/>
      <c r="BW77" s="347"/>
      <c r="BX77" s="347"/>
      <c r="BY77" s="347"/>
      <c r="BZ77" s="347"/>
      <c r="CA77" s="347"/>
      <c r="CB77" s="347"/>
      <c r="CC77" s="347"/>
      <c r="CD77" s="347"/>
      <c r="CE77" s="347"/>
      <c r="CF77" s="347"/>
      <c r="CG77" s="347"/>
      <c r="CH77" s="347"/>
      <c r="CI77" s="347"/>
      <c r="CJ77" s="347"/>
      <c r="CK77" s="347"/>
      <c r="CL77" s="346"/>
      <c r="CM77" s="347"/>
      <c r="CN77" s="347"/>
      <c r="CO77" s="346"/>
      <c r="CP77" s="346"/>
      <c r="CQ77" s="346"/>
      <c r="CR77" s="346"/>
      <c r="CS77" s="346"/>
      <c r="CT77" s="346"/>
      <c r="CU77" s="346"/>
      <c r="CV77" s="346"/>
      <c r="CW77" s="346"/>
    </row>
    <row r="78" spans="1:101" x14ac:dyDescent="0.2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7"/>
      <c r="AE78" s="347"/>
      <c r="AF78" s="347"/>
      <c r="AG78" s="347"/>
      <c r="AH78" s="347"/>
      <c r="AI78" s="347"/>
      <c r="AJ78" s="347"/>
      <c r="AK78" s="347"/>
      <c r="AL78" s="347"/>
      <c r="AM78" s="347"/>
      <c r="AN78" s="347"/>
      <c r="AO78" s="347"/>
      <c r="AP78" s="347"/>
      <c r="AQ78" s="347"/>
      <c r="AR78" s="347"/>
      <c r="AS78" s="347"/>
      <c r="AT78" s="347"/>
      <c r="AU78" s="347"/>
      <c r="AV78" s="347"/>
      <c r="AW78" s="347"/>
      <c r="AX78" s="347"/>
      <c r="AY78" s="347"/>
      <c r="AZ78" s="347"/>
      <c r="BA78" s="347"/>
      <c r="BB78" s="346"/>
      <c r="BC78" s="347"/>
      <c r="BD78" s="347"/>
      <c r="BE78" s="347"/>
      <c r="BF78" s="347"/>
      <c r="BG78" s="347"/>
      <c r="BH78" s="347"/>
      <c r="BI78" s="347"/>
      <c r="BJ78" s="347"/>
      <c r="BK78" s="346"/>
      <c r="BL78" s="347"/>
      <c r="BM78" s="347"/>
      <c r="BN78" s="347"/>
      <c r="BO78" s="347"/>
      <c r="BP78" s="347"/>
      <c r="BQ78" s="347"/>
      <c r="BR78" s="347"/>
      <c r="BS78" s="347"/>
      <c r="BT78" s="347"/>
      <c r="BU78" s="347"/>
      <c r="BV78" s="347"/>
      <c r="BW78" s="347"/>
      <c r="BX78" s="347"/>
      <c r="BY78" s="347"/>
      <c r="BZ78" s="347"/>
      <c r="CA78" s="347"/>
      <c r="CB78" s="347"/>
      <c r="CC78" s="347"/>
      <c r="CD78" s="347"/>
      <c r="CE78" s="347"/>
      <c r="CF78" s="347"/>
      <c r="CG78" s="347"/>
      <c r="CH78" s="347"/>
      <c r="CI78" s="347"/>
      <c r="CJ78" s="347"/>
      <c r="CK78" s="347"/>
      <c r="CL78" s="346"/>
      <c r="CM78" s="347"/>
      <c r="CN78" s="347"/>
      <c r="CO78" s="346"/>
      <c r="CP78" s="346"/>
      <c r="CQ78" s="346"/>
      <c r="CR78" s="346"/>
      <c r="CS78" s="346"/>
      <c r="CT78" s="346"/>
      <c r="CU78" s="346"/>
      <c r="CV78" s="346"/>
      <c r="CW78" s="346"/>
    </row>
    <row r="79" spans="1:101" x14ac:dyDescent="0.2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7"/>
      <c r="AE79" s="347"/>
      <c r="AF79" s="347"/>
      <c r="AG79" s="347"/>
      <c r="AH79" s="347"/>
      <c r="AI79" s="347"/>
      <c r="AJ79" s="347"/>
      <c r="AK79" s="347"/>
      <c r="AL79" s="347"/>
      <c r="AM79" s="347"/>
      <c r="AN79" s="347"/>
      <c r="AO79" s="347"/>
      <c r="AP79" s="347"/>
      <c r="AQ79" s="347"/>
      <c r="AR79" s="347"/>
      <c r="AS79" s="347"/>
      <c r="AT79" s="347"/>
      <c r="AU79" s="347"/>
      <c r="AV79" s="347"/>
      <c r="AW79" s="347"/>
      <c r="AX79" s="347"/>
      <c r="AY79" s="347"/>
      <c r="AZ79" s="347"/>
      <c r="BA79" s="347"/>
      <c r="BB79" s="346"/>
      <c r="BC79" s="347"/>
      <c r="BD79" s="347"/>
      <c r="BE79" s="347"/>
      <c r="BF79" s="347"/>
      <c r="BG79" s="347"/>
      <c r="BH79" s="347"/>
      <c r="BI79" s="347"/>
      <c r="BJ79" s="347"/>
      <c r="BK79" s="346"/>
      <c r="BL79" s="347"/>
      <c r="BM79" s="347"/>
      <c r="BN79" s="347"/>
      <c r="BO79" s="347"/>
      <c r="BP79" s="347"/>
      <c r="BQ79" s="347"/>
      <c r="BR79" s="347"/>
      <c r="BS79" s="347"/>
      <c r="BT79" s="347"/>
      <c r="BU79" s="347"/>
      <c r="BV79" s="347"/>
      <c r="BW79" s="347"/>
      <c r="BX79" s="347"/>
      <c r="BY79" s="347"/>
      <c r="BZ79" s="347"/>
      <c r="CA79" s="347"/>
      <c r="CB79" s="347"/>
      <c r="CC79" s="347"/>
      <c r="CD79" s="347"/>
      <c r="CE79" s="347"/>
      <c r="CF79" s="347"/>
      <c r="CG79" s="347"/>
      <c r="CH79" s="347"/>
      <c r="CI79" s="347"/>
      <c r="CJ79" s="347"/>
      <c r="CK79" s="347"/>
      <c r="CL79" s="346"/>
      <c r="CM79" s="347"/>
      <c r="CN79" s="347"/>
      <c r="CO79" s="346"/>
      <c r="CP79" s="346"/>
      <c r="CQ79" s="346"/>
      <c r="CR79" s="346"/>
      <c r="CS79" s="346"/>
      <c r="CT79" s="346"/>
      <c r="CU79" s="346"/>
      <c r="CV79" s="346"/>
      <c r="CW79" s="346"/>
    </row>
    <row r="80" spans="1:101" x14ac:dyDescent="0.2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7"/>
      <c r="AE80" s="347"/>
      <c r="AF80" s="347"/>
      <c r="AG80" s="347"/>
      <c r="AH80" s="347"/>
      <c r="AI80" s="347"/>
      <c r="AJ80" s="347"/>
      <c r="AK80" s="347"/>
      <c r="AL80" s="347"/>
      <c r="AM80" s="347"/>
      <c r="AN80" s="347"/>
      <c r="AO80" s="347"/>
      <c r="AP80" s="347"/>
      <c r="AQ80" s="347"/>
      <c r="AR80" s="347"/>
      <c r="AS80" s="347"/>
      <c r="AT80" s="347"/>
      <c r="AU80" s="347"/>
      <c r="AV80" s="347"/>
      <c r="AW80" s="347"/>
      <c r="AX80" s="347"/>
      <c r="AY80" s="347"/>
      <c r="AZ80" s="347"/>
      <c r="BA80" s="347"/>
      <c r="BB80" s="346"/>
      <c r="BC80" s="347"/>
      <c r="BD80" s="347"/>
      <c r="BE80" s="347"/>
      <c r="BF80" s="347"/>
      <c r="BG80" s="347"/>
      <c r="BH80" s="347"/>
      <c r="BI80" s="347"/>
      <c r="BJ80" s="347"/>
      <c r="BK80" s="346"/>
      <c r="BL80" s="347"/>
      <c r="BM80" s="347"/>
      <c r="BN80" s="347"/>
      <c r="BO80" s="347"/>
      <c r="BP80" s="347"/>
      <c r="BQ80" s="347"/>
      <c r="BR80" s="347"/>
      <c r="BS80" s="347"/>
      <c r="BT80" s="347"/>
      <c r="BU80" s="347"/>
      <c r="BV80" s="347"/>
      <c r="BW80" s="347"/>
      <c r="BX80" s="347"/>
      <c r="BY80" s="347"/>
      <c r="BZ80" s="347"/>
      <c r="CA80" s="347"/>
      <c r="CB80" s="347"/>
      <c r="CC80" s="347"/>
      <c r="CD80" s="347"/>
      <c r="CE80" s="347"/>
      <c r="CF80" s="347"/>
      <c r="CG80" s="347"/>
      <c r="CH80" s="347"/>
      <c r="CI80" s="347"/>
      <c r="CJ80" s="347"/>
      <c r="CK80" s="347"/>
      <c r="CL80" s="346"/>
      <c r="CM80" s="347"/>
      <c r="CN80" s="347"/>
      <c r="CO80" s="346"/>
      <c r="CP80" s="346"/>
      <c r="CQ80" s="346"/>
      <c r="CR80" s="346"/>
      <c r="CS80" s="346"/>
      <c r="CT80" s="346"/>
      <c r="CU80" s="346"/>
      <c r="CV80" s="346"/>
      <c r="CW80" s="346"/>
    </row>
    <row r="81" spans="1:101" x14ac:dyDescent="0.2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7"/>
      <c r="AE81" s="347"/>
      <c r="AF81" s="347"/>
      <c r="AG81" s="347"/>
      <c r="AH81" s="347"/>
      <c r="AI81" s="347"/>
      <c r="AJ81" s="347"/>
      <c r="AK81" s="347"/>
      <c r="AL81" s="347"/>
      <c r="AM81" s="347"/>
      <c r="AN81" s="347"/>
      <c r="AO81" s="347"/>
      <c r="AP81" s="347"/>
      <c r="AQ81" s="347"/>
      <c r="AR81" s="347"/>
      <c r="AS81" s="347"/>
      <c r="AT81" s="347"/>
      <c r="AU81" s="347"/>
      <c r="AV81" s="347"/>
      <c r="AW81" s="347"/>
      <c r="AX81" s="347"/>
      <c r="AY81" s="347"/>
      <c r="AZ81" s="347"/>
      <c r="BA81" s="347"/>
      <c r="BB81" s="346"/>
      <c r="BC81" s="347"/>
      <c r="BD81" s="347"/>
      <c r="BE81" s="347"/>
      <c r="BF81" s="347"/>
      <c r="BG81" s="347"/>
      <c r="BH81" s="347"/>
      <c r="BI81" s="347"/>
      <c r="BJ81" s="347"/>
      <c r="BK81" s="346"/>
      <c r="BL81" s="347"/>
      <c r="BM81" s="347"/>
      <c r="BN81" s="347"/>
      <c r="BO81" s="347"/>
      <c r="BP81" s="347"/>
      <c r="BQ81" s="347"/>
      <c r="BR81" s="347"/>
      <c r="BS81" s="347"/>
      <c r="BT81" s="347"/>
      <c r="BU81" s="347"/>
      <c r="BV81" s="347"/>
      <c r="BW81" s="347"/>
      <c r="BX81" s="347"/>
      <c r="BY81" s="347"/>
      <c r="BZ81" s="347"/>
      <c r="CA81" s="347"/>
      <c r="CB81" s="347"/>
      <c r="CC81" s="347"/>
      <c r="CD81" s="347"/>
      <c r="CE81" s="347"/>
      <c r="CF81" s="347"/>
      <c r="CG81" s="347"/>
      <c r="CH81" s="347"/>
      <c r="CI81" s="347"/>
      <c r="CJ81" s="347"/>
      <c r="CK81" s="347"/>
      <c r="CL81" s="346"/>
      <c r="CM81" s="347"/>
      <c r="CN81" s="347"/>
      <c r="CO81" s="346"/>
      <c r="CP81" s="346"/>
      <c r="CQ81" s="346"/>
      <c r="CR81" s="346"/>
      <c r="CS81" s="346"/>
      <c r="CT81" s="346"/>
      <c r="CU81" s="346"/>
      <c r="CV81" s="346"/>
      <c r="CW81" s="346"/>
    </row>
    <row r="82" spans="1:101" x14ac:dyDescent="0.2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7"/>
      <c r="AE82" s="347"/>
      <c r="AF82" s="347"/>
      <c r="AG82" s="347"/>
      <c r="AH82" s="347"/>
      <c r="AI82" s="347"/>
      <c r="AJ82" s="347"/>
      <c r="AK82" s="347"/>
      <c r="AL82" s="347"/>
      <c r="AM82" s="347"/>
      <c r="AN82" s="347"/>
      <c r="AO82" s="347"/>
      <c r="AP82" s="347"/>
      <c r="AQ82" s="347"/>
      <c r="AR82" s="347"/>
      <c r="AS82" s="347"/>
      <c r="AT82" s="347"/>
      <c r="AU82" s="347"/>
      <c r="AV82" s="347"/>
      <c r="AW82" s="347"/>
      <c r="AX82" s="347"/>
      <c r="AY82" s="347"/>
      <c r="AZ82" s="347"/>
      <c r="BA82" s="347"/>
      <c r="BB82" s="347"/>
      <c r="BC82" s="347"/>
      <c r="BD82" s="347"/>
      <c r="BE82" s="347"/>
      <c r="BF82" s="347"/>
      <c r="BG82" s="347"/>
      <c r="BH82" s="347"/>
      <c r="BI82" s="347"/>
      <c r="BJ82" s="347"/>
      <c r="BK82" s="347"/>
      <c r="BL82" s="347"/>
      <c r="BM82" s="347"/>
      <c r="BN82" s="347"/>
      <c r="BO82" s="347"/>
      <c r="BP82" s="347"/>
      <c r="BQ82" s="347"/>
      <c r="BR82" s="347"/>
      <c r="BS82" s="347"/>
      <c r="BT82" s="347"/>
      <c r="BU82" s="347"/>
      <c r="BV82" s="347"/>
      <c r="BW82" s="347"/>
      <c r="BX82" s="347"/>
      <c r="BY82" s="347"/>
      <c r="BZ82" s="347"/>
      <c r="CA82" s="347"/>
      <c r="CB82" s="347"/>
      <c r="CC82" s="347"/>
      <c r="CD82" s="347"/>
      <c r="CE82" s="347"/>
      <c r="CF82" s="347"/>
      <c r="CG82" s="347"/>
      <c r="CH82" s="346"/>
      <c r="CI82" s="347"/>
      <c r="CJ82" s="347"/>
      <c r="CK82" s="347"/>
      <c r="CL82" s="347"/>
      <c r="CM82" s="347"/>
      <c r="CN82" s="347"/>
      <c r="CO82" s="346"/>
      <c r="CP82" s="346"/>
      <c r="CQ82" s="346"/>
      <c r="CR82" s="346"/>
      <c r="CS82" s="346"/>
      <c r="CT82" s="346"/>
      <c r="CU82" s="346"/>
      <c r="CV82" s="346"/>
      <c r="CW82" s="346"/>
    </row>
    <row r="83" spans="1:101" x14ac:dyDescent="0.2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7"/>
      <c r="AE83" s="347"/>
      <c r="AF83" s="347"/>
      <c r="AG83" s="347"/>
      <c r="AH83" s="347"/>
      <c r="AI83" s="347"/>
      <c r="AJ83" s="347"/>
      <c r="AK83" s="347"/>
      <c r="AL83" s="347"/>
      <c r="AM83" s="347"/>
      <c r="AN83" s="347"/>
      <c r="AO83" s="347"/>
      <c r="AP83" s="347"/>
      <c r="AQ83" s="347"/>
      <c r="AR83" s="347"/>
      <c r="AS83" s="347"/>
      <c r="AT83" s="347"/>
      <c r="AU83" s="347"/>
      <c r="AV83" s="347"/>
      <c r="AW83" s="347"/>
      <c r="AX83" s="347"/>
      <c r="AY83" s="347"/>
      <c r="AZ83" s="347"/>
      <c r="BA83" s="347"/>
      <c r="BB83" s="347"/>
      <c r="BC83" s="347"/>
      <c r="BD83" s="347"/>
      <c r="BE83" s="347"/>
      <c r="BF83" s="347"/>
      <c r="BG83" s="347"/>
      <c r="BH83" s="347"/>
      <c r="BI83" s="347"/>
      <c r="BJ83" s="347"/>
      <c r="BK83" s="347"/>
      <c r="BL83" s="347"/>
      <c r="BM83" s="347"/>
      <c r="BN83" s="347"/>
      <c r="BO83" s="347"/>
      <c r="BP83" s="347"/>
      <c r="BQ83" s="347"/>
      <c r="BR83" s="347"/>
      <c r="BS83" s="347"/>
      <c r="BT83" s="347"/>
      <c r="BU83" s="347"/>
      <c r="BV83" s="347"/>
      <c r="BW83" s="347"/>
      <c r="BX83" s="347"/>
      <c r="BY83" s="347"/>
      <c r="BZ83" s="347"/>
      <c r="CA83" s="347"/>
      <c r="CB83" s="347"/>
      <c r="CC83" s="347"/>
      <c r="CD83" s="347"/>
      <c r="CE83" s="347"/>
      <c r="CF83" s="347"/>
      <c r="CG83" s="347"/>
      <c r="CH83" s="347"/>
      <c r="CI83" s="347"/>
      <c r="CJ83" s="347"/>
      <c r="CK83" s="347"/>
      <c r="CL83" s="347"/>
      <c r="CM83" s="347"/>
      <c r="CN83" s="347"/>
      <c r="CO83" s="346"/>
      <c r="CP83" s="346"/>
      <c r="CQ83" s="346"/>
      <c r="CR83" s="346"/>
      <c r="CS83" s="346"/>
      <c r="CT83" s="346"/>
      <c r="CU83" s="346"/>
      <c r="CV83" s="346"/>
      <c r="CW83" s="346"/>
    </row>
    <row r="84" spans="1:101" x14ac:dyDescent="0.2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c r="BA84" s="347"/>
      <c r="BB84" s="347"/>
      <c r="BC84" s="347"/>
      <c r="BD84" s="347"/>
      <c r="BE84" s="347"/>
      <c r="BF84" s="347"/>
      <c r="BG84" s="347"/>
      <c r="BH84" s="347"/>
      <c r="BI84" s="347"/>
      <c r="BJ84" s="347"/>
      <c r="BK84" s="347"/>
      <c r="BL84" s="347"/>
      <c r="BM84" s="347"/>
      <c r="BN84" s="347"/>
      <c r="BO84" s="347"/>
      <c r="BP84" s="347"/>
      <c r="BQ84" s="347"/>
      <c r="BR84" s="347"/>
      <c r="BS84" s="347"/>
      <c r="BT84" s="347"/>
      <c r="BU84" s="347"/>
      <c r="BV84" s="347"/>
      <c r="BW84" s="347"/>
      <c r="BX84" s="347"/>
      <c r="BY84" s="347"/>
      <c r="BZ84" s="347"/>
      <c r="CA84" s="347"/>
      <c r="CB84" s="347"/>
      <c r="CC84" s="347"/>
      <c r="CD84" s="347"/>
      <c r="CE84" s="347"/>
      <c r="CF84" s="347"/>
      <c r="CG84" s="347"/>
      <c r="CH84" s="347"/>
      <c r="CI84" s="347"/>
      <c r="CJ84" s="347"/>
      <c r="CK84" s="347"/>
      <c r="CL84" s="347"/>
      <c r="CM84" s="347"/>
      <c r="CN84" s="347"/>
      <c r="CO84" s="346"/>
      <c r="CP84" s="346"/>
      <c r="CQ84" s="346"/>
      <c r="CR84" s="346"/>
      <c r="CS84" s="346"/>
      <c r="CT84" s="346"/>
      <c r="CU84" s="346"/>
      <c r="CV84" s="346"/>
      <c r="CW84" s="346"/>
    </row>
    <row r="85" spans="1:101" x14ac:dyDescent="0.2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7"/>
      <c r="AE85" s="347"/>
      <c r="AF85" s="347"/>
      <c r="AG85" s="347"/>
      <c r="AH85" s="347"/>
      <c r="AI85" s="347"/>
      <c r="AJ85" s="347"/>
      <c r="AK85" s="347"/>
      <c r="AL85" s="347"/>
      <c r="AM85" s="347"/>
      <c r="AN85" s="347"/>
      <c r="AO85" s="347"/>
      <c r="AP85" s="347"/>
      <c r="AQ85" s="347"/>
      <c r="AR85" s="347"/>
      <c r="AS85" s="347"/>
      <c r="AT85" s="347"/>
      <c r="AU85" s="347"/>
      <c r="AV85" s="347"/>
      <c r="AW85" s="347"/>
      <c r="AX85" s="347"/>
      <c r="AY85" s="347"/>
      <c r="AZ85" s="347"/>
      <c r="BA85" s="347"/>
      <c r="BB85" s="347"/>
      <c r="BC85" s="347"/>
      <c r="BD85" s="347"/>
      <c r="BE85" s="347"/>
      <c r="BF85" s="347"/>
      <c r="BG85" s="347"/>
      <c r="BH85" s="347"/>
      <c r="BI85" s="347"/>
      <c r="BJ85" s="347"/>
      <c r="BK85" s="347"/>
      <c r="BL85" s="347"/>
      <c r="BM85" s="347"/>
      <c r="BN85" s="347"/>
      <c r="BO85" s="347"/>
      <c r="BP85" s="347"/>
      <c r="BQ85" s="347"/>
      <c r="BR85" s="347"/>
      <c r="BS85" s="347"/>
      <c r="BT85" s="347"/>
      <c r="BU85" s="347"/>
      <c r="BV85" s="347"/>
      <c r="BW85" s="347"/>
      <c r="BX85" s="347"/>
      <c r="BY85" s="347"/>
      <c r="BZ85" s="347"/>
      <c r="CA85" s="347"/>
      <c r="CB85" s="347"/>
      <c r="CC85" s="347"/>
      <c r="CD85" s="347"/>
      <c r="CE85" s="347"/>
      <c r="CF85" s="347"/>
      <c r="CG85" s="347"/>
      <c r="CH85" s="347"/>
      <c r="CI85" s="347"/>
      <c r="CJ85" s="347"/>
      <c r="CK85" s="347"/>
      <c r="CL85" s="347"/>
      <c r="CM85" s="347"/>
      <c r="CN85" s="347"/>
      <c r="CO85" s="346"/>
      <c r="CP85" s="346"/>
      <c r="CQ85" s="346"/>
      <c r="CR85" s="346"/>
      <c r="CS85" s="346"/>
      <c r="CT85" s="346"/>
      <c r="CU85" s="346"/>
      <c r="CV85" s="346"/>
      <c r="CW85" s="346"/>
    </row>
    <row r="86" spans="1:101" x14ac:dyDescent="0.2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7"/>
      <c r="AE86" s="347"/>
      <c r="AF86" s="347"/>
      <c r="AG86" s="347"/>
      <c r="AH86" s="347"/>
      <c r="AI86" s="347"/>
      <c r="AJ86" s="347"/>
      <c r="AK86" s="347"/>
      <c r="AL86" s="347"/>
      <c r="AM86" s="347"/>
      <c r="AN86" s="347"/>
      <c r="AO86" s="347"/>
      <c r="AP86" s="347"/>
      <c r="AQ86" s="347"/>
      <c r="AR86" s="347"/>
      <c r="AS86" s="347"/>
      <c r="AT86" s="347"/>
      <c r="AU86" s="347"/>
      <c r="AV86" s="347"/>
      <c r="AW86" s="347"/>
      <c r="AX86" s="347"/>
      <c r="AY86" s="347"/>
      <c r="AZ86" s="347"/>
      <c r="BA86" s="347"/>
      <c r="BB86" s="347"/>
      <c r="BC86" s="347"/>
      <c r="BD86" s="347"/>
      <c r="BE86" s="347"/>
      <c r="BF86" s="347"/>
      <c r="BG86" s="347"/>
      <c r="BH86" s="347"/>
      <c r="BI86" s="347"/>
      <c r="BJ86" s="347"/>
      <c r="BK86" s="347"/>
      <c r="BL86" s="347"/>
      <c r="BM86" s="347"/>
      <c r="BN86" s="347"/>
      <c r="BO86" s="347"/>
      <c r="BP86" s="347"/>
      <c r="BQ86" s="347"/>
      <c r="BR86" s="347"/>
      <c r="BS86" s="347"/>
      <c r="BT86" s="347"/>
      <c r="BU86" s="347"/>
      <c r="BV86" s="347"/>
      <c r="BW86" s="347"/>
      <c r="BX86" s="347"/>
      <c r="BY86" s="347"/>
      <c r="BZ86" s="347"/>
      <c r="CA86" s="347"/>
      <c r="CB86" s="347"/>
      <c r="CC86" s="347"/>
      <c r="CD86" s="347"/>
      <c r="CE86" s="347"/>
      <c r="CF86" s="347"/>
      <c r="CG86" s="347"/>
      <c r="CH86" s="347"/>
      <c r="CI86" s="347"/>
      <c r="CJ86" s="347"/>
      <c r="CK86" s="347"/>
      <c r="CL86" s="347"/>
      <c r="CM86" s="347"/>
      <c r="CN86" s="347"/>
      <c r="CO86" s="346"/>
      <c r="CP86" s="346"/>
      <c r="CQ86" s="346"/>
      <c r="CR86" s="346"/>
      <c r="CS86" s="346"/>
      <c r="CT86" s="346"/>
      <c r="CU86" s="346"/>
      <c r="CV86" s="346"/>
      <c r="CW86" s="346"/>
    </row>
    <row r="87" spans="1:101" x14ac:dyDescent="0.2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7"/>
      <c r="AE87" s="347"/>
      <c r="AF87" s="347"/>
      <c r="AG87" s="347"/>
      <c r="AH87" s="347"/>
      <c r="AI87" s="347"/>
      <c r="AJ87" s="347"/>
      <c r="AK87" s="347"/>
      <c r="AL87" s="347"/>
      <c r="AM87" s="347"/>
      <c r="AN87" s="347"/>
      <c r="AO87" s="347"/>
      <c r="AP87" s="347"/>
      <c r="AQ87" s="347"/>
      <c r="AR87" s="347"/>
      <c r="AS87" s="347"/>
      <c r="AT87" s="347"/>
      <c r="AU87" s="347"/>
      <c r="AV87" s="347"/>
      <c r="AW87" s="347"/>
      <c r="AX87" s="347"/>
      <c r="AY87" s="347"/>
      <c r="AZ87" s="347"/>
      <c r="BA87" s="347"/>
      <c r="BB87" s="347"/>
      <c r="BC87" s="347"/>
      <c r="BD87" s="347"/>
      <c r="BE87" s="347"/>
      <c r="BF87" s="347"/>
      <c r="BG87" s="347"/>
      <c r="BH87" s="347"/>
      <c r="BI87" s="347"/>
      <c r="BJ87" s="347"/>
      <c r="BK87" s="347"/>
      <c r="BL87" s="347"/>
      <c r="BM87" s="347"/>
      <c r="BN87" s="347"/>
      <c r="BO87" s="347"/>
      <c r="BP87" s="347"/>
      <c r="BQ87" s="347"/>
      <c r="BR87" s="347"/>
      <c r="BS87" s="347"/>
      <c r="BT87" s="347"/>
      <c r="BU87" s="347"/>
      <c r="BV87" s="347"/>
      <c r="BW87" s="347"/>
      <c r="BX87" s="347"/>
      <c r="BY87" s="347"/>
      <c r="BZ87" s="347"/>
      <c r="CA87" s="347"/>
      <c r="CB87" s="347"/>
      <c r="CC87" s="347"/>
      <c r="CD87" s="347"/>
      <c r="CE87" s="347"/>
      <c r="CF87" s="347"/>
      <c r="CG87" s="347"/>
      <c r="CH87" s="347"/>
      <c r="CI87" s="347"/>
      <c r="CJ87" s="347"/>
      <c r="CK87" s="347"/>
      <c r="CL87" s="347"/>
      <c r="CM87" s="347"/>
      <c r="CN87" s="347"/>
      <c r="CO87" s="346"/>
      <c r="CP87" s="346"/>
      <c r="CQ87" s="346"/>
      <c r="CR87" s="346"/>
      <c r="CS87" s="346"/>
      <c r="CT87" s="346"/>
      <c r="CU87" s="346"/>
      <c r="CV87" s="346"/>
      <c r="CW87" s="346"/>
    </row>
    <row r="88" spans="1:101" x14ac:dyDescent="0.2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7"/>
      <c r="AE88" s="347"/>
      <c r="AF88" s="347"/>
      <c r="AG88" s="347"/>
      <c r="AH88" s="347"/>
      <c r="AI88" s="347"/>
      <c r="AJ88" s="347"/>
      <c r="AK88" s="347"/>
      <c r="AL88" s="347"/>
      <c r="AM88" s="347"/>
      <c r="AN88" s="347"/>
      <c r="AO88" s="347"/>
      <c r="AP88" s="347"/>
      <c r="AQ88" s="347"/>
      <c r="AR88" s="347"/>
      <c r="AS88" s="347"/>
      <c r="AT88" s="347"/>
      <c r="AU88" s="347"/>
      <c r="AV88" s="347"/>
      <c r="AW88" s="347"/>
      <c r="AX88" s="347"/>
      <c r="AY88" s="347"/>
      <c r="AZ88" s="347"/>
      <c r="BA88" s="347"/>
      <c r="BB88" s="347"/>
      <c r="BC88" s="347"/>
      <c r="BD88" s="347"/>
      <c r="BE88" s="347"/>
      <c r="BF88" s="347"/>
      <c r="BG88" s="347"/>
      <c r="BH88" s="347"/>
      <c r="BI88" s="347"/>
      <c r="BJ88" s="347"/>
      <c r="BK88" s="347"/>
      <c r="BL88" s="347"/>
      <c r="BM88" s="347"/>
      <c r="BN88" s="347"/>
      <c r="BO88" s="347"/>
      <c r="BP88" s="347"/>
      <c r="BQ88" s="347"/>
      <c r="BR88" s="347"/>
      <c r="BS88" s="347"/>
      <c r="BT88" s="347"/>
      <c r="BU88" s="347"/>
      <c r="BV88" s="347"/>
      <c r="BW88" s="347"/>
      <c r="BX88" s="347"/>
      <c r="BY88" s="347"/>
      <c r="BZ88" s="347"/>
      <c r="CA88" s="347"/>
      <c r="CB88" s="347"/>
      <c r="CC88" s="347"/>
      <c r="CD88" s="347"/>
      <c r="CE88" s="347"/>
      <c r="CF88" s="347"/>
      <c r="CG88" s="347"/>
      <c r="CH88" s="347"/>
      <c r="CI88" s="347"/>
      <c r="CJ88" s="347"/>
      <c r="CK88" s="347"/>
      <c r="CL88" s="347"/>
      <c r="CM88" s="347"/>
      <c r="CN88" s="347"/>
      <c r="CO88" s="346"/>
      <c r="CP88" s="346"/>
      <c r="CQ88" s="346"/>
      <c r="CR88" s="346"/>
      <c r="CS88" s="346"/>
      <c r="CT88" s="346"/>
      <c r="CU88" s="346"/>
      <c r="CV88" s="346"/>
      <c r="CW88" s="346"/>
    </row>
    <row r="89" spans="1:101" x14ac:dyDescent="0.2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7"/>
      <c r="AE89" s="347"/>
      <c r="AF89" s="347"/>
      <c r="AG89" s="347"/>
      <c r="AH89" s="347"/>
      <c r="AI89" s="347"/>
      <c r="AJ89" s="347"/>
      <c r="AK89" s="347"/>
      <c r="AL89" s="347"/>
      <c r="AM89" s="347"/>
      <c r="AN89" s="347"/>
      <c r="AO89" s="347"/>
      <c r="AP89" s="347"/>
      <c r="AQ89" s="347"/>
      <c r="AR89" s="347"/>
      <c r="AS89" s="347"/>
      <c r="AT89" s="347"/>
      <c r="AU89" s="347"/>
      <c r="AV89" s="347"/>
      <c r="AW89" s="347"/>
      <c r="AX89" s="347"/>
      <c r="AY89" s="347"/>
      <c r="AZ89" s="347"/>
      <c r="BA89" s="347"/>
      <c r="BB89" s="347"/>
      <c r="BC89" s="347"/>
      <c r="BD89" s="347"/>
      <c r="BE89" s="347"/>
      <c r="BF89" s="347"/>
      <c r="BG89" s="347"/>
      <c r="BH89" s="347"/>
      <c r="BI89" s="347"/>
      <c r="BJ89" s="347"/>
      <c r="BK89" s="347"/>
      <c r="BL89" s="347"/>
      <c r="BM89" s="347"/>
      <c r="BN89" s="347"/>
      <c r="BO89" s="347"/>
      <c r="BP89" s="347"/>
      <c r="BQ89" s="347"/>
      <c r="BR89" s="347"/>
      <c r="BS89" s="347"/>
      <c r="BT89" s="347"/>
      <c r="BU89" s="347"/>
      <c r="BV89" s="347"/>
      <c r="BW89" s="347"/>
      <c r="BX89" s="347"/>
      <c r="BY89" s="347"/>
      <c r="BZ89" s="347"/>
      <c r="CA89" s="347"/>
      <c r="CB89" s="347"/>
      <c r="CC89" s="347"/>
      <c r="CD89" s="347"/>
      <c r="CE89" s="347"/>
      <c r="CF89" s="347"/>
      <c r="CG89" s="347"/>
      <c r="CH89" s="347"/>
      <c r="CI89" s="347"/>
      <c r="CJ89" s="347"/>
      <c r="CK89" s="347"/>
      <c r="CL89" s="347"/>
      <c r="CM89" s="347"/>
      <c r="CN89" s="347"/>
      <c r="CO89" s="346"/>
      <c r="CP89" s="346"/>
      <c r="CQ89" s="346"/>
      <c r="CR89" s="346"/>
      <c r="CS89" s="346"/>
      <c r="CT89" s="346"/>
      <c r="CU89" s="346"/>
      <c r="CV89" s="346"/>
      <c r="CW89" s="346"/>
    </row>
    <row r="90" spans="1:101" x14ac:dyDescent="0.2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7"/>
      <c r="AE90" s="347"/>
      <c r="AF90" s="347"/>
      <c r="AG90" s="347"/>
      <c r="AH90" s="347"/>
      <c r="AI90" s="347"/>
      <c r="AJ90" s="347"/>
      <c r="AK90" s="347"/>
      <c r="AL90" s="347"/>
      <c r="AM90" s="347"/>
      <c r="AN90" s="347"/>
      <c r="AO90" s="347"/>
      <c r="AP90" s="347"/>
      <c r="AQ90" s="347"/>
      <c r="AR90" s="347"/>
      <c r="AS90" s="347"/>
      <c r="AT90" s="347"/>
      <c r="AU90" s="347"/>
      <c r="AV90" s="347"/>
      <c r="AW90" s="347"/>
      <c r="AX90" s="347"/>
      <c r="AY90" s="347"/>
      <c r="AZ90" s="347"/>
      <c r="BA90" s="347"/>
      <c r="BB90" s="347"/>
      <c r="BC90" s="347"/>
      <c r="BD90" s="347"/>
      <c r="BE90" s="347"/>
      <c r="BF90" s="347"/>
      <c r="BG90" s="347"/>
      <c r="BH90" s="347"/>
      <c r="BI90" s="347"/>
      <c r="BJ90" s="347"/>
      <c r="BK90" s="347"/>
      <c r="BL90" s="347"/>
      <c r="BM90" s="347"/>
      <c r="BN90" s="347"/>
      <c r="BO90" s="347"/>
      <c r="BP90" s="347"/>
      <c r="BQ90" s="347"/>
      <c r="BR90" s="347"/>
      <c r="BS90" s="347"/>
      <c r="BT90" s="347"/>
      <c r="BU90" s="347"/>
      <c r="BV90" s="347"/>
      <c r="BW90" s="347"/>
      <c r="BX90" s="347"/>
      <c r="BY90" s="347"/>
      <c r="BZ90" s="347"/>
      <c r="CA90" s="347"/>
      <c r="CB90" s="347"/>
      <c r="CC90" s="347"/>
      <c r="CD90" s="347"/>
      <c r="CE90" s="347"/>
      <c r="CF90" s="347"/>
      <c r="CG90" s="347"/>
      <c r="CH90" s="347"/>
      <c r="CI90" s="347"/>
      <c r="CJ90" s="347"/>
      <c r="CK90" s="347"/>
      <c r="CL90" s="347"/>
      <c r="CM90" s="347"/>
      <c r="CN90" s="347"/>
      <c r="CO90" s="346"/>
      <c r="CP90" s="346"/>
      <c r="CQ90" s="346"/>
      <c r="CR90" s="346"/>
      <c r="CS90" s="346"/>
      <c r="CT90" s="346"/>
      <c r="CU90" s="346"/>
      <c r="CV90" s="346"/>
      <c r="CW90" s="346"/>
    </row>
    <row r="91" spans="1:101" x14ac:dyDescent="0.2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7"/>
      <c r="AE91" s="347"/>
      <c r="AF91" s="347"/>
      <c r="AG91" s="347"/>
      <c r="AH91" s="347"/>
      <c r="AI91" s="347"/>
      <c r="AJ91" s="347"/>
      <c r="AK91" s="347"/>
      <c r="AL91" s="347"/>
      <c r="AM91" s="347"/>
      <c r="AN91" s="347"/>
      <c r="AO91" s="347"/>
      <c r="AP91" s="347"/>
      <c r="AQ91" s="347"/>
      <c r="AR91" s="347"/>
      <c r="AS91" s="347"/>
      <c r="AT91" s="347"/>
      <c r="AU91" s="347"/>
      <c r="AV91" s="347"/>
      <c r="AW91" s="347"/>
      <c r="AX91" s="347"/>
      <c r="AY91" s="347"/>
      <c r="AZ91" s="347"/>
      <c r="BA91" s="347"/>
      <c r="BB91" s="347"/>
      <c r="BC91" s="347"/>
      <c r="BD91" s="347"/>
      <c r="BE91" s="347"/>
      <c r="BF91" s="347"/>
      <c r="BG91" s="347"/>
      <c r="BH91" s="347"/>
      <c r="BI91" s="347"/>
      <c r="BJ91" s="347"/>
      <c r="BK91" s="347"/>
      <c r="BL91" s="347"/>
      <c r="BM91" s="347"/>
      <c r="BN91" s="347"/>
      <c r="BO91" s="347"/>
      <c r="BP91" s="347"/>
      <c r="BQ91" s="347"/>
      <c r="BR91" s="347"/>
      <c r="BS91" s="347"/>
      <c r="BT91" s="347"/>
      <c r="BU91" s="347"/>
      <c r="BV91" s="347"/>
      <c r="BW91" s="347"/>
      <c r="BX91" s="347"/>
      <c r="BY91" s="347"/>
      <c r="BZ91" s="347"/>
      <c r="CA91" s="347"/>
      <c r="CB91" s="347"/>
      <c r="CC91" s="347"/>
      <c r="CD91" s="347"/>
      <c r="CE91" s="347"/>
      <c r="CF91" s="347"/>
      <c r="CG91" s="347"/>
      <c r="CH91" s="347"/>
      <c r="CI91" s="347"/>
      <c r="CJ91" s="347"/>
      <c r="CK91" s="347"/>
      <c r="CL91" s="347"/>
      <c r="CM91" s="347"/>
      <c r="CN91" s="347"/>
      <c r="CO91" s="346"/>
      <c r="CP91" s="346"/>
      <c r="CQ91" s="346"/>
      <c r="CR91" s="346"/>
      <c r="CS91" s="346"/>
      <c r="CT91" s="346"/>
      <c r="CU91" s="346"/>
      <c r="CV91" s="346"/>
      <c r="CW91" s="346"/>
    </row>
    <row r="92" spans="1:101" x14ac:dyDescent="0.2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7"/>
      <c r="AE92" s="347"/>
      <c r="AF92" s="347"/>
      <c r="AG92" s="347"/>
      <c r="AH92" s="347"/>
      <c r="AI92" s="347"/>
      <c r="AJ92" s="347"/>
      <c r="AK92" s="347"/>
      <c r="AL92" s="347"/>
      <c r="AM92" s="347"/>
      <c r="AN92" s="347"/>
      <c r="AO92" s="347"/>
      <c r="AP92" s="347"/>
      <c r="AQ92" s="347"/>
      <c r="AR92" s="347"/>
      <c r="AS92" s="347"/>
      <c r="AT92" s="347"/>
      <c r="AU92" s="347"/>
      <c r="AV92" s="347"/>
      <c r="AW92" s="347"/>
      <c r="AX92" s="347"/>
      <c r="AY92" s="347"/>
      <c r="AZ92" s="347"/>
      <c r="BA92" s="347"/>
      <c r="BB92" s="347"/>
      <c r="BC92" s="347"/>
      <c r="BD92" s="347"/>
      <c r="BE92" s="347"/>
      <c r="BF92" s="347"/>
      <c r="BG92" s="347"/>
      <c r="BH92" s="347"/>
      <c r="BI92" s="347"/>
      <c r="BJ92" s="347"/>
      <c r="BK92" s="347"/>
      <c r="BL92" s="347"/>
      <c r="BM92" s="347"/>
      <c r="BN92" s="347"/>
      <c r="BO92" s="347"/>
      <c r="BP92" s="347"/>
      <c r="BQ92" s="347"/>
      <c r="BR92" s="347"/>
      <c r="BS92" s="347"/>
      <c r="BT92" s="347"/>
      <c r="BU92" s="347"/>
      <c r="BV92" s="347"/>
      <c r="BW92" s="347"/>
      <c r="BX92" s="347"/>
      <c r="BY92" s="347"/>
      <c r="BZ92" s="347"/>
      <c r="CA92" s="347"/>
      <c r="CB92" s="347"/>
      <c r="CC92" s="347"/>
      <c r="CD92" s="347"/>
      <c r="CE92" s="347"/>
      <c r="CF92" s="347"/>
      <c r="CG92" s="347"/>
      <c r="CH92" s="347"/>
      <c r="CI92" s="347"/>
      <c r="CJ92" s="347"/>
      <c r="CK92" s="347"/>
      <c r="CL92" s="347"/>
      <c r="CM92" s="347"/>
      <c r="CN92" s="347"/>
      <c r="CO92" s="346"/>
      <c r="CP92" s="346"/>
      <c r="CQ92" s="346"/>
      <c r="CR92" s="346"/>
      <c r="CS92" s="346"/>
      <c r="CT92" s="346"/>
      <c r="CU92" s="346"/>
      <c r="CV92" s="346"/>
      <c r="CW92" s="346"/>
    </row>
    <row r="93" spans="1:101" x14ac:dyDescent="0.2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7"/>
      <c r="AE93" s="347"/>
      <c r="AF93" s="347"/>
      <c r="AG93" s="347"/>
      <c r="AH93" s="347"/>
      <c r="AI93" s="347"/>
      <c r="AJ93" s="347"/>
      <c r="AK93" s="347"/>
      <c r="AL93" s="347"/>
      <c r="AM93" s="347"/>
      <c r="AN93" s="347"/>
      <c r="AO93" s="347"/>
      <c r="AP93" s="347"/>
      <c r="AQ93" s="347"/>
      <c r="AR93" s="347"/>
      <c r="AS93" s="347"/>
      <c r="AT93" s="347"/>
      <c r="AU93" s="347"/>
      <c r="AV93" s="347"/>
      <c r="AW93" s="347"/>
      <c r="AX93" s="347"/>
      <c r="AY93" s="347"/>
      <c r="AZ93" s="347"/>
      <c r="BA93" s="347"/>
      <c r="BB93" s="347"/>
      <c r="BC93" s="347"/>
      <c r="BD93" s="347"/>
      <c r="BE93" s="347"/>
      <c r="BF93" s="347"/>
      <c r="BG93" s="347"/>
      <c r="BH93" s="347"/>
      <c r="BI93" s="347"/>
      <c r="BJ93" s="347"/>
      <c r="BK93" s="347"/>
      <c r="BL93" s="347"/>
      <c r="BM93" s="347"/>
      <c r="BN93" s="347"/>
      <c r="BO93" s="347"/>
      <c r="BP93" s="347"/>
      <c r="BQ93" s="347"/>
      <c r="BR93" s="347"/>
      <c r="BS93" s="347"/>
      <c r="BT93" s="347"/>
      <c r="BU93" s="347"/>
      <c r="BV93" s="347"/>
      <c r="BW93" s="347"/>
      <c r="BX93" s="347"/>
      <c r="BY93" s="347"/>
      <c r="BZ93" s="347"/>
      <c r="CA93" s="347"/>
      <c r="CB93" s="347"/>
      <c r="CC93" s="347"/>
      <c r="CD93" s="347"/>
      <c r="CE93" s="347"/>
      <c r="CF93" s="347"/>
      <c r="CG93" s="347"/>
      <c r="CH93" s="347"/>
      <c r="CI93" s="347"/>
      <c r="CJ93" s="347"/>
      <c r="CK93" s="347"/>
      <c r="CL93" s="347"/>
      <c r="CM93" s="347"/>
      <c r="CN93" s="347"/>
      <c r="CO93" s="346"/>
      <c r="CP93" s="346"/>
      <c r="CQ93" s="346"/>
      <c r="CR93" s="346"/>
      <c r="CS93" s="346"/>
      <c r="CT93" s="346"/>
      <c r="CU93" s="346"/>
      <c r="CV93" s="346"/>
      <c r="CW93" s="346"/>
    </row>
    <row r="94" spans="1:101" x14ac:dyDescent="0.2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7"/>
      <c r="AE94" s="347"/>
      <c r="AF94" s="347"/>
      <c r="AG94" s="347"/>
      <c r="AH94" s="347"/>
      <c r="AI94" s="347"/>
      <c r="AJ94" s="347"/>
      <c r="AK94" s="347"/>
      <c r="AL94" s="347"/>
      <c r="AM94" s="347"/>
      <c r="AN94" s="347"/>
      <c r="AO94" s="347"/>
      <c r="AP94" s="347"/>
      <c r="AQ94" s="347"/>
      <c r="AR94" s="347"/>
      <c r="AS94" s="347"/>
      <c r="AT94" s="347"/>
      <c r="AU94" s="347"/>
      <c r="AV94" s="347"/>
      <c r="AW94" s="347"/>
      <c r="AX94" s="347"/>
      <c r="AY94" s="347"/>
      <c r="AZ94" s="347"/>
      <c r="BA94" s="347"/>
      <c r="BB94" s="347"/>
      <c r="BC94" s="347"/>
      <c r="BD94" s="347"/>
      <c r="BE94" s="347"/>
      <c r="BF94" s="347"/>
      <c r="BG94" s="347"/>
      <c r="BH94" s="347"/>
      <c r="BI94" s="347"/>
      <c r="BJ94" s="347"/>
      <c r="BK94" s="347"/>
      <c r="BL94" s="347"/>
      <c r="BM94" s="347"/>
      <c r="BN94" s="347"/>
      <c r="BO94" s="347"/>
      <c r="BP94" s="347"/>
      <c r="BQ94" s="347"/>
      <c r="BR94" s="347"/>
      <c r="BS94" s="347"/>
      <c r="BT94" s="347"/>
      <c r="BU94" s="347"/>
      <c r="BV94" s="347"/>
      <c r="BW94" s="347"/>
      <c r="BX94" s="347"/>
      <c r="BY94" s="347"/>
      <c r="BZ94" s="347"/>
      <c r="CA94" s="347"/>
      <c r="CB94" s="347"/>
      <c r="CC94" s="347"/>
      <c r="CD94" s="347"/>
      <c r="CE94" s="347"/>
      <c r="CF94" s="347"/>
      <c r="CG94" s="347"/>
      <c r="CH94" s="347"/>
      <c r="CI94" s="347"/>
      <c r="CJ94" s="347"/>
      <c r="CK94" s="347"/>
      <c r="CL94" s="347"/>
      <c r="CM94" s="347"/>
      <c r="CN94" s="347"/>
      <c r="CO94" s="346"/>
      <c r="CP94" s="346"/>
      <c r="CQ94" s="346"/>
      <c r="CR94" s="346"/>
      <c r="CS94" s="346"/>
      <c r="CT94" s="346"/>
      <c r="CU94" s="346"/>
      <c r="CV94" s="346"/>
      <c r="CW94" s="346"/>
    </row>
    <row r="95" spans="1:101" x14ac:dyDescent="0.2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7"/>
      <c r="AE95" s="347"/>
      <c r="AF95" s="347"/>
      <c r="AG95" s="347"/>
      <c r="AH95" s="347"/>
      <c r="AI95" s="347"/>
      <c r="AJ95" s="347"/>
      <c r="AK95" s="347"/>
      <c r="AL95" s="347"/>
      <c r="AM95" s="347"/>
      <c r="AN95" s="347"/>
      <c r="AO95" s="347"/>
      <c r="AP95" s="347"/>
      <c r="AQ95" s="347"/>
      <c r="AR95" s="347"/>
      <c r="AS95" s="347"/>
      <c r="AT95" s="347"/>
      <c r="AU95" s="347"/>
      <c r="AV95" s="347"/>
      <c r="AW95" s="347"/>
      <c r="AX95" s="347"/>
      <c r="AY95" s="347"/>
      <c r="AZ95" s="347"/>
      <c r="BA95" s="347"/>
      <c r="BB95" s="347"/>
      <c r="BC95" s="347"/>
      <c r="BD95" s="347"/>
      <c r="BE95" s="347"/>
      <c r="BF95" s="347"/>
      <c r="BG95" s="347"/>
      <c r="BH95" s="347"/>
      <c r="BI95" s="347"/>
      <c r="BJ95" s="347"/>
      <c r="BK95" s="347"/>
      <c r="BL95" s="347"/>
      <c r="BM95" s="347"/>
      <c r="BN95" s="347"/>
      <c r="BO95" s="347"/>
      <c r="BP95" s="347"/>
      <c r="BQ95" s="347"/>
      <c r="BR95" s="347"/>
      <c r="BS95" s="347"/>
      <c r="BT95" s="347"/>
      <c r="BU95" s="347"/>
      <c r="BV95" s="347"/>
      <c r="BW95" s="347"/>
      <c r="BX95" s="347"/>
      <c r="BY95" s="347"/>
      <c r="BZ95" s="347"/>
      <c r="CA95" s="347"/>
      <c r="CB95" s="347"/>
      <c r="CC95" s="347"/>
      <c r="CD95" s="347"/>
      <c r="CE95" s="347"/>
      <c r="CF95" s="347"/>
      <c r="CG95" s="347"/>
      <c r="CH95" s="346"/>
      <c r="CI95" s="347"/>
      <c r="CJ95" s="347"/>
      <c r="CK95" s="347"/>
      <c r="CL95" s="347"/>
      <c r="CM95" s="347"/>
      <c r="CN95" s="347"/>
      <c r="CO95" s="346"/>
      <c r="CP95" s="346"/>
      <c r="CQ95" s="346"/>
      <c r="CR95" s="346"/>
      <c r="CS95" s="346"/>
      <c r="CT95" s="346"/>
      <c r="CU95" s="346"/>
      <c r="CV95" s="346"/>
      <c r="CW95" s="346"/>
    </row>
    <row r="96" spans="1:101" x14ac:dyDescent="0.2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7"/>
      <c r="AE96" s="347"/>
      <c r="AF96" s="347"/>
      <c r="AG96" s="347"/>
      <c r="AH96" s="347"/>
      <c r="AI96" s="347"/>
      <c r="AJ96" s="347"/>
      <c r="AK96" s="347"/>
      <c r="AL96" s="347"/>
      <c r="AM96" s="347"/>
      <c r="AN96" s="347"/>
      <c r="AO96" s="347"/>
      <c r="AP96" s="347"/>
      <c r="AQ96" s="347"/>
      <c r="AR96" s="347"/>
      <c r="AS96" s="347"/>
      <c r="AT96" s="347"/>
      <c r="AU96" s="347"/>
      <c r="AV96" s="347"/>
      <c r="AW96" s="347"/>
      <c r="AX96" s="347"/>
      <c r="AY96" s="347"/>
      <c r="AZ96" s="347"/>
      <c r="BA96" s="347"/>
      <c r="BB96" s="347"/>
      <c r="BC96" s="347"/>
      <c r="BD96" s="347"/>
      <c r="BE96" s="347"/>
      <c r="BF96" s="347"/>
      <c r="BG96" s="347"/>
      <c r="BH96" s="347"/>
      <c r="BI96" s="347"/>
      <c r="BJ96" s="347"/>
      <c r="BK96" s="347"/>
      <c r="BL96" s="347"/>
      <c r="BM96" s="347"/>
      <c r="BN96" s="347"/>
      <c r="BO96" s="347"/>
      <c r="BP96" s="347"/>
      <c r="BQ96" s="347"/>
      <c r="BR96" s="347"/>
      <c r="BS96" s="347"/>
      <c r="BT96" s="347"/>
      <c r="BU96" s="347"/>
      <c r="BV96" s="347"/>
      <c r="BW96" s="347"/>
      <c r="BX96" s="347"/>
      <c r="BY96" s="347"/>
      <c r="BZ96" s="347"/>
      <c r="CA96" s="347"/>
      <c r="CB96" s="347"/>
      <c r="CC96" s="347"/>
      <c r="CD96" s="347"/>
      <c r="CE96" s="347"/>
      <c r="CF96" s="347"/>
      <c r="CG96" s="347"/>
      <c r="CH96" s="346"/>
      <c r="CI96" s="347"/>
      <c r="CJ96" s="347"/>
      <c r="CK96" s="347"/>
      <c r="CL96" s="347"/>
      <c r="CM96" s="347"/>
      <c r="CN96" s="347"/>
      <c r="CO96" s="346"/>
      <c r="CP96" s="346"/>
      <c r="CQ96" s="346"/>
      <c r="CR96" s="346"/>
      <c r="CS96" s="346"/>
      <c r="CT96" s="346"/>
      <c r="CU96" s="346"/>
      <c r="CV96" s="346"/>
      <c r="CW96" s="346"/>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D9ED9-E65E-4F3C-9B1E-763BFAF0FAA8}">
  <sheetPr codeName="Sheet10"/>
  <dimension ref="A1:CW96"/>
  <sheetViews>
    <sheetView zoomScale="80" zoomScaleNormal="80" workbookViewId="0"/>
  </sheetViews>
  <sheetFormatPr defaultRowHeight="15" x14ac:dyDescent="0.25"/>
  <cols>
    <col min="1" max="1" width="17.85546875" bestFit="1" customWidth="1"/>
    <col min="2" max="2" width="12" bestFit="1" customWidth="1"/>
  </cols>
  <sheetData>
    <row r="1" spans="1:101" x14ac:dyDescent="0.25">
      <c r="A1" s="346" t="s">
        <v>0</v>
      </c>
      <c r="B1" s="346" t="s">
        <v>1</v>
      </c>
      <c r="C1" s="346" t="s">
        <v>2</v>
      </c>
      <c r="D1" s="346" t="s">
        <v>3</v>
      </c>
      <c r="E1" s="346" t="s">
        <v>4</v>
      </c>
      <c r="F1" s="346" t="s">
        <v>5</v>
      </c>
      <c r="G1" s="348" t="s">
        <v>6</v>
      </c>
      <c r="H1" s="348" t="s">
        <v>7</v>
      </c>
      <c r="I1" s="348" t="s">
        <v>8</v>
      </c>
      <c r="J1" s="348" t="s">
        <v>9</v>
      </c>
      <c r="K1" s="348" t="s">
        <v>10</v>
      </c>
      <c r="L1" s="348" t="s">
        <v>11</v>
      </c>
      <c r="M1" s="348" t="s">
        <v>12</v>
      </c>
      <c r="N1" s="348" t="s">
        <v>13</v>
      </c>
      <c r="O1" s="348" t="s">
        <v>14</v>
      </c>
      <c r="P1" s="348" t="s">
        <v>15</v>
      </c>
      <c r="Q1" s="348" t="s">
        <v>16</v>
      </c>
      <c r="R1" s="348" t="s">
        <v>17</v>
      </c>
      <c r="S1" s="348" t="s">
        <v>18</v>
      </c>
      <c r="T1" s="348" t="s">
        <v>19</v>
      </c>
      <c r="U1" s="348" t="s">
        <v>20</v>
      </c>
      <c r="V1" s="348" t="s">
        <v>21</v>
      </c>
      <c r="W1" s="348" t="s">
        <v>22</v>
      </c>
      <c r="X1" s="348" t="s">
        <v>23</v>
      </c>
      <c r="Y1" s="348" t="s">
        <v>24</v>
      </c>
      <c r="Z1" s="348" t="s">
        <v>25</v>
      </c>
      <c r="AA1" s="348" t="s">
        <v>26</v>
      </c>
      <c r="AB1" s="346" t="s">
        <v>27</v>
      </c>
      <c r="AC1" s="346" t="s">
        <v>28</v>
      </c>
      <c r="AD1" s="346" t="s">
        <v>29</v>
      </c>
      <c r="AE1" s="346" t="s">
        <v>30</v>
      </c>
      <c r="AF1" s="346" t="s">
        <v>31</v>
      </c>
      <c r="AG1" s="346" t="s">
        <v>32</v>
      </c>
      <c r="AH1" s="346" t="s">
        <v>33</v>
      </c>
      <c r="AI1" s="346" t="s">
        <v>34</v>
      </c>
      <c r="AJ1" s="346" t="s">
        <v>35</v>
      </c>
      <c r="AK1" s="346" t="s">
        <v>36</v>
      </c>
      <c r="AL1" s="346" t="s">
        <v>37</v>
      </c>
      <c r="AM1" s="346" t="s">
        <v>38</v>
      </c>
      <c r="AN1" s="346" t="s">
        <v>39</v>
      </c>
      <c r="AO1" s="346" t="s">
        <v>40</v>
      </c>
      <c r="AP1" s="348" t="s">
        <v>41</v>
      </c>
      <c r="AQ1" s="348" t="s">
        <v>42</v>
      </c>
      <c r="AR1" s="348" t="s">
        <v>43</v>
      </c>
      <c r="AS1" s="348" t="s">
        <v>44</v>
      </c>
      <c r="AT1" s="348" t="s">
        <v>45</v>
      </c>
      <c r="AU1" s="346" t="s">
        <v>46</v>
      </c>
      <c r="AV1" s="346" t="s">
        <v>47</v>
      </c>
      <c r="AW1" s="346" t="s">
        <v>48</v>
      </c>
      <c r="AX1" s="346" t="s">
        <v>49</v>
      </c>
      <c r="AY1" s="346" t="s">
        <v>50</v>
      </c>
      <c r="AZ1" s="346" t="s">
        <v>51</v>
      </c>
      <c r="BA1" s="346" t="s">
        <v>52</v>
      </c>
      <c r="BB1" s="346" t="s">
        <v>53</v>
      </c>
      <c r="BC1" s="346" t="s">
        <v>54</v>
      </c>
      <c r="BD1" s="346" t="s">
        <v>55</v>
      </c>
      <c r="BE1" s="346" t="s">
        <v>56</v>
      </c>
      <c r="BF1" s="346" t="s">
        <v>57</v>
      </c>
      <c r="BG1" s="346" t="s">
        <v>58</v>
      </c>
      <c r="BH1" s="346" t="s">
        <v>59</v>
      </c>
      <c r="BI1" s="346" t="s">
        <v>60</v>
      </c>
      <c r="BJ1" s="346" t="s">
        <v>61</v>
      </c>
      <c r="BK1" s="346" t="s">
        <v>62</v>
      </c>
      <c r="BL1" s="346" t="s">
        <v>63</v>
      </c>
      <c r="BM1" s="346" t="s">
        <v>64</v>
      </c>
      <c r="BN1" s="346" t="s">
        <v>65</v>
      </c>
      <c r="BO1" s="346" t="s">
        <v>66</v>
      </c>
      <c r="BP1" s="346" t="s">
        <v>67</v>
      </c>
      <c r="BQ1" s="346" t="s">
        <v>68</v>
      </c>
      <c r="BR1" s="346" t="s">
        <v>69</v>
      </c>
      <c r="BS1" s="346" t="s">
        <v>70</v>
      </c>
      <c r="BT1" s="346" t="s">
        <v>71</v>
      </c>
      <c r="BU1" s="346" t="s">
        <v>72</v>
      </c>
      <c r="BV1" s="346" t="s">
        <v>73</v>
      </c>
      <c r="BW1" s="346" t="s">
        <v>74</v>
      </c>
      <c r="BX1" s="346" t="s">
        <v>75</v>
      </c>
      <c r="BY1" s="346" t="s">
        <v>76</v>
      </c>
      <c r="BZ1" s="346" t="s">
        <v>77</v>
      </c>
      <c r="CA1" s="346" t="s">
        <v>78</v>
      </c>
      <c r="CB1" s="346" t="s">
        <v>79</v>
      </c>
      <c r="CC1" s="346" t="s">
        <v>80</v>
      </c>
      <c r="CD1" s="346" t="s">
        <v>81</v>
      </c>
      <c r="CE1" s="346" t="s">
        <v>82</v>
      </c>
      <c r="CF1" s="346" t="s">
        <v>83</v>
      </c>
      <c r="CG1" s="346" t="s">
        <v>84</v>
      </c>
      <c r="CH1" s="346" t="s">
        <v>85</v>
      </c>
      <c r="CI1" s="346" t="s">
        <v>86</v>
      </c>
      <c r="CJ1" s="346" t="s">
        <v>87</v>
      </c>
      <c r="CK1" s="346" t="s">
        <v>88</v>
      </c>
      <c r="CL1" s="346" t="s">
        <v>89</v>
      </c>
      <c r="CM1" s="346" t="s">
        <v>90</v>
      </c>
      <c r="CN1" s="346" t="s">
        <v>91</v>
      </c>
      <c r="CO1" s="346" t="s">
        <v>92</v>
      </c>
      <c r="CP1" s="346" t="s">
        <v>93</v>
      </c>
      <c r="CQ1" s="346" t="s">
        <v>94</v>
      </c>
      <c r="CR1" s="346" t="s">
        <v>95</v>
      </c>
      <c r="CS1" s="346" t="s">
        <v>96</v>
      </c>
      <c r="CT1" s="346" t="s">
        <v>97</v>
      </c>
      <c r="CU1" s="346" t="s">
        <v>98</v>
      </c>
      <c r="CV1" s="346" t="s">
        <v>99</v>
      </c>
      <c r="CW1" s="346" t="s">
        <v>100</v>
      </c>
    </row>
    <row r="2" spans="1:101" x14ac:dyDescent="0.25">
      <c r="A2" s="346" t="str">
        <f>VLOOKUP(B2,'Loan Book Summary'!C:G,5,FALSE)</f>
        <v>0015800001fH29a</v>
      </c>
      <c r="B2" s="346">
        <v>1100000151</v>
      </c>
      <c r="C2" s="346" t="s">
        <v>1889</v>
      </c>
      <c r="D2" s="346" t="s">
        <v>1889</v>
      </c>
      <c r="E2" s="346">
        <v>2022</v>
      </c>
      <c r="F2" s="346">
        <v>6</v>
      </c>
      <c r="G2" s="346">
        <v>3516.8321150000002</v>
      </c>
      <c r="H2" s="346">
        <v>1400.9438029999999</v>
      </c>
      <c r="I2" s="346">
        <v>1400.9438029999999</v>
      </c>
      <c r="J2" s="346">
        <v>45947.504849999998</v>
      </c>
      <c r="K2" s="346">
        <v>45139.25591</v>
      </c>
      <c r="L2" s="346">
        <v>-1358.7294300000001</v>
      </c>
      <c r="M2" s="346" t="s">
        <v>1889</v>
      </c>
      <c r="N2" s="346">
        <v>13465.528389999999</v>
      </c>
      <c r="O2" s="346">
        <v>13465.528389999999</v>
      </c>
      <c r="P2" s="346">
        <v>29866.446349999998</v>
      </c>
      <c r="Q2" s="346">
        <v>32927.227879999999</v>
      </c>
      <c r="R2" s="346">
        <v>30802.898000000001</v>
      </c>
      <c r="S2" s="346">
        <v>1584.7347150000001</v>
      </c>
      <c r="T2" s="346">
        <v>2029.002156</v>
      </c>
      <c r="U2" s="346">
        <v>4697.2088350000004</v>
      </c>
      <c r="V2" s="346">
        <v>2134.5653430000002</v>
      </c>
      <c r="W2" s="346">
        <v>1353.6502929999999</v>
      </c>
      <c r="X2" s="346" t="s">
        <v>101</v>
      </c>
      <c r="Y2" s="346">
        <v>87300</v>
      </c>
      <c r="Z2" s="346">
        <v>5</v>
      </c>
      <c r="AA2" s="346" t="s">
        <v>996</v>
      </c>
      <c r="AB2" s="346" t="s">
        <v>115</v>
      </c>
      <c r="AC2" s="346" t="s">
        <v>226</v>
      </c>
      <c r="AD2" s="347">
        <v>0.15620000000000001</v>
      </c>
      <c r="AE2" s="347">
        <v>5.04E-2</v>
      </c>
      <c r="AF2" s="346">
        <v>0.33</v>
      </c>
      <c r="AG2" s="346">
        <v>0.6</v>
      </c>
      <c r="AH2" s="346">
        <v>0.84</v>
      </c>
      <c r="AI2" s="346">
        <v>1.08</v>
      </c>
      <c r="AJ2" s="346">
        <v>1.31</v>
      </c>
      <c r="AK2" s="347">
        <v>3.3E-3</v>
      </c>
      <c r="AL2" s="347">
        <v>2.7000000000000001E-3</v>
      </c>
      <c r="AM2" s="347">
        <v>2.5000000000000001E-3</v>
      </c>
      <c r="AN2" s="347">
        <v>2.3999999999999998E-3</v>
      </c>
      <c r="AO2" s="347">
        <v>2.3E-3</v>
      </c>
      <c r="AP2" s="347">
        <v>3.3E-3</v>
      </c>
      <c r="AQ2" s="347">
        <v>3.0000000000000001E-3</v>
      </c>
      <c r="AR2" s="347">
        <v>2.8E-3</v>
      </c>
      <c r="AS2" s="347">
        <v>2.7000000000000001E-3</v>
      </c>
      <c r="AT2" s="347">
        <v>2.5999999999999999E-3</v>
      </c>
      <c r="AU2" s="347">
        <v>1.3100000000000001E-2</v>
      </c>
      <c r="AV2" s="346">
        <v>-25.42</v>
      </c>
      <c r="AW2" s="346">
        <v>-4.6100000000000003</v>
      </c>
      <c r="AX2" s="346">
        <v>10.64</v>
      </c>
      <c r="AY2" s="346">
        <v>-5.65</v>
      </c>
      <c r="AZ2" s="346">
        <v>-9.61</v>
      </c>
      <c r="BA2" s="346">
        <v>3.75</v>
      </c>
      <c r="BB2" s="346">
        <v>-9.82</v>
      </c>
      <c r="BC2" s="346">
        <v>-10.38</v>
      </c>
      <c r="BD2" s="346">
        <v>-20.12</v>
      </c>
      <c r="BE2" s="346">
        <v>-26.52</v>
      </c>
      <c r="BF2" s="346">
        <v>-2.87</v>
      </c>
      <c r="BG2" s="346">
        <v>6.1</v>
      </c>
      <c r="BH2" s="346">
        <v>-11.85</v>
      </c>
      <c r="BI2" s="346">
        <v>-6.95</v>
      </c>
      <c r="BJ2" s="346">
        <v>3.25</v>
      </c>
      <c r="BK2" s="346">
        <v>-8.3000000000000007</v>
      </c>
      <c r="BL2" s="346">
        <v>-7.16</v>
      </c>
      <c r="BM2" s="346">
        <v>-27.01</v>
      </c>
      <c r="BN2" s="346">
        <v>223.15</v>
      </c>
      <c r="BO2" s="346">
        <v>-9.0299999999999994</v>
      </c>
      <c r="BP2" s="346">
        <v>-298.87</v>
      </c>
      <c r="BQ2" s="346">
        <v>6.84</v>
      </c>
      <c r="BR2" s="346">
        <v>3.31</v>
      </c>
      <c r="BS2" s="346">
        <v>127.3</v>
      </c>
      <c r="BT2" s="346">
        <v>-154.75</v>
      </c>
      <c r="BU2" s="346">
        <v>-65.81</v>
      </c>
      <c r="BV2" s="346">
        <v>-10.96</v>
      </c>
      <c r="BW2" s="346">
        <v>274.88</v>
      </c>
      <c r="BX2" s="346">
        <v>-8.77</v>
      </c>
      <c r="BY2" s="346">
        <v>-210.12</v>
      </c>
      <c r="BZ2" s="346">
        <v>21.98</v>
      </c>
      <c r="CA2" s="346">
        <v>3.76</v>
      </c>
      <c r="CB2" s="346">
        <v>137.16</v>
      </c>
      <c r="CC2" s="346">
        <v>-159.38999999999999</v>
      </c>
      <c r="CD2" s="346">
        <v>-61.54</v>
      </c>
      <c r="CE2" s="346">
        <v>-22.4</v>
      </c>
      <c r="CF2" s="346">
        <v>2</v>
      </c>
      <c r="CG2" s="346">
        <v>44.7</v>
      </c>
      <c r="CH2" s="346">
        <v>37.51</v>
      </c>
      <c r="CI2" s="346">
        <v>56.09</v>
      </c>
      <c r="CJ2" s="346">
        <v>63.86</v>
      </c>
      <c r="CK2" s="346">
        <v>64.53</v>
      </c>
      <c r="CL2" s="346">
        <v>66.73</v>
      </c>
      <c r="CM2" s="346">
        <v>72.510000000000005</v>
      </c>
      <c r="CN2" s="346">
        <v>96.39</v>
      </c>
      <c r="CO2" s="346">
        <v>-4.13</v>
      </c>
      <c r="CP2" s="346">
        <v>-0.28999999999999998</v>
      </c>
      <c r="CQ2" s="346">
        <v>309.61</v>
      </c>
      <c r="CR2" s="346">
        <v>6.9</v>
      </c>
      <c r="CS2" s="346">
        <v>1.28</v>
      </c>
      <c r="CT2" s="346">
        <v>72.930000000000007</v>
      </c>
      <c r="CU2" s="346">
        <v>26.12</v>
      </c>
      <c r="CV2" s="346">
        <v>6.48</v>
      </c>
      <c r="CW2" s="346">
        <v>3038126116.6700001</v>
      </c>
    </row>
    <row r="3" spans="1:101" x14ac:dyDescent="0.25">
      <c r="A3" s="346" t="str">
        <f>VLOOKUP(B3,'Loan Book Summary'!C:G,5,FALSE)</f>
        <v>0014I000027xjkG</v>
      </c>
      <c r="B3" s="346">
        <v>1100000241</v>
      </c>
      <c r="C3" s="346" t="s">
        <v>1889</v>
      </c>
      <c r="D3" s="346" t="s">
        <v>1889</v>
      </c>
      <c r="E3" s="346">
        <v>2022</v>
      </c>
      <c r="F3" s="346">
        <v>6</v>
      </c>
      <c r="G3" s="346">
        <v>3322.549755</v>
      </c>
      <c r="H3" s="346">
        <v>62.4251</v>
      </c>
      <c r="I3" s="346">
        <v>62.4251</v>
      </c>
      <c r="J3" s="346">
        <v>33111.248160000003</v>
      </c>
      <c r="K3" s="346">
        <v>31817.800719999999</v>
      </c>
      <c r="L3" s="346">
        <v>262.76191999999998</v>
      </c>
      <c r="M3" s="346" t="s">
        <v>1889</v>
      </c>
      <c r="N3" s="346">
        <v>3783.8144010000001</v>
      </c>
      <c r="O3" s="346">
        <v>3783.8144010000001</v>
      </c>
      <c r="P3" s="346">
        <v>14978.90085</v>
      </c>
      <c r="Q3" s="346">
        <v>12098.98594</v>
      </c>
      <c r="R3" s="346">
        <v>11316.49274</v>
      </c>
      <c r="S3" s="346" t="s">
        <v>1889</v>
      </c>
      <c r="T3" s="346">
        <v>1347.5984390000001</v>
      </c>
      <c r="U3" s="346">
        <v>3085.5018839999998</v>
      </c>
      <c r="V3" s="346">
        <v>1390.322756</v>
      </c>
      <c r="W3" s="346">
        <v>1073.4307799999999</v>
      </c>
      <c r="X3" s="346" t="s">
        <v>101</v>
      </c>
      <c r="Y3" s="346">
        <v>87300</v>
      </c>
      <c r="Z3" s="346">
        <v>5</v>
      </c>
      <c r="AA3" s="346" t="s">
        <v>996</v>
      </c>
      <c r="AB3" s="346" t="s">
        <v>134</v>
      </c>
      <c r="AC3" s="346" t="s">
        <v>226</v>
      </c>
      <c r="AD3" s="347">
        <v>8.6599999999999996E-2</v>
      </c>
      <c r="AE3" s="347">
        <v>2.3599999999999999E-2</v>
      </c>
      <c r="AF3" s="346">
        <v>0.23</v>
      </c>
      <c r="AG3" s="346">
        <v>0.44</v>
      </c>
      <c r="AH3" s="346">
        <v>0.63</v>
      </c>
      <c r="AI3" s="346">
        <v>0.82</v>
      </c>
      <c r="AJ3" s="346">
        <v>1</v>
      </c>
      <c r="AK3" s="347">
        <v>2.3E-3</v>
      </c>
      <c r="AL3" s="347">
        <v>2E-3</v>
      </c>
      <c r="AM3" s="347">
        <v>2E-3</v>
      </c>
      <c r="AN3" s="347">
        <v>1.9E-3</v>
      </c>
      <c r="AO3" s="347">
        <v>1.9E-3</v>
      </c>
      <c r="AP3" s="347">
        <v>2.3E-3</v>
      </c>
      <c r="AQ3" s="347">
        <v>2.2000000000000001E-3</v>
      </c>
      <c r="AR3" s="347">
        <v>2.0999999999999999E-3</v>
      </c>
      <c r="AS3" s="347">
        <v>2.0999999999999999E-3</v>
      </c>
      <c r="AT3" s="347">
        <v>2E-3</v>
      </c>
      <c r="AU3" s="347">
        <v>0.01</v>
      </c>
      <c r="AV3" s="346">
        <v>-10.52</v>
      </c>
      <c r="AW3" s="346">
        <v>-4.03</v>
      </c>
      <c r="AX3" s="346">
        <v>13.52</v>
      </c>
      <c r="AY3" s="346">
        <v>-4.53</v>
      </c>
      <c r="AZ3" s="346">
        <v>-7.88</v>
      </c>
      <c r="BA3" s="346">
        <v>-12.87</v>
      </c>
      <c r="BB3" s="346">
        <v>-20.87</v>
      </c>
      <c r="BC3" s="346">
        <v>-11.94</v>
      </c>
      <c r="BD3" s="346">
        <v>-13.84</v>
      </c>
      <c r="BE3" s="346">
        <v>-11.92</v>
      </c>
      <c r="BF3" s="346">
        <v>-2.72</v>
      </c>
      <c r="BG3" s="346">
        <v>8.42</v>
      </c>
      <c r="BH3" s="346">
        <v>-10.33</v>
      </c>
      <c r="BI3" s="346">
        <v>-6.19</v>
      </c>
      <c r="BJ3" s="346">
        <v>-12.12</v>
      </c>
      <c r="BK3" s="346">
        <v>-19.16</v>
      </c>
      <c r="BL3" s="346">
        <v>-8.9499999999999993</v>
      </c>
      <c r="BM3" s="346">
        <v>-20.190000000000001</v>
      </c>
      <c r="BN3" s="346">
        <v>113.29</v>
      </c>
      <c r="BO3" s="346">
        <v>3.32</v>
      </c>
      <c r="BP3" s="346">
        <v>-555.24</v>
      </c>
      <c r="BQ3" s="346">
        <v>11.14</v>
      </c>
      <c r="BR3" s="346">
        <v>-18.239999999999998</v>
      </c>
      <c r="BS3" s="346">
        <v>84.94</v>
      </c>
      <c r="BT3" s="346">
        <v>-38.299999999999997</v>
      </c>
      <c r="BU3" s="346">
        <v>-47.32</v>
      </c>
      <c r="BV3" s="346">
        <v>-28.21</v>
      </c>
      <c r="BW3" s="346">
        <v>161.84</v>
      </c>
      <c r="BX3" s="346">
        <v>2.99</v>
      </c>
      <c r="BY3" s="346">
        <v>-427.78</v>
      </c>
      <c r="BZ3" s="346">
        <v>34.1</v>
      </c>
      <c r="CA3" s="346">
        <v>-19.190000000000001</v>
      </c>
      <c r="CB3" s="346">
        <v>104.19</v>
      </c>
      <c r="CC3" s="346">
        <v>-46.97</v>
      </c>
      <c r="CD3" s="346">
        <v>-47.46</v>
      </c>
      <c r="CE3" s="346">
        <v>-55.48</v>
      </c>
      <c r="CF3" s="346">
        <v>18.18</v>
      </c>
      <c r="CG3" s="346">
        <v>49.41</v>
      </c>
      <c r="CH3" s="346">
        <v>31.84</v>
      </c>
      <c r="CI3" s="346">
        <v>56.13</v>
      </c>
      <c r="CJ3" s="346">
        <v>59.9</v>
      </c>
      <c r="CK3" s="346">
        <v>35.78</v>
      </c>
      <c r="CL3" s="346">
        <v>88.07</v>
      </c>
      <c r="CM3" s="346">
        <v>84.86</v>
      </c>
      <c r="CN3" s="346">
        <v>94.2</v>
      </c>
      <c r="CO3" s="346">
        <v>2.17</v>
      </c>
      <c r="CP3" s="346">
        <v>-0.04</v>
      </c>
      <c r="CQ3" s="346">
        <v>228.96</v>
      </c>
      <c r="CR3" s="346">
        <v>6.91</v>
      </c>
      <c r="CS3" s="346">
        <v>0.75</v>
      </c>
      <c r="CT3" s="346">
        <v>50.85</v>
      </c>
      <c r="CU3" s="346">
        <v>87.81</v>
      </c>
      <c r="CV3" s="346">
        <v>11.49</v>
      </c>
      <c r="CW3" s="346">
        <v>1886654274.8299999</v>
      </c>
    </row>
    <row r="4" spans="1:101" x14ac:dyDescent="0.25">
      <c r="A4" s="346" t="str">
        <f>VLOOKUP(B4,'Loan Book Summary'!C:G,5,FALSE)</f>
        <v>0014I000027xjiZ</v>
      </c>
      <c r="B4" s="346">
        <v>1100000242</v>
      </c>
      <c r="C4" s="346" t="s">
        <v>1889</v>
      </c>
      <c r="D4" s="346" t="s">
        <v>1889</v>
      </c>
      <c r="E4" s="346">
        <v>2022</v>
      </c>
      <c r="F4" s="346">
        <v>6</v>
      </c>
      <c r="G4" s="346">
        <v>3322.549755</v>
      </c>
      <c r="H4" s="346">
        <v>62.4251</v>
      </c>
      <c r="I4" s="346">
        <v>62.4251</v>
      </c>
      <c r="J4" s="346">
        <v>33111.248160000003</v>
      </c>
      <c r="K4" s="346">
        <v>31817.800719999999</v>
      </c>
      <c r="L4" s="346">
        <v>262.76191999999998</v>
      </c>
      <c r="M4" s="346" t="s">
        <v>1889</v>
      </c>
      <c r="N4" s="346">
        <v>3783.8144010000001</v>
      </c>
      <c r="O4" s="346">
        <v>3783.8144010000001</v>
      </c>
      <c r="P4" s="346">
        <v>14978.90085</v>
      </c>
      <c r="Q4" s="346">
        <v>12098.98594</v>
      </c>
      <c r="R4" s="346">
        <v>11316.49274</v>
      </c>
      <c r="S4" s="346" t="s">
        <v>1889</v>
      </c>
      <c r="T4" s="346">
        <v>1347.5984390000001</v>
      </c>
      <c r="U4" s="346">
        <v>3085.5018839999998</v>
      </c>
      <c r="V4" s="346">
        <v>1390.322756</v>
      </c>
      <c r="W4" s="346">
        <v>1073.4307799999999</v>
      </c>
      <c r="X4" s="346" t="s">
        <v>101</v>
      </c>
      <c r="Y4" s="346">
        <v>87300</v>
      </c>
      <c r="Z4" s="346">
        <v>5</v>
      </c>
      <c r="AA4" s="346" t="s">
        <v>996</v>
      </c>
      <c r="AB4" s="346" t="s">
        <v>134</v>
      </c>
      <c r="AC4" s="346" t="s">
        <v>226</v>
      </c>
      <c r="AD4" s="347">
        <v>8.6599999999999996E-2</v>
      </c>
      <c r="AE4" s="347">
        <v>2.3599999999999999E-2</v>
      </c>
      <c r="AF4" s="346">
        <v>0.23</v>
      </c>
      <c r="AG4" s="346">
        <v>0.44</v>
      </c>
      <c r="AH4" s="346">
        <v>0.63</v>
      </c>
      <c r="AI4" s="346">
        <v>0.82</v>
      </c>
      <c r="AJ4" s="346">
        <v>1</v>
      </c>
      <c r="AK4" s="347">
        <v>2.3E-3</v>
      </c>
      <c r="AL4" s="347">
        <v>2E-3</v>
      </c>
      <c r="AM4" s="347">
        <v>2E-3</v>
      </c>
      <c r="AN4" s="347">
        <v>1.9E-3</v>
      </c>
      <c r="AO4" s="347">
        <v>1.9E-3</v>
      </c>
      <c r="AP4" s="347">
        <v>2.3E-3</v>
      </c>
      <c r="AQ4" s="347">
        <v>2.2000000000000001E-3</v>
      </c>
      <c r="AR4" s="347">
        <v>2.0999999999999999E-3</v>
      </c>
      <c r="AS4" s="347">
        <v>2.0999999999999999E-3</v>
      </c>
      <c r="AT4" s="347">
        <v>2E-3</v>
      </c>
      <c r="AU4" s="347">
        <v>0.01</v>
      </c>
      <c r="AV4" s="346">
        <v>-10.52</v>
      </c>
      <c r="AW4" s="346">
        <v>-4.03</v>
      </c>
      <c r="AX4" s="346">
        <v>13.52</v>
      </c>
      <c r="AY4" s="346">
        <v>-4.53</v>
      </c>
      <c r="AZ4" s="346">
        <v>-7.88</v>
      </c>
      <c r="BA4" s="346">
        <v>-12.87</v>
      </c>
      <c r="BB4" s="346">
        <v>-20.87</v>
      </c>
      <c r="BC4" s="346">
        <v>-11.94</v>
      </c>
      <c r="BD4" s="346">
        <v>-13.84</v>
      </c>
      <c r="BE4" s="346">
        <v>-11.92</v>
      </c>
      <c r="BF4" s="346">
        <v>-2.72</v>
      </c>
      <c r="BG4" s="346">
        <v>8.42</v>
      </c>
      <c r="BH4" s="346">
        <v>-10.33</v>
      </c>
      <c r="BI4" s="346">
        <v>-6.19</v>
      </c>
      <c r="BJ4" s="346">
        <v>-12.12</v>
      </c>
      <c r="BK4" s="346">
        <v>-19.16</v>
      </c>
      <c r="BL4" s="346">
        <v>-8.9499999999999993</v>
      </c>
      <c r="BM4" s="346">
        <v>-20.190000000000001</v>
      </c>
      <c r="BN4" s="346">
        <v>113.29</v>
      </c>
      <c r="BO4" s="346">
        <v>3.32</v>
      </c>
      <c r="BP4" s="346">
        <v>-555.24</v>
      </c>
      <c r="BQ4" s="346">
        <v>11.14</v>
      </c>
      <c r="BR4" s="346">
        <v>-18.239999999999998</v>
      </c>
      <c r="BS4" s="346">
        <v>84.94</v>
      </c>
      <c r="BT4" s="346">
        <v>-38.299999999999997</v>
      </c>
      <c r="BU4" s="346">
        <v>-47.32</v>
      </c>
      <c r="BV4" s="346">
        <v>-28.21</v>
      </c>
      <c r="BW4" s="346">
        <v>161.84</v>
      </c>
      <c r="BX4" s="346">
        <v>2.99</v>
      </c>
      <c r="BY4" s="346">
        <v>-427.78</v>
      </c>
      <c r="BZ4" s="346">
        <v>34.1</v>
      </c>
      <c r="CA4" s="346">
        <v>-19.190000000000001</v>
      </c>
      <c r="CB4" s="346">
        <v>104.19</v>
      </c>
      <c r="CC4" s="346">
        <v>-46.97</v>
      </c>
      <c r="CD4" s="346">
        <v>-47.46</v>
      </c>
      <c r="CE4" s="346">
        <v>-55.48</v>
      </c>
      <c r="CF4" s="346">
        <v>18.18</v>
      </c>
      <c r="CG4" s="346">
        <v>49.41</v>
      </c>
      <c r="CH4" s="346">
        <v>31.84</v>
      </c>
      <c r="CI4" s="346">
        <v>56.13</v>
      </c>
      <c r="CJ4" s="346">
        <v>59.9</v>
      </c>
      <c r="CK4" s="346">
        <v>35.78</v>
      </c>
      <c r="CL4" s="346">
        <v>88.07</v>
      </c>
      <c r="CM4" s="346">
        <v>84.86</v>
      </c>
      <c r="CN4" s="346">
        <v>94.2</v>
      </c>
      <c r="CO4" s="346">
        <v>2.17</v>
      </c>
      <c r="CP4" s="346">
        <v>-0.04</v>
      </c>
      <c r="CQ4" s="346">
        <v>228.96</v>
      </c>
      <c r="CR4" s="346">
        <v>6.91</v>
      </c>
      <c r="CS4" s="346">
        <v>0.75</v>
      </c>
      <c r="CT4" s="346">
        <v>50.85</v>
      </c>
      <c r="CU4" s="346">
        <v>87.81</v>
      </c>
      <c r="CV4" s="346">
        <v>11.49</v>
      </c>
      <c r="CW4" s="346">
        <v>1886654274.8299999</v>
      </c>
    </row>
    <row r="5" spans="1:101" x14ac:dyDescent="0.25">
      <c r="A5" s="346" t="str">
        <f>VLOOKUP(B5,'Loan Book Summary'!C:G,5,FALSE)</f>
        <v>0014I000027xjgR</v>
      </c>
      <c r="B5" s="346">
        <v>1100000243</v>
      </c>
      <c r="C5" s="346" t="s">
        <v>1889</v>
      </c>
      <c r="D5" s="346" t="s">
        <v>1889</v>
      </c>
      <c r="E5" s="346">
        <v>2022</v>
      </c>
      <c r="F5" s="346">
        <v>6</v>
      </c>
      <c r="G5" s="346">
        <v>3322.549755</v>
      </c>
      <c r="H5" s="346">
        <v>62.4251</v>
      </c>
      <c r="I5" s="346">
        <v>62.4251</v>
      </c>
      <c r="J5" s="346">
        <v>33111.248160000003</v>
      </c>
      <c r="K5" s="346">
        <v>31817.800719999999</v>
      </c>
      <c r="L5" s="346">
        <v>262.76191999999998</v>
      </c>
      <c r="M5" s="346" t="s">
        <v>1889</v>
      </c>
      <c r="N5" s="346">
        <v>3783.8144010000001</v>
      </c>
      <c r="O5" s="346">
        <v>3783.8144010000001</v>
      </c>
      <c r="P5" s="346">
        <v>14978.90085</v>
      </c>
      <c r="Q5" s="346">
        <v>12098.98594</v>
      </c>
      <c r="R5" s="346">
        <v>11316.49274</v>
      </c>
      <c r="S5" s="346" t="s">
        <v>1889</v>
      </c>
      <c r="T5" s="346">
        <v>1347.5984390000001</v>
      </c>
      <c r="U5" s="346">
        <v>3085.5018839999998</v>
      </c>
      <c r="V5" s="346">
        <v>1390.322756</v>
      </c>
      <c r="W5" s="346">
        <v>1073.4307799999999</v>
      </c>
      <c r="X5" s="346" t="s">
        <v>101</v>
      </c>
      <c r="Y5" s="346">
        <v>87300</v>
      </c>
      <c r="Z5" s="346">
        <v>5</v>
      </c>
      <c r="AA5" s="346" t="s">
        <v>996</v>
      </c>
      <c r="AB5" s="346" t="s">
        <v>134</v>
      </c>
      <c r="AC5" s="346" t="s">
        <v>226</v>
      </c>
      <c r="AD5" s="347">
        <v>8.6599999999999996E-2</v>
      </c>
      <c r="AE5" s="347">
        <v>2.3599999999999999E-2</v>
      </c>
      <c r="AF5" s="346">
        <v>0.23</v>
      </c>
      <c r="AG5" s="346">
        <v>0.44</v>
      </c>
      <c r="AH5" s="346">
        <v>0.63</v>
      </c>
      <c r="AI5" s="346">
        <v>0.82</v>
      </c>
      <c r="AJ5" s="346">
        <v>1</v>
      </c>
      <c r="AK5" s="347">
        <v>2.3E-3</v>
      </c>
      <c r="AL5" s="347">
        <v>2E-3</v>
      </c>
      <c r="AM5" s="347">
        <v>2E-3</v>
      </c>
      <c r="AN5" s="347">
        <v>1.9E-3</v>
      </c>
      <c r="AO5" s="347">
        <v>1.9E-3</v>
      </c>
      <c r="AP5" s="347">
        <v>2.3E-3</v>
      </c>
      <c r="AQ5" s="347">
        <v>2.2000000000000001E-3</v>
      </c>
      <c r="AR5" s="347">
        <v>2.0999999999999999E-3</v>
      </c>
      <c r="AS5" s="347">
        <v>2.0999999999999999E-3</v>
      </c>
      <c r="AT5" s="347">
        <v>2E-3</v>
      </c>
      <c r="AU5" s="347">
        <v>0.01</v>
      </c>
      <c r="AV5" s="346">
        <v>-10.52</v>
      </c>
      <c r="AW5" s="346">
        <v>-4.03</v>
      </c>
      <c r="AX5" s="346">
        <v>13.52</v>
      </c>
      <c r="AY5" s="346">
        <v>-4.53</v>
      </c>
      <c r="AZ5" s="346">
        <v>-7.88</v>
      </c>
      <c r="BA5" s="346">
        <v>-12.87</v>
      </c>
      <c r="BB5" s="346">
        <v>-20.87</v>
      </c>
      <c r="BC5" s="346">
        <v>-11.94</v>
      </c>
      <c r="BD5" s="346">
        <v>-13.84</v>
      </c>
      <c r="BE5" s="346">
        <v>-11.92</v>
      </c>
      <c r="BF5" s="346">
        <v>-2.72</v>
      </c>
      <c r="BG5" s="346">
        <v>8.42</v>
      </c>
      <c r="BH5" s="346">
        <v>-10.33</v>
      </c>
      <c r="BI5" s="346">
        <v>-6.19</v>
      </c>
      <c r="BJ5" s="346">
        <v>-12.12</v>
      </c>
      <c r="BK5" s="346">
        <v>-19.16</v>
      </c>
      <c r="BL5" s="346">
        <v>-8.9499999999999993</v>
      </c>
      <c r="BM5" s="346">
        <v>-20.190000000000001</v>
      </c>
      <c r="BN5" s="346">
        <v>113.29</v>
      </c>
      <c r="BO5" s="346">
        <v>3.32</v>
      </c>
      <c r="BP5" s="346">
        <v>-555.24</v>
      </c>
      <c r="BQ5" s="346">
        <v>11.14</v>
      </c>
      <c r="BR5" s="346">
        <v>-18.239999999999998</v>
      </c>
      <c r="BS5" s="346">
        <v>84.94</v>
      </c>
      <c r="BT5" s="346">
        <v>-38.299999999999997</v>
      </c>
      <c r="BU5" s="346">
        <v>-47.32</v>
      </c>
      <c r="BV5" s="346">
        <v>-28.21</v>
      </c>
      <c r="BW5" s="346">
        <v>161.84</v>
      </c>
      <c r="BX5" s="346">
        <v>2.99</v>
      </c>
      <c r="BY5" s="346">
        <v>-427.78</v>
      </c>
      <c r="BZ5" s="346">
        <v>34.1</v>
      </c>
      <c r="CA5" s="346">
        <v>-19.190000000000001</v>
      </c>
      <c r="CB5" s="346">
        <v>104.19</v>
      </c>
      <c r="CC5" s="346">
        <v>-46.97</v>
      </c>
      <c r="CD5" s="346">
        <v>-47.46</v>
      </c>
      <c r="CE5" s="346">
        <v>-55.48</v>
      </c>
      <c r="CF5" s="346">
        <v>18.18</v>
      </c>
      <c r="CG5" s="346">
        <v>49.41</v>
      </c>
      <c r="CH5" s="346">
        <v>31.84</v>
      </c>
      <c r="CI5" s="346">
        <v>56.13</v>
      </c>
      <c r="CJ5" s="346">
        <v>59.9</v>
      </c>
      <c r="CK5" s="346">
        <v>35.78</v>
      </c>
      <c r="CL5" s="346">
        <v>88.07</v>
      </c>
      <c r="CM5" s="346">
        <v>84.86</v>
      </c>
      <c r="CN5" s="346">
        <v>94.2</v>
      </c>
      <c r="CO5" s="346">
        <v>2.17</v>
      </c>
      <c r="CP5" s="346">
        <v>-0.04</v>
      </c>
      <c r="CQ5" s="346">
        <v>228.96</v>
      </c>
      <c r="CR5" s="346">
        <v>6.91</v>
      </c>
      <c r="CS5" s="346">
        <v>0.75</v>
      </c>
      <c r="CT5" s="346">
        <v>50.85</v>
      </c>
      <c r="CU5" s="346">
        <v>87.81</v>
      </c>
      <c r="CV5" s="346">
        <v>11.49</v>
      </c>
      <c r="CW5" s="346">
        <v>1886654274.8299999</v>
      </c>
    </row>
    <row r="6" spans="1:101" x14ac:dyDescent="0.25">
      <c r="A6" s="346" t="str">
        <f>VLOOKUP(B6,'Loan Book Summary'!C:G,5,FALSE)</f>
        <v>0014I000027xjnF</v>
      </c>
      <c r="B6" s="346">
        <v>1100000245</v>
      </c>
      <c r="C6" s="346" t="s">
        <v>1889</v>
      </c>
      <c r="D6" s="346" t="s">
        <v>1889</v>
      </c>
      <c r="E6" s="346">
        <v>2022</v>
      </c>
      <c r="F6" s="346">
        <v>6</v>
      </c>
      <c r="G6" s="346">
        <v>3322.549755</v>
      </c>
      <c r="H6" s="346">
        <v>62.4251</v>
      </c>
      <c r="I6" s="346">
        <v>62.4251</v>
      </c>
      <c r="J6" s="346">
        <v>33111.248160000003</v>
      </c>
      <c r="K6" s="346">
        <v>31817.800719999999</v>
      </c>
      <c r="L6" s="346">
        <v>262.76191999999998</v>
      </c>
      <c r="M6" s="346" t="s">
        <v>1889</v>
      </c>
      <c r="N6" s="346">
        <v>3783.8144010000001</v>
      </c>
      <c r="O6" s="346">
        <v>3783.8144010000001</v>
      </c>
      <c r="P6" s="346">
        <v>14978.90085</v>
      </c>
      <c r="Q6" s="346">
        <v>12098.98594</v>
      </c>
      <c r="R6" s="346">
        <v>11316.49274</v>
      </c>
      <c r="S6" s="346" t="s">
        <v>1889</v>
      </c>
      <c r="T6" s="346">
        <v>1347.5984390000001</v>
      </c>
      <c r="U6" s="346">
        <v>3085.5018839999998</v>
      </c>
      <c r="V6" s="346">
        <v>1390.322756</v>
      </c>
      <c r="W6" s="346">
        <v>1073.4307799999999</v>
      </c>
      <c r="X6" s="346" t="s">
        <v>101</v>
      </c>
      <c r="Y6" s="346">
        <v>87300</v>
      </c>
      <c r="Z6" s="346">
        <v>5</v>
      </c>
      <c r="AA6" s="346" t="s">
        <v>996</v>
      </c>
      <c r="AB6" s="346" t="s">
        <v>134</v>
      </c>
      <c r="AC6" s="346" t="s">
        <v>226</v>
      </c>
      <c r="AD6" s="347">
        <v>8.6599999999999996E-2</v>
      </c>
      <c r="AE6" s="347">
        <v>2.3599999999999999E-2</v>
      </c>
      <c r="AF6" s="346">
        <v>0.23</v>
      </c>
      <c r="AG6" s="346">
        <v>0.44</v>
      </c>
      <c r="AH6" s="346">
        <v>0.63</v>
      </c>
      <c r="AI6" s="346">
        <v>0.82</v>
      </c>
      <c r="AJ6" s="346">
        <v>1</v>
      </c>
      <c r="AK6" s="347">
        <v>2.3E-3</v>
      </c>
      <c r="AL6" s="347">
        <v>2E-3</v>
      </c>
      <c r="AM6" s="347">
        <v>2E-3</v>
      </c>
      <c r="AN6" s="347">
        <v>1.9E-3</v>
      </c>
      <c r="AO6" s="347">
        <v>1.9E-3</v>
      </c>
      <c r="AP6" s="347">
        <v>2.3E-3</v>
      </c>
      <c r="AQ6" s="347">
        <v>2.2000000000000001E-3</v>
      </c>
      <c r="AR6" s="347">
        <v>2.0999999999999999E-3</v>
      </c>
      <c r="AS6" s="347">
        <v>2.0999999999999999E-3</v>
      </c>
      <c r="AT6" s="347">
        <v>2E-3</v>
      </c>
      <c r="AU6" s="347">
        <v>0.01</v>
      </c>
      <c r="AV6" s="346">
        <v>-10.52</v>
      </c>
      <c r="AW6" s="346">
        <v>-4.03</v>
      </c>
      <c r="AX6" s="346">
        <v>13.52</v>
      </c>
      <c r="AY6" s="346">
        <v>-4.53</v>
      </c>
      <c r="AZ6" s="346">
        <v>-7.88</v>
      </c>
      <c r="BA6" s="346">
        <v>-12.87</v>
      </c>
      <c r="BB6" s="346">
        <v>-20.87</v>
      </c>
      <c r="BC6" s="346">
        <v>-11.94</v>
      </c>
      <c r="BD6" s="346">
        <v>-13.84</v>
      </c>
      <c r="BE6" s="346">
        <v>-11.92</v>
      </c>
      <c r="BF6" s="346">
        <v>-2.72</v>
      </c>
      <c r="BG6" s="346">
        <v>8.42</v>
      </c>
      <c r="BH6" s="346">
        <v>-10.33</v>
      </c>
      <c r="BI6" s="346">
        <v>-6.19</v>
      </c>
      <c r="BJ6" s="346">
        <v>-12.12</v>
      </c>
      <c r="BK6" s="346">
        <v>-19.16</v>
      </c>
      <c r="BL6" s="346">
        <v>-8.9499999999999993</v>
      </c>
      <c r="BM6" s="346">
        <v>-20.190000000000001</v>
      </c>
      <c r="BN6" s="346">
        <v>113.29</v>
      </c>
      <c r="BO6" s="346">
        <v>3.32</v>
      </c>
      <c r="BP6" s="346">
        <v>-555.24</v>
      </c>
      <c r="BQ6" s="346">
        <v>11.14</v>
      </c>
      <c r="BR6" s="346">
        <v>-18.239999999999998</v>
      </c>
      <c r="BS6" s="346">
        <v>84.94</v>
      </c>
      <c r="BT6" s="346">
        <v>-38.299999999999997</v>
      </c>
      <c r="BU6" s="346">
        <v>-47.32</v>
      </c>
      <c r="BV6" s="346">
        <v>-28.21</v>
      </c>
      <c r="BW6" s="346">
        <v>161.84</v>
      </c>
      <c r="BX6" s="346">
        <v>2.99</v>
      </c>
      <c r="BY6" s="346">
        <v>-427.78</v>
      </c>
      <c r="BZ6" s="346">
        <v>34.1</v>
      </c>
      <c r="CA6" s="346">
        <v>-19.190000000000001</v>
      </c>
      <c r="CB6" s="346">
        <v>104.19</v>
      </c>
      <c r="CC6" s="346">
        <v>-46.97</v>
      </c>
      <c r="CD6" s="346">
        <v>-47.46</v>
      </c>
      <c r="CE6" s="346">
        <v>-55.48</v>
      </c>
      <c r="CF6" s="346">
        <v>18.18</v>
      </c>
      <c r="CG6" s="346">
        <v>49.41</v>
      </c>
      <c r="CH6" s="346">
        <v>31.84</v>
      </c>
      <c r="CI6" s="346">
        <v>56.13</v>
      </c>
      <c r="CJ6" s="346">
        <v>59.9</v>
      </c>
      <c r="CK6" s="346">
        <v>35.78</v>
      </c>
      <c r="CL6" s="346">
        <v>88.07</v>
      </c>
      <c r="CM6" s="346">
        <v>84.86</v>
      </c>
      <c r="CN6" s="346">
        <v>94.2</v>
      </c>
      <c r="CO6" s="346">
        <v>2.17</v>
      </c>
      <c r="CP6" s="346">
        <v>-0.04</v>
      </c>
      <c r="CQ6" s="346">
        <v>228.96</v>
      </c>
      <c r="CR6" s="346">
        <v>6.91</v>
      </c>
      <c r="CS6" s="346">
        <v>0.75</v>
      </c>
      <c r="CT6" s="346">
        <v>50.85</v>
      </c>
      <c r="CU6" s="346">
        <v>87.81</v>
      </c>
      <c r="CV6" s="346">
        <v>11.49</v>
      </c>
      <c r="CW6" s="346">
        <v>1886654274.8299999</v>
      </c>
    </row>
    <row r="7" spans="1:101" x14ac:dyDescent="0.25">
      <c r="A7" s="346" t="str">
        <f>VLOOKUP(B7,'Loan Book Summary'!C:G,5,FALSE)</f>
        <v>0014I000027xjnt</v>
      </c>
      <c r="B7" s="346">
        <v>1100000244</v>
      </c>
      <c r="C7" s="346" t="s">
        <v>1889</v>
      </c>
      <c r="D7" s="346" t="s">
        <v>1889</v>
      </c>
      <c r="E7" s="346">
        <v>2022</v>
      </c>
      <c r="F7" s="346">
        <v>6</v>
      </c>
      <c r="G7" s="346">
        <v>3322.549755</v>
      </c>
      <c r="H7" s="346">
        <v>62.4251</v>
      </c>
      <c r="I7" s="346">
        <v>62.4251</v>
      </c>
      <c r="J7" s="346">
        <v>33111.248160000003</v>
      </c>
      <c r="K7" s="346">
        <v>31817.800719999999</v>
      </c>
      <c r="L7" s="346">
        <v>262.76191999999998</v>
      </c>
      <c r="M7" s="346" t="s">
        <v>1889</v>
      </c>
      <c r="N7" s="346">
        <v>3783.8144010000001</v>
      </c>
      <c r="O7" s="346">
        <v>3783.8144010000001</v>
      </c>
      <c r="P7" s="346">
        <v>14978.90085</v>
      </c>
      <c r="Q7" s="346">
        <v>12098.98594</v>
      </c>
      <c r="R7" s="346">
        <v>11316.49274</v>
      </c>
      <c r="S7" s="346" t="s">
        <v>1889</v>
      </c>
      <c r="T7" s="346">
        <v>1347.5984390000001</v>
      </c>
      <c r="U7" s="346">
        <v>3085.5018839999998</v>
      </c>
      <c r="V7" s="346">
        <v>1390.322756</v>
      </c>
      <c r="W7" s="346">
        <v>1073.4307799999999</v>
      </c>
      <c r="X7" s="346" t="s">
        <v>101</v>
      </c>
      <c r="Y7" s="346">
        <v>87300</v>
      </c>
      <c r="Z7" s="346">
        <v>5</v>
      </c>
      <c r="AA7" s="346" t="s">
        <v>996</v>
      </c>
      <c r="AB7" s="346" t="s">
        <v>134</v>
      </c>
      <c r="AC7" s="346" t="s">
        <v>226</v>
      </c>
      <c r="AD7" s="347">
        <v>8.6599999999999996E-2</v>
      </c>
      <c r="AE7" s="347">
        <v>2.3599999999999999E-2</v>
      </c>
      <c r="AF7" s="346">
        <v>0.23</v>
      </c>
      <c r="AG7" s="346">
        <v>0.44</v>
      </c>
      <c r="AH7" s="346">
        <v>0.63</v>
      </c>
      <c r="AI7" s="346">
        <v>0.82</v>
      </c>
      <c r="AJ7" s="346">
        <v>1</v>
      </c>
      <c r="AK7" s="347">
        <v>2.3E-3</v>
      </c>
      <c r="AL7" s="347">
        <v>2E-3</v>
      </c>
      <c r="AM7" s="347">
        <v>2E-3</v>
      </c>
      <c r="AN7" s="347">
        <v>1.9E-3</v>
      </c>
      <c r="AO7" s="347">
        <v>1.9E-3</v>
      </c>
      <c r="AP7" s="347">
        <v>2.3E-3</v>
      </c>
      <c r="AQ7" s="347">
        <v>2.2000000000000001E-3</v>
      </c>
      <c r="AR7" s="347">
        <v>2.0999999999999999E-3</v>
      </c>
      <c r="AS7" s="347">
        <v>2.0999999999999999E-3</v>
      </c>
      <c r="AT7" s="347">
        <v>2E-3</v>
      </c>
      <c r="AU7" s="347">
        <v>0.01</v>
      </c>
      <c r="AV7" s="346">
        <v>-10.52</v>
      </c>
      <c r="AW7" s="346">
        <v>-4.03</v>
      </c>
      <c r="AX7" s="346">
        <v>13.52</v>
      </c>
      <c r="AY7" s="346">
        <v>-4.53</v>
      </c>
      <c r="AZ7" s="346">
        <v>-7.88</v>
      </c>
      <c r="BA7" s="346">
        <v>-12.87</v>
      </c>
      <c r="BB7" s="346">
        <v>-20.87</v>
      </c>
      <c r="BC7" s="346">
        <v>-11.94</v>
      </c>
      <c r="BD7" s="346">
        <v>-13.84</v>
      </c>
      <c r="BE7" s="346">
        <v>-11.92</v>
      </c>
      <c r="BF7" s="346">
        <v>-2.72</v>
      </c>
      <c r="BG7" s="346">
        <v>8.42</v>
      </c>
      <c r="BH7" s="346">
        <v>-10.33</v>
      </c>
      <c r="BI7" s="346">
        <v>-6.19</v>
      </c>
      <c r="BJ7" s="346">
        <v>-12.12</v>
      </c>
      <c r="BK7" s="346">
        <v>-19.16</v>
      </c>
      <c r="BL7" s="346">
        <v>-8.9499999999999993</v>
      </c>
      <c r="BM7" s="346">
        <v>-20.190000000000001</v>
      </c>
      <c r="BN7" s="346">
        <v>113.29</v>
      </c>
      <c r="BO7" s="346">
        <v>3.32</v>
      </c>
      <c r="BP7" s="346">
        <v>-555.24</v>
      </c>
      <c r="BQ7" s="346">
        <v>11.14</v>
      </c>
      <c r="BR7" s="346">
        <v>-18.239999999999998</v>
      </c>
      <c r="BS7" s="346">
        <v>84.94</v>
      </c>
      <c r="BT7" s="346">
        <v>-38.299999999999997</v>
      </c>
      <c r="BU7" s="346">
        <v>-47.32</v>
      </c>
      <c r="BV7" s="346">
        <v>-28.21</v>
      </c>
      <c r="BW7" s="346">
        <v>161.84</v>
      </c>
      <c r="BX7" s="346">
        <v>2.99</v>
      </c>
      <c r="BY7" s="346">
        <v>-427.78</v>
      </c>
      <c r="BZ7" s="346">
        <v>34.1</v>
      </c>
      <c r="CA7" s="346">
        <v>-19.190000000000001</v>
      </c>
      <c r="CB7" s="346">
        <v>104.19</v>
      </c>
      <c r="CC7" s="346">
        <v>-46.97</v>
      </c>
      <c r="CD7" s="346">
        <v>-47.46</v>
      </c>
      <c r="CE7" s="346">
        <v>-55.48</v>
      </c>
      <c r="CF7" s="346">
        <v>18.18</v>
      </c>
      <c r="CG7" s="346">
        <v>49.41</v>
      </c>
      <c r="CH7" s="346">
        <v>31.84</v>
      </c>
      <c r="CI7" s="346">
        <v>56.13</v>
      </c>
      <c r="CJ7" s="346">
        <v>59.9</v>
      </c>
      <c r="CK7" s="346">
        <v>35.78</v>
      </c>
      <c r="CL7" s="346">
        <v>88.07</v>
      </c>
      <c r="CM7" s="346">
        <v>84.86</v>
      </c>
      <c r="CN7" s="346">
        <v>94.2</v>
      </c>
      <c r="CO7" s="346">
        <v>2.17</v>
      </c>
      <c r="CP7" s="346">
        <v>-0.04</v>
      </c>
      <c r="CQ7" s="346">
        <v>228.96</v>
      </c>
      <c r="CR7" s="346">
        <v>6.91</v>
      </c>
      <c r="CS7" s="346">
        <v>0.75</v>
      </c>
      <c r="CT7" s="346">
        <v>50.85</v>
      </c>
      <c r="CU7" s="346">
        <v>87.81</v>
      </c>
      <c r="CV7" s="346">
        <v>11.49</v>
      </c>
      <c r="CW7" s="346">
        <v>1886654274.8299999</v>
      </c>
    </row>
    <row r="8" spans="1:101" x14ac:dyDescent="0.25">
      <c r="A8" s="346" t="str">
        <f>VLOOKUP(B8,'Loan Book Summary'!C:G,5,FALSE)</f>
        <v>0014I00001oqqTN</v>
      </c>
      <c r="B8" s="346">
        <v>1100000130</v>
      </c>
      <c r="C8" s="346" t="s">
        <v>1889</v>
      </c>
      <c r="D8" s="346" t="s">
        <v>1889</v>
      </c>
      <c r="E8" s="346">
        <v>2022</v>
      </c>
      <c r="F8" s="346">
        <v>6</v>
      </c>
      <c r="G8" s="346">
        <v>2569.8357369999999</v>
      </c>
      <c r="H8" s="346">
        <v>119.889</v>
      </c>
      <c r="I8" s="346">
        <v>119.889</v>
      </c>
      <c r="J8" s="346">
        <v>9144.3795869999994</v>
      </c>
      <c r="K8" s="346">
        <v>8526.3743080000004</v>
      </c>
      <c r="L8" s="346">
        <v>204.56100000000001</v>
      </c>
      <c r="M8" s="346" t="s">
        <v>1889</v>
      </c>
      <c r="N8" s="346">
        <v>331.26400000000001</v>
      </c>
      <c r="O8" s="346">
        <v>331.26400000000001</v>
      </c>
      <c r="P8" s="346">
        <v>3761.97</v>
      </c>
      <c r="Q8" s="346">
        <v>2956.1282759999999</v>
      </c>
      <c r="R8" s="346">
        <v>2755.0568880000001</v>
      </c>
      <c r="S8" s="346">
        <v>45.058528709999997</v>
      </c>
      <c r="T8" s="346">
        <v>212.69262140000001</v>
      </c>
      <c r="U8" s="346">
        <v>841.10571770000001</v>
      </c>
      <c r="V8" s="346">
        <v>502.73047700000001</v>
      </c>
      <c r="W8" s="346">
        <v>454.20137199999999</v>
      </c>
      <c r="X8" s="346" t="s">
        <v>101</v>
      </c>
      <c r="Y8" s="346">
        <v>87200</v>
      </c>
      <c r="Z8" s="346">
        <v>5</v>
      </c>
      <c r="AA8" s="346" t="s">
        <v>996</v>
      </c>
      <c r="AB8" s="346" t="s">
        <v>134</v>
      </c>
      <c r="AC8" s="346" t="s">
        <v>226</v>
      </c>
      <c r="AD8" s="347">
        <v>8.5500000000000007E-2</v>
      </c>
      <c r="AE8" s="347">
        <v>4.2599999999999999E-2</v>
      </c>
      <c r="AF8" s="346">
        <v>0.23</v>
      </c>
      <c r="AG8" s="346">
        <v>0.47</v>
      </c>
      <c r="AH8" s="346">
        <v>0.72</v>
      </c>
      <c r="AI8" s="346">
        <v>0.96</v>
      </c>
      <c r="AJ8" s="346">
        <v>1.21</v>
      </c>
      <c r="AK8" s="347">
        <v>2.3E-3</v>
      </c>
      <c r="AL8" s="347">
        <v>2.3999999999999998E-3</v>
      </c>
      <c r="AM8" s="347">
        <v>2.5000000000000001E-3</v>
      </c>
      <c r="AN8" s="347">
        <v>2.5000000000000001E-3</v>
      </c>
      <c r="AO8" s="347">
        <v>2.5000000000000001E-3</v>
      </c>
      <c r="AP8" s="347">
        <v>2.3E-3</v>
      </c>
      <c r="AQ8" s="347">
        <v>2.3999999999999998E-3</v>
      </c>
      <c r="AR8" s="347">
        <v>2.3999999999999998E-3</v>
      </c>
      <c r="AS8" s="347">
        <v>2.3999999999999998E-3</v>
      </c>
      <c r="AT8" s="347">
        <v>2.3999999999999998E-3</v>
      </c>
      <c r="AU8" s="347">
        <v>1.21E-2</v>
      </c>
      <c r="AV8" s="346">
        <v>-4.53</v>
      </c>
      <c r="AW8" s="346">
        <v>-4.55</v>
      </c>
      <c r="AX8" s="346">
        <v>4.92</v>
      </c>
      <c r="AY8" s="346">
        <v>-5.58</v>
      </c>
      <c r="AZ8" s="346">
        <v>-9.66</v>
      </c>
      <c r="BA8" s="346">
        <v>-19</v>
      </c>
      <c r="BB8" s="346">
        <v>-30.06</v>
      </c>
      <c r="BC8" s="346">
        <v>-16.68</v>
      </c>
      <c r="BD8" s="346">
        <v>-5.0199999999999996</v>
      </c>
      <c r="BE8" s="346">
        <v>-5.3</v>
      </c>
      <c r="BF8" s="346">
        <v>-3.17</v>
      </c>
      <c r="BG8" s="346">
        <v>3.16</v>
      </c>
      <c r="BH8" s="346">
        <v>-13.12</v>
      </c>
      <c r="BI8" s="346">
        <v>-7.83</v>
      </c>
      <c r="BJ8" s="346">
        <v>-18.47</v>
      </c>
      <c r="BK8" s="346">
        <v>-28.48</v>
      </c>
      <c r="BL8" s="346">
        <v>-12.91</v>
      </c>
      <c r="BM8" s="346">
        <v>-7.56</v>
      </c>
      <c r="BN8" s="346">
        <v>108.78</v>
      </c>
      <c r="BO8" s="346">
        <v>-15.06</v>
      </c>
      <c r="BP8" s="346">
        <v>-549.42999999999995</v>
      </c>
      <c r="BQ8" s="346">
        <v>11.44</v>
      </c>
      <c r="BR8" s="346">
        <v>-34.17</v>
      </c>
      <c r="BS8" s="346">
        <v>61.08</v>
      </c>
      <c r="BT8" s="346">
        <v>-0.62</v>
      </c>
      <c r="BU8" s="346">
        <v>-25.21</v>
      </c>
      <c r="BV8" s="346">
        <v>-94.2</v>
      </c>
      <c r="BW8" s="346">
        <v>159.93</v>
      </c>
      <c r="BX8" s="346">
        <v>-14.39</v>
      </c>
      <c r="BY8" s="346">
        <v>-364.86</v>
      </c>
      <c r="BZ8" s="346">
        <v>36.96</v>
      </c>
      <c r="CA8" s="346">
        <v>-38.08</v>
      </c>
      <c r="CB8" s="346">
        <v>80.010000000000005</v>
      </c>
      <c r="CC8" s="346">
        <v>-0.81</v>
      </c>
      <c r="CD8" s="346">
        <v>-26.61</v>
      </c>
      <c r="CE8" s="346">
        <v>-178.34</v>
      </c>
      <c r="CF8" s="346">
        <v>46.73</v>
      </c>
      <c r="CG8" s="346">
        <v>44.66</v>
      </c>
      <c r="CH8" s="346">
        <v>43.98</v>
      </c>
      <c r="CI8" s="346">
        <v>57.02</v>
      </c>
      <c r="CJ8" s="346">
        <v>54.87</v>
      </c>
      <c r="CK8" s="346">
        <v>27.57</v>
      </c>
      <c r="CL8" s="346">
        <v>100</v>
      </c>
      <c r="CM8" s="346">
        <v>90.93</v>
      </c>
      <c r="CN8" s="346">
        <v>80.13</v>
      </c>
      <c r="CO8" s="346">
        <v>6.92</v>
      </c>
      <c r="CP8" s="346">
        <v>-0.3</v>
      </c>
      <c r="CQ8" s="346">
        <v>416.64</v>
      </c>
      <c r="CR8" s="346">
        <v>7.3</v>
      </c>
      <c r="CS8" s="346">
        <v>0.18</v>
      </c>
      <c r="CT8" s="346">
        <v>43.2</v>
      </c>
      <c r="CU8" s="346">
        <v>775.77</v>
      </c>
      <c r="CV8" s="346">
        <v>17.010000000000002</v>
      </c>
      <c r="CW8" s="346">
        <v>484543519.89999998</v>
      </c>
    </row>
    <row r="9" spans="1:101" x14ac:dyDescent="0.25">
      <c r="A9" s="346" t="str">
        <f>VLOOKUP(B9,'Loan Book Summary'!C:G,5,FALSE)</f>
        <v>0014I00001rYqrM</v>
      </c>
      <c r="B9" s="346">
        <v>1100000004</v>
      </c>
      <c r="C9" s="346" t="s">
        <v>1889</v>
      </c>
      <c r="D9" s="346" t="s">
        <v>1889</v>
      </c>
      <c r="E9" s="346">
        <v>2022</v>
      </c>
      <c r="F9" s="346">
        <v>6</v>
      </c>
      <c r="G9" s="346">
        <v>1513.5470560000001</v>
      </c>
      <c r="H9" s="346">
        <v>76.261970000000005</v>
      </c>
      <c r="I9" s="346">
        <v>76.261970000000005</v>
      </c>
      <c r="J9" s="346">
        <v>1624.458153</v>
      </c>
      <c r="K9" s="346">
        <v>816.18505870000001</v>
      </c>
      <c r="L9" s="346">
        <v>226.18226999999999</v>
      </c>
      <c r="M9" s="346" t="s">
        <v>1889</v>
      </c>
      <c r="N9" s="346">
        <v>758.18001000000004</v>
      </c>
      <c r="O9" s="346">
        <v>758.18001000000004</v>
      </c>
      <c r="P9" s="346">
        <v>978.72445000000005</v>
      </c>
      <c r="Q9" s="346">
        <v>4278.7018520000001</v>
      </c>
      <c r="R9" s="346">
        <v>3369.9323250000002</v>
      </c>
      <c r="S9" s="346">
        <v>28.29360625</v>
      </c>
      <c r="T9" s="346">
        <v>114.4680489</v>
      </c>
      <c r="U9" s="346">
        <v>1117.5531430000001</v>
      </c>
      <c r="V9" s="346">
        <v>802.46807560000002</v>
      </c>
      <c r="W9" s="346">
        <v>842.0543917</v>
      </c>
      <c r="X9" s="346" t="s">
        <v>101</v>
      </c>
      <c r="Y9" s="346">
        <v>64929</v>
      </c>
      <c r="Z9" s="346">
        <v>5</v>
      </c>
      <c r="AA9" s="346" t="s">
        <v>996</v>
      </c>
      <c r="AB9" s="346" t="s">
        <v>114</v>
      </c>
      <c r="AC9" s="346" t="s">
        <v>114</v>
      </c>
      <c r="AD9" s="347">
        <v>0.25890000000000002</v>
      </c>
      <c r="AE9" s="347">
        <v>0.27439999999999998</v>
      </c>
      <c r="AF9" s="346">
        <v>0.5</v>
      </c>
      <c r="AG9" s="346">
        <v>1.1599999999999999</v>
      </c>
      <c r="AH9" s="346">
        <v>1.89</v>
      </c>
      <c r="AI9" s="346">
        <v>2.67</v>
      </c>
      <c r="AJ9" s="346">
        <v>3.49</v>
      </c>
      <c r="AK9" s="347">
        <v>5.0000000000000001E-3</v>
      </c>
      <c r="AL9" s="347">
        <v>6.6E-3</v>
      </c>
      <c r="AM9" s="347">
        <v>7.4000000000000003E-3</v>
      </c>
      <c r="AN9" s="347">
        <v>7.9000000000000008E-3</v>
      </c>
      <c r="AO9" s="347">
        <v>8.3999999999999995E-3</v>
      </c>
      <c r="AP9" s="347">
        <v>5.0000000000000001E-3</v>
      </c>
      <c r="AQ9" s="347">
        <v>5.7999999999999996E-3</v>
      </c>
      <c r="AR9" s="347">
        <v>6.4000000000000003E-3</v>
      </c>
      <c r="AS9" s="347">
        <v>6.7999999999999996E-3</v>
      </c>
      <c r="AT9" s="347">
        <v>7.1000000000000004E-3</v>
      </c>
      <c r="AU9" s="347">
        <v>3.49E-2</v>
      </c>
      <c r="AV9" s="346">
        <v>-7.87</v>
      </c>
      <c r="AW9" s="346">
        <v>-4.08</v>
      </c>
      <c r="AX9" s="346">
        <v>-9.68</v>
      </c>
      <c r="AY9" s="346">
        <v>2.41</v>
      </c>
      <c r="AZ9" s="346">
        <v>22.2</v>
      </c>
      <c r="BA9" s="346">
        <v>3.85</v>
      </c>
      <c r="BB9" s="346">
        <v>-30.31</v>
      </c>
      <c r="BC9" s="346">
        <v>-17.920000000000002</v>
      </c>
      <c r="BD9" s="346">
        <v>-1.67</v>
      </c>
      <c r="BE9" s="346">
        <v>-10.14</v>
      </c>
      <c r="BF9" s="346">
        <v>-3.13</v>
      </c>
      <c r="BG9" s="346">
        <v>-6.85</v>
      </c>
      <c r="BH9" s="346">
        <v>6.25</v>
      </c>
      <c r="BI9" s="346">
        <v>19.82</v>
      </c>
      <c r="BJ9" s="346">
        <v>4.13</v>
      </c>
      <c r="BK9" s="346">
        <v>-31.63</v>
      </c>
      <c r="BL9" s="346">
        <v>-15.27</v>
      </c>
      <c r="BM9" s="346">
        <v>-2.77</v>
      </c>
      <c r="BN9" s="346">
        <v>43.25</v>
      </c>
      <c r="BO9" s="346">
        <v>-13.54</v>
      </c>
      <c r="BP9" s="346">
        <v>-311.33</v>
      </c>
      <c r="BQ9" s="346">
        <v>42.48</v>
      </c>
      <c r="BR9" s="346">
        <v>-9.76</v>
      </c>
      <c r="BS9" s="346">
        <v>107.35</v>
      </c>
      <c r="BT9" s="346">
        <v>-3.17</v>
      </c>
      <c r="BU9" s="346">
        <v>-7.5</v>
      </c>
      <c r="BV9" s="346">
        <v>-361.63</v>
      </c>
      <c r="BW9" s="346">
        <v>47.68</v>
      </c>
      <c r="BX9" s="346">
        <v>-8.9700000000000006</v>
      </c>
      <c r="BY9" s="346">
        <v>-178.53</v>
      </c>
      <c r="BZ9" s="346">
        <v>93.77</v>
      </c>
      <c r="CA9" s="346">
        <v>-7.5</v>
      </c>
      <c r="CB9" s="346">
        <v>98.12</v>
      </c>
      <c r="CC9" s="346">
        <v>-2.83</v>
      </c>
      <c r="CD9" s="346">
        <v>-5.48</v>
      </c>
      <c r="CE9" s="346">
        <v>-457.12</v>
      </c>
      <c r="CF9" s="346">
        <v>36.880000000000003</v>
      </c>
      <c r="CG9" s="346">
        <v>41.95</v>
      </c>
      <c r="CH9" s="346">
        <v>63.91</v>
      </c>
      <c r="CI9" s="346">
        <v>84.15</v>
      </c>
      <c r="CJ9" s="346">
        <v>7.4</v>
      </c>
      <c r="CK9" s="346">
        <v>64.48</v>
      </c>
      <c r="CL9" s="346">
        <v>96.54</v>
      </c>
      <c r="CM9" s="346">
        <v>92.17</v>
      </c>
      <c r="CN9" s="346">
        <v>46.45</v>
      </c>
      <c r="CO9" s="346">
        <v>5.29</v>
      </c>
      <c r="CP9" s="346">
        <v>-0.48</v>
      </c>
      <c r="CQ9" s="346">
        <v>1001.02</v>
      </c>
      <c r="CR9" s="346">
        <v>26.97</v>
      </c>
      <c r="CS9" s="346">
        <v>-19.809999999999999</v>
      </c>
      <c r="CT9" s="346">
        <v>72.900000000000006</v>
      </c>
      <c r="CU9" s="346">
        <v>199.63</v>
      </c>
      <c r="CV9" s="346">
        <v>18.75</v>
      </c>
      <c r="CW9" s="346">
        <v>121837833.13</v>
      </c>
    </row>
    <row r="10" spans="1:101" x14ac:dyDescent="0.25">
      <c r="A10" s="346" t="str">
        <f>VLOOKUP(B10,'Loan Book Summary'!C:G,5,FALSE)</f>
        <v>0014I000026umUx</v>
      </c>
      <c r="B10" s="346">
        <v>1100000119</v>
      </c>
      <c r="C10" s="346" t="s">
        <v>1889</v>
      </c>
      <c r="D10" s="346" t="s">
        <v>1889</v>
      </c>
      <c r="E10" s="346">
        <v>2022</v>
      </c>
      <c r="F10" s="346">
        <v>6</v>
      </c>
      <c r="G10" s="346">
        <v>1153.999331</v>
      </c>
      <c r="H10" s="346">
        <v>295.62184000000002</v>
      </c>
      <c r="I10" s="346">
        <v>295.62184000000002</v>
      </c>
      <c r="J10" s="346">
        <v>2154.6210809999998</v>
      </c>
      <c r="K10" s="346">
        <v>2757.6414599999998</v>
      </c>
      <c r="L10" s="346">
        <v>255.13604000000001</v>
      </c>
      <c r="M10" s="346" t="s">
        <v>1889</v>
      </c>
      <c r="N10" s="346">
        <v>1635.0454</v>
      </c>
      <c r="O10" s="346">
        <v>1635.0454</v>
      </c>
      <c r="P10" s="346">
        <v>2765.1436100000001</v>
      </c>
      <c r="Q10" s="346">
        <v>6509.3850000000002</v>
      </c>
      <c r="R10" s="346">
        <v>5723.4750000000004</v>
      </c>
      <c r="S10" s="346">
        <v>38.288713110000003</v>
      </c>
      <c r="T10" s="346">
        <v>412.59865020000001</v>
      </c>
      <c r="U10" s="346">
        <v>425.77128690000001</v>
      </c>
      <c r="V10" s="346">
        <v>5.0331751530000002</v>
      </c>
      <c r="W10" s="346">
        <v>-429.25914030000001</v>
      </c>
      <c r="X10" s="346" t="s">
        <v>101</v>
      </c>
      <c r="Y10" s="346">
        <v>66290</v>
      </c>
      <c r="Z10" s="346">
        <v>5</v>
      </c>
      <c r="AA10" s="346" t="s">
        <v>996</v>
      </c>
      <c r="AB10" s="346" t="s">
        <v>104</v>
      </c>
      <c r="AC10" s="346" t="s">
        <v>104</v>
      </c>
      <c r="AD10" s="347">
        <v>0.72109999999999996</v>
      </c>
      <c r="AE10" s="347">
        <v>0.61829999999999996</v>
      </c>
      <c r="AF10" s="346">
        <v>2.36</v>
      </c>
      <c r="AG10" s="346">
        <v>4.05</v>
      </c>
      <c r="AH10" s="346">
        <v>5.54</v>
      </c>
      <c r="AI10" s="346">
        <v>6.9</v>
      </c>
      <c r="AJ10" s="346">
        <v>8.17</v>
      </c>
      <c r="AK10" s="347">
        <v>2.3599999999999999E-2</v>
      </c>
      <c r="AL10" s="347">
        <v>1.7299999999999999E-2</v>
      </c>
      <c r="AM10" s="347">
        <v>1.55E-2</v>
      </c>
      <c r="AN10" s="347">
        <v>1.44E-2</v>
      </c>
      <c r="AO10" s="347">
        <v>1.37E-2</v>
      </c>
      <c r="AP10" s="347">
        <v>2.3599999999999999E-2</v>
      </c>
      <c r="AQ10" s="347">
        <v>2.0500000000000001E-2</v>
      </c>
      <c r="AR10" s="347">
        <v>1.8800000000000001E-2</v>
      </c>
      <c r="AS10" s="347">
        <v>1.77E-2</v>
      </c>
      <c r="AT10" s="347">
        <v>1.6899999999999998E-2</v>
      </c>
      <c r="AU10" s="347">
        <v>8.1699999999999995E-2</v>
      </c>
      <c r="AV10" s="346">
        <v>-7.78</v>
      </c>
      <c r="AW10" s="346">
        <v>-3.1</v>
      </c>
      <c r="AX10" s="346">
        <v>18.54</v>
      </c>
      <c r="AY10" s="346">
        <v>-3.13</v>
      </c>
      <c r="AZ10" s="346">
        <v>1.87</v>
      </c>
      <c r="BA10" s="346">
        <v>35.01</v>
      </c>
      <c r="BB10" s="346">
        <v>-18.45</v>
      </c>
      <c r="BC10" s="346">
        <v>10.82</v>
      </c>
      <c r="BD10" s="346">
        <v>-1.31</v>
      </c>
      <c r="BE10" s="346">
        <v>-9.69</v>
      </c>
      <c r="BF10" s="346">
        <v>-2.2999999999999998</v>
      </c>
      <c r="BG10" s="346">
        <v>12.69</v>
      </c>
      <c r="BH10" s="346">
        <v>-7.84</v>
      </c>
      <c r="BI10" s="346">
        <v>1.62</v>
      </c>
      <c r="BJ10" s="346">
        <v>36.24</v>
      </c>
      <c r="BK10" s="346">
        <v>-18.61</v>
      </c>
      <c r="BL10" s="346">
        <v>8.92</v>
      </c>
      <c r="BM10" s="346">
        <v>-2.1</v>
      </c>
      <c r="BN10" s="346">
        <v>44.63</v>
      </c>
      <c r="BO10" s="346">
        <v>-13.09</v>
      </c>
      <c r="BP10" s="346">
        <v>-278.17</v>
      </c>
      <c r="BQ10" s="346">
        <v>28.54</v>
      </c>
      <c r="BR10" s="346">
        <v>42.11</v>
      </c>
      <c r="BS10" s="346">
        <v>24.45</v>
      </c>
      <c r="BT10" s="346">
        <v>-34.119999999999997</v>
      </c>
      <c r="BU10" s="346">
        <v>-146.38999999999999</v>
      </c>
      <c r="BV10" s="346">
        <v>-288.5</v>
      </c>
      <c r="BW10" s="346">
        <v>53.49</v>
      </c>
      <c r="BX10" s="346">
        <v>-9.44</v>
      </c>
      <c r="BY10" s="346">
        <v>-164.55</v>
      </c>
      <c r="BZ10" s="346">
        <v>69.599999999999994</v>
      </c>
      <c r="CA10" s="346">
        <v>35.18</v>
      </c>
      <c r="CB10" s="346">
        <v>24.99</v>
      </c>
      <c r="CC10" s="346">
        <v>-33.81</v>
      </c>
      <c r="CD10" s="346">
        <v>-106.16</v>
      </c>
      <c r="CE10" s="346">
        <v>-402.79</v>
      </c>
      <c r="CF10" s="346">
        <v>28.58</v>
      </c>
      <c r="CG10" s="346">
        <v>40.11</v>
      </c>
      <c r="CH10" s="346">
        <v>22.93</v>
      </c>
      <c r="CI10" s="346">
        <v>69.72</v>
      </c>
      <c r="CJ10" s="346">
        <v>90.38</v>
      </c>
      <c r="CK10" s="346">
        <v>98.3</v>
      </c>
      <c r="CL10" s="346">
        <v>84.61</v>
      </c>
      <c r="CM10" s="346">
        <v>25.75</v>
      </c>
      <c r="CN10" s="346">
        <v>60.31</v>
      </c>
      <c r="CO10" s="346">
        <v>3.92</v>
      </c>
      <c r="CP10" s="346">
        <v>-0.62</v>
      </c>
      <c r="CQ10" s="346">
        <v>112.47</v>
      </c>
      <c r="CR10" s="346">
        <v>13.73</v>
      </c>
      <c r="CS10" s="346">
        <v>9.9</v>
      </c>
      <c r="CT10" s="346">
        <v>116.11</v>
      </c>
      <c r="CU10" s="346">
        <v>70.58</v>
      </c>
      <c r="CV10" s="346">
        <v>0.08</v>
      </c>
      <c r="CW10" s="346">
        <v>193787189.13</v>
      </c>
    </row>
    <row r="11" spans="1:101" x14ac:dyDescent="0.25">
      <c r="A11" s="346" t="str">
        <f>VLOOKUP(B11,'Loan Book Summary'!C:G,5,FALSE)</f>
        <v>0014I0000279PJU</v>
      </c>
      <c r="B11" s="346">
        <v>1100000126</v>
      </c>
      <c r="C11" s="346" t="s">
        <v>1889</v>
      </c>
      <c r="D11" s="346" t="s">
        <v>1889</v>
      </c>
      <c r="E11" s="346">
        <v>2022</v>
      </c>
      <c r="F11" s="346">
        <v>6</v>
      </c>
      <c r="G11" s="346">
        <v>2814.8829289999999</v>
      </c>
      <c r="H11" s="346">
        <v>51.380510000000001</v>
      </c>
      <c r="I11" s="346">
        <v>51.380510000000001</v>
      </c>
      <c r="J11" s="346">
        <v>3745.189844</v>
      </c>
      <c r="K11" s="346">
        <v>2881.9022190000001</v>
      </c>
      <c r="L11" s="346">
        <v>314.56518999999997</v>
      </c>
      <c r="M11" s="346" t="s">
        <v>1889</v>
      </c>
      <c r="N11" s="346">
        <v>868.88576</v>
      </c>
      <c r="O11" s="346">
        <v>868.88576</v>
      </c>
      <c r="P11" s="346">
        <v>-3199.3780900000002</v>
      </c>
      <c r="Q11" s="346">
        <v>4197.4148999999998</v>
      </c>
      <c r="R11" s="346">
        <v>5085</v>
      </c>
      <c r="S11" s="346">
        <v>5.3715051889999996</v>
      </c>
      <c r="T11" s="346">
        <v>44.433345940000002</v>
      </c>
      <c r="U11" s="346">
        <v>1324.3889710000001</v>
      </c>
      <c r="V11" s="346">
        <v>1023.9645</v>
      </c>
      <c r="W11" s="346">
        <v>1052.340283</v>
      </c>
      <c r="X11" s="346" t="s">
        <v>101</v>
      </c>
      <c r="Y11" s="346">
        <v>43999</v>
      </c>
      <c r="Z11" s="346">
        <v>5</v>
      </c>
      <c r="AA11" s="346" t="s">
        <v>996</v>
      </c>
      <c r="AB11" s="346" t="s">
        <v>115</v>
      </c>
      <c r="AC11" s="346" t="s">
        <v>115</v>
      </c>
      <c r="AD11" s="347">
        <v>0.15229999999999999</v>
      </c>
      <c r="AE11" s="347">
        <v>0.20499999999999999</v>
      </c>
      <c r="AF11" s="346">
        <v>0.32</v>
      </c>
      <c r="AG11" s="346">
        <v>0.82</v>
      </c>
      <c r="AH11" s="346">
        <v>1.41</v>
      </c>
      <c r="AI11" s="346">
        <v>2.0699999999999998</v>
      </c>
      <c r="AJ11" s="346">
        <v>2.79</v>
      </c>
      <c r="AK11" s="347">
        <v>3.2000000000000002E-3</v>
      </c>
      <c r="AL11" s="347">
        <v>5.0000000000000001E-3</v>
      </c>
      <c r="AM11" s="347">
        <v>6.0000000000000001E-3</v>
      </c>
      <c r="AN11" s="347">
        <v>6.7000000000000002E-3</v>
      </c>
      <c r="AO11" s="347">
        <v>7.3000000000000001E-3</v>
      </c>
      <c r="AP11" s="347">
        <v>3.2000000000000002E-3</v>
      </c>
      <c r="AQ11" s="347">
        <v>4.1000000000000003E-3</v>
      </c>
      <c r="AR11" s="347">
        <v>4.7000000000000002E-3</v>
      </c>
      <c r="AS11" s="347">
        <v>5.1999999999999998E-3</v>
      </c>
      <c r="AT11" s="347">
        <v>5.5999999999999999E-3</v>
      </c>
      <c r="AU11" s="347">
        <v>2.7900000000000001E-2</v>
      </c>
      <c r="AV11" s="346">
        <v>-2.92</v>
      </c>
      <c r="AW11" s="346">
        <v>-4.28</v>
      </c>
      <c r="AX11" s="346">
        <v>-18.59</v>
      </c>
      <c r="AY11" s="346">
        <v>2.52</v>
      </c>
      <c r="AZ11" s="346">
        <v>1.8</v>
      </c>
      <c r="BA11" s="346">
        <v>-22.47</v>
      </c>
      <c r="BB11" s="346">
        <v>-28.71</v>
      </c>
      <c r="BC11" s="346">
        <v>-17.11</v>
      </c>
      <c r="BD11" s="346">
        <v>-1.6</v>
      </c>
      <c r="BE11" s="346">
        <v>-3.78</v>
      </c>
      <c r="BF11" s="346">
        <v>-3.3</v>
      </c>
      <c r="BG11" s="346">
        <v>-13.21</v>
      </c>
      <c r="BH11" s="346">
        <v>6.56</v>
      </c>
      <c r="BI11" s="346">
        <v>1.61</v>
      </c>
      <c r="BJ11" s="346">
        <v>-24.16</v>
      </c>
      <c r="BK11" s="346">
        <v>-30.07</v>
      </c>
      <c r="BL11" s="346">
        <v>-14.65</v>
      </c>
      <c r="BM11" s="346">
        <v>-2.66</v>
      </c>
      <c r="BN11" s="346">
        <v>103.39</v>
      </c>
      <c r="BO11" s="346">
        <v>14.95</v>
      </c>
      <c r="BP11" s="346">
        <v>-98.56</v>
      </c>
      <c r="BQ11" s="346">
        <v>-29.76</v>
      </c>
      <c r="BR11" s="346">
        <v>-119.54</v>
      </c>
      <c r="BS11" s="346">
        <v>0</v>
      </c>
      <c r="BT11" s="346">
        <v>-2.99</v>
      </c>
      <c r="BU11" s="346">
        <v>-8.92</v>
      </c>
      <c r="BV11" s="346">
        <v>-521.88</v>
      </c>
      <c r="BW11" s="346">
        <v>94.21</v>
      </c>
      <c r="BX11" s="346">
        <v>8.32</v>
      </c>
      <c r="BY11" s="346">
        <v>-50.51</v>
      </c>
      <c r="BZ11" s="346">
        <v>-56.23</v>
      </c>
      <c r="CA11" s="346">
        <v>-76.84</v>
      </c>
      <c r="CB11" s="346">
        <v>0</v>
      </c>
      <c r="CC11" s="346">
        <v>-2.21</v>
      </c>
      <c r="CD11" s="346">
        <v>-5.45</v>
      </c>
      <c r="CE11" s="346">
        <v>-606.24</v>
      </c>
      <c r="CF11" s="346">
        <v>50.13</v>
      </c>
      <c r="CG11" s="346">
        <v>59.01</v>
      </c>
      <c r="CH11" s="346">
        <v>82.09</v>
      </c>
      <c r="CI11" s="346">
        <v>13.86</v>
      </c>
      <c r="CJ11" s="346">
        <v>22.05</v>
      </c>
      <c r="CK11" s="346">
        <v>2</v>
      </c>
      <c r="CL11" s="346">
        <v>98.76</v>
      </c>
      <c r="CM11" s="346">
        <v>94.82</v>
      </c>
      <c r="CN11" s="346">
        <v>65.510000000000005</v>
      </c>
      <c r="CO11" s="346">
        <v>7.49</v>
      </c>
      <c r="CP11" s="346">
        <v>0.21</v>
      </c>
      <c r="CQ11" s="346">
        <v>2992.71</v>
      </c>
      <c r="CR11" s="346">
        <v>-17.45</v>
      </c>
      <c r="CS11" s="346">
        <v>-5.86</v>
      </c>
      <c r="CT11" s="346">
        <v>-50.51</v>
      </c>
      <c r="CU11" s="346">
        <v>323.95999999999998</v>
      </c>
      <c r="CV11" s="346">
        <v>24.4</v>
      </c>
      <c r="CW11" s="346">
        <v>235943913.86000001</v>
      </c>
    </row>
    <row r="12" spans="1:101" x14ac:dyDescent="0.25">
      <c r="A12" s="346" t="str">
        <f>VLOOKUP(B12,'Loan Book Summary'!C:G,5,FALSE)</f>
        <v>0014I00001tNfla</v>
      </c>
      <c r="B12" s="346">
        <v>1100000184</v>
      </c>
      <c r="C12" s="346" t="s">
        <v>1889</v>
      </c>
      <c r="D12" s="346" t="s">
        <v>1889</v>
      </c>
      <c r="E12" s="346">
        <v>2022</v>
      </c>
      <c r="F12" s="346">
        <v>6</v>
      </c>
      <c r="G12" s="346">
        <v>5399.9266280000002</v>
      </c>
      <c r="H12" s="346">
        <v>8966.3950000000004</v>
      </c>
      <c r="I12" s="346">
        <v>8966.3950000000004</v>
      </c>
      <c r="J12" s="346">
        <v>25387.394209999999</v>
      </c>
      <c r="K12" s="346">
        <v>25030.92498</v>
      </c>
      <c r="L12" s="346">
        <v>6290.9054999999998</v>
      </c>
      <c r="M12" s="346" t="s">
        <v>1889</v>
      </c>
      <c r="N12" s="346">
        <v>12518.5715</v>
      </c>
      <c r="O12" s="346">
        <v>12518.5715</v>
      </c>
      <c r="P12" s="346">
        <v>29013.771199999999</v>
      </c>
      <c r="Q12" s="346">
        <v>42549.853539999996</v>
      </c>
      <c r="R12" s="346">
        <v>38513.744079999997</v>
      </c>
      <c r="S12" s="346">
        <v>660.06626310000001</v>
      </c>
      <c r="T12" s="346">
        <v>3953.460462</v>
      </c>
      <c r="U12" s="346">
        <v>1756.0942319999999</v>
      </c>
      <c r="V12" s="346">
        <v>-2197.3662300000001</v>
      </c>
      <c r="W12" s="346">
        <v>-5660.305883</v>
      </c>
      <c r="X12" s="346" t="s">
        <v>101</v>
      </c>
      <c r="Y12" s="346">
        <v>43999</v>
      </c>
      <c r="Z12" s="346">
        <v>5</v>
      </c>
      <c r="AA12" s="346" t="s">
        <v>996</v>
      </c>
      <c r="AB12" s="346" t="s">
        <v>119</v>
      </c>
      <c r="AC12" s="346" t="s">
        <v>102</v>
      </c>
      <c r="AD12" s="347">
        <v>0.91169999999999995</v>
      </c>
      <c r="AE12" s="347">
        <v>0.8377</v>
      </c>
      <c r="AF12" s="346">
        <v>6.79</v>
      </c>
      <c r="AG12" s="346">
        <v>9.7899999999999991</v>
      </c>
      <c r="AH12" s="346">
        <v>12.09</v>
      </c>
      <c r="AI12" s="346">
        <v>14.02</v>
      </c>
      <c r="AJ12" s="346">
        <v>15.71</v>
      </c>
      <c r="AK12" s="347">
        <v>6.7900000000000002E-2</v>
      </c>
      <c r="AL12" s="347">
        <v>3.2199999999999999E-2</v>
      </c>
      <c r="AM12" s="347">
        <v>2.5499999999999998E-2</v>
      </c>
      <c r="AN12" s="347">
        <v>2.1899999999999999E-2</v>
      </c>
      <c r="AO12" s="347">
        <v>1.9599999999999999E-2</v>
      </c>
      <c r="AP12" s="347">
        <v>6.7900000000000002E-2</v>
      </c>
      <c r="AQ12" s="347">
        <v>5.0200000000000002E-2</v>
      </c>
      <c r="AR12" s="347">
        <v>4.2099999999999999E-2</v>
      </c>
      <c r="AS12" s="347">
        <v>3.7100000000000001E-2</v>
      </c>
      <c r="AT12" s="347">
        <v>3.3599999999999998E-2</v>
      </c>
      <c r="AU12" s="347">
        <v>0.15709999999999999</v>
      </c>
      <c r="AV12" s="346">
        <v>10.72</v>
      </c>
      <c r="AW12" s="346">
        <v>-0.69</v>
      </c>
      <c r="AX12" s="346">
        <v>18.11</v>
      </c>
      <c r="AY12" s="346">
        <v>-3.48</v>
      </c>
      <c r="AZ12" s="346">
        <v>0.33</v>
      </c>
      <c r="BA12" s="346">
        <v>29.22</v>
      </c>
      <c r="BB12" s="346">
        <v>-11.41</v>
      </c>
      <c r="BC12" s="346">
        <v>14.07</v>
      </c>
      <c r="BD12" s="346">
        <v>-11.98</v>
      </c>
      <c r="BE12" s="346">
        <v>12.39</v>
      </c>
      <c r="BF12" s="346">
        <v>-0.47</v>
      </c>
      <c r="BG12" s="346">
        <v>11.49</v>
      </c>
      <c r="BH12" s="346">
        <v>-8.09</v>
      </c>
      <c r="BI12" s="346">
        <v>0.26</v>
      </c>
      <c r="BJ12" s="346">
        <v>28.06</v>
      </c>
      <c r="BK12" s="346">
        <v>-10.67</v>
      </c>
      <c r="BL12" s="346">
        <v>10.75</v>
      </c>
      <c r="BM12" s="346">
        <v>-17.809999999999999</v>
      </c>
      <c r="BN12" s="346">
        <v>80.209999999999994</v>
      </c>
      <c r="BO12" s="346">
        <v>-37.369999999999997</v>
      </c>
      <c r="BP12" s="346">
        <v>-379.77</v>
      </c>
      <c r="BQ12" s="346">
        <v>30.03</v>
      </c>
      <c r="BR12" s="346">
        <v>72.03</v>
      </c>
      <c r="BS12" s="346">
        <v>135.69</v>
      </c>
      <c r="BT12" s="346">
        <v>-121.11</v>
      </c>
      <c r="BU12" s="346">
        <v>-20.04</v>
      </c>
      <c r="BV12" s="346">
        <v>-23.76</v>
      </c>
      <c r="BW12" s="346">
        <v>103.19</v>
      </c>
      <c r="BX12" s="346">
        <v>-28.29</v>
      </c>
      <c r="BY12" s="346">
        <v>-298.33999999999997</v>
      </c>
      <c r="BZ12" s="346">
        <v>76.63</v>
      </c>
      <c r="CA12" s="346">
        <v>64.38</v>
      </c>
      <c r="CB12" s="346">
        <v>146.80000000000001</v>
      </c>
      <c r="CC12" s="346">
        <v>-126.78</v>
      </c>
      <c r="CD12" s="346">
        <v>-16.690000000000001</v>
      </c>
      <c r="CE12" s="346">
        <v>-38.9</v>
      </c>
      <c r="CF12" s="346">
        <v>82.25</v>
      </c>
      <c r="CG12" s="346">
        <v>26.33</v>
      </c>
      <c r="CH12" s="346">
        <v>19.87</v>
      </c>
      <c r="CI12" s="346">
        <v>63.94</v>
      </c>
      <c r="CJ12" s="346">
        <v>89.58</v>
      </c>
      <c r="CK12" s="346">
        <v>97.48</v>
      </c>
      <c r="CL12" s="346">
        <v>75.86</v>
      </c>
      <c r="CM12" s="346">
        <v>12.52</v>
      </c>
      <c r="CN12" s="346">
        <v>94.33</v>
      </c>
      <c r="CO12" s="346">
        <v>14.78</v>
      </c>
      <c r="CP12" s="346">
        <v>-2.21</v>
      </c>
      <c r="CQ12" s="346">
        <v>61.12</v>
      </c>
      <c r="CR12" s="346">
        <v>10.48</v>
      </c>
      <c r="CS12" s="346">
        <v>9.2799999999999994</v>
      </c>
      <c r="CT12" s="346">
        <v>109.57</v>
      </c>
      <c r="CU12" s="346">
        <v>43.14</v>
      </c>
      <c r="CV12" s="346">
        <v>-5.16</v>
      </c>
      <c r="CW12" s="346">
        <v>1938347499.21</v>
      </c>
    </row>
    <row r="13" spans="1:101" x14ac:dyDescent="0.25">
      <c r="A13" s="346" t="str">
        <f>VLOOKUP(B13,'Loan Book Summary'!C:G,5,FALSE)</f>
        <v>0014I000023fvfX</v>
      </c>
      <c r="B13" s="346">
        <v>1100000111</v>
      </c>
      <c r="C13" s="346" t="s">
        <v>1889</v>
      </c>
      <c r="D13" s="346" t="s">
        <v>1889</v>
      </c>
      <c r="E13" s="346">
        <v>2022</v>
      </c>
      <c r="F13" s="346">
        <v>6</v>
      </c>
      <c r="G13" s="346">
        <v>1291.4496879999999</v>
      </c>
      <c r="H13" s="346">
        <v>1343.075</v>
      </c>
      <c r="I13" s="346">
        <v>1343.075</v>
      </c>
      <c r="J13" s="346">
        <v>4725.6730539999999</v>
      </c>
      <c r="K13" s="346">
        <v>4134.9139960000002</v>
      </c>
      <c r="L13" s="346">
        <v>1341.6569999999999</v>
      </c>
      <c r="M13" s="346" t="s">
        <v>1889</v>
      </c>
      <c r="N13" s="346">
        <v>1805.05</v>
      </c>
      <c r="O13" s="346">
        <v>1805.05</v>
      </c>
      <c r="P13" s="346">
        <v>1554.8340000000001</v>
      </c>
      <c r="Q13" s="346">
        <v>8674.34</v>
      </c>
      <c r="R13" s="346">
        <v>7680.91</v>
      </c>
      <c r="S13" s="346">
        <v>99.880223599999994</v>
      </c>
      <c r="T13" s="346">
        <v>63.700084709999999</v>
      </c>
      <c r="U13" s="346">
        <v>945.71577639999998</v>
      </c>
      <c r="V13" s="346">
        <v>705.61255329999995</v>
      </c>
      <c r="W13" s="346">
        <v>347.35490329999999</v>
      </c>
      <c r="X13" s="346" t="s">
        <v>101</v>
      </c>
      <c r="Y13" s="346">
        <v>25930</v>
      </c>
      <c r="Z13" s="346">
        <v>5</v>
      </c>
      <c r="AA13" s="346" t="s">
        <v>996</v>
      </c>
      <c r="AB13" s="346" t="s">
        <v>114</v>
      </c>
      <c r="AC13" s="346" t="s">
        <v>114</v>
      </c>
      <c r="AD13" s="347">
        <v>0.2329</v>
      </c>
      <c r="AE13" s="347">
        <v>0.26279999999999998</v>
      </c>
      <c r="AF13" s="346">
        <v>0.46</v>
      </c>
      <c r="AG13" s="346">
        <v>1.0900000000000001</v>
      </c>
      <c r="AH13" s="346">
        <v>1.8</v>
      </c>
      <c r="AI13" s="346">
        <v>2.56</v>
      </c>
      <c r="AJ13" s="346">
        <v>3.37</v>
      </c>
      <c r="AK13" s="347">
        <v>4.5999999999999999E-3</v>
      </c>
      <c r="AL13" s="347">
        <v>6.3E-3</v>
      </c>
      <c r="AM13" s="347">
        <v>7.1999999999999998E-3</v>
      </c>
      <c r="AN13" s="347">
        <v>7.7999999999999996E-3</v>
      </c>
      <c r="AO13" s="347">
        <v>8.3000000000000001E-3</v>
      </c>
      <c r="AP13" s="347">
        <v>4.5999999999999999E-3</v>
      </c>
      <c r="AQ13" s="347">
        <v>5.4999999999999997E-3</v>
      </c>
      <c r="AR13" s="347">
        <v>6.0000000000000001E-3</v>
      </c>
      <c r="AS13" s="347">
        <v>6.4999999999999997E-3</v>
      </c>
      <c r="AT13" s="347">
        <v>6.7999999999999996E-3</v>
      </c>
      <c r="AU13" s="347">
        <v>3.3700000000000001E-2</v>
      </c>
      <c r="AV13" s="346">
        <v>17.899999999999999</v>
      </c>
      <c r="AW13" s="346">
        <v>-1.05</v>
      </c>
      <c r="AX13" s="346">
        <v>-15.49</v>
      </c>
      <c r="AY13" s="346">
        <v>-4.25</v>
      </c>
      <c r="AZ13" s="346">
        <v>-5.34</v>
      </c>
      <c r="BA13" s="346">
        <v>-16</v>
      </c>
      <c r="BB13" s="346">
        <v>-25.06</v>
      </c>
      <c r="BC13" s="346">
        <v>-12.6</v>
      </c>
      <c r="BD13" s="346">
        <v>-2.33</v>
      </c>
      <c r="BE13" s="346">
        <v>21.25</v>
      </c>
      <c r="BF13" s="346">
        <v>-0.74</v>
      </c>
      <c r="BG13" s="346">
        <v>-10.11</v>
      </c>
      <c r="BH13" s="346">
        <v>-10.15</v>
      </c>
      <c r="BI13" s="346">
        <v>-4.4000000000000004</v>
      </c>
      <c r="BJ13" s="346">
        <v>-15.79</v>
      </c>
      <c r="BK13" s="346">
        <v>-24.1</v>
      </c>
      <c r="BL13" s="346">
        <v>-9.91</v>
      </c>
      <c r="BM13" s="346">
        <v>-3.56</v>
      </c>
      <c r="BN13" s="346">
        <v>66.91</v>
      </c>
      <c r="BO13" s="346">
        <v>-31.97</v>
      </c>
      <c r="BP13" s="346">
        <v>-493.68</v>
      </c>
      <c r="BQ13" s="346">
        <v>39.700000000000003</v>
      </c>
      <c r="BR13" s="346">
        <v>62.56</v>
      </c>
      <c r="BS13" s="346">
        <v>62.45</v>
      </c>
      <c r="BT13" s="346">
        <v>-47.18</v>
      </c>
      <c r="BU13" s="346">
        <v>-59.1</v>
      </c>
      <c r="BV13" s="346">
        <v>-36.450000000000003</v>
      </c>
      <c r="BW13" s="346">
        <v>94.63</v>
      </c>
      <c r="BX13" s="346">
        <v>-26.95</v>
      </c>
      <c r="BY13" s="346">
        <v>-353.33</v>
      </c>
      <c r="BZ13" s="346">
        <v>112.7</v>
      </c>
      <c r="CA13" s="346">
        <v>61.72</v>
      </c>
      <c r="CB13" s="346">
        <v>73.73</v>
      </c>
      <c r="CC13" s="346">
        <v>-54.42</v>
      </c>
      <c r="CD13" s="346">
        <v>-55.64</v>
      </c>
      <c r="CE13" s="346">
        <v>-66.88</v>
      </c>
      <c r="CF13" s="346">
        <v>84.1</v>
      </c>
      <c r="CG13" s="346">
        <v>27.66</v>
      </c>
      <c r="CH13" s="346">
        <v>73.260000000000005</v>
      </c>
      <c r="CI13" s="346">
        <v>68.400000000000006</v>
      </c>
      <c r="CJ13" s="346">
        <v>80.84</v>
      </c>
      <c r="CK13" s="346">
        <v>36.47</v>
      </c>
      <c r="CL13" s="346">
        <v>84.83</v>
      </c>
      <c r="CM13" s="346">
        <v>77.83</v>
      </c>
      <c r="CN13" s="346">
        <v>73.319999999999993</v>
      </c>
      <c r="CO13" s="346">
        <v>15.47</v>
      </c>
      <c r="CP13" s="346">
        <v>-2</v>
      </c>
      <c r="CQ13" s="346">
        <v>1641.44</v>
      </c>
      <c r="CR13" s="346">
        <v>12.93</v>
      </c>
      <c r="CS13" s="346">
        <v>4.96</v>
      </c>
      <c r="CT13" s="346">
        <v>51.45</v>
      </c>
      <c r="CU13" s="346">
        <v>71.55</v>
      </c>
      <c r="CV13" s="346">
        <v>8.1300000000000008</v>
      </c>
      <c r="CW13" s="346">
        <v>333952992.95999998</v>
      </c>
    </row>
    <row r="14" spans="1:101" x14ac:dyDescent="0.25">
      <c r="A14" s="346" t="str">
        <f>VLOOKUP(B14,'Loan Book Summary'!C:G,5,FALSE)</f>
        <v>0015800000YDm0R</v>
      </c>
      <c r="B14" s="346">
        <v>1100000143</v>
      </c>
      <c r="C14" s="346" t="s">
        <v>1889</v>
      </c>
      <c r="D14" s="346" t="s">
        <v>1889</v>
      </c>
      <c r="E14" s="346">
        <v>2022</v>
      </c>
      <c r="F14" s="346">
        <v>6</v>
      </c>
      <c r="G14" s="346">
        <v>52.84975901</v>
      </c>
      <c r="H14" s="346">
        <v>231.22806</v>
      </c>
      <c r="I14" s="346">
        <v>231.22806</v>
      </c>
      <c r="J14" s="346">
        <v>427.69122679999998</v>
      </c>
      <c r="K14" s="346">
        <v>377.43450730000001</v>
      </c>
      <c r="L14" s="346">
        <v>693.05427250000002</v>
      </c>
      <c r="M14" s="346" t="s">
        <v>1889</v>
      </c>
      <c r="N14" s="346">
        <v>919.21777250000002</v>
      </c>
      <c r="O14" s="346">
        <v>919.21777250000002</v>
      </c>
      <c r="P14" s="346">
        <v>372.10522450000002</v>
      </c>
      <c r="Q14" s="346">
        <v>3003</v>
      </c>
      <c r="R14" s="346">
        <v>2194.5</v>
      </c>
      <c r="S14" s="346">
        <v>11.570226979999999</v>
      </c>
      <c r="T14" s="346">
        <v>42.915022260000001</v>
      </c>
      <c r="U14" s="346">
        <v>24.33377303</v>
      </c>
      <c r="V14" s="346">
        <v>-22.956212499999999</v>
      </c>
      <c r="W14" s="346">
        <v>-350.55821529999997</v>
      </c>
      <c r="X14" s="346" t="s">
        <v>101</v>
      </c>
      <c r="Y14" s="346">
        <v>55100</v>
      </c>
      <c r="Z14" s="346">
        <v>5</v>
      </c>
      <c r="AA14" s="346" t="s">
        <v>996</v>
      </c>
      <c r="AB14" s="346" t="s">
        <v>118</v>
      </c>
      <c r="AC14" s="346" t="s">
        <v>118</v>
      </c>
      <c r="AD14" s="347">
        <v>0.97150000000000003</v>
      </c>
      <c r="AE14" s="347">
        <v>0.96950000000000003</v>
      </c>
      <c r="AF14" s="346">
        <v>13.11</v>
      </c>
      <c r="AG14" s="346">
        <v>21.82</v>
      </c>
      <c r="AH14" s="346">
        <v>28.95</v>
      </c>
      <c r="AI14" s="346">
        <v>35.04</v>
      </c>
      <c r="AJ14" s="346">
        <v>40.36</v>
      </c>
      <c r="AK14" s="347">
        <v>0.13109999999999999</v>
      </c>
      <c r="AL14" s="347">
        <v>0.1003</v>
      </c>
      <c r="AM14" s="347">
        <v>9.1200000000000003E-2</v>
      </c>
      <c r="AN14" s="347">
        <v>8.5699999999999998E-2</v>
      </c>
      <c r="AO14" s="347">
        <v>8.1799999999999998E-2</v>
      </c>
      <c r="AP14" s="347">
        <v>0.13109999999999999</v>
      </c>
      <c r="AQ14" s="347">
        <v>0.1158</v>
      </c>
      <c r="AR14" s="347">
        <v>0.1077</v>
      </c>
      <c r="AS14" s="347">
        <v>0.1022</v>
      </c>
      <c r="AT14" s="347">
        <v>9.8199999999999996E-2</v>
      </c>
      <c r="AU14" s="347">
        <v>0.40360000000000001</v>
      </c>
      <c r="AV14" s="346">
        <v>17.66</v>
      </c>
      <c r="AW14" s="346">
        <v>0.01</v>
      </c>
      <c r="AX14" s="346">
        <v>19.05</v>
      </c>
      <c r="AY14" s="346">
        <v>4.04</v>
      </c>
      <c r="AZ14" s="346">
        <v>11.26</v>
      </c>
      <c r="BA14" s="346">
        <v>25.92</v>
      </c>
      <c r="BB14" s="346">
        <v>7.18</v>
      </c>
      <c r="BC14" s="346">
        <v>12.5</v>
      </c>
      <c r="BD14" s="346">
        <v>2.38</v>
      </c>
      <c r="BE14" s="346">
        <v>21.34</v>
      </c>
      <c r="BF14" s="346">
        <v>0.01</v>
      </c>
      <c r="BG14" s="346">
        <v>12.65</v>
      </c>
      <c r="BH14" s="346">
        <v>9.81</v>
      </c>
      <c r="BI14" s="346">
        <v>9.43</v>
      </c>
      <c r="BJ14" s="346">
        <v>26.03</v>
      </c>
      <c r="BK14" s="346">
        <v>7.03</v>
      </c>
      <c r="BL14" s="346">
        <v>10</v>
      </c>
      <c r="BM14" s="346">
        <v>3.7</v>
      </c>
      <c r="BN14" s="346">
        <v>8.2899999999999991</v>
      </c>
      <c r="BO14" s="346">
        <v>-14.31</v>
      </c>
      <c r="BP14" s="346">
        <v>-185.76</v>
      </c>
      <c r="BQ14" s="346">
        <v>26.01</v>
      </c>
      <c r="BR14" s="346">
        <v>14.94</v>
      </c>
      <c r="BS14" s="346">
        <v>79.349999999999994</v>
      </c>
      <c r="BT14" s="346">
        <v>-220.32</v>
      </c>
      <c r="BU14" s="346">
        <v>-76.95</v>
      </c>
      <c r="BV14" s="346">
        <v>-274.08</v>
      </c>
      <c r="BW14" s="346">
        <v>9.76</v>
      </c>
      <c r="BX14" s="346">
        <v>-10.09</v>
      </c>
      <c r="BY14" s="346">
        <v>-120.67</v>
      </c>
      <c r="BZ14" s="346">
        <v>61.36</v>
      </c>
      <c r="CA14" s="346">
        <v>12.25</v>
      </c>
      <c r="CB14" s="346">
        <v>77.77</v>
      </c>
      <c r="CC14" s="346">
        <v>-207.83</v>
      </c>
      <c r="CD14" s="346">
        <v>-60.01</v>
      </c>
      <c r="CE14" s="346">
        <v>-340.26</v>
      </c>
      <c r="CF14" s="346">
        <v>94.97</v>
      </c>
      <c r="CG14" s="346">
        <v>22.87</v>
      </c>
      <c r="CH14" s="346">
        <v>21.09</v>
      </c>
      <c r="CI14" s="346">
        <v>89.4</v>
      </c>
      <c r="CJ14" s="346">
        <v>98.29</v>
      </c>
      <c r="CK14" s="346">
        <v>91.48</v>
      </c>
      <c r="CL14" s="346">
        <v>45.5</v>
      </c>
      <c r="CM14" s="346">
        <v>21.06</v>
      </c>
      <c r="CN14" s="346">
        <v>26.54</v>
      </c>
      <c r="CO14" s="346">
        <v>23.08</v>
      </c>
      <c r="CP14" s="346">
        <v>-2.84</v>
      </c>
      <c r="CQ14" s="346">
        <v>83.66</v>
      </c>
      <c r="CR14" s="346">
        <v>36.840000000000003</v>
      </c>
      <c r="CS14" s="346">
        <v>25.33</v>
      </c>
      <c r="CT14" s="346">
        <v>95.87</v>
      </c>
      <c r="CU14" s="346">
        <v>5.75</v>
      </c>
      <c r="CV14" s="346">
        <v>-0.76</v>
      </c>
      <c r="CW14" s="346">
        <v>68875113.5</v>
      </c>
    </row>
    <row r="15" spans="1:101" x14ac:dyDescent="0.25">
      <c r="A15" s="346" t="str">
        <f>VLOOKUP(B15,'Loan Book Summary'!C:G,5,FALSE)</f>
        <v>0015800001RC0fT</v>
      </c>
      <c r="B15" s="346">
        <v>1200000111</v>
      </c>
      <c r="C15" s="346" t="s">
        <v>1889</v>
      </c>
      <c r="D15" s="346" t="s">
        <v>1889</v>
      </c>
      <c r="E15" s="346">
        <v>2022</v>
      </c>
      <c r="F15" s="346">
        <v>6</v>
      </c>
      <c r="G15" s="346">
        <v>1617.685125</v>
      </c>
      <c r="H15" s="346">
        <v>330.3</v>
      </c>
      <c r="I15" s="346">
        <v>330.3</v>
      </c>
      <c r="J15" s="346">
        <v>5506.9441790000001</v>
      </c>
      <c r="K15" s="346">
        <v>4667.5159519999997</v>
      </c>
      <c r="L15" s="346">
        <v>838.60059100000001</v>
      </c>
      <c r="M15" s="346" t="s">
        <v>1889</v>
      </c>
      <c r="N15" s="346">
        <v>1187.6005909999999</v>
      </c>
      <c r="O15" s="346">
        <v>1187.6005909999999</v>
      </c>
      <c r="P15" s="346">
        <v>1000</v>
      </c>
      <c r="Q15" s="346">
        <v>9689</v>
      </c>
      <c r="R15" s="346">
        <v>8720</v>
      </c>
      <c r="S15" s="346">
        <v>105.6943672</v>
      </c>
      <c r="T15" s="346">
        <v>66.204034820000004</v>
      </c>
      <c r="U15" s="346">
        <v>909.10489619999998</v>
      </c>
      <c r="V15" s="346">
        <v>674.32068909999998</v>
      </c>
      <c r="W15" s="346">
        <v>434.23311100000001</v>
      </c>
      <c r="X15" s="346" t="s">
        <v>101</v>
      </c>
      <c r="Y15" s="346">
        <v>38220</v>
      </c>
      <c r="Z15" s="346">
        <v>5</v>
      </c>
      <c r="AA15" s="346" t="s">
        <v>996</v>
      </c>
      <c r="AB15" s="346" t="s">
        <v>134</v>
      </c>
      <c r="AC15" s="346" t="s">
        <v>134</v>
      </c>
      <c r="AD15" s="347">
        <v>8.4599999999999995E-2</v>
      </c>
      <c r="AE15" s="347">
        <v>9.8199999999999996E-2</v>
      </c>
      <c r="AF15" s="346">
        <v>0.23</v>
      </c>
      <c r="AG15" s="346">
        <v>0.55000000000000004</v>
      </c>
      <c r="AH15" s="346">
        <v>0.93</v>
      </c>
      <c r="AI15" s="346">
        <v>1.34</v>
      </c>
      <c r="AJ15" s="346">
        <v>1.77</v>
      </c>
      <c r="AK15" s="347">
        <v>2.3E-3</v>
      </c>
      <c r="AL15" s="347">
        <v>3.3E-3</v>
      </c>
      <c r="AM15" s="347">
        <v>3.8E-3</v>
      </c>
      <c r="AN15" s="347">
        <v>4.1000000000000003E-3</v>
      </c>
      <c r="AO15" s="347">
        <v>4.4000000000000003E-3</v>
      </c>
      <c r="AP15" s="347">
        <v>2.3E-3</v>
      </c>
      <c r="AQ15" s="347">
        <v>2.8E-3</v>
      </c>
      <c r="AR15" s="347">
        <v>3.0999999999999999E-3</v>
      </c>
      <c r="AS15" s="347">
        <v>3.3999999999999998E-3</v>
      </c>
      <c r="AT15" s="347">
        <v>3.5999999999999999E-3</v>
      </c>
      <c r="AU15" s="347">
        <v>1.77E-2</v>
      </c>
      <c r="AV15" s="346">
        <v>-0.5</v>
      </c>
      <c r="AW15" s="346">
        <v>-4.5199999999999996</v>
      </c>
      <c r="AX15" s="346">
        <v>-15.28</v>
      </c>
      <c r="AY15" s="346">
        <v>-4.9400000000000004</v>
      </c>
      <c r="AZ15" s="346">
        <v>-8.68</v>
      </c>
      <c r="BA15" s="346">
        <v>-22.81</v>
      </c>
      <c r="BB15" s="346">
        <v>-29.35</v>
      </c>
      <c r="BC15" s="346">
        <v>-11.62</v>
      </c>
      <c r="BD15" s="346">
        <v>-2.2999999999999998</v>
      </c>
      <c r="BE15" s="346">
        <v>-0.62</v>
      </c>
      <c r="BF15" s="346">
        <v>-3.33</v>
      </c>
      <c r="BG15" s="346">
        <v>-10.38</v>
      </c>
      <c r="BH15" s="346">
        <v>-12.27</v>
      </c>
      <c r="BI15" s="346">
        <v>-7.44</v>
      </c>
      <c r="BJ15" s="346">
        <v>-23.44</v>
      </c>
      <c r="BK15" s="346">
        <v>-29.37</v>
      </c>
      <c r="BL15" s="346">
        <v>-9.5</v>
      </c>
      <c r="BM15" s="346">
        <v>-3.65</v>
      </c>
      <c r="BN15" s="346">
        <v>99.71</v>
      </c>
      <c r="BO15" s="346">
        <v>-14.6</v>
      </c>
      <c r="BP15" s="346">
        <v>-552.24</v>
      </c>
      <c r="BQ15" s="346">
        <v>33.369999999999997</v>
      </c>
      <c r="BR15" s="346">
        <v>41.21</v>
      </c>
      <c r="BS15" s="346">
        <v>23.01</v>
      </c>
      <c r="BT15" s="346">
        <v>-15.7</v>
      </c>
      <c r="BU15" s="346">
        <v>-79.2</v>
      </c>
      <c r="BV15" s="346">
        <v>-40.950000000000003</v>
      </c>
      <c r="BW15" s="346">
        <v>148.03</v>
      </c>
      <c r="BX15" s="346">
        <v>-14.16</v>
      </c>
      <c r="BY15" s="346">
        <v>-365.3</v>
      </c>
      <c r="BZ15" s="346">
        <v>110.81</v>
      </c>
      <c r="CA15" s="346">
        <v>45.75</v>
      </c>
      <c r="CB15" s="346">
        <v>31.34</v>
      </c>
      <c r="CC15" s="346">
        <v>-20.68</v>
      </c>
      <c r="CD15" s="346">
        <v>-78.81</v>
      </c>
      <c r="CE15" s="346">
        <v>-85.13</v>
      </c>
      <c r="CF15" s="346">
        <v>56.75</v>
      </c>
      <c r="CG15" s="346">
        <v>43.41</v>
      </c>
      <c r="CH15" s="346">
        <v>72.09</v>
      </c>
      <c r="CI15" s="346">
        <v>65.150000000000006</v>
      </c>
      <c r="CJ15" s="346">
        <v>71.989999999999995</v>
      </c>
      <c r="CK15" s="346">
        <v>18.16</v>
      </c>
      <c r="CL15" s="346">
        <v>93.56</v>
      </c>
      <c r="CM15" s="346">
        <v>74.23</v>
      </c>
      <c r="CN15" s="346">
        <v>73.84</v>
      </c>
      <c r="CO15" s="346">
        <v>8.66</v>
      </c>
      <c r="CP15" s="346">
        <v>-0.38</v>
      </c>
      <c r="CQ15" s="346">
        <v>1532.84</v>
      </c>
      <c r="CR15" s="346">
        <v>11.11</v>
      </c>
      <c r="CS15" s="346">
        <v>2.66</v>
      </c>
      <c r="CT15" s="346">
        <v>32.68</v>
      </c>
      <c r="CU15" s="346">
        <v>136.21</v>
      </c>
      <c r="CV15" s="346">
        <v>6.96</v>
      </c>
      <c r="CW15" s="346">
        <v>342330128.51999998</v>
      </c>
    </row>
    <row r="16" spans="1:101" x14ac:dyDescent="0.25">
      <c r="A16" s="346" t="str">
        <f>VLOOKUP(B16,'Loan Book Summary'!C:G,5,FALSE)</f>
        <v>0014I000027uYyB</v>
      </c>
      <c r="B16" s="346">
        <v>1200000118</v>
      </c>
      <c r="C16" s="346" t="s">
        <v>1889</v>
      </c>
      <c r="D16" s="346" t="s">
        <v>1889</v>
      </c>
      <c r="E16" s="346">
        <v>2022</v>
      </c>
      <c r="F16" s="346">
        <v>6</v>
      </c>
      <c r="G16" s="346">
        <v>180.93413849999999</v>
      </c>
      <c r="H16" s="346">
        <v>23623.270339999999</v>
      </c>
      <c r="I16" s="346">
        <v>23623.270339999999</v>
      </c>
      <c r="J16" s="346">
        <v>58289.022709999997</v>
      </c>
      <c r="K16" s="346">
        <v>57555.242530000003</v>
      </c>
      <c r="L16" s="346">
        <v>9623.0740900000001</v>
      </c>
      <c r="M16" s="346" t="s">
        <v>1889</v>
      </c>
      <c r="N16" s="346">
        <v>13884.454239999999</v>
      </c>
      <c r="O16" s="346">
        <v>14571.896479999999</v>
      </c>
      <c r="P16" s="346">
        <v>53965.885730000002</v>
      </c>
      <c r="Q16" s="346">
        <v>34733.205000000002</v>
      </c>
      <c r="R16" s="346">
        <v>30895.02</v>
      </c>
      <c r="S16" s="346">
        <v>857.91940309999995</v>
      </c>
      <c r="T16" s="346">
        <v>241.3873619</v>
      </c>
      <c r="U16" s="346">
        <v>1942.0315969999999</v>
      </c>
      <c r="V16" s="346">
        <v>1360.515388</v>
      </c>
      <c r="W16" s="346">
        <v>102.9422024</v>
      </c>
      <c r="X16" s="346" t="s">
        <v>101</v>
      </c>
      <c r="Y16" s="346">
        <v>69102</v>
      </c>
      <c r="Z16" s="346">
        <v>5</v>
      </c>
      <c r="AA16" s="346" t="s">
        <v>996</v>
      </c>
      <c r="AB16" s="346" t="s">
        <v>104</v>
      </c>
      <c r="AC16" s="346" t="s">
        <v>104</v>
      </c>
      <c r="AD16" s="347">
        <v>0.71060000000000001</v>
      </c>
      <c r="AE16" s="347">
        <v>0.6915</v>
      </c>
      <c r="AF16" s="346">
        <v>2.27</v>
      </c>
      <c r="AG16" s="346">
        <v>4.32</v>
      </c>
      <c r="AH16" s="346">
        <v>6.26</v>
      </c>
      <c r="AI16" s="346">
        <v>8.1300000000000008</v>
      </c>
      <c r="AJ16" s="346">
        <v>9.93</v>
      </c>
      <c r="AK16" s="347">
        <v>2.2700000000000001E-2</v>
      </c>
      <c r="AL16" s="347">
        <v>2.0899999999999998E-2</v>
      </c>
      <c r="AM16" s="347">
        <v>2.0299999999999999E-2</v>
      </c>
      <c r="AN16" s="347">
        <v>1.9900000000000001E-2</v>
      </c>
      <c r="AO16" s="347">
        <v>1.9599999999999999E-2</v>
      </c>
      <c r="AP16" s="347">
        <v>2.2700000000000001E-2</v>
      </c>
      <c r="AQ16" s="347">
        <v>2.18E-2</v>
      </c>
      <c r="AR16" s="347">
        <v>2.1299999999999999E-2</v>
      </c>
      <c r="AS16" s="347">
        <v>2.1000000000000001E-2</v>
      </c>
      <c r="AT16" s="347">
        <v>2.07E-2</v>
      </c>
      <c r="AU16" s="347">
        <v>9.9299999999999999E-2</v>
      </c>
      <c r="AV16" s="346">
        <v>17.95</v>
      </c>
      <c r="AW16" s="346">
        <v>3.46</v>
      </c>
      <c r="AX16" s="346">
        <v>-8.8800000000000008</v>
      </c>
      <c r="AY16" s="346">
        <v>-3.34</v>
      </c>
      <c r="AZ16" s="346">
        <v>-6.92</v>
      </c>
      <c r="BA16" s="346">
        <v>23.74</v>
      </c>
      <c r="BB16" s="346">
        <v>15.83</v>
      </c>
      <c r="BC16" s="346">
        <v>-4.6100000000000003</v>
      </c>
      <c r="BD16" s="346">
        <v>-15.27</v>
      </c>
      <c r="BE16" s="346">
        <v>19.579999999999998</v>
      </c>
      <c r="BF16" s="346">
        <v>2.25</v>
      </c>
      <c r="BG16" s="346">
        <v>-5.32</v>
      </c>
      <c r="BH16" s="346">
        <v>-7.33</v>
      </c>
      <c r="BI16" s="346">
        <v>-5.23</v>
      </c>
      <c r="BJ16" s="346">
        <v>21.53</v>
      </c>
      <c r="BK16" s="346">
        <v>13.98</v>
      </c>
      <c r="BL16" s="346">
        <v>-3.33</v>
      </c>
      <c r="BM16" s="346">
        <v>-21.44</v>
      </c>
      <c r="BN16" s="346">
        <v>4.16</v>
      </c>
      <c r="BO16" s="346">
        <v>-4.38</v>
      </c>
      <c r="BP16" s="346">
        <v>-306.76</v>
      </c>
      <c r="BQ16" s="346">
        <v>21.72</v>
      </c>
      <c r="BR16" s="346">
        <v>12.88</v>
      </c>
      <c r="BS16" s="346">
        <v>109.5</v>
      </c>
      <c r="BT16" s="346">
        <v>-340.22</v>
      </c>
      <c r="BU16" s="346">
        <v>-91.84</v>
      </c>
      <c r="BV16" s="346">
        <v>-8.5399999999999991</v>
      </c>
      <c r="BW16" s="346">
        <v>5.83</v>
      </c>
      <c r="BX16" s="346">
        <v>-3.63</v>
      </c>
      <c r="BY16" s="346">
        <v>-224.39</v>
      </c>
      <c r="BZ16" s="346">
        <v>62.14</v>
      </c>
      <c r="CA16" s="346">
        <v>12.79</v>
      </c>
      <c r="CB16" s="346">
        <v>123.25</v>
      </c>
      <c r="CC16" s="346">
        <v>-369.16</v>
      </c>
      <c r="CD16" s="346">
        <v>-83.31</v>
      </c>
      <c r="CE16" s="346">
        <v>-15.49</v>
      </c>
      <c r="CF16" s="346">
        <v>97.22</v>
      </c>
      <c r="CG16" s="346">
        <v>9.1199999999999992</v>
      </c>
      <c r="CH16" s="346">
        <v>66.86</v>
      </c>
      <c r="CI16" s="346">
        <v>67.53</v>
      </c>
      <c r="CJ16" s="346">
        <v>66.92</v>
      </c>
      <c r="CK16" s="346">
        <v>89.89</v>
      </c>
      <c r="CL16" s="346">
        <v>33.21</v>
      </c>
      <c r="CM16" s="346">
        <v>60.05</v>
      </c>
      <c r="CN16" s="346">
        <v>97.03</v>
      </c>
      <c r="CO16" s="346">
        <v>27.71</v>
      </c>
      <c r="CP16" s="346">
        <v>-8.4499999999999993</v>
      </c>
      <c r="CQ16" s="346">
        <v>1159.94</v>
      </c>
      <c r="CR16" s="346">
        <v>12.42</v>
      </c>
      <c r="CS16" s="346">
        <v>1.74</v>
      </c>
      <c r="CT16" s="346">
        <v>94.01</v>
      </c>
      <c r="CU16" s="346">
        <v>1.3</v>
      </c>
      <c r="CV16" s="346">
        <v>3.92</v>
      </c>
      <c r="CW16" s="346">
        <v>3690640138.96</v>
      </c>
    </row>
    <row r="17" spans="1:101" x14ac:dyDescent="0.25">
      <c r="A17" s="346" t="str">
        <f>VLOOKUP(B17,'Loan Book Summary'!C:G,5,FALSE)</f>
        <v>0014I00002789GY</v>
      </c>
      <c r="B17" s="346">
        <v>1100000234</v>
      </c>
      <c r="C17" s="346" t="s">
        <v>1889</v>
      </c>
      <c r="D17" s="346" t="s">
        <v>1889</v>
      </c>
      <c r="E17" s="346">
        <v>2022</v>
      </c>
      <c r="F17" s="346">
        <v>6</v>
      </c>
      <c r="G17" s="346">
        <v>628.16169649999995</v>
      </c>
      <c r="H17" s="346">
        <v>2202.3266199999998</v>
      </c>
      <c r="I17" s="346">
        <v>2202.3266199999998</v>
      </c>
      <c r="J17" s="346">
        <v>29246.42368</v>
      </c>
      <c r="K17" s="346">
        <v>30610.346720000001</v>
      </c>
      <c r="L17" s="346">
        <v>1321.91697</v>
      </c>
      <c r="M17" s="346" t="s">
        <v>1889</v>
      </c>
      <c r="N17" s="346">
        <v>3010.2828399999999</v>
      </c>
      <c r="O17" s="346">
        <v>3010.2828399999999</v>
      </c>
      <c r="P17" s="346">
        <v>3470.92769</v>
      </c>
      <c r="Q17" s="346">
        <v>11042.817499999999</v>
      </c>
      <c r="R17" s="346">
        <v>10590.9375</v>
      </c>
      <c r="S17" s="346">
        <v>1158.997672</v>
      </c>
      <c r="T17" s="346">
        <v>14.1044482</v>
      </c>
      <c r="U17" s="346">
        <v>-110.9761723</v>
      </c>
      <c r="V17" s="346">
        <v>-125.0806204</v>
      </c>
      <c r="W17" s="346">
        <v>637.55702199999996</v>
      </c>
      <c r="X17" s="346" t="s">
        <v>101</v>
      </c>
      <c r="Y17" s="346">
        <v>10720</v>
      </c>
      <c r="Z17" s="346">
        <v>5</v>
      </c>
      <c r="AA17" s="346" t="s">
        <v>996</v>
      </c>
      <c r="AB17" s="346" t="s">
        <v>114</v>
      </c>
      <c r="AC17" s="346" t="s">
        <v>114</v>
      </c>
      <c r="AD17" s="347">
        <v>0.28699999999999998</v>
      </c>
      <c r="AE17" s="347">
        <v>0.2707</v>
      </c>
      <c r="AF17" s="346">
        <v>0.56000000000000005</v>
      </c>
      <c r="AG17" s="346">
        <v>1.22</v>
      </c>
      <c r="AH17" s="346">
        <v>1.94</v>
      </c>
      <c r="AI17" s="346">
        <v>2.68</v>
      </c>
      <c r="AJ17" s="346">
        <v>3.45</v>
      </c>
      <c r="AK17" s="347">
        <v>5.5999999999999999E-3</v>
      </c>
      <c r="AL17" s="347">
        <v>6.7000000000000002E-3</v>
      </c>
      <c r="AM17" s="347">
        <v>7.1999999999999998E-3</v>
      </c>
      <c r="AN17" s="347">
        <v>7.6E-3</v>
      </c>
      <c r="AO17" s="347">
        <v>7.9000000000000008E-3</v>
      </c>
      <c r="AP17" s="347">
        <v>5.5999999999999999E-3</v>
      </c>
      <c r="AQ17" s="347">
        <v>6.1000000000000004E-3</v>
      </c>
      <c r="AR17" s="347">
        <v>6.4999999999999997E-3</v>
      </c>
      <c r="AS17" s="347">
        <v>6.7999999999999996E-3</v>
      </c>
      <c r="AT17" s="347">
        <v>7.0000000000000001E-3</v>
      </c>
      <c r="AU17" s="347">
        <v>3.4500000000000003E-2</v>
      </c>
      <c r="AV17" s="346">
        <v>7.61</v>
      </c>
      <c r="AW17" s="346">
        <v>-2.99</v>
      </c>
      <c r="AX17" s="346">
        <v>-22.67</v>
      </c>
      <c r="AY17" s="346">
        <v>-5.22</v>
      </c>
      <c r="AZ17" s="346">
        <v>-4.5199999999999996</v>
      </c>
      <c r="BA17" s="346">
        <v>-21.57</v>
      </c>
      <c r="BB17" s="346">
        <v>-5.84</v>
      </c>
      <c r="BC17" s="346">
        <v>16.010000000000002</v>
      </c>
      <c r="BD17" s="346">
        <v>-13.57</v>
      </c>
      <c r="BE17" s="346">
        <v>8.83</v>
      </c>
      <c r="BF17" s="346">
        <v>-2.0699999999999998</v>
      </c>
      <c r="BG17" s="346">
        <v>-14.45</v>
      </c>
      <c r="BH17" s="346">
        <v>-12.17</v>
      </c>
      <c r="BI17" s="346">
        <v>-3.64</v>
      </c>
      <c r="BJ17" s="346">
        <v>-20.8</v>
      </c>
      <c r="BK17" s="346">
        <v>-5.49</v>
      </c>
      <c r="BL17" s="346">
        <v>12.29</v>
      </c>
      <c r="BM17" s="346">
        <v>-20.260000000000002</v>
      </c>
      <c r="BN17" s="346">
        <v>134.02000000000001</v>
      </c>
      <c r="BO17" s="346">
        <v>-49.55</v>
      </c>
      <c r="BP17" s="346">
        <v>-49.03</v>
      </c>
      <c r="BQ17" s="346">
        <v>-17.41</v>
      </c>
      <c r="BR17" s="346">
        <v>-131.88999999999999</v>
      </c>
      <c r="BS17" s="346">
        <v>2.85</v>
      </c>
      <c r="BT17" s="346">
        <v>-334.19</v>
      </c>
      <c r="BU17" s="346">
        <v>-137.56</v>
      </c>
      <c r="BV17" s="346">
        <v>-43.51</v>
      </c>
      <c r="BW17" s="346">
        <v>162.44</v>
      </c>
      <c r="BX17" s="346">
        <v>-36.549999999999997</v>
      </c>
      <c r="BY17" s="346">
        <v>-33.36</v>
      </c>
      <c r="BZ17" s="346">
        <v>-42.71</v>
      </c>
      <c r="CA17" s="346">
        <v>-110.68</v>
      </c>
      <c r="CB17" s="346">
        <v>3.05</v>
      </c>
      <c r="CC17" s="346">
        <v>-332.48</v>
      </c>
      <c r="CD17" s="346">
        <v>-110.15</v>
      </c>
      <c r="CE17" s="346">
        <v>-68.59</v>
      </c>
      <c r="CF17" s="346">
        <v>72.540000000000006</v>
      </c>
      <c r="CG17" s="346">
        <v>37.479999999999997</v>
      </c>
      <c r="CH17" s="346">
        <v>90.93</v>
      </c>
      <c r="CI17" s="346">
        <v>49.52</v>
      </c>
      <c r="CJ17" s="346">
        <v>35.93</v>
      </c>
      <c r="CK17" s="346">
        <v>9.76</v>
      </c>
      <c r="CL17" s="346">
        <v>62.87</v>
      </c>
      <c r="CM17" s="346">
        <v>19.78</v>
      </c>
      <c r="CN17" s="346">
        <v>93.33</v>
      </c>
      <c r="CO17" s="346">
        <v>11.97</v>
      </c>
      <c r="CP17" s="346">
        <v>-0.85</v>
      </c>
      <c r="CQ17" s="346">
        <v>7430.43</v>
      </c>
      <c r="CR17" s="346">
        <v>4.2699999999999996</v>
      </c>
      <c r="CS17" s="346">
        <v>-2.2799999999999998</v>
      </c>
      <c r="CT17" s="346">
        <v>20.09</v>
      </c>
      <c r="CU17" s="346">
        <v>20.87</v>
      </c>
      <c r="CV17" s="346">
        <v>-1.1299999999999999</v>
      </c>
      <c r="CW17" s="346">
        <v>1649468764.21</v>
      </c>
    </row>
    <row r="18" spans="1:101" x14ac:dyDescent="0.25">
      <c r="A18" s="346" t="str">
        <f>VLOOKUP(B18,'Loan Book Summary'!C:G,5,FALSE)</f>
        <v>0014I00001r6hl4</v>
      </c>
      <c r="B18" s="346">
        <v>1200000106</v>
      </c>
      <c r="C18" s="346" t="s">
        <v>1889</v>
      </c>
      <c r="D18" s="346" t="s">
        <v>1889</v>
      </c>
      <c r="E18" s="346">
        <v>2022</v>
      </c>
      <c r="F18" s="346">
        <v>6</v>
      </c>
      <c r="G18" s="346">
        <v>277.99167820000002</v>
      </c>
      <c r="H18" s="346">
        <v>289.60199999999998</v>
      </c>
      <c r="I18" s="346">
        <v>289.60199999999998</v>
      </c>
      <c r="J18" s="346">
        <v>8760.6259900000005</v>
      </c>
      <c r="K18" s="346">
        <v>9858.6697820000009</v>
      </c>
      <c r="L18" s="346">
        <v>2430.6012599999999</v>
      </c>
      <c r="M18" s="346" t="s">
        <v>1889</v>
      </c>
      <c r="N18" s="346">
        <v>4261.3187600000001</v>
      </c>
      <c r="O18" s="346">
        <v>4261.3187600000001</v>
      </c>
      <c r="P18" s="346">
        <v>14307.0198</v>
      </c>
      <c r="Q18" s="346">
        <v>12418.76302</v>
      </c>
      <c r="R18" s="346">
        <v>11245.57346</v>
      </c>
      <c r="S18" s="346">
        <v>1066.829358</v>
      </c>
      <c r="T18" s="346">
        <v>788.51460710000003</v>
      </c>
      <c r="U18" s="346">
        <v>192.08465949999999</v>
      </c>
      <c r="V18" s="346">
        <v>-671.12154459999999</v>
      </c>
      <c r="W18" s="346">
        <v>-1165.686645</v>
      </c>
      <c r="X18" s="346" t="s">
        <v>101</v>
      </c>
      <c r="Y18" s="346">
        <v>25120</v>
      </c>
      <c r="Z18" s="346">
        <v>5</v>
      </c>
      <c r="AA18" s="346" t="s">
        <v>996</v>
      </c>
      <c r="AB18" s="346" t="s">
        <v>118</v>
      </c>
      <c r="AC18" s="346" t="s">
        <v>119</v>
      </c>
      <c r="AD18" s="347">
        <v>0.93430000000000002</v>
      </c>
      <c r="AE18" s="347">
        <v>0.90569999999999995</v>
      </c>
      <c r="AF18" s="346">
        <v>8.48</v>
      </c>
      <c r="AG18" s="346">
        <v>12.52</v>
      </c>
      <c r="AH18" s="346">
        <v>15.64</v>
      </c>
      <c r="AI18" s="346">
        <v>18.27</v>
      </c>
      <c r="AJ18" s="346">
        <v>20.57</v>
      </c>
      <c r="AK18" s="347">
        <v>8.48E-2</v>
      </c>
      <c r="AL18" s="347">
        <v>4.41E-2</v>
      </c>
      <c r="AM18" s="347">
        <v>3.5700000000000003E-2</v>
      </c>
      <c r="AN18" s="347">
        <v>3.1199999999999999E-2</v>
      </c>
      <c r="AO18" s="347">
        <v>2.8199999999999999E-2</v>
      </c>
      <c r="AP18" s="347">
        <v>8.48E-2</v>
      </c>
      <c r="AQ18" s="347">
        <v>6.4699999999999994E-2</v>
      </c>
      <c r="AR18" s="347">
        <v>5.5100000000000003E-2</v>
      </c>
      <c r="AS18" s="347">
        <v>4.9200000000000001E-2</v>
      </c>
      <c r="AT18" s="347">
        <v>4.4999999999999998E-2</v>
      </c>
      <c r="AU18" s="347">
        <v>0.20569999999999999</v>
      </c>
      <c r="AV18" s="346">
        <v>14.88</v>
      </c>
      <c r="AW18" s="346">
        <v>-3.26</v>
      </c>
      <c r="AX18" s="346">
        <v>14.59</v>
      </c>
      <c r="AY18" s="346">
        <v>-3.54</v>
      </c>
      <c r="AZ18" s="346">
        <v>-5.13</v>
      </c>
      <c r="BA18" s="346">
        <v>33.479999999999997</v>
      </c>
      <c r="BB18" s="346">
        <v>5.41</v>
      </c>
      <c r="BC18" s="346">
        <v>14.31</v>
      </c>
      <c r="BD18" s="346">
        <v>-5.41</v>
      </c>
      <c r="BE18" s="346">
        <v>17.68</v>
      </c>
      <c r="BF18" s="346">
        <v>-2.31</v>
      </c>
      <c r="BG18" s="346">
        <v>9.5299999999999994</v>
      </c>
      <c r="BH18" s="346">
        <v>-8.4600000000000009</v>
      </c>
      <c r="BI18" s="346">
        <v>-4.2300000000000004</v>
      </c>
      <c r="BJ18" s="346">
        <v>33.07</v>
      </c>
      <c r="BK18" s="346">
        <v>5.2</v>
      </c>
      <c r="BL18" s="346">
        <v>11.25</v>
      </c>
      <c r="BM18" s="346">
        <v>-8.2799999999999994</v>
      </c>
      <c r="BN18" s="346">
        <v>35.74</v>
      </c>
      <c r="BO18" s="346">
        <v>-10.56</v>
      </c>
      <c r="BP18" s="346">
        <v>-323.93</v>
      </c>
      <c r="BQ18" s="346">
        <v>25.53</v>
      </c>
      <c r="BR18" s="346">
        <v>53.26</v>
      </c>
      <c r="BS18" s="346">
        <v>11.53</v>
      </c>
      <c r="BT18" s="346">
        <v>-363.71</v>
      </c>
      <c r="BU18" s="346">
        <v>-17.010000000000002</v>
      </c>
      <c r="BV18" s="346">
        <v>-58.72</v>
      </c>
      <c r="BW18" s="346">
        <v>31.3</v>
      </c>
      <c r="BX18" s="346">
        <v>-5.36</v>
      </c>
      <c r="BY18" s="346">
        <v>-237.23</v>
      </c>
      <c r="BZ18" s="346">
        <v>44.7</v>
      </c>
      <c r="CA18" s="346">
        <v>32.51</v>
      </c>
      <c r="CB18" s="346">
        <v>8.18</v>
      </c>
      <c r="CC18" s="346">
        <v>-463.93</v>
      </c>
      <c r="CD18" s="346">
        <v>-9.6199999999999992</v>
      </c>
      <c r="CE18" s="346">
        <v>-67.17</v>
      </c>
      <c r="CF18" s="346">
        <v>91.69</v>
      </c>
      <c r="CG18" s="346">
        <v>45.5</v>
      </c>
      <c r="CH18" s="346">
        <v>26.52</v>
      </c>
      <c r="CI18" s="346">
        <v>63.84</v>
      </c>
      <c r="CJ18" s="346">
        <v>74.099999999999994</v>
      </c>
      <c r="CK18" s="346">
        <v>100</v>
      </c>
      <c r="CL18" s="346">
        <v>46.87</v>
      </c>
      <c r="CM18" s="346">
        <v>12.24</v>
      </c>
      <c r="CN18" s="346">
        <v>84.66</v>
      </c>
      <c r="CO18" s="346">
        <v>19.57</v>
      </c>
      <c r="CP18" s="346">
        <v>-0.24</v>
      </c>
      <c r="CQ18" s="346">
        <v>159.66</v>
      </c>
      <c r="CR18" s="346">
        <v>10.43</v>
      </c>
      <c r="CS18" s="346">
        <v>3.1</v>
      </c>
      <c r="CT18" s="346">
        <v>142.59</v>
      </c>
      <c r="CU18" s="346">
        <v>6.52</v>
      </c>
      <c r="CV18" s="346">
        <v>-5.4</v>
      </c>
      <c r="CW18" s="346">
        <v>665886056.94000006</v>
      </c>
    </row>
    <row r="19" spans="1:101" x14ac:dyDescent="0.25">
      <c r="A19" s="346" t="str">
        <f>VLOOKUP(B19,'Loan Book Summary'!C:G,5,FALSE)</f>
        <v>0015800001Pfprh</v>
      </c>
      <c r="B19" s="346">
        <v>1100000144</v>
      </c>
      <c r="C19" s="346" t="s">
        <v>1889</v>
      </c>
      <c r="D19" s="346" t="s">
        <v>1889</v>
      </c>
      <c r="E19" s="346">
        <v>2022</v>
      </c>
      <c r="F19" s="346">
        <v>6</v>
      </c>
      <c r="G19" s="346">
        <v>13231.17301</v>
      </c>
      <c r="H19" s="346">
        <v>7279.6970000000001</v>
      </c>
      <c r="I19" s="346">
        <v>7279.6970000000001</v>
      </c>
      <c r="J19" s="346">
        <v>26083.148939999999</v>
      </c>
      <c r="K19" s="346">
        <v>25437.30443</v>
      </c>
      <c r="L19" s="346">
        <v>150.35550000000001</v>
      </c>
      <c r="M19" s="346" t="s">
        <v>1889</v>
      </c>
      <c r="N19" s="346">
        <v>8704.0195000000003</v>
      </c>
      <c r="O19" s="346">
        <v>8704.0195000000003</v>
      </c>
      <c r="P19" s="346">
        <v>22902.909</v>
      </c>
      <c r="Q19" s="346">
        <v>24075.219389999998</v>
      </c>
      <c r="R19" s="346">
        <v>22682.492460000001</v>
      </c>
      <c r="S19" s="346">
        <v>1338.282158</v>
      </c>
      <c r="T19" s="346">
        <v>1313.556877</v>
      </c>
      <c r="U19" s="346">
        <v>2602.5736959999999</v>
      </c>
      <c r="V19" s="346">
        <v>1031.213456</v>
      </c>
      <c r="W19" s="346">
        <v>2254.7344939999998</v>
      </c>
      <c r="X19" s="346" t="s">
        <v>101</v>
      </c>
      <c r="Y19" s="346">
        <v>82990</v>
      </c>
      <c r="Z19" s="346">
        <v>5</v>
      </c>
      <c r="AA19" s="346" t="s">
        <v>996</v>
      </c>
      <c r="AB19" s="346" t="s">
        <v>114</v>
      </c>
      <c r="AC19" s="346" t="s">
        <v>114</v>
      </c>
      <c r="AD19" s="347">
        <v>0.33179999999999998</v>
      </c>
      <c r="AE19" s="347">
        <v>0.23580000000000001</v>
      </c>
      <c r="AF19" s="346">
        <v>0.65</v>
      </c>
      <c r="AG19" s="346">
        <v>1.27</v>
      </c>
      <c r="AH19" s="346">
        <v>1.89</v>
      </c>
      <c r="AI19" s="346">
        <v>2.5</v>
      </c>
      <c r="AJ19" s="346">
        <v>3.1</v>
      </c>
      <c r="AK19" s="347">
        <v>6.4999999999999997E-3</v>
      </c>
      <c r="AL19" s="347">
        <v>6.3E-3</v>
      </c>
      <c r="AM19" s="347">
        <v>6.1999999999999998E-3</v>
      </c>
      <c r="AN19" s="347">
        <v>6.1999999999999998E-3</v>
      </c>
      <c r="AO19" s="347">
        <v>6.1999999999999998E-3</v>
      </c>
      <c r="AP19" s="347">
        <v>6.4999999999999997E-3</v>
      </c>
      <c r="AQ19" s="347">
        <v>6.4000000000000003E-3</v>
      </c>
      <c r="AR19" s="347">
        <v>6.3E-3</v>
      </c>
      <c r="AS19" s="347">
        <v>6.3E-3</v>
      </c>
      <c r="AT19" s="347">
        <v>6.3E-3</v>
      </c>
      <c r="AU19" s="347">
        <v>3.1E-2</v>
      </c>
      <c r="AV19" s="346">
        <v>-15.37</v>
      </c>
      <c r="AW19" s="346">
        <v>-1.25</v>
      </c>
      <c r="AX19" s="346">
        <v>9.08</v>
      </c>
      <c r="AY19" s="346">
        <v>-4.91</v>
      </c>
      <c r="AZ19" s="346">
        <v>-1.81</v>
      </c>
      <c r="BA19" s="346">
        <v>24.43</v>
      </c>
      <c r="BB19" s="346">
        <v>-24.66</v>
      </c>
      <c r="BC19" s="346">
        <v>-5.83</v>
      </c>
      <c r="BD19" s="346">
        <v>-12.65</v>
      </c>
      <c r="BE19" s="346">
        <v>-16.59</v>
      </c>
      <c r="BF19" s="346">
        <v>-0.8</v>
      </c>
      <c r="BG19" s="346">
        <v>5.39</v>
      </c>
      <c r="BH19" s="346">
        <v>-10.65</v>
      </c>
      <c r="BI19" s="346">
        <v>-1.36</v>
      </c>
      <c r="BJ19" s="346">
        <v>21.92</v>
      </c>
      <c r="BK19" s="346">
        <v>-21.56</v>
      </c>
      <c r="BL19" s="346">
        <v>-4.16</v>
      </c>
      <c r="BM19" s="346">
        <v>-17.579999999999998</v>
      </c>
      <c r="BN19" s="346">
        <v>188.65</v>
      </c>
      <c r="BO19" s="346">
        <v>-31.45</v>
      </c>
      <c r="BP19" s="346">
        <v>-309.32</v>
      </c>
      <c r="BQ19" s="346">
        <v>1.31</v>
      </c>
      <c r="BR19" s="346">
        <v>-78.510000000000005</v>
      </c>
      <c r="BS19" s="346">
        <v>148.93</v>
      </c>
      <c r="BT19" s="346">
        <v>-7.41</v>
      </c>
      <c r="BU19" s="346">
        <v>-108.69</v>
      </c>
      <c r="BV19" s="346">
        <v>-25.73</v>
      </c>
      <c r="BW19" s="346">
        <v>259.17</v>
      </c>
      <c r="BX19" s="346">
        <v>-23.55</v>
      </c>
      <c r="BY19" s="346">
        <v>-230.11</v>
      </c>
      <c r="BZ19" s="346">
        <v>3.29</v>
      </c>
      <c r="CA19" s="346">
        <v>-70.94</v>
      </c>
      <c r="CB19" s="346">
        <v>168.33</v>
      </c>
      <c r="CC19" s="346">
        <v>-7.48</v>
      </c>
      <c r="CD19" s="346">
        <v>-95.84</v>
      </c>
      <c r="CE19" s="346">
        <v>-41.29</v>
      </c>
      <c r="CF19" s="346">
        <v>9.7100000000000009</v>
      </c>
      <c r="CG19" s="346">
        <v>28.68</v>
      </c>
      <c r="CH19" s="346">
        <v>36.869999999999997</v>
      </c>
      <c r="CI19" s="346">
        <v>54.26</v>
      </c>
      <c r="CJ19" s="346">
        <v>29.42</v>
      </c>
      <c r="CK19" s="346">
        <v>86.87</v>
      </c>
      <c r="CL19" s="346">
        <v>94.53</v>
      </c>
      <c r="CM19" s="346">
        <v>62.22</v>
      </c>
      <c r="CN19" s="346">
        <v>93.9</v>
      </c>
      <c r="CO19" s="346">
        <v>0.62</v>
      </c>
      <c r="CP19" s="346">
        <v>-1.86</v>
      </c>
      <c r="CQ19" s="346">
        <v>300.01</v>
      </c>
      <c r="CR19" s="346">
        <v>6.14</v>
      </c>
      <c r="CS19" s="346">
        <v>-3.64</v>
      </c>
      <c r="CT19" s="346">
        <v>90.86</v>
      </c>
      <c r="CU19" s="346">
        <v>152.01</v>
      </c>
      <c r="CV19" s="346">
        <v>4.28</v>
      </c>
      <c r="CW19" s="346">
        <v>1778865666.3199999</v>
      </c>
    </row>
    <row r="20" spans="1:101" x14ac:dyDescent="0.25">
      <c r="A20" s="346" t="str">
        <f>VLOOKUP(B20,'Loan Book Summary'!C:G,5,FALSE)</f>
        <v>0015800000bzlGg</v>
      </c>
      <c r="B20" s="346">
        <v>1200000116</v>
      </c>
      <c r="C20" s="346" t="s">
        <v>1889</v>
      </c>
      <c r="D20" s="346" t="s">
        <v>1889</v>
      </c>
      <c r="E20" s="346">
        <v>2022</v>
      </c>
      <c r="F20" s="346">
        <v>6</v>
      </c>
      <c r="G20" s="346">
        <v>600.32477429999994</v>
      </c>
      <c r="H20" s="346">
        <v>391.25700000000001</v>
      </c>
      <c r="I20" s="346">
        <v>391.25700000000001</v>
      </c>
      <c r="J20" s="346">
        <v>2531.9411919999998</v>
      </c>
      <c r="K20" s="346">
        <v>2501.3194760000001</v>
      </c>
      <c r="L20" s="346">
        <v>364.20034249999998</v>
      </c>
      <c r="M20" s="346" t="s">
        <v>1889</v>
      </c>
      <c r="N20" s="346">
        <v>468.81434250000001</v>
      </c>
      <c r="O20" s="346">
        <v>468.81434250000001</v>
      </c>
      <c r="P20" s="346">
        <v>1802.1289999999999</v>
      </c>
      <c r="Q20" s="346">
        <v>2000.3060620000001</v>
      </c>
      <c r="R20" s="346">
        <v>1879.9737620000001</v>
      </c>
      <c r="S20" s="346">
        <v>159.79903959999999</v>
      </c>
      <c r="T20" s="346">
        <v>44.867713080000001</v>
      </c>
      <c r="U20" s="346">
        <v>190.17341250000001</v>
      </c>
      <c r="V20" s="346">
        <v>114.89697030000001</v>
      </c>
      <c r="W20" s="346">
        <v>130.2550784</v>
      </c>
      <c r="X20" s="346" t="s">
        <v>101</v>
      </c>
      <c r="Y20" s="346">
        <v>28290</v>
      </c>
      <c r="Z20" s="346">
        <v>5</v>
      </c>
      <c r="AA20" s="346" t="s">
        <v>996</v>
      </c>
      <c r="AB20" s="346" t="s">
        <v>110</v>
      </c>
      <c r="AC20" s="346" t="s">
        <v>110</v>
      </c>
      <c r="AD20" s="347">
        <v>0.3649</v>
      </c>
      <c r="AE20" s="347">
        <v>0.38229999999999997</v>
      </c>
      <c r="AF20" s="346">
        <v>0.72</v>
      </c>
      <c r="AG20" s="346">
        <v>1.63</v>
      </c>
      <c r="AH20" s="346">
        <v>2.61</v>
      </c>
      <c r="AI20" s="346">
        <v>3.65</v>
      </c>
      <c r="AJ20" s="346">
        <v>4.7300000000000004</v>
      </c>
      <c r="AK20" s="347">
        <v>7.1999999999999998E-3</v>
      </c>
      <c r="AL20" s="347">
        <v>9.1000000000000004E-3</v>
      </c>
      <c r="AM20" s="347">
        <v>0.01</v>
      </c>
      <c r="AN20" s="347">
        <v>1.06E-2</v>
      </c>
      <c r="AO20" s="347">
        <v>1.11E-2</v>
      </c>
      <c r="AP20" s="347">
        <v>7.1999999999999998E-3</v>
      </c>
      <c r="AQ20" s="347">
        <v>8.2000000000000007E-3</v>
      </c>
      <c r="AR20" s="347">
        <v>8.8000000000000005E-3</v>
      </c>
      <c r="AS20" s="347">
        <v>9.2999999999999992E-3</v>
      </c>
      <c r="AT20" s="347">
        <v>9.5999999999999992E-3</v>
      </c>
      <c r="AU20" s="347">
        <v>4.7300000000000002E-2</v>
      </c>
      <c r="AV20" s="346">
        <v>21.96</v>
      </c>
      <c r="AW20" s="346">
        <v>-2.68</v>
      </c>
      <c r="AX20" s="346">
        <v>-7.85</v>
      </c>
      <c r="AY20" s="346">
        <v>-6.4</v>
      </c>
      <c r="AZ20" s="346">
        <v>-9.64</v>
      </c>
      <c r="BA20" s="346">
        <v>8.39</v>
      </c>
      <c r="BB20" s="346">
        <v>-31.24</v>
      </c>
      <c r="BC20" s="346">
        <v>-9.98</v>
      </c>
      <c r="BD20" s="346">
        <v>-1.87</v>
      </c>
      <c r="BE20" s="346">
        <v>24.75</v>
      </c>
      <c r="BF20" s="346">
        <v>-1.8</v>
      </c>
      <c r="BG20" s="346">
        <v>-4.8600000000000003</v>
      </c>
      <c r="BH20" s="346">
        <v>-14.5</v>
      </c>
      <c r="BI20" s="346">
        <v>-7.54</v>
      </c>
      <c r="BJ20" s="346">
        <v>7.86</v>
      </c>
      <c r="BK20" s="346">
        <v>-28.53</v>
      </c>
      <c r="BL20" s="346">
        <v>-7.45</v>
      </c>
      <c r="BM20" s="346">
        <v>-2.71</v>
      </c>
      <c r="BN20" s="346">
        <v>33.06</v>
      </c>
      <c r="BO20" s="346">
        <v>-27.81</v>
      </c>
      <c r="BP20" s="346">
        <v>-311.54000000000002</v>
      </c>
      <c r="BQ20" s="346">
        <v>1.04</v>
      </c>
      <c r="BR20" s="346">
        <v>-38.89</v>
      </c>
      <c r="BS20" s="346">
        <v>112.16</v>
      </c>
      <c r="BT20" s="346">
        <v>-10.27</v>
      </c>
      <c r="BU20" s="346">
        <v>-62.94</v>
      </c>
      <c r="BV20" s="346">
        <v>-302.27</v>
      </c>
      <c r="BW20" s="346">
        <v>36.630000000000003</v>
      </c>
      <c r="BX20" s="346">
        <v>-18.37</v>
      </c>
      <c r="BY20" s="346">
        <v>-195.3</v>
      </c>
      <c r="BZ20" s="346">
        <v>2.3199999999999998</v>
      </c>
      <c r="CA20" s="346">
        <v>-29.99</v>
      </c>
      <c r="CB20" s="346">
        <v>106.19</v>
      </c>
      <c r="CC20" s="346">
        <v>-9.17</v>
      </c>
      <c r="CD20" s="346">
        <v>-45.9</v>
      </c>
      <c r="CE20" s="346">
        <v>-456.12</v>
      </c>
      <c r="CF20" s="346">
        <v>89.71</v>
      </c>
      <c r="CG20" s="346">
        <v>33.49</v>
      </c>
      <c r="CH20" s="346">
        <v>58.46</v>
      </c>
      <c r="CI20" s="346">
        <v>54.89</v>
      </c>
      <c r="CJ20" s="346">
        <v>47.77</v>
      </c>
      <c r="CK20" s="346">
        <v>68.28</v>
      </c>
      <c r="CL20" s="346">
        <v>92.9</v>
      </c>
      <c r="CM20" s="346">
        <v>69.540000000000006</v>
      </c>
      <c r="CN20" s="346">
        <v>53.6</v>
      </c>
      <c r="CO20" s="346">
        <v>18.21</v>
      </c>
      <c r="CP20" s="346">
        <v>-1.25</v>
      </c>
      <c r="CQ20" s="346">
        <v>780.01</v>
      </c>
      <c r="CR20" s="346">
        <v>6.4</v>
      </c>
      <c r="CS20" s="346">
        <v>-0.56000000000000005</v>
      </c>
      <c r="CT20" s="346">
        <v>75.680000000000007</v>
      </c>
      <c r="CU20" s="346">
        <v>128.05000000000001</v>
      </c>
      <c r="CV20" s="346">
        <v>5.74</v>
      </c>
      <c r="CW20" s="346">
        <v>153445687.96000001</v>
      </c>
    </row>
    <row r="21" spans="1:101" x14ac:dyDescent="0.25">
      <c r="A21" s="346" t="str">
        <f>VLOOKUP(B21,'Loan Book Summary'!C:G,5,FALSE)</f>
        <v>0014I00001i941O</v>
      </c>
      <c r="B21" s="346">
        <v>1100000187</v>
      </c>
      <c r="C21" s="346" t="s">
        <v>1889</v>
      </c>
      <c r="D21" s="346" t="s">
        <v>1889</v>
      </c>
      <c r="E21" s="346">
        <v>2022</v>
      </c>
      <c r="F21" s="346">
        <v>6</v>
      </c>
      <c r="G21" s="346">
        <v>2038.2801870000001</v>
      </c>
      <c r="H21" s="346">
        <v>184.82354000000001</v>
      </c>
      <c r="I21" s="346">
        <v>184.82354000000001</v>
      </c>
      <c r="J21" s="346">
        <v>2477.5903779999999</v>
      </c>
      <c r="K21" s="346">
        <v>1403.5383830000001</v>
      </c>
      <c r="L21" s="346">
        <v>87.139809470000003</v>
      </c>
      <c r="M21" s="346" t="s">
        <v>1889</v>
      </c>
      <c r="N21" s="346">
        <v>511.50067949999999</v>
      </c>
      <c r="O21" s="346">
        <v>511.50067949999999</v>
      </c>
      <c r="P21" s="346">
        <v>403.76042000000001</v>
      </c>
      <c r="Q21" s="346">
        <v>3519.4811639999998</v>
      </c>
      <c r="R21" s="346">
        <v>3366.3485620000001</v>
      </c>
      <c r="S21" s="346">
        <v>58.488594130000003</v>
      </c>
      <c r="T21" s="346">
        <v>9.3486959639999991</v>
      </c>
      <c r="U21" s="346">
        <v>1174.9105890000001</v>
      </c>
      <c r="V21" s="346">
        <v>932.44951470000001</v>
      </c>
      <c r="W21" s="346">
        <v>864.2129324</v>
      </c>
      <c r="X21" s="346" t="s">
        <v>101</v>
      </c>
      <c r="Y21" s="346">
        <v>63990</v>
      </c>
      <c r="Z21" s="346">
        <v>5</v>
      </c>
      <c r="AA21" s="346" t="s">
        <v>996</v>
      </c>
      <c r="AB21" s="346" t="s">
        <v>5429</v>
      </c>
      <c r="AC21" s="346" t="s">
        <v>5429</v>
      </c>
      <c r="AD21" s="347">
        <v>2.2200000000000001E-2</v>
      </c>
      <c r="AE21" s="347">
        <v>9.7999999999999997E-3</v>
      </c>
      <c r="AF21" s="346">
        <v>0.14000000000000001</v>
      </c>
      <c r="AG21" s="346">
        <v>0.3</v>
      </c>
      <c r="AH21" s="346">
        <v>0.48</v>
      </c>
      <c r="AI21" s="346">
        <v>0.66</v>
      </c>
      <c r="AJ21" s="346">
        <v>0.85</v>
      </c>
      <c r="AK21" s="347">
        <v>1.4E-3</v>
      </c>
      <c r="AL21" s="347">
        <v>1.6000000000000001E-3</v>
      </c>
      <c r="AM21" s="347">
        <v>1.8E-3</v>
      </c>
      <c r="AN21" s="347">
        <v>1.9E-3</v>
      </c>
      <c r="AO21" s="347">
        <v>1.9E-3</v>
      </c>
      <c r="AP21" s="347">
        <v>1.4E-3</v>
      </c>
      <c r="AQ21" s="347">
        <v>1.5E-3</v>
      </c>
      <c r="AR21" s="347">
        <v>1.6000000000000001E-3</v>
      </c>
      <c r="AS21" s="347">
        <v>1.6999999999999999E-3</v>
      </c>
      <c r="AT21" s="347">
        <v>1.6999999999999999E-3</v>
      </c>
      <c r="AU21" s="347">
        <v>8.5000000000000006E-3</v>
      </c>
      <c r="AV21" s="346">
        <v>-9.4499999999999993</v>
      </c>
      <c r="AW21" s="346">
        <v>-3.32</v>
      </c>
      <c r="AX21" s="346">
        <v>-20.399999999999999</v>
      </c>
      <c r="AY21" s="346">
        <v>-4.13</v>
      </c>
      <c r="AZ21" s="346">
        <v>10.79</v>
      </c>
      <c r="BA21" s="346">
        <v>-16.07</v>
      </c>
      <c r="BB21" s="346">
        <v>-21.69</v>
      </c>
      <c r="BC21" s="346">
        <v>-12.93</v>
      </c>
      <c r="BD21" s="346">
        <v>-1.21</v>
      </c>
      <c r="BE21" s="346">
        <v>-11.89</v>
      </c>
      <c r="BF21" s="346">
        <v>-2.4900000000000002</v>
      </c>
      <c r="BG21" s="346">
        <v>-14.1</v>
      </c>
      <c r="BH21" s="346">
        <v>-10.45</v>
      </c>
      <c r="BI21" s="346">
        <v>9.41</v>
      </c>
      <c r="BJ21" s="346">
        <v>-16.809999999999999</v>
      </c>
      <c r="BK21" s="346">
        <v>-22.11</v>
      </c>
      <c r="BL21" s="346">
        <v>-10.77</v>
      </c>
      <c r="BM21" s="346">
        <v>-1.96</v>
      </c>
      <c r="BN21" s="346">
        <v>130.79</v>
      </c>
      <c r="BO21" s="346">
        <v>-23.11</v>
      </c>
      <c r="BP21" s="346">
        <v>-31.95</v>
      </c>
      <c r="BQ21" s="346">
        <v>-17.28</v>
      </c>
      <c r="BR21" s="346">
        <v>-76.25</v>
      </c>
      <c r="BS21" s="346">
        <v>37.380000000000003</v>
      </c>
      <c r="BT21" s="346">
        <v>-4.62</v>
      </c>
      <c r="BU21" s="346">
        <v>-13.74</v>
      </c>
      <c r="BV21" s="346">
        <v>-564.88</v>
      </c>
      <c r="BW21" s="346">
        <v>84.82</v>
      </c>
      <c r="BX21" s="346">
        <v>-8.41</v>
      </c>
      <c r="BY21" s="346">
        <v>-10.54</v>
      </c>
      <c r="BZ21" s="346">
        <v>-19.37</v>
      </c>
      <c r="CA21" s="346">
        <v>-31.08</v>
      </c>
      <c r="CB21" s="346">
        <v>17.55</v>
      </c>
      <c r="CC21" s="346">
        <v>-2.25</v>
      </c>
      <c r="CD21" s="346">
        <v>-5.53</v>
      </c>
      <c r="CE21" s="346">
        <v>-720.45</v>
      </c>
      <c r="CF21" s="346">
        <v>19.96</v>
      </c>
      <c r="CG21" s="346">
        <v>45.57</v>
      </c>
      <c r="CH21" s="346">
        <v>94.45</v>
      </c>
      <c r="CI21" s="346">
        <v>50.25</v>
      </c>
      <c r="CJ21" s="346">
        <v>10.48</v>
      </c>
      <c r="CK21" s="346">
        <v>16.600000000000001</v>
      </c>
      <c r="CL21" s="346">
        <v>99.53</v>
      </c>
      <c r="CM21" s="346">
        <v>95.59</v>
      </c>
      <c r="CN21" s="346">
        <v>53.48</v>
      </c>
      <c r="CO21" s="346">
        <v>2.48</v>
      </c>
      <c r="CP21" s="346">
        <v>-0.24</v>
      </c>
      <c r="CQ21" s="346">
        <v>13193.28</v>
      </c>
      <c r="CR21" s="346">
        <v>4.55</v>
      </c>
      <c r="CS21" s="346">
        <v>-13.93</v>
      </c>
      <c r="CT21" s="346">
        <v>30.62</v>
      </c>
      <c r="CU21" s="346">
        <v>398.49</v>
      </c>
      <c r="CV21" s="346">
        <v>26.49</v>
      </c>
      <c r="CW21" s="346">
        <v>152849216.94</v>
      </c>
    </row>
    <row r="22" spans="1:101" x14ac:dyDescent="0.25">
      <c r="A22" s="346" t="str">
        <f>VLOOKUP(B22,'Loan Book Summary'!C:G,5,FALSE)</f>
        <v>0014I00002BvrLc</v>
      </c>
      <c r="B22" s="346">
        <v>1100000235</v>
      </c>
      <c r="C22" s="346" t="s">
        <v>1889</v>
      </c>
      <c r="D22" s="346" t="s">
        <v>1889</v>
      </c>
      <c r="E22" s="346">
        <v>2022</v>
      </c>
      <c r="F22" s="346">
        <v>6</v>
      </c>
      <c r="G22" s="346">
        <v>1752.1956580000001</v>
      </c>
      <c r="H22" s="346" t="s">
        <v>1889</v>
      </c>
      <c r="I22" s="346" t="s">
        <v>1889</v>
      </c>
      <c r="J22" s="346">
        <v>12250.72897</v>
      </c>
      <c r="K22" s="346">
        <v>12663.25049</v>
      </c>
      <c r="L22" s="346" t="s">
        <v>1889</v>
      </c>
      <c r="M22" s="346" t="s">
        <v>1889</v>
      </c>
      <c r="N22" s="346">
        <v>471.90976999999998</v>
      </c>
      <c r="O22" s="346">
        <v>471.90976999999998</v>
      </c>
      <c r="P22" s="346">
        <v>12675.494720000001</v>
      </c>
      <c r="Q22" s="346">
        <v>3259.8038200000001</v>
      </c>
      <c r="R22" s="346">
        <v>3107.5602349999999</v>
      </c>
      <c r="S22" s="346">
        <v>473.68978600000003</v>
      </c>
      <c r="T22" s="346">
        <v>566.375</v>
      </c>
      <c r="U22" s="346">
        <v>153.85348139999999</v>
      </c>
      <c r="V22" s="346">
        <v>-412.52151859999998</v>
      </c>
      <c r="W22" s="346">
        <v>-274.11939530000001</v>
      </c>
      <c r="X22" s="346" t="s">
        <v>101</v>
      </c>
      <c r="Y22" s="346">
        <v>85100</v>
      </c>
      <c r="Z22" s="346">
        <v>5</v>
      </c>
      <c r="AA22" s="346" t="s">
        <v>996</v>
      </c>
      <c r="AB22" s="346" t="s">
        <v>104</v>
      </c>
      <c r="AC22" s="346" t="s">
        <v>105</v>
      </c>
      <c r="AD22" s="347">
        <v>0.67500000000000004</v>
      </c>
      <c r="AE22" s="347">
        <v>0.53559999999999997</v>
      </c>
      <c r="AF22" s="346">
        <v>2</v>
      </c>
      <c r="AG22" s="346">
        <v>3.38</v>
      </c>
      <c r="AH22" s="346">
        <v>4.58</v>
      </c>
      <c r="AI22" s="346">
        <v>5.68</v>
      </c>
      <c r="AJ22" s="346">
        <v>6.7</v>
      </c>
      <c r="AK22" s="347">
        <v>0.02</v>
      </c>
      <c r="AL22" s="347">
        <v>1.41E-2</v>
      </c>
      <c r="AM22" s="347">
        <v>1.2500000000000001E-2</v>
      </c>
      <c r="AN22" s="347">
        <v>1.15E-2</v>
      </c>
      <c r="AO22" s="347">
        <v>1.09E-2</v>
      </c>
      <c r="AP22" s="347">
        <v>0.02</v>
      </c>
      <c r="AQ22" s="347">
        <v>1.7000000000000001E-2</v>
      </c>
      <c r="AR22" s="347">
        <v>1.55E-2</v>
      </c>
      <c r="AS22" s="347">
        <v>1.4500000000000001E-2</v>
      </c>
      <c r="AT22" s="347">
        <v>1.38E-2</v>
      </c>
      <c r="AU22" s="347">
        <v>6.7000000000000004E-2</v>
      </c>
      <c r="AV22" s="346" t="s">
        <v>1889</v>
      </c>
      <c r="AW22" s="346" t="s">
        <v>1889</v>
      </c>
      <c r="AX22" s="346">
        <v>17.100000000000001</v>
      </c>
      <c r="AY22" s="346">
        <v>-4.13</v>
      </c>
      <c r="AZ22" s="346">
        <v>-5.52</v>
      </c>
      <c r="BA22" s="346">
        <v>30.27</v>
      </c>
      <c r="BB22" s="346">
        <v>-21.66</v>
      </c>
      <c r="BC22" s="346">
        <v>15.82</v>
      </c>
      <c r="BD22" s="346">
        <v>-5.51</v>
      </c>
      <c r="BE22" s="346" t="s">
        <v>1889</v>
      </c>
      <c r="BF22" s="346" t="s">
        <v>1889</v>
      </c>
      <c r="BG22" s="346">
        <v>11.49</v>
      </c>
      <c r="BH22" s="346">
        <v>-10.14</v>
      </c>
      <c r="BI22" s="346">
        <v>-4.68</v>
      </c>
      <c r="BJ22" s="346">
        <v>30.77</v>
      </c>
      <c r="BK22" s="346">
        <v>-21.45</v>
      </c>
      <c r="BL22" s="346">
        <v>12.8</v>
      </c>
      <c r="BM22" s="346">
        <v>-8.67</v>
      </c>
      <c r="BN22" s="346">
        <v>0</v>
      </c>
      <c r="BO22" s="346">
        <v>0</v>
      </c>
      <c r="BP22" s="346">
        <v>-407.12</v>
      </c>
      <c r="BQ22" s="346">
        <v>-9.16</v>
      </c>
      <c r="BR22" s="346">
        <v>-77.31</v>
      </c>
      <c r="BS22" s="346">
        <v>134.66</v>
      </c>
      <c r="BT22" s="346">
        <v>-2.4</v>
      </c>
      <c r="BU22" s="346">
        <v>-0.79</v>
      </c>
      <c r="BV22" s="346">
        <v>-68.56</v>
      </c>
      <c r="BW22" s="346">
        <v>0</v>
      </c>
      <c r="BX22" s="346">
        <v>0</v>
      </c>
      <c r="BY22" s="346">
        <v>-315.5</v>
      </c>
      <c r="BZ22" s="346">
        <v>-25.02</v>
      </c>
      <c r="CA22" s="346">
        <v>-74.91</v>
      </c>
      <c r="CB22" s="346">
        <v>157.55000000000001</v>
      </c>
      <c r="CC22" s="346">
        <v>-2.66</v>
      </c>
      <c r="CD22" s="346">
        <v>-0.72</v>
      </c>
      <c r="CE22" s="346">
        <v>-123.63</v>
      </c>
      <c r="CF22" s="346" t="s">
        <v>1889</v>
      </c>
      <c r="CG22" s="346" t="s">
        <v>1889</v>
      </c>
      <c r="CH22" s="346">
        <v>22.81</v>
      </c>
      <c r="CI22" s="346">
        <v>51.15</v>
      </c>
      <c r="CJ22" s="346">
        <v>43.1</v>
      </c>
      <c r="CK22" s="346">
        <v>96.2</v>
      </c>
      <c r="CL22" s="346">
        <v>99.25</v>
      </c>
      <c r="CM22" s="346">
        <v>7.96</v>
      </c>
      <c r="CN22" s="346">
        <v>84.38</v>
      </c>
      <c r="CO22" s="346" t="s">
        <v>1889</v>
      </c>
      <c r="CP22" s="346" t="s">
        <v>1889</v>
      </c>
      <c r="CQ22" s="346">
        <v>110.8</v>
      </c>
      <c r="CR22" s="346">
        <v>4.9000000000000004</v>
      </c>
      <c r="CS22" s="346">
        <v>-1.1599999999999999</v>
      </c>
      <c r="CT22" s="346">
        <v>103.34</v>
      </c>
      <c r="CU22" s="346">
        <v>371.3</v>
      </c>
      <c r="CV22" s="346">
        <v>-12.65</v>
      </c>
      <c r="CW22" s="346">
        <v>650580839.26999998</v>
      </c>
    </row>
    <row r="23" spans="1:101" x14ac:dyDescent="0.25">
      <c r="A23" s="346" t="str">
        <f>VLOOKUP(B23,'Loan Book Summary'!C:G,5,FALSE)</f>
        <v>0014I00002BVyev</v>
      </c>
      <c r="B23" s="346">
        <v>1100000238</v>
      </c>
      <c r="C23" s="346" t="s">
        <v>1889</v>
      </c>
      <c r="D23" s="346" t="s">
        <v>1889</v>
      </c>
      <c r="E23" s="346">
        <v>2022</v>
      </c>
      <c r="F23" s="346">
        <v>6</v>
      </c>
      <c r="G23" s="346">
        <v>50</v>
      </c>
      <c r="H23" s="346">
        <v>5807</v>
      </c>
      <c r="I23" s="346">
        <v>5807</v>
      </c>
      <c r="J23" s="346">
        <v>-16243.43059</v>
      </c>
      <c r="K23" s="346">
        <v>-16087.368829999999</v>
      </c>
      <c r="L23" s="346">
        <v>5270</v>
      </c>
      <c r="M23" s="346" t="s">
        <v>1889</v>
      </c>
      <c r="N23" s="346">
        <v>46715</v>
      </c>
      <c r="O23" s="346">
        <v>46715</v>
      </c>
      <c r="P23" s="346">
        <v>13481.80869</v>
      </c>
      <c r="Q23" s="346">
        <v>166066.98000000001</v>
      </c>
      <c r="R23" s="346">
        <v>149725.2825</v>
      </c>
      <c r="S23" s="346">
        <v>51.934607999999997</v>
      </c>
      <c r="T23" s="346">
        <v>1354.345061</v>
      </c>
      <c r="U23" s="346">
        <v>1216.474608</v>
      </c>
      <c r="V23" s="346">
        <v>-183.3949077</v>
      </c>
      <c r="W23" s="346">
        <v>-6282.6092250000002</v>
      </c>
      <c r="X23" s="346" t="s">
        <v>101</v>
      </c>
      <c r="Y23" s="346">
        <v>56302</v>
      </c>
      <c r="Z23" s="346">
        <v>5</v>
      </c>
      <c r="AA23" s="346" t="s">
        <v>996</v>
      </c>
      <c r="AB23" s="346" t="s">
        <v>119</v>
      </c>
      <c r="AC23" s="346" t="s">
        <v>102</v>
      </c>
      <c r="AD23" s="347">
        <v>0.90010000000000001</v>
      </c>
      <c r="AE23" s="347">
        <v>0.79859999999999998</v>
      </c>
      <c r="AF23" s="346">
        <v>6.07</v>
      </c>
      <c r="AG23" s="346">
        <v>8.64</v>
      </c>
      <c r="AH23" s="346">
        <v>10.6</v>
      </c>
      <c r="AI23" s="346">
        <v>12.23</v>
      </c>
      <c r="AJ23" s="346">
        <v>13.65</v>
      </c>
      <c r="AK23" s="347">
        <v>6.0699999999999997E-2</v>
      </c>
      <c r="AL23" s="347">
        <v>2.7400000000000001E-2</v>
      </c>
      <c r="AM23" s="347">
        <v>2.1399999999999999E-2</v>
      </c>
      <c r="AN23" s="347">
        <v>1.83E-2</v>
      </c>
      <c r="AO23" s="347">
        <v>1.6199999999999999E-2</v>
      </c>
      <c r="AP23" s="347">
        <v>6.0699999999999997E-2</v>
      </c>
      <c r="AQ23" s="347">
        <v>4.4200000000000003E-2</v>
      </c>
      <c r="AR23" s="347">
        <v>3.6700000000000003E-2</v>
      </c>
      <c r="AS23" s="347">
        <v>3.2099999999999997E-2</v>
      </c>
      <c r="AT23" s="347">
        <v>2.8899999999999999E-2</v>
      </c>
      <c r="AU23" s="347">
        <v>0.13650000000000001</v>
      </c>
      <c r="AV23" s="346">
        <v>-6.99</v>
      </c>
      <c r="AW23" s="346">
        <v>-2.75</v>
      </c>
      <c r="AX23" s="346">
        <v>15.82</v>
      </c>
      <c r="AY23" s="346">
        <v>-3</v>
      </c>
      <c r="AZ23" s="346">
        <v>6.77</v>
      </c>
      <c r="BA23" s="346">
        <v>30.08</v>
      </c>
      <c r="BB23" s="346">
        <v>15.59</v>
      </c>
      <c r="BC23" s="346">
        <v>9.61</v>
      </c>
      <c r="BD23" s="346">
        <v>-9.4</v>
      </c>
      <c r="BE23" s="346">
        <v>-8.31</v>
      </c>
      <c r="BF23" s="346">
        <v>-1.94</v>
      </c>
      <c r="BG23" s="346">
        <v>10.33</v>
      </c>
      <c r="BH23" s="346">
        <v>-7.16</v>
      </c>
      <c r="BI23" s="346">
        <v>5.58</v>
      </c>
      <c r="BJ23" s="346">
        <v>29.72</v>
      </c>
      <c r="BK23" s="346">
        <v>15.01</v>
      </c>
      <c r="BL23" s="346">
        <v>7.56</v>
      </c>
      <c r="BM23" s="346">
        <v>-14.38</v>
      </c>
      <c r="BN23" s="346">
        <v>53.58</v>
      </c>
      <c r="BO23" s="346">
        <v>-11.26</v>
      </c>
      <c r="BP23" s="346">
        <v>-263.5</v>
      </c>
      <c r="BQ23" s="346">
        <v>25.61</v>
      </c>
      <c r="BR23" s="346">
        <v>33.049999999999997</v>
      </c>
      <c r="BS23" s="346">
        <v>9.69</v>
      </c>
      <c r="BT23" s="346">
        <v>-361.39</v>
      </c>
      <c r="BU23" s="346">
        <v>-117.99</v>
      </c>
      <c r="BV23" s="346">
        <v>-23.94</v>
      </c>
      <c r="BW23" s="346">
        <v>66.989999999999995</v>
      </c>
      <c r="BX23" s="346">
        <v>-8.3000000000000007</v>
      </c>
      <c r="BY23" s="346">
        <v>-191.62</v>
      </c>
      <c r="BZ23" s="346">
        <v>64.67</v>
      </c>
      <c r="CA23" s="346">
        <v>28.99</v>
      </c>
      <c r="CB23" s="346">
        <v>10.02</v>
      </c>
      <c r="CC23" s="346">
        <v>-386.32</v>
      </c>
      <c r="CD23" s="346">
        <v>-103.7</v>
      </c>
      <c r="CE23" s="346">
        <v>-39.39</v>
      </c>
      <c r="CF23" s="346">
        <v>24.09</v>
      </c>
      <c r="CG23" s="346">
        <v>43.37</v>
      </c>
      <c r="CH23" s="346">
        <v>21.65</v>
      </c>
      <c r="CI23" s="346">
        <v>64.77</v>
      </c>
      <c r="CJ23" s="346">
        <v>96.87</v>
      </c>
      <c r="CK23" s="346">
        <v>100</v>
      </c>
      <c r="CL23" s="346">
        <v>20.04</v>
      </c>
      <c r="CM23" s="346">
        <v>23.93</v>
      </c>
      <c r="CN23" s="346">
        <v>92.92</v>
      </c>
      <c r="CO23" s="346">
        <v>3.17</v>
      </c>
      <c r="CP23" s="346">
        <v>-0.38</v>
      </c>
      <c r="CQ23" s="346">
        <v>93.65</v>
      </c>
      <c r="CR23" s="346">
        <v>10.91</v>
      </c>
      <c r="CS23" s="346">
        <v>19.91</v>
      </c>
      <c r="CT23" s="346">
        <v>197.55</v>
      </c>
      <c r="CU23" s="346">
        <v>0.11</v>
      </c>
      <c r="CV23" s="346">
        <v>-0.11</v>
      </c>
      <c r="CW23" s="346">
        <v>1558184556.3499999</v>
      </c>
    </row>
    <row r="24" spans="1:101" x14ac:dyDescent="0.25">
      <c r="A24" s="346" t="str">
        <f>VLOOKUP(B24,'Loan Book Summary'!C:G,5,FALSE)</f>
        <v>0014I000029Mo45</v>
      </c>
      <c r="B24" s="346">
        <v>1100000195</v>
      </c>
      <c r="C24" s="346" t="s">
        <v>1889</v>
      </c>
      <c r="D24" s="346" t="s">
        <v>1889</v>
      </c>
      <c r="E24" s="346">
        <v>2022</v>
      </c>
      <c r="F24" s="346">
        <v>6</v>
      </c>
      <c r="G24" s="346">
        <v>4565.4409999999998</v>
      </c>
      <c r="H24" s="346">
        <v>1946</v>
      </c>
      <c r="I24" s="346">
        <v>1946</v>
      </c>
      <c r="J24" s="346">
        <v>76062.028510000004</v>
      </c>
      <c r="K24" s="346">
        <v>79596.349600000001</v>
      </c>
      <c r="L24" s="346">
        <v>844</v>
      </c>
      <c r="M24" s="346" t="s">
        <v>1889</v>
      </c>
      <c r="N24" s="346">
        <v>2545</v>
      </c>
      <c r="O24" s="346">
        <v>2545</v>
      </c>
      <c r="P24" s="346">
        <v>73287</v>
      </c>
      <c r="Q24" s="346">
        <v>12726.658750000001</v>
      </c>
      <c r="R24" s="346">
        <v>11908.172500000001</v>
      </c>
      <c r="S24" s="346">
        <v>5603.059835</v>
      </c>
      <c r="T24" s="346">
        <v>6150.1125000000002</v>
      </c>
      <c r="U24" s="346">
        <v>-1111.821085</v>
      </c>
      <c r="V24" s="346">
        <v>-7261.9335849999998</v>
      </c>
      <c r="W24" s="346">
        <v>-3970.6720460000001</v>
      </c>
      <c r="X24" s="346" t="s">
        <v>101</v>
      </c>
      <c r="Y24" s="346">
        <v>26600</v>
      </c>
      <c r="Z24" s="346">
        <v>5</v>
      </c>
      <c r="AA24" s="346" t="s">
        <v>996</v>
      </c>
      <c r="AB24" s="346" t="s">
        <v>105</v>
      </c>
      <c r="AC24" s="346" t="s">
        <v>110</v>
      </c>
      <c r="AD24" s="347">
        <v>0.57999999999999996</v>
      </c>
      <c r="AE24" s="347">
        <v>0.3962</v>
      </c>
      <c r="AF24" s="346">
        <v>1.44</v>
      </c>
      <c r="AG24" s="346">
        <v>2.44</v>
      </c>
      <c r="AH24" s="346">
        <v>3.32</v>
      </c>
      <c r="AI24" s="346">
        <v>4.13</v>
      </c>
      <c r="AJ24" s="346">
        <v>4.88</v>
      </c>
      <c r="AK24" s="347">
        <v>1.44E-2</v>
      </c>
      <c r="AL24" s="347">
        <v>1.0200000000000001E-2</v>
      </c>
      <c r="AM24" s="347">
        <v>8.9999999999999993E-3</v>
      </c>
      <c r="AN24" s="347">
        <v>8.3000000000000001E-3</v>
      </c>
      <c r="AO24" s="347">
        <v>7.7999999999999996E-3</v>
      </c>
      <c r="AP24" s="347">
        <v>1.44E-2</v>
      </c>
      <c r="AQ24" s="347">
        <v>1.23E-2</v>
      </c>
      <c r="AR24" s="347">
        <v>1.12E-2</v>
      </c>
      <c r="AS24" s="347">
        <v>1.0500000000000001E-2</v>
      </c>
      <c r="AT24" s="347">
        <v>0.01</v>
      </c>
      <c r="AU24" s="347">
        <v>4.8800000000000003E-2</v>
      </c>
      <c r="AV24" s="346">
        <v>-3.65</v>
      </c>
      <c r="AW24" s="346">
        <v>-1.97</v>
      </c>
      <c r="AX24" s="346">
        <v>17.170000000000002</v>
      </c>
      <c r="AY24" s="346">
        <v>-3.89</v>
      </c>
      <c r="AZ24" s="346">
        <v>-0.6</v>
      </c>
      <c r="BA24" s="346">
        <v>23.35</v>
      </c>
      <c r="BB24" s="346">
        <v>-19.88</v>
      </c>
      <c r="BC24" s="346">
        <v>15.64</v>
      </c>
      <c r="BD24" s="346">
        <v>-13.85</v>
      </c>
      <c r="BE24" s="346">
        <v>-4.2300000000000004</v>
      </c>
      <c r="BF24" s="346">
        <v>-1.36</v>
      </c>
      <c r="BG24" s="346">
        <v>10.95</v>
      </c>
      <c r="BH24" s="346">
        <v>-9.07</v>
      </c>
      <c r="BI24" s="346">
        <v>-0.48</v>
      </c>
      <c r="BJ24" s="346">
        <v>22.53</v>
      </c>
      <c r="BK24" s="346">
        <v>-18.68</v>
      </c>
      <c r="BL24" s="346">
        <v>12.01</v>
      </c>
      <c r="BM24" s="346">
        <v>-20.68</v>
      </c>
      <c r="BN24" s="346">
        <v>80.41</v>
      </c>
      <c r="BO24" s="346">
        <v>-45.34</v>
      </c>
      <c r="BP24" s="346">
        <v>-453.83</v>
      </c>
      <c r="BQ24" s="346">
        <v>9.74</v>
      </c>
      <c r="BR24" s="346">
        <v>-104.81</v>
      </c>
      <c r="BS24" s="346">
        <v>180.06</v>
      </c>
      <c r="BT24" s="346">
        <v>-10.07</v>
      </c>
      <c r="BU24" s="346">
        <v>-0.3</v>
      </c>
      <c r="BV24" s="346">
        <v>-15.45</v>
      </c>
      <c r="BW24" s="346">
        <v>116.16</v>
      </c>
      <c r="BX24" s="346">
        <v>-38.770000000000003</v>
      </c>
      <c r="BY24" s="346">
        <v>-356.09</v>
      </c>
      <c r="BZ24" s="346">
        <v>27.76</v>
      </c>
      <c r="CA24" s="346">
        <v>-104.86</v>
      </c>
      <c r="CB24" s="346">
        <v>216.2</v>
      </c>
      <c r="CC24" s="346">
        <v>-11.58</v>
      </c>
      <c r="CD24" s="346">
        <v>-0.28000000000000003</v>
      </c>
      <c r="CE24" s="346">
        <v>-28.31</v>
      </c>
      <c r="CF24" s="346">
        <v>45.01</v>
      </c>
      <c r="CG24" s="346">
        <v>35.4</v>
      </c>
      <c r="CH24" s="346">
        <v>20.5</v>
      </c>
      <c r="CI24" s="346">
        <v>56.03</v>
      </c>
      <c r="CJ24" s="346">
        <v>26.49</v>
      </c>
      <c r="CK24" s="346">
        <v>91.98</v>
      </c>
      <c r="CL24" s="346">
        <v>95.94</v>
      </c>
      <c r="CM24" s="346">
        <v>4</v>
      </c>
      <c r="CN24" s="346">
        <v>97.35</v>
      </c>
      <c r="CO24" s="346">
        <v>6.63</v>
      </c>
      <c r="CP24" s="346">
        <v>-1.05</v>
      </c>
      <c r="CQ24" s="346">
        <v>73.03</v>
      </c>
      <c r="CR24" s="346">
        <v>6.87</v>
      </c>
      <c r="CS24" s="346">
        <v>-4.4000000000000004</v>
      </c>
      <c r="CT24" s="346">
        <v>96.47</v>
      </c>
      <c r="CU24" s="346">
        <v>179.39</v>
      </c>
      <c r="CV24" s="346">
        <v>-57.06</v>
      </c>
      <c r="CW24" s="346">
        <v>4019624201.0700002</v>
      </c>
    </row>
    <row r="25" spans="1:101" x14ac:dyDescent="0.25">
      <c r="A25" s="346" t="str">
        <f>VLOOKUP(B25,'Loan Book Summary'!C:G,5,FALSE)</f>
        <v>0014I000023R1Ij</v>
      </c>
      <c r="B25" s="346">
        <v>1100000128</v>
      </c>
      <c r="C25" s="346" t="s">
        <v>1889</v>
      </c>
      <c r="D25" s="346" t="s">
        <v>1889</v>
      </c>
      <c r="E25" s="346">
        <v>2022</v>
      </c>
      <c r="F25" s="346">
        <v>6</v>
      </c>
      <c r="G25" s="346">
        <v>22173.39068</v>
      </c>
      <c r="H25" s="346">
        <v>3447</v>
      </c>
      <c r="I25" s="346">
        <v>3447</v>
      </c>
      <c r="J25" s="346">
        <v>118976.2714</v>
      </c>
      <c r="K25" s="346">
        <v>115682.3639</v>
      </c>
      <c r="L25" s="346">
        <v>1915</v>
      </c>
      <c r="M25" s="346" t="s">
        <v>1889</v>
      </c>
      <c r="N25" s="346">
        <v>6501</v>
      </c>
      <c r="O25" s="346">
        <v>6501</v>
      </c>
      <c r="P25" s="346">
        <v>79736</v>
      </c>
      <c r="Q25" s="346">
        <v>31670.577870000001</v>
      </c>
      <c r="R25" s="346">
        <v>29414.362560000001</v>
      </c>
      <c r="S25" s="346">
        <v>4728.0163419999999</v>
      </c>
      <c r="T25" s="346">
        <v>5179.7808459999997</v>
      </c>
      <c r="U25" s="346">
        <v>3718.9075280000002</v>
      </c>
      <c r="V25" s="346">
        <v>-1460.873319</v>
      </c>
      <c r="W25" s="346">
        <v>-2603.6277169999998</v>
      </c>
      <c r="X25" s="346" t="s">
        <v>101</v>
      </c>
      <c r="Y25" s="346">
        <v>85590</v>
      </c>
      <c r="Z25" s="346">
        <v>5</v>
      </c>
      <c r="AA25" s="346" t="s">
        <v>996</v>
      </c>
      <c r="AB25" s="346" t="s">
        <v>114</v>
      </c>
      <c r="AC25" s="346" t="s">
        <v>115</v>
      </c>
      <c r="AD25" s="347">
        <v>0.28499999999999998</v>
      </c>
      <c r="AE25" s="347">
        <v>0.1343</v>
      </c>
      <c r="AF25" s="346">
        <v>0.55000000000000004</v>
      </c>
      <c r="AG25" s="346">
        <v>0.99</v>
      </c>
      <c r="AH25" s="346">
        <v>1.39</v>
      </c>
      <c r="AI25" s="346">
        <v>1.77</v>
      </c>
      <c r="AJ25" s="346">
        <v>2.13</v>
      </c>
      <c r="AK25" s="347">
        <v>5.4999999999999997E-3</v>
      </c>
      <c r="AL25" s="347">
        <v>4.4000000000000003E-3</v>
      </c>
      <c r="AM25" s="347">
        <v>4.0000000000000001E-3</v>
      </c>
      <c r="AN25" s="347">
        <v>3.8E-3</v>
      </c>
      <c r="AO25" s="347">
        <v>3.7000000000000002E-3</v>
      </c>
      <c r="AP25" s="347">
        <v>5.4999999999999997E-3</v>
      </c>
      <c r="AQ25" s="347">
        <v>5.0000000000000001E-3</v>
      </c>
      <c r="AR25" s="347">
        <v>4.7000000000000002E-3</v>
      </c>
      <c r="AS25" s="347">
        <v>4.4000000000000003E-3</v>
      </c>
      <c r="AT25" s="347">
        <v>4.3E-3</v>
      </c>
      <c r="AU25" s="347">
        <v>2.1299999999999999E-2</v>
      </c>
      <c r="AV25" s="346">
        <v>-5.35</v>
      </c>
      <c r="AW25" s="346">
        <v>-2.7</v>
      </c>
      <c r="AX25" s="346">
        <v>17.09</v>
      </c>
      <c r="AY25" s="346">
        <v>-4.67</v>
      </c>
      <c r="AZ25" s="346">
        <v>-8.07</v>
      </c>
      <c r="BA25" s="346">
        <v>-1.07</v>
      </c>
      <c r="BB25" s="346">
        <v>-24.91</v>
      </c>
      <c r="BC25" s="346">
        <v>16.760000000000002</v>
      </c>
      <c r="BD25" s="346">
        <v>-19.37</v>
      </c>
      <c r="BE25" s="346">
        <v>-6.05</v>
      </c>
      <c r="BF25" s="346">
        <v>-1.82</v>
      </c>
      <c r="BG25" s="346">
        <v>10.62</v>
      </c>
      <c r="BH25" s="346">
        <v>-10.63</v>
      </c>
      <c r="BI25" s="346">
        <v>-6.33</v>
      </c>
      <c r="BJ25" s="346">
        <v>-1</v>
      </c>
      <c r="BK25" s="346">
        <v>-22.82</v>
      </c>
      <c r="BL25" s="346">
        <v>12.54</v>
      </c>
      <c r="BM25" s="346">
        <v>-28.2</v>
      </c>
      <c r="BN25" s="346">
        <v>90.34</v>
      </c>
      <c r="BO25" s="346">
        <v>-46.94</v>
      </c>
      <c r="BP25" s="346">
        <v>-517.46</v>
      </c>
      <c r="BQ25" s="346">
        <v>11.63</v>
      </c>
      <c r="BR25" s="346">
        <v>-10.95</v>
      </c>
      <c r="BS25" s="346">
        <v>186.31</v>
      </c>
      <c r="BT25" s="346">
        <v>-3.1</v>
      </c>
      <c r="BU25" s="346">
        <v>-24.43</v>
      </c>
      <c r="BV25" s="346">
        <v>-8.83</v>
      </c>
      <c r="BW25" s="346">
        <v>121.35</v>
      </c>
      <c r="BX25" s="346">
        <v>-37.94</v>
      </c>
      <c r="BY25" s="346">
        <v>-431.46</v>
      </c>
      <c r="BZ25" s="346">
        <v>31.56</v>
      </c>
      <c r="CA25" s="346">
        <v>-10.45</v>
      </c>
      <c r="CB25" s="346">
        <v>226.07</v>
      </c>
      <c r="CC25" s="346">
        <v>-3.38</v>
      </c>
      <c r="CD25" s="346">
        <v>-22.27</v>
      </c>
      <c r="CE25" s="346">
        <v>-15.53</v>
      </c>
      <c r="CF25" s="346">
        <v>41.5</v>
      </c>
      <c r="CG25" s="346">
        <v>37.659999999999997</v>
      </c>
      <c r="CH25" s="346">
        <v>26.78</v>
      </c>
      <c r="CI25" s="346">
        <v>57.89</v>
      </c>
      <c r="CJ25" s="346">
        <v>61.56</v>
      </c>
      <c r="CK25" s="346">
        <v>58.74</v>
      </c>
      <c r="CL25" s="346">
        <v>98.94</v>
      </c>
      <c r="CM25" s="346">
        <v>13.17</v>
      </c>
      <c r="CN25" s="346">
        <v>98.42</v>
      </c>
      <c r="CO25" s="346">
        <v>6.05</v>
      </c>
      <c r="CP25" s="346">
        <v>-0.83</v>
      </c>
      <c r="CQ25" s="346">
        <v>163.07</v>
      </c>
      <c r="CR25" s="346">
        <v>7.67</v>
      </c>
      <c r="CS25" s="346">
        <v>0.97</v>
      </c>
      <c r="CT25" s="346">
        <v>68.73</v>
      </c>
      <c r="CU25" s="346">
        <v>341.08</v>
      </c>
      <c r="CV25" s="346">
        <v>-4.6100000000000003</v>
      </c>
      <c r="CW25" s="346">
        <v>6416366148.9799995</v>
      </c>
    </row>
    <row r="26" spans="1:101" x14ac:dyDescent="0.25">
      <c r="A26" s="346" t="str">
        <f>VLOOKUP(B26,'Loan Book Summary'!C:G,5,FALSE)</f>
        <v>0018e000003CXt8</v>
      </c>
      <c r="B26" s="346">
        <v>1100000268</v>
      </c>
      <c r="C26" s="346" t="s">
        <v>1889</v>
      </c>
      <c r="D26" s="346" t="s">
        <v>1889</v>
      </c>
      <c r="E26" s="346">
        <v>2022</v>
      </c>
      <c r="F26" s="346">
        <v>6</v>
      </c>
      <c r="G26" s="346">
        <v>2822.9106350000002</v>
      </c>
      <c r="H26" s="346">
        <v>414.52429999999998</v>
      </c>
      <c r="I26" s="346">
        <v>414.52429999999998</v>
      </c>
      <c r="J26" s="346">
        <v>10908.136140000001</v>
      </c>
      <c r="K26" s="346">
        <v>9884.9506270000002</v>
      </c>
      <c r="L26" s="346">
        <v>264.55243000000002</v>
      </c>
      <c r="M26" s="346" t="s">
        <v>1889</v>
      </c>
      <c r="N26" s="346">
        <v>1363.4962840000001</v>
      </c>
      <c r="O26" s="346">
        <v>1363.4962840000001</v>
      </c>
      <c r="P26" s="346">
        <v>8210.4825600000004</v>
      </c>
      <c r="Q26" s="346">
        <v>6797.9530329999998</v>
      </c>
      <c r="R26" s="346">
        <v>3877.8701150000002</v>
      </c>
      <c r="S26" s="346">
        <v>172.30388300000001</v>
      </c>
      <c r="T26" s="346">
        <v>291.87727630000001</v>
      </c>
      <c r="U26" s="346">
        <v>1967.377958</v>
      </c>
      <c r="V26" s="346">
        <v>1340.400545</v>
      </c>
      <c r="W26" s="346">
        <v>176.82922909999999</v>
      </c>
      <c r="X26" s="346" t="s">
        <v>101</v>
      </c>
      <c r="Y26" s="346">
        <v>70100</v>
      </c>
      <c r="Z26" s="346">
        <v>5</v>
      </c>
      <c r="AA26" s="346" t="s">
        <v>996</v>
      </c>
      <c r="AB26" s="346" t="s">
        <v>114</v>
      </c>
      <c r="AC26" s="346" t="s">
        <v>110</v>
      </c>
      <c r="AD26" s="347">
        <v>0.30740000000000001</v>
      </c>
      <c r="AE26" s="347">
        <v>0.43769999999999998</v>
      </c>
      <c r="AF26" s="346">
        <v>0.6</v>
      </c>
      <c r="AG26" s="346">
        <v>1.54</v>
      </c>
      <c r="AH26" s="346">
        <v>2.68</v>
      </c>
      <c r="AI26" s="346">
        <v>3.97</v>
      </c>
      <c r="AJ26" s="346">
        <v>5.36</v>
      </c>
      <c r="AK26" s="347">
        <v>6.0000000000000001E-3</v>
      </c>
      <c r="AL26" s="347">
        <v>9.4999999999999998E-3</v>
      </c>
      <c r="AM26" s="347">
        <v>1.1599999999999999E-2</v>
      </c>
      <c r="AN26" s="347">
        <v>1.32E-2</v>
      </c>
      <c r="AO26" s="347">
        <v>1.4500000000000001E-2</v>
      </c>
      <c r="AP26" s="347">
        <v>6.0000000000000001E-3</v>
      </c>
      <c r="AQ26" s="347">
        <v>7.7000000000000002E-3</v>
      </c>
      <c r="AR26" s="347">
        <v>8.9999999999999993E-3</v>
      </c>
      <c r="AS26" s="347">
        <v>1.01E-2</v>
      </c>
      <c r="AT26" s="347">
        <v>1.0999999999999999E-2</v>
      </c>
      <c r="AU26" s="347">
        <v>5.3600000000000002E-2</v>
      </c>
      <c r="AV26" s="346">
        <v>-10.49</v>
      </c>
      <c r="AW26" s="346">
        <v>1.84</v>
      </c>
      <c r="AX26" s="346">
        <v>-6.13</v>
      </c>
      <c r="AY26" s="346">
        <v>14.94</v>
      </c>
      <c r="AZ26" s="346">
        <v>0.5</v>
      </c>
      <c r="BA26" s="346">
        <v>10.039999999999999</v>
      </c>
      <c r="BB26" s="346">
        <v>-31.05</v>
      </c>
      <c r="BC26" s="346">
        <v>-18.350000000000001</v>
      </c>
      <c r="BD26" s="346">
        <v>-6.67</v>
      </c>
      <c r="BE26" s="346">
        <v>-10.54</v>
      </c>
      <c r="BF26" s="346">
        <v>1.1000000000000001</v>
      </c>
      <c r="BG26" s="346">
        <v>-3.38</v>
      </c>
      <c r="BH26" s="346">
        <v>30.16</v>
      </c>
      <c r="BI26" s="346">
        <v>0.35</v>
      </c>
      <c r="BJ26" s="346">
        <v>8.3800000000000008</v>
      </c>
      <c r="BK26" s="346">
        <v>-25.26</v>
      </c>
      <c r="BL26" s="346">
        <v>-12.2</v>
      </c>
      <c r="BM26" s="346">
        <v>-8.6199999999999992</v>
      </c>
      <c r="BN26" s="346">
        <v>65.78</v>
      </c>
      <c r="BO26" s="346">
        <v>-21.43</v>
      </c>
      <c r="BP26" s="346">
        <v>-463.9</v>
      </c>
      <c r="BQ26" s="346">
        <v>26.54</v>
      </c>
      <c r="BR26" s="346">
        <v>67.650000000000006</v>
      </c>
      <c r="BS26" s="346">
        <v>173.02</v>
      </c>
      <c r="BT26" s="346">
        <v>-4.68</v>
      </c>
      <c r="BU26" s="346">
        <v>-10.83</v>
      </c>
      <c r="BV26" s="346">
        <v>-66.180000000000007</v>
      </c>
      <c r="BW26" s="346">
        <v>88.73</v>
      </c>
      <c r="BX26" s="346">
        <v>-17.28</v>
      </c>
      <c r="BY26" s="346">
        <v>-335.44</v>
      </c>
      <c r="BZ26" s="346">
        <v>72.12</v>
      </c>
      <c r="CA26" s="346">
        <v>63.07</v>
      </c>
      <c r="CB26" s="346">
        <v>194.02</v>
      </c>
      <c r="CC26" s="346">
        <v>-5.01</v>
      </c>
      <c r="CD26" s="346">
        <v>-9.69</v>
      </c>
      <c r="CE26" s="346">
        <v>-114.64</v>
      </c>
      <c r="CF26" s="346">
        <v>28.41</v>
      </c>
      <c r="CG26" s="346">
        <v>16.05</v>
      </c>
      <c r="CH26" s="346">
        <v>57.04</v>
      </c>
      <c r="CI26" s="346">
        <v>96.65</v>
      </c>
      <c r="CJ26" s="346">
        <v>89.69</v>
      </c>
      <c r="CK26" s="346">
        <v>71.430000000000007</v>
      </c>
      <c r="CL26" s="346">
        <v>96.75</v>
      </c>
      <c r="CM26" s="346">
        <v>92.69</v>
      </c>
      <c r="CN26" s="346">
        <v>83.94</v>
      </c>
      <c r="CO26" s="346">
        <v>3.89</v>
      </c>
      <c r="CP26" s="346">
        <v>-4.59</v>
      </c>
      <c r="CQ26" s="346">
        <v>733.08</v>
      </c>
      <c r="CR26" s="346">
        <v>75.3</v>
      </c>
      <c r="CS26" s="346">
        <v>9.35</v>
      </c>
      <c r="CT26" s="346">
        <v>78.02</v>
      </c>
      <c r="CU26" s="346">
        <v>207.03</v>
      </c>
      <c r="CV26" s="346">
        <v>19.72</v>
      </c>
      <c r="CW26" s="346">
        <v>627518322.63999999</v>
      </c>
    </row>
    <row r="27" spans="1:101" x14ac:dyDescent="0.25">
      <c r="A27" s="346" t="str">
        <f>VLOOKUP(B27,'Loan Book Summary'!C:G,5,FALSE)</f>
        <v>0018e000003CQVk</v>
      </c>
      <c r="B27" s="346">
        <v>1300000002</v>
      </c>
      <c r="C27" s="346" t="s">
        <v>1889</v>
      </c>
      <c r="D27" s="346" t="s">
        <v>1889</v>
      </c>
      <c r="E27" s="346">
        <v>2022</v>
      </c>
      <c r="F27" s="346">
        <v>6</v>
      </c>
      <c r="G27" s="346">
        <v>997.65742509999995</v>
      </c>
      <c r="H27" s="346" t="s">
        <v>1889</v>
      </c>
      <c r="I27" s="346" t="s">
        <v>1889</v>
      </c>
      <c r="J27" s="346">
        <v>2590.1903769999999</v>
      </c>
      <c r="K27" s="346">
        <v>1971.5892779999999</v>
      </c>
      <c r="L27" s="346">
        <v>-295.495</v>
      </c>
      <c r="M27" s="346" t="s">
        <v>1889</v>
      </c>
      <c r="N27" s="346">
        <v>-305.14699999999999</v>
      </c>
      <c r="O27" s="346">
        <v>-305.14699999999999</v>
      </c>
      <c r="P27" s="346">
        <v>1412.9860000000001</v>
      </c>
      <c r="Q27" s="346">
        <v>1183.6379099999999</v>
      </c>
      <c r="R27" s="346">
        <v>1128.3581180000001</v>
      </c>
      <c r="S27" s="346">
        <v>25.868040879999999</v>
      </c>
      <c r="T27" s="346" t="s">
        <v>1889</v>
      </c>
      <c r="U27" s="346">
        <v>732.55422450000003</v>
      </c>
      <c r="V27" s="346">
        <v>586.04337959999998</v>
      </c>
      <c r="W27" s="346">
        <v>555.33857230000001</v>
      </c>
      <c r="X27" s="346" t="s">
        <v>101</v>
      </c>
      <c r="Y27" s="346">
        <v>88910</v>
      </c>
      <c r="Z27" s="346">
        <v>5</v>
      </c>
      <c r="AA27" s="346" t="s">
        <v>996</v>
      </c>
      <c r="AB27" s="346" t="s">
        <v>115</v>
      </c>
      <c r="AC27" s="346" t="s">
        <v>115</v>
      </c>
      <c r="AD27" s="347">
        <v>0.18790000000000001</v>
      </c>
      <c r="AE27" s="347">
        <v>0.124</v>
      </c>
      <c r="AF27" s="346">
        <v>0.38</v>
      </c>
      <c r="AG27" s="346">
        <v>0.79</v>
      </c>
      <c r="AH27" s="346">
        <v>1.2</v>
      </c>
      <c r="AI27" s="346">
        <v>1.63</v>
      </c>
      <c r="AJ27" s="346">
        <v>2.0499999999999998</v>
      </c>
      <c r="AK27" s="347">
        <v>3.8E-3</v>
      </c>
      <c r="AL27" s="347">
        <v>4.1000000000000003E-3</v>
      </c>
      <c r="AM27" s="347">
        <v>4.1999999999999997E-3</v>
      </c>
      <c r="AN27" s="347">
        <v>4.3E-3</v>
      </c>
      <c r="AO27" s="347">
        <v>4.3E-3</v>
      </c>
      <c r="AP27" s="347">
        <v>3.8E-3</v>
      </c>
      <c r="AQ27" s="347">
        <v>4.0000000000000001E-3</v>
      </c>
      <c r="AR27" s="347">
        <v>4.0000000000000001E-3</v>
      </c>
      <c r="AS27" s="347">
        <v>4.1000000000000003E-3</v>
      </c>
      <c r="AT27" s="347">
        <v>4.1000000000000003E-3</v>
      </c>
      <c r="AU27" s="347">
        <v>2.0500000000000001E-2</v>
      </c>
      <c r="AV27" s="346">
        <v>-33.57</v>
      </c>
      <c r="AW27" s="346" t="s">
        <v>1889</v>
      </c>
      <c r="AX27" s="346" t="s">
        <v>1889</v>
      </c>
      <c r="AY27" s="346">
        <v>-7.57</v>
      </c>
      <c r="AZ27" s="346">
        <v>9.94</v>
      </c>
      <c r="BA27" s="346">
        <v>-22.36</v>
      </c>
      <c r="BB27" s="346" t="s">
        <v>1889</v>
      </c>
      <c r="BC27" s="346">
        <v>-24.49</v>
      </c>
      <c r="BD27" s="346">
        <v>-2.06</v>
      </c>
      <c r="BE27" s="346">
        <v>-36.04</v>
      </c>
      <c r="BF27" s="346" t="s">
        <v>1889</v>
      </c>
      <c r="BG27" s="346" t="s">
        <v>1889</v>
      </c>
      <c r="BH27" s="346">
        <v>-16.350000000000001</v>
      </c>
      <c r="BI27" s="346">
        <v>7.4</v>
      </c>
      <c r="BJ27" s="346">
        <v>-19.96</v>
      </c>
      <c r="BK27" s="346" t="s">
        <v>1889</v>
      </c>
      <c r="BL27" s="346">
        <v>-17.399999999999999</v>
      </c>
      <c r="BM27" s="346">
        <v>-2.85</v>
      </c>
      <c r="BN27" s="346">
        <v>179.05</v>
      </c>
      <c r="BO27" s="346">
        <v>0</v>
      </c>
      <c r="BP27" s="346">
        <v>0</v>
      </c>
      <c r="BQ27" s="346">
        <v>-6.23</v>
      </c>
      <c r="BR27" s="346">
        <v>-54.03</v>
      </c>
      <c r="BS27" s="346">
        <v>42.39</v>
      </c>
      <c r="BT27" s="346">
        <v>0</v>
      </c>
      <c r="BU27" s="346">
        <v>-0.75</v>
      </c>
      <c r="BV27" s="346">
        <v>-317.54000000000002</v>
      </c>
      <c r="BW27" s="346">
        <v>158.52000000000001</v>
      </c>
      <c r="BX27" s="346">
        <v>0</v>
      </c>
      <c r="BY27" s="346">
        <v>0</v>
      </c>
      <c r="BZ27" s="346">
        <v>-8.27</v>
      </c>
      <c r="CA27" s="346">
        <v>-27.39</v>
      </c>
      <c r="CB27" s="346">
        <v>25.41</v>
      </c>
      <c r="CC27" s="346">
        <v>0</v>
      </c>
      <c r="CD27" s="346">
        <v>-0.33</v>
      </c>
      <c r="CE27" s="346">
        <v>-380.07</v>
      </c>
      <c r="CF27" s="346">
        <v>2</v>
      </c>
      <c r="CG27" s="346" t="s">
        <v>1889</v>
      </c>
      <c r="CH27" s="346" t="s">
        <v>1889</v>
      </c>
      <c r="CI27" s="346">
        <v>51.15</v>
      </c>
      <c r="CJ27" s="346">
        <v>17.97</v>
      </c>
      <c r="CK27" s="346">
        <v>33.11</v>
      </c>
      <c r="CL27" s="346" t="s">
        <v>1889</v>
      </c>
      <c r="CM27" s="346">
        <v>99.23</v>
      </c>
      <c r="CN27" s="346">
        <v>45.09</v>
      </c>
      <c r="CO27" s="346">
        <v>-24.96</v>
      </c>
      <c r="CP27" s="346" t="s">
        <v>1889</v>
      </c>
      <c r="CQ27" s="346" t="s">
        <v>1889</v>
      </c>
      <c r="CR27" s="346">
        <v>4.9000000000000004</v>
      </c>
      <c r="CS27" s="346">
        <v>-7.68</v>
      </c>
      <c r="CT27" s="346">
        <v>48.48</v>
      </c>
      <c r="CU27" s="346" t="s">
        <v>1889</v>
      </c>
      <c r="CV27" s="346">
        <v>49.51</v>
      </c>
      <c r="CW27" s="346">
        <v>116847256.95</v>
      </c>
    </row>
    <row r="28" spans="1:101" x14ac:dyDescent="0.25">
      <c r="A28" s="346" t="str">
        <f>VLOOKUP(B28,'Loan Book Summary'!C:G,5,FALSE)</f>
        <v>0018e000003COuL</v>
      </c>
      <c r="B28" s="346">
        <v>1100000266</v>
      </c>
      <c r="C28" s="346" t="s">
        <v>1889</v>
      </c>
      <c r="D28" s="346" t="s">
        <v>1889</v>
      </c>
      <c r="E28" s="346">
        <v>2022</v>
      </c>
      <c r="F28" s="346">
        <v>6</v>
      </c>
      <c r="G28" s="346">
        <v>3459.0518750000001</v>
      </c>
      <c r="H28" s="346">
        <v>13158</v>
      </c>
      <c r="I28" s="346">
        <v>13158</v>
      </c>
      <c r="J28" s="346">
        <v>28975.700580000001</v>
      </c>
      <c r="K28" s="346">
        <v>26498.880399999998</v>
      </c>
      <c r="L28" s="346">
        <v>5434.5</v>
      </c>
      <c r="M28" s="346" t="s">
        <v>1889</v>
      </c>
      <c r="N28" s="346">
        <v>10869</v>
      </c>
      <c r="O28" s="346">
        <v>10869</v>
      </c>
      <c r="P28" s="346">
        <v>12800</v>
      </c>
      <c r="Q28" s="346">
        <v>43396.86</v>
      </c>
      <c r="R28" s="346">
        <v>34773.125</v>
      </c>
      <c r="S28" s="346">
        <v>52.601816249999999</v>
      </c>
      <c r="T28" s="346" t="s">
        <v>1889</v>
      </c>
      <c r="U28" s="346">
        <v>4992.5701840000002</v>
      </c>
      <c r="V28" s="346">
        <v>3994.0561469999998</v>
      </c>
      <c r="W28" s="346">
        <v>7.5313800000000004</v>
      </c>
      <c r="X28" s="346" t="s">
        <v>101</v>
      </c>
      <c r="Y28" s="346">
        <v>33190</v>
      </c>
      <c r="Z28" s="346">
        <v>5</v>
      </c>
      <c r="AA28" s="346" t="s">
        <v>996</v>
      </c>
      <c r="AB28" s="346" t="s">
        <v>110</v>
      </c>
      <c r="AC28" s="346" t="s">
        <v>114</v>
      </c>
      <c r="AD28" s="347">
        <v>0.35489999999999999</v>
      </c>
      <c r="AE28" s="347">
        <v>0.3362</v>
      </c>
      <c r="AF28" s="346">
        <v>0.7</v>
      </c>
      <c r="AG28" s="346">
        <v>1.52</v>
      </c>
      <c r="AH28" s="346">
        <v>2.39</v>
      </c>
      <c r="AI28" s="346">
        <v>3.3</v>
      </c>
      <c r="AJ28" s="346">
        <v>4.22</v>
      </c>
      <c r="AK28" s="347">
        <v>7.0000000000000001E-3</v>
      </c>
      <c r="AL28" s="347">
        <v>8.3000000000000001E-3</v>
      </c>
      <c r="AM28" s="347">
        <v>8.8000000000000005E-3</v>
      </c>
      <c r="AN28" s="347">
        <v>9.1999999999999998E-3</v>
      </c>
      <c r="AO28" s="347">
        <v>9.4999999999999998E-3</v>
      </c>
      <c r="AP28" s="347">
        <v>7.0000000000000001E-3</v>
      </c>
      <c r="AQ28" s="347">
        <v>7.6E-3</v>
      </c>
      <c r="AR28" s="347">
        <v>8.0000000000000002E-3</v>
      </c>
      <c r="AS28" s="347">
        <v>8.3000000000000001E-3</v>
      </c>
      <c r="AT28" s="347">
        <v>8.6E-3</v>
      </c>
      <c r="AU28" s="347">
        <v>4.2200000000000001E-2</v>
      </c>
      <c r="AV28" s="346">
        <v>13.68</v>
      </c>
      <c r="AW28" s="346">
        <v>5.37</v>
      </c>
      <c r="AX28" s="346" t="s">
        <v>1889</v>
      </c>
      <c r="AY28" s="346">
        <v>1.57</v>
      </c>
      <c r="AZ28" s="346">
        <v>3.4</v>
      </c>
      <c r="BA28" s="346">
        <v>-13.86</v>
      </c>
      <c r="BB28" s="346">
        <v>-18.62</v>
      </c>
      <c r="BC28" s="346">
        <v>-19.05</v>
      </c>
      <c r="BD28" s="346">
        <v>-24.44</v>
      </c>
      <c r="BE28" s="346">
        <v>14.7</v>
      </c>
      <c r="BF28" s="346">
        <v>3.44</v>
      </c>
      <c r="BG28" s="346" t="s">
        <v>1889</v>
      </c>
      <c r="BH28" s="346">
        <v>3.39</v>
      </c>
      <c r="BI28" s="346">
        <v>2.5299999999999998</v>
      </c>
      <c r="BJ28" s="346">
        <v>-12.38</v>
      </c>
      <c r="BK28" s="346">
        <v>-16.2</v>
      </c>
      <c r="BL28" s="346">
        <v>-13.55</v>
      </c>
      <c r="BM28" s="346">
        <v>-33.81</v>
      </c>
      <c r="BN28" s="346">
        <v>137.78</v>
      </c>
      <c r="BO28" s="346">
        <v>-14.73</v>
      </c>
      <c r="BP28" s="346">
        <v>0</v>
      </c>
      <c r="BQ28" s="346">
        <v>89.57</v>
      </c>
      <c r="BR28" s="346">
        <v>92.29</v>
      </c>
      <c r="BS28" s="346">
        <v>146.33000000000001</v>
      </c>
      <c r="BT28" s="346">
        <v>-213.69</v>
      </c>
      <c r="BU28" s="346">
        <v>-73.47</v>
      </c>
      <c r="BV28" s="346">
        <v>-32.15</v>
      </c>
      <c r="BW28" s="346">
        <v>139.77000000000001</v>
      </c>
      <c r="BX28" s="346">
        <v>-10.06</v>
      </c>
      <c r="BY28" s="346">
        <v>0</v>
      </c>
      <c r="BZ28" s="346">
        <v>181.03</v>
      </c>
      <c r="CA28" s="346">
        <v>69.89</v>
      </c>
      <c r="CB28" s="346">
        <v>124.78</v>
      </c>
      <c r="CC28" s="346">
        <v>-172.03</v>
      </c>
      <c r="CD28" s="346">
        <v>-55.06</v>
      </c>
      <c r="CE28" s="346">
        <v>-47.39</v>
      </c>
      <c r="CF28" s="346">
        <v>74.72</v>
      </c>
      <c r="CG28" s="346">
        <v>10.16</v>
      </c>
      <c r="CH28" s="346" t="s">
        <v>1889</v>
      </c>
      <c r="CI28" s="346">
        <v>82.5</v>
      </c>
      <c r="CJ28" s="346">
        <v>90.49</v>
      </c>
      <c r="CK28" s="346">
        <v>46.25</v>
      </c>
      <c r="CL28" s="346">
        <v>70.27</v>
      </c>
      <c r="CM28" s="346">
        <v>80.489999999999995</v>
      </c>
      <c r="CN28" s="346">
        <v>94.56</v>
      </c>
      <c r="CO28" s="346">
        <v>12.52</v>
      </c>
      <c r="CP28" s="346">
        <v>-7.52</v>
      </c>
      <c r="CQ28" s="346" t="s">
        <v>1889</v>
      </c>
      <c r="CR28" s="346">
        <v>24.8</v>
      </c>
      <c r="CS28" s="346">
        <v>10</v>
      </c>
      <c r="CT28" s="346">
        <v>59.4</v>
      </c>
      <c r="CU28" s="346">
        <v>31.82</v>
      </c>
      <c r="CV28" s="346">
        <v>9.1999999999999993</v>
      </c>
      <c r="CW28" s="346">
        <v>2037486033.6500001</v>
      </c>
    </row>
    <row r="29" spans="1:101" x14ac:dyDescent="0.25">
      <c r="A29" s="346" t="str">
        <f>VLOOKUP(B29,'Loan Book Summary'!C:G,5,FALSE)</f>
        <v>0015800000QSQGI</v>
      </c>
      <c r="B29" s="346">
        <v>1200000128</v>
      </c>
      <c r="C29" s="346" t="s">
        <v>1889</v>
      </c>
      <c r="D29" s="346" t="s">
        <v>1889</v>
      </c>
      <c r="E29" s="346">
        <v>2022</v>
      </c>
      <c r="F29" s="346">
        <v>6</v>
      </c>
      <c r="G29" s="346">
        <v>614.83212820000006</v>
      </c>
      <c r="H29" s="346">
        <v>132.94072</v>
      </c>
      <c r="I29" s="346">
        <v>132.94072</v>
      </c>
      <c r="J29" s="346">
        <v>1219.334298</v>
      </c>
      <c r="K29" s="346">
        <v>676.1891306</v>
      </c>
      <c r="L29" s="346">
        <v>404.09386999999998</v>
      </c>
      <c r="M29" s="346" t="s">
        <v>1889</v>
      </c>
      <c r="N29" s="346">
        <v>2808.0613800000001</v>
      </c>
      <c r="O29" s="346">
        <v>2808.0613800000001</v>
      </c>
      <c r="P29" s="346">
        <v>6052.2463900000002</v>
      </c>
      <c r="Q29" s="346">
        <v>10326.416440000001</v>
      </c>
      <c r="R29" s="346">
        <v>8947.7053199999991</v>
      </c>
      <c r="S29" s="346">
        <v>232.98696699999999</v>
      </c>
      <c r="T29" s="346">
        <v>246.51929459999999</v>
      </c>
      <c r="U29" s="346">
        <v>738.22485389999997</v>
      </c>
      <c r="V29" s="346">
        <v>381.18165049999999</v>
      </c>
      <c r="W29" s="346">
        <v>-322.6592574</v>
      </c>
      <c r="X29" s="346" t="s">
        <v>101</v>
      </c>
      <c r="Y29" s="346">
        <v>56302</v>
      </c>
      <c r="Z29" s="346">
        <v>5</v>
      </c>
      <c r="AA29" s="346" t="s">
        <v>996</v>
      </c>
      <c r="AB29" s="346" t="s">
        <v>104</v>
      </c>
      <c r="AC29" s="346" t="s">
        <v>104</v>
      </c>
      <c r="AD29" s="347">
        <v>0.6825</v>
      </c>
      <c r="AE29" s="347">
        <v>0.63170000000000004</v>
      </c>
      <c r="AF29" s="346">
        <v>2.0499999999999998</v>
      </c>
      <c r="AG29" s="346">
        <v>3.8</v>
      </c>
      <c r="AH29" s="346">
        <v>5.43</v>
      </c>
      <c r="AI29" s="346">
        <v>6.98</v>
      </c>
      <c r="AJ29" s="346">
        <v>8.4700000000000006</v>
      </c>
      <c r="AK29" s="347">
        <v>2.0500000000000001E-2</v>
      </c>
      <c r="AL29" s="347">
        <v>1.78E-2</v>
      </c>
      <c r="AM29" s="347">
        <v>1.7000000000000001E-2</v>
      </c>
      <c r="AN29" s="347">
        <v>1.6400000000000001E-2</v>
      </c>
      <c r="AO29" s="347">
        <v>1.6E-2</v>
      </c>
      <c r="AP29" s="347">
        <v>2.0500000000000001E-2</v>
      </c>
      <c r="AQ29" s="347">
        <v>1.9199999999999998E-2</v>
      </c>
      <c r="AR29" s="347">
        <v>1.84E-2</v>
      </c>
      <c r="AS29" s="347">
        <v>1.7899999999999999E-2</v>
      </c>
      <c r="AT29" s="347">
        <v>1.7500000000000002E-2</v>
      </c>
      <c r="AU29" s="347">
        <v>8.4699999999999998E-2</v>
      </c>
      <c r="AV29" s="346">
        <v>-10.58</v>
      </c>
      <c r="AW29" s="346">
        <v>-5.15</v>
      </c>
      <c r="AX29" s="346">
        <v>5.29</v>
      </c>
      <c r="AY29" s="346">
        <v>-3.19</v>
      </c>
      <c r="AZ29" s="346">
        <v>11.32</v>
      </c>
      <c r="BA29" s="346">
        <v>50.29</v>
      </c>
      <c r="BB29" s="346">
        <v>-6.77</v>
      </c>
      <c r="BC29" s="346">
        <v>-5.63</v>
      </c>
      <c r="BD29" s="346">
        <v>-1.78</v>
      </c>
      <c r="BE29" s="346">
        <v>-12.58</v>
      </c>
      <c r="BF29" s="346">
        <v>-3.65</v>
      </c>
      <c r="BG29" s="346">
        <v>3.46</v>
      </c>
      <c r="BH29" s="346">
        <v>-7.62</v>
      </c>
      <c r="BI29" s="346">
        <v>9.33</v>
      </c>
      <c r="BJ29" s="346">
        <v>49.7</v>
      </c>
      <c r="BK29" s="346">
        <v>-6.51</v>
      </c>
      <c r="BL29" s="346">
        <v>-4.43</v>
      </c>
      <c r="BM29" s="346">
        <v>-2.72</v>
      </c>
      <c r="BN29" s="346">
        <v>44.09</v>
      </c>
      <c r="BO29" s="346">
        <v>-4.2300000000000004</v>
      </c>
      <c r="BP29" s="346">
        <v>-244.53</v>
      </c>
      <c r="BQ29" s="346">
        <v>33.29</v>
      </c>
      <c r="BR29" s="346">
        <v>28.8</v>
      </c>
      <c r="BS29" s="346">
        <v>8.43</v>
      </c>
      <c r="BT29" s="346">
        <v>-157.41</v>
      </c>
      <c r="BU29" s="346">
        <v>-107.5</v>
      </c>
      <c r="BV29" s="346">
        <v>-271.75</v>
      </c>
      <c r="BW29" s="346">
        <v>49.71</v>
      </c>
      <c r="BX29" s="346">
        <v>-2.79</v>
      </c>
      <c r="BY29" s="346">
        <v>-145.6</v>
      </c>
      <c r="BZ29" s="346">
        <v>75.180000000000007</v>
      </c>
      <c r="CA29" s="346">
        <v>22.32</v>
      </c>
      <c r="CB29" s="346">
        <v>7.88</v>
      </c>
      <c r="CC29" s="346">
        <v>-140.04</v>
      </c>
      <c r="CD29" s="346">
        <v>-80.84</v>
      </c>
      <c r="CE29" s="346">
        <v>-375.65</v>
      </c>
      <c r="CF29" s="346">
        <v>28.54</v>
      </c>
      <c r="CG29" s="346">
        <v>46.24</v>
      </c>
      <c r="CH29" s="346">
        <v>42.69</v>
      </c>
      <c r="CI29" s="346">
        <v>72.31</v>
      </c>
      <c r="CJ29" s="346">
        <v>96.48</v>
      </c>
      <c r="CK29" s="346">
        <v>100</v>
      </c>
      <c r="CL29" s="346">
        <v>63.68</v>
      </c>
      <c r="CM29" s="346">
        <v>58.61</v>
      </c>
      <c r="CN29" s="346">
        <v>62</v>
      </c>
      <c r="CO29" s="346">
        <v>3.91</v>
      </c>
      <c r="CP29" s="346">
        <v>-0.2</v>
      </c>
      <c r="CQ29" s="346">
        <v>393.97</v>
      </c>
      <c r="CR29" s="346">
        <v>15.41</v>
      </c>
      <c r="CS29" s="346">
        <v>18.73</v>
      </c>
      <c r="CT29" s="346">
        <v>220</v>
      </c>
      <c r="CU29" s="346">
        <v>21.9</v>
      </c>
      <c r="CV29" s="346">
        <v>3.69</v>
      </c>
      <c r="CW29" s="346">
        <v>205943634.31999999</v>
      </c>
    </row>
    <row r="30" spans="1:101" x14ac:dyDescent="0.25">
      <c r="A30" s="346" t="str">
        <f>VLOOKUP(B30,'Loan Book Summary'!C:G,5,FALSE)</f>
        <v>0015800000dRt2K</v>
      </c>
      <c r="B30" s="346">
        <v>1100000205</v>
      </c>
      <c r="C30" s="346" t="s">
        <v>1889</v>
      </c>
      <c r="D30" s="346" t="s">
        <v>1889</v>
      </c>
      <c r="E30" s="346">
        <v>2022</v>
      </c>
      <c r="F30" s="346">
        <v>6</v>
      </c>
      <c r="G30" s="346">
        <v>1108.2447159999999</v>
      </c>
      <c r="H30" s="346">
        <v>801.02782999999999</v>
      </c>
      <c r="I30" s="346">
        <v>801.02782999999999</v>
      </c>
      <c r="J30" s="346">
        <v>2363.8722299999999</v>
      </c>
      <c r="K30" s="346">
        <v>592.34932619999995</v>
      </c>
      <c r="L30" s="346">
        <v>-862.61561549999999</v>
      </c>
      <c r="M30" s="346" t="s">
        <v>1889</v>
      </c>
      <c r="N30" s="346">
        <v>4613.8324339999999</v>
      </c>
      <c r="O30" s="346">
        <v>5613.3934900000004</v>
      </c>
      <c r="P30" s="346">
        <v>6414.8478809999997</v>
      </c>
      <c r="Q30" s="346">
        <v>18258.357919999999</v>
      </c>
      <c r="R30" s="346">
        <v>15472.928459999999</v>
      </c>
      <c r="S30" s="346">
        <v>468.86644660000002</v>
      </c>
      <c r="T30" s="346">
        <v>294.27640880000001</v>
      </c>
      <c r="U30" s="346">
        <v>635.2945555</v>
      </c>
      <c r="V30" s="346">
        <v>64.069519639999996</v>
      </c>
      <c r="W30" s="346">
        <v>-1570.6632970000001</v>
      </c>
      <c r="X30" s="346" t="s">
        <v>101</v>
      </c>
      <c r="Y30" s="346">
        <v>56302</v>
      </c>
      <c r="Z30" s="346">
        <v>5</v>
      </c>
      <c r="AA30" s="346" t="s">
        <v>996</v>
      </c>
      <c r="AB30" s="346" t="s">
        <v>104</v>
      </c>
      <c r="AC30" s="346" t="s">
        <v>104</v>
      </c>
      <c r="AD30" s="347">
        <v>0.71360000000000001</v>
      </c>
      <c r="AE30" s="347">
        <v>0.62219999999999998</v>
      </c>
      <c r="AF30" s="346">
        <v>2.2999999999999998</v>
      </c>
      <c r="AG30" s="346">
        <v>4.01</v>
      </c>
      <c r="AH30" s="346">
        <v>5.53</v>
      </c>
      <c r="AI30" s="346">
        <v>6.94</v>
      </c>
      <c r="AJ30" s="346">
        <v>8.26</v>
      </c>
      <c r="AK30" s="347">
        <v>2.3E-2</v>
      </c>
      <c r="AL30" s="347">
        <v>1.7500000000000002E-2</v>
      </c>
      <c r="AM30" s="347">
        <v>1.5900000000000001E-2</v>
      </c>
      <c r="AN30" s="347">
        <v>1.49E-2</v>
      </c>
      <c r="AO30" s="347">
        <v>1.4200000000000001E-2</v>
      </c>
      <c r="AP30" s="347">
        <v>2.3E-2</v>
      </c>
      <c r="AQ30" s="347">
        <v>2.0199999999999999E-2</v>
      </c>
      <c r="AR30" s="347">
        <v>1.8800000000000001E-2</v>
      </c>
      <c r="AS30" s="347">
        <v>1.78E-2</v>
      </c>
      <c r="AT30" s="347">
        <v>1.7100000000000001E-2</v>
      </c>
      <c r="AU30" s="347">
        <v>8.2600000000000007E-2</v>
      </c>
      <c r="AV30" s="346">
        <v>-20.78</v>
      </c>
      <c r="AW30" s="346">
        <v>-2.96</v>
      </c>
      <c r="AX30" s="346">
        <v>5.57</v>
      </c>
      <c r="AY30" s="346">
        <v>-1.96</v>
      </c>
      <c r="AZ30" s="346">
        <v>12.04</v>
      </c>
      <c r="BA30" s="346">
        <v>38.74</v>
      </c>
      <c r="BB30" s="346">
        <v>-6.61</v>
      </c>
      <c r="BC30" s="346">
        <v>9.15</v>
      </c>
      <c r="BD30" s="346">
        <v>-2.2000000000000002</v>
      </c>
      <c r="BE30" s="346">
        <v>-24.64</v>
      </c>
      <c r="BF30" s="346">
        <v>-2.09</v>
      </c>
      <c r="BG30" s="346">
        <v>3.63</v>
      </c>
      <c r="BH30" s="346">
        <v>-4.67</v>
      </c>
      <c r="BI30" s="346">
        <v>9.9</v>
      </c>
      <c r="BJ30" s="346">
        <v>38.19</v>
      </c>
      <c r="BK30" s="346">
        <v>-6.35</v>
      </c>
      <c r="BL30" s="346">
        <v>7.18</v>
      </c>
      <c r="BM30" s="346">
        <v>-3.36</v>
      </c>
      <c r="BN30" s="346">
        <v>204.73</v>
      </c>
      <c r="BO30" s="346">
        <v>-18.760000000000002</v>
      </c>
      <c r="BP30" s="346">
        <v>-274.97000000000003</v>
      </c>
      <c r="BQ30" s="346">
        <v>37.130000000000003</v>
      </c>
      <c r="BR30" s="346">
        <v>22.02</v>
      </c>
      <c r="BS30" s="346">
        <v>8.8699999999999992</v>
      </c>
      <c r="BT30" s="346">
        <v>-148.33000000000001</v>
      </c>
      <c r="BU30" s="346">
        <v>-152.44</v>
      </c>
      <c r="BV30" s="346">
        <v>-32.729999999999997</v>
      </c>
      <c r="BW30" s="346">
        <v>246.99</v>
      </c>
      <c r="BX30" s="346">
        <v>-14.76</v>
      </c>
      <c r="BY30" s="346">
        <v>-181.38</v>
      </c>
      <c r="BZ30" s="346">
        <v>98.84</v>
      </c>
      <c r="CA30" s="346">
        <v>20.28</v>
      </c>
      <c r="CB30" s="346">
        <v>9.82</v>
      </c>
      <c r="CC30" s="346">
        <v>-146.97</v>
      </c>
      <c r="CD30" s="346">
        <v>-124.27</v>
      </c>
      <c r="CE30" s="346">
        <v>-56.68</v>
      </c>
      <c r="CF30" s="346">
        <v>2</v>
      </c>
      <c r="CG30" s="346">
        <v>38.15</v>
      </c>
      <c r="CH30" s="346">
        <v>41.6</v>
      </c>
      <c r="CI30" s="346">
        <v>75.78</v>
      </c>
      <c r="CJ30" s="346">
        <v>98.43</v>
      </c>
      <c r="CK30" s="346">
        <v>100</v>
      </c>
      <c r="CL30" s="346">
        <v>65.27</v>
      </c>
      <c r="CM30" s="346">
        <v>28.76</v>
      </c>
      <c r="CN30" s="346">
        <v>74.650000000000006</v>
      </c>
      <c r="CO30" s="346">
        <v>-4.72</v>
      </c>
      <c r="CP30" s="346">
        <v>-0.79</v>
      </c>
      <c r="CQ30" s="346">
        <v>375.21</v>
      </c>
      <c r="CR30" s="346">
        <v>18</v>
      </c>
      <c r="CS30" s="346">
        <v>26.23</v>
      </c>
      <c r="CT30" s="346">
        <v>158.06</v>
      </c>
      <c r="CU30" s="346">
        <v>24.02</v>
      </c>
      <c r="CV30" s="346">
        <v>0.35</v>
      </c>
      <c r="CW30" s="346">
        <v>356809703.5</v>
      </c>
    </row>
    <row r="31" spans="1:101" x14ac:dyDescent="0.25">
      <c r="A31" s="346" t="str">
        <f>VLOOKUP(B31,'Loan Book Summary'!C:G,5,FALSE)</f>
        <v>00158000013gcxO</v>
      </c>
      <c r="B31" s="346">
        <v>1200000146</v>
      </c>
      <c r="C31" s="346" t="s">
        <v>1889</v>
      </c>
      <c r="D31" s="346" t="s">
        <v>1889</v>
      </c>
      <c r="E31" s="346">
        <v>2022</v>
      </c>
      <c r="F31" s="346">
        <v>6</v>
      </c>
      <c r="G31" s="346">
        <v>856.90503720000004</v>
      </c>
      <c r="H31" s="346">
        <v>40.785629999999998</v>
      </c>
      <c r="I31" s="346">
        <v>40.785629999999998</v>
      </c>
      <c r="J31" s="346">
        <v>5791.8670069999998</v>
      </c>
      <c r="K31" s="346">
        <v>5036.1884280000004</v>
      </c>
      <c r="L31" s="346">
        <v>1085.3264730000001</v>
      </c>
      <c r="M31" s="346" t="s">
        <v>1889</v>
      </c>
      <c r="N31" s="346">
        <v>3750.640868</v>
      </c>
      <c r="O31" s="346">
        <v>3817.3075349999999</v>
      </c>
      <c r="P31" s="346">
        <v>13703.354660000001</v>
      </c>
      <c r="Q31" s="346">
        <v>24664.053469999999</v>
      </c>
      <c r="R31" s="346">
        <v>21290.9696</v>
      </c>
      <c r="S31" s="346">
        <v>369.67740959999998</v>
      </c>
      <c r="T31" s="346">
        <v>7.3908019779999998</v>
      </c>
      <c r="U31" s="346">
        <v>637.21380439999996</v>
      </c>
      <c r="V31" s="346">
        <v>431.3467258</v>
      </c>
      <c r="W31" s="346">
        <v>-1672.5972609999999</v>
      </c>
      <c r="X31" s="346" t="s">
        <v>101</v>
      </c>
      <c r="Y31" s="346">
        <v>56302</v>
      </c>
      <c r="Z31" s="346">
        <v>5</v>
      </c>
      <c r="AA31" s="346" t="s">
        <v>996</v>
      </c>
      <c r="AB31" s="346" t="s">
        <v>105</v>
      </c>
      <c r="AC31" s="346" t="s">
        <v>105</v>
      </c>
      <c r="AD31" s="347">
        <v>0.53459999999999996</v>
      </c>
      <c r="AE31" s="347">
        <v>0.52090000000000003</v>
      </c>
      <c r="AF31" s="346">
        <v>1.25</v>
      </c>
      <c r="AG31" s="346">
        <v>2.5499999999999998</v>
      </c>
      <c r="AH31" s="346">
        <v>3.86</v>
      </c>
      <c r="AI31" s="346">
        <v>5.17</v>
      </c>
      <c r="AJ31" s="346">
        <v>6.48</v>
      </c>
      <c r="AK31" s="347">
        <v>1.2500000000000001E-2</v>
      </c>
      <c r="AL31" s="347">
        <v>1.32E-2</v>
      </c>
      <c r="AM31" s="347">
        <v>1.35E-2</v>
      </c>
      <c r="AN31" s="347">
        <v>1.3599999999999999E-2</v>
      </c>
      <c r="AO31" s="347">
        <v>1.38E-2</v>
      </c>
      <c r="AP31" s="347">
        <v>1.2500000000000001E-2</v>
      </c>
      <c r="AQ31" s="347">
        <v>1.2800000000000001E-2</v>
      </c>
      <c r="AR31" s="347">
        <v>1.2999999999999999E-2</v>
      </c>
      <c r="AS31" s="347">
        <v>1.32E-2</v>
      </c>
      <c r="AT31" s="347">
        <v>1.3299999999999999E-2</v>
      </c>
      <c r="AU31" s="347">
        <v>6.4799999999999996E-2</v>
      </c>
      <c r="AV31" s="346">
        <v>-7.66</v>
      </c>
      <c r="AW31" s="346">
        <v>-4.08</v>
      </c>
      <c r="AX31" s="346">
        <v>-23.01</v>
      </c>
      <c r="AY31" s="346">
        <v>-2.44</v>
      </c>
      <c r="AZ31" s="346">
        <v>11.97</v>
      </c>
      <c r="BA31" s="346">
        <v>38.53</v>
      </c>
      <c r="BB31" s="346">
        <v>-6.57</v>
      </c>
      <c r="BC31" s="346">
        <v>1.61</v>
      </c>
      <c r="BD31" s="346">
        <v>-4.13</v>
      </c>
      <c r="BE31" s="346">
        <v>-9.61</v>
      </c>
      <c r="BF31" s="346">
        <v>-3.05</v>
      </c>
      <c r="BG31" s="346">
        <v>-15.87</v>
      </c>
      <c r="BH31" s="346">
        <v>-6.17</v>
      </c>
      <c r="BI31" s="346">
        <v>10.42</v>
      </c>
      <c r="BJ31" s="346">
        <v>40.200000000000003</v>
      </c>
      <c r="BK31" s="346">
        <v>-6.68</v>
      </c>
      <c r="BL31" s="346">
        <v>1.34</v>
      </c>
      <c r="BM31" s="346">
        <v>-6.67</v>
      </c>
      <c r="BN31" s="346">
        <v>86.44</v>
      </c>
      <c r="BO31" s="346">
        <v>3.6</v>
      </c>
      <c r="BP31" s="346">
        <v>-21.1</v>
      </c>
      <c r="BQ31" s="346">
        <v>65.739999999999995</v>
      </c>
      <c r="BR31" s="346">
        <v>41.15</v>
      </c>
      <c r="BS31" s="346">
        <v>16.63</v>
      </c>
      <c r="BT31" s="346">
        <v>-265.31</v>
      </c>
      <c r="BU31" s="346">
        <v>-312.22000000000003</v>
      </c>
      <c r="BV31" s="346">
        <v>-87.82</v>
      </c>
      <c r="BW31" s="346">
        <v>97.28</v>
      </c>
      <c r="BX31" s="346">
        <v>2.2799999999999998</v>
      </c>
      <c r="BY31" s="346">
        <v>-13.05</v>
      </c>
      <c r="BZ31" s="346">
        <v>148.30000000000001</v>
      </c>
      <c r="CA31" s="346">
        <v>32.11</v>
      </c>
      <c r="CB31" s="346">
        <v>15.62</v>
      </c>
      <c r="CC31" s="346">
        <v>-237.14</v>
      </c>
      <c r="CD31" s="346">
        <v>-227.22</v>
      </c>
      <c r="CE31" s="346">
        <v>-127</v>
      </c>
      <c r="CF31" s="346">
        <v>31.51</v>
      </c>
      <c r="CG31" s="346">
        <v>49.62</v>
      </c>
      <c r="CH31" s="346">
        <v>94.59</v>
      </c>
      <c r="CI31" s="346">
        <v>72.92</v>
      </c>
      <c r="CJ31" s="346">
        <v>98.01</v>
      </c>
      <c r="CK31" s="346">
        <v>100</v>
      </c>
      <c r="CL31" s="346">
        <v>64.400000000000006</v>
      </c>
      <c r="CM31" s="346">
        <v>43.37</v>
      </c>
      <c r="CN31" s="346">
        <v>80.23</v>
      </c>
      <c r="CO31" s="346">
        <v>4.4000000000000004</v>
      </c>
      <c r="CP31" s="346">
        <v>-0.03</v>
      </c>
      <c r="CQ31" s="346">
        <v>13623.57</v>
      </c>
      <c r="CR31" s="346">
        <v>15.84</v>
      </c>
      <c r="CS31" s="346">
        <v>23.41</v>
      </c>
      <c r="CT31" s="346">
        <v>182.91</v>
      </c>
      <c r="CU31" s="346">
        <v>22.85</v>
      </c>
      <c r="CV31" s="346">
        <v>1.75</v>
      </c>
      <c r="CW31" s="346">
        <v>487962671.02999997</v>
      </c>
    </row>
    <row r="32" spans="1:101" x14ac:dyDescent="0.25">
      <c r="A32" s="346" t="str">
        <f>VLOOKUP(B32,'Loan Book Summary'!C:G,5,FALSE)</f>
        <v>0015800000z8vOY</v>
      </c>
      <c r="B32" s="346">
        <v>1100000248</v>
      </c>
      <c r="C32" s="346" t="s">
        <v>1889</v>
      </c>
      <c r="D32" s="346" t="s">
        <v>1889</v>
      </c>
      <c r="E32" s="346">
        <v>2022</v>
      </c>
      <c r="F32" s="346">
        <v>6</v>
      </c>
      <c r="G32" s="346">
        <v>151.42156259999999</v>
      </c>
      <c r="H32" s="346">
        <v>3461.6129999999998</v>
      </c>
      <c r="I32" s="346">
        <v>3461.6129999999998</v>
      </c>
      <c r="J32" s="346">
        <v>134421.38380000001</v>
      </c>
      <c r="K32" s="346">
        <v>134258.07149999999</v>
      </c>
      <c r="L32" s="346">
        <v>-4450.3068249999997</v>
      </c>
      <c r="M32" s="346" t="s">
        <v>1889</v>
      </c>
      <c r="N32" s="346">
        <v>-1658.668075</v>
      </c>
      <c r="O32" s="346">
        <v>1141.331925</v>
      </c>
      <c r="P32" s="346">
        <v>144037.4601</v>
      </c>
      <c r="Q32" s="346">
        <v>31684.80343</v>
      </c>
      <c r="R32" s="346">
        <v>28580.23979</v>
      </c>
      <c r="S32" s="346">
        <v>13164.223760000001</v>
      </c>
      <c r="T32" s="346">
        <v>10570.38233</v>
      </c>
      <c r="U32" s="346">
        <v>-9560.5883900000008</v>
      </c>
      <c r="V32" s="346">
        <v>-20130.970720000001</v>
      </c>
      <c r="W32" s="346">
        <v>-17805.444879999999</v>
      </c>
      <c r="X32" s="346" t="s">
        <v>101</v>
      </c>
      <c r="Y32" s="346">
        <v>56302</v>
      </c>
      <c r="Z32" s="346">
        <v>5</v>
      </c>
      <c r="AA32" s="346" t="s">
        <v>996</v>
      </c>
      <c r="AB32" s="346" t="s">
        <v>104</v>
      </c>
      <c r="AC32" s="346" t="s">
        <v>110</v>
      </c>
      <c r="AD32" s="347">
        <v>0.65839999999999999</v>
      </c>
      <c r="AE32" s="347">
        <v>0.4385</v>
      </c>
      <c r="AF32" s="346">
        <v>1.88</v>
      </c>
      <c r="AG32" s="346">
        <v>2.96</v>
      </c>
      <c r="AH32" s="346">
        <v>3.86</v>
      </c>
      <c r="AI32" s="346">
        <v>4.6500000000000004</v>
      </c>
      <c r="AJ32" s="346">
        <v>5.37</v>
      </c>
      <c r="AK32" s="347">
        <v>1.8800000000000001E-2</v>
      </c>
      <c r="AL32" s="347">
        <v>1.0999999999999999E-2</v>
      </c>
      <c r="AM32" s="347">
        <v>9.1999999999999998E-3</v>
      </c>
      <c r="AN32" s="347">
        <v>8.2000000000000007E-3</v>
      </c>
      <c r="AO32" s="347">
        <v>7.6E-3</v>
      </c>
      <c r="AP32" s="347">
        <v>1.8800000000000001E-2</v>
      </c>
      <c r="AQ32" s="347">
        <v>1.49E-2</v>
      </c>
      <c r="AR32" s="347">
        <v>1.2999999999999999E-2</v>
      </c>
      <c r="AS32" s="347">
        <v>1.18E-2</v>
      </c>
      <c r="AT32" s="347">
        <v>1.0999999999999999E-2</v>
      </c>
      <c r="AU32" s="347">
        <v>5.3699999999999998E-2</v>
      </c>
      <c r="AV32" s="346">
        <v>-16.61</v>
      </c>
      <c r="AW32" s="346">
        <v>-1.87</v>
      </c>
      <c r="AX32" s="346">
        <v>17.04</v>
      </c>
      <c r="AY32" s="346">
        <v>-3.09</v>
      </c>
      <c r="AZ32" s="346">
        <v>-3.74</v>
      </c>
      <c r="BA32" s="346">
        <v>27.5</v>
      </c>
      <c r="BB32" s="346" t="s">
        <v>1889</v>
      </c>
      <c r="BC32" s="346">
        <v>14.85</v>
      </c>
      <c r="BD32" s="346">
        <v>-15.3</v>
      </c>
      <c r="BE32" s="346">
        <v>-18.82</v>
      </c>
      <c r="BF32" s="346">
        <v>-1.26</v>
      </c>
      <c r="BG32" s="346">
        <v>10.61</v>
      </c>
      <c r="BH32" s="346">
        <v>-7.03</v>
      </c>
      <c r="BI32" s="346">
        <v>-2.94</v>
      </c>
      <c r="BJ32" s="346">
        <v>25.9</v>
      </c>
      <c r="BK32" s="346" t="s">
        <v>1889</v>
      </c>
      <c r="BL32" s="346">
        <v>11.13</v>
      </c>
      <c r="BM32" s="346">
        <v>-22.31</v>
      </c>
      <c r="BN32" s="346">
        <v>221.71</v>
      </c>
      <c r="BO32" s="346">
        <v>-34.799999999999997</v>
      </c>
      <c r="BP32" s="346">
        <v>-323.13</v>
      </c>
      <c r="BQ32" s="346">
        <v>28.22</v>
      </c>
      <c r="BR32" s="346">
        <v>-76.760000000000005</v>
      </c>
      <c r="BS32" s="346">
        <v>109.53</v>
      </c>
      <c r="BT32" s="346">
        <v>0</v>
      </c>
      <c r="BU32" s="346">
        <v>-0.23</v>
      </c>
      <c r="BV32" s="346">
        <v>-5.63</v>
      </c>
      <c r="BW32" s="346">
        <v>288.97000000000003</v>
      </c>
      <c r="BX32" s="346">
        <v>-25.96</v>
      </c>
      <c r="BY32" s="346">
        <v>-225.1</v>
      </c>
      <c r="BZ32" s="346">
        <v>71.06</v>
      </c>
      <c r="CA32" s="346">
        <v>-66.52</v>
      </c>
      <c r="CB32" s="346">
        <v>113.27</v>
      </c>
      <c r="CC32" s="346">
        <v>0</v>
      </c>
      <c r="CD32" s="346">
        <v>-0.19</v>
      </c>
      <c r="CE32" s="346">
        <v>-8.93</v>
      </c>
      <c r="CF32" s="346">
        <v>2</v>
      </c>
      <c r="CG32" s="346">
        <v>34.07</v>
      </c>
      <c r="CH32" s="346">
        <v>18.64</v>
      </c>
      <c r="CI32" s="346">
        <v>64.67</v>
      </c>
      <c r="CJ32" s="346">
        <v>37.479999999999997</v>
      </c>
      <c r="CK32" s="346">
        <v>97</v>
      </c>
      <c r="CL32" s="346" t="s">
        <v>1889</v>
      </c>
      <c r="CM32" s="346">
        <v>4</v>
      </c>
      <c r="CN32" s="346">
        <v>98.51</v>
      </c>
      <c r="CO32" s="346">
        <v>-14.05</v>
      </c>
      <c r="CP32" s="346">
        <v>-1.19</v>
      </c>
      <c r="CQ32" s="346">
        <v>34.090000000000003</v>
      </c>
      <c r="CR32" s="346">
        <v>10.86</v>
      </c>
      <c r="CS32" s="346">
        <v>-2.0099999999999998</v>
      </c>
      <c r="CT32" s="346">
        <v>107.24</v>
      </c>
      <c r="CU32" s="346" t="s">
        <v>1889</v>
      </c>
      <c r="CV32" s="346">
        <v>-63.54</v>
      </c>
      <c r="CW32" s="346">
        <v>6788912330.6499996</v>
      </c>
    </row>
    <row r="33" spans="1:101" x14ac:dyDescent="0.25">
      <c r="A33" s="346" t="str">
        <f>VLOOKUP(B33,'Loan Book Summary'!C:G,5,FALSE)</f>
        <v>0018e000003Cg7J</v>
      </c>
      <c r="B33" s="346">
        <v>1100000277</v>
      </c>
      <c r="C33" s="346" t="s">
        <v>1889</v>
      </c>
      <c r="D33" s="346" t="s">
        <v>1889</v>
      </c>
      <c r="E33" s="346">
        <v>2022</v>
      </c>
      <c r="F33" s="346">
        <v>6</v>
      </c>
      <c r="G33" s="346">
        <v>50</v>
      </c>
      <c r="H33" s="346" t="s">
        <v>1889</v>
      </c>
      <c r="I33" s="346" t="s">
        <v>1889</v>
      </c>
      <c r="J33" s="346">
        <v>37591.242830000003</v>
      </c>
      <c r="K33" s="346">
        <v>38603.835890000002</v>
      </c>
      <c r="L33" s="346" t="s">
        <v>1889</v>
      </c>
      <c r="M33" s="346" t="s">
        <v>1889</v>
      </c>
      <c r="N33" s="346">
        <v>0</v>
      </c>
      <c r="O33" s="346" t="s">
        <v>1889</v>
      </c>
      <c r="P33" s="346">
        <v>27900.120640000001</v>
      </c>
      <c r="Q33" s="346">
        <v>14402.2014</v>
      </c>
      <c r="R33" s="346">
        <v>12637.480960000001</v>
      </c>
      <c r="S33" s="346">
        <v>1156.6150769999999</v>
      </c>
      <c r="T33" s="346">
        <v>2499.1959430000002</v>
      </c>
      <c r="U33" s="346">
        <v>-1194.849964</v>
      </c>
      <c r="V33" s="346">
        <v>-3694.0459070000002</v>
      </c>
      <c r="W33" s="346">
        <v>-4086.8334620000001</v>
      </c>
      <c r="X33" s="346" t="s">
        <v>101</v>
      </c>
      <c r="Y33" s="346">
        <v>56302</v>
      </c>
      <c r="Z33" s="346">
        <v>5</v>
      </c>
      <c r="AA33" s="346" t="s">
        <v>996</v>
      </c>
      <c r="AB33" s="346" t="s">
        <v>104</v>
      </c>
      <c r="AC33" s="346" t="s">
        <v>110</v>
      </c>
      <c r="AD33" s="347">
        <v>0.65190000000000003</v>
      </c>
      <c r="AE33" s="347">
        <v>0.47770000000000001</v>
      </c>
      <c r="AF33" s="346">
        <v>1.84</v>
      </c>
      <c r="AG33" s="346">
        <v>3.04</v>
      </c>
      <c r="AH33" s="346">
        <v>4.07</v>
      </c>
      <c r="AI33" s="346">
        <v>5</v>
      </c>
      <c r="AJ33" s="346">
        <v>5.87</v>
      </c>
      <c r="AK33" s="347">
        <v>1.84E-2</v>
      </c>
      <c r="AL33" s="347">
        <v>1.2200000000000001E-2</v>
      </c>
      <c r="AM33" s="347">
        <v>1.0699999999999999E-2</v>
      </c>
      <c r="AN33" s="347">
        <v>9.7000000000000003E-3</v>
      </c>
      <c r="AO33" s="347">
        <v>9.1000000000000004E-3</v>
      </c>
      <c r="AP33" s="347">
        <v>1.84E-2</v>
      </c>
      <c r="AQ33" s="347">
        <v>1.5299999999999999E-2</v>
      </c>
      <c r="AR33" s="347">
        <v>1.38E-2</v>
      </c>
      <c r="AS33" s="347">
        <v>1.2800000000000001E-2</v>
      </c>
      <c r="AT33" s="347">
        <v>1.2E-2</v>
      </c>
      <c r="AU33" s="347">
        <v>5.8700000000000002E-2</v>
      </c>
      <c r="AV33" s="346" t="s">
        <v>1889</v>
      </c>
      <c r="AW33" s="346" t="s">
        <v>1889</v>
      </c>
      <c r="AX33" s="346">
        <v>35.520000000000003</v>
      </c>
      <c r="AY33" s="346">
        <v>-4.6900000000000004</v>
      </c>
      <c r="AZ33" s="346" t="s">
        <v>1889</v>
      </c>
      <c r="BA33" s="346">
        <v>7.43</v>
      </c>
      <c r="BB33" s="346" t="s">
        <v>1889</v>
      </c>
      <c r="BC33" s="346">
        <v>29.57</v>
      </c>
      <c r="BD33" s="346">
        <v>-22.79</v>
      </c>
      <c r="BE33" s="346" t="s">
        <v>1889</v>
      </c>
      <c r="BF33" s="346" t="s">
        <v>1889</v>
      </c>
      <c r="BG33" s="346">
        <v>23.22</v>
      </c>
      <c r="BH33" s="346">
        <v>-11.23</v>
      </c>
      <c r="BI33" s="346" t="s">
        <v>1889</v>
      </c>
      <c r="BJ33" s="346">
        <v>7.35</v>
      </c>
      <c r="BK33" s="346" t="s">
        <v>1889</v>
      </c>
      <c r="BL33" s="346">
        <v>23.29</v>
      </c>
      <c r="BM33" s="346">
        <v>-34.909999999999997</v>
      </c>
      <c r="BN33" s="346">
        <v>0</v>
      </c>
      <c r="BO33" s="346">
        <v>0</v>
      </c>
      <c r="BP33" s="346">
        <v>-313.88</v>
      </c>
      <c r="BQ33" s="346">
        <v>37.96</v>
      </c>
      <c r="BR33" s="346">
        <v>0</v>
      </c>
      <c r="BS33" s="346">
        <v>130.15</v>
      </c>
      <c r="BT33" s="346">
        <v>0</v>
      </c>
      <c r="BU33" s="346">
        <v>-0.22</v>
      </c>
      <c r="BV33" s="346">
        <v>-17.79</v>
      </c>
      <c r="BW33" s="346">
        <v>0</v>
      </c>
      <c r="BX33" s="346">
        <v>0</v>
      </c>
      <c r="BY33" s="346">
        <v>-227.64</v>
      </c>
      <c r="BZ33" s="346">
        <v>99.13</v>
      </c>
      <c r="CA33" s="346">
        <v>0</v>
      </c>
      <c r="CB33" s="346">
        <v>143.56</v>
      </c>
      <c r="CC33" s="346">
        <v>0</v>
      </c>
      <c r="CD33" s="346">
        <v>-0.18</v>
      </c>
      <c r="CE33" s="346">
        <v>-29.49</v>
      </c>
      <c r="CF33" s="346" t="s">
        <v>1889</v>
      </c>
      <c r="CG33" s="346" t="s">
        <v>1889</v>
      </c>
      <c r="CH33" s="346">
        <v>17.16</v>
      </c>
      <c r="CI33" s="346">
        <v>70.099999999999994</v>
      </c>
      <c r="CJ33" s="346" t="s">
        <v>1889</v>
      </c>
      <c r="CK33" s="346">
        <v>66.3</v>
      </c>
      <c r="CL33" s="346" t="s">
        <v>1889</v>
      </c>
      <c r="CM33" s="346">
        <v>5.68</v>
      </c>
      <c r="CN33" s="346">
        <v>94.29</v>
      </c>
      <c r="CO33" s="346" t="s">
        <v>1889</v>
      </c>
      <c r="CP33" s="346" t="s">
        <v>1889</v>
      </c>
      <c r="CQ33" s="346">
        <v>-1.53</v>
      </c>
      <c r="CR33" s="346">
        <v>13.96</v>
      </c>
      <c r="CS33" s="346" t="s">
        <v>1889</v>
      </c>
      <c r="CT33" s="346">
        <v>74.22</v>
      </c>
      <c r="CU33" s="346" t="s">
        <v>1889</v>
      </c>
      <c r="CV33" s="346">
        <v>-25.65</v>
      </c>
      <c r="CW33" s="346">
        <v>1922253929.3499999</v>
      </c>
    </row>
    <row r="34" spans="1:101" x14ac:dyDescent="0.25">
      <c r="A34" s="346" t="str">
        <f>VLOOKUP(B34,'Loan Book Summary'!C:G,5,FALSE)</f>
        <v>0015800000WRe2v</v>
      </c>
      <c r="B34" s="346">
        <v>1100000271</v>
      </c>
      <c r="C34" s="346" t="s">
        <v>1889</v>
      </c>
      <c r="D34" s="346" t="s">
        <v>1889</v>
      </c>
      <c r="E34" s="346">
        <v>2022</v>
      </c>
      <c r="F34" s="346">
        <v>6</v>
      </c>
      <c r="G34" s="346">
        <v>4463.2635550000005</v>
      </c>
      <c r="H34" s="346">
        <v>237.75632999999999</v>
      </c>
      <c r="I34" s="346">
        <v>237.75632999999999</v>
      </c>
      <c r="J34" s="346">
        <v>9846.0739809999995</v>
      </c>
      <c r="K34" s="346">
        <v>15526.54667</v>
      </c>
      <c r="L34" s="346">
        <v>980.11392000000001</v>
      </c>
      <c r="M34" s="346" t="s">
        <v>1889</v>
      </c>
      <c r="N34" s="346">
        <v>14249.808849999999</v>
      </c>
      <c r="O34" s="346">
        <v>15373.808849999999</v>
      </c>
      <c r="P34" s="346">
        <v>15000</v>
      </c>
      <c r="Q34" s="346">
        <v>49768.277269999999</v>
      </c>
      <c r="R34" s="346">
        <v>47952.991190000001</v>
      </c>
      <c r="S34" s="346">
        <v>2482.8144980000002</v>
      </c>
      <c r="T34" s="346">
        <v>622.34922329999995</v>
      </c>
      <c r="U34" s="346">
        <v>-4230.4726870000004</v>
      </c>
      <c r="V34" s="346">
        <v>-4852.8219099999997</v>
      </c>
      <c r="W34" s="346">
        <v>-1930.375554</v>
      </c>
      <c r="X34" s="346" t="s">
        <v>101</v>
      </c>
      <c r="Y34" s="346">
        <v>56101</v>
      </c>
      <c r="Z34" s="346">
        <v>5</v>
      </c>
      <c r="AA34" s="346" t="s">
        <v>996</v>
      </c>
      <c r="AB34" s="346" t="s">
        <v>107</v>
      </c>
      <c r="AC34" s="346" t="s">
        <v>104</v>
      </c>
      <c r="AD34" s="347">
        <v>0.81159999999999999</v>
      </c>
      <c r="AE34" s="347">
        <v>0.6532</v>
      </c>
      <c r="AF34" s="346">
        <v>3.48</v>
      </c>
      <c r="AG34" s="346">
        <v>5.25</v>
      </c>
      <c r="AH34" s="346">
        <v>6.66</v>
      </c>
      <c r="AI34" s="346">
        <v>7.88</v>
      </c>
      <c r="AJ34" s="346">
        <v>8.9700000000000006</v>
      </c>
      <c r="AK34" s="347">
        <v>3.4799999999999998E-2</v>
      </c>
      <c r="AL34" s="347">
        <v>1.83E-2</v>
      </c>
      <c r="AM34" s="347">
        <v>1.49E-2</v>
      </c>
      <c r="AN34" s="347">
        <v>1.3100000000000001E-2</v>
      </c>
      <c r="AO34" s="347">
        <v>1.18E-2</v>
      </c>
      <c r="AP34" s="347">
        <v>3.4799999999999998E-2</v>
      </c>
      <c r="AQ34" s="347">
        <v>2.6599999999999999E-2</v>
      </c>
      <c r="AR34" s="347">
        <v>2.2700000000000001E-2</v>
      </c>
      <c r="AS34" s="347">
        <v>2.0299999999999999E-2</v>
      </c>
      <c r="AT34" s="347">
        <v>1.8599999999999998E-2</v>
      </c>
      <c r="AU34" s="347">
        <v>8.9700000000000002E-2</v>
      </c>
      <c r="AV34" s="346">
        <v>-8.7899999999999991</v>
      </c>
      <c r="AW34" s="346">
        <v>-3.19</v>
      </c>
      <c r="AX34" s="346">
        <v>17.350000000000001</v>
      </c>
      <c r="AY34" s="346">
        <v>-3.62</v>
      </c>
      <c r="AZ34" s="346">
        <v>9.51</v>
      </c>
      <c r="BA34" s="346">
        <v>28.5</v>
      </c>
      <c r="BB34" s="346">
        <v>-7.3</v>
      </c>
      <c r="BC34" s="346">
        <v>13.7</v>
      </c>
      <c r="BD34" s="346">
        <v>-8.0500000000000007</v>
      </c>
      <c r="BE34" s="346">
        <v>-10.58</v>
      </c>
      <c r="BF34" s="346">
        <v>-2.2799999999999998</v>
      </c>
      <c r="BG34" s="346">
        <v>11.47</v>
      </c>
      <c r="BH34" s="346">
        <v>-8.75</v>
      </c>
      <c r="BI34" s="346">
        <v>7.93</v>
      </c>
      <c r="BJ34" s="346">
        <v>28.5</v>
      </c>
      <c r="BK34" s="346">
        <v>-7.11</v>
      </c>
      <c r="BL34" s="346">
        <v>10.91</v>
      </c>
      <c r="BM34" s="346">
        <v>-12.47</v>
      </c>
      <c r="BN34" s="346">
        <v>145.11000000000001</v>
      </c>
      <c r="BO34" s="346">
        <v>3.85</v>
      </c>
      <c r="BP34" s="346">
        <v>-282.7</v>
      </c>
      <c r="BQ34" s="346">
        <v>-18.2</v>
      </c>
      <c r="BR34" s="346">
        <v>-59.91</v>
      </c>
      <c r="BS34" s="346">
        <v>54.18</v>
      </c>
      <c r="BT34" s="346">
        <v>-269.27</v>
      </c>
      <c r="BU34" s="346">
        <v>-3.53</v>
      </c>
      <c r="BV34" s="346">
        <v>-63.25</v>
      </c>
      <c r="BW34" s="346">
        <v>183.56</v>
      </c>
      <c r="BX34" s="346">
        <v>2.95</v>
      </c>
      <c r="BY34" s="346">
        <v>-182.47</v>
      </c>
      <c r="BZ34" s="346">
        <v>-47.81</v>
      </c>
      <c r="CA34" s="346">
        <v>-55.01</v>
      </c>
      <c r="CB34" s="346">
        <v>59.71</v>
      </c>
      <c r="CC34" s="346">
        <v>-257.95</v>
      </c>
      <c r="CD34" s="346">
        <v>-3</v>
      </c>
      <c r="CE34" s="346">
        <v>-107.54</v>
      </c>
      <c r="CF34" s="346">
        <v>17.02</v>
      </c>
      <c r="CG34" s="346">
        <v>49.8</v>
      </c>
      <c r="CH34" s="346">
        <v>11.36</v>
      </c>
      <c r="CI34" s="346">
        <v>48.29</v>
      </c>
      <c r="CJ34" s="346">
        <v>10.51</v>
      </c>
      <c r="CK34" s="346">
        <v>98.71</v>
      </c>
      <c r="CL34" s="346">
        <v>69.989999999999995</v>
      </c>
      <c r="CM34" s="346">
        <v>9.2799999999999994</v>
      </c>
      <c r="CN34" s="346">
        <v>91.15</v>
      </c>
      <c r="CO34" s="346">
        <v>1.97</v>
      </c>
      <c r="CP34" s="346">
        <v>-0.02</v>
      </c>
      <c r="CQ34" s="346">
        <v>-280.82</v>
      </c>
      <c r="CR34" s="346">
        <v>3.79</v>
      </c>
      <c r="CS34" s="346">
        <v>-13.89</v>
      </c>
      <c r="CT34" s="346">
        <v>121.39</v>
      </c>
      <c r="CU34" s="346">
        <v>31.32</v>
      </c>
      <c r="CV34" s="346">
        <v>-9.75</v>
      </c>
      <c r="CW34" s="346">
        <v>1232159459.6500001</v>
      </c>
    </row>
    <row r="35" spans="1:101" x14ac:dyDescent="0.25">
      <c r="A35" s="346" t="str">
        <f>VLOOKUP(B35,'Loan Book Summary'!C:G,5,FALSE)</f>
        <v>0018e000003CbBk</v>
      </c>
      <c r="B35" s="346">
        <v>1100000275</v>
      </c>
      <c r="C35" s="346" t="s">
        <v>1889</v>
      </c>
      <c r="D35" s="346" t="s">
        <v>1889</v>
      </c>
      <c r="E35" s="346">
        <v>2022</v>
      </c>
      <c r="F35" s="346">
        <v>6</v>
      </c>
      <c r="G35" s="346">
        <v>4463.2635550000005</v>
      </c>
      <c r="H35" s="346">
        <v>237.75632999999999</v>
      </c>
      <c r="I35" s="346">
        <v>237.75632999999999</v>
      </c>
      <c r="J35" s="346">
        <v>9846.0739809999995</v>
      </c>
      <c r="K35" s="346">
        <v>15526.54667</v>
      </c>
      <c r="L35" s="346">
        <v>980.11392000000001</v>
      </c>
      <c r="M35" s="346" t="s">
        <v>1889</v>
      </c>
      <c r="N35" s="346">
        <v>14249.808849999999</v>
      </c>
      <c r="O35" s="346">
        <v>15373.808849999999</v>
      </c>
      <c r="P35" s="346">
        <v>15000</v>
      </c>
      <c r="Q35" s="346">
        <v>49768.277269999999</v>
      </c>
      <c r="R35" s="346">
        <v>47952.991190000001</v>
      </c>
      <c r="S35" s="346">
        <v>2482.8144980000002</v>
      </c>
      <c r="T35" s="346">
        <v>622.34922329999995</v>
      </c>
      <c r="U35" s="346">
        <v>-4230.4726870000004</v>
      </c>
      <c r="V35" s="346">
        <v>-4852.8219099999997</v>
      </c>
      <c r="W35" s="346">
        <v>-1930.375554</v>
      </c>
      <c r="X35" s="346" t="s">
        <v>101</v>
      </c>
      <c r="Y35" s="346">
        <v>56101</v>
      </c>
      <c r="Z35" s="346">
        <v>5</v>
      </c>
      <c r="AA35" s="346" t="s">
        <v>996</v>
      </c>
      <c r="AB35" s="346" t="s">
        <v>107</v>
      </c>
      <c r="AC35" s="346" t="s">
        <v>104</v>
      </c>
      <c r="AD35" s="347">
        <v>0.81159999999999999</v>
      </c>
      <c r="AE35" s="347">
        <v>0.6532</v>
      </c>
      <c r="AF35" s="346">
        <v>3.48</v>
      </c>
      <c r="AG35" s="346">
        <v>5.25</v>
      </c>
      <c r="AH35" s="346">
        <v>6.66</v>
      </c>
      <c r="AI35" s="346">
        <v>7.88</v>
      </c>
      <c r="AJ35" s="346">
        <v>8.9700000000000006</v>
      </c>
      <c r="AK35" s="347">
        <v>3.4799999999999998E-2</v>
      </c>
      <c r="AL35" s="347">
        <v>1.83E-2</v>
      </c>
      <c r="AM35" s="347">
        <v>1.49E-2</v>
      </c>
      <c r="AN35" s="347">
        <v>1.3100000000000001E-2</v>
      </c>
      <c r="AO35" s="347">
        <v>1.18E-2</v>
      </c>
      <c r="AP35" s="347">
        <v>3.4799999999999998E-2</v>
      </c>
      <c r="AQ35" s="347">
        <v>2.6599999999999999E-2</v>
      </c>
      <c r="AR35" s="347">
        <v>2.2700000000000001E-2</v>
      </c>
      <c r="AS35" s="347">
        <v>2.0299999999999999E-2</v>
      </c>
      <c r="AT35" s="347">
        <v>1.8599999999999998E-2</v>
      </c>
      <c r="AU35" s="347">
        <v>8.9700000000000002E-2</v>
      </c>
      <c r="AV35" s="346">
        <v>-8.7899999999999991</v>
      </c>
      <c r="AW35" s="346">
        <v>-3.19</v>
      </c>
      <c r="AX35" s="346">
        <v>17.350000000000001</v>
      </c>
      <c r="AY35" s="346">
        <v>-3.62</v>
      </c>
      <c r="AZ35" s="346">
        <v>9.51</v>
      </c>
      <c r="BA35" s="346">
        <v>28.5</v>
      </c>
      <c r="BB35" s="346">
        <v>-7.3</v>
      </c>
      <c r="BC35" s="346">
        <v>13.7</v>
      </c>
      <c r="BD35" s="346">
        <v>-8.0500000000000007</v>
      </c>
      <c r="BE35" s="346">
        <v>-10.58</v>
      </c>
      <c r="BF35" s="346">
        <v>-2.2799999999999998</v>
      </c>
      <c r="BG35" s="346">
        <v>11.47</v>
      </c>
      <c r="BH35" s="346">
        <v>-8.75</v>
      </c>
      <c r="BI35" s="346">
        <v>7.93</v>
      </c>
      <c r="BJ35" s="346">
        <v>28.5</v>
      </c>
      <c r="BK35" s="346">
        <v>-7.11</v>
      </c>
      <c r="BL35" s="346">
        <v>10.91</v>
      </c>
      <c r="BM35" s="346">
        <v>-12.47</v>
      </c>
      <c r="BN35" s="346">
        <v>145.11000000000001</v>
      </c>
      <c r="BO35" s="346">
        <v>3.85</v>
      </c>
      <c r="BP35" s="346">
        <v>-282.7</v>
      </c>
      <c r="BQ35" s="346">
        <v>-18.2</v>
      </c>
      <c r="BR35" s="346">
        <v>-59.91</v>
      </c>
      <c r="BS35" s="346">
        <v>54.18</v>
      </c>
      <c r="BT35" s="346">
        <v>-269.27</v>
      </c>
      <c r="BU35" s="346">
        <v>-3.53</v>
      </c>
      <c r="BV35" s="346">
        <v>-63.25</v>
      </c>
      <c r="BW35" s="346">
        <v>183.56</v>
      </c>
      <c r="BX35" s="346">
        <v>2.95</v>
      </c>
      <c r="BY35" s="346">
        <v>-182.47</v>
      </c>
      <c r="BZ35" s="346">
        <v>-47.81</v>
      </c>
      <c r="CA35" s="346">
        <v>-55.01</v>
      </c>
      <c r="CB35" s="346">
        <v>59.71</v>
      </c>
      <c r="CC35" s="346">
        <v>-257.95</v>
      </c>
      <c r="CD35" s="346">
        <v>-3</v>
      </c>
      <c r="CE35" s="346">
        <v>-107.54</v>
      </c>
      <c r="CF35" s="346">
        <v>17.02</v>
      </c>
      <c r="CG35" s="346">
        <v>49.8</v>
      </c>
      <c r="CH35" s="346">
        <v>11.36</v>
      </c>
      <c r="CI35" s="346">
        <v>48.29</v>
      </c>
      <c r="CJ35" s="346">
        <v>10.51</v>
      </c>
      <c r="CK35" s="346">
        <v>98.71</v>
      </c>
      <c r="CL35" s="346">
        <v>69.989999999999995</v>
      </c>
      <c r="CM35" s="346">
        <v>9.2799999999999994</v>
      </c>
      <c r="CN35" s="346">
        <v>91.15</v>
      </c>
      <c r="CO35" s="346">
        <v>1.97</v>
      </c>
      <c r="CP35" s="346">
        <v>-0.02</v>
      </c>
      <c r="CQ35" s="346">
        <v>-280.82</v>
      </c>
      <c r="CR35" s="346">
        <v>3.79</v>
      </c>
      <c r="CS35" s="346">
        <v>-13.89</v>
      </c>
      <c r="CT35" s="346">
        <v>121.39</v>
      </c>
      <c r="CU35" s="346">
        <v>31.32</v>
      </c>
      <c r="CV35" s="346">
        <v>-9.75</v>
      </c>
      <c r="CW35" s="346">
        <v>1232159459.6500001</v>
      </c>
    </row>
    <row r="36" spans="1:101" x14ac:dyDescent="0.25">
      <c r="A36" s="346" t="str">
        <f>VLOOKUP(B36,'Loan Book Summary'!C:G,5,FALSE)</f>
        <v>00158000010bEcS</v>
      </c>
      <c r="B36" s="346">
        <v>1200000125</v>
      </c>
      <c r="C36" s="346" t="s">
        <v>1889</v>
      </c>
      <c r="D36" s="346" t="s">
        <v>1889</v>
      </c>
      <c r="E36" s="346">
        <v>2022</v>
      </c>
      <c r="F36" s="346">
        <v>6</v>
      </c>
      <c r="G36" s="346">
        <v>1688.1855889999999</v>
      </c>
      <c r="H36" s="346">
        <v>40.383870000000002</v>
      </c>
      <c r="I36" s="346">
        <v>40.383870000000002</v>
      </c>
      <c r="J36" s="346">
        <v>5458.6961629999996</v>
      </c>
      <c r="K36" s="346">
        <v>6864.0946400000003</v>
      </c>
      <c r="L36" s="346">
        <v>184.95749570000001</v>
      </c>
      <c r="M36" s="346" t="s">
        <v>1889</v>
      </c>
      <c r="N36" s="346">
        <v>1981.4841759999999</v>
      </c>
      <c r="O36" s="346">
        <v>2048.150842</v>
      </c>
      <c r="P36" s="346">
        <v>4150.6435099999999</v>
      </c>
      <c r="Q36" s="346">
        <v>8151.5044630000002</v>
      </c>
      <c r="R36" s="346">
        <v>8583.9104580000003</v>
      </c>
      <c r="S36" s="346">
        <v>542.16559919999997</v>
      </c>
      <c r="T36" s="346">
        <v>127.71273789999999</v>
      </c>
      <c r="U36" s="346">
        <v>-605.4145403</v>
      </c>
      <c r="V36" s="346">
        <v>-733.12727819999998</v>
      </c>
      <c r="W36" s="346">
        <v>-691.17717279999999</v>
      </c>
      <c r="X36" s="346" t="s">
        <v>101</v>
      </c>
      <c r="Y36" s="346">
        <v>56101</v>
      </c>
      <c r="Z36" s="346">
        <v>5</v>
      </c>
      <c r="AA36" s="346" t="s">
        <v>996</v>
      </c>
      <c r="AB36" s="346" t="s">
        <v>105</v>
      </c>
      <c r="AC36" s="346" t="s">
        <v>110</v>
      </c>
      <c r="AD36" s="347">
        <v>0.57010000000000005</v>
      </c>
      <c r="AE36" s="347">
        <v>0.45279999999999998</v>
      </c>
      <c r="AF36" s="346">
        <v>1.4</v>
      </c>
      <c r="AG36" s="346">
        <v>2.54</v>
      </c>
      <c r="AH36" s="346">
        <v>3.59</v>
      </c>
      <c r="AI36" s="346">
        <v>4.59</v>
      </c>
      <c r="AJ36" s="346">
        <v>5.55</v>
      </c>
      <c r="AK36" s="347">
        <v>1.4E-2</v>
      </c>
      <c r="AL36" s="347">
        <v>1.1599999999999999E-2</v>
      </c>
      <c r="AM36" s="347">
        <v>1.0800000000000001E-2</v>
      </c>
      <c r="AN36" s="347">
        <v>1.03E-2</v>
      </c>
      <c r="AO36" s="347">
        <v>0.01</v>
      </c>
      <c r="AP36" s="347">
        <v>1.4E-2</v>
      </c>
      <c r="AQ36" s="347">
        <v>1.2800000000000001E-2</v>
      </c>
      <c r="AR36" s="347">
        <v>1.21E-2</v>
      </c>
      <c r="AS36" s="347">
        <v>1.17E-2</v>
      </c>
      <c r="AT36" s="347">
        <v>1.1299999999999999E-2</v>
      </c>
      <c r="AU36" s="347">
        <v>5.5500000000000001E-2</v>
      </c>
      <c r="AV36" s="346">
        <v>-11.07</v>
      </c>
      <c r="AW36" s="346">
        <v>-4.13</v>
      </c>
      <c r="AX36" s="346">
        <v>23.05</v>
      </c>
      <c r="AY36" s="346">
        <v>-1.93</v>
      </c>
      <c r="AZ36" s="346">
        <v>-4.83</v>
      </c>
      <c r="BA36" s="346">
        <v>13.54</v>
      </c>
      <c r="BB36" s="346">
        <v>-20.97</v>
      </c>
      <c r="BC36" s="346">
        <v>18.21</v>
      </c>
      <c r="BD36" s="346">
        <v>-2.27</v>
      </c>
      <c r="BE36" s="346">
        <v>-14.44</v>
      </c>
      <c r="BF36" s="346">
        <v>-3.21</v>
      </c>
      <c r="BG36" s="346">
        <v>16.53</v>
      </c>
      <c r="BH36" s="346">
        <v>-5.05</v>
      </c>
      <c r="BI36" s="346">
        <v>-4.37</v>
      </c>
      <c r="BJ36" s="346">
        <v>14.69</v>
      </c>
      <c r="BK36" s="346">
        <v>-22.17</v>
      </c>
      <c r="BL36" s="346">
        <v>15.72</v>
      </c>
      <c r="BM36" s="346">
        <v>-3.82</v>
      </c>
      <c r="BN36" s="346">
        <v>79.14</v>
      </c>
      <c r="BO36" s="346">
        <v>2.56</v>
      </c>
      <c r="BP36" s="346">
        <v>-410.44</v>
      </c>
      <c r="BQ36" s="346">
        <v>-52.73</v>
      </c>
      <c r="BR36" s="346">
        <v>-88.33</v>
      </c>
      <c r="BS36" s="346">
        <v>182.33</v>
      </c>
      <c r="BT36" s="346">
        <v>-36.81</v>
      </c>
      <c r="BU36" s="346">
        <v>-2.34</v>
      </c>
      <c r="BV36" s="346">
        <v>-45.31</v>
      </c>
      <c r="BW36" s="346">
        <v>101.6</v>
      </c>
      <c r="BX36" s="346">
        <v>1.94</v>
      </c>
      <c r="BY36" s="346">
        <v>-272.61</v>
      </c>
      <c r="BZ36" s="346">
        <v>-135.32</v>
      </c>
      <c r="CA36" s="346">
        <v>-78.77</v>
      </c>
      <c r="CB36" s="346">
        <v>194.4</v>
      </c>
      <c r="CC36" s="346">
        <v>-38.57</v>
      </c>
      <c r="CD36" s="346">
        <v>-1.97</v>
      </c>
      <c r="CE36" s="346">
        <v>-74.8</v>
      </c>
      <c r="CF36" s="346">
        <v>18.75</v>
      </c>
      <c r="CG36" s="346">
        <v>55.04</v>
      </c>
      <c r="CH36" s="346">
        <v>15.53</v>
      </c>
      <c r="CI36" s="346">
        <v>27.86</v>
      </c>
      <c r="CJ36" s="346">
        <v>36.99</v>
      </c>
      <c r="CK36" s="346">
        <v>77.150000000000006</v>
      </c>
      <c r="CL36" s="346">
        <v>87.59</v>
      </c>
      <c r="CM36" s="346">
        <v>9.6300000000000008</v>
      </c>
      <c r="CN36" s="346">
        <v>75.94</v>
      </c>
      <c r="CO36" s="346">
        <v>2.27</v>
      </c>
      <c r="CP36" s="346">
        <v>0.02</v>
      </c>
      <c r="CQ36" s="346">
        <v>-49.52</v>
      </c>
      <c r="CR36" s="346">
        <v>-5.04</v>
      </c>
      <c r="CS36" s="346">
        <v>-2.1</v>
      </c>
      <c r="CT36" s="346">
        <v>82.42</v>
      </c>
      <c r="CU36" s="346">
        <v>85.2</v>
      </c>
      <c r="CV36" s="346">
        <v>-8.99</v>
      </c>
      <c r="CW36" s="346">
        <v>380458713.64999998</v>
      </c>
    </row>
    <row r="37" spans="1:101" x14ac:dyDescent="0.25">
      <c r="A37" s="346" t="str">
        <f>VLOOKUP(B37,'Loan Book Summary'!C:G,5,FALSE)</f>
        <v>0015800000blLRK</v>
      </c>
      <c r="B37" s="346">
        <v>1100000141</v>
      </c>
      <c r="C37" s="346" t="s">
        <v>1889</v>
      </c>
      <c r="D37" s="346" t="s">
        <v>1889</v>
      </c>
      <c r="E37" s="346">
        <v>2022</v>
      </c>
      <c r="F37" s="346">
        <v>6</v>
      </c>
      <c r="G37" s="346">
        <v>-77.299050699999995</v>
      </c>
      <c r="H37" s="346">
        <v>142.34899999999999</v>
      </c>
      <c r="I37" s="346">
        <v>142.34899999999999</v>
      </c>
      <c r="J37" s="346">
        <v>578.3786589</v>
      </c>
      <c r="K37" s="346">
        <v>741.40347020000002</v>
      </c>
      <c r="L37" s="346">
        <v>351.13067560000002</v>
      </c>
      <c r="M37" s="346" t="s">
        <v>1889</v>
      </c>
      <c r="N37" s="346">
        <v>933.26467560000003</v>
      </c>
      <c r="O37" s="346">
        <v>933.26467560000003</v>
      </c>
      <c r="P37" s="346">
        <v>1388.5540000000001</v>
      </c>
      <c r="Q37" s="346">
        <v>5214.4652679999999</v>
      </c>
      <c r="R37" s="346">
        <v>3830.6305849999999</v>
      </c>
      <c r="S37" s="346">
        <v>60.099352449999998</v>
      </c>
      <c r="T37" s="346" t="s">
        <v>1889</v>
      </c>
      <c r="U37" s="346">
        <v>-163.02481119999999</v>
      </c>
      <c r="V37" s="346">
        <v>-163.02481119999999</v>
      </c>
      <c r="W37" s="346">
        <v>-130.60665969999999</v>
      </c>
      <c r="X37" s="346" t="s">
        <v>101</v>
      </c>
      <c r="Y37" s="346">
        <v>56101</v>
      </c>
      <c r="Z37" s="346">
        <v>5</v>
      </c>
      <c r="AA37" s="346" t="s">
        <v>996</v>
      </c>
      <c r="AB37" s="346" t="s">
        <v>119</v>
      </c>
      <c r="AC37" s="346" t="s">
        <v>119</v>
      </c>
      <c r="AD37" s="347">
        <v>0.90400000000000003</v>
      </c>
      <c r="AE37" s="347">
        <v>0.90749999999999997</v>
      </c>
      <c r="AF37" s="346">
        <v>6.3</v>
      </c>
      <c r="AG37" s="346">
        <v>10.65</v>
      </c>
      <c r="AH37" s="346">
        <v>14.37</v>
      </c>
      <c r="AI37" s="346">
        <v>17.690000000000001</v>
      </c>
      <c r="AJ37" s="346">
        <v>20.72</v>
      </c>
      <c r="AK37" s="347">
        <v>6.3E-2</v>
      </c>
      <c r="AL37" s="347">
        <v>4.6399999999999997E-2</v>
      </c>
      <c r="AM37" s="347">
        <v>4.1599999999999998E-2</v>
      </c>
      <c r="AN37" s="347">
        <v>3.8800000000000001E-2</v>
      </c>
      <c r="AO37" s="347">
        <v>3.6799999999999999E-2</v>
      </c>
      <c r="AP37" s="347">
        <v>6.3E-2</v>
      </c>
      <c r="AQ37" s="347">
        <v>5.4699999999999999E-2</v>
      </c>
      <c r="AR37" s="347">
        <v>5.04E-2</v>
      </c>
      <c r="AS37" s="347">
        <v>4.7500000000000001E-2</v>
      </c>
      <c r="AT37" s="347">
        <v>4.5400000000000003E-2</v>
      </c>
      <c r="AU37" s="347">
        <v>0.2072</v>
      </c>
      <c r="AV37" s="346">
        <v>-4.8</v>
      </c>
      <c r="AW37" s="346">
        <v>-2.96</v>
      </c>
      <c r="AX37" s="346" t="s">
        <v>1889</v>
      </c>
      <c r="AY37" s="346">
        <v>4.79</v>
      </c>
      <c r="AZ37" s="346">
        <v>-3.7</v>
      </c>
      <c r="BA37" s="346">
        <v>42.91</v>
      </c>
      <c r="BB37" s="346">
        <v>22.23</v>
      </c>
      <c r="BC37" s="346">
        <v>17.59</v>
      </c>
      <c r="BD37" s="346">
        <v>1.03</v>
      </c>
      <c r="BE37" s="346">
        <v>-5.62</v>
      </c>
      <c r="BF37" s="346">
        <v>-2.06</v>
      </c>
      <c r="BG37" s="346" t="s">
        <v>1889</v>
      </c>
      <c r="BH37" s="346">
        <v>11.27</v>
      </c>
      <c r="BI37" s="346">
        <v>-3</v>
      </c>
      <c r="BJ37" s="346">
        <v>41.77</v>
      </c>
      <c r="BK37" s="346">
        <v>21.09</v>
      </c>
      <c r="BL37" s="346">
        <v>13.64</v>
      </c>
      <c r="BM37" s="346">
        <v>1.55</v>
      </c>
      <c r="BN37" s="346">
        <v>45.76</v>
      </c>
      <c r="BO37" s="346">
        <v>-22.09</v>
      </c>
      <c r="BP37" s="346">
        <v>0</v>
      </c>
      <c r="BQ37" s="346">
        <v>33.159999999999997</v>
      </c>
      <c r="BR37" s="346">
        <v>-59.09</v>
      </c>
      <c r="BS37" s="346">
        <v>7.77</v>
      </c>
      <c r="BT37" s="346">
        <v>-294.72000000000003</v>
      </c>
      <c r="BU37" s="346">
        <v>-17.36</v>
      </c>
      <c r="BV37" s="346">
        <v>-320.06</v>
      </c>
      <c r="BW37" s="346">
        <v>24.73</v>
      </c>
      <c r="BX37" s="346">
        <v>-7.09</v>
      </c>
      <c r="BY37" s="346">
        <v>0</v>
      </c>
      <c r="BZ37" s="346">
        <v>39.19</v>
      </c>
      <c r="CA37" s="346">
        <v>-22.18</v>
      </c>
      <c r="CB37" s="346">
        <v>3.51</v>
      </c>
      <c r="CC37" s="346">
        <v>-253.76</v>
      </c>
      <c r="CD37" s="346">
        <v>-6.2</v>
      </c>
      <c r="CE37" s="346">
        <v>-443.35</v>
      </c>
      <c r="CF37" s="346">
        <v>45.63</v>
      </c>
      <c r="CG37" s="346">
        <v>36.04</v>
      </c>
      <c r="CH37" s="346" t="s">
        <v>1889</v>
      </c>
      <c r="CI37" s="346">
        <v>89.1</v>
      </c>
      <c r="CJ37" s="346">
        <v>32.32</v>
      </c>
      <c r="CK37" s="346">
        <v>100</v>
      </c>
      <c r="CL37" s="346">
        <v>3.75</v>
      </c>
      <c r="CM37" s="346">
        <v>15.27</v>
      </c>
      <c r="CN37" s="346">
        <v>30.78</v>
      </c>
      <c r="CO37" s="346">
        <v>6.73</v>
      </c>
      <c r="CP37" s="346">
        <v>-0.99</v>
      </c>
      <c r="CQ37" s="346" t="s">
        <v>1889</v>
      </c>
      <c r="CR37" s="346">
        <v>36.130000000000003</v>
      </c>
      <c r="CS37" s="346">
        <v>-2.99</v>
      </c>
      <c r="CT37" s="346">
        <v>153.6</v>
      </c>
      <c r="CU37" s="346">
        <v>-8.2799999999999994</v>
      </c>
      <c r="CV37" s="346">
        <v>-3.13</v>
      </c>
      <c r="CW37" s="346">
        <v>77298916.469999999</v>
      </c>
    </row>
    <row r="38" spans="1:101" x14ac:dyDescent="0.25">
      <c r="A38" s="346" t="str">
        <f>VLOOKUP(B38,'Loan Book Summary'!C:G,5,FALSE)</f>
        <v>0014I00001pussv</v>
      </c>
      <c r="B38" s="346">
        <v>1100000203</v>
      </c>
      <c r="C38" s="346" t="s">
        <v>1889</v>
      </c>
      <c r="D38" s="346" t="s">
        <v>1889</v>
      </c>
      <c r="E38" s="346">
        <v>2022</v>
      </c>
      <c r="F38" s="346">
        <v>6</v>
      </c>
      <c r="G38" s="346">
        <v>428.59652110000002</v>
      </c>
      <c r="H38" s="346">
        <v>47.357419999999998</v>
      </c>
      <c r="I38" s="346">
        <v>47.357419999999998</v>
      </c>
      <c r="J38" s="346">
        <v>2715.4171179999998</v>
      </c>
      <c r="K38" s="346">
        <v>2584.2225600000002</v>
      </c>
      <c r="L38" s="346">
        <v>74.925087210000001</v>
      </c>
      <c r="M38" s="346" t="s">
        <v>1889</v>
      </c>
      <c r="N38" s="346">
        <v>419.76313720000002</v>
      </c>
      <c r="O38" s="346">
        <v>421.50301789999997</v>
      </c>
      <c r="P38" s="346">
        <v>895.19547</v>
      </c>
      <c r="Q38" s="346">
        <v>2304.6974</v>
      </c>
      <c r="R38" s="346">
        <v>2227.5654359999999</v>
      </c>
      <c r="S38" s="346">
        <v>96.869000700000001</v>
      </c>
      <c r="T38" s="346">
        <v>49.190636300000001</v>
      </c>
      <c r="U38" s="346">
        <v>279.91274900000002</v>
      </c>
      <c r="V38" s="346">
        <v>184.57769020000001</v>
      </c>
      <c r="W38" s="346">
        <v>170.17563960000001</v>
      </c>
      <c r="X38" s="346" t="s">
        <v>101</v>
      </c>
      <c r="Y38" s="346">
        <v>56102</v>
      </c>
      <c r="Z38" s="346">
        <v>5</v>
      </c>
      <c r="AA38" s="346" t="s">
        <v>996</v>
      </c>
      <c r="AB38" s="346" t="s">
        <v>226</v>
      </c>
      <c r="AC38" s="346" t="s">
        <v>226</v>
      </c>
      <c r="AD38" s="347">
        <v>5.5399999999999998E-2</v>
      </c>
      <c r="AE38" s="347">
        <v>4.36E-2</v>
      </c>
      <c r="AF38" s="346">
        <v>0.19</v>
      </c>
      <c r="AG38" s="346">
        <v>0.42</v>
      </c>
      <c r="AH38" s="346">
        <v>0.67</v>
      </c>
      <c r="AI38" s="346">
        <v>0.94</v>
      </c>
      <c r="AJ38" s="346">
        <v>1.23</v>
      </c>
      <c r="AK38" s="347">
        <v>1.9E-3</v>
      </c>
      <c r="AL38" s="347">
        <v>2.3E-3</v>
      </c>
      <c r="AM38" s="347">
        <v>2.5999999999999999E-3</v>
      </c>
      <c r="AN38" s="347">
        <v>2.7000000000000001E-3</v>
      </c>
      <c r="AO38" s="347">
        <v>2.8E-3</v>
      </c>
      <c r="AP38" s="347">
        <v>1.9E-3</v>
      </c>
      <c r="AQ38" s="347">
        <v>2.0999999999999999E-3</v>
      </c>
      <c r="AR38" s="347">
        <v>2.3E-3</v>
      </c>
      <c r="AS38" s="347">
        <v>2.3999999999999998E-3</v>
      </c>
      <c r="AT38" s="347">
        <v>2.5000000000000001E-3</v>
      </c>
      <c r="AU38" s="347">
        <v>1.23E-2</v>
      </c>
      <c r="AV38" s="346">
        <v>-11.19</v>
      </c>
      <c r="AW38" s="346">
        <v>-5.0999999999999996</v>
      </c>
      <c r="AX38" s="346">
        <v>-7.17</v>
      </c>
      <c r="AY38" s="346">
        <v>-5.73</v>
      </c>
      <c r="AZ38" s="346">
        <v>-9.94</v>
      </c>
      <c r="BA38" s="346">
        <v>-19.55</v>
      </c>
      <c r="BB38" s="346">
        <v>-27.54</v>
      </c>
      <c r="BC38" s="346">
        <v>-12.09</v>
      </c>
      <c r="BD38" s="346">
        <v>-1.7</v>
      </c>
      <c r="BE38" s="346">
        <v>-13.12</v>
      </c>
      <c r="BF38" s="346">
        <v>-3.56</v>
      </c>
      <c r="BG38" s="346">
        <v>-4.6100000000000003</v>
      </c>
      <c r="BH38" s="346">
        <v>-13.5</v>
      </c>
      <c r="BI38" s="346">
        <v>-8.07</v>
      </c>
      <c r="BJ38" s="346">
        <v>-19.04</v>
      </c>
      <c r="BK38" s="346">
        <v>-26.15</v>
      </c>
      <c r="BL38" s="346">
        <v>-9.3699999999999992</v>
      </c>
      <c r="BM38" s="346">
        <v>-2.57</v>
      </c>
      <c r="BN38" s="346">
        <v>53.56</v>
      </c>
      <c r="BO38" s="346">
        <v>1.94</v>
      </c>
      <c r="BP38" s="346">
        <v>-359.52</v>
      </c>
      <c r="BQ38" s="346">
        <v>-14.71</v>
      </c>
      <c r="BR38" s="346">
        <v>-19.739999999999998</v>
      </c>
      <c r="BS38" s="346">
        <v>33.81</v>
      </c>
      <c r="BT38" s="346">
        <v>-20.27</v>
      </c>
      <c r="BU38" s="346">
        <v>-49.23</v>
      </c>
      <c r="BV38" s="346">
        <v>-347.22</v>
      </c>
      <c r="BW38" s="346">
        <v>67.56</v>
      </c>
      <c r="BX38" s="346">
        <v>1.47</v>
      </c>
      <c r="BY38" s="346">
        <v>-203.86</v>
      </c>
      <c r="BZ38" s="346">
        <v>-38.049999999999997</v>
      </c>
      <c r="CA38" s="346">
        <v>-17.510000000000002</v>
      </c>
      <c r="CB38" s="346">
        <v>36.619999999999997</v>
      </c>
      <c r="CC38" s="346">
        <v>-21.02</v>
      </c>
      <c r="CD38" s="346">
        <v>-41.59</v>
      </c>
      <c r="CE38" s="346">
        <v>-472.33</v>
      </c>
      <c r="CF38" s="346">
        <v>24.56</v>
      </c>
      <c r="CG38" s="346">
        <v>48.63</v>
      </c>
      <c r="CH38" s="346">
        <v>58.06</v>
      </c>
      <c r="CI38" s="346">
        <v>47.46</v>
      </c>
      <c r="CJ38" s="346">
        <v>55.33</v>
      </c>
      <c r="CK38" s="346">
        <v>26.32</v>
      </c>
      <c r="CL38" s="346">
        <v>90.25</v>
      </c>
      <c r="CM38" s="346">
        <v>77.47</v>
      </c>
      <c r="CN38" s="346">
        <v>54.89</v>
      </c>
      <c r="CO38" s="346">
        <v>3.25</v>
      </c>
      <c r="CP38" s="346">
        <v>-7.0000000000000007E-2</v>
      </c>
      <c r="CQ38" s="346">
        <v>765.96</v>
      </c>
      <c r="CR38" s="346">
        <v>3.46</v>
      </c>
      <c r="CS38" s="346">
        <v>0.23</v>
      </c>
      <c r="CT38" s="346">
        <v>41.94</v>
      </c>
      <c r="CU38" s="346">
        <v>102.1</v>
      </c>
      <c r="CV38" s="346">
        <v>8.01</v>
      </c>
      <c r="CW38" s="346">
        <v>160319588.05000001</v>
      </c>
    </row>
    <row r="39" spans="1:101" x14ac:dyDescent="0.25">
      <c r="A39" s="346" t="str">
        <f>VLOOKUP(B39,'Loan Book Summary'!C:G,5,FALSE)</f>
        <v>0014I00001zbcqS</v>
      </c>
      <c r="B39" s="346">
        <v>1200000157</v>
      </c>
      <c r="C39" s="346" t="s">
        <v>1889</v>
      </c>
      <c r="D39" s="346" t="s">
        <v>1889</v>
      </c>
      <c r="E39" s="346">
        <v>2022</v>
      </c>
      <c r="F39" s="346">
        <v>6</v>
      </c>
      <c r="G39" s="346">
        <v>633.86770709999996</v>
      </c>
      <c r="H39" s="346">
        <v>1026.405</v>
      </c>
      <c r="I39" s="346">
        <v>1026.405</v>
      </c>
      <c r="J39" s="346">
        <v>2225.329663</v>
      </c>
      <c r="K39" s="346">
        <v>4004.436475</v>
      </c>
      <c r="L39" s="346">
        <v>2329.6779999999999</v>
      </c>
      <c r="M39" s="346" t="s">
        <v>1889</v>
      </c>
      <c r="N39" s="346">
        <v>3500.6660000000002</v>
      </c>
      <c r="O39" s="346">
        <v>3500.6660000000002</v>
      </c>
      <c r="P39" s="346">
        <v>941.44135000000006</v>
      </c>
      <c r="Q39" s="346">
        <v>17012.596269999998</v>
      </c>
      <c r="R39" s="346">
        <v>17879.225310000002</v>
      </c>
      <c r="S39" s="346">
        <v>393.47502040000001</v>
      </c>
      <c r="T39" s="346">
        <v>50.436610039999998</v>
      </c>
      <c r="U39" s="346">
        <v>-1039.5500589999999</v>
      </c>
      <c r="V39" s="346">
        <v>-1089.9866689999999</v>
      </c>
      <c r="W39" s="346">
        <v>-720.28857870000002</v>
      </c>
      <c r="X39" s="346" t="s">
        <v>101</v>
      </c>
      <c r="Y39" s="346">
        <v>56101</v>
      </c>
      <c r="Z39" s="346">
        <v>5</v>
      </c>
      <c r="AA39" s="346" t="s">
        <v>996</v>
      </c>
      <c r="AB39" s="346" t="s">
        <v>102</v>
      </c>
      <c r="AC39" s="346" t="s">
        <v>107</v>
      </c>
      <c r="AD39" s="347">
        <v>0.83589999999999998</v>
      </c>
      <c r="AE39" s="347">
        <v>0.76490000000000002</v>
      </c>
      <c r="AF39" s="346">
        <v>3.94</v>
      </c>
      <c r="AG39" s="346">
        <v>6.47</v>
      </c>
      <c r="AH39" s="346">
        <v>8.61</v>
      </c>
      <c r="AI39" s="346">
        <v>10.52</v>
      </c>
      <c r="AJ39" s="346">
        <v>12.27</v>
      </c>
      <c r="AK39" s="347">
        <v>3.9399999999999998E-2</v>
      </c>
      <c r="AL39" s="347">
        <v>2.63E-2</v>
      </c>
      <c r="AM39" s="347">
        <v>2.29E-2</v>
      </c>
      <c r="AN39" s="347">
        <v>2.0899999999999998E-2</v>
      </c>
      <c r="AO39" s="347">
        <v>1.9599999999999999E-2</v>
      </c>
      <c r="AP39" s="347">
        <v>3.9399999999999998E-2</v>
      </c>
      <c r="AQ39" s="347">
        <v>3.2899999999999999E-2</v>
      </c>
      <c r="AR39" s="347">
        <v>2.9600000000000001E-2</v>
      </c>
      <c r="AS39" s="347">
        <v>2.7400000000000001E-2</v>
      </c>
      <c r="AT39" s="347">
        <v>2.58E-2</v>
      </c>
      <c r="AU39" s="347">
        <v>0.1227</v>
      </c>
      <c r="AV39" s="346">
        <v>13.36</v>
      </c>
      <c r="AW39" s="346">
        <v>-4.49</v>
      </c>
      <c r="AX39" s="346">
        <v>29.17</v>
      </c>
      <c r="AY39" s="346">
        <v>-3.08</v>
      </c>
      <c r="AZ39" s="346">
        <v>10.41</v>
      </c>
      <c r="BA39" s="346">
        <v>10.19</v>
      </c>
      <c r="BB39" s="346">
        <v>-4.9000000000000004</v>
      </c>
      <c r="BC39" s="346">
        <v>22.42</v>
      </c>
      <c r="BD39" s="346">
        <v>-1.97</v>
      </c>
      <c r="BE39" s="346">
        <v>17.739999999999998</v>
      </c>
      <c r="BF39" s="346">
        <v>-3.55</v>
      </c>
      <c r="BG39" s="346">
        <v>21.29</v>
      </c>
      <c r="BH39" s="346">
        <v>-8.23</v>
      </c>
      <c r="BI39" s="346">
        <v>9.59</v>
      </c>
      <c r="BJ39" s="346">
        <v>11.25</v>
      </c>
      <c r="BK39" s="346">
        <v>-5.27</v>
      </c>
      <c r="BL39" s="346">
        <v>19.7</v>
      </c>
      <c r="BM39" s="346">
        <v>-3.38</v>
      </c>
      <c r="BN39" s="346">
        <v>112.41</v>
      </c>
      <c r="BO39" s="346">
        <v>21.87</v>
      </c>
      <c r="BP39" s="346">
        <v>0</v>
      </c>
      <c r="BQ39" s="346">
        <v>-72.16</v>
      </c>
      <c r="BR39" s="346">
        <v>-78.319999999999993</v>
      </c>
      <c r="BS39" s="346">
        <v>208.91</v>
      </c>
      <c r="BT39" s="346">
        <v>-324.19</v>
      </c>
      <c r="BU39" s="346">
        <v>-9.2100000000000009</v>
      </c>
      <c r="BV39" s="346">
        <v>-72.930000000000007</v>
      </c>
      <c r="BW39" s="346">
        <v>113.76</v>
      </c>
      <c r="BX39" s="346">
        <v>12.21</v>
      </c>
      <c r="BY39" s="346">
        <v>0</v>
      </c>
      <c r="BZ39" s="346">
        <v>-141.37</v>
      </c>
      <c r="CA39" s="346">
        <v>-51.59</v>
      </c>
      <c r="CB39" s="346">
        <v>190.08</v>
      </c>
      <c r="CC39" s="346">
        <v>-297.32</v>
      </c>
      <c r="CD39" s="346">
        <v>-5.62</v>
      </c>
      <c r="CE39" s="346">
        <v>-88.05</v>
      </c>
      <c r="CF39" s="346">
        <v>78.89</v>
      </c>
      <c r="CG39" s="346">
        <v>60.28</v>
      </c>
      <c r="CH39" s="346">
        <v>6.76</v>
      </c>
      <c r="CI39" s="346">
        <v>28.2</v>
      </c>
      <c r="CJ39" s="346">
        <v>15.13</v>
      </c>
      <c r="CK39" s="346">
        <v>70.849999999999994</v>
      </c>
      <c r="CL39" s="346">
        <v>60.56</v>
      </c>
      <c r="CM39" s="346">
        <v>11.39</v>
      </c>
      <c r="CN39" s="346">
        <v>70.540000000000006</v>
      </c>
      <c r="CO39" s="346">
        <v>13.69</v>
      </c>
      <c r="CP39" s="346">
        <v>0.28999999999999998</v>
      </c>
      <c r="CQ39" s="346">
        <v>-1280.96</v>
      </c>
      <c r="CR39" s="346">
        <v>-4.8499999999999996</v>
      </c>
      <c r="CS39" s="346">
        <v>-9.44</v>
      </c>
      <c r="CT39" s="346">
        <v>77.58</v>
      </c>
      <c r="CU39" s="346">
        <v>18.11</v>
      </c>
      <c r="CV39" s="346">
        <v>-6.41</v>
      </c>
      <c r="CW39" s="346">
        <v>292802707.06999999</v>
      </c>
    </row>
    <row r="40" spans="1:101" x14ac:dyDescent="0.25">
      <c r="A40" s="346" t="str">
        <f>VLOOKUP(B40,'Loan Book Summary'!C:G,5,FALSE)</f>
        <v>0014I00001oIXfG</v>
      </c>
      <c r="B40" s="346">
        <v>1100000276</v>
      </c>
      <c r="C40" s="346" t="s">
        <v>1889</v>
      </c>
      <c r="D40" s="346" t="s">
        <v>1889</v>
      </c>
      <c r="E40" s="346">
        <v>2022</v>
      </c>
      <c r="F40" s="346">
        <v>6</v>
      </c>
      <c r="G40" s="346">
        <v>50</v>
      </c>
      <c r="H40" s="346">
        <v>3.6782900000000001</v>
      </c>
      <c r="I40" s="346">
        <v>3.6782900000000001</v>
      </c>
      <c r="J40" s="346">
        <v>25404.77248</v>
      </c>
      <c r="K40" s="346">
        <v>25542.656360000001</v>
      </c>
      <c r="L40" s="346">
        <v>3811.3322600000001</v>
      </c>
      <c r="M40" s="346" t="s">
        <v>1889</v>
      </c>
      <c r="N40" s="346">
        <v>10154.86976</v>
      </c>
      <c r="O40" s="346">
        <v>10154.86976</v>
      </c>
      <c r="P40" s="346">
        <v>27661.724460000001</v>
      </c>
      <c r="Q40" s="346">
        <v>6483.9156089999997</v>
      </c>
      <c r="R40" s="346">
        <v>5154.6220469999998</v>
      </c>
      <c r="S40" s="346">
        <v>347.52430029999999</v>
      </c>
      <c r="T40" s="346">
        <v>2278.4022359999999</v>
      </c>
      <c r="U40" s="346">
        <v>-918.42409169999996</v>
      </c>
      <c r="V40" s="346">
        <v>-3196.8263280000001</v>
      </c>
      <c r="W40" s="346">
        <v>-3827.04846</v>
      </c>
      <c r="X40" s="346" t="s">
        <v>101</v>
      </c>
      <c r="Y40" s="346">
        <v>55100</v>
      </c>
      <c r="Z40" s="346">
        <v>5</v>
      </c>
      <c r="AA40" s="346" t="s">
        <v>996</v>
      </c>
      <c r="AB40" s="346" t="s">
        <v>118</v>
      </c>
      <c r="AC40" s="346" t="s">
        <v>119</v>
      </c>
      <c r="AD40" s="347">
        <v>0.94389999999999996</v>
      </c>
      <c r="AE40" s="347">
        <v>0.91369999999999996</v>
      </c>
      <c r="AF40" s="346">
        <v>9.49</v>
      </c>
      <c r="AG40" s="346">
        <v>13.52</v>
      </c>
      <c r="AH40" s="346">
        <v>16.57</v>
      </c>
      <c r="AI40" s="346">
        <v>19.09</v>
      </c>
      <c r="AJ40" s="346">
        <v>21.26</v>
      </c>
      <c r="AK40" s="347">
        <v>9.4899999999999998E-2</v>
      </c>
      <c r="AL40" s="347">
        <v>4.4600000000000001E-2</v>
      </c>
      <c r="AM40" s="347">
        <v>3.5200000000000002E-2</v>
      </c>
      <c r="AN40" s="347">
        <v>3.0200000000000001E-2</v>
      </c>
      <c r="AO40" s="347">
        <v>2.69E-2</v>
      </c>
      <c r="AP40" s="347">
        <v>9.4899999999999998E-2</v>
      </c>
      <c r="AQ40" s="347">
        <v>7.0099999999999996E-2</v>
      </c>
      <c r="AR40" s="347">
        <v>5.8599999999999999E-2</v>
      </c>
      <c r="AS40" s="347">
        <v>5.16E-2</v>
      </c>
      <c r="AT40" s="347">
        <v>4.6699999999999998E-2</v>
      </c>
      <c r="AU40" s="347">
        <v>0.21260000000000001</v>
      </c>
      <c r="AV40" s="346">
        <v>13.75</v>
      </c>
      <c r="AW40" s="346">
        <v>-2.92</v>
      </c>
      <c r="AX40" s="346">
        <v>15.62</v>
      </c>
      <c r="AY40" s="346">
        <v>0.64</v>
      </c>
      <c r="AZ40" s="346">
        <v>-5.3</v>
      </c>
      <c r="BA40" s="346">
        <v>24.46</v>
      </c>
      <c r="BB40" s="346">
        <v>14.09</v>
      </c>
      <c r="BC40" s="346">
        <v>13.2</v>
      </c>
      <c r="BD40" s="346">
        <v>-10.029999999999999</v>
      </c>
      <c r="BE40" s="346">
        <v>16.68</v>
      </c>
      <c r="BF40" s="346">
        <v>-2.11</v>
      </c>
      <c r="BG40" s="346">
        <v>10.42</v>
      </c>
      <c r="BH40" s="346">
        <v>1.57</v>
      </c>
      <c r="BI40" s="346">
        <v>-4.46</v>
      </c>
      <c r="BJ40" s="346">
        <v>24.67</v>
      </c>
      <c r="BK40" s="346">
        <v>13.84</v>
      </c>
      <c r="BL40" s="346">
        <v>10.6</v>
      </c>
      <c r="BM40" s="346">
        <v>-15.66</v>
      </c>
      <c r="BN40" s="346">
        <v>0</v>
      </c>
      <c r="BO40" s="346">
        <v>2.14</v>
      </c>
      <c r="BP40" s="346">
        <v>-306.61</v>
      </c>
      <c r="BQ40" s="346">
        <v>51.2</v>
      </c>
      <c r="BR40" s="346">
        <v>17.7</v>
      </c>
      <c r="BS40" s="346">
        <v>108.09</v>
      </c>
      <c r="BT40" s="346">
        <v>-395.64</v>
      </c>
      <c r="BU40" s="346">
        <v>-0.22</v>
      </c>
      <c r="BV40" s="346">
        <v>-18.39</v>
      </c>
      <c r="BW40" s="346">
        <v>0</v>
      </c>
      <c r="BX40" s="346">
        <v>0.88</v>
      </c>
      <c r="BY40" s="346">
        <v>-216.92</v>
      </c>
      <c r="BZ40" s="346">
        <v>107.67</v>
      </c>
      <c r="CA40" s="346">
        <v>8.42</v>
      </c>
      <c r="CB40" s="346">
        <v>90.43</v>
      </c>
      <c r="CC40" s="346">
        <v>-459.41</v>
      </c>
      <c r="CD40" s="346">
        <v>-0.1</v>
      </c>
      <c r="CE40" s="346">
        <v>-16.16</v>
      </c>
      <c r="CF40" s="346">
        <v>100</v>
      </c>
      <c r="CG40" s="346">
        <v>49.87</v>
      </c>
      <c r="CH40" s="346">
        <v>16.260000000000002</v>
      </c>
      <c r="CI40" s="346">
        <v>83.27</v>
      </c>
      <c r="CJ40" s="346">
        <v>66.849999999999994</v>
      </c>
      <c r="CK40" s="346">
        <v>96.82</v>
      </c>
      <c r="CL40" s="346">
        <v>27.6</v>
      </c>
      <c r="CM40" s="346">
        <v>4</v>
      </c>
      <c r="CN40" s="346">
        <v>94.04</v>
      </c>
      <c r="CO40" s="346">
        <v>58.78</v>
      </c>
      <c r="CP40" s="346">
        <v>-0.01</v>
      </c>
      <c r="CQ40" s="346">
        <v>-25.06</v>
      </c>
      <c r="CR40" s="346">
        <v>25.79</v>
      </c>
      <c r="CS40" s="346">
        <v>1.73</v>
      </c>
      <c r="CT40" s="346">
        <v>106.35</v>
      </c>
      <c r="CU40" s="346">
        <v>0.49</v>
      </c>
      <c r="CV40" s="346">
        <v>-49.3</v>
      </c>
      <c r="CW40" s="346">
        <v>1818366642.76</v>
      </c>
    </row>
    <row r="41" spans="1:101" x14ac:dyDescent="0.25">
      <c r="A41" s="346" t="str">
        <f>VLOOKUP(B41,'Loan Book Summary'!C:G,5,FALSE)</f>
        <v>0015800001cfgV5</v>
      </c>
      <c r="B41" s="346">
        <v>1200000144</v>
      </c>
      <c r="C41" s="346" t="s">
        <v>1889</v>
      </c>
      <c r="D41" s="346" t="s">
        <v>1889</v>
      </c>
      <c r="E41" s="346">
        <v>2022</v>
      </c>
      <c r="F41" s="346">
        <v>6</v>
      </c>
      <c r="G41" s="346">
        <v>56.790955539999999</v>
      </c>
      <c r="H41" s="346">
        <v>79.655879999999996</v>
      </c>
      <c r="I41" s="346">
        <v>79.655879999999996</v>
      </c>
      <c r="J41" s="346">
        <v>5022.7449120000001</v>
      </c>
      <c r="K41" s="346">
        <v>5269.9344279999996</v>
      </c>
      <c r="L41" s="346">
        <v>417.99977999999999</v>
      </c>
      <c r="M41" s="346" t="s">
        <v>1889</v>
      </c>
      <c r="N41" s="346">
        <v>515.41467999999998</v>
      </c>
      <c r="O41" s="346">
        <v>521.24098000000004</v>
      </c>
      <c r="P41" s="346">
        <v>1870.722755</v>
      </c>
      <c r="Q41" s="346">
        <v>2047.601314</v>
      </c>
      <c r="R41" s="346">
        <v>1942.9085379999999</v>
      </c>
      <c r="S41" s="346">
        <v>278.89252140000002</v>
      </c>
      <c r="T41" s="346">
        <v>51.98369108</v>
      </c>
      <c r="U41" s="346">
        <v>-140.9867725</v>
      </c>
      <c r="V41" s="346">
        <v>-192.97046349999999</v>
      </c>
      <c r="W41" s="346">
        <v>-107.06959980000001</v>
      </c>
      <c r="X41" s="346" t="s">
        <v>101</v>
      </c>
      <c r="Y41" s="346">
        <v>55100</v>
      </c>
      <c r="Z41" s="346">
        <v>5</v>
      </c>
      <c r="AA41" s="346" t="s">
        <v>996</v>
      </c>
      <c r="AB41" s="346" t="s">
        <v>104</v>
      </c>
      <c r="AC41" s="346" t="s">
        <v>105</v>
      </c>
      <c r="AD41" s="347">
        <v>0.62339999999999995</v>
      </c>
      <c r="AE41" s="347">
        <v>0.5524</v>
      </c>
      <c r="AF41" s="346">
        <v>1.65</v>
      </c>
      <c r="AG41" s="346">
        <v>3.09</v>
      </c>
      <c r="AH41" s="346">
        <v>4.43</v>
      </c>
      <c r="AI41" s="346">
        <v>5.72</v>
      </c>
      <c r="AJ41" s="346">
        <v>6.96</v>
      </c>
      <c r="AK41" s="347">
        <v>1.6500000000000001E-2</v>
      </c>
      <c r="AL41" s="347">
        <v>1.46E-2</v>
      </c>
      <c r="AM41" s="347">
        <v>1.3899999999999999E-2</v>
      </c>
      <c r="AN41" s="347">
        <v>1.35E-2</v>
      </c>
      <c r="AO41" s="347">
        <v>1.32E-2</v>
      </c>
      <c r="AP41" s="347">
        <v>1.6500000000000001E-2</v>
      </c>
      <c r="AQ41" s="347">
        <v>1.55E-2</v>
      </c>
      <c r="AR41" s="347">
        <v>1.4999999999999999E-2</v>
      </c>
      <c r="AS41" s="347">
        <v>1.46E-2</v>
      </c>
      <c r="AT41" s="347">
        <v>1.43E-2</v>
      </c>
      <c r="AU41" s="347">
        <v>6.9599999999999995E-2</v>
      </c>
      <c r="AV41" s="346">
        <v>22.96</v>
      </c>
      <c r="AW41" s="346">
        <v>-5.0199999999999996</v>
      </c>
      <c r="AX41" s="346">
        <v>13.09</v>
      </c>
      <c r="AY41" s="346">
        <v>-5.96</v>
      </c>
      <c r="AZ41" s="346">
        <v>-6.63</v>
      </c>
      <c r="BA41" s="346">
        <v>-19.89</v>
      </c>
      <c r="BB41" s="346">
        <v>2.41</v>
      </c>
      <c r="BC41" s="346">
        <v>22.31</v>
      </c>
      <c r="BD41" s="346">
        <v>-1.73</v>
      </c>
      <c r="BE41" s="346">
        <v>26.94</v>
      </c>
      <c r="BF41" s="346">
        <v>-3.51</v>
      </c>
      <c r="BG41" s="346">
        <v>8.44</v>
      </c>
      <c r="BH41" s="346">
        <v>-14.07</v>
      </c>
      <c r="BI41" s="346">
        <v>-5.4</v>
      </c>
      <c r="BJ41" s="346">
        <v>-19.399999999999999</v>
      </c>
      <c r="BK41" s="346">
        <v>2.29</v>
      </c>
      <c r="BL41" s="346">
        <v>17.32</v>
      </c>
      <c r="BM41" s="346">
        <v>-2.62</v>
      </c>
      <c r="BN41" s="346">
        <v>28.57</v>
      </c>
      <c r="BO41" s="346">
        <v>-5.18</v>
      </c>
      <c r="BP41" s="346">
        <v>-312.97000000000003</v>
      </c>
      <c r="BQ41" s="346">
        <v>-1.42</v>
      </c>
      <c r="BR41" s="346">
        <v>-70.06</v>
      </c>
      <c r="BS41" s="346">
        <v>37.32</v>
      </c>
      <c r="BT41" s="346">
        <v>-337.62</v>
      </c>
      <c r="BU41" s="346">
        <v>-1.94</v>
      </c>
      <c r="BV41" s="346">
        <v>-104.92</v>
      </c>
      <c r="BW41" s="346">
        <v>35.950000000000003</v>
      </c>
      <c r="BX41" s="346">
        <v>-3.87</v>
      </c>
      <c r="BY41" s="346">
        <v>-221.52</v>
      </c>
      <c r="BZ41" s="346">
        <v>-3.61</v>
      </c>
      <c r="CA41" s="346">
        <v>-61.11</v>
      </c>
      <c r="CB41" s="346">
        <v>38.89</v>
      </c>
      <c r="CC41" s="346">
        <v>-359.15</v>
      </c>
      <c r="CD41" s="346">
        <v>-1.61</v>
      </c>
      <c r="CE41" s="346">
        <v>-174.29</v>
      </c>
      <c r="CF41" s="346">
        <v>92.65</v>
      </c>
      <c r="CG41" s="346">
        <v>46.03</v>
      </c>
      <c r="CH41" s="346">
        <v>34.479999999999997</v>
      </c>
      <c r="CI41" s="346">
        <v>52.4</v>
      </c>
      <c r="CJ41" s="346">
        <v>39.799999999999997</v>
      </c>
      <c r="CK41" s="346">
        <v>27.45</v>
      </c>
      <c r="CL41" s="346">
        <v>53.31</v>
      </c>
      <c r="CM41" s="346">
        <v>9.43</v>
      </c>
      <c r="CN41" s="346">
        <v>69.819999999999993</v>
      </c>
      <c r="CO41" s="346">
        <v>20.41</v>
      </c>
      <c r="CP41" s="346">
        <v>-0.21</v>
      </c>
      <c r="CQ41" s="346">
        <v>265.29000000000002</v>
      </c>
      <c r="CR41" s="346">
        <v>5.39</v>
      </c>
      <c r="CS41" s="346">
        <v>-1.64</v>
      </c>
      <c r="CT41" s="346">
        <v>43.09</v>
      </c>
      <c r="CU41" s="346">
        <v>11.02</v>
      </c>
      <c r="CV41" s="346">
        <v>-9.42</v>
      </c>
      <c r="CW41" s="346">
        <v>283197581.01999998</v>
      </c>
    </row>
    <row r="42" spans="1:101" x14ac:dyDescent="0.25">
      <c r="A42" s="346" t="str">
        <f>VLOOKUP(B42,'Loan Book Summary'!C:G,5,FALSE)</f>
        <v>0014I00001or3M2</v>
      </c>
      <c r="B42" s="346">
        <v>1100000005</v>
      </c>
      <c r="C42" s="346" t="s">
        <v>1889</v>
      </c>
      <c r="D42" s="346" t="s">
        <v>1889</v>
      </c>
      <c r="E42" s="346">
        <v>2022</v>
      </c>
      <c r="F42" s="346">
        <v>6</v>
      </c>
      <c r="G42" s="346">
        <v>61.874848210000003</v>
      </c>
      <c r="H42" s="346" t="s">
        <v>1889</v>
      </c>
      <c r="I42" s="346" t="s">
        <v>1889</v>
      </c>
      <c r="J42" s="346">
        <v>7593.4145410000001</v>
      </c>
      <c r="K42" s="346">
        <v>7703.2801939999999</v>
      </c>
      <c r="L42" s="346">
        <v>-11.66666667</v>
      </c>
      <c r="M42" s="346" t="s">
        <v>1889</v>
      </c>
      <c r="N42" s="346">
        <v>-11.66666667</v>
      </c>
      <c r="O42" s="346">
        <v>-11.66666667</v>
      </c>
      <c r="P42" s="346">
        <v>2075.6397860000002</v>
      </c>
      <c r="Q42" s="346">
        <v>444.6475433</v>
      </c>
      <c r="R42" s="346">
        <v>356.50184560000002</v>
      </c>
      <c r="S42" s="346">
        <v>147.7672724</v>
      </c>
      <c r="T42" s="346">
        <v>100.9169369</v>
      </c>
      <c r="U42" s="346">
        <v>36.255110389999999</v>
      </c>
      <c r="V42" s="346">
        <v>-64.661826509999997</v>
      </c>
      <c r="W42" s="346">
        <v>-143.36477099999999</v>
      </c>
      <c r="X42" s="346" t="s">
        <v>101</v>
      </c>
      <c r="Y42" s="346">
        <v>87200</v>
      </c>
      <c r="Z42" s="346">
        <v>5</v>
      </c>
      <c r="AA42" s="346" t="s">
        <v>996</v>
      </c>
      <c r="AB42" s="346" t="s">
        <v>110</v>
      </c>
      <c r="AC42" s="346" t="s">
        <v>114</v>
      </c>
      <c r="AD42" s="347">
        <v>0.37540000000000001</v>
      </c>
      <c r="AE42" s="347">
        <v>0.24079999999999999</v>
      </c>
      <c r="AF42" s="346">
        <v>0.75</v>
      </c>
      <c r="AG42" s="346">
        <v>1.39</v>
      </c>
      <c r="AH42" s="346">
        <v>2</v>
      </c>
      <c r="AI42" s="346">
        <v>2.58</v>
      </c>
      <c r="AJ42" s="346">
        <v>3.15</v>
      </c>
      <c r="AK42" s="347">
        <v>7.4999999999999997E-3</v>
      </c>
      <c r="AL42" s="347">
        <v>6.4999999999999997E-3</v>
      </c>
      <c r="AM42" s="347">
        <v>6.1999999999999998E-3</v>
      </c>
      <c r="AN42" s="347">
        <v>5.8999999999999999E-3</v>
      </c>
      <c r="AO42" s="347">
        <v>5.7999999999999996E-3</v>
      </c>
      <c r="AP42" s="347">
        <v>7.4999999999999997E-3</v>
      </c>
      <c r="AQ42" s="347">
        <v>7.0000000000000001E-3</v>
      </c>
      <c r="AR42" s="347">
        <v>6.7000000000000002E-3</v>
      </c>
      <c r="AS42" s="347">
        <v>6.4999999999999997E-3</v>
      </c>
      <c r="AT42" s="347">
        <v>6.4000000000000003E-3</v>
      </c>
      <c r="AU42" s="347">
        <v>3.15E-2</v>
      </c>
      <c r="AV42" s="346">
        <v>-24.64</v>
      </c>
      <c r="AW42" s="346" t="s">
        <v>1889</v>
      </c>
      <c r="AX42" s="346">
        <v>18.29</v>
      </c>
      <c r="AY42" s="346">
        <v>1.07</v>
      </c>
      <c r="AZ42" s="346">
        <v>-9.4499999999999993</v>
      </c>
      <c r="BA42" s="346">
        <v>-22.02</v>
      </c>
      <c r="BB42" s="346" t="s">
        <v>1889</v>
      </c>
      <c r="BC42" s="346">
        <v>21.31</v>
      </c>
      <c r="BD42" s="346">
        <v>-3.22</v>
      </c>
      <c r="BE42" s="346">
        <v>-30.82</v>
      </c>
      <c r="BF42" s="346" t="s">
        <v>1889</v>
      </c>
      <c r="BG42" s="346">
        <v>12.57</v>
      </c>
      <c r="BH42" s="346">
        <v>2.7</v>
      </c>
      <c r="BI42" s="346">
        <v>-8.1999999999999993</v>
      </c>
      <c r="BJ42" s="346">
        <v>-22.9</v>
      </c>
      <c r="BK42" s="346" t="s">
        <v>1889</v>
      </c>
      <c r="BL42" s="346">
        <v>17.64</v>
      </c>
      <c r="BM42" s="346">
        <v>-5.18</v>
      </c>
      <c r="BN42" s="346">
        <v>242.11</v>
      </c>
      <c r="BO42" s="346">
        <v>0</v>
      </c>
      <c r="BP42" s="346">
        <v>-340.47</v>
      </c>
      <c r="BQ42" s="346">
        <v>53.27</v>
      </c>
      <c r="BR42" s="346">
        <v>-7.08</v>
      </c>
      <c r="BS42" s="346">
        <v>12.39</v>
      </c>
      <c r="BT42" s="346">
        <v>0</v>
      </c>
      <c r="BU42" s="346">
        <v>-0.66</v>
      </c>
      <c r="BV42" s="346">
        <v>-44.01</v>
      </c>
      <c r="BW42" s="346">
        <v>282.8</v>
      </c>
      <c r="BX42" s="346">
        <v>0</v>
      </c>
      <c r="BY42" s="346">
        <v>-213.56</v>
      </c>
      <c r="BZ42" s="346">
        <v>124.15</v>
      </c>
      <c r="CA42" s="346">
        <v>-5.51</v>
      </c>
      <c r="CB42" s="346">
        <v>11.36</v>
      </c>
      <c r="CC42" s="346">
        <v>0</v>
      </c>
      <c r="CD42" s="346">
        <v>-0.49</v>
      </c>
      <c r="CE42" s="346">
        <v>-62.13</v>
      </c>
      <c r="CF42" s="346">
        <v>2</v>
      </c>
      <c r="CG42" s="346" t="s">
        <v>1889</v>
      </c>
      <c r="CH42" s="346">
        <v>28.28</v>
      </c>
      <c r="CI42" s="346">
        <v>82.44</v>
      </c>
      <c r="CJ42" s="346">
        <v>61.9</v>
      </c>
      <c r="CK42" s="346">
        <v>14.16</v>
      </c>
      <c r="CL42" s="346" t="s">
        <v>1889</v>
      </c>
      <c r="CM42" s="346">
        <v>7.53</v>
      </c>
      <c r="CN42" s="346">
        <v>76.27</v>
      </c>
      <c r="CO42" s="346">
        <v>-2.62</v>
      </c>
      <c r="CP42" s="346" t="s">
        <v>1889</v>
      </c>
      <c r="CQ42" s="346">
        <v>182.35</v>
      </c>
      <c r="CR42" s="346">
        <v>24.73</v>
      </c>
      <c r="CS42" s="346">
        <v>1.01</v>
      </c>
      <c r="CT42" s="346">
        <v>27.22</v>
      </c>
      <c r="CU42" s="346" t="s">
        <v>1889</v>
      </c>
      <c r="CV42" s="346">
        <v>-14.54</v>
      </c>
      <c r="CW42" s="346">
        <v>387697866.45999998</v>
      </c>
    </row>
    <row r="43" spans="1:101" x14ac:dyDescent="0.25">
      <c r="A43" s="346" t="str">
        <f>VLOOKUP(B43,'Loan Book Summary'!C:G,5,FALSE)</f>
        <v>0015800000me5DQ</v>
      </c>
      <c r="B43" s="346">
        <v>1100000145</v>
      </c>
      <c r="C43" s="346" t="s">
        <v>1889</v>
      </c>
      <c r="D43" s="346" t="s">
        <v>1889</v>
      </c>
      <c r="E43" s="346">
        <v>2022</v>
      </c>
      <c r="F43" s="346">
        <v>6</v>
      </c>
      <c r="G43" s="346">
        <v>50</v>
      </c>
      <c r="H43" s="346">
        <v>46.596179999999997</v>
      </c>
      <c r="I43" s="346">
        <v>46.596179999999997</v>
      </c>
      <c r="J43" s="346">
        <v>40110.852959999997</v>
      </c>
      <c r="K43" s="346">
        <v>41106.617380000003</v>
      </c>
      <c r="L43" s="346">
        <v>4779.25</v>
      </c>
      <c r="M43" s="346" t="s">
        <v>1889</v>
      </c>
      <c r="N43" s="346">
        <v>10916.10986</v>
      </c>
      <c r="O43" s="346">
        <v>12049.44319</v>
      </c>
      <c r="P43" s="346">
        <v>75117.393840000004</v>
      </c>
      <c r="Q43" s="346">
        <v>14019.614310000001</v>
      </c>
      <c r="R43" s="346">
        <v>11240.404790000001</v>
      </c>
      <c r="S43" s="346">
        <v>2658.891678</v>
      </c>
      <c r="T43" s="346">
        <v>5542.3158199999998</v>
      </c>
      <c r="U43" s="346">
        <v>-1507.1833529999999</v>
      </c>
      <c r="V43" s="346">
        <v>-7049.4991739999996</v>
      </c>
      <c r="W43" s="346">
        <v>-9458.0986130000001</v>
      </c>
      <c r="X43" s="346" t="s">
        <v>101</v>
      </c>
      <c r="Y43" s="346">
        <v>55110</v>
      </c>
      <c r="Z43" s="346">
        <v>5</v>
      </c>
      <c r="AA43" s="346" t="s">
        <v>996</v>
      </c>
      <c r="AB43" s="346" t="s">
        <v>118</v>
      </c>
      <c r="AC43" s="346" t="s">
        <v>118</v>
      </c>
      <c r="AD43" s="347">
        <v>0.95130000000000003</v>
      </c>
      <c r="AE43" s="347">
        <v>0.92410000000000003</v>
      </c>
      <c r="AF43" s="346">
        <v>10.35</v>
      </c>
      <c r="AG43" s="346">
        <v>14.66</v>
      </c>
      <c r="AH43" s="346">
        <v>17.89</v>
      </c>
      <c r="AI43" s="346">
        <v>20.55</v>
      </c>
      <c r="AJ43" s="346">
        <v>22.84</v>
      </c>
      <c r="AK43" s="347">
        <v>0.10349999999999999</v>
      </c>
      <c r="AL43" s="347">
        <v>4.8099999999999997E-2</v>
      </c>
      <c r="AM43" s="347">
        <v>3.78E-2</v>
      </c>
      <c r="AN43" s="347">
        <v>3.2399999999999998E-2</v>
      </c>
      <c r="AO43" s="347">
        <v>2.8899999999999999E-2</v>
      </c>
      <c r="AP43" s="347">
        <v>0.10349999999999999</v>
      </c>
      <c r="AQ43" s="347">
        <v>7.6200000000000004E-2</v>
      </c>
      <c r="AR43" s="347">
        <v>6.3600000000000004E-2</v>
      </c>
      <c r="AS43" s="347">
        <v>5.5899999999999998E-2</v>
      </c>
      <c r="AT43" s="347">
        <v>5.0500000000000003E-2</v>
      </c>
      <c r="AU43" s="347">
        <v>0.22839999999999999</v>
      </c>
      <c r="AV43" s="346">
        <v>13.58</v>
      </c>
      <c r="AW43" s="346">
        <v>-2.88</v>
      </c>
      <c r="AX43" s="346">
        <v>14.97</v>
      </c>
      <c r="AY43" s="346">
        <v>0.64</v>
      </c>
      <c r="AZ43" s="346">
        <v>-3.83</v>
      </c>
      <c r="BA43" s="346">
        <v>27.23</v>
      </c>
      <c r="BB43" s="346">
        <v>13.92</v>
      </c>
      <c r="BC43" s="346">
        <v>13.05</v>
      </c>
      <c r="BD43" s="346">
        <v>-9.91</v>
      </c>
      <c r="BE43" s="346">
        <v>16.41</v>
      </c>
      <c r="BF43" s="346">
        <v>-2.08</v>
      </c>
      <c r="BG43" s="346">
        <v>9.94</v>
      </c>
      <c r="BH43" s="346">
        <v>1.54</v>
      </c>
      <c r="BI43" s="346">
        <v>-3.21</v>
      </c>
      <c r="BJ43" s="346">
        <v>27.35</v>
      </c>
      <c r="BK43" s="346">
        <v>13.62</v>
      </c>
      <c r="BL43" s="346">
        <v>10.43</v>
      </c>
      <c r="BM43" s="346">
        <v>-15.41</v>
      </c>
      <c r="BN43" s="346">
        <v>0</v>
      </c>
      <c r="BO43" s="346">
        <v>2.4300000000000002</v>
      </c>
      <c r="BP43" s="346">
        <v>-325</v>
      </c>
      <c r="BQ43" s="346">
        <v>54.31</v>
      </c>
      <c r="BR43" s="346">
        <v>54.78</v>
      </c>
      <c r="BS43" s="346">
        <v>11.69</v>
      </c>
      <c r="BT43" s="346">
        <v>-431.33</v>
      </c>
      <c r="BU43" s="346">
        <v>-0.25</v>
      </c>
      <c r="BV43" s="346">
        <v>-20.2</v>
      </c>
      <c r="BW43" s="346">
        <v>0</v>
      </c>
      <c r="BX43" s="346">
        <v>2.14</v>
      </c>
      <c r="BY43" s="346">
        <v>-221.79</v>
      </c>
      <c r="BZ43" s="346">
        <v>131.9</v>
      </c>
      <c r="CA43" s="346">
        <v>53.97</v>
      </c>
      <c r="CB43" s="346">
        <v>14.75</v>
      </c>
      <c r="CC43" s="346">
        <v>-436.36</v>
      </c>
      <c r="CD43" s="346">
        <v>-0.24</v>
      </c>
      <c r="CE43" s="346">
        <v>-38.869999999999997</v>
      </c>
      <c r="CF43" s="346">
        <v>98.58</v>
      </c>
      <c r="CG43" s="346">
        <v>48.39</v>
      </c>
      <c r="CH43" s="346">
        <v>18.03</v>
      </c>
      <c r="CI43" s="346">
        <v>82.44</v>
      </c>
      <c r="CJ43" s="346">
        <v>77.62</v>
      </c>
      <c r="CK43" s="346">
        <v>100</v>
      </c>
      <c r="CL43" s="346">
        <v>27.18</v>
      </c>
      <c r="CM43" s="346">
        <v>4</v>
      </c>
      <c r="CN43" s="346">
        <v>95.93</v>
      </c>
      <c r="CO43" s="346">
        <v>34.090000000000003</v>
      </c>
      <c r="CP43" s="346">
        <v>-0.08</v>
      </c>
      <c r="CQ43" s="346">
        <v>20.78</v>
      </c>
      <c r="CR43" s="346">
        <v>24.73</v>
      </c>
      <c r="CS43" s="346">
        <v>3.98</v>
      </c>
      <c r="CT43" s="346">
        <v>168.6</v>
      </c>
      <c r="CU43" s="346">
        <v>0.46</v>
      </c>
      <c r="CV43" s="346">
        <v>-50.28</v>
      </c>
      <c r="CW43" s="346">
        <v>2609298666.3699999</v>
      </c>
    </row>
    <row r="44" spans="1:101" x14ac:dyDescent="0.25">
      <c r="A44" s="346" t="str">
        <f>VLOOKUP(B44,'Loan Book Summary'!C:G,5,FALSE)</f>
        <v>0015800001Eo5rw</v>
      </c>
      <c r="B44" s="346">
        <v>1100000168</v>
      </c>
      <c r="C44" s="346" t="s">
        <v>1889</v>
      </c>
      <c r="D44" s="346" t="s">
        <v>1889</v>
      </c>
      <c r="E44" s="346">
        <v>2022</v>
      </c>
      <c r="F44" s="346">
        <v>6</v>
      </c>
      <c r="G44" s="346">
        <v>50</v>
      </c>
      <c r="H44" s="346">
        <v>46.596179999999997</v>
      </c>
      <c r="I44" s="346">
        <v>46.596179999999997</v>
      </c>
      <c r="J44" s="346">
        <v>40110.852959999997</v>
      </c>
      <c r="K44" s="346">
        <v>41106.617380000003</v>
      </c>
      <c r="L44" s="346">
        <v>4779.25</v>
      </c>
      <c r="M44" s="346" t="s">
        <v>1889</v>
      </c>
      <c r="N44" s="346">
        <v>10916.10986</v>
      </c>
      <c r="O44" s="346">
        <v>12049.44319</v>
      </c>
      <c r="P44" s="346">
        <v>75117.393840000004</v>
      </c>
      <c r="Q44" s="346">
        <v>14019.614310000001</v>
      </c>
      <c r="R44" s="346">
        <v>11240.404790000001</v>
      </c>
      <c r="S44" s="346">
        <v>2658.891678</v>
      </c>
      <c r="T44" s="346">
        <v>5542.3158199999998</v>
      </c>
      <c r="U44" s="346">
        <v>-1507.1833529999999</v>
      </c>
      <c r="V44" s="346">
        <v>-7049.4991739999996</v>
      </c>
      <c r="W44" s="346">
        <v>-9458.0986130000001</v>
      </c>
      <c r="X44" s="346" t="s">
        <v>101</v>
      </c>
      <c r="Y44" s="346">
        <v>55110</v>
      </c>
      <c r="Z44" s="346">
        <v>5</v>
      </c>
      <c r="AA44" s="346" t="s">
        <v>996</v>
      </c>
      <c r="AB44" s="346" t="s">
        <v>118</v>
      </c>
      <c r="AC44" s="346" t="s">
        <v>118</v>
      </c>
      <c r="AD44" s="347">
        <v>0.95130000000000003</v>
      </c>
      <c r="AE44" s="347">
        <v>0.92410000000000003</v>
      </c>
      <c r="AF44" s="346">
        <v>10.35</v>
      </c>
      <c r="AG44" s="346">
        <v>14.66</v>
      </c>
      <c r="AH44" s="346">
        <v>17.89</v>
      </c>
      <c r="AI44" s="346">
        <v>20.55</v>
      </c>
      <c r="AJ44" s="346">
        <v>22.84</v>
      </c>
      <c r="AK44" s="347">
        <v>0.10349999999999999</v>
      </c>
      <c r="AL44" s="347">
        <v>4.8099999999999997E-2</v>
      </c>
      <c r="AM44" s="347">
        <v>3.78E-2</v>
      </c>
      <c r="AN44" s="347">
        <v>3.2399999999999998E-2</v>
      </c>
      <c r="AO44" s="347">
        <v>2.8899999999999999E-2</v>
      </c>
      <c r="AP44" s="347">
        <v>0.10349999999999999</v>
      </c>
      <c r="AQ44" s="347">
        <v>7.6200000000000004E-2</v>
      </c>
      <c r="AR44" s="347">
        <v>6.3600000000000004E-2</v>
      </c>
      <c r="AS44" s="347">
        <v>5.5899999999999998E-2</v>
      </c>
      <c r="AT44" s="347">
        <v>5.0500000000000003E-2</v>
      </c>
      <c r="AU44" s="347">
        <v>0.22839999999999999</v>
      </c>
      <c r="AV44" s="346">
        <v>13.58</v>
      </c>
      <c r="AW44" s="346">
        <v>-2.88</v>
      </c>
      <c r="AX44" s="346">
        <v>14.97</v>
      </c>
      <c r="AY44" s="346">
        <v>0.64</v>
      </c>
      <c r="AZ44" s="346">
        <v>-3.83</v>
      </c>
      <c r="BA44" s="346">
        <v>27.23</v>
      </c>
      <c r="BB44" s="346">
        <v>13.92</v>
      </c>
      <c r="BC44" s="346">
        <v>13.05</v>
      </c>
      <c r="BD44" s="346">
        <v>-9.91</v>
      </c>
      <c r="BE44" s="346">
        <v>16.41</v>
      </c>
      <c r="BF44" s="346">
        <v>-2.08</v>
      </c>
      <c r="BG44" s="346">
        <v>9.94</v>
      </c>
      <c r="BH44" s="346">
        <v>1.54</v>
      </c>
      <c r="BI44" s="346">
        <v>-3.21</v>
      </c>
      <c r="BJ44" s="346">
        <v>27.35</v>
      </c>
      <c r="BK44" s="346">
        <v>13.62</v>
      </c>
      <c r="BL44" s="346">
        <v>10.43</v>
      </c>
      <c r="BM44" s="346">
        <v>-15.41</v>
      </c>
      <c r="BN44" s="346">
        <v>0</v>
      </c>
      <c r="BO44" s="346">
        <v>2.4300000000000002</v>
      </c>
      <c r="BP44" s="346">
        <v>-325</v>
      </c>
      <c r="BQ44" s="346">
        <v>54.31</v>
      </c>
      <c r="BR44" s="346">
        <v>54.78</v>
      </c>
      <c r="BS44" s="346">
        <v>11.69</v>
      </c>
      <c r="BT44" s="346">
        <v>-431.33</v>
      </c>
      <c r="BU44" s="346">
        <v>-0.25</v>
      </c>
      <c r="BV44" s="346">
        <v>-20.2</v>
      </c>
      <c r="BW44" s="346">
        <v>0</v>
      </c>
      <c r="BX44" s="346">
        <v>2.14</v>
      </c>
      <c r="BY44" s="346">
        <v>-221.79</v>
      </c>
      <c r="BZ44" s="346">
        <v>131.9</v>
      </c>
      <c r="CA44" s="346">
        <v>53.97</v>
      </c>
      <c r="CB44" s="346">
        <v>14.75</v>
      </c>
      <c r="CC44" s="346">
        <v>-436.36</v>
      </c>
      <c r="CD44" s="346">
        <v>-0.24</v>
      </c>
      <c r="CE44" s="346">
        <v>-38.869999999999997</v>
      </c>
      <c r="CF44" s="346">
        <v>98.58</v>
      </c>
      <c r="CG44" s="346">
        <v>48.39</v>
      </c>
      <c r="CH44" s="346">
        <v>18.03</v>
      </c>
      <c r="CI44" s="346">
        <v>82.44</v>
      </c>
      <c r="CJ44" s="346">
        <v>77.62</v>
      </c>
      <c r="CK44" s="346">
        <v>100</v>
      </c>
      <c r="CL44" s="346">
        <v>27.18</v>
      </c>
      <c r="CM44" s="346">
        <v>4</v>
      </c>
      <c r="CN44" s="346">
        <v>95.93</v>
      </c>
      <c r="CO44" s="346">
        <v>34.090000000000003</v>
      </c>
      <c r="CP44" s="346">
        <v>-0.08</v>
      </c>
      <c r="CQ44" s="346">
        <v>20.78</v>
      </c>
      <c r="CR44" s="346">
        <v>24.73</v>
      </c>
      <c r="CS44" s="346">
        <v>3.98</v>
      </c>
      <c r="CT44" s="346">
        <v>168.6</v>
      </c>
      <c r="CU44" s="346">
        <v>0.46</v>
      </c>
      <c r="CV44" s="346">
        <v>-50.28</v>
      </c>
      <c r="CW44" s="346">
        <v>2609298666.3699999</v>
      </c>
    </row>
    <row r="45" spans="1:101" x14ac:dyDescent="0.25">
      <c r="A45" s="346" t="str">
        <f>VLOOKUP(B45,'Loan Book Summary'!C:G,5,FALSE)</f>
        <v>0015800001b11sC</v>
      </c>
      <c r="B45" s="346">
        <v>1100000153</v>
      </c>
      <c r="C45" s="346" t="s">
        <v>1889</v>
      </c>
      <c r="D45" s="346" t="s">
        <v>1889</v>
      </c>
      <c r="E45" s="346">
        <v>2022</v>
      </c>
      <c r="F45" s="346">
        <v>6</v>
      </c>
      <c r="G45" s="346">
        <v>50</v>
      </c>
      <c r="H45" s="346">
        <v>46.596179999999997</v>
      </c>
      <c r="I45" s="346">
        <v>46.596179999999997</v>
      </c>
      <c r="J45" s="346">
        <v>40110.852959999997</v>
      </c>
      <c r="K45" s="346">
        <v>41106.617380000003</v>
      </c>
      <c r="L45" s="346">
        <v>4779.25</v>
      </c>
      <c r="M45" s="346" t="s">
        <v>1889</v>
      </c>
      <c r="N45" s="346">
        <v>10916.10986</v>
      </c>
      <c r="O45" s="346">
        <v>12049.44319</v>
      </c>
      <c r="P45" s="346">
        <v>75117.393840000004</v>
      </c>
      <c r="Q45" s="346">
        <v>14019.614310000001</v>
      </c>
      <c r="R45" s="346">
        <v>11240.404790000001</v>
      </c>
      <c r="S45" s="346">
        <v>2658.891678</v>
      </c>
      <c r="T45" s="346">
        <v>5542.3158199999998</v>
      </c>
      <c r="U45" s="346">
        <v>-1507.1833529999999</v>
      </c>
      <c r="V45" s="346">
        <v>-7049.4991739999996</v>
      </c>
      <c r="W45" s="346">
        <v>-9458.0986130000001</v>
      </c>
      <c r="X45" s="346" t="s">
        <v>101</v>
      </c>
      <c r="Y45" s="346">
        <v>55110</v>
      </c>
      <c r="Z45" s="346">
        <v>5</v>
      </c>
      <c r="AA45" s="346" t="s">
        <v>996</v>
      </c>
      <c r="AB45" s="346" t="s">
        <v>118</v>
      </c>
      <c r="AC45" s="346" t="s">
        <v>118</v>
      </c>
      <c r="AD45" s="347">
        <v>0.95130000000000003</v>
      </c>
      <c r="AE45" s="347">
        <v>0.92410000000000003</v>
      </c>
      <c r="AF45" s="346">
        <v>10.35</v>
      </c>
      <c r="AG45" s="346">
        <v>14.66</v>
      </c>
      <c r="AH45" s="346">
        <v>17.89</v>
      </c>
      <c r="AI45" s="346">
        <v>20.55</v>
      </c>
      <c r="AJ45" s="346">
        <v>22.84</v>
      </c>
      <c r="AK45" s="347">
        <v>0.10349999999999999</v>
      </c>
      <c r="AL45" s="347">
        <v>4.8099999999999997E-2</v>
      </c>
      <c r="AM45" s="347">
        <v>3.78E-2</v>
      </c>
      <c r="AN45" s="347">
        <v>3.2399999999999998E-2</v>
      </c>
      <c r="AO45" s="347">
        <v>2.8899999999999999E-2</v>
      </c>
      <c r="AP45" s="347">
        <v>0.10349999999999999</v>
      </c>
      <c r="AQ45" s="347">
        <v>7.6200000000000004E-2</v>
      </c>
      <c r="AR45" s="347">
        <v>6.3600000000000004E-2</v>
      </c>
      <c r="AS45" s="347">
        <v>5.5899999999999998E-2</v>
      </c>
      <c r="AT45" s="347">
        <v>5.0500000000000003E-2</v>
      </c>
      <c r="AU45" s="347">
        <v>0.22839999999999999</v>
      </c>
      <c r="AV45" s="346">
        <v>13.58</v>
      </c>
      <c r="AW45" s="346">
        <v>-2.88</v>
      </c>
      <c r="AX45" s="346">
        <v>14.97</v>
      </c>
      <c r="AY45" s="346">
        <v>0.64</v>
      </c>
      <c r="AZ45" s="346">
        <v>-3.83</v>
      </c>
      <c r="BA45" s="346">
        <v>27.23</v>
      </c>
      <c r="BB45" s="346">
        <v>13.92</v>
      </c>
      <c r="BC45" s="346">
        <v>13.05</v>
      </c>
      <c r="BD45" s="346">
        <v>-9.91</v>
      </c>
      <c r="BE45" s="346">
        <v>16.41</v>
      </c>
      <c r="BF45" s="346">
        <v>-2.08</v>
      </c>
      <c r="BG45" s="346">
        <v>9.94</v>
      </c>
      <c r="BH45" s="346">
        <v>1.54</v>
      </c>
      <c r="BI45" s="346">
        <v>-3.21</v>
      </c>
      <c r="BJ45" s="346">
        <v>27.35</v>
      </c>
      <c r="BK45" s="346">
        <v>13.62</v>
      </c>
      <c r="BL45" s="346">
        <v>10.43</v>
      </c>
      <c r="BM45" s="346">
        <v>-15.41</v>
      </c>
      <c r="BN45" s="346">
        <v>0</v>
      </c>
      <c r="BO45" s="346">
        <v>2.4300000000000002</v>
      </c>
      <c r="BP45" s="346">
        <v>-325</v>
      </c>
      <c r="BQ45" s="346">
        <v>54.31</v>
      </c>
      <c r="BR45" s="346">
        <v>54.78</v>
      </c>
      <c r="BS45" s="346">
        <v>11.69</v>
      </c>
      <c r="BT45" s="346">
        <v>-431.33</v>
      </c>
      <c r="BU45" s="346">
        <v>-0.25</v>
      </c>
      <c r="BV45" s="346">
        <v>-20.2</v>
      </c>
      <c r="BW45" s="346">
        <v>0</v>
      </c>
      <c r="BX45" s="346">
        <v>2.14</v>
      </c>
      <c r="BY45" s="346">
        <v>-221.79</v>
      </c>
      <c r="BZ45" s="346">
        <v>131.9</v>
      </c>
      <c r="CA45" s="346">
        <v>53.97</v>
      </c>
      <c r="CB45" s="346">
        <v>14.75</v>
      </c>
      <c r="CC45" s="346">
        <v>-436.36</v>
      </c>
      <c r="CD45" s="346">
        <v>-0.24</v>
      </c>
      <c r="CE45" s="346">
        <v>-38.869999999999997</v>
      </c>
      <c r="CF45" s="346">
        <v>98.58</v>
      </c>
      <c r="CG45" s="346">
        <v>48.39</v>
      </c>
      <c r="CH45" s="346">
        <v>18.03</v>
      </c>
      <c r="CI45" s="346">
        <v>82.44</v>
      </c>
      <c r="CJ45" s="346">
        <v>77.62</v>
      </c>
      <c r="CK45" s="346">
        <v>100</v>
      </c>
      <c r="CL45" s="346">
        <v>27.18</v>
      </c>
      <c r="CM45" s="346">
        <v>4</v>
      </c>
      <c r="CN45" s="346">
        <v>95.93</v>
      </c>
      <c r="CO45" s="346">
        <v>34.090000000000003</v>
      </c>
      <c r="CP45" s="346">
        <v>-0.08</v>
      </c>
      <c r="CQ45" s="346">
        <v>20.78</v>
      </c>
      <c r="CR45" s="346">
        <v>24.73</v>
      </c>
      <c r="CS45" s="346">
        <v>3.98</v>
      </c>
      <c r="CT45" s="346">
        <v>168.6</v>
      </c>
      <c r="CU45" s="346">
        <v>0.46</v>
      </c>
      <c r="CV45" s="346">
        <v>-50.28</v>
      </c>
      <c r="CW45" s="346">
        <v>2609298666.3699999</v>
      </c>
    </row>
    <row r="46" spans="1:101" x14ac:dyDescent="0.25">
      <c r="A46" s="346" t="str">
        <f>VLOOKUP(B46,'Loan Book Summary'!C:G,5,FALSE)</f>
        <v>0014I00001lGVkG</v>
      </c>
      <c r="B46" s="346">
        <v>1100000223</v>
      </c>
      <c r="C46" s="346" t="s">
        <v>1889</v>
      </c>
      <c r="D46" s="346" t="s">
        <v>1889</v>
      </c>
      <c r="E46" s="346">
        <v>2022</v>
      </c>
      <c r="F46" s="346">
        <v>6</v>
      </c>
      <c r="G46" s="346">
        <v>1526.4303090000001</v>
      </c>
      <c r="H46" s="346">
        <v>138.83441999999999</v>
      </c>
      <c r="I46" s="346">
        <v>138.83441999999999</v>
      </c>
      <c r="J46" s="346">
        <v>28754.79407</v>
      </c>
      <c r="K46" s="346">
        <v>28343.703880000001</v>
      </c>
      <c r="L46" s="346">
        <v>806.43225689999997</v>
      </c>
      <c r="M46" s="346" t="s">
        <v>1889</v>
      </c>
      <c r="N46" s="346">
        <v>14795.012189999999</v>
      </c>
      <c r="O46" s="346">
        <v>14795.012189999999</v>
      </c>
      <c r="P46" s="346">
        <v>26559.555</v>
      </c>
      <c r="Q46" s="346">
        <v>5610.003463</v>
      </c>
      <c r="R46" s="346">
        <v>5528.6780669999998</v>
      </c>
      <c r="S46" s="346" t="s">
        <v>1889</v>
      </c>
      <c r="T46" s="346">
        <v>2422.5</v>
      </c>
      <c r="U46" s="346">
        <v>2833.5901899999999</v>
      </c>
      <c r="V46" s="346">
        <v>328.87215220000002</v>
      </c>
      <c r="W46" s="346">
        <v>361.69819840000002</v>
      </c>
      <c r="X46" s="346" t="s">
        <v>101</v>
      </c>
      <c r="Y46" s="346">
        <v>55100</v>
      </c>
      <c r="Z46" s="346">
        <v>5</v>
      </c>
      <c r="AA46" s="346" t="s">
        <v>996</v>
      </c>
      <c r="AB46" s="346" t="s">
        <v>104</v>
      </c>
      <c r="AC46" s="346" t="s">
        <v>105</v>
      </c>
      <c r="AD46" s="347">
        <v>0.65749999999999997</v>
      </c>
      <c r="AE46" s="347">
        <v>0.55149999999999999</v>
      </c>
      <c r="AF46" s="346">
        <v>1.87</v>
      </c>
      <c r="AG46" s="346">
        <v>3.31</v>
      </c>
      <c r="AH46" s="346">
        <v>4.5999999999999996</v>
      </c>
      <c r="AI46" s="346">
        <v>5.81</v>
      </c>
      <c r="AJ46" s="346">
        <v>6.95</v>
      </c>
      <c r="AK46" s="347">
        <v>1.8700000000000001E-2</v>
      </c>
      <c r="AL46" s="347">
        <v>1.46E-2</v>
      </c>
      <c r="AM46" s="347">
        <v>1.34E-2</v>
      </c>
      <c r="AN46" s="347">
        <v>1.26E-2</v>
      </c>
      <c r="AO46" s="347">
        <v>1.21E-2</v>
      </c>
      <c r="AP46" s="347">
        <v>1.8700000000000001E-2</v>
      </c>
      <c r="AQ46" s="347">
        <v>1.67E-2</v>
      </c>
      <c r="AR46" s="347">
        <v>1.5599999999999999E-2</v>
      </c>
      <c r="AS46" s="347">
        <v>1.4800000000000001E-2</v>
      </c>
      <c r="AT46" s="347">
        <v>1.43E-2</v>
      </c>
      <c r="AU46" s="347">
        <v>6.9500000000000006E-2</v>
      </c>
      <c r="AV46" s="346">
        <v>11.6</v>
      </c>
      <c r="AW46" s="346">
        <v>-4.1500000000000004</v>
      </c>
      <c r="AX46" s="346">
        <v>19.64</v>
      </c>
      <c r="AY46" s="346">
        <v>-4.4400000000000004</v>
      </c>
      <c r="AZ46" s="346">
        <v>-7.94</v>
      </c>
      <c r="BA46" s="346">
        <v>28.04</v>
      </c>
      <c r="BB46" s="346">
        <v>1.93</v>
      </c>
      <c r="BC46" s="346">
        <v>-7.99</v>
      </c>
      <c r="BD46" s="346">
        <v>-14.26</v>
      </c>
      <c r="BE46" s="346">
        <v>13.21</v>
      </c>
      <c r="BF46" s="346">
        <v>-2.81</v>
      </c>
      <c r="BG46" s="346">
        <v>12.29</v>
      </c>
      <c r="BH46" s="346">
        <v>-10.17</v>
      </c>
      <c r="BI46" s="346">
        <v>-6.27</v>
      </c>
      <c r="BJ46" s="346">
        <v>26.55</v>
      </c>
      <c r="BK46" s="346">
        <v>1.78</v>
      </c>
      <c r="BL46" s="346">
        <v>-6.02</v>
      </c>
      <c r="BM46" s="346">
        <v>-20.9</v>
      </c>
      <c r="BN46" s="346">
        <v>63.74</v>
      </c>
      <c r="BO46" s="346">
        <v>1.94</v>
      </c>
      <c r="BP46" s="346">
        <v>-283.72000000000003</v>
      </c>
      <c r="BQ46" s="346">
        <v>-22.43</v>
      </c>
      <c r="BR46" s="346">
        <v>-28.39</v>
      </c>
      <c r="BS46" s="346">
        <v>120.28</v>
      </c>
      <c r="BT46" s="346">
        <v>-298</v>
      </c>
      <c r="BU46" s="346">
        <v>-65.099999999999994</v>
      </c>
      <c r="BV46" s="346">
        <v>-16.399999999999999</v>
      </c>
      <c r="BW46" s="346">
        <v>80.03</v>
      </c>
      <c r="BX46" s="346">
        <v>1.46</v>
      </c>
      <c r="BY46" s="346">
        <v>-205.64</v>
      </c>
      <c r="BZ46" s="346">
        <v>-56.35</v>
      </c>
      <c r="CA46" s="346">
        <v>-24.77</v>
      </c>
      <c r="CB46" s="346">
        <v>127.92</v>
      </c>
      <c r="CC46" s="346">
        <v>-323.39999999999998</v>
      </c>
      <c r="CD46" s="346">
        <v>-53.86</v>
      </c>
      <c r="CE46" s="346">
        <v>-26.57</v>
      </c>
      <c r="CF46" s="346">
        <v>81.03</v>
      </c>
      <c r="CG46" s="346">
        <v>49.4</v>
      </c>
      <c r="CH46" s="346">
        <v>23.27</v>
      </c>
      <c r="CI46" s="346">
        <v>42.35</v>
      </c>
      <c r="CJ46" s="346">
        <v>52.13</v>
      </c>
      <c r="CK46" s="346">
        <v>90.7</v>
      </c>
      <c r="CL46" s="346">
        <v>52.43</v>
      </c>
      <c r="CM46" s="346">
        <v>70.06</v>
      </c>
      <c r="CN46" s="346">
        <v>95.01</v>
      </c>
      <c r="CO46" s="346">
        <v>14.37</v>
      </c>
      <c r="CP46" s="346">
        <v>-0.04</v>
      </c>
      <c r="CQ46" s="346">
        <v>116.97</v>
      </c>
      <c r="CR46" s="346">
        <v>1.47</v>
      </c>
      <c r="CS46" s="346">
        <v>-0.08</v>
      </c>
      <c r="CT46" s="346">
        <v>94.96</v>
      </c>
      <c r="CU46" s="346">
        <v>10.32</v>
      </c>
      <c r="CV46" s="346">
        <v>5.86</v>
      </c>
      <c r="CW46" s="346">
        <v>2226949148.3499999</v>
      </c>
    </row>
    <row r="47" spans="1:101" x14ac:dyDescent="0.25">
      <c r="A47" s="346" t="str">
        <f>VLOOKUP(B47,'Loan Book Summary'!C:G,5,FALSE)</f>
        <v>0014I00001zbxX3</v>
      </c>
      <c r="B47" s="346">
        <v>1100000225</v>
      </c>
      <c r="C47" s="346" t="s">
        <v>1889</v>
      </c>
      <c r="D47" s="346" t="s">
        <v>1889</v>
      </c>
      <c r="E47" s="346">
        <v>2022</v>
      </c>
      <c r="F47" s="346">
        <v>6</v>
      </c>
      <c r="G47" s="346">
        <v>9960.1115410000002</v>
      </c>
      <c r="H47" s="346">
        <v>5290.8572759999997</v>
      </c>
      <c r="I47" s="346">
        <v>5290.8572759999997</v>
      </c>
      <c r="J47" s="346">
        <v>43081.348160000001</v>
      </c>
      <c r="K47" s="346">
        <v>57821.8894</v>
      </c>
      <c r="L47" s="346">
        <v>-4954.3312679999999</v>
      </c>
      <c r="M47" s="346" t="s">
        <v>1889</v>
      </c>
      <c r="N47" s="346">
        <v>19057.414980000001</v>
      </c>
      <c r="O47" s="346">
        <v>19057.414980000001</v>
      </c>
      <c r="P47" s="346">
        <v>31260</v>
      </c>
      <c r="Q47" s="346">
        <v>65461.771860000001</v>
      </c>
      <c r="R47" s="346">
        <v>64512.805500000002</v>
      </c>
      <c r="S47" s="346">
        <v>2036.6719619999999</v>
      </c>
      <c r="T47" s="346">
        <v>223.76521120000001</v>
      </c>
      <c r="U47" s="346">
        <v>-11365.541230000001</v>
      </c>
      <c r="V47" s="346">
        <v>-11589.30644</v>
      </c>
      <c r="W47" s="346">
        <v>-10763.58311</v>
      </c>
      <c r="X47" s="346" t="s">
        <v>101</v>
      </c>
      <c r="Y47" s="346">
        <v>26600</v>
      </c>
      <c r="Z47" s="346">
        <v>5</v>
      </c>
      <c r="AA47" s="346" t="s">
        <v>996</v>
      </c>
      <c r="AB47" s="346" t="s">
        <v>110</v>
      </c>
      <c r="AC47" s="346" t="s">
        <v>115</v>
      </c>
      <c r="AD47" s="347">
        <v>0.4078</v>
      </c>
      <c r="AE47" s="347">
        <v>0.21410000000000001</v>
      </c>
      <c r="AF47" s="346">
        <v>0.83</v>
      </c>
      <c r="AG47" s="346">
        <v>1.42</v>
      </c>
      <c r="AH47" s="346">
        <v>1.95</v>
      </c>
      <c r="AI47" s="346">
        <v>2.4300000000000002</v>
      </c>
      <c r="AJ47" s="346">
        <v>2.88</v>
      </c>
      <c r="AK47" s="347">
        <v>8.3000000000000001E-3</v>
      </c>
      <c r="AL47" s="347">
        <v>6.0000000000000001E-3</v>
      </c>
      <c r="AM47" s="347">
        <v>5.3E-3</v>
      </c>
      <c r="AN47" s="347">
        <v>4.8999999999999998E-3</v>
      </c>
      <c r="AO47" s="347">
        <v>4.7000000000000002E-3</v>
      </c>
      <c r="AP47" s="347">
        <v>8.3000000000000001E-3</v>
      </c>
      <c r="AQ47" s="347">
        <v>7.1000000000000004E-3</v>
      </c>
      <c r="AR47" s="347">
        <v>6.4999999999999997E-3</v>
      </c>
      <c r="AS47" s="347">
        <v>6.1000000000000004E-3</v>
      </c>
      <c r="AT47" s="347">
        <v>5.7999999999999996E-3</v>
      </c>
      <c r="AU47" s="347">
        <v>2.8799999999999999E-2</v>
      </c>
      <c r="AV47" s="346">
        <v>-18.3</v>
      </c>
      <c r="AW47" s="346">
        <v>-3.49</v>
      </c>
      <c r="AX47" s="346">
        <v>19.670000000000002</v>
      </c>
      <c r="AY47" s="346">
        <v>-3.87</v>
      </c>
      <c r="AZ47" s="346">
        <v>0.28999999999999998</v>
      </c>
      <c r="BA47" s="346">
        <v>9.98</v>
      </c>
      <c r="BB47" s="346">
        <v>-14.1</v>
      </c>
      <c r="BC47" s="346">
        <v>15.83</v>
      </c>
      <c r="BD47" s="346">
        <v>-14.48</v>
      </c>
      <c r="BE47" s="346">
        <v>-20.8</v>
      </c>
      <c r="BF47" s="346">
        <v>-2.37</v>
      </c>
      <c r="BG47" s="346">
        <v>12.28</v>
      </c>
      <c r="BH47" s="346">
        <v>-8.84</v>
      </c>
      <c r="BI47" s="346">
        <v>0.22</v>
      </c>
      <c r="BJ47" s="346">
        <v>9.43</v>
      </c>
      <c r="BK47" s="346">
        <v>-12.98</v>
      </c>
      <c r="BL47" s="346">
        <v>11.9</v>
      </c>
      <c r="BM47" s="346">
        <v>-21.19</v>
      </c>
      <c r="BN47" s="346">
        <v>355.57</v>
      </c>
      <c r="BO47" s="346">
        <v>-8.16</v>
      </c>
      <c r="BP47" s="346">
        <v>0</v>
      </c>
      <c r="BQ47" s="346">
        <v>-39.22</v>
      </c>
      <c r="BR47" s="346">
        <v>-123.91</v>
      </c>
      <c r="BS47" s="346">
        <v>240.5</v>
      </c>
      <c r="BT47" s="346">
        <v>-113.52</v>
      </c>
      <c r="BU47" s="346">
        <v>-0.95</v>
      </c>
      <c r="BV47" s="346">
        <v>-18.18</v>
      </c>
      <c r="BW47" s="346">
        <v>372.66</v>
      </c>
      <c r="BX47" s="346">
        <v>-5.67</v>
      </c>
      <c r="BY47" s="346">
        <v>0</v>
      </c>
      <c r="BZ47" s="346">
        <v>-86.51</v>
      </c>
      <c r="CA47" s="346">
        <v>-94.06</v>
      </c>
      <c r="CB47" s="346">
        <v>212.74</v>
      </c>
      <c r="CC47" s="346">
        <v>-100.38</v>
      </c>
      <c r="CD47" s="346">
        <v>-0.75</v>
      </c>
      <c r="CE47" s="346">
        <v>-27.24</v>
      </c>
      <c r="CF47" s="346">
        <v>2</v>
      </c>
      <c r="CG47" s="346">
        <v>47.66</v>
      </c>
      <c r="CH47" s="346">
        <v>4.51</v>
      </c>
      <c r="CI47" s="346">
        <v>42.35</v>
      </c>
      <c r="CJ47" s="346">
        <v>25.65</v>
      </c>
      <c r="CK47" s="346">
        <v>75.3</v>
      </c>
      <c r="CL47" s="346">
        <v>79.34</v>
      </c>
      <c r="CM47" s="346">
        <v>6.8</v>
      </c>
      <c r="CN47" s="346">
        <v>96.53</v>
      </c>
      <c r="CO47" s="346">
        <v>-7.57</v>
      </c>
      <c r="CP47" s="346">
        <v>-0.12</v>
      </c>
      <c r="CQ47" s="346">
        <v>-4169.04</v>
      </c>
      <c r="CR47" s="346">
        <v>1.47</v>
      </c>
      <c r="CS47" s="346">
        <v>-4.6500000000000004</v>
      </c>
      <c r="CT47" s="346">
        <v>80.98</v>
      </c>
      <c r="CU47" s="346">
        <v>52.26</v>
      </c>
      <c r="CV47" s="346">
        <v>-17.7</v>
      </c>
      <c r="CW47" s="346">
        <v>3177508180.5799999</v>
      </c>
    </row>
    <row r="48" spans="1:101" x14ac:dyDescent="0.25">
      <c r="A48" s="346" t="str">
        <f>VLOOKUP(B48,'Loan Book Summary'!C:G,5,FALSE)</f>
        <v>0014I00001lzk4N</v>
      </c>
      <c r="B48" s="346">
        <v>1200000131</v>
      </c>
      <c r="C48" s="346" t="s">
        <v>1889</v>
      </c>
      <c r="D48" s="346" t="s">
        <v>1889</v>
      </c>
      <c r="E48" s="346">
        <v>2022</v>
      </c>
      <c r="F48" s="346">
        <v>6</v>
      </c>
      <c r="G48" s="346">
        <v>218.87262899999999</v>
      </c>
      <c r="H48" s="346">
        <v>-200.99199999999999</v>
      </c>
      <c r="I48" s="346">
        <v>-200.99199999999999</v>
      </c>
      <c r="J48" s="346">
        <v>7631.771393</v>
      </c>
      <c r="K48" s="346">
        <v>7881.4762529999998</v>
      </c>
      <c r="L48" s="346">
        <v>466.70499999999998</v>
      </c>
      <c r="M48" s="346" t="s">
        <v>1889</v>
      </c>
      <c r="N48" s="346">
        <v>3434.9470000000001</v>
      </c>
      <c r="O48" s="346">
        <v>3434.9470000000001</v>
      </c>
      <c r="P48" s="346">
        <v>7113.0178999999998</v>
      </c>
      <c r="Q48" s="346">
        <v>3296.2713990000002</v>
      </c>
      <c r="R48" s="346">
        <v>3248.487012</v>
      </c>
      <c r="S48" s="346">
        <v>103.31916889999999</v>
      </c>
      <c r="T48" s="346">
        <v>438.00483279999997</v>
      </c>
      <c r="U48" s="346">
        <v>461.06138290000001</v>
      </c>
      <c r="V48" s="346">
        <v>11.640978029999999</v>
      </c>
      <c r="W48" s="346">
        <v>223.12631819999999</v>
      </c>
      <c r="X48" s="346" t="s">
        <v>101</v>
      </c>
      <c r="Y48" s="346">
        <v>55100</v>
      </c>
      <c r="Z48" s="346">
        <v>5</v>
      </c>
      <c r="AA48" s="346" t="s">
        <v>996</v>
      </c>
      <c r="AB48" s="346" t="s">
        <v>102</v>
      </c>
      <c r="AC48" s="346" t="s">
        <v>107</v>
      </c>
      <c r="AD48" s="347">
        <v>0.83479999999999999</v>
      </c>
      <c r="AE48" s="347">
        <v>0.76590000000000003</v>
      </c>
      <c r="AF48" s="346">
        <v>3.91</v>
      </c>
      <c r="AG48" s="346">
        <v>6.45</v>
      </c>
      <c r="AH48" s="346">
        <v>8.6</v>
      </c>
      <c r="AI48" s="346">
        <v>10.53</v>
      </c>
      <c r="AJ48" s="346">
        <v>12.3</v>
      </c>
      <c r="AK48" s="347">
        <v>3.9100000000000003E-2</v>
      </c>
      <c r="AL48" s="347">
        <v>2.64E-2</v>
      </c>
      <c r="AM48" s="347">
        <v>2.3E-2</v>
      </c>
      <c r="AN48" s="347">
        <v>2.1100000000000001E-2</v>
      </c>
      <c r="AO48" s="347">
        <v>1.9800000000000002E-2</v>
      </c>
      <c r="AP48" s="347">
        <v>3.9100000000000003E-2</v>
      </c>
      <c r="AQ48" s="347">
        <v>3.2800000000000003E-2</v>
      </c>
      <c r="AR48" s="347">
        <v>2.9499999999999998E-2</v>
      </c>
      <c r="AS48" s="347">
        <v>2.7400000000000001E-2</v>
      </c>
      <c r="AT48" s="347">
        <v>2.5899999999999999E-2</v>
      </c>
      <c r="AU48" s="347">
        <v>0.123</v>
      </c>
      <c r="AV48" s="346">
        <v>12.53</v>
      </c>
      <c r="AW48" s="346">
        <v>-4.22</v>
      </c>
      <c r="AX48" s="346">
        <v>19.93</v>
      </c>
      <c r="AY48" s="346">
        <v>-4.8</v>
      </c>
      <c r="AZ48" s="346">
        <v>-5.73</v>
      </c>
      <c r="BA48" s="346">
        <v>30.3</v>
      </c>
      <c r="BB48" s="346">
        <v>6.84</v>
      </c>
      <c r="BC48" s="346">
        <v>9.99</v>
      </c>
      <c r="BD48" s="346">
        <v>-5.66</v>
      </c>
      <c r="BE48" s="346">
        <v>14.87</v>
      </c>
      <c r="BF48" s="346">
        <v>-2.98</v>
      </c>
      <c r="BG48" s="346">
        <v>13</v>
      </c>
      <c r="BH48" s="346">
        <v>-11.45</v>
      </c>
      <c r="BI48" s="346">
        <v>-4.72</v>
      </c>
      <c r="BJ48" s="346">
        <v>29.9</v>
      </c>
      <c r="BK48" s="346">
        <v>6.57</v>
      </c>
      <c r="BL48" s="346">
        <v>7.85</v>
      </c>
      <c r="BM48" s="346">
        <v>-8.66</v>
      </c>
      <c r="BN48" s="346">
        <v>54.1</v>
      </c>
      <c r="BO48" s="346">
        <v>5.2</v>
      </c>
      <c r="BP48" s="346">
        <v>-232.91</v>
      </c>
      <c r="BQ48" s="346">
        <v>-20.3</v>
      </c>
      <c r="BR48" s="346">
        <v>-53.88</v>
      </c>
      <c r="BS48" s="346">
        <v>99.18</v>
      </c>
      <c r="BT48" s="346">
        <v>-268.62</v>
      </c>
      <c r="BU48" s="346">
        <v>-122.74</v>
      </c>
      <c r="BV48" s="346">
        <v>-43.07</v>
      </c>
      <c r="BW48" s="346">
        <v>66.239999999999995</v>
      </c>
      <c r="BX48" s="346">
        <v>3.45</v>
      </c>
      <c r="BY48" s="346">
        <v>-172.99</v>
      </c>
      <c r="BZ48" s="346">
        <v>-45.57</v>
      </c>
      <c r="CA48" s="346">
        <v>-44.52</v>
      </c>
      <c r="CB48" s="346">
        <v>108.52</v>
      </c>
      <c r="CC48" s="346">
        <v>-284.99</v>
      </c>
      <c r="CD48" s="346">
        <v>-107.47</v>
      </c>
      <c r="CE48" s="346">
        <v>-66.25</v>
      </c>
      <c r="CF48" s="346">
        <v>80.37</v>
      </c>
      <c r="CG48" s="346">
        <v>56.79</v>
      </c>
      <c r="CH48" s="346">
        <v>24.16</v>
      </c>
      <c r="CI48" s="346">
        <v>42.35</v>
      </c>
      <c r="CJ48" s="346">
        <v>38.35</v>
      </c>
      <c r="CK48" s="346">
        <v>91</v>
      </c>
      <c r="CL48" s="346">
        <v>46.61</v>
      </c>
      <c r="CM48" s="346">
        <v>28.79</v>
      </c>
      <c r="CN48" s="346">
        <v>82.46</v>
      </c>
      <c r="CO48" s="346">
        <v>14.16</v>
      </c>
      <c r="CP48" s="346">
        <v>0.09</v>
      </c>
      <c r="CQ48" s="346">
        <v>128.85</v>
      </c>
      <c r="CR48" s="346">
        <v>1.47</v>
      </c>
      <c r="CS48" s="346">
        <v>-1.87</v>
      </c>
      <c r="CT48" s="346">
        <v>95.31</v>
      </c>
      <c r="CU48" s="346">
        <v>6.37</v>
      </c>
      <c r="CV48" s="346">
        <v>0.35</v>
      </c>
      <c r="CW48" s="346">
        <v>565904219.02999997</v>
      </c>
    </row>
    <row r="49" spans="1:101" x14ac:dyDescent="0.25">
      <c r="A49" s="346" t="str">
        <f>VLOOKUP(B49,'Loan Book Summary'!C:G,5,FALSE)</f>
        <v>0015800001fFIlI</v>
      </c>
      <c r="B49" s="346">
        <v>1200000143</v>
      </c>
      <c r="C49" s="346" t="s">
        <v>1889</v>
      </c>
      <c r="D49" s="346" t="s">
        <v>1889</v>
      </c>
      <c r="E49" s="346">
        <v>2022</v>
      </c>
      <c r="F49" s="346">
        <v>6</v>
      </c>
      <c r="G49" s="346">
        <v>132.21491589999999</v>
      </c>
      <c r="H49" s="346">
        <v>106.07899999999999</v>
      </c>
      <c r="I49" s="346">
        <v>106.07899999999999</v>
      </c>
      <c r="J49" s="346">
        <v>5501.7538189999996</v>
      </c>
      <c r="K49" s="346">
        <v>5786.7727210000003</v>
      </c>
      <c r="L49" s="346">
        <v>393.84832080000001</v>
      </c>
      <c r="M49" s="346" t="s">
        <v>1889</v>
      </c>
      <c r="N49" s="346">
        <v>393.84832080000001</v>
      </c>
      <c r="O49" s="346">
        <v>393.84832080000001</v>
      </c>
      <c r="P49" s="346">
        <v>3657.6668399999999</v>
      </c>
      <c r="Q49" s="346">
        <v>2661.9451469999999</v>
      </c>
      <c r="R49" s="346">
        <v>2571.8129269999999</v>
      </c>
      <c r="S49" s="346">
        <v>56.901623710000003</v>
      </c>
      <c r="T49" s="346">
        <v>69.240243179999993</v>
      </c>
      <c r="U49" s="346">
        <v>164.3164127</v>
      </c>
      <c r="V49" s="346">
        <v>61.506230670000001</v>
      </c>
      <c r="W49" s="346">
        <v>108.8560478</v>
      </c>
      <c r="X49" s="346" t="s">
        <v>101</v>
      </c>
      <c r="Y49" s="346">
        <v>55100</v>
      </c>
      <c r="Z49" s="346">
        <v>5</v>
      </c>
      <c r="AA49" s="346" t="s">
        <v>996</v>
      </c>
      <c r="AB49" s="346" t="s">
        <v>110</v>
      </c>
      <c r="AC49" s="346" t="s">
        <v>110</v>
      </c>
      <c r="AD49" s="347">
        <v>0.43130000000000002</v>
      </c>
      <c r="AE49" s="347">
        <v>0.38640000000000002</v>
      </c>
      <c r="AF49" s="346">
        <v>0.9</v>
      </c>
      <c r="AG49" s="346">
        <v>1.85</v>
      </c>
      <c r="AH49" s="346">
        <v>2.82</v>
      </c>
      <c r="AI49" s="346">
        <v>3.79</v>
      </c>
      <c r="AJ49" s="346">
        <v>4.7699999999999996</v>
      </c>
      <c r="AK49" s="347">
        <v>8.9999999999999993E-3</v>
      </c>
      <c r="AL49" s="347">
        <v>9.5999999999999992E-3</v>
      </c>
      <c r="AM49" s="347">
        <v>9.9000000000000008E-3</v>
      </c>
      <c r="AN49" s="347">
        <v>0.01</v>
      </c>
      <c r="AO49" s="347">
        <v>1.0200000000000001E-2</v>
      </c>
      <c r="AP49" s="347">
        <v>8.9999999999999993E-3</v>
      </c>
      <c r="AQ49" s="347">
        <v>9.2999999999999992E-3</v>
      </c>
      <c r="AR49" s="347">
        <v>9.4999999999999998E-3</v>
      </c>
      <c r="AS49" s="347">
        <v>9.5999999999999992E-3</v>
      </c>
      <c r="AT49" s="347">
        <v>9.7000000000000003E-3</v>
      </c>
      <c r="AU49" s="347">
        <v>4.7699999999999999E-2</v>
      </c>
      <c r="AV49" s="346">
        <v>25.44</v>
      </c>
      <c r="AW49" s="346">
        <v>-7.99</v>
      </c>
      <c r="AX49" s="346">
        <v>14.26</v>
      </c>
      <c r="AY49" s="346">
        <v>-9.2899999999999991</v>
      </c>
      <c r="AZ49" s="346">
        <v>-14.27</v>
      </c>
      <c r="BA49" s="346">
        <v>-2.13</v>
      </c>
      <c r="BB49" s="346">
        <v>-21.64</v>
      </c>
      <c r="BC49" s="346">
        <v>-1.95</v>
      </c>
      <c r="BD49" s="346">
        <v>-3.04</v>
      </c>
      <c r="BE49" s="346">
        <v>27.92</v>
      </c>
      <c r="BF49" s="346">
        <v>-5.23</v>
      </c>
      <c r="BG49" s="346">
        <v>8.6</v>
      </c>
      <c r="BH49" s="346">
        <v>-20.5</v>
      </c>
      <c r="BI49" s="346">
        <v>-10.86</v>
      </c>
      <c r="BJ49" s="346">
        <v>-1.94</v>
      </c>
      <c r="BK49" s="346">
        <v>-19.239999999999998</v>
      </c>
      <c r="BL49" s="346">
        <v>-1.41</v>
      </c>
      <c r="BM49" s="346">
        <v>-4.3</v>
      </c>
      <c r="BN49" s="346">
        <v>62.57</v>
      </c>
      <c r="BO49" s="346">
        <v>-5.18</v>
      </c>
      <c r="BP49" s="346">
        <v>-300.22000000000003</v>
      </c>
      <c r="BQ49" s="346">
        <v>-15.96</v>
      </c>
      <c r="BR49" s="346">
        <v>-48.96</v>
      </c>
      <c r="BS49" s="346">
        <v>114.69</v>
      </c>
      <c r="BT49" s="346">
        <v>-118.03</v>
      </c>
      <c r="BU49" s="346">
        <v>-188.95</v>
      </c>
      <c r="BV49" s="346">
        <v>-45.44</v>
      </c>
      <c r="BW49" s="346">
        <v>81.91</v>
      </c>
      <c r="BX49" s="346">
        <v>-4.1500000000000004</v>
      </c>
      <c r="BY49" s="346">
        <v>-229.56</v>
      </c>
      <c r="BZ49" s="346">
        <v>-42.15</v>
      </c>
      <c r="CA49" s="346">
        <v>-44.7</v>
      </c>
      <c r="CB49" s="346">
        <v>125.3</v>
      </c>
      <c r="CC49" s="346">
        <v>-125.6</v>
      </c>
      <c r="CD49" s="346">
        <v>-169.78</v>
      </c>
      <c r="CE49" s="346">
        <v>-76.849999999999994</v>
      </c>
      <c r="CF49" s="346">
        <v>82.28</v>
      </c>
      <c r="CG49" s="346">
        <v>47.29</v>
      </c>
      <c r="CH49" s="346">
        <v>38.17</v>
      </c>
      <c r="CI49" s="346">
        <v>47.57</v>
      </c>
      <c r="CJ49" s="346">
        <v>46.44</v>
      </c>
      <c r="CK49" s="346">
        <v>58.73</v>
      </c>
      <c r="CL49" s="346">
        <v>71.239999999999995</v>
      </c>
      <c r="CM49" s="346">
        <v>48.39</v>
      </c>
      <c r="CN49" s="346">
        <v>71.17</v>
      </c>
      <c r="CO49" s="346">
        <v>14.8</v>
      </c>
      <c r="CP49" s="346">
        <v>-0.14000000000000001</v>
      </c>
      <c r="CQ49" s="346">
        <v>319.49</v>
      </c>
      <c r="CR49" s="346">
        <v>3.5</v>
      </c>
      <c r="CS49" s="346">
        <v>-0.72</v>
      </c>
      <c r="CT49" s="346">
        <v>68.72</v>
      </c>
      <c r="CU49" s="346">
        <v>33.57</v>
      </c>
      <c r="CV49" s="346">
        <v>2.31</v>
      </c>
      <c r="CW49" s="346">
        <v>301475650.33999997</v>
      </c>
    </row>
    <row r="50" spans="1:101" x14ac:dyDescent="0.25">
      <c r="A50" s="346" t="str">
        <f>VLOOKUP(B50,'Loan Book Summary'!C:G,5,FALSE)</f>
        <v>0014I00001z5rPw</v>
      </c>
      <c r="B50" s="346">
        <v>1100000136</v>
      </c>
      <c r="C50" s="346" t="s">
        <v>1889</v>
      </c>
      <c r="D50" s="346" t="s">
        <v>1889</v>
      </c>
      <c r="E50" s="346">
        <v>2022</v>
      </c>
      <c r="F50" s="346">
        <v>6</v>
      </c>
      <c r="G50" s="346">
        <v>314.07482729999998</v>
      </c>
      <c r="H50" s="346">
        <v>472.41322000000002</v>
      </c>
      <c r="I50" s="346">
        <v>472.41322000000002</v>
      </c>
      <c r="J50" s="346">
        <v>2392.7915819999998</v>
      </c>
      <c r="K50" s="346">
        <v>2421.4429650000002</v>
      </c>
      <c r="L50" s="346">
        <v>457.49285149999997</v>
      </c>
      <c r="M50" s="346" t="s">
        <v>1889</v>
      </c>
      <c r="N50" s="346">
        <v>3361.9918510000002</v>
      </c>
      <c r="O50" s="346">
        <v>3361.9918510000002</v>
      </c>
      <c r="P50" s="346">
        <v>2191.3910000000001</v>
      </c>
      <c r="Q50" s="346">
        <v>3161.0700579999998</v>
      </c>
      <c r="R50" s="346">
        <v>3115.245617</v>
      </c>
      <c r="S50" s="346">
        <v>95.772877019999996</v>
      </c>
      <c r="T50" s="346" t="s">
        <v>1889</v>
      </c>
      <c r="U50" s="346">
        <v>298.87247459999998</v>
      </c>
      <c r="V50" s="346">
        <v>239.0979797</v>
      </c>
      <c r="W50" s="346">
        <v>173.61008150000001</v>
      </c>
      <c r="X50" s="346" t="s">
        <v>101</v>
      </c>
      <c r="Y50" s="346">
        <v>56302</v>
      </c>
      <c r="Z50" s="346">
        <v>5</v>
      </c>
      <c r="AA50" s="346" t="s">
        <v>996</v>
      </c>
      <c r="AB50" s="346" t="s">
        <v>104</v>
      </c>
      <c r="AC50" s="346" t="s">
        <v>104</v>
      </c>
      <c r="AD50" s="347">
        <v>0.64959999999999996</v>
      </c>
      <c r="AE50" s="347">
        <v>0.63090000000000002</v>
      </c>
      <c r="AF50" s="346">
        <v>1.82</v>
      </c>
      <c r="AG50" s="346">
        <v>3.55</v>
      </c>
      <c r="AH50" s="346">
        <v>5.22</v>
      </c>
      <c r="AI50" s="346">
        <v>6.86</v>
      </c>
      <c r="AJ50" s="346">
        <v>8.4499999999999993</v>
      </c>
      <c r="AK50" s="347">
        <v>1.8200000000000001E-2</v>
      </c>
      <c r="AL50" s="347">
        <v>1.7600000000000001E-2</v>
      </c>
      <c r="AM50" s="347">
        <v>1.7399999999999999E-2</v>
      </c>
      <c r="AN50" s="347">
        <v>1.72E-2</v>
      </c>
      <c r="AO50" s="347">
        <v>1.7100000000000001E-2</v>
      </c>
      <c r="AP50" s="347">
        <v>1.8200000000000001E-2</v>
      </c>
      <c r="AQ50" s="347">
        <v>1.7899999999999999E-2</v>
      </c>
      <c r="AR50" s="347">
        <v>1.77E-2</v>
      </c>
      <c r="AS50" s="347">
        <v>1.7600000000000001E-2</v>
      </c>
      <c r="AT50" s="347">
        <v>1.7500000000000002E-2</v>
      </c>
      <c r="AU50" s="347">
        <v>8.4500000000000006E-2</v>
      </c>
      <c r="AV50" s="346">
        <v>15.93</v>
      </c>
      <c r="AW50" s="346">
        <v>-5.24</v>
      </c>
      <c r="AX50" s="346" t="s">
        <v>1889</v>
      </c>
      <c r="AY50" s="346">
        <v>-6.1</v>
      </c>
      <c r="AZ50" s="346">
        <v>-10.91</v>
      </c>
      <c r="BA50" s="346">
        <v>41.52</v>
      </c>
      <c r="BB50" s="346">
        <v>4.6900000000000004</v>
      </c>
      <c r="BC50" s="346">
        <v>-13.51</v>
      </c>
      <c r="BD50" s="346">
        <v>-2.1</v>
      </c>
      <c r="BE50" s="346">
        <v>17.93</v>
      </c>
      <c r="BF50" s="346">
        <v>-3.51</v>
      </c>
      <c r="BG50" s="346" t="s">
        <v>1889</v>
      </c>
      <c r="BH50" s="346">
        <v>-13.81</v>
      </c>
      <c r="BI50" s="346">
        <v>-8.51</v>
      </c>
      <c r="BJ50" s="346">
        <v>38.85</v>
      </c>
      <c r="BK50" s="346">
        <v>4.28</v>
      </c>
      <c r="BL50" s="346">
        <v>-10.06</v>
      </c>
      <c r="BM50" s="346">
        <v>-3.04</v>
      </c>
      <c r="BN50" s="346">
        <v>83.68</v>
      </c>
      <c r="BO50" s="346">
        <v>-11.36</v>
      </c>
      <c r="BP50" s="346">
        <v>0</v>
      </c>
      <c r="BQ50" s="346">
        <v>-29.44</v>
      </c>
      <c r="BR50" s="346">
        <v>4.21</v>
      </c>
      <c r="BS50" s="346">
        <v>136.65</v>
      </c>
      <c r="BT50" s="346">
        <v>-417.39</v>
      </c>
      <c r="BU50" s="346">
        <v>-63.09</v>
      </c>
      <c r="BV50" s="346">
        <v>-54.17</v>
      </c>
      <c r="BW50" s="346">
        <v>94.34</v>
      </c>
      <c r="BX50" s="346">
        <v>-7.56</v>
      </c>
      <c r="BY50" s="346">
        <v>0</v>
      </c>
      <c r="BZ50" s="346">
        <v>-66.55</v>
      </c>
      <c r="CA50" s="346">
        <v>3.19</v>
      </c>
      <c r="CB50" s="346">
        <v>129.1</v>
      </c>
      <c r="CC50" s="346">
        <v>-374.07</v>
      </c>
      <c r="CD50" s="346">
        <v>-46.88</v>
      </c>
      <c r="CE50" s="346">
        <v>-78.3</v>
      </c>
      <c r="CF50" s="346">
        <v>81.33</v>
      </c>
      <c r="CG50" s="346">
        <v>45.87</v>
      </c>
      <c r="CH50" s="346" t="s">
        <v>1889</v>
      </c>
      <c r="CI50" s="346">
        <v>42.35</v>
      </c>
      <c r="CJ50" s="346">
        <v>62.93</v>
      </c>
      <c r="CK50" s="346">
        <v>92.01</v>
      </c>
      <c r="CL50" s="346">
        <v>51.13</v>
      </c>
      <c r="CM50" s="346">
        <v>76.180000000000007</v>
      </c>
      <c r="CN50" s="346">
        <v>70.650000000000006</v>
      </c>
      <c r="CO50" s="346">
        <v>14.47</v>
      </c>
      <c r="CP50" s="346">
        <v>-0.22</v>
      </c>
      <c r="CQ50" s="346" t="s">
        <v>1889</v>
      </c>
      <c r="CR50" s="346">
        <v>1.47</v>
      </c>
      <c r="CS50" s="346">
        <v>1.1499999999999999</v>
      </c>
      <c r="CT50" s="346">
        <v>96.5</v>
      </c>
      <c r="CU50" s="346">
        <v>9.34</v>
      </c>
      <c r="CV50" s="346">
        <v>7.56</v>
      </c>
      <c r="CW50" s="346">
        <v>294274789.38999999</v>
      </c>
    </row>
    <row r="51" spans="1:101" x14ac:dyDescent="0.25">
      <c r="A51" s="346" t="str">
        <f>VLOOKUP(B51,'Loan Book Summary'!C:G,5,FALSE)</f>
        <v>0014I00001wCsHB</v>
      </c>
      <c r="B51" s="346">
        <v>1100000190</v>
      </c>
      <c r="C51" s="346" t="s">
        <v>1889</v>
      </c>
      <c r="D51" s="346" t="s">
        <v>1889</v>
      </c>
      <c r="E51" s="346">
        <v>2022</v>
      </c>
      <c r="F51" s="346">
        <v>6</v>
      </c>
      <c r="G51" s="346">
        <v>1553.112629</v>
      </c>
      <c r="H51" s="346">
        <v>219.84800000000001</v>
      </c>
      <c r="I51" s="346">
        <v>219.84800000000001</v>
      </c>
      <c r="J51" s="346">
        <v>25610.910820000001</v>
      </c>
      <c r="K51" s="346">
        <v>26666.324970000001</v>
      </c>
      <c r="L51" s="346">
        <v>639.25099999999998</v>
      </c>
      <c r="M51" s="346" t="s">
        <v>1889</v>
      </c>
      <c r="N51" s="346">
        <v>1707.8920000000001</v>
      </c>
      <c r="O51" s="346">
        <v>1745.9690000000001</v>
      </c>
      <c r="P51" s="346">
        <v>29133.973999999998</v>
      </c>
      <c r="Q51" s="346">
        <v>5643.4649600000002</v>
      </c>
      <c r="R51" s="346">
        <v>5491.9259380000003</v>
      </c>
      <c r="S51" s="346">
        <v>256.91547939999998</v>
      </c>
      <c r="T51" s="346">
        <v>1002.187403</v>
      </c>
      <c r="U51" s="346">
        <v>464.58584380000002</v>
      </c>
      <c r="V51" s="346">
        <v>-537.60155929999996</v>
      </c>
      <c r="W51" s="346">
        <v>-609.96523850000005</v>
      </c>
      <c r="X51" s="346" t="s">
        <v>101</v>
      </c>
      <c r="Y51" s="346">
        <v>87200</v>
      </c>
      <c r="Z51" s="346">
        <v>5</v>
      </c>
      <c r="AA51" s="346" t="s">
        <v>996</v>
      </c>
      <c r="AB51" s="346" t="s">
        <v>104</v>
      </c>
      <c r="AC51" s="346" t="s">
        <v>105</v>
      </c>
      <c r="AD51" s="347">
        <v>0.72650000000000003</v>
      </c>
      <c r="AE51" s="347">
        <v>0.54269999999999996</v>
      </c>
      <c r="AF51" s="346">
        <v>2.41</v>
      </c>
      <c r="AG51" s="346">
        <v>3.78</v>
      </c>
      <c r="AH51" s="346">
        <v>4.91</v>
      </c>
      <c r="AI51" s="346">
        <v>5.91</v>
      </c>
      <c r="AJ51" s="346">
        <v>6.81</v>
      </c>
      <c r="AK51" s="347">
        <v>2.41E-2</v>
      </c>
      <c r="AL51" s="347">
        <v>1.4E-2</v>
      </c>
      <c r="AM51" s="347">
        <v>1.17E-2</v>
      </c>
      <c r="AN51" s="347">
        <v>1.0500000000000001E-2</v>
      </c>
      <c r="AO51" s="347">
        <v>9.5999999999999992E-3</v>
      </c>
      <c r="AP51" s="347">
        <v>2.41E-2</v>
      </c>
      <c r="AQ51" s="347">
        <v>1.9099999999999999E-2</v>
      </c>
      <c r="AR51" s="347">
        <v>1.67E-2</v>
      </c>
      <c r="AS51" s="347">
        <v>1.5100000000000001E-2</v>
      </c>
      <c r="AT51" s="347">
        <v>1.4E-2</v>
      </c>
      <c r="AU51" s="347">
        <v>6.8099999999999994E-2</v>
      </c>
      <c r="AV51" s="346">
        <v>3.71</v>
      </c>
      <c r="AW51" s="346">
        <v>-3.07</v>
      </c>
      <c r="AX51" s="346">
        <v>15.76</v>
      </c>
      <c r="AY51" s="346">
        <v>-3.5</v>
      </c>
      <c r="AZ51" s="346">
        <v>-6.18</v>
      </c>
      <c r="BA51" s="346">
        <v>28.35</v>
      </c>
      <c r="BB51" s="346">
        <v>-16.43</v>
      </c>
      <c r="BC51" s="346">
        <v>13.63</v>
      </c>
      <c r="BD51" s="346">
        <v>-9.36</v>
      </c>
      <c r="BE51" s="346">
        <v>4.4400000000000004</v>
      </c>
      <c r="BF51" s="346">
        <v>-2.19</v>
      </c>
      <c r="BG51" s="346">
        <v>10.37</v>
      </c>
      <c r="BH51" s="346">
        <v>-8.44</v>
      </c>
      <c r="BI51" s="346">
        <v>-5.13</v>
      </c>
      <c r="BJ51" s="346">
        <v>28.23</v>
      </c>
      <c r="BK51" s="346">
        <v>-15.95</v>
      </c>
      <c r="BL51" s="346">
        <v>10.81</v>
      </c>
      <c r="BM51" s="346">
        <v>-14.44</v>
      </c>
      <c r="BN51" s="346">
        <v>134.26</v>
      </c>
      <c r="BO51" s="346">
        <v>-8.08</v>
      </c>
      <c r="BP51" s="346">
        <v>-559.85</v>
      </c>
      <c r="BQ51" s="346">
        <v>-30.02</v>
      </c>
      <c r="BR51" s="346">
        <v>-34.21</v>
      </c>
      <c r="BS51" s="346">
        <v>50.08</v>
      </c>
      <c r="BT51" s="346">
        <v>-39.29</v>
      </c>
      <c r="BU51" s="346">
        <v>-3.01</v>
      </c>
      <c r="BV51" s="346">
        <v>-41.19</v>
      </c>
      <c r="BW51" s="346">
        <v>179.5</v>
      </c>
      <c r="BX51" s="346">
        <v>-7.07</v>
      </c>
      <c r="BY51" s="346">
        <v>-410.95</v>
      </c>
      <c r="BZ51" s="346">
        <v>-87.13</v>
      </c>
      <c r="CA51" s="346">
        <v>-33.799999999999997</v>
      </c>
      <c r="CB51" s="346">
        <v>57.93</v>
      </c>
      <c r="CC51" s="346">
        <v>-45.24</v>
      </c>
      <c r="CD51" s="346">
        <v>-2.98</v>
      </c>
      <c r="CE51" s="346">
        <v>-75.400000000000006</v>
      </c>
      <c r="CF51" s="346">
        <v>69.86</v>
      </c>
      <c r="CG51" s="346">
        <v>47.86</v>
      </c>
      <c r="CH51" s="346">
        <v>20.440000000000001</v>
      </c>
      <c r="CI51" s="346">
        <v>45.65</v>
      </c>
      <c r="CJ51" s="346">
        <v>54.88</v>
      </c>
      <c r="CK51" s="346">
        <v>98.06</v>
      </c>
      <c r="CL51" s="346">
        <v>88.57</v>
      </c>
      <c r="CM51" s="346">
        <v>9.3800000000000008</v>
      </c>
      <c r="CN51" s="346">
        <v>92.2</v>
      </c>
      <c r="CO51" s="346">
        <v>11.33</v>
      </c>
      <c r="CP51" s="346">
        <v>-0.11</v>
      </c>
      <c r="CQ51" s="346">
        <v>71.989999999999995</v>
      </c>
      <c r="CR51" s="346">
        <v>2.76</v>
      </c>
      <c r="CS51" s="346">
        <v>0.18</v>
      </c>
      <c r="CT51" s="346">
        <v>112.9</v>
      </c>
      <c r="CU51" s="346">
        <v>90.94</v>
      </c>
      <c r="CV51" s="346">
        <v>-9.5299999999999994</v>
      </c>
      <c r="CW51" s="346">
        <v>1396965679.04</v>
      </c>
    </row>
    <row r="52" spans="1:101" x14ac:dyDescent="0.25">
      <c r="A52" s="346" t="str">
        <f>VLOOKUP(B52,'Loan Book Summary'!C:G,5,FALSE)</f>
        <v>0014I000029MDAV</v>
      </c>
      <c r="B52" s="346">
        <v>1100000226</v>
      </c>
      <c r="C52" s="346" t="s">
        <v>1889</v>
      </c>
      <c r="D52" s="346" t="s">
        <v>1889</v>
      </c>
      <c r="E52" s="346">
        <v>2022</v>
      </c>
      <c r="F52" s="346">
        <v>6</v>
      </c>
      <c r="G52" s="346">
        <v>50</v>
      </c>
      <c r="H52" s="346">
        <v>3379.9290000000001</v>
      </c>
      <c r="I52" s="346">
        <v>3379.9290000000001</v>
      </c>
      <c r="J52" s="346">
        <v>86593.649220000007</v>
      </c>
      <c r="K52" s="346">
        <v>87624.236040000003</v>
      </c>
      <c r="L52" s="346">
        <v>2312.3519999999999</v>
      </c>
      <c r="M52" s="346" t="s">
        <v>1889</v>
      </c>
      <c r="N52" s="346">
        <v>4863.6859999999997</v>
      </c>
      <c r="O52" s="346">
        <v>4863.6859999999997</v>
      </c>
      <c r="P52" s="346">
        <v>65278.803899999999</v>
      </c>
      <c r="Q52" s="346">
        <v>17768.387780000001</v>
      </c>
      <c r="R52" s="346">
        <v>17510.808400000002</v>
      </c>
      <c r="S52" s="346">
        <v>838.17087719999995</v>
      </c>
      <c r="T52" s="346">
        <v>15475.42468</v>
      </c>
      <c r="U52" s="346">
        <v>452.96731240000003</v>
      </c>
      <c r="V52" s="346">
        <v>-15022.45737</v>
      </c>
      <c r="W52" s="346">
        <v>-14896.048070000001</v>
      </c>
      <c r="X52" s="346" t="s">
        <v>101</v>
      </c>
      <c r="Y52" s="346">
        <v>56302</v>
      </c>
      <c r="Z52" s="346">
        <v>5</v>
      </c>
      <c r="AA52" s="346" t="s">
        <v>996</v>
      </c>
      <c r="AB52" s="346" t="s">
        <v>107</v>
      </c>
      <c r="AC52" s="346" t="s">
        <v>104</v>
      </c>
      <c r="AD52" s="347">
        <v>0.77569999999999995</v>
      </c>
      <c r="AE52" s="347">
        <v>0.62939999999999996</v>
      </c>
      <c r="AF52" s="346">
        <v>2.98</v>
      </c>
      <c r="AG52" s="346">
        <v>4.67</v>
      </c>
      <c r="AH52" s="346">
        <v>6.07</v>
      </c>
      <c r="AI52" s="346">
        <v>7.3</v>
      </c>
      <c r="AJ52" s="346">
        <v>8.42</v>
      </c>
      <c r="AK52" s="347">
        <v>2.98E-2</v>
      </c>
      <c r="AL52" s="347">
        <v>1.7500000000000002E-2</v>
      </c>
      <c r="AM52" s="347">
        <v>1.47E-2</v>
      </c>
      <c r="AN52" s="347">
        <v>1.3100000000000001E-2</v>
      </c>
      <c r="AO52" s="347">
        <v>1.2E-2</v>
      </c>
      <c r="AP52" s="347">
        <v>2.98E-2</v>
      </c>
      <c r="AQ52" s="347">
        <v>2.3599999999999999E-2</v>
      </c>
      <c r="AR52" s="347">
        <v>2.07E-2</v>
      </c>
      <c r="AS52" s="347">
        <v>1.8800000000000001E-2</v>
      </c>
      <c r="AT52" s="347">
        <v>1.7399999999999999E-2</v>
      </c>
      <c r="AU52" s="347">
        <v>8.4199999999999997E-2</v>
      </c>
      <c r="AV52" s="346">
        <v>8.5500000000000007</v>
      </c>
      <c r="AW52" s="346">
        <v>-3.56</v>
      </c>
      <c r="AX52" s="346">
        <v>20.75</v>
      </c>
      <c r="AY52" s="346">
        <v>-4.1500000000000004</v>
      </c>
      <c r="AZ52" s="346">
        <v>-6.97</v>
      </c>
      <c r="BA52" s="346">
        <v>5.81</v>
      </c>
      <c r="BB52" s="346">
        <v>17.149999999999999</v>
      </c>
      <c r="BC52" s="346">
        <v>17.53</v>
      </c>
      <c r="BD52" s="346">
        <v>-15.52</v>
      </c>
      <c r="BE52" s="346">
        <v>10</v>
      </c>
      <c r="BF52" s="346">
        <v>-2.48</v>
      </c>
      <c r="BG52" s="346">
        <v>13.32</v>
      </c>
      <c r="BH52" s="346">
        <v>-9.74</v>
      </c>
      <c r="BI52" s="346">
        <v>-5.65</v>
      </c>
      <c r="BJ52" s="346">
        <v>5.65</v>
      </c>
      <c r="BK52" s="346">
        <v>16.239999999999998</v>
      </c>
      <c r="BL52" s="346">
        <v>13.56</v>
      </c>
      <c r="BM52" s="346">
        <v>-23.36</v>
      </c>
      <c r="BN52" s="346">
        <v>62.62</v>
      </c>
      <c r="BO52" s="346">
        <v>-7.57</v>
      </c>
      <c r="BP52" s="346">
        <v>-274.35000000000002</v>
      </c>
      <c r="BQ52" s="346">
        <v>-20.09</v>
      </c>
      <c r="BR52" s="346">
        <v>-33.21</v>
      </c>
      <c r="BS52" s="346">
        <v>113.43</v>
      </c>
      <c r="BT52" s="346">
        <v>-379.4</v>
      </c>
      <c r="BU52" s="346">
        <v>-0.17</v>
      </c>
      <c r="BV52" s="346">
        <v>-9.17</v>
      </c>
      <c r="BW52" s="346">
        <v>85.75</v>
      </c>
      <c r="BX52" s="346">
        <v>-6.37</v>
      </c>
      <c r="BY52" s="346">
        <v>-193.6</v>
      </c>
      <c r="BZ52" s="346">
        <v>-55.53</v>
      </c>
      <c r="CA52" s="346">
        <v>-31.62</v>
      </c>
      <c r="CB52" s="346">
        <v>126.8</v>
      </c>
      <c r="CC52" s="346">
        <v>-383.67</v>
      </c>
      <c r="CD52" s="346">
        <v>-0.17</v>
      </c>
      <c r="CE52" s="346">
        <v>-16.489999999999998</v>
      </c>
      <c r="CF52" s="346">
        <v>76.569999999999993</v>
      </c>
      <c r="CG52" s="346">
        <v>44.92</v>
      </c>
      <c r="CH52" s="346">
        <v>17.54</v>
      </c>
      <c r="CI52" s="346">
        <v>42.35</v>
      </c>
      <c r="CJ52" s="346">
        <v>49.88</v>
      </c>
      <c r="CK52" s="346">
        <v>69.66</v>
      </c>
      <c r="CL52" s="346">
        <v>31.77</v>
      </c>
      <c r="CM52" s="346">
        <v>4</v>
      </c>
      <c r="CN52" s="346">
        <v>97.99</v>
      </c>
      <c r="CO52" s="346">
        <v>13.01</v>
      </c>
      <c r="CP52" s="346">
        <v>-0.28000000000000003</v>
      </c>
      <c r="CQ52" s="346">
        <v>8.34</v>
      </c>
      <c r="CR52" s="346">
        <v>1.47</v>
      </c>
      <c r="CS52" s="346">
        <v>-0.32</v>
      </c>
      <c r="CT52" s="346">
        <v>76.69</v>
      </c>
      <c r="CU52" s="346">
        <v>1.03</v>
      </c>
      <c r="CV52" s="346">
        <v>-84.55</v>
      </c>
      <c r="CW52" s="346">
        <v>4676733429.3599997</v>
      </c>
    </row>
    <row r="53" spans="1:101" x14ac:dyDescent="0.25">
      <c r="A53" s="346" t="str">
        <f>VLOOKUP(B53,'Loan Book Summary'!C:G,5,FALSE)</f>
        <v>0014I00001jTjtP</v>
      </c>
      <c r="B53" s="346">
        <v>1100000002</v>
      </c>
      <c r="C53" s="346" t="s">
        <v>1889</v>
      </c>
      <c r="D53" s="346" t="s">
        <v>1889</v>
      </c>
      <c r="E53" s="346">
        <v>2022</v>
      </c>
      <c r="F53" s="346">
        <v>6</v>
      </c>
      <c r="G53" s="346">
        <v>50</v>
      </c>
      <c r="H53" s="346" t="s">
        <v>1889</v>
      </c>
      <c r="I53" s="346" t="s">
        <v>1889</v>
      </c>
      <c r="J53" s="346">
        <v>16201.341050000001</v>
      </c>
      <c r="K53" s="346">
        <v>16317.008620000001</v>
      </c>
      <c r="L53" s="346" t="s">
        <v>1889</v>
      </c>
      <c r="M53" s="346" t="s">
        <v>1889</v>
      </c>
      <c r="N53" s="346">
        <v>0</v>
      </c>
      <c r="O53" s="346" t="s">
        <v>1889</v>
      </c>
      <c r="P53" s="346">
        <v>6620.7832079999998</v>
      </c>
      <c r="Q53" s="346">
        <v>3226.8301000000001</v>
      </c>
      <c r="R53" s="346">
        <v>3180.052369</v>
      </c>
      <c r="S53" s="346" t="s">
        <v>1889</v>
      </c>
      <c r="T53" s="346">
        <v>680.92866700000002</v>
      </c>
      <c r="U53" s="346">
        <v>606.75276289999999</v>
      </c>
      <c r="V53" s="346">
        <v>-76.567222959999995</v>
      </c>
      <c r="W53" s="346">
        <v>-101.8190132</v>
      </c>
      <c r="X53" s="346" t="s">
        <v>101</v>
      </c>
      <c r="Y53" s="346">
        <v>55100</v>
      </c>
      <c r="Z53" s="346">
        <v>5</v>
      </c>
      <c r="AA53" s="346" t="s">
        <v>996</v>
      </c>
      <c r="AB53" s="346" t="s">
        <v>105</v>
      </c>
      <c r="AC53" s="346" t="s">
        <v>110</v>
      </c>
      <c r="AD53" s="347">
        <v>0.51019999999999999</v>
      </c>
      <c r="AE53" s="347">
        <v>0.3493</v>
      </c>
      <c r="AF53" s="346">
        <v>1.1599999999999999</v>
      </c>
      <c r="AG53" s="346">
        <v>2.06</v>
      </c>
      <c r="AH53" s="346">
        <v>2.88</v>
      </c>
      <c r="AI53" s="346">
        <v>3.65</v>
      </c>
      <c r="AJ53" s="346">
        <v>4.38</v>
      </c>
      <c r="AK53" s="347">
        <v>1.1599999999999999E-2</v>
      </c>
      <c r="AL53" s="347">
        <v>9.1000000000000004E-3</v>
      </c>
      <c r="AM53" s="347">
        <v>8.3999999999999995E-3</v>
      </c>
      <c r="AN53" s="347">
        <v>7.9000000000000008E-3</v>
      </c>
      <c r="AO53" s="347">
        <v>7.6E-3</v>
      </c>
      <c r="AP53" s="347">
        <v>1.1599999999999999E-2</v>
      </c>
      <c r="AQ53" s="347">
        <v>1.04E-2</v>
      </c>
      <c r="AR53" s="347">
        <v>9.7000000000000003E-3</v>
      </c>
      <c r="AS53" s="347">
        <v>9.2999999999999992E-3</v>
      </c>
      <c r="AT53" s="347">
        <v>8.8999999999999999E-3</v>
      </c>
      <c r="AU53" s="347">
        <v>4.3799999999999999E-2</v>
      </c>
      <c r="AV53" s="346" t="s">
        <v>1889</v>
      </c>
      <c r="AW53" s="346" t="s">
        <v>1889</v>
      </c>
      <c r="AX53" s="346">
        <v>31.99</v>
      </c>
      <c r="AY53" s="346">
        <v>-6.89</v>
      </c>
      <c r="AZ53" s="346" t="s">
        <v>1889</v>
      </c>
      <c r="BA53" s="346">
        <v>-25.64</v>
      </c>
      <c r="BB53" s="346" t="s">
        <v>1889</v>
      </c>
      <c r="BC53" s="346">
        <v>23.77</v>
      </c>
      <c r="BD53" s="346">
        <v>-11.71</v>
      </c>
      <c r="BE53" s="346" t="s">
        <v>1889</v>
      </c>
      <c r="BF53" s="346" t="s">
        <v>1889</v>
      </c>
      <c r="BG53" s="346">
        <v>21.04</v>
      </c>
      <c r="BH53" s="346">
        <v>-16.59</v>
      </c>
      <c r="BI53" s="346" t="s">
        <v>1889</v>
      </c>
      <c r="BJ53" s="346">
        <v>-25.51</v>
      </c>
      <c r="BK53" s="346" t="s">
        <v>1889</v>
      </c>
      <c r="BL53" s="346">
        <v>18.829999999999998</v>
      </c>
      <c r="BM53" s="346">
        <v>-18.04</v>
      </c>
      <c r="BN53" s="346">
        <v>0</v>
      </c>
      <c r="BO53" s="346">
        <v>0</v>
      </c>
      <c r="BP53" s="346">
        <v>-342.43</v>
      </c>
      <c r="BQ53" s="346">
        <v>-26.31</v>
      </c>
      <c r="BR53" s="346">
        <v>0</v>
      </c>
      <c r="BS53" s="346">
        <v>35.39</v>
      </c>
      <c r="BT53" s="346">
        <v>0</v>
      </c>
      <c r="BU53" s="346">
        <v>-44.8</v>
      </c>
      <c r="BV53" s="346">
        <v>-51.07</v>
      </c>
      <c r="BW53" s="346">
        <v>0</v>
      </c>
      <c r="BX53" s="346">
        <v>0</v>
      </c>
      <c r="BY53" s="346">
        <v>-253.33</v>
      </c>
      <c r="BZ53" s="346">
        <v>-73.319999999999993</v>
      </c>
      <c r="CA53" s="346">
        <v>0</v>
      </c>
      <c r="CB53" s="346">
        <v>40.69</v>
      </c>
      <c r="CC53" s="346">
        <v>0</v>
      </c>
      <c r="CD53" s="346">
        <v>-41.1</v>
      </c>
      <c r="CE53" s="346">
        <v>-91.56</v>
      </c>
      <c r="CF53" s="346" t="s">
        <v>1889</v>
      </c>
      <c r="CG53" s="346" t="s">
        <v>1889</v>
      </c>
      <c r="CH53" s="346">
        <v>21.39</v>
      </c>
      <c r="CI53" s="346">
        <v>42.35</v>
      </c>
      <c r="CJ53" s="346" t="s">
        <v>1889</v>
      </c>
      <c r="CK53" s="346">
        <v>25.28</v>
      </c>
      <c r="CL53" s="346" t="s">
        <v>1889</v>
      </c>
      <c r="CM53" s="346">
        <v>16.670000000000002</v>
      </c>
      <c r="CN53" s="346">
        <v>87.28</v>
      </c>
      <c r="CO53" s="346" t="s">
        <v>1889</v>
      </c>
      <c r="CP53" s="346" t="s">
        <v>1889</v>
      </c>
      <c r="CQ53" s="346">
        <v>89.11</v>
      </c>
      <c r="CR53" s="346">
        <v>1.47</v>
      </c>
      <c r="CS53" s="346" t="s">
        <v>1889</v>
      </c>
      <c r="CT53" s="346">
        <v>40.869999999999997</v>
      </c>
      <c r="CU53" s="346" t="s">
        <v>1889</v>
      </c>
      <c r="CV53" s="346">
        <v>-2.37</v>
      </c>
      <c r="CW53" s="346">
        <v>828466662.70000005</v>
      </c>
    </row>
    <row r="54" spans="1:101" x14ac:dyDescent="0.25">
      <c r="A54" s="346" t="str">
        <f>VLOOKUP(B54,'Loan Book Summary'!C:G,5,FALSE)</f>
        <v>0015800001VjgTF</v>
      </c>
      <c r="B54" s="346">
        <v>1100000202</v>
      </c>
      <c r="C54" s="346" t="s">
        <v>1889</v>
      </c>
      <c r="D54" s="346" t="s">
        <v>1889</v>
      </c>
      <c r="E54" s="346">
        <v>2022</v>
      </c>
      <c r="F54" s="346">
        <v>6</v>
      </c>
      <c r="G54" s="346">
        <v>50</v>
      </c>
      <c r="H54" s="346">
        <v>35.199860000000001</v>
      </c>
      <c r="I54" s="346">
        <v>35.199860000000001</v>
      </c>
      <c r="J54" s="346">
        <v>5612.5606959999996</v>
      </c>
      <c r="K54" s="346">
        <v>5890.7967619999999</v>
      </c>
      <c r="L54" s="346">
        <v>578.90259000000003</v>
      </c>
      <c r="M54" s="346" t="s">
        <v>1889</v>
      </c>
      <c r="N54" s="346">
        <v>648.82230000000004</v>
      </c>
      <c r="O54" s="346">
        <v>648.82230000000004</v>
      </c>
      <c r="P54" s="346">
        <v>8023.2204220000003</v>
      </c>
      <c r="Q54" s="346">
        <v>3214.4260450000002</v>
      </c>
      <c r="R54" s="346">
        <v>3167.8281280000001</v>
      </c>
      <c r="S54" s="346">
        <v>130.95157349999999</v>
      </c>
      <c r="T54" s="346" t="s">
        <v>1889</v>
      </c>
      <c r="U54" s="346">
        <v>85.32775212</v>
      </c>
      <c r="V54" s="346">
        <v>65.168989120000006</v>
      </c>
      <c r="W54" s="346">
        <v>84.922671519999994</v>
      </c>
      <c r="X54" s="346" t="s">
        <v>101</v>
      </c>
      <c r="Y54" s="346">
        <v>55100</v>
      </c>
      <c r="Z54" s="346">
        <v>5</v>
      </c>
      <c r="AA54" s="346" t="s">
        <v>996</v>
      </c>
      <c r="AB54" s="346" t="s">
        <v>107</v>
      </c>
      <c r="AC54" s="346" t="s">
        <v>107</v>
      </c>
      <c r="AD54" s="347">
        <v>0.79669999999999996</v>
      </c>
      <c r="AE54" s="347">
        <v>0.77600000000000002</v>
      </c>
      <c r="AF54" s="346">
        <v>3.26</v>
      </c>
      <c r="AG54" s="346">
        <v>5.9</v>
      </c>
      <c r="AH54" s="346">
        <v>8.3000000000000007</v>
      </c>
      <c r="AI54" s="346">
        <v>10.54</v>
      </c>
      <c r="AJ54" s="346">
        <v>12.66</v>
      </c>
      <c r="AK54" s="347">
        <v>3.2599999999999997E-2</v>
      </c>
      <c r="AL54" s="347">
        <v>2.7199999999999998E-2</v>
      </c>
      <c r="AM54" s="347">
        <v>2.5499999999999998E-2</v>
      </c>
      <c r="AN54" s="347">
        <v>2.4500000000000001E-2</v>
      </c>
      <c r="AO54" s="347">
        <v>2.3699999999999999E-2</v>
      </c>
      <c r="AP54" s="347">
        <v>3.2599999999999997E-2</v>
      </c>
      <c r="AQ54" s="347">
        <v>2.9899999999999999E-2</v>
      </c>
      <c r="AR54" s="347">
        <v>2.8500000000000001E-2</v>
      </c>
      <c r="AS54" s="347">
        <v>2.75E-2</v>
      </c>
      <c r="AT54" s="347">
        <v>2.6700000000000002E-2</v>
      </c>
      <c r="AU54" s="347">
        <v>0.12659999999999999</v>
      </c>
      <c r="AV54" s="346">
        <v>20.57</v>
      </c>
      <c r="AW54" s="346">
        <v>-5.23</v>
      </c>
      <c r="AX54" s="346" t="s">
        <v>1889</v>
      </c>
      <c r="AY54" s="346">
        <v>-5.6</v>
      </c>
      <c r="AZ54" s="346">
        <v>-9.75</v>
      </c>
      <c r="BA54" s="346">
        <v>49.44</v>
      </c>
      <c r="BB54" s="346">
        <v>6.19</v>
      </c>
      <c r="BC54" s="346">
        <v>0.93</v>
      </c>
      <c r="BD54" s="346">
        <v>-2.29</v>
      </c>
      <c r="BE54" s="346">
        <v>22.51</v>
      </c>
      <c r="BF54" s="346">
        <v>-3.41</v>
      </c>
      <c r="BG54" s="346" t="s">
        <v>1889</v>
      </c>
      <c r="BH54" s="346">
        <v>-12.33</v>
      </c>
      <c r="BI54" s="346">
        <v>-7.4</v>
      </c>
      <c r="BJ54" s="346">
        <v>44.97</v>
      </c>
      <c r="BK54" s="346">
        <v>5.49</v>
      </c>
      <c r="BL54" s="346">
        <v>0.67</v>
      </c>
      <c r="BM54" s="346">
        <v>-3.23</v>
      </c>
      <c r="BN54" s="346">
        <v>45.52</v>
      </c>
      <c r="BO54" s="346">
        <v>2.34</v>
      </c>
      <c r="BP54" s="346">
        <v>0</v>
      </c>
      <c r="BQ54" s="346">
        <v>-27</v>
      </c>
      <c r="BR54" s="346">
        <v>-34.26</v>
      </c>
      <c r="BS54" s="346">
        <v>11.22</v>
      </c>
      <c r="BT54" s="346">
        <v>-430.53</v>
      </c>
      <c r="BU54" s="346">
        <v>-213.4</v>
      </c>
      <c r="BV54" s="346">
        <v>-35.729999999999997</v>
      </c>
      <c r="BW54" s="346">
        <v>56.1</v>
      </c>
      <c r="BX54" s="346">
        <v>1.61</v>
      </c>
      <c r="BY54" s="346">
        <v>0</v>
      </c>
      <c r="BZ54" s="346">
        <v>-67.61</v>
      </c>
      <c r="CA54" s="346">
        <v>-27.72</v>
      </c>
      <c r="CB54" s="346">
        <v>10.87</v>
      </c>
      <c r="CC54" s="346">
        <v>-406.44</v>
      </c>
      <c r="CD54" s="346">
        <v>-173.03</v>
      </c>
      <c r="CE54" s="346">
        <v>-56.62</v>
      </c>
      <c r="CF54" s="346">
        <v>89.37</v>
      </c>
      <c r="CG54" s="346">
        <v>49.84</v>
      </c>
      <c r="CH54" s="346" t="s">
        <v>1889</v>
      </c>
      <c r="CI54" s="346">
        <v>42.35</v>
      </c>
      <c r="CJ54" s="346">
        <v>50.46</v>
      </c>
      <c r="CK54" s="346">
        <v>100</v>
      </c>
      <c r="CL54" s="346">
        <v>48.77</v>
      </c>
      <c r="CM54" s="346">
        <v>45.94</v>
      </c>
      <c r="CN54" s="346">
        <v>72.459999999999994</v>
      </c>
      <c r="CO54" s="346">
        <v>18.010000000000002</v>
      </c>
      <c r="CP54" s="346">
        <v>-0.02</v>
      </c>
      <c r="CQ54" s="346" t="s">
        <v>1889</v>
      </c>
      <c r="CR54" s="346">
        <v>1.47</v>
      </c>
      <c r="CS54" s="346">
        <v>-0.26</v>
      </c>
      <c r="CT54" s="346">
        <v>138.5</v>
      </c>
      <c r="CU54" s="346">
        <v>7.71</v>
      </c>
      <c r="CV54" s="346">
        <v>2.0299999999999998</v>
      </c>
      <c r="CW54" s="346">
        <v>320180104.75999999</v>
      </c>
    </row>
    <row r="55" spans="1:101" x14ac:dyDescent="0.25">
      <c r="A55" s="346" t="str">
        <f>VLOOKUP(B55,'Loan Book Summary'!C:G,5,FALSE)</f>
        <v>0014I00001xvXvo</v>
      </c>
      <c r="B55" s="346">
        <v>1200000117</v>
      </c>
      <c r="C55" s="346" t="s">
        <v>1889</v>
      </c>
      <c r="D55" s="346" t="s">
        <v>1889</v>
      </c>
      <c r="E55" s="346">
        <v>2022</v>
      </c>
      <c r="F55" s="346">
        <v>6</v>
      </c>
      <c r="G55" s="346">
        <v>612.59090230000004</v>
      </c>
      <c r="H55" s="346">
        <v>391.66025000000002</v>
      </c>
      <c r="I55" s="346">
        <v>391.66025000000002</v>
      </c>
      <c r="J55" s="346">
        <v>7471.0487130000001</v>
      </c>
      <c r="K55" s="346">
        <v>7523.8792890000004</v>
      </c>
      <c r="L55" s="346">
        <v>701.68349000000001</v>
      </c>
      <c r="M55" s="346" t="s">
        <v>1889</v>
      </c>
      <c r="N55" s="346">
        <v>8649.1076599999997</v>
      </c>
      <c r="O55" s="346">
        <v>8714.1076599999997</v>
      </c>
      <c r="P55" s="346">
        <v>6214.8549999999996</v>
      </c>
      <c r="Q55" s="346">
        <v>5955.6508489999997</v>
      </c>
      <c r="R55" s="346">
        <v>5869.3147760000002</v>
      </c>
      <c r="S55" s="346">
        <v>149.75131819999999</v>
      </c>
      <c r="T55" s="346" t="s">
        <v>1889</v>
      </c>
      <c r="U55" s="346">
        <v>367.56942370000002</v>
      </c>
      <c r="V55" s="346">
        <v>294.05553900000001</v>
      </c>
      <c r="W55" s="346">
        <v>81.464121649999996</v>
      </c>
      <c r="X55" s="346" t="s">
        <v>101</v>
      </c>
      <c r="Y55" s="346">
        <v>56302</v>
      </c>
      <c r="Z55" s="346">
        <v>5</v>
      </c>
      <c r="AA55" s="346" t="s">
        <v>996</v>
      </c>
      <c r="AB55" s="346" t="s">
        <v>105</v>
      </c>
      <c r="AC55" s="346" t="s">
        <v>105</v>
      </c>
      <c r="AD55" s="347">
        <v>0.58430000000000004</v>
      </c>
      <c r="AE55" s="347">
        <v>0.52639999999999998</v>
      </c>
      <c r="AF55" s="346">
        <v>1.46</v>
      </c>
      <c r="AG55" s="346">
        <v>2.8</v>
      </c>
      <c r="AH55" s="346">
        <v>4.09</v>
      </c>
      <c r="AI55" s="346">
        <v>5.34</v>
      </c>
      <c r="AJ55" s="346">
        <v>6.56</v>
      </c>
      <c r="AK55" s="347">
        <v>1.46E-2</v>
      </c>
      <c r="AL55" s="347">
        <v>1.3599999999999999E-2</v>
      </c>
      <c r="AM55" s="347">
        <v>1.3299999999999999E-2</v>
      </c>
      <c r="AN55" s="347">
        <v>1.2999999999999999E-2</v>
      </c>
      <c r="AO55" s="347">
        <v>1.29E-2</v>
      </c>
      <c r="AP55" s="347">
        <v>1.46E-2</v>
      </c>
      <c r="AQ55" s="347">
        <v>1.41E-2</v>
      </c>
      <c r="AR55" s="347">
        <v>1.38E-2</v>
      </c>
      <c r="AS55" s="347">
        <v>1.3599999999999999E-2</v>
      </c>
      <c r="AT55" s="347">
        <v>1.35E-2</v>
      </c>
      <c r="AU55" s="347">
        <v>6.5600000000000006E-2</v>
      </c>
      <c r="AV55" s="346">
        <v>8.58</v>
      </c>
      <c r="AW55" s="346">
        <v>-6.09</v>
      </c>
      <c r="AX55" s="346" t="s">
        <v>1889</v>
      </c>
      <c r="AY55" s="346">
        <v>-6.52</v>
      </c>
      <c r="AZ55" s="346">
        <v>-11.4</v>
      </c>
      <c r="BA55" s="346">
        <v>37.94</v>
      </c>
      <c r="BB55" s="346">
        <v>9.2799999999999994</v>
      </c>
      <c r="BC55" s="346">
        <v>-9.1300000000000008</v>
      </c>
      <c r="BD55" s="346">
        <v>-11.07</v>
      </c>
      <c r="BE55" s="346">
        <v>9.27</v>
      </c>
      <c r="BF55" s="346">
        <v>-3.92</v>
      </c>
      <c r="BG55" s="346" t="s">
        <v>1889</v>
      </c>
      <c r="BH55" s="346">
        <v>-14.16</v>
      </c>
      <c r="BI55" s="346">
        <v>-8.5399999999999991</v>
      </c>
      <c r="BJ55" s="346">
        <v>34.07</v>
      </c>
      <c r="BK55" s="346">
        <v>8.1300000000000008</v>
      </c>
      <c r="BL55" s="346">
        <v>-6.53</v>
      </c>
      <c r="BM55" s="346">
        <v>-15.39</v>
      </c>
      <c r="BN55" s="346">
        <v>79.599999999999994</v>
      </c>
      <c r="BO55" s="346">
        <v>2.1800000000000002</v>
      </c>
      <c r="BP55" s="346">
        <v>0</v>
      </c>
      <c r="BQ55" s="346">
        <v>-24.99</v>
      </c>
      <c r="BR55" s="346">
        <v>12.79</v>
      </c>
      <c r="BS55" s="346">
        <v>146.44</v>
      </c>
      <c r="BT55" s="346">
        <v>-388.98</v>
      </c>
      <c r="BU55" s="346">
        <v>-96.2</v>
      </c>
      <c r="BV55" s="346">
        <v>-48.82</v>
      </c>
      <c r="BW55" s="346">
        <v>92.94</v>
      </c>
      <c r="BX55" s="346">
        <v>1.52</v>
      </c>
      <c r="BY55" s="346">
        <v>0</v>
      </c>
      <c r="BZ55" s="346">
        <v>-58.67</v>
      </c>
      <c r="CA55" s="346">
        <v>10.59</v>
      </c>
      <c r="CB55" s="346">
        <v>138.81</v>
      </c>
      <c r="CC55" s="346">
        <v>-350.13</v>
      </c>
      <c r="CD55" s="346">
        <v>-74.27</v>
      </c>
      <c r="CE55" s="346">
        <v>-73.08</v>
      </c>
      <c r="CF55" s="346">
        <v>71.78</v>
      </c>
      <c r="CG55" s="346">
        <v>48.07</v>
      </c>
      <c r="CH55" s="346" t="s">
        <v>1889</v>
      </c>
      <c r="CI55" s="346">
        <v>42.35</v>
      </c>
      <c r="CJ55" s="346">
        <v>64.14</v>
      </c>
      <c r="CK55" s="346">
        <v>88.2</v>
      </c>
      <c r="CL55" s="346">
        <v>47.81</v>
      </c>
      <c r="CM55" s="346">
        <v>65.760000000000005</v>
      </c>
      <c r="CN55" s="346">
        <v>87.23</v>
      </c>
      <c r="CO55" s="346">
        <v>11.78</v>
      </c>
      <c r="CP55" s="346">
        <v>-0.1</v>
      </c>
      <c r="CQ55" s="346" t="s">
        <v>1889</v>
      </c>
      <c r="CR55" s="346">
        <v>1.47</v>
      </c>
      <c r="CS55" s="346">
        <v>1.32</v>
      </c>
      <c r="CT55" s="346">
        <v>92.21</v>
      </c>
      <c r="CU55" s="346">
        <v>7.08</v>
      </c>
      <c r="CV55" s="346">
        <v>4.9400000000000004</v>
      </c>
      <c r="CW55" s="346">
        <v>824315228.67999995</v>
      </c>
    </row>
    <row r="56" spans="1:101" x14ac:dyDescent="0.25">
      <c r="A56" s="346" t="str">
        <f>VLOOKUP(B56,'Loan Book Summary'!C:G,5,FALSE)</f>
        <v>0015800001Enl9O</v>
      </c>
      <c r="B56" s="346">
        <v>1100000175</v>
      </c>
      <c r="C56" s="346" t="s">
        <v>1889</v>
      </c>
      <c r="D56" s="346" t="s">
        <v>1889</v>
      </c>
      <c r="E56" s="346">
        <v>2022</v>
      </c>
      <c r="F56" s="346">
        <v>6</v>
      </c>
      <c r="G56" s="346">
        <v>50</v>
      </c>
      <c r="H56" s="346" t="s">
        <v>1889</v>
      </c>
      <c r="I56" s="346" t="s">
        <v>1889</v>
      </c>
      <c r="J56" s="346">
        <v>80.803925030000002</v>
      </c>
      <c r="K56" s="346">
        <v>247.6382906</v>
      </c>
      <c r="L56" s="346" t="s">
        <v>1889</v>
      </c>
      <c r="M56" s="346" t="s">
        <v>1889</v>
      </c>
      <c r="N56" s="346">
        <v>0</v>
      </c>
      <c r="O56" s="346" t="s">
        <v>1889</v>
      </c>
      <c r="P56" s="346">
        <v>27678.341359999999</v>
      </c>
      <c r="Q56" s="346">
        <v>3010.8732060000002</v>
      </c>
      <c r="R56" s="346">
        <v>2414.0060389999999</v>
      </c>
      <c r="S56" s="346" t="s">
        <v>1889</v>
      </c>
      <c r="T56" s="346">
        <v>2535.3027419999999</v>
      </c>
      <c r="U56" s="346">
        <v>240.78845200000001</v>
      </c>
      <c r="V56" s="346">
        <v>-2294.5142900000001</v>
      </c>
      <c r="W56" s="346">
        <v>-2484.1865809999999</v>
      </c>
      <c r="X56" s="346" t="s">
        <v>101</v>
      </c>
      <c r="Y56" s="346">
        <v>55100</v>
      </c>
      <c r="Z56" s="346">
        <v>5</v>
      </c>
      <c r="AA56" s="346" t="s">
        <v>996</v>
      </c>
      <c r="AB56" s="346" t="s">
        <v>118</v>
      </c>
      <c r="AC56" s="346" t="s">
        <v>118</v>
      </c>
      <c r="AD56" s="347">
        <v>0.96040000000000003</v>
      </c>
      <c r="AE56" s="347">
        <v>0.96389999999999998</v>
      </c>
      <c r="AF56" s="346">
        <v>11.5</v>
      </c>
      <c r="AG56" s="346">
        <v>19.64</v>
      </c>
      <c r="AH56" s="346">
        <v>26.46</v>
      </c>
      <c r="AI56" s="346">
        <v>32.380000000000003</v>
      </c>
      <c r="AJ56" s="346">
        <v>37.61</v>
      </c>
      <c r="AK56" s="347">
        <v>0.115</v>
      </c>
      <c r="AL56" s="347">
        <v>9.1899999999999996E-2</v>
      </c>
      <c r="AM56" s="347">
        <v>8.48E-2</v>
      </c>
      <c r="AN56" s="347">
        <v>8.0500000000000002E-2</v>
      </c>
      <c r="AO56" s="347">
        <v>7.7399999999999997E-2</v>
      </c>
      <c r="AP56" s="347">
        <v>0.115</v>
      </c>
      <c r="AQ56" s="347">
        <v>0.1036</v>
      </c>
      <c r="AR56" s="347">
        <v>9.74E-2</v>
      </c>
      <c r="AS56" s="347">
        <v>9.3200000000000005E-2</v>
      </c>
      <c r="AT56" s="347">
        <v>0.09</v>
      </c>
      <c r="AU56" s="347">
        <v>0.37609999999999999</v>
      </c>
      <c r="AV56" s="346" t="s">
        <v>1889</v>
      </c>
      <c r="AW56" s="346" t="s">
        <v>1889</v>
      </c>
      <c r="AX56" s="346">
        <v>20.87</v>
      </c>
      <c r="AY56" s="346">
        <v>0.86</v>
      </c>
      <c r="AZ56" s="346" t="s">
        <v>1889</v>
      </c>
      <c r="BA56" s="346">
        <v>36.81</v>
      </c>
      <c r="BB56" s="346" t="s">
        <v>1889</v>
      </c>
      <c r="BC56" s="346">
        <v>17.64</v>
      </c>
      <c r="BD56" s="346">
        <v>23.83</v>
      </c>
      <c r="BE56" s="346" t="s">
        <v>1889</v>
      </c>
      <c r="BF56" s="346" t="s">
        <v>1889</v>
      </c>
      <c r="BG56" s="346">
        <v>13.31</v>
      </c>
      <c r="BH56" s="346">
        <v>2</v>
      </c>
      <c r="BI56" s="346" t="s">
        <v>1889</v>
      </c>
      <c r="BJ56" s="346">
        <v>35.520000000000003</v>
      </c>
      <c r="BK56" s="346" t="s">
        <v>1889</v>
      </c>
      <c r="BL56" s="346">
        <v>13.55</v>
      </c>
      <c r="BM56" s="346">
        <v>35.61</v>
      </c>
      <c r="BN56" s="346">
        <v>0</v>
      </c>
      <c r="BO56" s="346">
        <v>0</v>
      </c>
      <c r="BP56" s="346">
        <v>-176.59</v>
      </c>
      <c r="BQ56" s="346">
        <v>28.16</v>
      </c>
      <c r="BR56" s="346">
        <v>0</v>
      </c>
      <c r="BS56" s="346">
        <v>5.9</v>
      </c>
      <c r="BT56" s="346">
        <v>0</v>
      </c>
      <c r="BU56" s="346">
        <v>-0.12</v>
      </c>
      <c r="BV56" s="346">
        <v>-289.23</v>
      </c>
      <c r="BW56" s="346">
        <v>0</v>
      </c>
      <c r="BX56" s="346">
        <v>0</v>
      </c>
      <c r="BY56" s="346">
        <v>-111.34</v>
      </c>
      <c r="BZ56" s="346">
        <v>63.26</v>
      </c>
      <c r="CA56" s="346">
        <v>0</v>
      </c>
      <c r="CB56" s="346">
        <v>5.46</v>
      </c>
      <c r="CC56" s="346">
        <v>0</v>
      </c>
      <c r="CD56" s="346">
        <v>-0.09</v>
      </c>
      <c r="CE56" s="346">
        <v>-319.83999999999997</v>
      </c>
      <c r="CF56" s="346" t="s">
        <v>1889</v>
      </c>
      <c r="CG56" s="346" t="s">
        <v>1889</v>
      </c>
      <c r="CH56" s="346">
        <v>17.59</v>
      </c>
      <c r="CI56" s="346">
        <v>82.44</v>
      </c>
      <c r="CJ56" s="346" t="s">
        <v>1889</v>
      </c>
      <c r="CK56" s="346">
        <v>100</v>
      </c>
      <c r="CL56" s="346" t="s">
        <v>1889</v>
      </c>
      <c r="CM56" s="346">
        <v>4</v>
      </c>
      <c r="CN56" s="346">
        <v>2</v>
      </c>
      <c r="CO56" s="346" t="s">
        <v>1889</v>
      </c>
      <c r="CP56" s="346" t="s">
        <v>1889</v>
      </c>
      <c r="CQ56" s="346">
        <v>9.5</v>
      </c>
      <c r="CR56" s="346">
        <v>24.73</v>
      </c>
      <c r="CS56" s="346" t="s">
        <v>1889</v>
      </c>
      <c r="CT56" s="346">
        <v>34253.71</v>
      </c>
      <c r="CU56" s="346" t="s">
        <v>1889</v>
      </c>
      <c r="CV56" s="346">
        <v>-76.209999999999994</v>
      </c>
      <c r="CW56" s="346">
        <v>4131964.01</v>
      </c>
    </row>
    <row r="57" spans="1:101" x14ac:dyDescent="0.25">
      <c r="A57" s="346" t="str">
        <f>VLOOKUP(B57,'Loan Book Summary'!C:G,5,FALSE)</f>
        <v>0014I00001opmrL</v>
      </c>
      <c r="B57" s="346">
        <v>1200000105</v>
      </c>
      <c r="C57" s="346" t="s">
        <v>1889</v>
      </c>
      <c r="D57" s="346" t="s">
        <v>1889</v>
      </c>
      <c r="E57" s="346">
        <v>2022</v>
      </c>
      <c r="F57" s="346">
        <v>6</v>
      </c>
      <c r="G57" s="346">
        <v>197.63318419999999</v>
      </c>
      <c r="H57" s="346">
        <v>105.16246</v>
      </c>
      <c r="I57" s="346">
        <v>105.16246</v>
      </c>
      <c r="J57" s="346">
        <v>995.00651319999997</v>
      </c>
      <c r="K57" s="346">
        <v>860.64160860000004</v>
      </c>
      <c r="L57" s="346">
        <v>-160.98150999999999</v>
      </c>
      <c r="M57" s="346" t="s">
        <v>1889</v>
      </c>
      <c r="N57" s="346">
        <v>210.31985</v>
      </c>
      <c r="O57" s="346">
        <v>210.31985</v>
      </c>
      <c r="P57" s="346">
        <v>1567.701</v>
      </c>
      <c r="Q57" s="346">
        <v>955.2208306</v>
      </c>
      <c r="R57" s="346">
        <v>941.37347509999995</v>
      </c>
      <c r="S57" s="346" t="s">
        <v>1889</v>
      </c>
      <c r="T57" s="346">
        <v>177.39952679999999</v>
      </c>
      <c r="U57" s="346">
        <v>403.53243149999997</v>
      </c>
      <c r="V57" s="346">
        <v>180.9063237</v>
      </c>
      <c r="W57" s="346">
        <v>199.00269800000001</v>
      </c>
      <c r="X57" s="346" t="s">
        <v>101</v>
      </c>
      <c r="Y57" s="346">
        <v>55100</v>
      </c>
      <c r="Z57" s="346">
        <v>5</v>
      </c>
      <c r="AA57" s="346" t="s">
        <v>996</v>
      </c>
      <c r="AB57" s="346" t="s">
        <v>110</v>
      </c>
      <c r="AC57" s="346" t="s">
        <v>110</v>
      </c>
      <c r="AD57" s="347">
        <v>0.43859999999999999</v>
      </c>
      <c r="AE57" s="347">
        <v>0.37069999999999997</v>
      </c>
      <c r="AF57" s="346">
        <v>0.92</v>
      </c>
      <c r="AG57" s="346">
        <v>1.85</v>
      </c>
      <c r="AH57" s="346">
        <v>2.77</v>
      </c>
      <c r="AI57" s="346">
        <v>3.69</v>
      </c>
      <c r="AJ57" s="346">
        <v>4.5999999999999996</v>
      </c>
      <c r="AK57" s="347">
        <v>9.1999999999999998E-3</v>
      </c>
      <c r="AL57" s="347">
        <v>9.4000000000000004E-3</v>
      </c>
      <c r="AM57" s="347">
        <v>9.4000000000000004E-3</v>
      </c>
      <c r="AN57" s="347">
        <v>9.4999999999999998E-3</v>
      </c>
      <c r="AO57" s="347">
        <v>9.4999999999999998E-3</v>
      </c>
      <c r="AP57" s="347">
        <v>9.1999999999999998E-3</v>
      </c>
      <c r="AQ57" s="347">
        <v>9.2999999999999992E-3</v>
      </c>
      <c r="AR57" s="347">
        <v>9.2999999999999992E-3</v>
      </c>
      <c r="AS57" s="347">
        <v>9.4000000000000004E-3</v>
      </c>
      <c r="AT57" s="347">
        <v>9.4000000000000004E-3</v>
      </c>
      <c r="AU57" s="347">
        <v>4.5999999999999999E-2</v>
      </c>
      <c r="AV57" s="346">
        <v>-16.809999999999999</v>
      </c>
      <c r="AW57" s="346">
        <v>-3.21</v>
      </c>
      <c r="AX57" s="346">
        <v>11.14</v>
      </c>
      <c r="AY57" s="346">
        <v>-3.55</v>
      </c>
      <c r="AZ57" s="346">
        <v>-1.4</v>
      </c>
      <c r="BA57" s="346">
        <v>31.35</v>
      </c>
      <c r="BB57" s="346">
        <v>-17.2</v>
      </c>
      <c r="BC57" s="346">
        <v>-11.54</v>
      </c>
      <c r="BD57" s="346">
        <v>3.8</v>
      </c>
      <c r="BE57" s="346">
        <v>-19.66</v>
      </c>
      <c r="BF57" s="346">
        <v>-2.2400000000000002</v>
      </c>
      <c r="BG57" s="346">
        <v>7.16</v>
      </c>
      <c r="BH57" s="346">
        <v>-8.36</v>
      </c>
      <c r="BI57" s="346">
        <v>-1.1399999999999999</v>
      </c>
      <c r="BJ57" s="346">
        <v>30.49</v>
      </c>
      <c r="BK57" s="346">
        <v>-16.3</v>
      </c>
      <c r="BL57" s="346">
        <v>-8.94</v>
      </c>
      <c r="BM57" s="346">
        <v>5.73</v>
      </c>
      <c r="BN57" s="346">
        <v>170.86</v>
      </c>
      <c r="BO57" s="346">
        <v>-3.99</v>
      </c>
      <c r="BP57" s="346">
        <v>-236.93</v>
      </c>
      <c r="BQ57" s="346">
        <v>-18.809999999999999</v>
      </c>
      <c r="BR57" s="346">
        <v>-60.6</v>
      </c>
      <c r="BS57" s="346">
        <v>7.92</v>
      </c>
      <c r="BT57" s="346">
        <v>-18.63</v>
      </c>
      <c r="BU57" s="346">
        <v>-6.88</v>
      </c>
      <c r="BV57" s="346">
        <v>-375.39</v>
      </c>
      <c r="BW57" s="346">
        <v>171</v>
      </c>
      <c r="BX57" s="346">
        <v>-2.25</v>
      </c>
      <c r="BY57" s="346">
        <v>-129.22999999999999</v>
      </c>
      <c r="BZ57" s="346">
        <v>-34.76</v>
      </c>
      <c r="CA57" s="346">
        <v>-38.49</v>
      </c>
      <c r="CB57" s="346">
        <v>6.1</v>
      </c>
      <c r="CC57" s="346">
        <v>-13.89</v>
      </c>
      <c r="CD57" s="346">
        <v>-4.29</v>
      </c>
      <c r="CE57" s="346">
        <v>-499.99</v>
      </c>
      <c r="CF57" s="346">
        <v>2</v>
      </c>
      <c r="CG57" s="346">
        <v>46.89</v>
      </c>
      <c r="CH57" s="346">
        <v>31.73</v>
      </c>
      <c r="CI57" s="346">
        <v>42.35</v>
      </c>
      <c r="CJ57" s="346">
        <v>29.69</v>
      </c>
      <c r="CK57" s="346">
        <v>100</v>
      </c>
      <c r="CL57" s="346">
        <v>89.05</v>
      </c>
      <c r="CM57" s="346">
        <v>92.27</v>
      </c>
      <c r="CN57" s="346">
        <v>22.41</v>
      </c>
      <c r="CO57" s="346">
        <v>-16.850000000000001</v>
      </c>
      <c r="CP57" s="346">
        <v>-0.16</v>
      </c>
      <c r="CQ57" s="346">
        <v>227.47</v>
      </c>
      <c r="CR57" s="346">
        <v>1.47</v>
      </c>
      <c r="CS57" s="346">
        <v>-3.57</v>
      </c>
      <c r="CT57" s="346">
        <v>147.51</v>
      </c>
      <c r="CU57" s="346">
        <v>93.97</v>
      </c>
      <c r="CV57" s="346">
        <v>18.940000000000001</v>
      </c>
      <c r="CW57" s="346">
        <v>61635188.5</v>
      </c>
    </row>
    <row r="58" spans="1:101" x14ac:dyDescent="0.25">
      <c r="A58" s="346" t="str">
        <f>VLOOKUP(B58,'Loan Book Summary'!C:G,5,FALSE)</f>
        <v>0014I000026e8Lr</v>
      </c>
      <c r="B58" s="346">
        <v>1200000121</v>
      </c>
      <c r="C58" s="346" t="s">
        <v>1889</v>
      </c>
      <c r="D58" s="346" t="s">
        <v>1889</v>
      </c>
      <c r="E58" s="346">
        <v>2022</v>
      </c>
      <c r="F58" s="346">
        <v>6</v>
      </c>
      <c r="G58" s="346">
        <v>50</v>
      </c>
      <c r="H58" s="346">
        <v>19.452999999999999</v>
      </c>
      <c r="I58" s="346">
        <v>19.452999999999999</v>
      </c>
      <c r="J58" s="346">
        <v>3845.2059129999998</v>
      </c>
      <c r="K58" s="346">
        <v>4006.9259929999998</v>
      </c>
      <c r="L58" s="346">
        <v>113.03</v>
      </c>
      <c r="M58" s="346" t="s">
        <v>1889</v>
      </c>
      <c r="N58" s="346">
        <v>443.93299999999999</v>
      </c>
      <c r="O58" s="346">
        <v>443.93299999999999</v>
      </c>
      <c r="P58" s="346">
        <v>2949.0088740000001</v>
      </c>
      <c r="Q58" s="346">
        <v>1590.2757180000001</v>
      </c>
      <c r="R58" s="346">
        <v>1567.222291</v>
      </c>
      <c r="S58" s="346">
        <v>40.309387100000002</v>
      </c>
      <c r="T58" s="346">
        <v>30.291247009999999</v>
      </c>
      <c r="U58" s="346">
        <v>63.083084460000002</v>
      </c>
      <c r="V58" s="346">
        <v>24.603288710000001</v>
      </c>
      <c r="W58" s="346">
        <v>-26.710980209999999</v>
      </c>
      <c r="X58" s="346" t="s">
        <v>101</v>
      </c>
      <c r="Y58" s="346">
        <v>56302</v>
      </c>
      <c r="Z58" s="346">
        <v>5</v>
      </c>
      <c r="AA58" s="346" t="s">
        <v>996</v>
      </c>
      <c r="AB58" s="346" t="s">
        <v>105</v>
      </c>
      <c r="AC58" s="346" t="s">
        <v>110</v>
      </c>
      <c r="AD58" s="347">
        <v>0.50129999999999997</v>
      </c>
      <c r="AE58" s="347">
        <v>0.42920000000000003</v>
      </c>
      <c r="AF58" s="346">
        <v>1.1299999999999999</v>
      </c>
      <c r="AG58" s="346">
        <v>2.2000000000000002</v>
      </c>
      <c r="AH58" s="346">
        <v>3.24</v>
      </c>
      <c r="AI58" s="346">
        <v>4.26</v>
      </c>
      <c r="AJ58" s="346">
        <v>5.26</v>
      </c>
      <c r="AK58" s="347">
        <v>1.1299999999999999E-2</v>
      </c>
      <c r="AL58" s="347">
        <v>1.0800000000000001E-2</v>
      </c>
      <c r="AM58" s="347">
        <v>1.06E-2</v>
      </c>
      <c r="AN58" s="347">
        <v>1.0500000000000001E-2</v>
      </c>
      <c r="AO58" s="347">
        <v>1.0500000000000001E-2</v>
      </c>
      <c r="AP58" s="347">
        <v>1.1299999999999999E-2</v>
      </c>
      <c r="AQ58" s="347">
        <v>1.0999999999999999E-2</v>
      </c>
      <c r="AR58" s="347">
        <v>1.09E-2</v>
      </c>
      <c r="AS58" s="347">
        <v>1.0800000000000001E-2</v>
      </c>
      <c r="AT58" s="347">
        <v>1.0699999999999999E-2</v>
      </c>
      <c r="AU58" s="347">
        <v>5.2600000000000001E-2</v>
      </c>
      <c r="AV58" s="346">
        <v>-8.83</v>
      </c>
      <c r="AW58" s="346">
        <v>-9.65</v>
      </c>
      <c r="AX58" s="346">
        <v>16.649999999999999</v>
      </c>
      <c r="AY58" s="346">
        <v>-10.33</v>
      </c>
      <c r="AZ58" s="346">
        <v>-18.48</v>
      </c>
      <c r="BA58" s="346">
        <v>22.4</v>
      </c>
      <c r="BB58" s="346">
        <v>4.49</v>
      </c>
      <c r="BC58" s="346">
        <v>5.94</v>
      </c>
      <c r="BD58" s="346">
        <v>-3.22</v>
      </c>
      <c r="BE58" s="346">
        <v>-10.08</v>
      </c>
      <c r="BF58" s="346">
        <v>-6.56</v>
      </c>
      <c r="BG58" s="346">
        <v>10.43</v>
      </c>
      <c r="BH58" s="346">
        <v>-23.7</v>
      </c>
      <c r="BI58" s="346">
        <v>-14.62</v>
      </c>
      <c r="BJ58" s="346">
        <v>21.25</v>
      </c>
      <c r="BK58" s="346">
        <v>4.1500000000000004</v>
      </c>
      <c r="BL58" s="346">
        <v>4.49</v>
      </c>
      <c r="BM58" s="346">
        <v>-4.7300000000000004</v>
      </c>
      <c r="BN58" s="346">
        <v>40.57</v>
      </c>
      <c r="BO58" s="346">
        <v>1.38</v>
      </c>
      <c r="BP58" s="346">
        <v>-194.76</v>
      </c>
      <c r="BQ58" s="346">
        <v>-15.98</v>
      </c>
      <c r="BR58" s="346">
        <v>2.25</v>
      </c>
      <c r="BS58" s="346">
        <v>97.05</v>
      </c>
      <c r="BT58" s="346">
        <v>-217.69</v>
      </c>
      <c r="BU58" s="346">
        <v>-114.43</v>
      </c>
      <c r="BV58" s="346">
        <v>-215.89</v>
      </c>
      <c r="BW58" s="346">
        <v>44.34</v>
      </c>
      <c r="BX58" s="346">
        <v>0.96</v>
      </c>
      <c r="BY58" s="346">
        <v>-117.29</v>
      </c>
      <c r="BZ58" s="346">
        <v>-35.479999999999997</v>
      </c>
      <c r="CA58" s="346">
        <v>1.81</v>
      </c>
      <c r="CB58" s="346">
        <v>88.23</v>
      </c>
      <c r="CC58" s="346">
        <v>-201.26</v>
      </c>
      <c r="CD58" s="346">
        <v>-82.93</v>
      </c>
      <c r="CE58" s="346">
        <v>-327.7</v>
      </c>
      <c r="CF58" s="346">
        <v>47.84</v>
      </c>
      <c r="CG58" s="346">
        <v>49.8</v>
      </c>
      <c r="CH58" s="346">
        <v>39.549999999999997</v>
      </c>
      <c r="CI58" s="346">
        <v>42.35</v>
      </c>
      <c r="CJ58" s="346">
        <v>63.08</v>
      </c>
      <c r="CK58" s="346">
        <v>72.86</v>
      </c>
      <c r="CL58" s="346">
        <v>53.62</v>
      </c>
      <c r="CM58" s="346">
        <v>41.43</v>
      </c>
      <c r="CN58" s="346">
        <v>63.65</v>
      </c>
      <c r="CO58" s="346">
        <v>7.11</v>
      </c>
      <c r="CP58" s="346">
        <v>-0.02</v>
      </c>
      <c r="CQ58" s="346">
        <v>341.33</v>
      </c>
      <c r="CR58" s="346">
        <v>1.47</v>
      </c>
      <c r="CS58" s="346">
        <v>1.17</v>
      </c>
      <c r="CT58" s="346">
        <v>79.11</v>
      </c>
      <c r="CU58" s="346">
        <v>11.26</v>
      </c>
      <c r="CV58" s="346">
        <v>1.55</v>
      </c>
      <c r="CW58" s="346">
        <v>219328053.78</v>
      </c>
    </row>
    <row r="59" spans="1:101" x14ac:dyDescent="0.25">
      <c r="A59" s="346" t="str">
        <f>VLOOKUP(B59,'Loan Book Summary'!C:G,5,FALSE)</f>
        <v>0014I0000293MAy</v>
      </c>
      <c r="B59" s="346">
        <v>1200000139</v>
      </c>
      <c r="C59" s="346" t="s">
        <v>1889</v>
      </c>
      <c r="D59" s="346" t="s">
        <v>1889</v>
      </c>
      <c r="E59" s="346">
        <v>2022</v>
      </c>
      <c r="F59" s="346">
        <v>6</v>
      </c>
      <c r="G59" s="346">
        <v>50</v>
      </c>
      <c r="H59" s="346" t="s">
        <v>1889</v>
      </c>
      <c r="I59" s="346" t="s">
        <v>1889</v>
      </c>
      <c r="J59" s="346">
        <v>12856.273090000001</v>
      </c>
      <c r="K59" s="346">
        <v>12825.01115</v>
      </c>
      <c r="L59" s="346" t="s">
        <v>1889</v>
      </c>
      <c r="M59" s="346" t="s">
        <v>1889</v>
      </c>
      <c r="N59" s="346">
        <v>0</v>
      </c>
      <c r="O59" s="346" t="s">
        <v>1889</v>
      </c>
      <c r="P59" s="346">
        <v>5631.4240820000005</v>
      </c>
      <c r="Q59" s="346">
        <v>3536.8133739999998</v>
      </c>
      <c r="R59" s="346">
        <v>3485.5419710000001</v>
      </c>
      <c r="S59" s="346" t="s">
        <v>1889</v>
      </c>
      <c r="T59" s="346">
        <v>520.51976290000005</v>
      </c>
      <c r="U59" s="346">
        <v>-58.122795629999999</v>
      </c>
      <c r="V59" s="346">
        <v>-578.64255860000003</v>
      </c>
      <c r="W59" s="346">
        <v>-92.695227549999998</v>
      </c>
      <c r="X59" s="346" t="s">
        <v>101</v>
      </c>
      <c r="Y59" s="346">
        <v>55100</v>
      </c>
      <c r="Z59" s="346">
        <v>5</v>
      </c>
      <c r="AA59" s="346" t="s">
        <v>996</v>
      </c>
      <c r="AB59" s="346" t="s">
        <v>105</v>
      </c>
      <c r="AC59" s="346" t="s">
        <v>110</v>
      </c>
      <c r="AD59" s="347">
        <v>0.55840000000000001</v>
      </c>
      <c r="AE59" s="347">
        <v>0.39450000000000002</v>
      </c>
      <c r="AF59" s="346">
        <v>1.35</v>
      </c>
      <c r="AG59" s="346">
        <v>2.35</v>
      </c>
      <c r="AH59" s="346">
        <v>3.24</v>
      </c>
      <c r="AI59" s="346">
        <v>4.07</v>
      </c>
      <c r="AJ59" s="346">
        <v>4.8600000000000003</v>
      </c>
      <c r="AK59" s="347">
        <v>1.35E-2</v>
      </c>
      <c r="AL59" s="347">
        <v>1.01E-2</v>
      </c>
      <c r="AM59" s="347">
        <v>9.1999999999999998E-3</v>
      </c>
      <c r="AN59" s="347">
        <v>8.6E-3</v>
      </c>
      <c r="AO59" s="347">
        <v>8.2000000000000007E-3</v>
      </c>
      <c r="AP59" s="347">
        <v>1.35E-2</v>
      </c>
      <c r="AQ59" s="347">
        <v>1.18E-2</v>
      </c>
      <c r="AR59" s="347">
        <v>1.09E-2</v>
      </c>
      <c r="AS59" s="347">
        <v>1.03E-2</v>
      </c>
      <c r="AT59" s="347">
        <v>9.9000000000000008E-3</v>
      </c>
      <c r="AU59" s="347">
        <v>4.8599999999999997E-2</v>
      </c>
      <c r="AV59" s="346" t="s">
        <v>1889</v>
      </c>
      <c r="AW59" s="346" t="s">
        <v>1889</v>
      </c>
      <c r="AX59" s="346">
        <v>33.44</v>
      </c>
      <c r="AY59" s="346">
        <v>-6.68</v>
      </c>
      <c r="AZ59" s="346" t="s">
        <v>1889</v>
      </c>
      <c r="BA59" s="346">
        <v>-23.01</v>
      </c>
      <c r="BB59" s="346" t="s">
        <v>1889</v>
      </c>
      <c r="BC59" s="346">
        <v>27.35</v>
      </c>
      <c r="BD59" s="346">
        <v>-9.5299999999999994</v>
      </c>
      <c r="BE59" s="346" t="s">
        <v>1889</v>
      </c>
      <c r="BF59" s="346" t="s">
        <v>1889</v>
      </c>
      <c r="BG59" s="346">
        <v>22.6</v>
      </c>
      <c r="BH59" s="346">
        <v>-16.53</v>
      </c>
      <c r="BI59" s="346" t="s">
        <v>1889</v>
      </c>
      <c r="BJ59" s="346">
        <v>-23.53</v>
      </c>
      <c r="BK59" s="346" t="s">
        <v>1889</v>
      </c>
      <c r="BL59" s="346">
        <v>22.26</v>
      </c>
      <c r="BM59" s="346">
        <v>-15.09</v>
      </c>
      <c r="BN59" s="346">
        <v>0</v>
      </c>
      <c r="BO59" s="346">
        <v>0</v>
      </c>
      <c r="BP59" s="346">
        <v>-372.01</v>
      </c>
      <c r="BQ59" s="346">
        <v>-26.8</v>
      </c>
      <c r="BR59" s="346">
        <v>0</v>
      </c>
      <c r="BS59" s="346">
        <v>42.35</v>
      </c>
      <c r="BT59" s="346">
        <v>0</v>
      </c>
      <c r="BU59" s="346">
        <v>-0.65</v>
      </c>
      <c r="BV59" s="346">
        <v>-58.19</v>
      </c>
      <c r="BW59" s="346">
        <v>0</v>
      </c>
      <c r="BX59" s="346">
        <v>0</v>
      </c>
      <c r="BY59" s="346">
        <v>-277.88</v>
      </c>
      <c r="BZ59" s="346">
        <v>-72.78</v>
      </c>
      <c r="CA59" s="346">
        <v>0</v>
      </c>
      <c r="CB59" s="346">
        <v>47.61</v>
      </c>
      <c r="CC59" s="346">
        <v>0</v>
      </c>
      <c r="CD59" s="346">
        <v>-0.6</v>
      </c>
      <c r="CE59" s="346">
        <v>-101.13</v>
      </c>
      <c r="CF59" s="346" t="s">
        <v>1889</v>
      </c>
      <c r="CG59" s="346" t="s">
        <v>1889</v>
      </c>
      <c r="CH59" s="346">
        <v>16.79</v>
      </c>
      <c r="CI59" s="346">
        <v>42.35</v>
      </c>
      <c r="CJ59" s="346" t="s">
        <v>1889</v>
      </c>
      <c r="CK59" s="346">
        <v>28.17</v>
      </c>
      <c r="CL59" s="346" t="s">
        <v>1889</v>
      </c>
      <c r="CM59" s="346">
        <v>7.11</v>
      </c>
      <c r="CN59" s="346">
        <v>84.51</v>
      </c>
      <c r="CO59" s="346" t="s">
        <v>1889</v>
      </c>
      <c r="CP59" s="346" t="s">
        <v>1889</v>
      </c>
      <c r="CQ59" s="346">
        <v>-11.17</v>
      </c>
      <c r="CR59" s="346">
        <v>1.47</v>
      </c>
      <c r="CS59" s="346" t="s">
        <v>1889</v>
      </c>
      <c r="CT59" s="346">
        <v>43.8</v>
      </c>
      <c r="CU59" s="346" t="s">
        <v>1889</v>
      </c>
      <c r="CV59" s="346">
        <v>-16.36</v>
      </c>
      <c r="CW59" s="346">
        <v>657414323.22000003</v>
      </c>
    </row>
    <row r="60" spans="1:101" x14ac:dyDescent="0.25">
      <c r="A60" s="346" t="str">
        <f>VLOOKUP(B60,'Loan Book Summary'!C:G,5,FALSE)</f>
        <v>0014I00002AOsY6</v>
      </c>
      <c r="B60" s="346">
        <v>1100000224</v>
      </c>
      <c r="C60" s="346" t="s">
        <v>1889</v>
      </c>
      <c r="D60" s="346" t="s">
        <v>1889</v>
      </c>
      <c r="E60" s="346">
        <v>2022</v>
      </c>
      <c r="F60" s="346">
        <v>6</v>
      </c>
      <c r="G60" s="346">
        <v>50</v>
      </c>
      <c r="H60" s="346" t="s">
        <v>1889</v>
      </c>
      <c r="I60" s="346" t="s">
        <v>1889</v>
      </c>
      <c r="J60" s="346">
        <v>104295.9097</v>
      </c>
      <c r="K60" s="346">
        <v>104194.6943</v>
      </c>
      <c r="L60" s="346" t="s">
        <v>1889</v>
      </c>
      <c r="M60" s="346" t="s">
        <v>1889</v>
      </c>
      <c r="N60" s="346">
        <v>0</v>
      </c>
      <c r="O60" s="346" t="s">
        <v>1889</v>
      </c>
      <c r="P60" s="346">
        <v>2300.993442</v>
      </c>
      <c r="Q60" s="346">
        <v>13495.807210000001</v>
      </c>
      <c r="R60" s="346">
        <v>10820.43576</v>
      </c>
      <c r="S60" s="346" t="s">
        <v>1889</v>
      </c>
      <c r="T60" s="346">
        <v>188.72821780000001</v>
      </c>
      <c r="U60" s="346">
        <v>-370.43300679999999</v>
      </c>
      <c r="V60" s="346">
        <v>-559.16122459999997</v>
      </c>
      <c r="W60" s="346">
        <v>-2045.9529010000001</v>
      </c>
      <c r="X60" s="346" t="s">
        <v>101</v>
      </c>
      <c r="Y60" s="346">
        <v>55100</v>
      </c>
      <c r="Z60" s="346">
        <v>5</v>
      </c>
      <c r="AA60" s="346" t="s">
        <v>996</v>
      </c>
      <c r="AB60" s="346" t="s">
        <v>110</v>
      </c>
      <c r="AC60" s="346" t="s">
        <v>114</v>
      </c>
      <c r="AD60" s="347">
        <v>0.4672</v>
      </c>
      <c r="AE60" s="347">
        <v>0.30959999999999999</v>
      </c>
      <c r="AF60" s="346">
        <v>1.01</v>
      </c>
      <c r="AG60" s="346">
        <v>1.81</v>
      </c>
      <c r="AH60" s="346">
        <v>2.54</v>
      </c>
      <c r="AI60" s="346">
        <v>3.23</v>
      </c>
      <c r="AJ60" s="346">
        <v>3.89</v>
      </c>
      <c r="AK60" s="347">
        <v>1.01E-2</v>
      </c>
      <c r="AL60" s="347">
        <v>8.0999999999999996E-3</v>
      </c>
      <c r="AM60" s="347">
        <v>7.4000000000000003E-3</v>
      </c>
      <c r="AN60" s="347">
        <v>7.1000000000000004E-3</v>
      </c>
      <c r="AO60" s="347">
        <v>6.7999999999999996E-3</v>
      </c>
      <c r="AP60" s="347">
        <v>1.01E-2</v>
      </c>
      <c r="AQ60" s="347">
        <v>9.1000000000000004E-3</v>
      </c>
      <c r="AR60" s="347">
        <v>8.5000000000000006E-3</v>
      </c>
      <c r="AS60" s="347">
        <v>8.2000000000000007E-3</v>
      </c>
      <c r="AT60" s="347">
        <v>7.9000000000000008E-3</v>
      </c>
      <c r="AU60" s="347">
        <v>3.8899999999999997E-2</v>
      </c>
      <c r="AV60" s="346" t="s">
        <v>1889</v>
      </c>
      <c r="AW60" s="346" t="s">
        <v>1889</v>
      </c>
      <c r="AX60" s="346">
        <v>28.56</v>
      </c>
      <c r="AY60" s="346">
        <v>1.1599999999999999</v>
      </c>
      <c r="AZ60" s="346" t="s">
        <v>1889</v>
      </c>
      <c r="BA60" s="346">
        <v>-24.64</v>
      </c>
      <c r="BB60" s="346" t="s">
        <v>1889</v>
      </c>
      <c r="BC60" s="346">
        <v>21.18</v>
      </c>
      <c r="BD60" s="346">
        <v>-24.47</v>
      </c>
      <c r="BE60" s="346" t="s">
        <v>1889</v>
      </c>
      <c r="BF60" s="346" t="s">
        <v>1889</v>
      </c>
      <c r="BG60" s="346">
        <v>18.68</v>
      </c>
      <c r="BH60" s="346">
        <v>2.77</v>
      </c>
      <c r="BI60" s="346" t="s">
        <v>1889</v>
      </c>
      <c r="BJ60" s="346">
        <v>-24.38</v>
      </c>
      <c r="BK60" s="346" t="s">
        <v>1889</v>
      </c>
      <c r="BL60" s="346">
        <v>16.68</v>
      </c>
      <c r="BM60" s="346">
        <v>-37.5</v>
      </c>
      <c r="BN60" s="346">
        <v>0</v>
      </c>
      <c r="BO60" s="346">
        <v>0</v>
      </c>
      <c r="BP60" s="346">
        <v>-334.96</v>
      </c>
      <c r="BQ60" s="346">
        <v>116.32</v>
      </c>
      <c r="BR60" s="346">
        <v>0</v>
      </c>
      <c r="BS60" s="346">
        <v>0</v>
      </c>
      <c r="BT60" s="346">
        <v>0</v>
      </c>
      <c r="BU60" s="346">
        <v>-35.869999999999997</v>
      </c>
      <c r="BV60" s="346">
        <v>-12.86</v>
      </c>
      <c r="BW60" s="346">
        <v>0</v>
      </c>
      <c r="BX60" s="346">
        <v>0</v>
      </c>
      <c r="BY60" s="346">
        <v>-203.7</v>
      </c>
      <c r="BZ60" s="346">
        <v>254.02</v>
      </c>
      <c r="CA60" s="346">
        <v>0</v>
      </c>
      <c r="CB60" s="346">
        <v>0</v>
      </c>
      <c r="CC60" s="346">
        <v>0</v>
      </c>
      <c r="CD60" s="346">
        <v>-25.06</v>
      </c>
      <c r="CE60" s="346">
        <v>-17.22</v>
      </c>
      <c r="CF60" s="346" t="s">
        <v>1889</v>
      </c>
      <c r="CG60" s="346" t="s">
        <v>1889</v>
      </c>
      <c r="CH60" s="346">
        <v>12.44</v>
      </c>
      <c r="CI60" s="346">
        <v>82.44</v>
      </c>
      <c r="CJ60" s="346" t="s">
        <v>1889</v>
      </c>
      <c r="CK60" s="346">
        <v>2.67</v>
      </c>
      <c r="CL60" s="346" t="s">
        <v>1889</v>
      </c>
      <c r="CM60" s="346">
        <v>13.72</v>
      </c>
      <c r="CN60" s="346">
        <v>98.16</v>
      </c>
      <c r="CO60" s="346" t="s">
        <v>1889</v>
      </c>
      <c r="CP60" s="346" t="s">
        <v>1889</v>
      </c>
      <c r="CQ60" s="346">
        <v>-196.28</v>
      </c>
      <c r="CR60" s="346">
        <v>24.73</v>
      </c>
      <c r="CS60" s="346" t="s">
        <v>1889</v>
      </c>
      <c r="CT60" s="346">
        <v>2.21</v>
      </c>
      <c r="CU60" s="346" t="s">
        <v>1889</v>
      </c>
      <c r="CV60" s="346">
        <v>-4.1399999999999997</v>
      </c>
      <c r="CW60" s="346">
        <v>5333242722.04</v>
      </c>
    </row>
    <row r="61" spans="1:101" x14ac:dyDescent="0.25">
      <c r="A61" s="346" t="str">
        <f>VLOOKUP(B61,'Loan Book Summary'!C:G,5,FALSE)</f>
        <v>0018e000003CaFZ</v>
      </c>
      <c r="B61" s="346">
        <v>1100000279</v>
      </c>
      <c r="C61" s="346" t="s">
        <v>1889</v>
      </c>
      <c r="D61" s="346" t="s">
        <v>1889</v>
      </c>
      <c r="E61" s="346">
        <v>2022</v>
      </c>
      <c r="F61" s="346">
        <v>6</v>
      </c>
      <c r="G61" s="346">
        <v>50</v>
      </c>
      <c r="H61" s="346">
        <v>130.226</v>
      </c>
      <c r="I61" s="346">
        <v>130.226</v>
      </c>
      <c r="J61" s="346">
        <v>2055.5744420000001</v>
      </c>
      <c r="K61" s="346">
        <v>2148.0632740000001</v>
      </c>
      <c r="L61" s="346">
        <v>530.65099999999995</v>
      </c>
      <c r="M61" s="346" t="s">
        <v>1889</v>
      </c>
      <c r="N61" s="346">
        <v>1640.309</v>
      </c>
      <c r="O61" s="346">
        <v>1640.309</v>
      </c>
      <c r="P61" s="346">
        <v>16396.219219999999</v>
      </c>
      <c r="Q61" s="346">
        <v>1776.4292579999999</v>
      </c>
      <c r="R61" s="346">
        <v>1424.2748409999999</v>
      </c>
      <c r="S61" s="346">
        <v>108.2443882</v>
      </c>
      <c r="T61" s="346">
        <v>1329.576262</v>
      </c>
      <c r="U61" s="346">
        <v>70.801511930000004</v>
      </c>
      <c r="V61" s="346">
        <v>-1258.77475</v>
      </c>
      <c r="W61" s="346">
        <v>-1074.5409480000001</v>
      </c>
      <c r="X61" s="346" t="s">
        <v>101</v>
      </c>
      <c r="Y61" s="346">
        <v>55100</v>
      </c>
      <c r="Z61" s="346">
        <v>5</v>
      </c>
      <c r="AA61" s="346" t="s">
        <v>996</v>
      </c>
      <c r="AB61" s="346" t="s">
        <v>118</v>
      </c>
      <c r="AC61" s="346" t="s">
        <v>118</v>
      </c>
      <c r="AD61" s="347">
        <v>0.97589999999999999</v>
      </c>
      <c r="AE61" s="347">
        <v>0.96630000000000005</v>
      </c>
      <c r="AF61" s="347">
        <v>13.81</v>
      </c>
      <c r="AG61" s="347">
        <v>22</v>
      </c>
      <c r="AH61" s="347">
        <v>28.52</v>
      </c>
      <c r="AI61" s="347">
        <v>34.01</v>
      </c>
      <c r="AJ61" s="347">
        <v>38.770000000000003</v>
      </c>
      <c r="AK61" s="347">
        <v>0.1381</v>
      </c>
      <c r="AL61" s="347">
        <v>9.5100000000000004E-2</v>
      </c>
      <c r="AM61" s="347">
        <v>8.3500000000000005E-2</v>
      </c>
      <c r="AN61" s="347">
        <v>7.6799999999999993E-2</v>
      </c>
      <c r="AO61" s="347">
        <v>7.2099999999999997E-2</v>
      </c>
      <c r="AP61" s="347">
        <v>0.1381</v>
      </c>
      <c r="AQ61" s="347">
        <v>0.1168</v>
      </c>
      <c r="AR61" s="347">
        <v>0.10589999999999999</v>
      </c>
      <c r="AS61" s="347">
        <v>9.8699999999999996E-2</v>
      </c>
      <c r="AT61" s="347">
        <v>9.3399999999999997E-2</v>
      </c>
      <c r="AU61" s="347">
        <v>0.38769999999999999</v>
      </c>
      <c r="AV61" s="347">
        <v>16.649999999999999</v>
      </c>
      <c r="AW61" s="347">
        <v>-1.03</v>
      </c>
      <c r="AX61" s="347">
        <v>18.920000000000002</v>
      </c>
      <c r="AY61" s="347">
        <v>0.78</v>
      </c>
      <c r="AZ61" s="347">
        <v>1.33</v>
      </c>
      <c r="BA61" s="347">
        <v>33.369999999999997</v>
      </c>
      <c r="BB61" s="347">
        <v>10.76</v>
      </c>
      <c r="BC61" s="347">
        <v>15.99</v>
      </c>
      <c r="BD61" s="347">
        <v>-1.18</v>
      </c>
      <c r="BE61" s="347">
        <v>21.15</v>
      </c>
      <c r="BF61" s="347">
        <v>-0.78</v>
      </c>
      <c r="BG61" s="347">
        <v>13.21</v>
      </c>
      <c r="BH61" s="347">
        <v>1.99</v>
      </c>
      <c r="BI61" s="347">
        <v>1.17</v>
      </c>
      <c r="BJ61" s="347">
        <v>35.25</v>
      </c>
      <c r="BK61" s="347">
        <v>11.07</v>
      </c>
      <c r="BL61" s="347">
        <v>13.45</v>
      </c>
      <c r="BM61" s="347">
        <v>-1.93</v>
      </c>
      <c r="BN61" s="347">
        <v>0</v>
      </c>
      <c r="BO61" s="347">
        <v>-23.12</v>
      </c>
      <c r="BP61" s="347">
        <v>-238.28</v>
      </c>
      <c r="BQ61" s="347">
        <v>36.79</v>
      </c>
      <c r="BR61" s="347">
        <v>-55.67</v>
      </c>
      <c r="BS61" s="347">
        <v>7.6</v>
      </c>
      <c r="BT61" s="347">
        <v>-296.61</v>
      </c>
      <c r="BU61" s="347">
        <v>-0.16</v>
      </c>
      <c r="BV61" s="347">
        <v>-241.76</v>
      </c>
      <c r="BW61" s="347">
        <v>0</v>
      </c>
      <c r="BX61" s="347">
        <v>-15.68</v>
      </c>
      <c r="BY61" s="347">
        <v>-150.19999999999999</v>
      </c>
      <c r="BZ61" s="347">
        <v>85.03</v>
      </c>
      <c r="CA61" s="347">
        <v>-44.06</v>
      </c>
      <c r="CB61" s="347">
        <v>7.15</v>
      </c>
      <c r="CC61" s="347">
        <v>-267.95999999999998</v>
      </c>
      <c r="CD61" s="347">
        <v>-0.12</v>
      </c>
      <c r="CE61" s="347">
        <v>-329.8</v>
      </c>
      <c r="CF61" s="347">
        <v>98.02</v>
      </c>
      <c r="CG61" s="347">
        <v>28.99</v>
      </c>
      <c r="CH61" s="347">
        <v>17.739999999999998</v>
      </c>
      <c r="CI61" s="347">
        <v>82.44</v>
      </c>
      <c r="CJ61" s="347">
        <v>22.53</v>
      </c>
      <c r="CK61" s="347">
        <v>100</v>
      </c>
      <c r="CL61" s="347">
        <v>39.5</v>
      </c>
      <c r="CM61" s="347">
        <v>4</v>
      </c>
      <c r="CN61" s="347">
        <v>59.62</v>
      </c>
      <c r="CO61" s="346">
        <v>29.87</v>
      </c>
      <c r="CP61" s="346">
        <v>-1.81</v>
      </c>
      <c r="CQ61" s="346">
        <v>13.47</v>
      </c>
      <c r="CR61" s="346">
        <v>24.73</v>
      </c>
      <c r="CS61" s="346">
        <v>-5.69</v>
      </c>
      <c r="CT61" s="346">
        <v>488.02</v>
      </c>
      <c r="CU61" s="346">
        <v>3.05</v>
      </c>
      <c r="CV61" s="346">
        <v>-70.86</v>
      </c>
      <c r="CW61" s="346">
        <v>188991529.25</v>
      </c>
    </row>
    <row r="62" spans="1:101" x14ac:dyDescent="0.25">
      <c r="A62" s="346"/>
      <c r="B62" s="346"/>
      <c r="C62" s="346"/>
      <c r="D62" s="346"/>
      <c r="E62" s="346"/>
      <c r="F62" s="346"/>
      <c r="G62" s="346"/>
      <c r="H62" s="346"/>
      <c r="I62" s="346"/>
      <c r="J62" s="346"/>
      <c r="K62" s="346"/>
      <c r="L62" s="346"/>
      <c r="M62" s="346"/>
      <c r="N62" s="346"/>
      <c r="O62" s="346"/>
      <c r="P62" s="346"/>
      <c r="Q62" s="346"/>
      <c r="R62" s="346"/>
      <c r="S62" s="346"/>
      <c r="T62" s="346"/>
      <c r="U62" s="346"/>
      <c r="V62" s="346"/>
      <c r="W62" s="346"/>
      <c r="X62" s="346"/>
      <c r="Y62" s="346"/>
      <c r="Z62" s="346"/>
      <c r="AA62" s="346"/>
      <c r="AB62" s="346"/>
      <c r="AC62" s="346"/>
      <c r="AD62" s="347"/>
      <c r="AE62" s="347"/>
      <c r="AF62" s="347"/>
      <c r="AG62" s="347"/>
      <c r="AH62" s="347"/>
      <c r="AI62" s="347"/>
      <c r="AJ62" s="347"/>
      <c r="AK62" s="347"/>
      <c r="AL62" s="347"/>
      <c r="AM62" s="347"/>
      <c r="AN62" s="347"/>
      <c r="AO62" s="347"/>
      <c r="AP62" s="347"/>
      <c r="AQ62" s="347"/>
      <c r="AR62" s="347"/>
      <c r="AS62" s="347"/>
      <c r="AT62" s="347"/>
      <c r="AU62" s="347"/>
      <c r="AV62" s="347"/>
      <c r="AW62" s="347"/>
      <c r="AX62" s="347"/>
      <c r="AY62" s="347"/>
      <c r="AZ62" s="347"/>
      <c r="BA62" s="347"/>
      <c r="BB62" s="347"/>
      <c r="BC62" s="347"/>
      <c r="BD62" s="347"/>
      <c r="BE62" s="347"/>
      <c r="BF62" s="347"/>
      <c r="BG62" s="347"/>
      <c r="BH62" s="347"/>
      <c r="BI62" s="347"/>
      <c r="BJ62" s="347"/>
      <c r="BK62" s="347"/>
      <c r="BL62" s="347"/>
      <c r="BM62" s="347"/>
      <c r="BN62" s="347"/>
      <c r="BO62" s="347"/>
      <c r="BP62" s="347"/>
      <c r="BQ62" s="347"/>
      <c r="BR62" s="347"/>
      <c r="BS62" s="347"/>
      <c r="BT62" s="347"/>
      <c r="BU62" s="347"/>
      <c r="BV62" s="347"/>
      <c r="BW62" s="347"/>
      <c r="BX62" s="347"/>
      <c r="BY62" s="347"/>
      <c r="BZ62" s="347"/>
      <c r="CA62" s="347"/>
      <c r="CB62" s="347"/>
      <c r="CC62" s="347"/>
      <c r="CD62" s="347"/>
      <c r="CE62" s="347"/>
      <c r="CF62" s="347"/>
      <c r="CG62" s="347"/>
      <c r="CH62" s="347"/>
      <c r="CI62" s="347"/>
      <c r="CJ62" s="347"/>
      <c r="CK62" s="347"/>
      <c r="CL62" s="347"/>
      <c r="CM62" s="347"/>
      <c r="CN62" s="347"/>
      <c r="CO62" s="346"/>
      <c r="CP62" s="346"/>
      <c r="CQ62" s="346"/>
      <c r="CR62" s="346"/>
      <c r="CS62" s="346"/>
      <c r="CT62" s="346"/>
      <c r="CU62" s="346"/>
      <c r="CV62" s="346"/>
      <c r="CW62" s="346"/>
    </row>
    <row r="63" spans="1:101" x14ac:dyDescent="0.25">
      <c r="A63" s="346"/>
      <c r="B63" s="346"/>
      <c r="C63" s="346"/>
      <c r="D63" s="346"/>
      <c r="E63" s="346"/>
      <c r="F63" s="346"/>
      <c r="G63" s="346"/>
      <c r="H63" s="346"/>
      <c r="I63" s="346"/>
      <c r="J63" s="346"/>
      <c r="K63" s="346"/>
      <c r="L63" s="346"/>
      <c r="M63" s="346"/>
      <c r="N63" s="346"/>
      <c r="O63" s="346"/>
      <c r="P63" s="346"/>
      <c r="Q63" s="346"/>
      <c r="R63" s="346"/>
      <c r="S63" s="346"/>
      <c r="T63" s="346"/>
      <c r="U63" s="346"/>
      <c r="V63" s="346"/>
      <c r="W63" s="346"/>
      <c r="X63" s="346"/>
      <c r="Y63" s="346"/>
      <c r="Z63" s="346"/>
      <c r="AA63" s="346"/>
      <c r="AB63" s="346"/>
      <c r="AC63" s="346"/>
      <c r="AD63" s="347"/>
      <c r="AE63" s="347"/>
      <c r="AF63" s="347"/>
      <c r="AG63" s="347"/>
      <c r="AH63" s="347"/>
      <c r="AI63" s="347"/>
      <c r="AJ63" s="347"/>
      <c r="AK63" s="347"/>
      <c r="AL63" s="347"/>
      <c r="AM63" s="347"/>
      <c r="AN63" s="347"/>
      <c r="AO63" s="347"/>
      <c r="AP63" s="347"/>
      <c r="AQ63" s="347"/>
      <c r="AR63" s="347"/>
      <c r="AS63" s="347"/>
      <c r="AT63" s="347"/>
      <c r="AU63" s="347"/>
      <c r="AV63" s="347"/>
      <c r="AW63" s="347"/>
      <c r="AX63" s="347"/>
      <c r="AY63" s="347"/>
      <c r="AZ63" s="347"/>
      <c r="BA63" s="347"/>
      <c r="BB63" s="347"/>
      <c r="BC63" s="347"/>
      <c r="BD63" s="347"/>
      <c r="BE63" s="347"/>
      <c r="BF63" s="347"/>
      <c r="BG63" s="347"/>
      <c r="BH63" s="347"/>
      <c r="BI63" s="347"/>
      <c r="BJ63" s="347"/>
      <c r="BK63" s="347"/>
      <c r="BL63" s="347"/>
      <c r="BM63" s="347"/>
      <c r="BN63" s="347"/>
      <c r="BO63" s="347"/>
      <c r="BP63" s="347"/>
      <c r="BQ63" s="347"/>
      <c r="BR63" s="347"/>
      <c r="BS63" s="347"/>
      <c r="BT63" s="347"/>
      <c r="BU63" s="347"/>
      <c r="BV63" s="347"/>
      <c r="BW63" s="347"/>
      <c r="BX63" s="347"/>
      <c r="BY63" s="347"/>
      <c r="BZ63" s="347"/>
      <c r="CA63" s="347"/>
      <c r="CB63" s="347"/>
      <c r="CC63" s="347"/>
      <c r="CD63" s="347"/>
      <c r="CE63" s="347"/>
      <c r="CF63" s="347"/>
      <c r="CG63" s="347"/>
      <c r="CH63" s="347"/>
      <c r="CI63" s="347"/>
      <c r="CJ63" s="347"/>
      <c r="CK63" s="347"/>
      <c r="CL63" s="347"/>
      <c r="CM63" s="347"/>
      <c r="CN63" s="347"/>
      <c r="CO63" s="346"/>
      <c r="CP63" s="346"/>
      <c r="CQ63" s="346"/>
      <c r="CR63" s="346"/>
      <c r="CS63" s="346"/>
      <c r="CT63" s="346"/>
      <c r="CU63" s="346"/>
      <c r="CV63" s="346"/>
      <c r="CW63" s="346"/>
    </row>
    <row r="64" spans="1:101" x14ac:dyDescent="0.25">
      <c r="A64" s="346"/>
      <c r="B64" s="346"/>
      <c r="C64" s="346"/>
      <c r="D64" s="346"/>
      <c r="E64" s="346"/>
      <c r="F64" s="346"/>
      <c r="G64" s="346"/>
      <c r="H64" s="346"/>
      <c r="I64" s="346"/>
      <c r="J64" s="346"/>
      <c r="K64" s="346"/>
      <c r="L64" s="346"/>
      <c r="M64" s="346"/>
      <c r="N64" s="346"/>
      <c r="O64" s="346"/>
      <c r="P64" s="346"/>
      <c r="Q64" s="346"/>
      <c r="R64" s="346"/>
      <c r="S64" s="346"/>
      <c r="T64" s="346"/>
      <c r="U64" s="346"/>
      <c r="V64" s="346"/>
      <c r="W64" s="346"/>
      <c r="X64" s="346"/>
      <c r="Y64" s="346"/>
      <c r="Z64" s="346"/>
      <c r="AA64" s="346"/>
      <c r="AB64" s="346"/>
      <c r="AC64" s="346"/>
      <c r="AD64" s="347"/>
      <c r="AE64" s="347"/>
      <c r="AF64" s="347"/>
      <c r="AG64" s="347"/>
      <c r="AH64" s="347"/>
      <c r="AI64" s="347"/>
      <c r="AJ64" s="347"/>
      <c r="AK64" s="347"/>
      <c r="AL64" s="347"/>
      <c r="AM64" s="347"/>
      <c r="AN64" s="347"/>
      <c r="AO64" s="347"/>
      <c r="AP64" s="347"/>
      <c r="AQ64" s="347"/>
      <c r="AR64" s="347"/>
      <c r="AS64" s="347"/>
      <c r="AT64" s="347"/>
      <c r="AU64" s="347"/>
      <c r="AV64" s="347"/>
      <c r="AW64" s="347"/>
      <c r="AX64" s="347"/>
      <c r="AY64" s="347"/>
      <c r="AZ64" s="347"/>
      <c r="BA64" s="347"/>
      <c r="BB64" s="346"/>
      <c r="BC64" s="347"/>
      <c r="BD64" s="347"/>
      <c r="BE64" s="347"/>
      <c r="BF64" s="347"/>
      <c r="BG64" s="347"/>
      <c r="BH64" s="347"/>
      <c r="BI64" s="347"/>
      <c r="BJ64" s="347"/>
      <c r="BK64" s="346"/>
      <c r="BL64" s="347"/>
      <c r="BM64" s="347"/>
      <c r="BN64" s="347"/>
      <c r="BO64" s="347"/>
      <c r="BP64" s="347"/>
      <c r="BQ64" s="347"/>
      <c r="BR64" s="347"/>
      <c r="BS64" s="347"/>
      <c r="BT64" s="347"/>
      <c r="BU64" s="347"/>
      <c r="BV64" s="347"/>
      <c r="BW64" s="347"/>
      <c r="BX64" s="347"/>
      <c r="BY64" s="347"/>
      <c r="BZ64" s="347"/>
      <c r="CA64" s="347"/>
      <c r="CB64" s="347"/>
      <c r="CC64" s="347"/>
      <c r="CD64" s="347"/>
      <c r="CE64" s="347"/>
      <c r="CF64" s="347"/>
      <c r="CG64" s="347"/>
      <c r="CH64" s="347"/>
      <c r="CI64" s="347"/>
      <c r="CJ64" s="347"/>
      <c r="CK64" s="347"/>
      <c r="CL64" s="346"/>
      <c r="CM64" s="347"/>
      <c r="CN64" s="347"/>
      <c r="CO64" s="346"/>
      <c r="CP64" s="346"/>
      <c r="CQ64" s="346"/>
      <c r="CR64" s="346"/>
      <c r="CS64" s="346"/>
      <c r="CT64" s="346"/>
      <c r="CU64" s="346"/>
      <c r="CV64" s="346"/>
      <c r="CW64" s="346"/>
    </row>
    <row r="65" spans="1:101" x14ac:dyDescent="0.25">
      <c r="A65" s="346"/>
      <c r="B65" s="346"/>
      <c r="C65" s="346"/>
      <c r="D65" s="346"/>
      <c r="E65" s="346"/>
      <c r="F65" s="346"/>
      <c r="G65" s="346"/>
      <c r="H65" s="346"/>
      <c r="I65" s="346"/>
      <c r="J65" s="346"/>
      <c r="K65" s="346"/>
      <c r="L65" s="346"/>
      <c r="M65" s="346"/>
      <c r="N65" s="346"/>
      <c r="O65" s="346"/>
      <c r="P65" s="346"/>
      <c r="Q65" s="346"/>
      <c r="R65" s="346"/>
      <c r="S65" s="346"/>
      <c r="T65" s="346"/>
      <c r="U65" s="346"/>
      <c r="V65" s="346"/>
      <c r="W65" s="346"/>
      <c r="X65" s="346"/>
      <c r="Y65" s="346"/>
      <c r="Z65" s="346"/>
      <c r="AA65" s="346"/>
      <c r="AB65" s="346"/>
      <c r="AC65" s="346"/>
      <c r="AD65" s="347"/>
      <c r="AE65" s="347"/>
      <c r="AF65" s="347"/>
      <c r="AG65" s="347"/>
      <c r="AH65" s="347"/>
      <c r="AI65" s="347"/>
      <c r="AJ65" s="347"/>
      <c r="AK65" s="347"/>
      <c r="AL65" s="347"/>
      <c r="AM65" s="347"/>
      <c r="AN65" s="347"/>
      <c r="AO65" s="347"/>
      <c r="AP65" s="347"/>
      <c r="AQ65" s="347"/>
      <c r="AR65" s="347"/>
      <c r="AS65" s="347"/>
      <c r="AT65" s="347"/>
      <c r="AU65" s="347"/>
      <c r="AV65" s="347"/>
      <c r="AW65" s="347"/>
      <c r="AX65" s="347"/>
      <c r="AY65" s="347"/>
      <c r="AZ65" s="347"/>
      <c r="BA65" s="347"/>
      <c r="BB65" s="346"/>
      <c r="BC65" s="347"/>
      <c r="BD65" s="347"/>
      <c r="BE65" s="347"/>
      <c r="BF65" s="347"/>
      <c r="BG65" s="347"/>
      <c r="BH65" s="347"/>
      <c r="BI65" s="347"/>
      <c r="BJ65" s="347"/>
      <c r="BK65" s="346"/>
      <c r="BL65" s="347"/>
      <c r="BM65" s="347"/>
      <c r="BN65" s="347"/>
      <c r="BO65" s="347"/>
      <c r="BP65" s="347"/>
      <c r="BQ65" s="347"/>
      <c r="BR65" s="347"/>
      <c r="BS65" s="347"/>
      <c r="BT65" s="347"/>
      <c r="BU65" s="347"/>
      <c r="BV65" s="347"/>
      <c r="BW65" s="347"/>
      <c r="BX65" s="347"/>
      <c r="BY65" s="347"/>
      <c r="BZ65" s="347"/>
      <c r="CA65" s="347"/>
      <c r="CB65" s="347"/>
      <c r="CC65" s="347"/>
      <c r="CD65" s="347"/>
      <c r="CE65" s="347"/>
      <c r="CF65" s="347"/>
      <c r="CG65" s="347"/>
      <c r="CH65" s="347"/>
      <c r="CI65" s="347"/>
      <c r="CJ65" s="347"/>
      <c r="CK65" s="347"/>
      <c r="CL65" s="346"/>
      <c r="CM65" s="347"/>
      <c r="CN65" s="347"/>
      <c r="CO65" s="346"/>
      <c r="CP65" s="346"/>
      <c r="CQ65" s="346"/>
      <c r="CR65" s="346"/>
      <c r="CS65" s="346"/>
      <c r="CT65" s="346"/>
      <c r="CU65" s="346"/>
      <c r="CV65" s="346"/>
      <c r="CW65" s="346"/>
    </row>
    <row r="66" spans="1:101" x14ac:dyDescent="0.25">
      <c r="A66" s="346"/>
      <c r="B66" s="346"/>
      <c r="C66" s="346"/>
      <c r="D66" s="346"/>
      <c r="E66" s="346"/>
      <c r="F66" s="346"/>
      <c r="G66" s="346"/>
      <c r="H66" s="346"/>
      <c r="I66" s="346"/>
      <c r="J66" s="346"/>
      <c r="K66" s="346"/>
      <c r="L66" s="346"/>
      <c r="M66" s="346"/>
      <c r="N66" s="346"/>
      <c r="O66" s="346"/>
      <c r="P66" s="346"/>
      <c r="Q66" s="346"/>
      <c r="R66" s="346"/>
      <c r="S66" s="346"/>
      <c r="T66" s="346"/>
      <c r="U66" s="346"/>
      <c r="V66" s="346"/>
      <c r="W66" s="346"/>
      <c r="X66" s="346"/>
      <c r="Y66" s="346"/>
      <c r="Z66" s="346"/>
      <c r="AA66" s="346"/>
      <c r="AB66" s="346"/>
      <c r="AC66" s="346"/>
      <c r="AD66" s="347"/>
      <c r="AE66" s="347"/>
      <c r="AF66" s="347"/>
      <c r="AG66" s="347"/>
      <c r="AH66" s="347"/>
      <c r="AI66" s="347"/>
      <c r="AJ66" s="347"/>
      <c r="AK66" s="347"/>
      <c r="AL66" s="347"/>
      <c r="AM66" s="347"/>
      <c r="AN66" s="347"/>
      <c r="AO66" s="347"/>
      <c r="AP66" s="347"/>
      <c r="AQ66" s="347"/>
      <c r="AR66" s="347"/>
      <c r="AS66" s="347"/>
      <c r="AT66" s="347"/>
      <c r="AU66" s="347"/>
      <c r="AV66" s="347"/>
      <c r="AW66" s="347"/>
      <c r="AX66" s="347"/>
      <c r="AY66" s="347"/>
      <c r="AZ66" s="347"/>
      <c r="BA66" s="347"/>
      <c r="BB66" s="346"/>
      <c r="BC66" s="347"/>
      <c r="BD66" s="347"/>
      <c r="BE66" s="347"/>
      <c r="BF66" s="347"/>
      <c r="BG66" s="347"/>
      <c r="BH66" s="347"/>
      <c r="BI66" s="347"/>
      <c r="BJ66" s="347"/>
      <c r="BK66" s="346"/>
      <c r="BL66" s="347"/>
      <c r="BM66" s="347"/>
      <c r="BN66" s="347"/>
      <c r="BO66" s="347"/>
      <c r="BP66" s="347"/>
      <c r="BQ66" s="347"/>
      <c r="BR66" s="347"/>
      <c r="BS66" s="347"/>
      <c r="BT66" s="347"/>
      <c r="BU66" s="347"/>
      <c r="BV66" s="347"/>
      <c r="BW66" s="347"/>
      <c r="BX66" s="347"/>
      <c r="BY66" s="347"/>
      <c r="BZ66" s="347"/>
      <c r="CA66" s="347"/>
      <c r="CB66" s="347"/>
      <c r="CC66" s="347"/>
      <c r="CD66" s="347"/>
      <c r="CE66" s="347"/>
      <c r="CF66" s="347"/>
      <c r="CG66" s="347"/>
      <c r="CH66" s="347"/>
      <c r="CI66" s="347"/>
      <c r="CJ66" s="347"/>
      <c r="CK66" s="347"/>
      <c r="CL66" s="346"/>
      <c r="CM66" s="347"/>
      <c r="CN66" s="347"/>
      <c r="CO66" s="346"/>
      <c r="CP66" s="346"/>
      <c r="CQ66" s="346"/>
      <c r="CR66" s="346"/>
      <c r="CS66" s="346"/>
      <c r="CT66" s="346"/>
      <c r="CU66" s="346"/>
      <c r="CV66" s="346"/>
      <c r="CW66" s="346"/>
    </row>
    <row r="67" spans="1:101" x14ac:dyDescent="0.25">
      <c r="A67" s="346"/>
      <c r="B67" s="346"/>
      <c r="C67" s="346"/>
      <c r="D67" s="346"/>
      <c r="E67" s="346"/>
      <c r="F67" s="346"/>
      <c r="G67" s="346"/>
      <c r="H67" s="346"/>
      <c r="I67" s="346"/>
      <c r="J67" s="346"/>
      <c r="K67" s="346"/>
      <c r="L67" s="346"/>
      <c r="M67" s="346"/>
      <c r="N67" s="346"/>
      <c r="O67" s="346"/>
      <c r="P67" s="346"/>
      <c r="Q67" s="346"/>
      <c r="R67" s="346"/>
      <c r="S67" s="346"/>
      <c r="T67" s="346"/>
      <c r="U67" s="346"/>
      <c r="V67" s="346"/>
      <c r="W67" s="346"/>
      <c r="X67" s="346"/>
      <c r="Y67" s="346"/>
      <c r="Z67" s="346"/>
      <c r="AA67" s="346"/>
      <c r="AB67" s="346"/>
      <c r="AC67" s="346"/>
      <c r="AD67" s="347"/>
      <c r="AE67" s="347"/>
      <c r="AF67" s="347"/>
      <c r="AG67" s="347"/>
      <c r="AH67" s="347"/>
      <c r="AI67" s="347"/>
      <c r="AJ67" s="347"/>
      <c r="AK67" s="347"/>
      <c r="AL67" s="347"/>
      <c r="AM67" s="347"/>
      <c r="AN67" s="347"/>
      <c r="AO67" s="347"/>
      <c r="AP67" s="347"/>
      <c r="AQ67" s="347"/>
      <c r="AR67" s="347"/>
      <c r="AS67" s="347"/>
      <c r="AT67" s="347"/>
      <c r="AU67" s="347"/>
      <c r="AV67" s="347"/>
      <c r="AW67" s="347"/>
      <c r="AX67" s="347"/>
      <c r="AY67" s="347"/>
      <c r="AZ67" s="347"/>
      <c r="BA67" s="347"/>
      <c r="BB67" s="346"/>
      <c r="BC67" s="347"/>
      <c r="BD67" s="347"/>
      <c r="BE67" s="347"/>
      <c r="BF67" s="347"/>
      <c r="BG67" s="347"/>
      <c r="BH67" s="347"/>
      <c r="BI67" s="347"/>
      <c r="BJ67" s="347"/>
      <c r="BK67" s="346"/>
      <c r="BL67" s="347"/>
      <c r="BM67" s="347"/>
      <c r="BN67" s="347"/>
      <c r="BO67" s="347"/>
      <c r="BP67" s="347"/>
      <c r="BQ67" s="347"/>
      <c r="BR67" s="347"/>
      <c r="BS67" s="347"/>
      <c r="BT67" s="347"/>
      <c r="BU67" s="347"/>
      <c r="BV67" s="347"/>
      <c r="BW67" s="347"/>
      <c r="BX67" s="347"/>
      <c r="BY67" s="347"/>
      <c r="BZ67" s="347"/>
      <c r="CA67" s="347"/>
      <c r="CB67" s="347"/>
      <c r="CC67" s="347"/>
      <c r="CD67" s="347"/>
      <c r="CE67" s="347"/>
      <c r="CF67" s="347"/>
      <c r="CG67" s="347"/>
      <c r="CH67" s="347"/>
      <c r="CI67" s="347"/>
      <c r="CJ67" s="347"/>
      <c r="CK67" s="347"/>
      <c r="CL67" s="346"/>
      <c r="CM67" s="347"/>
      <c r="CN67" s="347"/>
      <c r="CO67" s="346"/>
      <c r="CP67" s="346"/>
      <c r="CQ67" s="346"/>
      <c r="CR67" s="346"/>
      <c r="CS67" s="346"/>
      <c r="CT67" s="346"/>
      <c r="CU67" s="346"/>
      <c r="CV67" s="346"/>
      <c r="CW67" s="346"/>
    </row>
    <row r="68" spans="1:101" x14ac:dyDescent="0.25">
      <c r="A68" s="346"/>
      <c r="B68" s="346"/>
      <c r="C68" s="346"/>
      <c r="D68" s="346"/>
      <c r="E68" s="346"/>
      <c r="F68" s="346"/>
      <c r="G68" s="346"/>
      <c r="H68" s="346"/>
      <c r="I68" s="346"/>
      <c r="J68" s="346"/>
      <c r="K68" s="346"/>
      <c r="L68" s="346"/>
      <c r="M68" s="346"/>
      <c r="N68" s="346"/>
      <c r="O68" s="346"/>
      <c r="P68" s="346"/>
      <c r="Q68" s="346"/>
      <c r="R68" s="346"/>
      <c r="S68" s="346"/>
      <c r="T68" s="346"/>
      <c r="U68" s="346"/>
      <c r="V68" s="346"/>
      <c r="W68" s="346"/>
      <c r="X68" s="346"/>
      <c r="Y68" s="346"/>
      <c r="Z68" s="346"/>
      <c r="AA68" s="346"/>
      <c r="AB68" s="346"/>
      <c r="AC68" s="346"/>
      <c r="AD68" s="347"/>
      <c r="AE68" s="347"/>
      <c r="AF68" s="347"/>
      <c r="AG68" s="347"/>
      <c r="AH68" s="347"/>
      <c r="AI68" s="347"/>
      <c r="AJ68" s="347"/>
      <c r="AK68" s="347"/>
      <c r="AL68" s="347"/>
      <c r="AM68" s="347"/>
      <c r="AN68" s="347"/>
      <c r="AO68" s="347"/>
      <c r="AP68" s="347"/>
      <c r="AQ68" s="347"/>
      <c r="AR68" s="347"/>
      <c r="AS68" s="347"/>
      <c r="AT68" s="347"/>
      <c r="AU68" s="347"/>
      <c r="AV68" s="347"/>
      <c r="AW68" s="347"/>
      <c r="AX68" s="347"/>
      <c r="AY68" s="347"/>
      <c r="AZ68" s="347"/>
      <c r="BA68" s="347"/>
      <c r="BB68" s="346"/>
      <c r="BC68" s="347"/>
      <c r="BD68" s="347"/>
      <c r="BE68" s="347"/>
      <c r="BF68" s="347"/>
      <c r="BG68" s="347"/>
      <c r="BH68" s="347"/>
      <c r="BI68" s="347"/>
      <c r="BJ68" s="347"/>
      <c r="BK68" s="346"/>
      <c r="BL68" s="347"/>
      <c r="BM68" s="347"/>
      <c r="BN68" s="347"/>
      <c r="BO68" s="347"/>
      <c r="BP68" s="347"/>
      <c r="BQ68" s="347"/>
      <c r="BR68" s="347"/>
      <c r="BS68" s="347"/>
      <c r="BT68" s="347"/>
      <c r="BU68" s="347"/>
      <c r="BV68" s="347"/>
      <c r="BW68" s="347"/>
      <c r="BX68" s="347"/>
      <c r="BY68" s="347"/>
      <c r="BZ68" s="347"/>
      <c r="CA68" s="347"/>
      <c r="CB68" s="347"/>
      <c r="CC68" s="347"/>
      <c r="CD68" s="347"/>
      <c r="CE68" s="347"/>
      <c r="CF68" s="347"/>
      <c r="CG68" s="347"/>
      <c r="CH68" s="347"/>
      <c r="CI68" s="347"/>
      <c r="CJ68" s="347"/>
      <c r="CK68" s="347"/>
      <c r="CL68" s="346"/>
      <c r="CM68" s="347"/>
      <c r="CN68" s="347"/>
      <c r="CO68" s="346"/>
      <c r="CP68" s="346"/>
      <c r="CQ68" s="346"/>
      <c r="CR68" s="346"/>
      <c r="CS68" s="346"/>
      <c r="CT68" s="346"/>
      <c r="CU68" s="346"/>
      <c r="CV68" s="346"/>
      <c r="CW68" s="346"/>
    </row>
    <row r="69" spans="1:101" x14ac:dyDescent="0.25">
      <c r="A69" s="346"/>
      <c r="B69" s="346"/>
      <c r="C69" s="346"/>
      <c r="D69" s="346"/>
      <c r="E69" s="346"/>
      <c r="F69" s="346"/>
      <c r="G69" s="346"/>
      <c r="H69" s="346"/>
      <c r="I69" s="346"/>
      <c r="J69" s="346"/>
      <c r="K69" s="346"/>
      <c r="L69" s="346"/>
      <c r="M69" s="346"/>
      <c r="N69" s="346"/>
      <c r="O69" s="346"/>
      <c r="P69" s="346"/>
      <c r="Q69" s="346"/>
      <c r="R69" s="346"/>
      <c r="S69" s="346"/>
      <c r="T69" s="346"/>
      <c r="U69" s="346"/>
      <c r="V69" s="346"/>
      <c r="W69" s="346"/>
      <c r="X69" s="346"/>
      <c r="Y69" s="346"/>
      <c r="Z69" s="346"/>
      <c r="AA69" s="346"/>
      <c r="AB69" s="346"/>
      <c r="AC69" s="346"/>
      <c r="AD69" s="347"/>
      <c r="AE69" s="347"/>
      <c r="AF69" s="347"/>
      <c r="AG69" s="347"/>
      <c r="AH69" s="347"/>
      <c r="AI69" s="347"/>
      <c r="AJ69" s="347"/>
      <c r="AK69" s="347"/>
      <c r="AL69" s="347"/>
      <c r="AM69" s="347"/>
      <c r="AN69" s="347"/>
      <c r="AO69" s="347"/>
      <c r="AP69" s="347"/>
      <c r="AQ69" s="347"/>
      <c r="AR69" s="347"/>
      <c r="AS69" s="347"/>
      <c r="AT69" s="347"/>
      <c r="AU69" s="347"/>
      <c r="AV69" s="347"/>
      <c r="AW69" s="347"/>
      <c r="AX69" s="347"/>
      <c r="AY69" s="347"/>
      <c r="AZ69" s="347"/>
      <c r="BA69" s="347"/>
      <c r="BB69" s="347"/>
      <c r="BC69" s="347"/>
      <c r="BD69" s="347"/>
      <c r="BE69" s="347"/>
      <c r="BF69" s="347"/>
      <c r="BG69" s="347"/>
      <c r="BH69" s="347"/>
      <c r="BI69" s="347"/>
      <c r="BJ69" s="347"/>
      <c r="BK69" s="347"/>
      <c r="BL69" s="347"/>
      <c r="BM69" s="347"/>
      <c r="BN69" s="347"/>
      <c r="BO69" s="347"/>
      <c r="BP69" s="347"/>
      <c r="BQ69" s="347"/>
      <c r="BR69" s="347"/>
      <c r="BS69" s="347"/>
      <c r="BT69" s="347"/>
      <c r="BU69" s="347"/>
      <c r="BV69" s="347"/>
      <c r="BW69" s="347"/>
      <c r="BX69" s="347"/>
      <c r="BY69" s="347"/>
      <c r="BZ69" s="347"/>
      <c r="CA69" s="347"/>
      <c r="CB69" s="347"/>
      <c r="CC69" s="347"/>
      <c r="CD69" s="347"/>
      <c r="CE69" s="347"/>
      <c r="CF69" s="347"/>
      <c r="CG69" s="347"/>
      <c r="CH69" s="347"/>
      <c r="CI69" s="347"/>
      <c r="CJ69" s="347"/>
      <c r="CK69" s="347"/>
      <c r="CL69" s="347"/>
      <c r="CM69" s="347"/>
      <c r="CN69" s="347"/>
      <c r="CO69" s="346"/>
      <c r="CP69" s="346"/>
      <c r="CQ69" s="346"/>
      <c r="CR69" s="346"/>
      <c r="CS69" s="346"/>
      <c r="CT69" s="346"/>
      <c r="CU69" s="346"/>
      <c r="CV69" s="346"/>
      <c r="CW69" s="346"/>
    </row>
    <row r="70" spans="1:101" x14ac:dyDescent="0.25">
      <c r="A70" s="346"/>
      <c r="B70" s="346"/>
      <c r="C70" s="346"/>
      <c r="D70" s="346"/>
      <c r="E70" s="346"/>
      <c r="F70" s="346"/>
      <c r="G70" s="346"/>
      <c r="H70" s="346"/>
      <c r="I70" s="346"/>
      <c r="J70" s="346"/>
      <c r="K70" s="346"/>
      <c r="L70" s="346"/>
      <c r="M70" s="346"/>
      <c r="N70" s="346"/>
      <c r="O70" s="346"/>
      <c r="P70" s="346"/>
      <c r="Q70" s="346"/>
      <c r="R70" s="346"/>
      <c r="S70" s="346"/>
      <c r="T70" s="346"/>
      <c r="U70" s="346"/>
      <c r="V70" s="346"/>
      <c r="W70" s="346"/>
      <c r="X70" s="346"/>
      <c r="Y70" s="346"/>
      <c r="Z70" s="346"/>
      <c r="AA70" s="346"/>
      <c r="AB70" s="346"/>
      <c r="AC70" s="346"/>
      <c r="AD70" s="347"/>
      <c r="AE70" s="347"/>
      <c r="AF70" s="347"/>
      <c r="AG70" s="347"/>
      <c r="AH70" s="347"/>
      <c r="AI70" s="347"/>
      <c r="AJ70" s="347"/>
      <c r="AK70" s="347"/>
      <c r="AL70" s="347"/>
      <c r="AM70" s="347"/>
      <c r="AN70" s="347"/>
      <c r="AO70" s="347"/>
      <c r="AP70" s="347"/>
      <c r="AQ70" s="347"/>
      <c r="AR70" s="347"/>
      <c r="AS70" s="347"/>
      <c r="AT70" s="347"/>
      <c r="AU70" s="347"/>
      <c r="AV70" s="347"/>
      <c r="AW70" s="347"/>
      <c r="AX70" s="347"/>
      <c r="AY70" s="347"/>
      <c r="AZ70" s="347"/>
      <c r="BA70" s="347"/>
      <c r="BB70" s="347"/>
      <c r="BC70" s="347"/>
      <c r="BD70" s="347"/>
      <c r="BE70" s="347"/>
      <c r="BF70" s="347"/>
      <c r="BG70" s="347"/>
      <c r="BH70" s="347"/>
      <c r="BI70" s="347"/>
      <c r="BJ70" s="347"/>
      <c r="BK70" s="347"/>
      <c r="BL70" s="347"/>
      <c r="BM70" s="347"/>
      <c r="BN70" s="347"/>
      <c r="BO70" s="347"/>
      <c r="BP70" s="347"/>
      <c r="BQ70" s="347"/>
      <c r="BR70" s="347"/>
      <c r="BS70" s="347"/>
      <c r="BT70" s="347"/>
      <c r="BU70" s="347"/>
      <c r="BV70" s="347"/>
      <c r="BW70" s="347"/>
      <c r="BX70" s="347"/>
      <c r="BY70" s="347"/>
      <c r="BZ70" s="347"/>
      <c r="CA70" s="347"/>
      <c r="CB70" s="347"/>
      <c r="CC70" s="347"/>
      <c r="CD70" s="347"/>
      <c r="CE70" s="347"/>
      <c r="CF70" s="347"/>
      <c r="CG70" s="347"/>
      <c r="CH70" s="347"/>
      <c r="CI70" s="347"/>
      <c r="CJ70" s="347"/>
      <c r="CK70" s="347"/>
      <c r="CL70" s="347"/>
      <c r="CM70" s="347"/>
      <c r="CN70" s="347"/>
      <c r="CO70" s="346"/>
      <c r="CP70" s="346"/>
      <c r="CQ70" s="346"/>
      <c r="CR70" s="346"/>
      <c r="CS70" s="346"/>
      <c r="CT70" s="346"/>
      <c r="CU70" s="346"/>
      <c r="CV70" s="346"/>
      <c r="CW70" s="346"/>
    </row>
    <row r="71" spans="1:101" x14ac:dyDescent="0.25">
      <c r="A71" s="346"/>
      <c r="B71" s="346"/>
      <c r="C71" s="346"/>
      <c r="D71" s="346"/>
      <c r="E71" s="346"/>
      <c r="F71" s="346"/>
      <c r="G71" s="346"/>
      <c r="H71" s="346"/>
      <c r="I71" s="346"/>
      <c r="J71" s="346"/>
      <c r="K71" s="346"/>
      <c r="L71" s="346"/>
      <c r="M71" s="346"/>
      <c r="N71" s="346"/>
      <c r="O71" s="346"/>
      <c r="P71" s="346"/>
      <c r="Q71" s="346"/>
      <c r="R71" s="346"/>
      <c r="S71" s="346"/>
      <c r="T71" s="346"/>
      <c r="U71" s="346"/>
      <c r="V71" s="346"/>
      <c r="W71" s="346"/>
      <c r="X71" s="346"/>
      <c r="Y71" s="346"/>
      <c r="Z71" s="346"/>
      <c r="AA71" s="346"/>
      <c r="AB71" s="346"/>
      <c r="AC71" s="346"/>
      <c r="AD71" s="347"/>
      <c r="AE71" s="347"/>
      <c r="AF71" s="347"/>
      <c r="AG71" s="347"/>
      <c r="AH71" s="347"/>
      <c r="AI71" s="347"/>
      <c r="AJ71" s="347"/>
      <c r="AK71" s="347"/>
      <c r="AL71" s="347"/>
      <c r="AM71" s="347"/>
      <c r="AN71" s="347"/>
      <c r="AO71" s="347"/>
      <c r="AP71" s="347"/>
      <c r="AQ71" s="347"/>
      <c r="AR71" s="347"/>
      <c r="AS71" s="347"/>
      <c r="AT71" s="347"/>
      <c r="AU71" s="347"/>
      <c r="AV71" s="347"/>
      <c r="AW71" s="347"/>
      <c r="AX71" s="347"/>
      <c r="AY71" s="347"/>
      <c r="AZ71" s="347"/>
      <c r="BA71" s="347"/>
      <c r="BB71" s="347"/>
      <c r="BC71" s="347"/>
      <c r="BD71" s="347"/>
      <c r="BE71" s="347"/>
      <c r="BF71" s="347"/>
      <c r="BG71" s="347"/>
      <c r="BH71" s="347"/>
      <c r="BI71" s="347"/>
      <c r="BJ71" s="347"/>
      <c r="BK71" s="347"/>
      <c r="BL71" s="347"/>
      <c r="BM71" s="347"/>
      <c r="BN71" s="347"/>
      <c r="BO71" s="347"/>
      <c r="BP71" s="347"/>
      <c r="BQ71" s="347"/>
      <c r="BR71" s="347"/>
      <c r="BS71" s="347"/>
      <c r="BT71" s="347"/>
      <c r="BU71" s="347"/>
      <c r="BV71" s="347"/>
      <c r="BW71" s="347"/>
      <c r="BX71" s="347"/>
      <c r="BY71" s="347"/>
      <c r="BZ71" s="347"/>
      <c r="CA71" s="347"/>
      <c r="CB71" s="347"/>
      <c r="CC71" s="347"/>
      <c r="CD71" s="347"/>
      <c r="CE71" s="347"/>
      <c r="CF71" s="347"/>
      <c r="CG71" s="347"/>
      <c r="CH71" s="347"/>
      <c r="CI71" s="347"/>
      <c r="CJ71" s="347"/>
      <c r="CK71" s="347"/>
      <c r="CL71" s="347"/>
      <c r="CM71" s="347"/>
      <c r="CN71" s="347"/>
      <c r="CO71" s="346"/>
      <c r="CP71" s="346"/>
      <c r="CQ71" s="346"/>
      <c r="CR71" s="346"/>
      <c r="CS71" s="346"/>
      <c r="CT71" s="346"/>
      <c r="CU71" s="346"/>
      <c r="CV71" s="346"/>
      <c r="CW71" s="346"/>
    </row>
    <row r="72" spans="1:101" x14ac:dyDescent="0.25">
      <c r="A72" s="346"/>
      <c r="B72" s="346"/>
      <c r="C72" s="346"/>
      <c r="D72" s="346"/>
      <c r="E72" s="346"/>
      <c r="F72" s="346"/>
      <c r="G72" s="346"/>
      <c r="H72" s="346"/>
      <c r="I72" s="346"/>
      <c r="J72" s="346"/>
      <c r="K72" s="346"/>
      <c r="L72" s="346"/>
      <c r="M72" s="346"/>
      <c r="N72" s="346"/>
      <c r="O72" s="346"/>
      <c r="P72" s="346"/>
      <c r="Q72" s="346"/>
      <c r="R72" s="346"/>
      <c r="S72" s="346"/>
      <c r="T72" s="346"/>
      <c r="U72" s="346"/>
      <c r="V72" s="346"/>
      <c r="W72" s="346"/>
      <c r="X72" s="346"/>
      <c r="Y72" s="346"/>
      <c r="Z72" s="346"/>
      <c r="AA72" s="346"/>
      <c r="AB72" s="346"/>
      <c r="AC72" s="346"/>
      <c r="AD72" s="347"/>
      <c r="AE72" s="347"/>
      <c r="AF72" s="347"/>
      <c r="AG72" s="347"/>
      <c r="AH72" s="347"/>
      <c r="AI72" s="347"/>
      <c r="AJ72" s="347"/>
      <c r="AK72" s="347"/>
      <c r="AL72" s="347"/>
      <c r="AM72" s="347"/>
      <c r="AN72" s="347"/>
      <c r="AO72" s="347"/>
      <c r="AP72" s="347"/>
      <c r="AQ72" s="347"/>
      <c r="AR72" s="347"/>
      <c r="AS72" s="347"/>
      <c r="AT72" s="347"/>
      <c r="AU72" s="347"/>
      <c r="AV72" s="347"/>
      <c r="AW72" s="347"/>
      <c r="AX72" s="347"/>
      <c r="AY72" s="347"/>
      <c r="AZ72" s="347"/>
      <c r="BA72" s="347"/>
      <c r="BB72" s="346"/>
      <c r="BC72" s="347"/>
      <c r="BD72" s="347"/>
      <c r="BE72" s="347"/>
      <c r="BF72" s="347"/>
      <c r="BG72" s="347"/>
      <c r="BH72" s="347"/>
      <c r="BI72" s="347"/>
      <c r="BJ72" s="347"/>
      <c r="BK72" s="346"/>
      <c r="BL72" s="347"/>
      <c r="BM72" s="347"/>
      <c r="BN72" s="347"/>
      <c r="BO72" s="347"/>
      <c r="BP72" s="347"/>
      <c r="BQ72" s="347"/>
      <c r="BR72" s="347"/>
      <c r="BS72" s="347"/>
      <c r="BT72" s="347"/>
      <c r="BU72" s="347"/>
      <c r="BV72" s="347"/>
      <c r="BW72" s="347"/>
      <c r="BX72" s="347"/>
      <c r="BY72" s="347"/>
      <c r="BZ72" s="347"/>
      <c r="CA72" s="347"/>
      <c r="CB72" s="347"/>
      <c r="CC72" s="347"/>
      <c r="CD72" s="347"/>
      <c r="CE72" s="347"/>
      <c r="CF72" s="347"/>
      <c r="CG72" s="347"/>
      <c r="CH72" s="347"/>
      <c r="CI72" s="347"/>
      <c r="CJ72" s="347"/>
      <c r="CK72" s="347"/>
      <c r="CL72" s="346"/>
      <c r="CM72" s="347"/>
      <c r="CN72" s="347"/>
      <c r="CO72" s="346"/>
      <c r="CP72" s="346"/>
      <c r="CQ72" s="346"/>
      <c r="CR72" s="346"/>
      <c r="CS72" s="346"/>
      <c r="CT72" s="346"/>
      <c r="CU72" s="346"/>
      <c r="CV72" s="346"/>
      <c r="CW72" s="346"/>
    </row>
    <row r="73" spans="1:101" x14ac:dyDescent="0.25">
      <c r="A73" s="346"/>
      <c r="B73" s="346"/>
      <c r="C73" s="346"/>
      <c r="D73" s="346"/>
      <c r="E73" s="346"/>
      <c r="F73" s="346"/>
      <c r="G73" s="346"/>
      <c r="H73" s="346"/>
      <c r="I73" s="346"/>
      <c r="J73" s="346"/>
      <c r="K73" s="346"/>
      <c r="L73" s="346"/>
      <c r="M73" s="346"/>
      <c r="N73" s="346"/>
      <c r="O73" s="346"/>
      <c r="P73" s="346"/>
      <c r="Q73" s="346"/>
      <c r="R73" s="346"/>
      <c r="S73" s="346"/>
      <c r="T73" s="346"/>
      <c r="U73" s="346"/>
      <c r="V73" s="346"/>
      <c r="W73" s="346"/>
      <c r="X73" s="346"/>
      <c r="Y73" s="346"/>
      <c r="Z73" s="346"/>
      <c r="AA73" s="346"/>
      <c r="AB73" s="346"/>
      <c r="AC73" s="346"/>
      <c r="AD73" s="347"/>
      <c r="AE73" s="347"/>
      <c r="AF73" s="347"/>
      <c r="AG73" s="347"/>
      <c r="AH73" s="347"/>
      <c r="AI73" s="347"/>
      <c r="AJ73" s="347"/>
      <c r="AK73" s="347"/>
      <c r="AL73" s="347"/>
      <c r="AM73" s="347"/>
      <c r="AN73" s="347"/>
      <c r="AO73" s="347"/>
      <c r="AP73" s="347"/>
      <c r="AQ73" s="347"/>
      <c r="AR73" s="347"/>
      <c r="AS73" s="347"/>
      <c r="AT73" s="347"/>
      <c r="AU73" s="347"/>
      <c r="AV73" s="347"/>
      <c r="AW73" s="347"/>
      <c r="AX73" s="347"/>
      <c r="AY73" s="347"/>
      <c r="AZ73" s="347"/>
      <c r="BA73" s="347"/>
      <c r="BB73" s="346"/>
      <c r="BC73" s="347"/>
      <c r="BD73" s="347"/>
      <c r="BE73" s="347"/>
      <c r="BF73" s="347"/>
      <c r="BG73" s="347"/>
      <c r="BH73" s="347"/>
      <c r="BI73" s="347"/>
      <c r="BJ73" s="347"/>
      <c r="BK73" s="346"/>
      <c r="BL73" s="347"/>
      <c r="BM73" s="347"/>
      <c r="BN73" s="347"/>
      <c r="BO73" s="347"/>
      <c r="BP73" s="347"/>
      <c r="BQ73" s="347"/>
      <c r="BR73" s="347"/>
      <c r="BS73" s="347"/>
      <c r="BT73" s="347"/>
      <c r="BU73" s="347"/>
      <c r="BV73" s="347"/>
      <c r="BW73" s="347"/>
      <c r="BX73" s="347"/>
      <c r="BY73" s="347"/>
      <c r="BZ73" s="347"/>
      <c r="CA73" s="347"/>
      <c r="CB73" s="347"/>
      <c r="CC73" s="347"/>
      <c r="CD73" s="347"/>
      <c r="CE73" s="347"/>
      <c r="CF73" s="347"/>
      <c r="CG73" s="347"/>
      <c r="CH73" s="347"/>
      <c r="CI73" s="347"/>
      <c r="CJ73" s="347"/>
      <c r="CK73" s="347"/>
      <c r="CL73" s="346"/>
      <c r="CM73" s="347"/>
      <c r="CN73" s="347"/>
      <c r="CO73" s="346"/>
      <c r="CP73" s="346"/>
      <c r="CQ73" s="346"/>
      <c r="CR73" s="346"/>
      <c r="CS73" s="346"/>
      <c r="CT73" s="346"/>
      <c r="CU73" s="346"/>
      <c r="CV73" s="346"/>
      <c r="CW73" s="346"/>
    </row>
    <row r="74" spans="1:101" x14ac:dyDescent="0.25">
      <c r="A74" s="346"/>
      <c r="B74" s="346"/>
      <c r="C74" s="346"/>
      <c r="D74" s="346"/>
      <c r="E74" s="346"/>
      <c r="F74" s="346"/>
      <c r="G74" s="346"/>
      <c r="H74" s="346"/>
      <c r="I74" s="346"/>
      <c r="J74" s="346"/>
      <c r="K74" s="346"/>
      <c r="L74" s="346"/>
      <c r="M74" s="346"/>
      <c r="N74" s="346"/>
      <c r="O74" s="346"/>
      <c r="P74" s="346"/>
      <c r="Q74" s="346"/>
      <c r="R74" s="346"/>
      <c r="S74" s="346"/>
      <c r="T74" s="346"/>
      <c r="U74" s="346"/>
      <c r="V74" s="346"/>
      <c r="W74" s="346"/>
      <c r="X74" s="346"/>
      <c r="Y74" s="346"/>
      <c r="Z74" s="346"/>
      <c r="AA74" s="346"/>
      <c r="AB74" s="346"/>
      <c r="AC74" s="346"/>
      <c r="AD74" s="347"/>
      <c r="AE74" s="347"/>
      <c r="AF74" s="347"/>
      <c r="AG74" s="347"/>
      <c r="AH74" s="347"/>
      <c r="AI74" s="347"/>
      <c r="AJ74" s="347"/>
      <c r="AK74" s="347"/>
      <c r="AL74" s="347"/>
      <c r="AM74" s="347"/>
      <c r="AN74" s="347"/>
      <c r="AO74" s="347"/>
      <c r="AP74" s="347"/>
      <c r="AQ74" s="347"/>
      <c r="AR74" s="347"/>
      <c r="AS74" s="347"/>
      <c r="AT74" s="347"/>
      <c r="AU74" s="347"/>
      <c r="AV74" s="347"/>
      <c r="AW74" s="347"/>
      <c r="AX74" s="347"/>
      <c r="AY74" s="347"/>
      <c r="AZ74" s="347"/>
      <c r="BA74" s="347"/>
      <c r="BB74" s="346"/>
      <c r="BC74" s="347"/>
      <c r="BD74" s="347"/>
      <c r="BE74" s="347"/>
      <c r="BF74" s="347"/>
      <c r="BG74" s="347"/>
      <c r="BH74" s="347"/>
      <c r="BI74" s="347"/>
      <c r="BJ74" s="347"/>
      <c r="BK74" s="346"/>
      <c r="BL74" s="347"/>
      <c r="BM74" s="347"/>
      <c r="BN74" s="347"/>
      <c r="BO74" s="347"/>
      <c r="BP74" s="347"/>
      <c r="BQ74" s="347"/>
      <c r="BR74" s="347"/>
      <c r="BS74" s="347"/>
      <c r="BT74" s="347"/>
      <c r="BU74" s="347"/>
      <c r="BV74" s="347"/>
      <c r="BW74" s="347"/>
      <c r="BX74" s="347"/>
      <c r="BY74" s="347"/>
      <c r="BZ74" s="347"/>
      <c r="CA74" s="347"/>
      <c r="CB74" s="347"/>
      <c r="CC74" s="347"/>
      <c r="CD74" s="347"/>
      <c r="CE74" s="347"/>
      <c r="CF74" s="347"/>
      <c r="CG74" s="347"/>
      <c r="CH74" s="347"/>
      <c r="CI74" s="347"/>
      <c r="CJ74" s="347"/>
      <c r="CK74" s="347"/>
      <c r="CL74" s="346"/>
      <c r="CM74" s="347"/>
      <c r="CN74" s="347"/>
      <c r="CO74" s="346"/>
      <c r="CP74" s="346"/>
      <c r="CQ74" s="346"/>
      <c r="CR74" s="346"/>
      <c r="CS74" s="346"/>
      <c r="CT74" s="346"/>
      <c r="CU74" s="346"/>
      <c r="CV74" s="346"/>
      <c r="CW74" s="346"/>
    </row>
    <row r="75" spans="1:101" x14ac:dyDescent="0.25">
      <c r="A75" s="346"/>
      <c r="B75" s="346"/>
      <c r="C75" s="346"/>
      <c r="D75" s="346"/>
      <c r="E75" s="346"/>
      <c r="F75" s="346"/>
      <c r="G75" s="346"/>
      <c r="H75" s="346"/>
      <c r="I75" s="346"/>
      <c r="J75" s="346"/>
      <c r="K75" s="346"/>
      <c r="L75" s="346"/>
      <c r="M75" s="346"/>
      <c r="N75" s="346"/>
      <c r="O75" s="346"/>
      <c r="P75" s="346"/>
      <c r="Q75" s="346"/>
      <c r="R75" s="346"/>
      <c r="S75" s="346"/>
      <c r="T75" s="346"/>
      <c r="U75" s="346"/>
      <c r="V75" s="346"/>
      <c r="W75" s="346"/>
      <c r="X75" s="346"/>
      <c r="Y75" s="346"/>
      <c r="Z75" s="346"/>
      <c r="AA75" s="346"/>
      <c r="AB75" s="346"/>
      <c r="AC75" s="346"/>
      <c r="AD75" s="347"/>
      <c r="AE75" s="347"/>
      <c r="AF75" s="347"/>
      <c r="AG75" s="347"/>
      <c r="AH75" s="347"/>
      <c r="AI75" s="347"/>
      <c r="AJ75" s="347"/>
      <c r="AK75" s="347"/>
      <c r="AL75" s="347"/>
      <c r="AM75" s="347"/>
      <c r="AN75" s="347"/>
      <c r="AO75" s="347"/>
      <c r="AP75" s="347"/>
      <c r="AQ75" s="347"/>
      <c r="AR75" s="347"/>
      <c r="AS75" s="347"/>
      <c r="AT75" s="347"/>
      <c r="AU75" s="347"/>
      <c r="AV75" s="347"/>
      <c r="AW75" s="347"/>
      <c r="AX75" s="347"/>
      <c r="AY75" s="347"/>
      <c r="AZ75" s="347"/>
      <c r="BA75" s="347"/>
      <c r="BB75" s="347"/>
      <c r="BC75" s="347"/>
      <c r="BD75" s="347"/>
      <c r="BE75" s="347"/>
      <c r="BF75" s="347"/>
      <c r="BG75" s="347"/>
      <c r="BH75" s="347"/>
      <c r="BI75" s="347"/>
      <c r="BJ75" s="347"/>
      <c r="BK75" s="347"/>
      <c r="BL75" s="347"/>
      <c r="BM75" s="347"/>
      <c r="BN75" s="347"/>
      <c r="BO75" s="347"/>
      <c r="BP75" s="347"/>
      <c r="BQ75" s="347"/>
      <c r="BR75" s="347"/>
      <c r="BS75" s="347"/>
      <c r="BT75" s="347"/>
      <c r="BU75" s="347"/>
      <c r="BV75" s="347"/>
      <c r="BW75" s="347"/>
      <c r="BX75" s="347"/>
      <c r="BY75" s="347"/>
      <c r="BZ75" s="347"/>
      <c r="CA75" s="347"/>
      <c r="CB75" s="347"/>
      <c r="CC75" s="347"/>
      <c r="CD75" s="347"/>
      <c r="CE75" s="347"/>
      <c r="CF75" s="347"/>
      <c r="CG75" s="347"/>
      <c r="CH75" s="346"/>
      <c r="CI75" s="347"/>
      <c r="CJ75" s="347"/>
      <c r="CK75" s="347"/>
      <c r="CL75" s="347"/>
      <c r="CM75" s="347"/>
      <c r="CN75" s="347"/>
      <c r="CO75" s="346"/>
      <c r="CP75" s="346"/>
      <c r="CQ75" s="346"/>
      <c r="CR75" s="346"/>
      <c r="CS75" s="346"/>
      <c r="CT75" s="346"/>
      <c r="CU75" s="346"/>
      <c r="CV75" s="346"/>
      <c r="CW75" s="346"/>
    </row>
    <row r="76" spans="1:101" x14ac:dyDescent="0.25">
      <c r="A76" s="346"/>
      <c r="B76" s="346"/>
      <c r="C76" s="346"/>
      <c r="D76" s="346"/>
      <c r="E76" s="346"/>
      <c r="F76" s="346"/>
      <c r="G76" s="346"/>
      <c r="H76" s="346"/>
      <c r="I76" s="346"/>
      <c r="J76" s="346"/>
      <c r="K76" s="346"/>
      <c r="L76" s="346"/>
      <c r="M76" s="346"/>
      <c r="N76" s="346"/>
      <c r="O76" s="346"/>
      <c r="P76" s="346"/>
      <c r="Q76" s="346"/>
      <c r="R76" s="346"/>
      <c r="S76" s="346"/>
      <c r="T76" s="346"/>
      <c r="U76" s="346"/>
      <c r="V76" s="346"/>
      <c r="W76" s="346"/>
      <c r="X76" s="346"/>
      <c r="Y76" s="346"/>
      <c r="Z76" s="346"/>
      <c r="AA76" s="346"/>
      <c r="AB76" s="346"/>
      <c r="AC76" s="346"/>
      <c r="AD76" s="347"/>
      <c r="AE76" s="347"/>
      <c r="AF76" s="347"/>
      <c r="AG76" s="347"/>
      <c r="AH76" s="347"/>
      <c r="AI76" s="347"/>
      <c r="AJ76" s="347"/>
      <c r="AK76" s="347"/>
      <c r="AL76" s="347"/>
      <c r="AM76" s="347"/>
      <c r="AN76" s="347"/>
      <c r="AO76" s="347"/>
      <c r="AP76" s="347"/>
      <c r="AQ76" s="347"/>
      <c r="AR76" s="347"/>
      <c r="AS76" s="347"/>
      <c r="AT76" s="347"/>
      <c r="AU76" s="347"/>
      <c r="AV76" s="347"/>
      <c r="AW76" s="347"/>
      <c r="AX76" s="347"/>
      <c r="AY76" s="347"/>
      <c r="AZ76" s="347"/>
      <c r="BA76" s="347"/>
      <c r="BB76" s="347"/>
      <c r="BC76" s="347"/>
      <c r="BD76" s="347"/>
      <c r="BE76" s="347"/>
      <c r="BF76" s="347"/>
      <c r="BG76" s="347"/>
      <c r="BH76" s="347"/>
      <c r="BI76" s="347"/>
      <c r="BJ76" s="347"/>
      <c r="BK76" s="347"/>
      <c r="BL76" s="347"/>
      <c r="BM76" s="347"/>
      <c r="BN76" s="347"/>
      <c r="BO76" s="347"/>
      <c r="BP76" s="347"/>
      <c r="BQ76" s="347"/>
      <c r="BR76" s="347"/>
      <c r="BS76" s="347"/>
      <c r="BT76" s="347"/>
      <c r="BU76" s="347"/>
      <c r="BV76" s="347"/>
      <c r="BW76" s="347"/>
      <c r="BX76" s="347"/>
      <c r="BY76" s="347"/>
      <c r="BZ76" s="347"/>
      <c r="CA76" s="347"/>
      <c r="CB76" s="347"/>
      <c r="CC76" s="347"/>
      <c r="CD76" s="347"/>
      <c r="CE76" s="347"/>
      <c r="CF76" s="347"/>
      <c r="CG76" s="347"/>
      <c r="CH76" s="346"/>
      <c r="CI76" s="347"/>
      <c r="CJ76" s="347"/>
      <c r="CK76" s="347"/>
      <c r="CL76" s="347"/>
      <c r="CM76" s="347"/>
      <c r="CN76" s="347"/>
      <c r="CO76" s="346"/>
      <c r="CP76" s="346"/>
      <c r="CQ76" s="346"/>
      <c r="CR76" s="346"/>
      <c r="CS76" s="346"/>
      <c r="CT76" s="346"/>
      <c r="CU76" s="346"/>
      <c r="CV76" s="346"/>
      <c r="CW76" s="346"/>
    </row>
    <row r="77" spans="1:101" x14ac:dyDescent="0.2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7"/>
      <c r="AE77" s="347"/>
      <c r="AF77" s="347"/>
      <c r="AG77" s="347"/>
      <c r="AH77" s="347"/>
      <c r="AI77" s="347"/>
      <c r="AJ77" s="347"/>
      <c r="AK77" s="347"/>
      <c r="AL77" s="347"/>
      <c r="AM77" s="347"/>
      <c r="AN77" s="347"/>
      <c r="AO77" s="347"/>
      <c r="AP77" s="347"/>
      <c r="AQ77" s="347"/>
      <c r="AR77" s="347"/>
      <c r="AS77" s="347"/>
      <c r="AT77" s="347"/>
      <c r="AU77" s="347"/>
      <c r="AV77" s="347"/>
      <c r="AW77" s="347"/>
      <c r="AX77" s="347"/>
      <c r="AY77" s="347"/>
      <c r="AZ77" s="347"/>
      <c r="BA77" s="347"/>
      <c r="BB77" s="346"/>
      <c r="BC77" s="347"/>
      <c r="BD77" s="347"/>
      <c r="BE77" s="347"/>
      <c r="BF77" s="347"/>
      <c r="BG77" s="347"/>
      <c r="BH77" s="347"/>
      <c r="BI77" s="347"/>
      <c r="BJ77" s="347"/>
      <c r="BK77" s="346"/>
      <c r="BL77" s="347"/>
      <c r="BM77" s="347"/>
      <c r="BN77" s="347"/>
      <c r="BO77" s="347"/>
      <c r="BP77" s="347"/>
      <c r="BQ77" s="347"/>
      <c r="BR77" s="347"/>
      <c r="BS77" s="347"/>
      <c r="BT77" s="347"/>
      <c r="BU77" s="347"/>
      <c r="BV77" s="347"/>
      <c r="BW77" s="347"/>
      <c r="BX77" s="347"/>
      <c r="BY77" s="347"/>
      <c r="BZ77" s="347"/>
      <c r="CA77" s="347"/>
      <c r="CB77" s="347"/>
      <c r="CC77" s="347"/>
      <c r="CD77" s="347"/>
      <c r="CE77" s="347"/>
      <c r="CF77" s="347"/>
      <c r="CG77" s="347"/>
      <c r="CH77" s="347"/>
      <c r="CI77" s="347"/>
      <c r="CJ77" s="347"/>
      <c r="CK77" s="347"/>
      <c r="CL77" s="346"/>
      <c r="CM77" s="347"/>
      <c r="CN77" s="347"/>
      <c r="CO77" s="346"/>
      <c r="CP77" s="346"/>
      <c r="CQ77" s="346"/>
      <c r="CR77" s="346"/>
      <c r="CS77" s="346"/>
      <c r="CT77" s="346"/>
      <c r="CU77" s="346"/>
      <c r="CV77" s="346"/>
      <c r="CW77" s="346"/>
    </row>
    <row r="78" spans="1:101" x14ac:dyDescent="0.2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7"/>
      <c r="AE78" s="347"/>
      <c r="AF78" s="347"/>
      <c r="AG78" s="347"/>
      <c r="AH78" s="347"/>
      <c r="AI78" s="347"/>
      <c r="AJ78" s="347"/>
      <c r="AK78" s="347"/>
      <c r="AL78" s="347"/>
      <c r="AM78" s="347"/>
      <c r="AN78" s="347"/>
      <c r="AO78" s="347"/>
      <c r="AP78" s="347"/>
      <c r="AQ78" s="347"/>
      <c r="AR78" s="347"/>
      <c r="AS78" s="347"/>
      <c r="AT78" s="347"/>
      <c r="AU78" s="347"/>
      <c r="AV78" s="347"/>
      <c r="AW78" s="347"/>
      <c r="AX78" s="347"/>
      <c r="AY78" s="347"/>
      <c r="AZ78" s="347"/>
      <c r="BA78" s="347"/>
      <c r="BB78" s="346"/>
      <c r="BC78" s="347"/>
      <c r="BD78" s="347"/>
      <c r="BE78" s="347"/>
      <c r="BF78" s="347"/>
      <c r="BG78" s="347"/>
      <c r="BH78" s="347"/>
      <c r="BI78" s="347"/>
      <c r="BJ78" s="347"/>
      <c r="BK78" s="346"/>
      <c r="BL78" s="347"/>
      <c r="BM78" s="347"/>
      <c r="BN78" s="347"/>
      <c r="BO78" s="347"/>
      <c r="BP78" s="347"/>
      <c r="BQ78" s="347"/>
      <c r="BR78" s="347"/>
      <c r="BS78" s="347"/>
      <c r="BT78" s="347"/>
      <c r="BU78" s="347"/>
      <c r="BV78" s="347"/>
      <c r="BW78" s="347"/>
      <c r="BX78" s="347"/>
      <c r="BY78" s="347"/>
      <c r="BZ78" s="347"/>
      <c r="CA78" s="347"/>
      <c r="CB78" s="347"/>
      <c r="CC78" s="347"/>
      <c r="CD78" s="347"/>
      <c r="CE78" s="347"/>
      <c r="CF78" s="347"/>
      <c r="CG78" s="347"/>
      <c r="CH78" s="347"/>
      <c r="CI78" s="347"/>
      <c r="CJ78" s="347"/>
      <c r="CK78" s="347"/>
      <c r="CL78" s="346"/>
      <c r="CM78" s="347"/>
      <c r="CN78" s="347"/>
      <c r="CO78" s="346"/>
      <c r="CP78" s="346"/>
      <c r="CQ78" s="346"/>
      <c r="CR78" s="346"/>
      <c r="CS78" s="346"/>
      <c r="CT78" s="346"/>
      <c r="CU78" s="346"/>
      <c r="CV78" s="346"/>
      <c r="CW78" s="346"/>
    </row>
    <row r="79" spans="1:101" x14ac:dyDescent="0.2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7"/>
      <c r="AE79" s="347"/>
      <c r="AF79" s="347"/>
      <c r="AG79" s="347"/>
      <c r="AH79" s="347"/>
      <c r="AI79" s="347"/>
      <c r="AJ79" s="347"/>
      <c r="AK79" s="347"/>
      <c r="AL79" s="347"/>
      <c r="AM79" s="347"/>
      <c r="AN79" s="347"/>
      <c r="AO79" s="347"/>
      <c r="AP79" s="347"/>
      <c r="AQ79" s="347"/>
      <c r="AR79" s="347"/>
      <c r="AS79" s="347"/>
      <c r="AT79" s="347"/>
      <c r="AU79" s="347"/>
      <c r="AV79" s="347"/>
      <c r="AW79" s="347"/>
      <c r="AX79" s="347"/>
      <c r="AY79" s="347"/>
      <c r="AZ79" s="347"/>
      <c r="BA79" s="347"/>
      <c r="BB79" s="346"/>
      <c r="BC79" s="347"/>
      <c r="BD79" s="347"/>
      <c r="BE79" s="347"/>
      <c r="BF79" s="347"/>
      <c r="BG79" s="347"/>
      <c r="BH79" s="347"/>
      <c r="BI79" s="347"/>
      <c r="BJ79" s="347"/>
      <c r="BK79" s="346"/>
      <c r="BL79" s="347"/>
      <c r="BM79" s="347"/>
      <c r="BN79" s="347"/>
      <c r="BO79" s="347"/>
      <c r="BP79" s="347"/>
      <c r="BQ79" s="347"/>
      <c r="BR79" s="347"/>
      <c r="BS79" s="347"/>
      <c r="BT79" s="347"/>
      <c r="BU79" s="347"/>
      <c r="BV79" s="347"/>
      <c r="BW79" s="347"/>
      <c r="BX79" s="347"/>
      <c r="BY79" s="347"/>
      <c r="BZ79" s="347"/>
      <c r="CA79" s="347"/>
      <c r="CB79" s="347"/>
      <c r="CC79" s="347"/>
      <c r="CD79" s="347"/>
      <c r="CE79" s="347"/>
      <c r="CF79" s="347"/>
      <c r="CG79" s="347"/>
      <c r="CH79" s="347"/>
      <c r="CI79" s="347"/>
      <c r="CJ79" s="347"/>
      <c r="CK79" s="347"/>
      <c r="CL79" s="346"/>
      <c r="CM79" s="347"/>
      <c r="CN79" s="347"/>
      <c r="CO79" s="346"/>
      <c r="CP79" s="346"/>
      <c r="CQ79" s="346"/>
      <c r="CR79" s="346"/>
      <c r="CS79" s="346"/>
      <c r="CT79" s="346"/>
      <c r="CU79" s="346"/>
      <c r="CV79" s="346"/>
      <c r="CW79" s="346"/>
    </row>
    <row r="80" spans="1:101" x14ac:dyDescent="0.2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7"/>
      <c r="AE80" s="347"/>
      <c r="AF80" s="347"/>
      <c r="AG80" s="347"/>
      <c r="AH80" s="347"/>
      <c r="AI80" s="347"/>
      <c r="AJ80" s="347"/>
      <c r="AK80" s="347"/>
      <c r="AL80" s="347"/>
      <c r="AM80" s="347"/>
      <c r="AN80" s="347"/>
      <c r="AO80" s="347"/>
      <c r="AP80" s="347"/>
      <c r="AQ80" s="347"/>
      <c r="AR80" s="347"/>
      <c r="AS80" s="347"/>
      <c r="AT80" s="347"/>
      <c r="AU80" s="347"/>
      <c r="AV80" s="347"/>
      <c r="AW80" s="347"/>
      <c r="AX80" s="347"/>
      <c r="AY80" s="347"/>
      <c r="AZ80" s="347"/>
      <c r="BA80" s="347"/>
      <c r="BB80" s="346"/>
      <c r="BC80" s="347"/>
      <c r="BD80" s="347"/>
      <c r="BE80" s="347"/>
      <c r="BF80" s="347"/>
      <c r="BG80" s="347"/>
      <c r="BH80" s="347"/>
      <c r="BI80" s="347"/>
      <c r="BJ80" s="347"/>
      <c r="BK80" s="346"/>
      <c r="BL80" s="347"/>
      <c r="BM80" s="347"/>
      <c r="BN80" s="347"/>
      <c r="BO80" s="347"/>
      <c r="BP80" s="347"/>
      <c r="BQ80" s="347"/>
      <c r="BR80" s="347"/>
      <c r="BS80" s="347"/>
      <c r="BT80" s="347"/>
      <c r="BU80" s="347"/>
      <c r="BV80" s="347"/>
      <c r="BW80" s="347"/>
      <c r="BX80" s="347"/>
      <c r="BY80" s="347"/>
      <c r="BZ80" s="347"/>
      <c r="CA80" s="347"/>
      <c r="CB80" s="347"/>
      <c r="CC80" s="347"/>
      <c r="CD80" s="347"/>
      <c r="CE80" s="347"/>
      <c r="CF80" s="347"/>
      <c r="CG80" s="347"/>
      <c r="CH80" s="347"/>
      <c r="CI80" s="347"/>
      <c r="CJ80" s="347"/>
      <c r="CK80" s="347"/>
      <c r="CL80" s="346"/>
      <c r="CM80" s="347"/>
      <c r="CN80" s="347"/>
      <c r="CO80" s="346"/>
      <c r="CP80" s="346"/>
      <c r="CQ80" s="346"/>
      <c r="CR80" s="346"/>
      <c r="CS80" s="346"/>
      <c r="CT80" s="346"/>
      <c r="CU80" s="346"/>
      <c r="CV80" s="346"/>
      <c r="CW80" s="346"/>
    </row>
    <row r="81" spans="1:101" x14ac:dyDescent="0.2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7"/>
      <c r="AE81" s="347"/>
      <c r="AF81" s="347"/>
      <c r="AG81" s="347"/>
      <c r="AH81" s="347"/>
      <c r="AI81" s="347"/>
      <c r="AJ81" s="347"/>
      <c r="AK81" s="347"/>
      <c r="AL81" s="347"/>
      <c r="AM81" s="347"/>
      <c r="AN81" s="347"/>
      <c r="AO81" s="347"/>
      <c r="AP81" s="347"/>
      <c r="AQ81" s="347"/>
      <c r="AR81" s="347"/>
      <c r="AS81" s="347"/>
      <c r="AT81" s="347"/>
      <c r="AU81" s="347"/>
      <c r="AV81" s="347"/>
      <c r="AW81" s="347"/>
      <c r="AX81" s="347"/>
      <c r="AY81" s="347"/>
      <c r="AZ81" s="347"/>
      <c r="BA81" s="347"/>
      <c r="BB81" s="346"/>
      <c r="BC81" s="347"/>
      <c r="BD81" s="347"/>
      <c r="BE81" s="347"/>
      <c r="BF81" s="347"/>
      <c r="BG81" s="347"/>
      <c r="BH81" s="347"/>
      <c r="BI81" s="347"/>
      <c r="BJ81" s="347"/>
      <c r="BK81" s="346"/>
      <c r="BL81" s="347"/>
      <c r="BM81" s="347"/>
      <c r="BN81" s="347"/>
      <c r="BO81" s="347"/>
      <c r="BP81" s="347"/>
      <c r="BQ81" s="347"/>
      <c r="BR81" s="347"/>
      <c r="BS81" s="347"/>
      <c r="BT81" s="347"/>
      <c r="BU81" s="347"/>
      <c r="BV81" s="347"/>
      <c r="BW81" s="347"/>
      <c r="BX81" s="347"/>
      <c r="BY81" s="347"/>
      <c r="BZ81" s="347"/>
      <c r="CA81" s="347"/>
      <c r="CB81" s="347"/>
      <c r="CC81" s="347"/>
      <c r="CD81" s="347"/>
      <c r="CE81" s="347"/>
      <c r="CF81" s="347"/>
      <c r="CG81" s="347"/>
      <c r="CH81" s="347"/>
      <c r="CI81" s="347"/>
      <c r="CJ81" s="347"/>
      <c r="CK81" s="347"/>
      <c r="CL81" s="346"/>
      <c r="CM81" s="347"/>
      <c r="CN81" s="347"/>
      <c r="CO81" s="346"/>
      <c r="CP81" s="346"/>
      <c r="CQ81" s="346"/>
      <c r="CR81" s="346"/>
      <c r="CS81" s="346"/>
      <c r="CT81" s="346"/>
      <c r="CU81" s="346"/>
      <c r="CV81" s="346"/>
      <c r="CW81" s="346"/>
    </row>
    <row r="82" spans="1:101" x14ac:dyDescent="0.2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7"/>
      <c r="AE82" s="347"/>
      <c r="AF82" s="347"/>
      <c r="AG82" s="347"/>
      <c r="AH82" s="347"/>
      <c r="AI82" s="347"/>
      <c r="AJ82" s="347"/>
      <c r="AK82" s="347"/>
      <c r="AL82" s="347"/>
      <c r="AM82" s="347"/>
      <c r="AN82" s="347"/>
      <c r="AO82" s="347"/>
      <c r="AP82" s="347"/>
      <c r="AQ82" s="347"/>
      <c r="AR82" s="347"/>
      <c r="AS82" s="347"/>
      <c r="AT82" s="347"/>
      <c r="AU82" s="347"/>
      <c r="AV82" s="347"/>
      <c r="AW82" s="347"/>
      <c r="AX82" s="347"/>
      <c r="AY82" s="347"/>
      <c r="AZ82" s="347"/>
      <c r="BA82" s="347"/>
      <c r="BB82" s="347"/>
      <c r="BC82" s="347"/>
      <c r="BD82" s="347"/>
      <c r="BE82" s="347"/>
      <c r="BF82" s="347"/>
      <c r="BG82" s="347"/>
      <c r="BH82" s="347"/>
      <c r="BI82" s="347"/>
      <c r="BJ82" s="347"/>
      <c r="BK82" s="347"/>
      <c r="BL82" s="347"/>
      <c r="BM82" s="347"/>
      <c r="BN82" s="347"/>
      <c r="BO82" s="347"/>
      <c r="BP82" s="347"/>
      <c r="BQ82" s="347"/>
      <c r="BR82" s="347"/>
      <c r="BS82" s="347"/>
      <c r="BT82" s="347"/>
      <c r="BU82" s="347"/>
      <c r="BV82" s="347"/>
      <c r="BW82" s="347"/>
      <c r="BX82" s="347"/>
      <c r="BY82" s="347"/>
      <c r="BZ82" s="347"/>
      <c r="CA82" s="347"/>
      <c r="CB82" s="347"/>
      <c r="CC82" s="347"/>
      <c r="CD82" s="347"/>
      <c r="CE82" s="347"/>
      <c r="CF82" s="347"/>
      <c r="CG82" s="347"/>
      <c r="CH82" s="346"/>
      <c r="CI82" s="347"/>
      <c r="CJ82" s="347"/>
      <c r="CK82" s="347"/>
      <c r="CL82" s="347"/>
      <c r="CM82" s="347"/>
      <c r="CN82" s="347"/>
      <c r="CO82" s="346"/>
      <c r="CP82" s="346"/>
      <c r="CQ82" s="346"/>
      <c r="CR82" s="346"/>
      <c r="CS82" s="346"/>
      <c r="CT82" s="346"/>
      <c r="CU82" s="346"/>
      <c r="CV82" s="346"/>
      <c r="CW82" s="346"/>
    </row>
    <row r="83" spans="1:101" x14ac:dyDescent="0.2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7"/>
      <c r="AE83" s="347"/>
      <c r="AF83" s="347"/>
      <c r="AG83" s="347"/>
      <c r="AH83" s="347"/>
      <c r="AI83" s="347"/>
      <c r="AJ83" s="347"/>
      <c r="AK83" s="347"/>
      <c r="AL83" s="347"/>
      <c r="AM83" s="347"/>
      <c r="AN83" s="347"/>
      <c r="AO83" s="347"/>
      <c r="AP83" s="347"/>
      <c r="AQ83" s="347"/>
      <c r="AR83" s="347"/>
      <c r="AS83" s="347"/>
      <c r="AT83" s="347"/>
      <c r="AU83" s="347"/>
      <c r="AV83" s="347"/>
      <c r="AW83" s="347"/>
      <c r="AX83" s="347"/>
      <c r="AY83" s="347"/>
      <c r="AZ83" s="347"/>
      <c r="BA83" s="347"/>
      <c r="BB83" s="347"/>
      <c r="BC83" s="347"/>
      <c r="BD83" s="347"/>
      <c r="BE83" s="347"/>
      <c r="BF83" s="347"/>
      <c r="BG83" s="347"/>
      <c r="BH83" s="347"/>
      <c r="BI83" s="347"/>
      <c r="BJ83" s="347"/>
      <c r="BK83" s="347"/>
      <c r="BL83" s="347"/>
      <c r="BM83" s="347"/>
      <c r="BN83" s="347"/>
      <c r="BO83" s="347"/>
      <c r="BP83" s="347"/>
      <c r="BQ83" s="347"/>
      <c r="BR83" s="347"/>
      <c r="BS83" s="347"/>
      <c r="BT83" s="347"/>
      <c r="BU83" s="347"/>
      <c r="BV83" s="347"/>
      <c r="BW83" s="347"/>
      <c r="BX83" s="347"/>
      <c r="BY83" s="347"/>
      <c r="BZ83" s="347"/>
      <c r="CA83" s="347"/>
      <c r="CB83" s="347"/>
      <c r="CC83" s="347"/>
      <c r="CD83" s="347"/>
      <c r="CE83" s="347"/>
      <c r="CF83" s="347"/>
      <c r="CG83" s="347"/>
      <c r="CH83" s="347"/>
      <c r="CI83" s="347"/>
      <c r="CJ83" s="347"/>
      <c r="CK83" s="347"/>
      <c r="CL83" s="347"/>
      <c r="CM83" s="347"/>
      <c r="CN83" s="347"/>
      <c r="CO83" s="346"/>
      <c r="CP83" s="346"/>
      <c r="CQ83" s="346"/>
      <c r="CR83" s="346"/>
      <c r="CS83" s="346"/>
      <c r="CT83" s="346"/>
      <c r="CU83" s="346"/>
      <c r="CV83" s="346"/>
      <c r="CW83" s="346"/>
    </row>
    <row r="84" spans="1:101" x14ac:dyDescent="0.2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c r="BA84" s="347"/>
      <c r="BB84" s="347"/>
      <c r="BC84" s="347"/>
      <c r="BD84" s="347"/>
      <c r="BE84" s="347"/>
      <c r="BF84" s="347"/>
      <c r="BG84" s="347"/>
      <c r="BH84" s="347"/>
      <c r="BI84" s="347"/>
      <c r="BJ84" s="347"/>
      <c r="BK84" s="347"/>
      <c r="BL84" s="347"/>
      <c r="BM84" s="347"/>
      <c r="BN84" s="347"/>
      <c r="BO84" s="347"/>
      <c r="BP84" s="347"/>
      <c r="BQ84" s="347"/>
      <c r="BR84" s="347"/>
      <c r="BS84" s="347"/>
      <c r="BT84" s="347"/>
      <c r="BU84" s="347"/>
      <c r="BV84" s="347"/>
      <c r="BW84" s="347"/>
      <c r="BX84" s="347"/>
      <c r="BY84" s="347"/>
      <c r="BZ84" s="347"/>
      <c r="CA84" s="347"/>
      <c r="CB84" s="347"/>
      <c r="CC84" s="347"/>
      <c r="CD84" s="347"/>
      <c r="CE84" s="347"/>
      <c r="CF84" s="347"/>
      <c r="CG84" s="347"/>
      <c r="CH84" s="347"/>
      <c r="CI84" s="347"/>
      <c r="CJ84" s="347"/>
      <c r="CK84" s="347"/>
      <c r="CL84" s="347"/>
      <c r="CM84" s="347"/>
      <c r="CN84" s="347"/>
      <c r="CO84" s="346"/>
      <c r="CP84" s="346"/>
      <c r="CQ84" s="346"/>
      <c r="CR84" s="346"/>
      <c r="CS84" s="346"/>
      <c r="CT84" s="346"/>
      <c r="CU84" s="346"/>
      <c r="CV84" s="346"/>
      <c r="CW84" s="346"/>
    </row>
    <row r="85" spans="1:101" x14ac:dyDescent="0.2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7"/>
      <c r="AE85" s="347"/>
      <c r="AF85" s="347"/>
      <c r="AG85" s="347"/>
      <c r="AH85" s="347"/>
      <c r="AI85" s="347"/>
      <c r="AJ85" s="347"/>
      <c r="AK85" s="347"/>
      <c r="AL85" s="347"/>
      <c r="AM85" s="347"/>
      <c r="AN85" s="347"/>
      <c r="AO85" s="347"/>
      <c r="AP85" s="347"/>
      <c r="AQ85" s="347"/>
      <c r="AR85" s="347"/>
      <c r="AS85" s="347"/>
      <c r="AT85" s="347"/>
      <c r="AU85" s="347"/>
      <c r="AV85" s="347"/>
      <c r="AW85" s="347"/>
      <c r="AX85" s="347"/>
      <c r="AY85" s="347"/>
      <c r="AZ85" s="347"/>
      <c r="BA85" s="347"/>
      <c r="BB85" s="347"/>
      <c r="BC85" s="347"/>
      <c r="BD85" s="347"/>
      <c r="BE85" s="347"/>
      <c r="BF85" s="347"/>
      <c r="BG85" s="347"/>
      <c r="BH85" s="347"/>
      <c r="BI85" s="347"/>
      <c r="BJ85" s="347"/>
      <c r="BK85" s="347"/>
      <c r="BL85" s="347"/>
      <c r="BM85" s="347"/>
      <c r="BN85" s="347"/>
      <c r="BO85" s="347"/>
      <c r="BP85" s="347"/>
      <c r="BQ85" s="347"/>
      <c r="BR85" s="347"/>
      <c r="BS85" s="347"/>
      <c r="BT85" s="347"/>
      <c r="BU85" s="347"/>
      <c r="BV85" s="347"/>
      <c r="BW85" s="347"/>
      <c r="BX85" s="347"/>
      <c r="BY85" s="347"/>
      <c r="BZ85" s="347"/>
      <c r="CA85" s="347"/>
      <c r="CB85" s="347"/>
      <c r="CC85" s="347"/>
      <c r="CD85" s="347"/>
      <c r="CE85" s="347"/>
      <c r="CF85" s="347"/>
      <c r="CG85" s="347"/>
      <c r="CH85" s="347"/>
      <c r="CI85" s="347"/>
      <c r="CJ85" s="347"/>
      <c r="CK85" s="347"/>
      <c r="CL85" s="347"/>
      <c r="CM85" s="347"/>
      <c r="CN85" s="347"/>
      <c r="CO85" s="346"/>
      <c r="CP85" s="346"/>
      <c r="CQ85" s="346"/>
      <c r="CR85" s="346"/>
      <c r="CS85" s="346"/>
      <c r="CT85" s="346"/>
      <c r="CU85" s="346"/>
      <c r="CV85" s="346"/>
      <c r="CW85" s="346"/>
    </row>
    <row r="86" spans="1:101" x14ac:dyDescent="0.2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7"/>
      <c r="AE86" s="347"/>
      <c r="AF86" s="347"/>
      <c r="AG86" s="347"/>
      <c r="AH86" s="347"/>
      <c r="AI86" s="347"/>
      <c r="AJ86" s="347"/>
      <c r="AK86" s="347"/>
      <c r="AL86" s="347"/>
      <c r="AM86" s="347"/>
      <c r="AN86" s="347"/>
      <c r="AO86" s="347"/>
      <c r="AP86" s="347"/>
      <c r="AQ86" s="347"/>
      <c r="AR86" s="347"/>
      <c r="AS86" s="347"/>
      <c r="AT86" s="347"/>
      <c r="AU86" s="347"/>
      <c r="AV86" s="347"/>
      <c r="AW86" s="347"/>
      <c r="AX86" s="347"/>
      <c r="AY86" s="347"/>
      <c r="AZ86" s="347"/>
      <c r="BA86" s="347"/>
      <c r="BB86" s="347"/>
      <c r="BC86" s="347"/>
      <c r="BD86" s="347"/>
      <c r="BE86" s="347"/>
      <c r="BF86" s="347"/>
      <c r="BG86" s="347"/>
      <c r="BH86" s="347"/>
      <c r="BI86" s="347"/>
      <c r="BJ86" s="347"/>
      <c r="BK86" s="347"/>
      <c r="BL86" s="347"/>
      <c r="BM86" s="347"/>
      <c r="BN86" s="347"/>
      <c r="BO86" s="347"/>
      <c r="BP86" s="347"/>
      <c r="BQ86" s="347"/>
      <c r="BR86" s="347"/>
      <c r="BS86" s="347"/>
      <c r="BT86" s="347"/>
      <c r="BU86" s="347"/>
      <c r="BV86" s="347"/>
      <c r="BW86" s="347"/>
      <c r="BX86" s="347"/>
      <c r="BY86" s="347"/>
      <c r="BZ86" s="347"/>
      <c r="CA86" s="347"/>
      <c r="CB86" s="347"/>
      <c r="CC86" s="347"/>
      <c r="CD86" s="347"/>
      <c r="CE86" s="347"/>
      <c r="CF86" s="347"/>
      <c r="CG86" s="347"/>
      <c r="CH86" s="347"/>
      <c r="CI86" s="347"/>
      <c r="CJ86" s="347"/>
      <c r="CK86" s="347"/>
      <c r="CL86" s="347"/>
      <c r="CM86" s="347"/>
      <c r="CN86" s="347"/>
      <c r="CO86" s="346"/>
      <c r="CP86" s="346"/>
      <c r="CQ86" s="346"/>
      <c r="CR86" s="346"/>
      <c r="CS86" s="346"/>
      <c r="CT86" s="346"/>
      <c r="CU86" s="346"/>
      <c r="CV86" s="346"/>
      <c r="CW86" s="346"/>
    </row>
    <row r="87" spans="1:101" x14ac:dyDescent="0.2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7"/>
      <c r="AE87" s="347"/>
      <c r="AF87" s="347"/>
      <c r="AG87" s="347"/>
      <c r="AH87" s="347"/>
      <c r="AI87" s="347"/>
      <c r="AJ87" s="347"/>
      <c r="AK87" s="347"/>
      <c r="AL87" s="347"/>
      <c r="AM87" s="347"/>
      <c r="AN87" s="347"/>
      <c r="AO87" s="347"/>
      <c r="AP87" s="347"/>
      <c r="AQ87" s="347"/>
      <c r="AR87" s="347"/>
      <c r="AS87" s="347"/>
      <c r="AT87" s="347"/>
      <c r="AU87" s="347"/>
      <c r="AV87" s="347"/>
      <c r="AW87" s="347"/>
      <c r="AX87" s="347"/>
      <c r="AY87" s="347"/>
      <c r="AZ87" s="347"/>
      <c r="BA87" s="347"/>
      <c r="BB87" s="347"/>
      <c r="BC87" s="347"/>
      <c r="BD87" s="347"/>
      <c r="BE87" s="347"/>
      <c r="BF87" s="347"/>
      <c r="BG87" s="347"/>
      <c r="BH87" s="347"/>
      <c r="BI87" s="347"/>
      <c r="BJ87" s="347"/>
      <c r="BK87" s="347"/>
      <c r="BL87" s="347"/>
      <c r="BM87" s="347"/>
      <c r="BN87" s="347"/>
      <c r="BO87" s="347"/>
      <c r="BP87" s="347"/>
      <c r="BQ87" s="347"/>
      <c r="BR87" s="347"/>
      <c r="BS87" s="347"/>
      <c r="BT87" s="347"/>
      <c r="BU87" s="347"/>
      <c r="BV87" s="347"/>
      <c r="BW87" s="347"/>
      <c r="BX87" s="347"/>
      <c r="BY87" s="347"/>
      <c r="BZ87" s="347"/>
      <c r="CA87" s="347"/>
      <c r="CB87" s="347"/>
      <c r="CC87" s="347"/>
      <c r="CD87" s="347"/>
      <c r="CE87" s="347"/>
      <c r="CF87" s="347"/>
      <c r="CG87" s="347"/>
      <c r="CH87" s="347"/>
      <c r="CI87" s="347"/>
      <c r="CJ87" s="347"/>
      <c r="CK87" s="347"/>
      <c r="CL87" s="347"/>
      <c r="CM87" s="347"/>
      <c r="CN87" s="347"/>
      <c r="CO87" s="346"/>
      <c r="CP87" s="346"/>
      <c r="CQ87" s="346"/>
      <c r="CR87" s="346"/>
      <c r="CS87" s="346"/>
      <c r="CT87" s="346"/>
      <c r="CU87" s="346"/>
      <c r="CV87" s="346"/>
      <c r="CW87" s="346"/>
    </row>
    <row r="88" spans="1:101" x14ac:dyDescent="0.2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7"/>
      <c r="AE88" s="347"/>
      <c r="AF88" s="347"/>
      <c r="AG88" s="347"/>
      <c r="AH88" s="347"/>
      <c r="AI88" s="347"/>
      <c r="AJ88" s="347"/>
      <c r="AK88" s="347"/>
      <c r="AL88" s="347"/>
      <c r="AM88" s="347"/>
      <c r="AN88" s="347"/>
      <c r="AO88" s="347"/>
      <c r="AP88" s="347"/>
      <c r="AQ88" s="347"/>
      <c r="AR88" s="347"/>
      <c r="AS88" s="347"/>
      <c r="AT88" s="347"/>
      <c r="AU88" s="347"/>
      <c r="AV88" s="347"/>
      <c r="AW88" s="347"/>
      <c r="AX88" s="347"/>
      <c r="AY88" s="347"/>
      <c r="AZ88" s="347"/>
      <c r="BA88" s="347"/>
      <c r="BB88" s="347"/>
      <c r="BC88" s="347"/>
      <c r="BD88" s="347"/>
      <c r="BE88" s="347"/>
      <c r="BF88" s="347"/>
      <c r="BG88" s="347"/>
      <c r="BH88" s="347"/>
      <c r="BI88" s="347"/>
      <c r="BJ88" s="347"/>
      <c r="BK88" s="347"/>
      <c r="BL88" s="347"/>
      <c r="BM88" s="347"/>
      <c r="BN88" s="347"/>
      <c r="BO88" s="347"/>
      <c r="BP88" s="347"/>
      <c r="BQ88" s="347"/>
      <c r="BR88" s="347"/>
      <c r="BS88" s="347"/>
      <c r="BT88" s="347"/>
      <c r="BU88" s="347"/>
      <c r="BV88" s="347"/>
      <c r="BW88" s="347"/>
      <c r="BX88" s="347"/>
      <c r="BY88" s="347"/>
      <c r="BZ88" s="347"/>
      <c r="CA88" s="347"/>
      <c r="CB88" s="347"/>
      <c r="CC88" s="347"/>
      <c r="CD88" s="347"/>
      <c r="CE88" s="347"/>
      <c r="CF88" s="347"/>
      <c r="CG88" s="347"/>
      <c r="CH88" s="347"/>
      <c r="CI88" s="347"/>
      <c r="CJ88" s="347"/>
      <c r="CK88" s="347"/>
      <c r="CL88" s="347"/>
      <c r="CM88" s="347"/>
      <c r="CN88" s="347"/>
      <c r="CO88" s="346"/>
      <c r="CP88" s="346"/>
      <c r="CQ88" s="346"/>
      <c r="CR88" s="346"/>
      <c r="CS88" s="346"/>
      <c r="CT88" s="346"/>
      <c r="CU88" s="346"/>
      <c r="CV88" s="346"/>
      <c r="CW88" s="346"/>
    </row>
    <row r="89" spans="1:101" x14ac:dyDescent="0.2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7"/>
      <c r="AE89" s="347"/>
      <c r="AF89" s="347"/>
      <c r="AG89" s="347"/>
      <c r="AH89" s="347"/>
      <c r="AI89" s="347"/>
      <c r="AJ89" s="347"/>
      <c r="AK89" s="347"/>
      <c r="AL89" s="347"/>
      <c r="AM89" s="347"/>
      <c r="AN89" s="347"/>
      <c r="AO89" s="347"/>
      <c r="AP89" s="347"/>
      <c r="AQ89" s="347"/>
      <c r="AR89" s="347"/>
      <c r="AS89" s="347"/>
      <c r="AT89" s="347"/>
      <c r="AU89" s="347"/>
      <c r="AV89" s="347"/>
      <c r="AW89" s="347"/>
      <c r="AX89" s="347"/>
      <c r="AY89" s="347"/>
      <c r="AZ89" s="347"/>
      <c r="BA89" s="347"/>
      <c r="BB89" s="347"/>
      <c r="BC89" s="347"/>
      <c r="BD89" s="347"/>
      <c r="BE89" s="347"/>
      <c r="BF89" s="347"/>
      <c r="BG89" s="347"/>
      <c r="BH89" s="347"/>
      <c r="BI89" s="347"/>
      <c r="BJ89" s="347"/>
      <c r="BK89" s="347"/>
      <c r="BL89" s="347"/>
      <c r="BM89" s="347"/>
      <c r="BN89" s="347"/>
      <c r="BO89" s="347"/>
      <c r="BP89" s="347"/>
      <c r="BQ89" s="347"/>
      <c r="BR89" s="347"/>
      <c r="BS89" s="347"/>
      <c r="BT89" s="347"/>
      <c r="BU89" s="347"/>
      <c r="BV89" s="347"/>
      <c r="BW89" s="347"/>
      <c r="BX89" s="347"/>
      <c r="BY89" s="347"/>
      <c r="BZ89" s="347"/>
      <c r="CA89" s="347"/>
      <c r="CB89" s="347"/>
      <c r="CC89" s="347"/>
      <c r="CD89" s="347"/>
      <c r="CE89" s="347"/>
      <c r="CF89" s="347"/>
      <c r="CG89" s="347"/>
      <c r="CH89" s="347"/>
      <c r="CI89" s="347"/>
      <c r="CJ89" s="347"/>
      <c r="CK89" s="347"/>
      <c r="CL89" s="347"/>
      <c r="CM89" s="347"/>
      <c r="CN89" s="347"/>
      <c r="CO89" s="346"/>
      <c r="CP89" s="346"/>
      <c r="CQ89" s="346"/>
      <c r="CR89" s="346"/>
      <c r="CS89" s="346"/>
      <c r="CT89" s="346"/>
      <c r="CU89" s="346"/>
      <c r="CV89" s="346"/>
      <c r="CW89" s="346"/>
    </row>
    <row r="90" spans="1:101" x14ac:dyDescent="0.2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7"/>
      <c r="AE90" s="347"/>
      <c r="AF90" s="347"/>
      <c r="AG90" s="347"/>
      <c r="AH90" s="347"/>
      <c r="AI90" s="347"/>
      <c r="AJ90" s="347"/>
      <c r="AK90" s="347"/>
      <c r="AL90" s="347"/>
      <c r="AM90" s="347"/>
      <c r="AN90" s="347"/>
      <c r="AO90" s="347"/>
      <c r="AP90" s="347"/>
      <c r="AQ90" s="347"/>
      <c r="AR90" s="347"/>
      <c r="AS90" s="347"/>
      <c r="AT90" s="347"/>
      <c r="AU90" s="347"/>
      <c r="AV90" s="347"/>
      <c r="AW90" s="347"/>
      <c r="AX90" s="347"/>
      <c r="AY90" s="347"/>
      <c r="AZ90" s="347"/>
      <c r="BA90" s="347"/>
      <c r="BB90" s="347"/>
      <c r="BC90" s="347"/>
      <c r="BD90" s="347"/>
      <c r="BE90" s="347"/>
      <c r="BF90" s="347"/>
      <c r="BG90" s="347"/>
      <c r="BH90" s="347"/>
      <c r="BI90" s="347"/>
      <c r="BJ90" s="347"/>
      <c r="BK90" s="347"/>
      <c r="BL90" s="347"/>
      <c r="BM90" s="347"/>
      <c r="BN90" s="347"/>
      <c r="BO90" s="347"/>
      <c r="BP90" s="347"/>
      <c r="BQ90" s="347"/>
      <c r="BR90" s="347"/>
      <c r="BS90" s="347"/>
      <c r="BT90" s="347"/>
      <c r="BU90" s="347"/>
      <c r="BV90" s="347"/>
      <c r="BW90" s="347"/>
      <c r="BX90" s="347"/>
      <c r="BY90" s="347"/>
      <c r="BZ90" s="347"/>
      <c r="CA90" s="347"/>
      <c r="CB90" s="347"/>
      <c r="CC90" s="347"/>
      <c r="CD90" s="347"/>
      <c r="CE90" s="347"/>
      <c r="CF90" s="347"/>
      <c r="CG90" s="347"/>
      <c r="CH90" s="347"/>
      <c r="CI90" s="347"/>
      <c r="CJ90" s="347"/>
      <c r="CK90" s="347"/>
      <c r="CL90" s="347"/>
      <c r="CM90" s="347"/>
      <c r="CN90" s="347"/>
      <c r="CO90" s="346"/>
      <c r="CP90" s="346"/>
      <c r="CQ90" s="346"/>
      <c r="CR90" s="346"/>
      <c r="CS90" s="346"/>
      <c r="CT90" s="346"/>
      <c r="CU90" s="346"/>
      <c r="CV90" s="346"/>
      <c r="CW90" s="346"/>
    </row>
    <row r="91" spans="1:101" x14ac:dyDescent="0.2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7"/>
      <c r="AE91" s="347"/>
      <c r="AF91" s="347"/>
      <c r="AG91" s="347"/>
      <c r="AH91" s="347"/>
      <c r="AI91" s="347"/>
      <c r="AJ91" s="347"/>
      <c r="AK91" s="347"/>
      <c r="AL91" s="347"/>
      <c r="AM91" s="347"/>
      <c r="AN91" s="347"/>
      <c r="AO91" s="347"/>
      <c r="AP91" s="347"/>
      <c r="AQ91" s="347"/>
      <c r="AR91" s="347"/>
      <c r="AS91" s="347"/>
      <c r="AT91" s="347"/>
      <c r="AU91" s="347"/>
      <c r="AV91" s="347"/>
      <c r="AW91" s="347"/>
      <c r="AX91" s="347"/>
      <c r="AY91" s="347"/>
      <c r="AZ91" s="347"/>
      <c r="BA91" s="347"/>
      <c r="BB91" s="347"/>
      <c r="BC91" s="347"/>
      <c r="BD91" s="347"/>
      <c r="BE91" s="347"/>
      <c r="BF91" s="347"/>
      <c r="BG91" s="347"/>
      <c r="BH91" s="347"/>
      <c r="BI91" s="347"/>
      <c r="BJ91" s="347"/>
      <c r="BK91" s="347"/>
      <c r="BL91" s="347"/>
      <c r="BM91" s="347"/>
      <c r="BN91" s="347"/>
      <c r="BO91" s="347"/>
      <c r="BP91" s="347"/>
      <c r="BQ91" s="347"/>
      <c r="BR91" s="347"/>
      <c r="BS91" s="347"/>
      <c r="BT91" s="347"/>
      <c r="BU91" s="347"/>
      <c r="BV91" s="347"/>
      <c r="BW91" s="347"/>
      <c r="BX91" s="347"/>
      <c r="BY91" s="347"/>
      <c r="BZ91" s="347"/>
      <c r="CA91" s="347"/>
      <c r="CB91" s="347"/>
      <c r="CC91" s="347"/>
      <c r="CD91" s="347"/>
      <c r="CE91" s="347"/>
      <c r="CF91" s="347"/>
      <c r="CG91" s="347"/>
      <c r="CH91" s="347"/>
      <c r="CI91" s="347"/>
      <c r="CJ91" s="347"/>
      <c r="CK91" s="347"/>
      <c r="CL91" s="347"/>
      <c r="CM91" s="347"/>
      <c r="CN91" s="347"/>
      <c r="CO91" s="346"/>
      <c r="CP91" s="346"/>
      <c r="CQ91" s="346"/>
      <c r="CR91" s="346"/>
      <c r="CS91" s="346"/>
      <c r="CT91" s="346"/>
      <c r="CU91" s="346"/>
      <c r="CV91" s="346"/>
      <c r="CW91" s="346"/>
    </row>
    <row r="92" spans="1:101" x14ac:dyDescent="0.2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7"/>
      <c r="AE92" s="347"/>
      <c r="AF92" s="347"/>
      <c r="AG92" s="347"/>
      <c r="AH92" s="347"/>
      <c r="AI92" s="347"/>
      <c r="AJ92" s="347"/>
      <c r="AK92" s="347"/>
      <c r="AL92" s="347"/>
      <c r="AM92" s="347"/>
      <c r="AN92" s="347"/>
      <c r="AO92" s="347"/>
      <c r="AP92" s="347"/>
      <c r="AQ92" s="347"/>
      <c r="AR92" s="347"/>
      <c r="AS92" s="347"/>
      <c r="AT92" s="347"/>
      <c r="AU92" s="347"/>
      <c r="AV92" s="347"/>
      <c r="AW92" s="347"/>
      <c r="AX92" s="347"/>
      <c r="AY92" s="347"/>
      <c r="AZ92" s="347"/>
      <c r="BA92" s="347"/>
      <c r="BB92" s="347"/>
      <c r="BC92" s="347"/>
      <c r="BD92" s="347"/>
      <c r="BE92" s="347"/>
      <c r="BF92" s="347"/>
      <c r="BG92" s="347"/>
      <c r="BH92" s="347"/>
      <c r="BI92" s="347"/>
      <c r="BJ92" s="347"/>
      <c r="BK92" s="347"/>
      <c r="BL92" s="347"/>
      <c r="BM92" s="347"/>
      <c r="BN92" s="347"/>
      <c r="BO92" s="347"/>
      <c r="BP92" s="347"/>
      <c r="BQ92" s="347"/>
      <c r="BR92" s="347"/>
      <c r="BS92" s="347"/>
      <c r="BT92" s="347"/>
      <c r="BU92" s="347"/>
      <c r="BV92" s="347"/>
      <c r="BW92" s="347"/>
      <c r="BX92" s="347"/>
      <c r="BY92" s="347"/>
      <c r="BZ92" s="347"/>
      <c r="CA92" s="347"/>
      <c r="CB92" s="347"/>
      <c r="CC92" s="347"/>
      <c r="CD92" s="347"/>
      <c r="CE92" s="347"/>
      <c r="CF92" s="347"/>
      <c r="CG92" s="347"/>
      <c r="CH92" s="347"/>
      <c r="CI92" s="347"/>
      <c r="CJ92" s="347"/>
      <c r="CK92" s="347"/>
      <c r="CL92" s="347"/>
      <c r="CM92" s="347"/>
      <c r="CN92" s="347"/>
      <c r="CO92" s="346"/>
      <c r="CP92" s="346"/>
      <c r="CQ92" s="346"/>
      <c r="CR92" s="346"/>
      <c r="CS92" s="346"/>
      <c r="CT92" s="346"/>
      <c r="CU92" s="346"/>
      <c r="CV92" s="346"/>
      <c r="CW92" s="346"/>
    </row>
    <row r="93" spans="1:101" x14ac:dyDescent="0.2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7"/>
      <c r="AE93" s="347"/>
      <c r="AF93" s="347"/>
      <c r="AG93" s="347"/>
      <c r="AH93" s="347"/>
      <c r="AI93" s="347"/>
      <c r="AJ93" s="347"/>
      <c r="AK93" s="347"/>
      <c r="AL93" s="347"/>
      <c r="AM93" s="347"/>
      <c r="AN93" s="347"/>
      <c r="AO93" s="347"/>
      <c r="AP93" s="347"/>
      <c r="AQ93" s="347"/>
      <c r="AR93" s="347"/>
      <c r="AS93" s="347"/>
      <c r="AT93" s="347"/>
      <c r="AU93" s="347"/>
      <c r="AV93" s="347"/>
      <c r="AW93" s="347"/>
      <c r="AX93" s="347"/>
      <c r="AY93" s="347"/>
      <c r="AZ93" s="347"/>
      <c r="BA93" s="347"/>
      <c r="BB93" s="347"/>
      <c r="BC93" s="347"/>
      <c r="BD93" s="347"/>
      <c r="BE93" s="347"/>
      <c r="BF93" s="347"/>
      <c r="BG93" s="347"/>
      <c r="BH93" s="347"/>
      <c r="BI93" s="347"/>
      <c r="BJ93" s="347"/>
      <c r="BK93" s="347"/>
      <c r="BL93" s="347"/>
      <c r="BM93" s="347"/>
      <c r="BN93" s="347"/>
      <c r="BO93" s="347"/>
      <c r="BP93" s="347"/>
      <c r="BQ93" s="347"/>
      <c r="BR93" s="347"/>
      <c r="BS93" s="347"/>
      <c r="BT93" s="347"/>
      <c r="BU93" s="347"/>
      <c r="BV93" s="347"/>
      <c r="BW93" s="347"/>
      <c r="BX93" s="347"/>
      <c r="BY93" s="347"/>
      <c r="BZ93" s="347"/>
      <c r="CA93" s="347"/>
      <c r="CB93" s="347"/>
      <c r="CC93" s="347"/>
      <c r="CD93" s="347"/>
      <c r="CE93" s="347"/>
      <c r="CF93" s="347"/>
      <c r="CG93" s="347"/>
      <c r="CH93" s="347"/>
      <c r="CI93" s="347"/>
      <c r="CJ93" s="347"/>
      <c r="CK93" s="347"/>
      <c r="CL93" s="347"/>
      <c r="CM93" s="347"/>
      <c r="CN93" s="347"/>
      <c r="CO93" s="346"/>
      <c r="CP93" s="346"/>
      <c r="CQ93" s="346"/>
      <c r="CR93" s="346"/>
      <c r="CS93" s="346"/>
      <c r="CT93" s="346"/>
      <c r="CU93" s="346"/>
      <c r="CV93" s="346"/>
      <c r="CW93" s="346"/>
    </row>
    <row r="94" spans="1:101" x14ac:dyDescent="0.2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7"/>
      <c r="AE94" s="347"/>
      <c r="AF94" s="347"/>
      <c r="AG94" s="347"/>
      <c r="AH94" s="347"/>
      <c r="AI94" s="347"/>
      <c r="AJ94" s="347"/>
      <c r="AK94" s="347"/>
      <c r="AL94" s="347"/>
      <c r="AM94" s="347"/>
      <c r="AN94" s="347"/>
      <c r="AO94" s="347"/>
      <c r="AP94" s="347"/>
      <c r="AQ94" s="347"/>
      <c r="AR94" s="347"/>
      <c r="AS94" s="347"/>
      <c r="AT94" s="347"/>
      <c r="AU94" s="347"/>
      <c r="AV94" s="347"/>
      <c r="AW94" s="347"/>
      <c r="AX94" s="347"/>
      <c r="AY94" s="347"/>
      <c r="AZ94" s="347"/>
      <c r="BA94" s="347"/>
      <c r="BB94" s="347"/>
      <c r="BC94" s="347"/>
      <c r="BD94" s="347"/>
      <c r="BE94" s="347"/>
      <c r="BF94" s="347"/>
      <c r="BG94" s="347"/>
      <c r="BH94" s="347"/>
      <c r="BI94" s="347"/>
      <c r="BJ94" s="347"/>
      <c r="BK94" s="347"/>
      <c r="BL94" s="347"/>
      <c r="BM94" s="347"/>
      <c r="BN94" s="347"/>
      <c r="BO94" s="347"/>
      <c r="BP94" s="347"/>
      <c r="BQ94" s="347"/>
      <c r="BR94" s="347"/>
      <c r="BS94" s="347"/>
      <c r="BT94" s="347"/>
      <c r="BU94" s="347"/>
      <c r="BV94" s="347"/>
      <c r="BW94" s="347"/>
      <c r="BX94" s="347"/>
      <c r="BY94" s="347"/>
      <c r="BZ94" s="347"/>
      <c r="CA94" s="347"/>
      <c r="CB94" s="347"/>
      <c r="CC94" s="347"/>
      <c r="CD94" s="347"/>
      <c r="CE94" s="347"/>
      <c r="CF94" s="347"/>
      <c r="CG94" s="347"/>
      <c r="CH94" s="347"/>
      <c r="CI94" s="347"/>
      <c r="CJ94" s="347"/>
      <c r="CK94" s="347"/>
      <c r="CL94" s="347"/>
      <c r="CM94" s="347"/>
      <c r="CN94" s="347"/>
      <c r="CO94" s="346"/>
      <c r="CP94" s="346"/>
      <c r="CQ94" s="346"/>
      <c r="CR94" s="346"/>
      <c r="CS94" s="346"/>
      <c r="CT94" s="346"/>
      <c r="CU94" s="346"/>
      <c r="CV94" s="346"/>
      <c r="CW94" s="346"/>
    </row>
    <row r="95" spans="1:101" x14ac:dyDescent="0.2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7"/>
      <c r="AE95" s="347"/>
      <c r="AF95" s="347"/>
      <c r="AG95" s="347"/>
      <c r="AH95" s="347"/>
      <c r="AI95" s="347"/>
      <c r="AJ95" s="347"/>
      <c r="AK95" s="347"/>
      <c r="AL95" s="347"/>
      <c r="AM95" s="347"/>
      <c r="AN95" s="347"/>
      <c r="AO95" s="347"/>
      <c r="AP95" s="347"/>
      <c r="AQ95" s="347"/>
      <c r="AR95" s="347"/>
      <c r="AS95" s="347"/>
      <c r="AT95" s="347"/>
      <c r="AU95" s="347"/>
      <c r="AV95" s="347"/>
      <c r="AW95" s="347"/>
      <c r="AX95" s="347"/>
      <c r="AY95" s="347"/>
      <c r="AZ95" s="347"/>
      <c r="BA95" s="347"/>
      <c r="BB95" s="347"/>
      <c r="BC95" s="347"/>
      <c r="BD95" s="347"/>
      <c r="BE95" s="347"/>
      <c r="BF95" s="347"/>
      <c r="BG95" s="347"/>
      <c r="BH95" s="347"/>
      <c r="BI95" s="347"/>
      <c r="BJ95" s="347"/>
      <c r="BK95" s="347"/>
      <c r="BL95" s="347"/>
      <c r="BM95" s="347"/>
      <c r="BN95" s="347"/>
      <c r="BO95" s="347"/>
      <c r="BP95" s="347"/>
      <c r="BQ95" s="347"/>
      <c r="BR95" s="347"/>
      <c r="BS95" s="347"/>
      <c r="BT95" s="347"/>
      <c r="BU95" s="347"/>
      <c r="BV95" s="347"/>
      <c r="BW95" s="347"/>
      <c r="BX95" s="347"/>
      <c r="BY95" s="347"/>
      <c r="BZ95" s="347"/>
      <c r="CA95" s="347"/>
      <c r="CB95" s="347"/>
      <c r="CC95" s="347"/>
      <c r="CD95" s="347"/>
      <c r="CE95" s="347"/>
      <c r="CF95" s="347"/>
      <c r="CG95" s="347"/>
      <c r="CH95" s="346"/>
      <c r="CI95" s="347"/>
      <c r="CJ95" s="347"/>
      <c r="CK95" s="347"/>
      <c r="CL95" s="347"/>
      <c r="CM95" s="347"/>
      <c r="CN95" s="347"/>
      <c r="CO95" s="346"/>
      <c r="CP95" s="346"/>
      <c r="CQ95" s="346"/>
      <c r="CR95" s="346"/>
      <c r="CS95" s="346"/>
      <c r="CT95" s="346"/>
      <c r="CU95" s="346"/>
      <c r="CV95" s="346"/>
      <c r="CW95" s="346"/>
    </row>
    <row r="96" spans="1:101" x14ac:dyDescent="0.2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7"/>
      <c r="AE96" s="347"/>
      <c r="AF96" s="347"/>
      <c r="AG96" s="347"/>
      <c r="AH96" s="347"/>
      <c r="AI96" s="347"/>
      <c r="AJ96" s="347"/>
      <c r="AK96" s="347"/>
      <c r="AL96" s="347"/>
      <c r="AM96" s="347"/>
      <c r="AN96" s="347"/>
      <c r="AO96" s="347"/>
      <c r="AP96" s="347"/>
      <c r="AQ96" s="347"/>
      <c r="AR96" s="347"/>
      <c r="AS96" s="347"/>
      <c r="AT96" s="347"/>
      <c r="AU96" s="347"/>
      <c r="AV96" s="347"/>
      <c r="AW96" s="347"/>
      <c r="AX96" s="347"/>
      <c r="AY96" s="347"/>
      <c r="AZ96" s="347"/>
      <c r="BA96" s="347"/>
      <c r="BB96" s="347"/>
      <c r="BC96" s="347"/>
      <c r="BD96" s="347"/>
      <c r="BE96" s="347"/>
      <c r="BF96" s="347"/>
      <c r="BG96" s="347"/>
      <c r="BH96" s="347"/>
      <c r="BI96" s="347"/>
      <c r="BJ96" s="347"/>
      <c r="BK96" s="347"/>
      <c r="BL96" s="347"/>
      <c r="BM96" s="347"/>
      <c r="BN96" s="347"/>
      <c r="BO96" s="347"/>
      <c r="BP96" s="347"/>
      <c r="BQ96" s="347"/>
      <c r="BR96" s="347"/>
      <c r="BS96" s="347"/>
      <c r="BT96" s="347"/>
      <c r="BU96" s="347"/>
      <c r="BV96" s="347"/>
      <c r="BW96" s="347"/>
      <c r="BX96" s="347"/>
      <c r="BY96" s="347"/>
      <c r="BZ96" s="347"/>
      <c r="CA96" s="347"/>
      <c r="CB96" s="347"/>
      <c r="CC96" s="347"/>
      <c r="CD96" s="347"/>
      <c r="CE96" s="347"/>
      <c r="CF96" s="347"/>
      <c r="CG96" s="347"/>
      <c r="CH96" s="346"/>
      <c r="CI96" s="347"/>
      <c r="CJ96" s="347"/>
      <c r="CK96" s="347"/>
      <c r="CL96" s="347"/>
      <c r="CM96" s="347"/>
      <c r="CN96" s="347"/>
      <c r="CO96" s="346"/>
      <c r="CP96" s="346"/>
      <c r="CQ96" s="346"/>
      <c r="CR96" s="346"/>
      <c r="CS96" s="346"/>
      <c r="CT96" s="346"/>
      <c r="CU96" s="346"/>
      <c r="CV96" s="346"/>
      <c r="CW96" s="346"/>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6D98E-2B42-4BA0-BBAC-FC7FF6DF6801}">
  <sheetPr codeName="Sheet11"/>
  <dimension ref="A1:AD120"/>
  <sheetViews>
    <sheetView showGridLines="0" zoomScale="70" zoomScaleNormal="70" workbookViewId="0">
      <pane xSplit="1" ySplit="1" topLeftCell="B2" activePane="bottomRight" state="frozenSplit"/>
      <selection activeCell="C623" sqref="C623"/>
      <selection pane="topRight" activeCell="C623" sqref="C623"/>
      <selection pane="bottomLeft" activeCell="C623" sqref="C623"/>
      <selection pane="bottomRight"/>
    </sheetView>
  </sheetViews>
  <sheetFormatPr defaultColWidth="8.7109375" defaultRowHeight="15" x14ac:dyDescent="0.25"/>
  <cols>
    <col min="1" max="1" width="21.28515625" customWidth="1"/>
    <col min="2" max="2" width="15.140625" bestFit="1" customWidth="1"/>
    <col min="3" max="3" width="18.140625" bestFit="1" customWidth="1"/>
    <col min="4" max="4" width="16.85546875" bestFit="1" customWidth="1"/>
    <col min="5" max="5" width="14.42578125" bestFit="1" customWidth="1"/>
    <col min="6" max="6" width="6.42578125" bestFit="1" customWidth="1"/>
    <col min="7" max="8" width="7.140625" hidden="1" customWidth="1"/>
    <col min="9" max="9" width="16" bestFit="1" customWidth="1"/>
    <col min="10" max="10" width="15.42578125" bestFit="1" customWidth="1"/>
    <col min="11" max="11" width="13.5703125" hidden="1" customWidth="1"/>
    <col min="12" max="12" width="14.85546875" bestFit="1" customWidth="1"/>
    <col min="13" max="13" width="11.42578125" customWidth="1"/>
    <col min="14" max="14" width="12" bestFit="1" customWidth="1"/>
    <col min="15" max="15" width="26.7109375" bestFit="1" customWidth="1"/>
    <col min="16" max="16" width="23.140625" hidden="1" customWidth="1"/>
    <col min="17" max="17" width="10.85546875" bestFit="1" customWidth="1"/>
    <col min="18" max="18" width="12.42578125" bestFit="1" customWidth="1"/>
    <col min="19" max="19" width="10.7109375" bestFit="1" customWidth="1"/>
    <col min="20" max="20" width="8.140625" hidden="1" customWidth="1"/>
    <col min="21" max="21" width="11" hidden="1" customWidth="1"/>
    <col min="22" max="22" width="5.140625" bestFit="1" customWidth="1"/>
    <col min="23" max="23" width="8.7109375" bestFit="1" customWidth="1"/>
    <col min="24" max="24" width="13.42578125" bestFit="1" customWidth="1"/>
    <col min="25" max="25" width="7.140625" bestFit="1" customWidth="1"/>
    <col min="26" max="26" width="20.140625" bestFit="1" customWidth="1"/>
    <col min="27" max="27" width="11.28515625" customWidth="1"/>
    <col min="28" max="28" width="16.140625" bestFit="1" customWidth="1"/>
    <col min="29" max="29" width="18.28515625" bestFit="1" customWidth="1"/>
    <col min="30" max="30" width="21.5703125" customWidth="1"/>
  </cols>
  <sheetData>
    <row r="1" spans="1:30" ht="15.75" thickBot="1" x14ac:dyDescent="0.3">
      <c r="A1" s="246" t="s">
        <v>1721</v>
      </c>
      <c r="B1" s="246" t="s">
        <v>240</v>
      </c>
      <c r="C1" s="246" t="s">
        <v>241</v>
      </c>
      <c r="D1" s="246" t="s">
        <v>242</v>
      </c>
      <c r="E1" s="246" t="s">
        <v>243</v>
      </c>
      <c r="F1" s="246" t="s">
        <v>244</v>
      </c>
      <c r="G1" s="246"/>
      <c r="H1" s="246"/>
      <c r="I1" s="246" t="s">
        <v>249</v>
      </c>
      <c r="J1" s="246" t="s">
        <v>352</v>
      </c>
      <c r="K1" s="246"/>
      <c r="L1" s="246" t="s">
        <v>375</v>
      </c>
      <c r="M1" s="385" t="s">
        <v>1205</v>
      </c>
      <c r="N1" s="385" t="s">
        <v>461</v>
      </c>
      <c r="O1" s="246" t="s">
        <v>1031</v>
      </c>
      <c r="P1" s="246"/>
      <c r="Q1" s="246" t="s">
        <v>1025</v>
      </c>
      <c r="R1" s="246" t="s">
        <v>1029</v>
      </c>
      <c r="S1" s="246" t="s">
        <v>1028</v>
      </c>
      <c r="T1" s="246"/>
      <c r="U1" s="246"/>
      <c r="X1" s="419">
        <v>44712</v>
      </c>
      <c r="Z1" s="434" t="s">
        <v>2736</v>
      </c>
      <c r="AD1" t="s">
        <v>1172</v>
      </c>
    </row>
    <row r="2" spans="1:30" ht="15.75" thickBot="1" x14ac:dyDescent="0.3">
      <c r="A2" s="354">
        <v>1100000141</v>
      </c>
      <c r="B2" s="249">
        <f>VLOOKUP(A2,'Loan Book Summary'!C:W,21,FALSE)</f>
        <v>70000</v>
      </c>
      <c r="C2" s="249">
        <f>VLOOKUP(A2,'Loan Book Summary'!C:AB,26,FALSE)</f>
        <v>70000</v>
      </c>
      <c r="D2" s="398">
        <f>VLOOKUP(A2,'Loan Book Summary'!C:Q,15,FALSE)</f>
        <v>42804</v>
      </c>
      <c r="E2" s="398">
        <f>VLOOKUP(A2,'Loan Book Summary'!C:R,16,FALSE)</f>
        <v>44904</v>
      </c>
      <c r="F2" s="354">
        <f>IF(I2="Matured", "",(E2-$X$1)/365.25)</f>
        <v>0.52566735112936347</v>
      </c>
      <c r="G2" s="354"/>
      <c r="H2" s="354"/>
      <c r="I2" s="354">
        <f>IFERROR(VLOOKUP(A2,'Stage 2 loans'!A:D,4,FALSE),1)</f>
        <v>1</v>
      </c>
      <c r="J2" s="354">
        <f>VLOOKUP(A2,Reference_Rate_Repricing_Report!B:P,15,FALSE)</f>
        <v>9.19</v>
      </c>
      <c r="K2" s="354"/>
      <c r="L2" s="274">
        <f>IF(I2="Matured","",IFERROR(VLOOKUP(A2,'Updated Ncino PD'!$A:$B,2,FALSE),IF($Z$2="ON",IF(I2=1,VLOOKUP(A2,'MacroPD-Cal'!A:H,8,FALSE),VLOOKUP(A2,'MacroPD-Cal'!A:O,15,FALSE)),IF($Z$5="Weighted",IF(I2=1,VLOOKUP(A2,'Model Output_TTC'!A:BX,76,FALSE),VLOOKUP(A2,'Model Output_TTC'!A:CD,82,FALSE)),IF($Z$5="Baseline",IF(I2=1,VLOOKUP(A2,'Model Output_TTC'!$A:$AO,41,FALSE),VLOOKUP(A2,'Model Output_TTC'!$A:$AU,47,FALSE)),IF($Z$5="90th Percentile",IF(I2=1,VLOOKUP(A2,'Model Output_TTC'!$A:$BJ,62,FALSE),VLOOKUP(A2,'Model Output_TTC'!$A:$BP,68,FALSE)),IF($Z$5="96th Percentile",IF(I2=1,VLOOKUP(A2,'Model Output_TTC'!$A:$T,20,FALSE),VLOOKUP(A2,'Model Output_TTC'!$A:$Z,26,FALSE)),"")))))))</f>
        <v>3.7200000000000004E-2</v>
      </c>
      <c r="M2" s="274">
        <f>IF('Ref-Data'!I2="Matured","",VLOOKUP(A2,'LGD Data'!A:C,3,0))</f>
        <v>0.37514320519767774</v>
      </c>
      <c r="N2" s="274">
        <f>IF(I2="Matured","",MAX(IFERROR(VLOOKUP(A2,'Updated Ncino PD'!$U:$V,2,FALSE),'Ref-Data'!M2),10%))</f>
        <v>0.37514320519767774</v>
      </c>
      <c r="O2" s="354">
        <f>VLOOKUP(A2,'Loan Book Summary'!C:AE,29,FALSE)</f>
        <v>0</v>
      </c>
      <c r="P2" s="354"/>
      <c r="Q2" s="354">
        <f>IF(I2="Matured","",VLOOKUP(A2,'MacroPD-Cal'!A:N,14,FALSE))</f>
        <v>1.9730578163506873E-2</v>
      </c>
      <c r="R2" s="354">
        <f>IF(I2="Matured","",+IF(S2&gt;=1,0.5*L2*N2*O2,0.2*L2*N2*O2))</f>
        <v>0</v>
      </c>
      <c r="S2" s="354">
        <f>IF(I2="Matured","",(E2-D2)/365.25)</f>
        <v>5.7494866529774127</v>
      </c>
      <c r="T2" s="354"/>
      <c r="U2" s="354"/>
      <c r="W2" s="451"/>
      <c r="Z2" s="452" t="s">
        <v>5430</v>
      </c>
      <c r="AD2" t="str">
        <f>VLOOKUP(A2,'Loan Book Summary'!C:E,3,FALSE)</f>
        <v>NOTES: MUSIC &amp; COFFEE LIMITED</v>
      </c>
    </row>
    <row r="3" spans="1:30" x14ac:dyDescent="0.25">
      <c r="A3" s="354">
        <v>1100000145</v>
      </c>
      <c r="B3" s="249">
        <f>VLOOKUP(A3,'Loan Book Summary'!C:W,21,FALSE)</f>
        <v>9722974.0099999998</v>
      </c>
      <c r="C3" s="249">
        <f>VLOOKUP(A3,'Loan Book Summary'!C:AB,26,FALSE)</f>
        <v>9722974.0099999998</v>
      </c>
      <c r="D3" s="398">
        <f>VLOOKUP(A3,'Loan Book Summary'!C:Q,15,FALSE)</f>
        <v>43028</v>
      </c>
      <c r="E3" s="398">
        <f>VLOOKUP(A3,'Loan Book Summary'!C:R,16,FALSE)</f>
        <v>44732</v>
      </c>
      <c r="F3" s="354">
        <f t="shared" ref="F3:F4" si="0">IF(I3="Matured", "",(E3-$X$1)/365.25)</f>
        <v>5.4757015742642023E-2</v>
      </c>
      <c r="G3" s="354"/>
      <c r="H3" s="354"/>
      <c r="I3" s="354">
        <f>IFERROR(VLOOKUP(A3,'Stage 2 loans'!A:D,4,FALSE),1)</f>
        <v>1</v>
      </c>
      <c r="J3" s="354">
        <f>VLOOKUP(A3,Reference_Rate_Repricing_Report!B:P,15,FALSE)</f>
        <v>6.93</v>
      </c>
      <c r="K3" s="354"/>
      <c r="L3" s="274">
        <f>IF(I3="Matured","",IFERROR(VLOOKUP(A3,'Updated Ncino PD'!$A:$B,2,FALSE),IF($Z$2="ON",IF(I3=1,VLOOKUP(A3,'MacroPD-Cal'!A:H,8,FALSE),VLOOKUP(A3,'MacroPD-Cal'!A:O,15,FALSE)),IF($Z$5="Weighted",IF(I3=1,VLOOKUP(A3,'Model Output_TTC'!A:BX,76,FALSE),VLOOKUP(A3,'Model Output_TTC'!A:CD,82,FALSE)),IF($Z$5="Baseline",IF(I3=1,VLOOKUP(A3,'Model Output_TTC'!$A:$AO,41,FALSE),VLOOKUP(A3,'Model Output_TTC'!$A:$AU,47,FALSE)),IF($Z$5="90th Percentile",IF(I3=1,VLOOKUP(A3,'Model Output_TTC'!$A:$BJ,62,FALSE),VLOOKUP(A3,'Model Output_TTC'!$A:$BP,68,FALSE)),IF($Z$5="96th Percentile",IF(I3=1,VLOOKUP(A3,'Model Output_TTC'!$A:$T,20,FALSE),VLOOKUP(A3,'Model Output_TTC'!$A:$Z,26,FALSE)),"")))))))</f>
        <v>0.1283</v>
      </c>
      <c r="M3" s="274">
        <f>IF('Ref-Data'!I3="Matured","",VLOOKUP(A3,'LGD Data'!A:C,3,0))</f>
        <v>0.2402</v>
      </c>
      <c r="N3" s="274">
        <f>IF(I3="Matured","",MAX(IFERROR(VLOOKUP(A3,'Updated Ncino PD'!$U:$V,2,FALSE),'Ref-Data'!M3),10%))</f>
        <v>0.2402</v>
      </c>
      <c r="O3" s="354">
        <f>VLOOKUP(A3,'Loan Book Summary'!C:AE,29,FALSE)</f>
        <v>0</v>
      </c>
      <c r="P3" s="354"/>
      <c r="Q3" s="354">
        <f>IF(I3="Matured","",VLOOKUP(A3,'MacroPD-Cal'!A:N,14,FALSE))</f>
        <v>7.4904885547799616E-3</v>
      </c>
      <c r="R3" s="354">
        <f t="shared" ref="R3:R4" si="1">IF(I3="Matured","",+IF(S3&gt;=1,0.5*L3*N3*O3,0.2*L3*N3*O3))</f>
        <v>0</v>
      </c>
      <c r="S3" s="354">
        <f t="shared" ref="S3:S4" si="2">IF(I3="Matured","",(E3-D3)/365.25)</f>
        <v>4.6652977412731005</v>
      </c>
      <c r="T3" s="354"/>
      <c r="U3" s="354"/>
      <c r="AD3" s="346" t="str">
        <f>VLOOKUP(A3,'Loan Book Summary'!C:E,3,FALSE)</f>
        <v>Z HOTELS HOLBORN LIMITED</v>
      </c>
    </row>
    <row r="4" spans="1:30" ht="15.75" thickBot="1" x14ac:dyDescent="0.3">
      <c r="A4" s="354">
        <v>1100000199</v>
      </c>
      <c r="B4" s="249">
        <f>VLOOKUP(A4,'Loan Book Summary'!C:W,21,FALSE)</f>
        <v>552635</v>
      </c>
      <c r="C4" s="249">
        <f>VLOOKUP(A4,'Loan Book Summary'!C:AB,26,FALSE)</f>
        <v>552635</v>
      </c>
      <c r="D4" s="398">
        <f>VLOOKUP(A4,'Loan Book Summary'!C:Q,15,FALSE)</f>
        <v>43132</v>
      </c>
      <c r="E4" s="398">
        <f>VLOOKUP(A4,'Loan Book Summary'!C:R,16,FALSE)</f>
        <v>44958</v>
      </c>
      <c r="F4" s="354">
        <f t="shared" si="0"/>
        <v>0.67351129363449691</v>
      </c>
      <c r="G4" s="354"/>
      <c r="H4" s="354"/>
      <c r="I4" s="354">
        <f>IFERROR(VLOOKUP(A4,'Stage 2 loans'!A:D,4,FALSE),1)</f>
        <v>1</v>
      </c>
      <c r="J4" s="354">
        <f>VLOOKUP(A4,Reference_Rate_Repricing_Report!B:P,15,FALSE)</f>
        <v>6.7</v>
      </c>
      <c r="K4" s="354"/>
      <c r="L4" s="274">
        <f>IF(I4="Matured","",IFERROR(VLOOKUP(A4,'Updated Ncino PD'!$A:$B,2,FALSE),IF($Z$2="ON",IF(I4=1,VLOOKUP(A4,'MacroPD-Cal'!A:H,8,FALSE),VLOOKUP(A4,'MacroPD-Cal'!A:O,15,FALSE)),IF($Z$5="Weighted",IF(I4=1,VLOOKUP(A4,'Model Output_TTC'!A:BX,76,FALSE),VLOOKUP(A4,'Model Output_TTC'!A:CD,82,FALSE)),IF($Z$5="Baseline",IF(I4=1,VLOOKUP(A4,'Model Output_TTC'!$A:$AO,41,FALSE),VLOOKUP(A4,'Model Output_TTC'!$A:$AU,47,FALSE)),IF($Z$5="90th Percentile",IF(I4=1,VLOOKUP(A4,'Model Output_TTC'!$A:$BJ,62,FALSE),VLOOKUP(A4,'Model Output_TTC'!$A:$BP,68,FALSE)),IF($Z$5="96th Percentile",IF(I4=1,VLOOKUP(A4,'Model Output_TTC'!$A:$T,20,FALSE),VLOOKUP(A4,'Model Output_TTC'!$A:$Z,26,FALSE)),"")))))))</f>
        <v>7.3000000000000001E-3</v>
      </c>
      <c r="M4" s="274">
        <f>IF('Ref-Data'!I4="Matured","",VLOOKUP(A4,'LGD Data'!A:C,3,0))</f>
        <v>0.42375534614710542</v>
      </c>
      <c r="N4" s="274">
        <f>IF(I4="Matured","",MAX(IFERROR(VLOOKUP(A4,'Updated Ncino PD'!$U:$V,2,FALSE),'Ref-Data'!M4),10%))</f>
        <v>0.42375534614710542</v>
      </c>
      <c r="O4" s="354">
        <f>VLOOKUP(A4,'Loan Book Summary'!C:AE,29,FALSE)</f>
        <v>0</v>
      </c>
      <c r="P4" s="354"/>
      <c r="Q4" s="354">
        <f>IF(I4="Matured","",VLOOKUP(A4,'MacroPD-Cal'!A:N,14,FALSE))</f>
        <v>4.9225105071935005E-3</v>
      </c>
      <c r="R4" s="354">
        <f t="shared" si="1"/>
        <v>0</v>
      </c>
      <c r="S4" s="354">
        <f t="shared" si="2"/>
        <v>4.9993155373032172</v>
      </c>
      <c r="T4" s="354"/>
      <c r="U4" s="354"/>
      <c r="Z4" s="434" t="s">
        <v>2745</v>
      </c>
      <c r="AA4" s="3" t="s">
        <v>2746</v>
      </c>
      <c r="AD4" s="346" t="str">
        <f>VLOOKUP(A4,'Loan Book Summary'!C:E,3,FALSE)</f>
        <v>WHISKEY (BIDCO) LIMITED</v>
      </c>
    </row>
    <row r="5" spans="1:30" ht="15.75" thickBot="1" x14ac:dyDescent="0.3">
      <c r="A5" s="354">
        <v>1100000198</v>
      </c>
      <c r="B5" s="249">
        <f>VLOOKUP(A5,'Loan Book Summary'!C:W,21,FALSE)</f>
        <v>750000</v>
      </c>
      <c r="C5" s="249">
        <f>VLOOKUP(A5,'Loan Book Summary'!C:AB,26,FALSE)</f>
        <v>750000</v>
      </c>
      <c r="D5" s="398">
        <f>VLOOKUP(A5,'Loan Book Summary'!C:Q,15,FALSE)</f>
        <v>43132</v>
      </c>
      <c r="E5" s="398">
        <f>VLOOKUP(A5,'Loan Book Summary'!C:R,16,FALSE)</f>
        <v>44958</v>
      </c>
      <c r="F5" s="354">
        <f t="shared" ref="F5:F36" si="3">IF(I5="Matured", "",(E5-$X$1)/365.25)</f>
        <v>0.67351129363449691</v>
      </c>
      <c r="G5" s="354"/>
      <c r="H5" s="354"/>
      <c r="I5" s="354">
        <f>IFERROR(VLOOKUP(A5,'Stage 2 loans'!A:D,4,FALSE),1)</f>
        <v>1</v>
      </c>
      <c r="J5" s="354">
        <f>VLOOKUP(A5,Reference_Rate_Repricing_Report!B:P,15,FALSE)</f>
        <v>6.7</v>
      </c>
      <c r="K5" s="354"/>
      <c r="L5" s="274">
        <f>IF(I5="Matured","",IFERROR(VLOOKUP(A5,'Updated Ncino PD'!$A:$B,2,FALSE),IF($Z$2="ON",IF(I5=1,VLOOKUP(A5,'MacroPD-Cal'!A:H,8,FALSE),VLOOKUP(A5,'MacroPD-Cal'!A:O,15,FALSE)),IF($Z$5="Weighted",IF(I5=1,VLOOKUP(A5,'Model Output_TTC'!A:BX,76,FALSE),VLOOKUP(A5,'Model Output_TTC'!A:CD,82,FALSE)),IF($Z$5="Baseline",IF(I5=1,VLOOKUP(A5,'Model Output_TTC'!$A:$AO,41,FALSE),VLOOKUP(A5,'Model Output_TTC'!$A:$AU,47,FALSE)),IF($Z$5="90th Percentile",IF(I5=1,VLOOKUP(A5,'Model Output_TTC'!$A:$BJ,62,FALSE),VLOOKUP(A5,'Model Output_TTC'!$A:$BP,68,FALSE)),IF($Z$5="96th Percentile",IF(I5=1,VLOOKUP(A5,'Model Output_TTC'!$A:$T,20,FALSE),VLOOKUP(A5,'Model Output_TTC'!$A:$Z,26,FALSE)),"")))))))</f>
        <v>7.3000000000000001E-3</v>
      </c>
      <c r="M5" s="274">
        <f>IF('Ref-Data'!I5="Matured","",VLOOKUP(A5,'LGD Data'!A:C,3,0))</f>
        <v>0.42375534614710542</v>
      </c>
      <c r="N5" s="274">
        <f>IF(I5="Matured","",MAX(IFERROR(VLOOKUP(A5,'Updated Ncino PD'!$U:$V,2,FALSE),'Ref-Data'!M5),10%))</f>
        <v>0.42375534614710542</v>
      </c>
      <c r="O5" s="354">
        <f>VLOOKUP(A5,'Loan Book Summary'!C:AE,29,FALSE)</f>
        <v>0</v>
      </c>
      <c r="P5" s="354"/>
      <c r="Q5" s="354">
        <f>IF(I5="Matured","",VLOOKUP(A5,'MacroPD-Cal'!A:N,14,FALSE))</f>
        <v>4.9225105071935005E-3</v>
      </c>
      <c r="R5" s="354">
        <f t="shared" ref="R5:R36" si="4">IF(I5="Matured","",+IF(S5&gt;=1,0.5*L5*N5*O5,0.2*L5*N5*O5))</f>
        <v>0</v>
      </c>
      <c r="S5" s="354">
        <f t="shared" ref="S5:S36" si="5">IF(I5="Matured","",(E5-D5)/365.25)</f>
        <v>4.9993155373032172</v>
      </c>
      <c r="T5" s="354"/>
      <c r="U5" s="354"/>
      <c r="Z5" s="452" t="s">
        <v>2753</v>
      </c>
      <c r="AD5" s="346" t="str">
        <f>VLOOKUP(A5,'Loan Book Summary'!C:E,3,FALSE)</f>
        <v>WHISKEY (BIDCO) LIMITED</v>
      </c>
    </row>
    <row r="6" spans="1:30" x14ac:dyDescent="0.25">
      <c r="A6" s="354">
        <v>1100000205</v>
      </c>
      <c r="B6" s="249">
        <f>VLOOKUP(A6,'Loan Book Summary'!C:W,21,FALSE)</f>
        <v>2016664.01</v>
      </c>
      <c r="C6" s="249">
        <f>VLOOKUP(A6,'Loan Book Summary'!C:AB,26,FALSE)</f>
        <v>2016664.01</v>
      </c>
      <c r="D6" s="398">
        <f>VLOOKUP(A6,'Loan Book Summary'!C:Q,15,FALSE)</f>
        <v>43144</v>
      </c>
      <c r="E6" s="398">
        <f>VLOOKUP(A6,'Loan Book Summary'!C:R,16,FALSE)</f>
        <v>45152</v>
      </c>
      <c r="F6" s="354">
        <f t="shared" si="3"/>
        <v>1.2046543463381245</v>
      </c>
      <c r="G6" s="354"/>
      <c r="H6" s="354"/>
      <c r="I6" s="354">
        <f>IFERROR(VLOOKUP(A6,'Stage 2 loans'!A:D,4,FALSE),1)</f>
        <v>1</v>
      </c>
      <c r="J6" s="354">
        <f>VLOOKUP(A6,Reference_Rate_Repricing_Report!B:P,15,FALSE)</f>
        <v>6.22</v>
      </c>
      <c r="K6" s="354"/>
      <c r="L6" s="274">
        <f>IF(I6="Matured","",IFERROR(VLOOKUP(A6,'Updated Ncino PD'!$A:$B,2,FALSE),IF($Z$2="ON",IF(I6=1,VLOOKUP(A6,'MacroPD-Cal'!A:H,8,FALSE),VLOOKUP(A6,'MacroPD-Cal'!A:O,15,FALSE)),IF($Z$5="Weighted",IF(I6=1,VLOOKUP(A6,'Model Output_TTC'!A:BX,76,FALSE),VLOOKUP(A6,'Model Output_TTC'!A:CD,82,FALSE)),IF($Z$5="Baseline",IF(I6=1,VLOOKUP(A6,'Model Output_TTC'!$A:$AO,41,FALSE),VLOOKUP(A6,'Model Output_TTC'!$A:$AU,47,FALSE)),IF($Z$5="90th Percentile",IF(I6=1,VLOOKUP(A6,'Model Output_TTC'!$A:$BJ,62,FALSE),VLOOKUP(A6,'Model Output_TTC'!$A:$BP,68,FALSE)),IF($Z$5="96th Percentile",IF(I6=1,VLOOKUP(A6,'Model Output_TTC'!$A:$T,20,FALSE),VLOOKUP(A6,'Model Output_TTC'!$A:$Z,26,FALSE)),"")))))))</f>
        <v>1.03E-2</v>
      </c>
      <c r="M6" s="274">
        <f>IF('Ref-Data'!I6="Matured","",VLOOKUP(A6,'LGD Data'!A:C,3,0))</f>
        <v>0.3637959654763534</v>
      </c>
      <c r="N6" s="274">
        <f>IF(I6="Matured","",MAX(IFERROR(VLOOKUP(A6,'Updated Ncino PD'!$U:$V,2,FALSE),'Ref-Data'!M6),10%))</f>
        <v>0.3637959654763534</v>
      </c>
      <c r="O6" s="354">
        <f>VLOOKUP(A6,'Loan Book Summary'!C:AE,29,FALSE)</f>
        <v>0</v>
      </c>
      <c r="P6" s="354"/>
      <c r="Q6" s="354">
        <f>IF(I6="Matured","",VLOOKUP(A6,'MacroPD-Cal'!A:N,14,FALSE))</f>
        <v>1.03E-2</v>
      </c>
      <c r="R6" s="354">
        <f t="shared" si="4"/>
        <v>0</v>
      </c>
      <c r="S6" s="354">
        <f t="shared" si="5"/>
        <v>5.4976043805612598</v>
      </c>
      <c r="T6" s="354"/>
      <c r="U6" s="354"/>
      <c r="AD6" s="346" t="str">
        <f>VLOOKUP(A6,'Loan Book Summary'!C:E,3,FALSE)</f>
        <v>INCEPTION VENTURES GROUP LIMITED &amp; BEDFORD STREET BAR TRADING LIMITED &amp; NEWMAN STREET BAR TRADING LIMITED &amp; BROADGATE CIRCLE  BAR TRADING LIMITED</v>
      </c>
    </row>
    <row r="7" spans="1:30" x14ac:dyDescent="0.25">
      <c r="A7" s="354">
        <v>1100000168</v>
      </c>
      <c r="B7" s="249">
        <f>VLOOKUP(A7,'Loan Book Summary'!C:W,21,FALSE)</f>
        <v>6474308</v>
      </c>
      <c r="C7" s="249">
        <f>VLOOKUP(A7,'Loan Book Summary'!C:AB,26,FALSE)</f>
        <v>6474308</v>
      </c>
      <c r="D7" s="398">
        <f>VLOOKUP(A7,'Loan Book Summary'!C:Q,15,FALSE)</f>
        <v>43220</v>
      </c>
      <c r="E7" s="398">
        <f>VLOOKUP(A7,'Loan Book Summary'!C:R,16,FALSE)</f>
        <v>45777</v>
      </c>
      <c r="F7" s="354">
        <f t="shared" si="3"/>
        <v>2.9158110882956878</v>
      </c>
      <c r="G7" s="354"/>
      <c r="H7" s="354"/>
      <c r="I7" s="354">
        <f>IFERROR(VLOOKUP(A7,'Stage 2 loans'!A:D,4,FALSE),1)</f>
        <v>1</v>
      </c>
      <c r="J7" s="354">
        <f>VLOOKUP(A7,Reference_Rate_Repricing_Report!B:P,15,FALSE)</f>
        <v>5.25</v>
      </c>
      <c r="K7" s="354"/>
      <c r="L7" s="274">
        <f>IF(I7="Matured","",IFERROR(VLOOKUP(A7,'Updated Ncino PD'!$A:$B,2,FALSE),IF($Z$2="ON",IF(I7=1,VLOOKUP(A7,'MacroPD-Cal'!A:H,8,FALSE),VLOOKUP(A7,'MacroPD-Cal'!A:O,15,FALSE)),IF($Z$5="Weighted",IF(I7=1,VLOOKUP(A7,'Model Output_TTC'!A:BX,76,FALSE),VLOOKUP(A7,'Model Output_TTC'!A:CD,82,FALSE)),IF($Z$5="Baseline",IF(I7=1,VLOOKUP(A7,'Model Output_TTC'!$A:$AO,41,FALSE),VLOOKUP(A7,'Model Output_TTC'!$A:$AU,47,FALSE)),IF($Z$5="90th Percentile",IF(I7=1,VLOOKUP(A7,'Model Output_TTC'!$A:$BJ,62,FALSE),VLOOKUP(A7,'Model Output_TTC'!$A:$BP,68,FALSE)),IF($Z$5="96th Percentile",IF(I7=1,VLOOKUP(A7,'Model Output_TTC'!$A:$T,20,FALSE),VLOOKUP(A7,'Model Output_TTC'!$A:$Z,26,FALSE)),"")))))))</f>
        <v>0.1086</v>
      </c>
      <c r="M7" s="274">
        <f>IF('Ref-Data'!I7="Matured","",VLOOKUP(A7,'LGD Data'!A:C,3,0))</f>
        <v>0.1</v>
      </c>
      <c r="N7" s="274">
        <f>IF(I7="Matured","",MAX(IFERROR(VLOOKUP(A7,'Updated Ncino PD'!$U:$V,2,FALSE),'Ref-Data'!M7),10%))</f>
        <v>0.1</v>
      </c>
      <c r="O7" s="354">
        <f>VLOOKUP(A7,'Loan Book Summary'!C:AE,29,FALSE)</f>
        <v>0</v>
      </c>
      <c r="P7" s="354"/>
      <c r="Q7" s="354">
        <f>IF(I7="Matured","",VLOOKUP(A7,'MacroPD-Cal'!A:N,14,FALSE))</f>
        <v>0.1086</v>
      </c>
      <c r="R7" s="354">
        <f t="shared" si="4"/>
        <v>0</v>
      </c>
      <c r="S7" s="354">
        <f t="shared" si="5"/>
        <v>7.0006844626967828</v>
      </c>
      <c r="T7" s="354"/>
      <c r="U7" s="354"/>
      <c r="AD7" s="346" t="str">
        <f>VLOOKUP(A7,'Loan Book Summary'!C:E,3,FALSE)</f>
        <v>Z HOTELS ZHT LTD</v>
      </c>
    </row>
    <row r="8" spans="1:30" x14ac:dyDescent="0.25">
      <c r="A8" s="354">
        <v>1100000209</v>
      </c>
      <c r="B8" s="249">
        <f>VLOOKUP(A8,'Loan Book Summary'!C:W,21,FALSE)</f>
        <v>1500000</v>
      </c>
      <c r="C8" s="249">
        <f>VLOOKUP(A8,'Loan Book Summary'!C:AB,26,FALSE)</f>
        <v>0</v>
      </c>
      <c r="D8" s="398">
        <f>VLOOKUP(A8,'Loan Book Summary'!C:Q,15,FALSE)</f>
        <v>43257</v>
      </c>
      <c r="E8" s="398">
        <f>VLOOKUP(A8,'Loan Book Summary'!C:R,16,FALSE)</f>
        <v>45992</v>
      </c>
      <c r="F8" s="354">
        <f t="shared" si="3"/>
        <v>3.5044490075290895</v>
      </c>
      <c r="G8" s="354"/>
      <c r="H8" s="354"/>
      <c r="I8" s="354">
        <f>IFERROR(VLOOKUP(A8,'Stage 2 loans'!A:D,4,FALSE),1)</f>
        <v>1</v>
      </c>
      <c r="J8" s="354">
        <f>VLOOKUP(A8,Reference_Rate_Repricing_Report!B:P,15,FALSE)</f>
        <v>6</v>
      </c>
      <c r="K8" s="354"/>
      <c r="L8" s="274">
        <f>IF(I8="Matured","",IFERROR(VLOOKUP(A8,'Updated Ncino PD'!$A:$B,2,FALSE),IF($Z$2="ON",IF(I8=1,VLOOKUP(A8,'MacroPD-Cal'!A:H,8,FALSE),VLOOKUP(A8,'MacroPD-Cal'!A:O,15,FALSE)),IF($Z$5="Weighted",IF(I8=1,VLOOKUP(A8,'Model Output_TTC'!A:BX,76,FALSE),VLOOKUP(A8,'Model Output_TTC'!A:CD,82,FALSE)),IF($Z$5="Baseline",IF(I8=1,VLOOKUP(A8,'Model Output_TTC'!$A:$AO,41,FALSE),VLOOKUP(A8,'Model Output_TTC'!$A:$AU,47,FALSE)),IF($Z$5="90th Percentile",IF(I8=1,VLOOKUP(A8,'Model Output_TTC'!$A:$BJ,62,FALSE),VLOOKUP(A8,'Model Output_TTC'!$A:$BP,68,FALSE)),IF($Z$5="96th Percentile",IF(I8=1,VLOOKUP(A8,'Model Output_TTC'!$A:$T,20,FALSE),VLOOKUP(A8,'Model Output_TTC'!$A:$Z,26,FALSE)),"")))))))</f>
        <v>2.29E-2</v>
      </c>
      <c r="M8" s="274">
        <f>IF('Ref-Data'!I8="Matured","",VLOOKUP(A8,'LGD Data'!A:C,3,0))</f>
        <v>0.35859999999999997</v>
      </c>
      <c r="N8" s="274">
        <f>IF(I8="Matured","",MAX(IFERROR(VLOOKUP(A8,'Updated Ncino PD'!$U:$V,2,FALSE),'Ref-Data'!M8),10%))</f>
        <v>0.35859999999999997</v>
      </c>
      <c r="O8" s="354">
        <f>VLOOKUP(A8,'Loan Book Summary'!C:AE,29,FALSE)</f>
        <v>1500000</v>
      </c>
      <c r="P8" s="354"/>
      <c r="Q8" s="354">
        <f>IF(I8="Matured","",VLOOKUP(A8,'MacroPD-Cal'!A:N,14,FALSE))</f>
        <v>2.29E-2</v>
      </c>
      <c r="R8" s="354">
        <f t="shared" si="4"/>
        <v>6158.954999999999</v>
      </c>
      <c r="S8" s="354">
        <f t="shared" si="5"/>
        <v>7.4880219028062971</v>
      </c>
      <c r="T8" s="354"/>
      <c r="U8" s="354"/>
      <c r="AD8" s="346" t="str">
        <f>VLOOKUP(A8,'Loan Book Summary'!C:E,3,FALSE)</f>
        <v>INN COLLECTION BIDCO LIMITED</v>
      </c>
    </row>
    <row r="9" spans="1:30" x14ac:dyDescent="0.25">
      <c r="A9" s="354">
        <v>1100000175</v>
      </c>
      <c r="B9" s="249">
        <f>VLOOKUP(A9,'Loan Book Summary'!C:W,21,FALSE)</f>
        <v>20011058.510000002</v>
      </c>
      <c r="C9" s="249">
        <f>VLOOKUP(A9,'Loan Book Summary'!C:AB,26,FALSE)</f>
        <v>20011058.510000002</v>
      </c>
      <c r="D9" s="398">
        <f>VLOOKUP(A9,'Loan Book Summary'!C:Q,15,FALSE)</f>
        <v>43259</v>
      </c>
      <c r="E9" s="398">
        <f>VLOOKUP(A9,'Loan Book Summary'!C:R,16,FALSE)</f>
        <v>45085</v>
      </c>
      <c r="F9" s="354">
        <f t="shared" si="3"/>
        <v>1.0212183436002737</v>
      </c>
      <c r="G9" s="354"/>
      <c r="H9" s="354"/>
      <c r="I9" s="354">
        <f>IFERROR(VLOOKUP(A9,'Stage 2 loans'!A:D,4,FALSE),1)</f>
        <v>1</v>
      </c>
      <c r="J9" s="354">
        <f>VLOOKUP(A9,Reference_Rate_Repricing_Report!B:P,15,FALSE)</f>
        <v>6.15</v>
      </c>
      <c r="K9" s="354"/>
      <c r="L9" s="274">
        <f>IF(I9="Matured","",IFERROR(VLOOKUP(A9,'Updated Ncino PD'!$A:$B,2,FALSE),IF($Z$2="ON",IF(I9=1,VLOOKUP(A9,'MacroPD-Cal'!A:H,8,FALSE),VLOOKUP(A9,'MacroPD-Cal'!A:O,15,FALSE)),IF($Z$5="Weighted",IF(I9=1,VLOOKUP(A9,'Model Output_TTC'!A:BX,76,FALSE),VLOOKUP(A9,'Model Output_TTC'!A:CD,82,FALSE)),IF($Z$5="Baseline",IF(I9=1,VLOOKUP(A9,'Model Output_TTC'!$A:$AO,41,FALSE),VLOOKUP(A9,'Model Output_TTC'!$A:$AU,47,FALSE)),IF($Z$5="90th Percentile",IF(I9=1,VLOOKUP(A9,'Model Output_TTC'!$A:$BJ,62,FALSE),VLOOKUP(A9,'Model Output_TTC'!$A:$BP,68,FALSE)),IF($Z$5="96th Percentile",IF(I9=1,VLOOKUP(A9,'Model Output_TTC'!$A:$T,20,FALSE),VLOOKUP(A9,'Model Output_TTC'!$A:$Z,26,FALSE)),"")))))))</f>
        <v>0.1885</v>
      </c>
      <c r="M9" s="274">
        <f>IF('Ref-Data'!I9="Matured","",VLOOKUP(A9,'LGD Data'!A:C,3,0))</f>
        <v>0.15358983630422796</v>
      </c>
      <c r="N9" s="274">
        <f>IF(I9="Matured","",MAX(IFERROR(VLOOKUP(A9,'Updated Ncino PD'!$U:$V,2,FALSE),'Ref-Data'!M9),10%))</f>
        <v>0.15358983630422796</v>
      </c>
      <c r="O9" s="354">
        <f>VLOOKUP(A9,'Loan Book Summary'!C:AE,29,FALSE)</f>
        <v>0</v>
      </c>
      <c r="P9" s="354"/>
      <c r="Q9" s="354">
        <f>IF(I9="Matured","",VLOOKUP(A9,'MacroPD-Cal'!A:N,14,FALSE))</f>
        <v>0.1885</v>
      </c>
      <c r="R9" s="354">
        <f t="shared" si="4"/>
        <v>0</v>
      </c>
      <c r="S9" s="354">
        <f t="shared" si="5"/>
        <v>4.9993155373032172</v>
      </c>
      <c r="T9" s="354"/>
      <c r="U9" s="354"/>
      <c r="AD9" s="346" t="str">
        <f>VLOOKUP(A9,'Loan Book Summary'!C:E,3,FALSE)</f>
        <v>SBH PARK HOLDING LIMITED</v>
      </c>
    </row>
    <row r="10" spans="1:30" x14ac:dyDescent="0.25">
      <c r="A10" s="354">
        <v>1100000144</v>
      </c>
      <c r="B10" s="249">
        <f>VLOOKUP(A10,'Loan Book Summary'!C:W,21,FALSE)</f>
        <v>4468749.95</v>
      </c>
      <c r="C10" s="249">
        <f>VLOOKUP(A10,'Loan Book Summary'!C:AB,26,FALSE)</f>
        <v>4468749.95</v>
      </c>
      <c r="D10" s="398">
        <f>VLOOKUP(A10,'Loan Book Summary'!C:Q,15,FALSE)</f>
        <v>43266</v>
      </c>
      <c r="E10" s="398">
        <f>VLOOKUP(A10,'Loan Book Summary'!C:R,16,FALSE)</f>
        <v>45553</v>
      </c>
      <c r="F10" s="354">
        <f t="shared" si="3"/>
        <v>2.3025325119780971</v>
      </c>
      <c r="G10" s="354"/>
      <c r="H10" s="354"/>
      <c r="I10" s="354">
        <f>IFERROR(VLOOKUP(A10,'Stage 2 loans'!A:D,4,FALSE),1)</f>
        <v>1</v>
      </c>
      <c r="J10" s="354">
        <f>VLOOKUP(A10,Reference_Rate_Repricing_Report!B:P,15,FALSE)</f>
        <v>5.25</v>
      </c>
      <c r="K10" s="354"/>
      <c r="L10" s="274">
        <f>IF(I10="Matured","",IFERROR(VLOOKUP(A10,'Updated Ncino PD'!$A:$B,2,FALSE),IF($Z$2="ON",IF(I10=1,VLOOKUP(A10,'MacroPD-Cal'!A:H,8,FALSE),VLOOKUP(A10,'MacroPD-Cal'!A:O,15,FALSE)),IF($Z$5="Weighted",IF(I10=1,VLOOKUP(A10,'Model Output_TTC'!A:BX,76,FALSE),VLOOKUP(A10,'Model Output_TTC'!A:CD,82,FALSE)),IF($Z$5="Baseline",IF(I10=1,VLOOKUP(A10,'Model Output_TTC'!$A:$AO,41,FALSE),VLOOKUP(A10,'Model Output_TTC'!$A:$AU,47,FALSE)),IF($Z$5="90th Percentile",IF(I10=1,VLOOKUP(A10,'Model Output_TTC'!$A:$BJ,62,FALSE),VLOOKUP(A10,'Model Output_TTC'!$A:$BP,68,FALSE)),IF($Z$5="96th Percentile",IF(I10=1,VLOOKUP(A10,'Model Output_TTC'!$A:$T,20,FALSE),VLOOKUP(A10,'Model Output_TTC'!$A:$Z,26,FALSE)),"")))))))</f>
        <v>3.5000000000000001E-3</v>
      </c>
      <c r="M10" s="274">
        <f>IF('Ref-Data'!I10="Matured","",VLOOKUP(A10,'LGD Data'!A:C,3,0))</f>
        <v>0.42289867849075702</v>
      </c>
      <c r="N10" s="274">
        <f>IF(I10="Matured","",MAX(IFERROR(VLOOKUP(A10,'Updated Ncino PD'!$U:$V,2,FALSE),'Ref-Data'!M10),10%))</f>
        <v>0.42289867849075702</v>
      </c>
      <c r="O10" s="354">
        <f>VLOOKUP(A10,'Loan Book Summary'!C:AE,29,FALSE)</f>
        <v>0</v>
      </c>
      <c r="P10" s="354"/>
      <c r="Q10" s="354">
        <f>IF(I10="Matured","",VLOOKUP(A10,'MacroPD-Cal'!A:N,14,FALSE))</f>
        <v>3.5000000000000001E-3</v>
      </c>
      <c r="R10" s="354">
        <f t="shared" si="4"/>
        <v>0</v>
      </c>
      <c r="S10" s="354">
        <f t="shared" si="5"/>
        <v>6.2614647501711156</v>
      </c>
      <c r="T10" s="354"/>
      <c r="U10" s="354"/>
      <c r="AD10" s="346" t="str">
        <f>VLOOKUP(A10,'Loan Book Summary'!C:E,3,FALSE)</f>
        <v>GRANITE BIDCO LIMITED</v>
      </c>
    </row>
    <row r="11" spans="1:30" x14ac:dyDescent="0.25">
      <c r="A11" s="354">
        <v>1100000143</v>
      </c>
      <c r="B11" s="249">
        <f>VLOOKUP(A11,'Loan Book Summary'!C:W,21,FALSE)</f>
        <v>206110.05</v>
      </c>
      <c r="C11" s="249">
        <f>VLOOKUP(A11,'Loan Book Summary'!C:AB,26,FALSE)</f>
        <v>206110.05</v>
      </c>
      <c r="D11" s="398">
        <f>VLOOKUP(A11,'Loan Book Summary'!C:Q,15,FALSE)</f>
        <v>43329</v>
      </c>
      <c r="E11" s="398">
        <f>VLOOKUP(A11,'Loan Book Summary'!C:R,16,FALSE)</f>
        <v>44943</v>
      </c>
      <c r="F11" s="354">
        <f t="shared" si="3"/>
        <v>0.63244353182751545</v>
      </c>
      <c r="G11" s="354"/>
      <c r="H11" s="354"/>
      <c r="I11" s="354">
        <f>IFERROR(VLOOKUP(A11,'Stage 2 loans'!A:D,4,FALSE),1)</f>
        <v>1</v>
      </c>
      <c r="J11" s="354">
        <f>VLOOKUP(A11,Reference_Rate_Repricing_Report!B:P,15,FALSE)</f>
        <v>9.75</v>
      </c>
      <c r="K11" s="354"/>
      <c r="L11" s="274">
        <f>IF(I11="Matured","",IFERROR(VLOOKUP(A11,'Updated Ncino PD'!$A:$B,2,FALSE),IF($Z$2="ON",IF(I11=1,VLOOKUP(A11,'MacroPD-Cal'!A:H,8,FALSE),VLOOKUP(A11,'MacroPD-Cal'!A:O,15,FALSE)),IF($Z$5="Weighted",IF(I11=1,VLOOKUP(A11,'Model Output_TTC'!A:BX,76,FALSE),VLOOKUP(A11,'Model Output_TTC'!A:CD,82,FALSE)),IF($Z$5="Baseline",IF(I11=1,VLOOKUP(A11,'Model Output_TTC'!$A:$AO,41,FALSE),VLOOKUP(A11,'Model Output_TTC'!$A:$AU,47,FALSE)),IF($Z$5="90th Percentile",IF(I11=1,VLOOKUP(A11,'Model Output_TTC'!$A:$BJ,62,FALSE),VLOOKUP(A11,'Model Output_TTC'!$A:$BP,68,FALSE)),IF($Z$5="96th Percentile",IF(I11=1,VLOOKUP(A11,'Model Output_TTC'!$A:$T,20,FALSE),VLOOKUP(A11,'Model Output_TTC'!$A:$Z,26,FALSE)),"")))))))</f>
        <v>8.8300000000000003E-2</v>
      </c>
      <c r="M11" s="274">
        <f>IF('Ref-Data'!I11="Matured","",VLOOKUP(A11,'LGD Data'!A:C,3,0))</f>
        <v>0.256405868273481</v>
      </c>
      <c r="N11" s="274">
        <f>IF(I11="Matured","",MAX(IFERROR(VLOOKUP(A11,'Updated Ncino PD'!$U:$V,2,FALSE),'Ref-Data'!M11),10%))</f>
        <v>0.256405868273481</v>
      </c>
      <c r="O11" s="354">
        <f>VLOOKUP(A11,'Loan Book Summary'!C:AE,29,FALSE)</f>
        <v>0</v>
      </c>
      <c r="P11" s="354"/>
      <c r="Q11" s="354">
        <f>IF(I11="Matured","",VLOOKUP(A11,'MacroPD-Cal'!A:N,14,FALSE))</f>
        <v>5.6789496233695891E-2</v>
      </c>
      <c r="R11" s="354">
        <f t="shared" si="4"/>
        <v>0</v>
      </c>
      <c r="S11" s="354">
        <f t="shared" si="5"/>
        <v>4.4188911704312117</v>
      </c>
      <c r="T11" s="354"/>
      <c r="U11" s="354"/>
      <c r="AD11" s="346" t="str">
        <f>VLOOKUP(A11,'Loan Book Summary'!C:E,3,FALSE)</f>
        <v>THORNROSE LIMITED</v>
      </c>
    </row>
    <row r="12" spans="1:30" x14ac:dyDescent="0.25">
      <c r="A12" s="354">
        <v>1100000153</v>
      </c>
      <c r="B12" s="249">
        <f>VLOOKUP(A12,'Loan Book Summary'!C:W,21,FALSE)</f>
        <v>40245859.899999999</v>
      </c>
      <c r="C12" s="249">
        <f>VLOOKUP(A12,'Loan Book Summary'!C:AB,26,FALSE)</f>
        <v>40245859.899999999</v>
      </c>
      <c r="D12" s="398">
        <f>VLOOKUP(A12,'Loan Book Summary'!C:Q,15,FALSE)</f>
        <v>43399</v>
      </c>
      <c r="E12" s="398">
        <f>VLOOKUP(A12,'Loan Book Summary'!C:R,16,FALSE)</f>
        <v>45225</v>
      </c>
      <c r="F12" s="354">
        <f t="shared" si="3"/>
        <v>1.4045174537987679</v>
      </c>
      <c r="G12" s="354"/>
      <c r="H12" s="354"/>
      <c r="I12" s="354">
        <f>IFERROR(VLOOKUP(A12,'Stage 2 loans'!A:D,4,FALSE),1)</f>
        <v>1</v>
      </c>
      <c r="J12" s="354">
        <f>VLOOKUP(A12,Reference_Rate_Repricing_Report!B:P,15,FALSE)</f>
        <v>5.8</v>
      </c>
      <c r="K12" s="354"/>
      <c r="L12" s="274">
        <f>IF(I12="Matured","",IFERROR(VLOOKUP(A12,'Updated Ncino PD'!$A:$B,2,FALSE),IF($Z$2="ON",IF(I12=1,VLOOKUP(A12,'MacroPD-Cal'!A:H,8,FALSE),VLOOKUP(A12,'MacroPD-Cal'!A:O,15,FALSE)),IF($Z$5="Weighted",IF(I12=1,VLOOKUP(A12,'Model Output_TTC'!A:BX,76,FALSE),VLOOKUP(A12,'Model Output_TTC'!A:CD,82,FALSE)),IF($Z$5="Baseline",IF(I12=1,VLOOKUP(A12,'Model Output_TTC'!$A:$AO,41,FALSE),VLOOKUP(A12,'Model Output_TTC'!$A:$AU,47,FALSE)),IF($Z$5="90th Percentile",IF(I12=1,VLOOKUP(A12,'Model Output_TTC'!$A:$BJ,62,FALSE),VLOOKUP(A12,'Model Output_TTC'!$A:$BP,68,FALSE)),IF($Z$5="96th Percentile",IF(I12=1,VLOOKUP(A12,'Model Output_TTC'!$A:$T,20,FALSE),VLOOKUP(A12,'Model Output_TTC'!$A:$Z,26,FALSE)),"")))))))</f>
        <v>0.1283</v>
      </c>
      <c r="M12" s="274">
        <f>IF('Ref-Data'!I12="Matured","",VLOOKUP(A12,'LGD Data'!A:C,3,0))</f>
        <v>0.1613</v>
      </c>
      <c r="N12" s="274">
        <f>IF(I12="Matured","",MAX(IFERROR(VLOOKUP(A12,'Updated Ncino PD'!$U:$V,2,FALSE),'Ref-Data'!M12),10%))</f>
        <v>0.1613</v>
      </c>
      <c r="O12" s="354">
        <f>VLOOKUP(A12,'Loan Book Summary'!C:AE,29,FALSE)</f>
        <v>0</v>
      </c>
      <c r="P12" s="354"/>
      <c r="Q12" s="354">
        <f>IF(I12="Matured","",VLOOKUP(A12,'MacroPD-Cal'!A:N,14,FALSE))</f>
        <v>0.1283</v>
      </c>
      <c r="R12" s="354">
        <f t="shared" si="4"/>
        <v>0</v>
      </c>
      <c r="S12" s="354">
        <f t="shared" si="5"/>
        <v>4.9993155373032172</v>
      </c>
      <c r="T12" s="354"/>
      <c r="U12" s="354"/>
      <c r="AD12" s="346" t="str">
        <f>VLOOKUP(A12,'Loan Book Summary'!C:E,3,FALSE)</f>
        <v>Z CHA HOLDCO LTD</v>
      </c>
    </row>
    <row r="13" spans="1:30" x14ac:dyDescent="0.25">
      <c r="A13" s="354">
        <v>1100000151</v>
      </c>
      <c r="B13" s="249">
        <f>VLOOKUP(A13,'Loan Book Summary'!C:W,21,FALSE)</f>
        <v>16818750</v>
      </c>
      <c r="C13" s="249">
        <f>VLOOKUP(A13,'Loan Book Summary'!C:AB,26,FALSE)</f>
        <v>16818750</v>
      </c>
      <c r="D13" s="398">
        <f>VLOOKUP(A13,'Loan Book Summary'!C:Q,15,FALSE)</f>
        <v>43458</v>
      </c>
      <c r="E13" s="398">
        <f>VLOOKUP(A13,'Loan Book Summary'!C:R,16,FALSE)</f>
        <v>45464</v>
      </c>
      <c r="F13" s="354">
        <f t="shared" si="3"/>
        <v>2.0588637919233403</v>
      </c>
      <c r="G13" s="354"/>
      <c r="H13" s="354"/>
      <c r="I13" s="354">
        <f>IFERROR(VLOOKUP(A13,'Stage 2 loans'!A:D,4,FALSE),1)</f>
        <v>1</v>
      </c>
      <c r="J13" s="354">
        <f>VLOOKUP(A13,Reference_Rate_Repricing_Report!B:P,15,FALSE)</f>
        <v>7.02</v>
      </c>
      <c r="K13" s="354"/>
      <c r="L13" s="274">
        <f>IF(I13="Matured","",IFERROR(VLOOKUP(A13,'Updated Ncino PD'!$A:$B,2,FALSE),IF($Z$2="ON",IF(I13=1,VLOOKUP(A13,'MacroPD-Cal'!A:H,8,FALSE),VLOOKUP(A13,'MacroPD-Cal'!A:O,15,FALSE)),IF($Z$5="Weighted",IF(I13=1,VLOOKUP(A13,'Model Output_TTC'!A:BX,76,FALSE),VLOOKUP(A13,'Model Output_TTC'!A:CD,82,FALSE)),IF($Z$5="Baseline",IF(I13=1,VLOOKUP(A13,'Model Output_TTC'!$A:$AO,41,FALSE),VLOOKUP(A13,'Model Output_TTC'!$A:$AU,47,FALSE)),IF($Z$5="90th Percentile",IF(I13=1,VLOOKUP(A13,'Model Output_TTC'!$A:$BJ,62,FALSE),VLOOKUP(A13,'Model Output_TTC'!$A:$BP,68,FALSE)),IF($Z$5="96th Percentile",IF(I13=1,VLOOKUP(A13,'Model Output_TTC'!$A:$T,20,FALSE),VLOOKUP(A13,'Model Output_TTC'!$A:$Z,26,FALSE)),"")))))))</f>
        <v>2.9000000000000002E-3</v>
      </c>
      <c r="M13" s="274">
        <f>IF('Ref-Data'!I13="Matured","",VLOOKUP(A13,'LGD Data'!A:C,3,0))</f>
        <v>0.1</v>
      </c>
      <c r="N13" s="274">
        <f>IF(I13="Matured","",MAX(IFERROR(VLOOKUP(A13,'Updated Ncino PD'!$U:$V,2,FALSE),'Ref-Data'!M13),10%))</f>
        <v>0.1</v>
      </c>
      <c r="O13" s="354">
        <f>VLOOKUP(A13,'Loan Book Summary'!C:AE,29,FALSE)</f>
        <v>0</v>
      </c>
      <c r="P13" s="354"/>
      <c r="Q13" s="354">
        <f>IF(I13="Matured","",VLOOKUP(A13,'MacroPD-Cal'!A:N,14,FALSE))</f>
        <v>2.9000000000000002E-3</v>
      </c>
      <c r="R13" s="354">
        <f t="shared" si="4"/>
        <v>0</v>
      </c>
      <c r="S13" s="354">
        <f t="shared" si="5"/>
        <v>5.4921286789869956</v>
      </c>
      <c r="T13" s="354"/>
      <c r="U13" s="354"/>
      <c r="AD13" s="346" t="str">
        <f>VLOOKUP(A13,'Loan Book Summary'!C:E,3,FALSE)</f>
        <v>CARE CONCERN MANAGEMENT OA LIMITED (f.k.a. CARE CONCERN (LEEDS) LIMITED)</v>
      </c>
    </row>
    <row r="14" spans="1:30" x14ac:dyDescent="0.25">
      <c r="A14" s="354">
        <v>1100000186</v>
      </c>
      <c r="B14" s="249">
        <f>VLOOKUP(A14,'Loan Book Summary'!C:W,21,FALSE)</f>
        <v>172500</v>
      </c>
      <c r="C14" s="249">
        <f>VLOOKUP(A14,'Loan Book Summary'!C:AB,26,FALSE)</f>
        <v>172500</v>
      </c>
      <c r="D14" s="398">
        <f>VLOOKUP(A14,'Loan Book Summary'!C:Q,15,FALSE)</f>
        <v>43563</v>
      </c>
      <c r="E14" s="398">
        <f>VLOOKUP(A14,'Loan Book Summary'!C:R,16,FALSE)</f>
        <v>45390</v>
      </c>
      <c r="F14" s="354">
        <f t="shared" si="3"/>
        <v>1.8562628336755647</v>
      </c>
      <c r="G14" s="354"/>
      <c r="H14" s="354"/>
      <c r="I14" s="354">
        <f>IFERROR(VLOOKUP(A14,'Stage 2 loans'!A:D,4,FALSE),1)</f>
        <v>1</v>
      </c>
      <c r="J14" s="354">
        <f>VLOOKUP(A14,Reference_Rate_Repricing_Report!B:P,15,FALSE)</f>
        <v>7.07</v>
      </c>
      <c r="K14" s="354"/>
      <c r="L14" s="274">
        <f>IF(I14="Matured","",IFERROR(VLOOKUP(A14,'Updated Ncino PD'!$A:$B,2,FALSE),IF($Z$2="ON",IF(I14=1,VLOOKUP(A14,'MacroPD-Cal'!A:H,8,FALSE),VLOOKUP(A14,'MacroPD-Cal'!A:O,15,FALSE)),IF($Z$5="Weighted",IF(I14=1,VLOOKUP(A14,'Model Output_TTC'!A:BX,76,FALSE),VLOOKUP(A14,'Model Output_TTC'!A:CD,82,FALSE)),IF($Z$5="Baseline",IF(I14=1,VLOOKUP(A14,'Model Output_TTC'!$A:$AO,41,FALSE),VLOOKUP(A14,'Model Output_TTC'!$A:$AU,47,FALSE)),IF($Z$5="90th Percentile",IF(I14=1,VLOOKUP(A14,'Model Output_TTC'!$A:$BJ,62,FALSE),VLOOKUP(A14,'Model Output_TTC'!$A:$BP,68,FALSE)),IF($Z$5="96th Percentile",IF(I14=1,VLOOKUP(A14,'Model Output_TTC'!$A:$T,20,FALSE),VLOOKUP(A14,'Model Output_TTC'!$A:$Z,26,FALSE)),"")))))))</f>
        <v>1.9E-3</v>
      </c>
      <c r="M14" s="274">
        <f>IF('Ref-Data'!I14="Matured","",VLOOKUP(A14,'LGD Data'!A:C,3,0))</f>
        <v>0.30073707995253063</v>
      </c>
      <c r="N14" s="274">
        <f>IF(I14="Matured","",MAX(IFERROR(VLOOKUP(A14,'Updated Ncino PD'!$U:$V,2,FALSE),'Ref-Data'!M14),10%))</f>
        <v>0.30073707995253063</v>
      </c>
      <c r="O14" s="354">
        <f>VLOOKUP(A14,'Loan Book Summary'!C:AE,29,FALSE)</f>
        <v>0</v>
      </c>
      <c r="P14" s="354"/>
      <c r="Q14" s="354">
        <f>IF(I14="Matured","",VLOOKUP(A14,'MacroPD-Cal'!A:N,14,FALSE))</f>
        <v>1.9E-3</v>
      </c>
      <c r="R14" s="354">
        <f t="shared" si="4"/>
        <v>0</v>
      </c>
      <c r="S14" s="354">
        <f t="shared" si="5"/>
        <v>5.0020533880903493</v>
      </c>
      <c r="T14" s="354"/>
      <c r="U14" s="354"/>
      <c r="AD14" s="346" t="str">
        <f>VLOOKUP(A14,'Loan Book Summary'!C:E,3,FALSE)</f>
        <v>ONCOREIT LIMITED</v>
      </c>
    </row>
    <row r="15" spans="1:30" x14ac:dyDescent="0.25">
      <c r="A15" s="354">
        <v>1100000187</v>
      </c>
      <c r="B15" s="249">
        <f>VLOOKUP(A15,'Loan Book Summary'!C:W,21,FALSE)</f>
        <v>100000</v>
      </c>
      <c r="C15" s="249">
        <f>VLOOKUP(A15,'Loan Book Summary'!C:AB,26,FALSE)</f>
        <v>0</v>
      </c>
      <c r="D15" s="398">
        <f>VLOOKUP(A15,'Loan Book Summary'!C:Q,15,FALSE)</f>
        <v>43563</v>
      </c>
      <c r="E15" s="398">
        <f>VLOOKUP(A15,'Loan Book Summary'!C:R,16,FALSE)</f>
        <v>45390</v>
      </c>
      <c r="F15" s="354">
        <f t="shared" si="3"/>
        <v>1.8562628336755647</v>
      </c>
      <c r="G15" s="354"/>
      <c r="H15" s="354"/>
      <c r="I15" s="354">
        <f>IFERROR(VLOOKUP(A15,'Stage 2 loans'!A:D,4,FALSE),1)</f>
        <v>1</v>
      </c>
      <c r="J15" s="354">
        <f>VLOOKUP(A15,Reference_Rate_Repricing_Report!B:P,15,FALSE)</f>
        <v>6.57</v>
      </c>
      <c r="K15" s="354"/>
      <c r="L15" s="274">
        <f>IF(I15="Matured","",IFERROR(VLOOKUP(A15,'Updated Ncino PD'!$A:$B,2,FALSE),IF($Z$2="ON",IF(I15=1,VLOOKUP(A15,'MacroPD-Cal'!A:H,8,FALSE),VLOOKUP(A15,'MacroPD-Cal'!A:O,15,FALSE)),IF($Z$5="Weighted",IF(I15=1,VLOOKUP(A15,'Model Output_TTC'!A:BX,76,FALSE),VLOOKUP(A15,'Model Output_TTC'!A:CD,82,FALSE)),IF($Z$5="Baseline",IF(I15=1,VLOOKUP(A15,'Model Output_TTC'!$A:$AO,41,FALSE),VLOOKUP(A15,'Model Output_TTC'!$A:$AU,47,FALSE)),IF($Z$5="90th Percentile",IF(I15=1,VLOOKUP(A15,'Model Output_TTC'!$A:$BJ,62,FALSE),VLOOKUP(A15,'Model Output_TTC'!$A:$BP,68,FALSE)),IF($Z$5="96th Percentile",IF(I15=1,VLOOKUP(A15,'Model Output_TTC'!$A:$T,20,FALSE),VLOOKUP(A15,'Model Output_TTC'!$A:$Z,26,FALSE)),"")))))))</f>
        <v>1.9E-3</v>
      </c>
      <c r="M15" s="274">
        <f>IF('Ref-Data'!I15="Matured","",VLOOKUP(A15,'LGD Data'!A:C,3,0))</f>
        <v>0.30073707995253063</v>
      </c>
      <c r="N15" s="274">
        <f>IF(I15="Matured","",MAX(IFERROR(VLOOKUP(A15,'Updated Ncino PD'!$U:$V,2,FALSE),'Ref-Data'!M15),10%))</f>
        <v>0.30073707995253063</v>
      </c>
      <c r="O15" s="354">
        <f>VLOOKUP(A15,'Loan Book Summary'!C:AE,29,FALSE)</f>
        <v>0</v>
      </c>
      <c r="P15" s="354"/>
      <c r="Q15" s="354">
        <f>IF(I15="Matured","",VLOOKUP(A15,'MacroPD-Cal'!A:N,14,FALSE))</f>
        <v>1.9E-3</v>
      </c>
      <c r="R15" s="354">
        <f t="shared" si="4"/>
        <v>0</v>
      </c>
      <c r="S15" s="354">
        <f t="shared" si="5"/>
        <v>5.0020533880903493</v>
      </c>
      <c r="T15" s="354"/>
      <c r="U15" s="354"/>
      <c r="AD15" s="346" t="str">
        <f>VLOOKUP(A15,'Loan Book Summary'!C:E,3,FALSE)</f>
        <v>ONCOREIT LIMITED</v>
      </c>
    </row>
    <row r="16" spans="1:30" x14ac:dyDescent="0.25">
      <c r="A16" s="354">
        <v>1100000171</v>
      </c>
      <c r="B16" s="249">
        <f>VLOOKUP(A16,'Loan Book Summary'!C:W,21,FALSE)</f>
        <v>4965593</v>
      </c>
      <c r="C16" s="249">
        <f>VLOOKUP(A16,'Loan Book Summary'!C:AB,26,FALSE)</f>
        <v>4965593</v>
      </c>
      <c r="D16" s="398">
        <f>VLOOKUP(A16,'Loan Book Summary'!C:Q,15,FALSE)</f>
        <v>43644</v>
      </c>
      <c r="E16" s="398">
        <f>VLOOKUP(A16,'Loan Book Summary'!C:R,16,FALSE)</f>
        <v>44837</v>
      </c>
      <c r="F16" s="354">
        <f t="shared" si="3"/>
        <v>0.34223134839151265</v>
      </c>
      <c r="G16" s="354"/>
      <c r="H16" s="354"/>
      <c r="I16" s="354">
        <f>IFERROR(VLOOKUP(A16,'Stage 2 loans'!A:D,4,FALSE),1)</f>
        <v>1</v>
      </c>
      <c r="J16" s="354">
        <f>VLOOKUP(A16,Reference_Rate_Repricing_Report!B:P,15,FALSE)</f>
        <v>6.37</v>
      </c>
      <c r="K16" s="354"/>
      <c r="L16" s="274">
        <f>IF(I16="Matured","",IFERROR(VLOOKUP(A16,'Updated Ncino PD'!$A:$B,2,FALSE),IF($Z$2="ON",IF(I16=1,VLOOKUP(A16,'MacroPD-Cal'!A:H,8,FALSE),VLOOKUP(A16,'MacroPD-Cal'!A:O,15,FALSE)),IF($Z$5="Weighted",IF(I16=1,VLOOKUP(A16,'Model Output_TTC'!A:BX,76,FALSE),VLOOKUP(A16,'Model Output_TTC'!A:CD,82,FALSE)),IF($Z$5="Baseline",IF(I16=1,VLOOKUP(A16,'Model Output_TTC'!$A:$AO,41,FALSE),VLOOKUP(A16,'Model Output_TTC'!$A:$AU,47,FALSE)),IF($Z$5="90th Percentile",IF(I16=1,VLOOKUP(A16,'Model Output_TTC'!$A:$BJ,62,FALSE),VLOOKUP(A16,'Model Output_TTC'!$A:$BP,68,FALSE)),IF($Z$5="96th Percentile",IF(I16=1,VLOOKUP(A16,'Model Output_TTC'!$A:$T,20,FALSE),VLOOKUP(A16,'Model Output_TTC'!$A:$Z,26,FALSE)),"")))))))</f>
        <v>1.4400000000000001E-2</v>
      </c>
      <c r="M16" s="274">
        <f>IF('Ref-Data'!I16="Matured","",VLOOKUP(A16,'LGD Data'!A:C,3,0))</f>
        <v>0.15</v>
      </c>
      <c r="N16" s="274">
        <f>IF(I16="Matured","",MAX(IFERROR(VLOOKUP(A16,'Updated Ncino PD'!$U:$V,2,FALSE),'Ref-Data'!M16),10%))</f>
        <v>0.15</v>
      </c>
      <c r="O16" s="354">
        <f>VLOOKUP(A16,'Loan Book Summary'!C:AE,29,FALSE)</f>
        <v>0</v>
      </c>
      <c r="P16" s="354"/>
      <c r="Q16" s="354">
        <f>IF(I16="Matured","",VLOOKUP(A16,'MacroPD-Cal'!A:N,14,FALSE))</f>
        <v>4.9516582368986928E-3</v>
      </c>
      <c r="R16" s="354">
        <f t="shared" si="4"/>
        <v>0</v>
      </c>
      <c r="S16" s="354">
        <f t="shared" si="5"/>
        <v>3.2662559890485969</v>
      </c>
      <c r="T16" s="354"/>
      <c r="U16" s="354"/>
      <c r="AD16" s="346" t="str">
        <f>VLOOKUP(A16,'Loan Book Summary'!C:E,3,FALSE)</f>
        <v>NINE GATWICK HOTEL LIMITED</v>
      </c>
    </row>
    <row r="17" spans="1:30" x14ac:dyDescent="0.25">
      <c r="A17" s="354">
        <v>1100000223</v>
      </c>
      <c r="B17" s="249">
        <f>VLOOKUP(A17,'Loan Book Summary'!C:W,21,FALSE)</f>
        <v>25500000</v>
      </c>
      <c r="C17" s="249">
        <f>VLOOKUP(A17,'Loan Book Summary'!C:AB,26,FALSE)</f>
        <v>25500000</v>
      </c>
      <c r="D17" s="398">
        <f>VLOOKUP(A17,'Loan Book Summary'!C:Q,15,FALSE)</f>
        <v>43661</v>
      </c>
      <c r="E17" s="398">
        <f>VLOOKUP(A17,'Loan Book Summary'!C:R,16,FALSE)</f>
        <v>45495</v>
      </c>
      <c r="F17" s="354">
        <f t="shared" si="3"/>
        <v>2.1437371663244353</v>
      </c>
      <c r="G17" s="354"/>
      <c r="H17" s="354"/>
      <c r="I17" s="354">
        <f>IFERROR(VLOOKUP(A17,'Stage 2 loans'!A:D,4,FALSE),1)</f>
        <v>1</v>
      </c>
      <c r="J17" s="354">
        <f>VLOOKUP(A17,Reference_Rate_Repricing_Report!B:P,15,FALSE)</f>
        <v>6.27</v>
      </c>
      <c r="K17" s="354"/>
      <c r="L17" s="274">
        <f>IF(I17="Matured","",IFERROR(VLOOKUP(A17,'Updated Ncino PD'!$A:$B,2,FALSE),IF($Z$2="ON",IF(I17=1,VLOOKUP(A17,'MacroPD-Cal'!A:H,8,FALSE),VLOOKUP(A17,'MacroPD-Cal'!A:O,15,FALSE)),IF($Z$5="Weighted",IF(I17=1,VLOOKUP(A17,'Model Output_TTC'!A:BX,76,FALSE),VLOOKUP(A17,'Model Output_TTC'!A:CD,82,FALSE)),IF($Z$5="Baseline",IF(I17=1,VLOOKUP(A17,'Model Output_TTC'!$A:$AO,41,FALSE),VLOOKUP(A17,'Model Output_TTC'!$A:$AU,47,FALSE)),IF($Z$5="90th Percentile",IF(I17=1,VLOOKUP(A17,'Model Output_TTC'!$A:$BJ,62,FALSE),VLOOKUP(A17,'Model Output_TTC'!$A:$BP,68,FALSE)),IF($Z$5="96th Percentile",IF(I17=1,VLOOKUP(A17,'Model Output_TTC'!$A:$T,20,FALSE),VLOOKUP(A17,'Model Output_TTC'!$A:$Z,26,FALSE)),"")))))))</f>
        <v>1.84E-2</v>
      </c>
      <c r="M17" s="274">
        <f>IF('Ref-Data'!I17="Matured","",VLOOKUP(A17,'LGD Data'!A:C,3,0))</f>
        <v>0.15002895299620464</v>
      </c>
      <c r="N17" s="274">
        <f>IF(I17="Matured","",MAX(IFERROR(VLOOKUP(A17,'Updated Ncino PD'!$U:$V,2,FALSE),'Ref-Data'!M17),10%))</f>
        <v>0.15002895299620464</v>
      </c>
      <c r="O17" s="354">
        <f>VLOOKUP(A17,'Loan Book Summary'!C:AE,29,FALSE)</f>
        <v>0</v>
      </c>
      <c r="P17" s="354"/>
      <c r="Q17" s="354">
        <f>IF(I17="Matured","",VLOOKUP(A17,'MacroPD-Cal'!A:N,14,FALSE))</f>
        <v>1.84E-2</v>
      </c>
      <c r="R17" s="354">
        <f t="shared" si="4"/>
        <v>0</v>
      </c>
      <c r="S17" s="354">
        <f t="shared" si="5"/>
        <v>5.0212183436002737</v>
      </c>
      <c r="T17" s="354"/>
      <c r="U17" s="354"/>
      <c r="AD17" s="346" t="str">
        <f>VLOOKUP(A17,'Loan Book Summary'!C:E,3,FALSE)</f>
        <v>HEATHCOCK COURT PROPERTY LIMITED</v>
      </c>
    </row>
    <row r="18" spans="1:30" x14ac:dyDescent="0.25">
      <c r="A18" s="354">
        <v>1100000185</v>
      </c>
      <c r="B18" s="249">
        <f>VLOOKUP(A18,'Loan Book Summary'!C:W,21,FALSE)</f>
        <v>17000000</v>
      </c>
      <c r="C18" s="249">
        <f>VLOOKUP(A18,'Loan Book Summary'!C:AB,26,FALSE)</f>
        <v>17000000</v>
      </c>
      <c r="D18" s="398">
        <f>VLOOKUP(A18,'Loan Book Summary'!C:Q,15,FALSE)</f>
        <v>43668</v>
      </c>
      <c r="E18" s="398">
        <f>VLOOKUP(A18,'Loan Book Summary'!C:R,16,FALSE)</f>
        <v>44834</v>
      </c>
      <c r="F18" s="354">
        <f t="shared" si="3"/>
        <v>0.33401779603011633</v>
      </c>
      <c r="G18" s="354"/>
      <c r="H18" s="354"/>
      <c r="I18" s="354">
        <f>IFERROR(VLOOKUP(A18,'Stage 2 loans'!A:D,4,FALSE),1)</f>
        <v>2</v>
      </c>
      <c r="J18" s="354">
        <f>VLOOKUP(A18,Reference_Rate_Repricing_Report!B:P,15,FALSE)</f>
        <v>5.71</v>
      </c>
      <c r="K18" s="354"/>
      <c r="L18" s="274">
        <f>IF(I18="Matured","",IFERROR(VLOOKUP(A18,'Updated Ncino PD'!$A:$B,2,FALSE),IF($Z$2="ON",IF(I18=1,VLOOKUP(A18,'MacroPD-Cal'!A:H,8,FALSE),VLOOKUP(A18,'MacroPD-Cal'!A:O,15,FALSE)),IF($Z$5="Weighted",IF(I18=1,VLOOKUP(A18,'Model Output_TTC'!A:BX,76,FALSE),VLOOKUP(A18,'Model Output_TTC'!A:CD,82,FALSE)),IF($Z$5="Baseline",IF(I18=1,VLOOKUP(A18,'Model Output_TTC'!$A:$AO,41,FALSE),VLOOKUP(A18,'Model Output_TTC'!$A:$AU,47,FALSE)),IF($Z$5="90th Percentile",IF(I18=1,VLOOKUP(A18,'Model Output_TTC'!$A:$BJ,62,FALSE),VLOOKUP(A18,'Model Output_TTC'!$A:$BP,68,FALSE)),IF($Z$5="96th Percentile",IF(I18=1,VLOOKUP(A18,'Model Output_TTC'!$A:$T,20,FALSE),VLOOKUP(A18,'Model Output_TTC'!$A:$Z,26,FALSE)),"")))))))</f>
        <v>0.1411</v>
      </c>
      <c r="M18" s="274">
        <f>IF('Ref-Data'!I18="Matured","",VLOOKUP(A18,'LGD Data'!A:C,3,0))</f>
        <v>0.33850601215969001</v>
      </c>
      <c r="N18" s="274">
        <f>IF(I18="Matured","",MAX(IFERROR(VLOOKUP(A18,'Updated Ncino PD'!$U:$V,2,FALSE),'Ref-Data'!M18),10%))</f>
        <v>0.33850601215969001</v>
      </c>
      <c r="O18" s="354">
        <f>VLOOKUP(A18,'Loan Book Summary'!C:AE,29,FALSE)</f>
        <v>0</v>
      </c>
      <c r="P18" s="354"/>
      <c r="Q18" s="354">
        <f>IF(I18="Matured","",VLOOKUP(A18,'MacroPD-Cal'!A:N,14,FALSE))</f>
        <v>4.9536040084954158E-2</v>
      </c>
      <c r="R18" s="354">
        <f t="shared" si="4"/>
        <v>0</v>
      </c>
      <c r="S18" s="354">
        <f t="shared" si="5"/>
        <v>3.1923340177960302</v>
      </c>
      <c r="T18" s="354"/>
      <c r="U18" s="354"/>
      <c r="AD18" s="346" t="str">
        <f>VLOOKUP(A18,'Loan Book Summary'!C:E,3,FALSE)</f>
        <v>LINCOLN PLAZA HOTEL CO LIMITED</v>
      </c>
    </row>
    <row r="19" spans="1:30" x14ac:dyDescent="0.25">
      <c r="A19" s="354">
        <v>1100000152</v>
      </c>
      <c r="B19" s="249">
        <f>VLOOKUP(A19,'Loan Book Summary'!C:W,21,FALSE)</f>
        <v>8561038</v>
      </c>
      <c r="C19" s="249">
        <f>VLOOKUP(A19,'Loan Book Summary'!C:AB,26,FALSE)</f>
        <v>8561038</v>
      </c>
      <c r="D19" s="398">
        <f>VLOOKUP(A19,'Loan Book Summary'!C:Q,15,FALSE)</f>
        <v>43669</v>
      </c>
      <c r="E19" s="398">
        <f>VLOOKUP(A19,'Loan Book Summary'!C:R,16,FALSE)</f>
        <v>45496</v>
      </c>
      <c r="F19" s="354">
        <f t="shared" si="3"/>
        <v>2.1464750171115674</v>
      </c>
      <c r="G19" s="354"/>
      <c r="H19" s="354"/>
      <c r="I19" s="354">
        <f>IFERROR(VLOOKUP(A19,'Stage 2 loans'!A:D,4,FALSE),1)</f>
        <v>1</v>
      </c>
      <c r="J19" s="354">
        <f>VLOOKUP(A19,Reference_Rate_Repricing_Report!B:P,15,FALSE)</f>
        <v>7.03</v>
      </c>
      <c r="K19" s="354"/>
      <c r="L19" s="274">
        <f>IF(I19="Matured","",IFERROR(VLOOKUP(A19,'Updated Ncino PD'!$A:$B,2,FALSE),IF($Z$2="ON",IF(I19=1,VLOOKUP(A19,'MacroPD-Cal'!A:H,8,FALSE),VLOOKUP(A19,'MacroPD-Cal'!A:O,15,FALSE)),IF($Z$5="Weighted",IF(I19=1,VLOOKUP(A19,'Model Output_TTC'!A:BX,76,FALSE),VLOOKUP(A19,'Model Output_TTC'!A:CD,82,FALSE)),IF($Z$5="Baseline",IF(I19=1,VLOOKUP(A19,'Model Output_TTC'!$A:$AO,41,FALSE),VLOOKUP(A19,'Model Output_TTC'!$A:$AU,47,FALSE)),IF($Z$5="90th Percentile",IF(I19=1,VLOOKUP(A19,'Model Output_TTC'!$A:$BJ,62,FALSE),VLOOKUP(A19,'Model Output_TTC'!$A:$BP,68,FALSE)),IF($Z$5="96th Percentile",IF(I19=1,VLOOKUP(A19,'Model Output_TTC'!$A:$T,20,FALSE),VLOOKUP(A19,'Model Output_TTC'!$A:$Z,26,FALSE)),"")))))))</f>
        <v>2.9000000000000002E-3</v>
      </c>
      <c r="M19" s="274">
        <f>IF('Ref-Data'!I19="Matured","",VLOOKUP(A19,'LGD Data'!A:C,3,0))</f>
        <v>0.1</v>
      </c>
      <c r="N19" s="274">
        <f>IF(I19="Matured","",MAX(IFERROR(VLOOKUP(A19,'Updated Ncino PD'!$U:$V,2,FALSE),'Ref-Data'!M19),10%))</f>
        <v>0.1</v>
      </c>
      <c r="O19" s="354">
        <f>VLOOKUP(A19,'Loan Book Summary'!C:AE,29,FALSE)</f>
        <v>0</v>
      </c>
      <c r="P19" s="354"/>
      <c r="Q19" s="354">
        <f>IF(I19="Matured","",VLOOKUP(A19,'MacroPD-Cal'!A:N,14,FALSE))</f>
        <v>2.9000000000000002E-3</v>
      </c>
      <c r="R19" s="354">
        <f t="shared" si="4"/>
        <v>0</v>
      </c>
      <c r="S19" s="354">
        <f t="shared" si="5"/>
        <v>5.0020533880903493</v>
      </c>
      <c r="T19" s="354"/>
      <c r="U19" s="354"/>
      <c r="AD19" s="346" t="str">
        <f>VLOOKUP(A19,'Loan Book Summary'!C:E,3,FALSE)</f>
        <v>CARE CONCERN MANAGEMENT OA LIMITED (f.k.a. CARE CONCERN (LEEDS) LIMITED)</v>
      </c>
    </row>
    <row r="20" spans="1:30" x14ac:dyDescent="0.25">
      <c r="A20" s="354">
        <v>1100000002</v>
      </c>
      <c r="B20" s="249">
        <f>VLOOKUP(A20,'Loan Book Summary'!C:W,21,FALSE)</f>
        <v>1713309.8</v>
      </c>
      <c r="C20" s="249">
        <f>VLOOKUP(A20,'Loan Book Summary'!C:AB,26,FALSE)</f>
        <v>1713309.8</v>
      </c>
      <c r="D20" s="398">
        <f>VLOOKUP(A20,'Loan Book Summary'!C:Q,15,FALSE)</f>
        <v>43714</v>
      </c>
      <c r="E20" s="398">
        <f>VLOOKUP(A20,'Loan Book Summary'!C:R,16,FALSE)</f>
        <v>45681</v>
      </c>
      <c r="F20" s="354">
        <f t="shared" si="3"/>
        <v>2.6529774127310062</v>
      </c>
      <c r="G20" s="354"/>
      <c r="H20" s="354"/>
      <c r="I20" s="354">
        <f>IFERROR(VLOOKUP(A20,'Stage 2 loans'!A:D,4,FALSE),1)</f>
        <v>1</v>
      </c>
      <c r="J20" s="354">
        <f>VLOOKUP(A20,Reference_Rate_Repricing_Report!B:P,15,FALSE)</f>
        <v>6.52</v>
      </c>
      <c r="K20" s="354"/>
      <c r="L20" s="274">
        <f>IF(I20="Matured","",IFERROR(VLOOKUP(A20,'Updated Ncino PD'!$A:$B,2,FALSE),IF($Z$2="ON",IF(I20=1,VLOOKUP(A20,'MacroPD-Cal'!A:H,8,FALSE),VLOOKUP(A20,'MacroPD-Cal'!A:O,15,FALSE)),IF($Z$5="Weighted",IF(I20=1,VLOOKUP(A20,'Model Output_TTC'!A:BX,76,FALSE),VLOOKUP(A20,'Model Output_TTC'!A:CD,82,FALSE)),IF($Z$5="Baseline",IF(I20=1,VLOOKUP(A20,'Model Output_TTC'!$A:$AO,41,FALSE),VLOOKUP(A20,'Model Output_TTC'!$A:$AU,47,FALSE)),IF($Z$5="90th Percentile",IF(I20=1,VLOOKUP(A20,'Model Output_TTC'!$A:$BJ,62,FALSE),VLOOKUP(A20,'Model Output_TTC'!$A:$BP,68,FALSE)),IF($Z$5="96th Percentile",IF(I20=1,VLOOKUP(A20,'Model Output_TTC'!$A:$T,20,FALSE),VLOOKUP(A20,'Model Output_TTC'!$A:$Z,26,FALSE)),"")))))))</f>
        <v>1.03E-2</v>
      </c>
      <c r="M20" s="274">
        <f>IF('Ref-Data'!I20="Matured","",VLOOKUP(A20,'LGD Data'!A:C,3,0))</f>
        <v>0.15</v>
      </c>
      <c r="N20" s="274">
        <f>IF(I20="Matured","",MAX(IFERROR(VLOOKUP(A20,'Updated Ncino PD'!$U:$V,2,FALSE),'Ref-Data'!M20),10%))</f>
        <v>0.15</v>
      </c>
      <c r="O20" s="354">
        <f>VLOOKUP(A20,'Loan Book Summary'!C:AE,29,FALSE)</f>
        <v>0</v>
      </c>
      <c r="P20" s="354"/>
      <c r="Q20" s="354">
        <f>IF(I20="Matured","",VLOOKUP(A20,'MacroPD-Cal'!A:N,14,FALSE))</f>
        <v>1.03E-2</v>
      </c>
      <c r="R20" s="354">
        <f t="shared" si="4"/>
        <v>0</v>
      </c>
      <c r="S20" s="354">
        <f t="shared" si="5"/>
        <v>5.3853524982888432</v>
      </c>
      <c r="T20" s="354"/>
      <c r="U20" s="354"/>
      <c r="AD20" s="346" t="str">
        <f>VLOOKUP(A20,'Loan Book Summary'!C:E,3,FALSE)</f>
        <v>SLATTERS DEVELOPMENT LIMITED</v>
      </c>
    </row>
    <row r="21" spans="1:30" x14ac:dyDescent="0.25">
      <c r="A21" s="354">
        <v>1100000202</v>
      </c>
      <c r="B21" s="249">
        <f>VLOOKUP(A21,'Loan Book Summary'!C:W,21,FALSE)</f>
        <v>1875502.42</v>
      </c>
      <c r="C21" s="249">
        <f>VLOOKUP(A21,'Loan Book Summary'!C:AB,26,FALSE)</f>
        <v>1875502.42</v>
      </c>
      <c r="D21" s="398">
        <f>VLOOKUP(A21,'Loan Book Summary'!C:Q,15,FALSE)</f>
        <v>43718</v>
      </c>
      <c r="E21" s="398">
        <f>VLOOKUP(A21,'Loan Book Summary'!C:R,16,FALSE)</f>
        <v>45650</v>
      </c>
      <c r="F21" s="354">
        <f t="shared" si="3"/>
        <v>2.5681040383299112</v>
      </c>
      <c r="G21" s="354"/>
      <c r="H21" s="354"/>
      <c r="I21" s="354">
        <f>IFERROR(VLOOKUP(A21,'Stage 2 loans'!A:D,4,FALSE),1)</f>
        <v>1</v>
      </c>
      <c r="J21" s="354">
        <f>VLOOKUP(A21,Reference_Rate_Repricing_Report!B:P,15,FALSE)</f>
        <v>6.37</v>
      </c>
      <c r="K21" s="354"/>
      <c r="L21" s="274">
        <f>IF(I21="Matured","",IFERROR(VLOOKUP(A21,'Updated Ncino PD'!$A:$B,2,FALSE),IF($Z$2="ON",IF(I21=1,VLOOKUP(A21,'MacroPD-Cal'!A:H,8,FALSE),VLOOKUP(A21,'MacroPD-Cal'!A:O,15,FALSE)),IF($Z$5="Weighted",IF(I21=1,VLOOKUP(A21,'Model Output_TTC'!A:BX,76,FALSE),VLOOKUP(A21,'Model Output_TTC'!A:CD,82,FALSE)),IF($Z$5="Baseline",IF(I21=1,VLOOKUP(A21,'Model Output_TTC'!$A:$AO,41,FALSE),VLOOKUP(A21,'Model Output_TTC'!$A:$AU,47,FALSE)),IF($Z$5="90th Percentile",IF(I21=1,VLOOKUP(A21,'Model Output_TTC'!$A:$BJ,62,FALSE),VLOOKUP(A21,'Model Output_TTC'!$A:$BP,68,FALSE)),IF($Z$5="96th Percentile",IF(I21=1,VLOOKUP(A21,'Model Output_TTC'!$A:$T,20,FALSE),VLOOKUP(A21,'Model Output_TTC'!$A:$Z,26,FALSE)),"")))))))</f>
        <v>1.7600000000000001E-2</v>
      </c>
      <c r="M21" s="274">
        <f>IF('Ref-Data'!I21="Matured","",VLOOKUP(A21,'LGD Data'!A:C,3,0))</f>
        <v>0.15</v>
      </c>
      <c r="N21" s="274">
        <f>IF(I21="Matured","",MAX(IFERROR(VLOOKUP(A21,'Updated Ncino PD'!$U:$V,2,FALSE),'Ref-Data'!M21),10%))</f>
        <v>0.15</v>
      </c>
      <c r="O21" s="354">
        <f>VLOOKUP(A21,'Loan Book Summary'!C:AE,29,FALSE)</f>
        <v>0</v>
      </c>
      <c r="P21" s="354"/>
      <c r="Q21" s="354">
        <f>IF(I21="Matured","",VLOOKUP(A21,'MacroPD-Cal'!A:N,14,FALSE))</f>
        <v>1.7600000000000001E-2</v>
      </c>
      <c r="R21" s="354">
        <f t="shared" si="4"/>
        <v>0</v>
      </c>
      <c r="S21" s="354">
        <f t="shared" si="5"/>
        <v>5.28952772073922</v>
      </c>
      <c r="T21" s="354"/>
      <c r="U21" s="354"/>
      <c r="AD21" s="346" t="str">
        <f>VLOOKUP(A21,'Loan Book Summary'!C:E,3,FALSE)</f>
        <v>ZEAL HOTEL (BRIDGWATER J23) LIMITED</v>
      </c>
    </row>
    <row r="22" spans="1:30" x14ac:dyDescent="0.25">
      <c r="A22" s="354">
        <v>1100000203</v>
      </c>
      <c r="B22" s="249">
        <f>VLOOKUP(A22,'Loan Book Summary'!C:W,21,FALSE)</f>
        <v>420249.57</v>
      </c>
      <c r="C22" s="249">
        <f>VLOOKUP(A22,'Loan Book Summary'!C:AB,26,FALSE)</f>
        <v>420249.57</v>
      </c>
      <c r="D22" s="398">
        <f>VLOOKUP(A22,'Loan Book Summary'!C:Q,15,FALSE)</f>
        <v>43749</v>
      </c>
      <c r="E22" s="398">
        <f>VLOOKUP(A22,'Loan Book Summary'!C:R,16,FALSE)</f>
        <v>45576</v>
      </c>
      <c r="F22" s="354">
        <f t="shared" si="3"/>
        <v>2.3655030800821355</v>
      </c>
      <c r="G22" s="354"/>
      <c r="H22" s="354"/>
      <c r="I22" s="354">
        <f>IFERROR(VLOOKUP(A22,'Stage 2 loans'!A:D,4,FALSE),1)</f>
        <v>1</v>
      </c>
      <c r="J22" s="354">
        <f>VLOOKUP(A22,Reference_Rate_Repricing_Report!B:P,15,FALSE)</f>
        <v>5.53</v>
      </c>
      <c r="K22" s="354"/>
      <c r="L22" s="274">
        <f>IF(I22="Matured","",IFERROR(VLOOKUP(A22,'Updated Ncino PD'!$A:$B,2,FALSE),IF($Z$2="ON",IF(I22=1,VLOOKUP(A22,'MacroPD-Cal'!A:H,8,FALSE),VLOOKUP(A22,'MacroPD-Cal'!A:O,15,FALSE)),IF($Z$5="Weighted",IF(I22=1,VLOOKUP(A22,'Model Output_TTC'!A:BX,76,FALSE),VLOOKUP(A22,'Model Output_TTC'!A:CD,82,FALSE)),IF($Z$5="Baseline",IF(I22=1,VLOOKUP(A22,'Model Output_TTC'!$A:$AO,41,FALSE),VLOOKUP(A22,'Model Output_TTC'!$A:$AU,47,FALSE)),IF($Z$5="90th Percentile",IF(I22=1,VLOOKUP(A22,'Model Output_TTC'!$A:$BJ,62,FALSE),VLOOKUP(A22,'Model Output_TTC'!$A:$BP,68,FALSE)),IF($Z$5="96th Percentile",IF(I22=1,VLOOKUP(A22,'Model Output_TTC'!$A:$T,20,FALSE),VLOOKUP(A22,'Model Output_TTC'!$A:$Z,26,FALSE)),"")))))))</f>
        <v>3.5000000000000001E-3</v>
      </c>
      <c r="M22" s="274">
        <f>IF('Ref-Data'!I22="Matured","",VLOOKUP(A22,'LGD Data'!A:C,3,0))</f>
        <v>0.28376064624326203</v>
      </c>
      <c r="N22" s="274">
        <f>IF(I22="Matured","",MAX(IFERROR(VLOOKUP(A22,'Updated Ncino PD'!$U:$V,2,FALSE),'Ref-Data'!M22),10%))</f>
        <v>0.28376064624326203</v>
      </c>
      <c r="O22" s="354">
        <f>VLOOKUP(A22,'Loan Book Summary'!C:AE,29,FALSE)</f>
        <v>0</v>
      </c>
      <c r="P22" s="354"/>
      <c r="Q22" s="354">
        <f>IF(I22="Matured","",VLOOKUP(A22,'MacroPD-Cal'!A:N,14,FALSE))</f>
        <v>3.5000000000000001E-3</v>
      </c>
      <c r="R22" s="354">
        <f t="shared" si="4"/>
        <v>0</v>
      </c>
      <c r="S22" s="354">
        <f t="shared" si="5"/>
        <v>5.0020533880903493</v>
      </c>
      <c r="T22" s="354"/>
      <c r="U22" s="354"/>
      <c r="AD22" s="346" t="str">
        <f>VLOOKUP(A22,'Loan Book Summary'!C:E,3,FALSE)</f>
        <v>CASA ITALIAN RESTAURANTS LTD</v>
      </c>
    </row>
    <row r="23" spans="1:30" x14ac:dyDescent="0.25">
      <c r="A23" s="354">
        <v>1100000184</v>
      </c>
      <c r="B23" s="249">
        <f>VLOOKUP(A23,'Loan Book Summary'!C:W,21,FALSE)</f>
        <v>5250000</v>
      </c>
      <c r="C23" s="249">
        <f>VLOOKUP(A23,'Loan Book Summary'!C:AB,26,FALSE)</f>
        <v>5250000</v>
      </c>
      <c r="D23" s="398">
        <f>VLOOKUP(A23,'Loan Book Summary'!C:Q,15,FALSE)</f>
        <v>43804</v>
      </c>
      <c r="E23" s="398">
        <f>VLOOKUP(A23,'Loan Book Summary'!C:R,16,FALSE)</f>
        <v>45631</v>
      </c>
      <c r="F23" s="354">
        <f t="shared" si="3"/>
        <v>2.516084873374401</v>
      </c>
      <c r="G23" s="354"/>
      <c r="H23" s="354"/>
      <c r="I23" s="354">
        <f>IFERROR(VLOOKUP(A23,'Stage 2 loans'!A:D,4,FALSE),1)</f>
        <v>1</v>
      </c>
      <c r="J23" s="354">
        <f>VLOOKUP(A23,Reference_Rate_Repricing_Report!B:P,15,FALSE)</f>
        <v>5.98</v>
      </c>
      <c r="K23" s="354"/>
      <c r="L23" s="274">
        <f>IF(I23="Matured","",IFERROR(VLOOKUP(A23,'Updated Ncino PD'!$A:$B,2,FALSE),IF($Z$2="ON",IF(I23=1,VLOOKUP(A23,'MacroPD-Cal'!A:H,8,FALSE),VLOOKUP(A23,'MacroPD-Cal'!A:O,15,FALSE)),IF($Z$5="Weighted",IF(I23=1,VLOOKUP(A23,'Model Output_TTC'!A:BX,76,FALSE),VLOOKUP(A23,'Model Output_TTC'!A:CD,82,FALSE)),IF($Z$5="Baseline",IF(I23=1,VLOOKUP(A23,'Model Output_TTC'!$A:$AO,41,FALSE),VLOOKUP(A23,'Model Output_TTC'!$A:$AU,47,FALSE)),IF($Z$5="90th Percentile",IF(I23=1,VLOOKUP(A23,'Model Output_TTC'!$A:$BJ,62,FALSE),VLOOKUP(A23,'Model Output_TTC'!$A:$BP,68,FALSE)),IF($Z$5="96th Percentile",IF(I23=1,VLOOKUP(A23,'Model Output_TTC'!$A:$T,20,FALSE),VLOOKUP(A23,'Model Output_TTC'!$A:$Z,26,FALSE)),"")))))))</f>
        <v>5.7600000000000005E-2</v>
      </c>
      <c r="M23" s="274">
        <f>IF('Ref-Data'!I23="Matured","",VLOOKUP(A23,'LGD Data'!A:C,3,0))</f>
        <v>0.28722729829082327</v>
      </c>
      <c r="N23" s="274">
        <f>IF(I23="Matured","",MAX(IFERROR(VLOOKUP(A23,'Updated Ncino PD'!$U:$V,2,FALSE),'Ref-Data'!M23),10%))</f>
        <v>0.28722729829082327</v>
      </c>
      <c r="O23" s="354">
        <f>VLOOKUP(A23,'Loan Book Summary'!C:AE,29,FALSE)</f>
        <v>0</v>
      </c>
      <c r="P23" s="354"/>
      <c r="Q23" s="354">
        <f>IF(I23="Matured","",VLOOKUP(A23,'MacroPD-Cal'!A:N,14,FALSE))</f>
        <v>5.7600000000000005E-2</v>
      </c>
      <c r="R23" s="354">
        <f t="shared" si="4"/>
        <v>0</v>
      </c>
      <c r="S23" s="354">
        <f t="shared" si="5"/>
        <v>5.0020533880903493</v>
      </c>
      <c r="T23" s="354"/>
      <c r="U23" s="354"/>
      <c r="AD23" s="346" t="str">
        <f>VLOOKUP(A23,'Loan Book Summary'!C:E,3,FALSE)</f>
        <v>NEPTUNE 789 LIMITED</v>
      </c>
    </row>
    <row r="24" spans="1:30" x14ac:dyDescent="0.25">
      <c r="A24" s="354">
        <v>1100000182</v>
      </c>
      <c r="B24" s="249">
        <f>VLOOKUP(A24,'Loan Book Summary'!C:W,21,FALSE)</f>
        <v>1000000</v>
      </c>
      <c r="C24" s="249">
        <f>VLOOKUP(A24,'Loan Book Summary'!C:AB,26,FALSE)</f>
        <v>0</v>
      </c>
      <c r="D24" s="398">
        <f>VLOOKUP(A24,'Loan Book Summary'!C:Q,15,FALSE)</f>
        <v>43804</v>
      </c>
      <c r="E24" s="398">
        <f>VLOOKUP(A24,'Loan Book Summary'!C:R,16,FALSE)</f>
        <v>45631</v>
      </c>
      <c r="F24" s="354">
        <f t="shared" si="3"/>
        <v>2.516084873374401</v>
      </c>
      <c r="G24" s="354"/>
      <c r="H24" s="354"/>
      <c r="I24" s="354">
        <f>IFERROR(VLOOKUP(A24,'Stage 2 loans'!A:D,4,FALSE),1)</f>
        <v>1</v>
      </c>
      <c r="J24" s="354">
        <f>VLOOKUP(A24,Reference_Rate_Repricing_Report!B:P,15,FALSE)</f>
        <v>5.98</v>
      </c>
      <c r="K24" s="354"/>
      <c r="L24" s="274">
        <f>IF(I24="Matured","",IFERROR(VLOOKUP(A24,'Updated Ncino PD'!$A:$B,2,FALSE),IF($Z$2="ON",IF(I24=1,VLOOKUP(A24,'MacroPD-Cal'!A:H,8,FALSE),VLOOKUP(A24,'MacroPD-Cal'!A:O,15,FALSE)),IF($Z$5="Weighted",IF(I24=1,VLOOKUP(A24,'Model Output_TTC'!A:BX,76,FALSE),VLOOKUP(A24,'Model Output_TTC'!A:CD,82,FALSE)),IF($Z$5="Baseline",IF(I24=1,VLOOKUP(A24,'Model Output_TTC'!$A:$AO,41,FALSE),VLOOKUP(A24,'Model Output_TTC'!$A:$AU,47,FALSE)),IF($Z$5="90th Percentile",IF(I24=1,VLOOKUP(A24,'Model Output_TTC'!$A:$BJ,62,FALSE),VLOOKUP(A24,'Model Output_TTC'!$A:$BP,68,FALSE)),IF($Z$5="96th Percentile",IF(I24=1,VLOOKUP(A24,'Model Output_TTC'!$A:$T,20,FALSE),VLOOKUP(A24,'Model Output_TTC'!$A:$Z,26,FALSE)),"")))))))</f>
        <v>5.7600000000000005E-2</v>
      </c>
      <c r="M24" s="274">
        <f>IF('Ref-Data'!I24="Matured","",VLOOKUP(A24,'LGD Data'!A:C,3,0))</f>
        <v>0.28722729829082327</v>
      </c>
      <c r="N24" s="274">
        <f>IF(I24="Matured","",MAX(IFERROR(VLOOKUP(A24,'Updated Ncino PD'!$U:$V,2,FALSE),'Ref-Data'!M24),10%))</f>
        <v>0.28722729829082327</v>
      </c>
      <c r="O24" s="354">
        <f>VLOOKUP(A24,'Loan Book Summary'!C:AE,29,FALSE)</f>
        <v>0</v>
      </c>
      <c r="P24" s="354"/>
      <c r="Q24" s="354">
        <f>IF(I24="Matured","",VLOOKUP(A24,'MacroPD-Cal'!A:N,14,FALSE))</f>
        <v>5.7600000000000005E-2</v>
      </c>
      <c r="R24" s="354">
        <f t="shared" si="4"/>
        <v>0</v>
      </c>
      <c r="S24" s="354">
        <f t="shared" si="5"/>
        <v>5.0020533880903493</v>
      </c>
      <c r="T24" s="354"/>
      <c r="U24" s="354"/>
      <c r="AD24" s="346" t="str">
        <f>VLOOKUP(A24,'Loan Book Summary'!C:E,3,FALSE)</f>
        <v>NEPTUNE 789 LIMITED</v>
      </c>
    </row>
    <row r="25" spans="1:30" x14ac:dyDescent="0.25">
      <c r="A25" s="354">
        <v>1100000130</v>
      </c>
      <c r="B25" s="249">
        <f>VLOOKUP(A25,'Loan Book Summary'!C:W,21,FALSE)</f>
        <v>2306250</v>
      </c>
      <c r="C25" s="249">
        <f>VLOOKUP(A25,'Loan Book Summary'!C:AB,26,FALSE)</f>
        <v>2306250</v>
      </c>
      <c r="D25" s="398">
        <f>VLOOKUP(A25,'Loan Book Summary'!C:Q,15,FALSE)</f>
        <v>43819</v>
      </c>
      <c r="E25" s="398">
        <f>VLOOKUP(A25,'Loan Book Summary'!C:R,16,FALSE)</f>
        <v>44732</v>
      </c>
      <c r="F25" s="354">
        <f t="shared" si="3"/>
        <v>5.4757015742642023E-2</v>
      </c>
      <c r="G25" s="354"/>
      <c r="H25" s="354"/>
      <c r="I25" s="354">
        <f>IFERROR(VLOOKUP(A25,'Stage 2 loans'!A:D,4,FALSE),1)</f>
        <v>1</v>
      </c>
      <c r="J25" s="354">
        <f>VLOOKUP(A25,Reference_Rate_Repricing_Report!B:P,15,FALSE)</f>
        <v>6.55</v>
      </c>
      <c r="K25" s="354"/>
      <c r="L25" s="274">
        <f>IF(I25="Matured","",IFERROR(VLOOKUP(A25,'Updated Ncino PD'!$A:$B,2,FALSE),IF($Z$2="ON",IF(I25=1,VLOOKUP(A25,'MacroPD-Cal'!A:H,8,FALSE),VLOOKUP(A25,'MacroPD-Cal'!A:O,15,FALSE)),IF($Z$5="Weighted",IF(I25=1,VLOOKUP(A25,'Model Output_TTC'!A:BX,76,FALSE),VLOOKUP(A25,'Model Output_TTC'!A:CD,82,FALSE)),IF($Z$5="Baseline",IF(I25=1,VLOOKUP(A25,'Model Output_TTC'!$A:$AO,41,FALSE),VLOOKUP(A25,'Model Output_TTC'!$A:$AU,47,FALSE)),IF($Z$5="90th Percentile",IF(I25=1,VLOOKUP(A25,'Model Output_TTC'!$A:$BJ,62,FALSE),VLOOKUP(A25,'Model Output_TTC'!$A:$BP,68,FALSE)),IF($Z$5="96th Percentile",IF(I25=1,VLOOKUP(A25,'Model Output_TTC'!$A:$T,20,FALSE),VLOOKUP(A25,'Model Output_TTC'!$A:$Z,26,FALSE)),"")))))))</f>
        <v>6.0000000000000001E-3</v>
      </c>
      <c r="M25" s="274">
        <f>IF('Ref-Data'!I25="Matured","",VLOOKUP(A25,'LGD Data'!A:C,3,0))</f>
        <v>0.15189421709416262</v>
      </c>
      <c r="N25" s="274">
        <f>IF(I25="Matured","",MAX(IFERROR(VLOOKUP(A25,'Updated Ncino PD'!$U:$V,2,FALSE),'Ref-Data'!M25),10%))</f>
        <v>0.15189421709416262</v>
      </c>
      <c r="O25" s="354">
        <f>VLOOKUP(A25,'Loan Book Summary'!C:AE,29,FALSE)</f>
        <v>0</v>
      </c>
      <c r="P25" s="354"/>
      <c r="Q25" s="354">
        <f>IF(I25="Matured","",VLOOKUP(A25,'MacroPD-Cal'!A:N,14,FALSE))</f>
        <v>3.2947739147037858E-4</v>
      </c>
      <c r="R25" s="354">
        <f t="shared" si="4"/>
        <v>0</v>
      </c>
      <c r="S25" s="354">
        <f t="shared" si="5"/>
        <v>2.4996577686516086</v>
      </c>
      <c r="T25" s="354"/>
      <c r="U25" s="354"/>
      <c r="AD25" s="346" t="str">
        <f>VLOOKUP(A25,'Loan Book Summary'!C:E,3,FALSE)</f>
        <v>MOORLANDS HEALTHCARE LIMITED</v>
      </c>
    </row>
    <row r="26" spans="1:30" x14ac:dyDescent="0.25">
      <c r="A26" s="354">
        <v>1100000190</v>
      </c>
      <c r="B26" s="249">
        <f>VLOOKUP(A26,'Loan Book Summary'!C:W,21,FALSE)</f>
        <v>16000000</v>
      </c>
      <c r="C26" s="249">
        <f>VLOOKUP(A26,'Loan Book Summary'!C:AB,26,FALSE)</f>
        <v>16000000</v>
      </c>
      <c r="D26" s="398">
        <f>VLOOKUP(A26,'Loan Book Summary'!C:Q,15,FALSE)</f>
        <v>43886</v>
      </c>
      <c r="E26" s="398">
        <f>VLOOKUP(A26,'Loan Book Summary'!C:R,16,FALSE)</f>
        <v>44988</v>
      </c>
      <c r="F26" s="354">
        <f t="shared" si="3"/>
        <v>0.75564681724845995</v>
      </c>
      <c r="G26" s="354"/>
      <c r="H26" s="354"/>
      <c r="I26" s="354">
        <f>IFERROR(VLOOKUP(A26,'Stage 2 loans'!A:D,4,FALSE),1)</f>
        <v>1</v>
      </c>
      <c r="J26" s="354">
        <f>VLOOKUP(A26,Reference_Rate_Repricing_Report!B:P,15,FALSE)</f>
        <v>6.25</v>
      </c>
      <c r="K26" s="354"/>
      <c r="L26" s="274">
        <f>IF(I26="Matured","",IFERROR(VLOOKUP(A26,'Updated Ncino PD'!$A:$B,2,FALSE),IF($Z$2="ON",IF(I26=1,VLOOKUP(A26,'MacroPD-Cal'!A:H,8,FALSE),VLOOKUP(A26,'MacroPD-Cal'!A:O,15,FALSE)),IF($Z$5="Weighted",IF(I26=1,VLOOKUP(A26,'Model Output_TTC'!A:BX,76,FALSE),VLOOKUP(A26,'Model Output_TTC'!A:CD,82,FALSE)),IF($Z$5="Baseline",IF(I26=1,VLOOKUP(A26,'Model Output_TTC'!$A:$AO,41,FALSE),VLOOKUP(A26,'Model Output_TTC'!$A:$AU,47,FALSE)),IF($Z$5="90th Percentile",IF(I26=1,VLOOKUP(A26,'Model Output_TTC'!$A:$BJ,62,FALSE),VLOOKUP(A26,'Model Output_TTC'!$A:$BP,68,FALSE)),IF($Z$5="96th Percentile",IF(I26=1,VLOOKUP(A26,'Model Output_TTC'!$A:$T,20,FALSE),VLOOKUP(A26,'Model Output_TTC'!$A:$Z,26,FALSE)),"")))))))</f>
        <v>2.1899999999999999E-2</v>
      </c>
      <c r="M26" s="274">
        <f>IF('Ref-Data'!I26="Matured","",VLOOKUP(A26,'LGD Data'!A:C,3,0))</f>
        <v>9.9999999999999978E-2</v>
      </c>
      <c r="N26" s="274">
        <f>IF(I26="Matured","",MAX(IFERROR(VLOOKUP(A26,'Updated Ncino PD'!$U:$V,2,FALSE),'Ref-Data'!M26),10%))</f>
        <v>0.1</v>
      </c>
      <c r="O26" s="354">
        <f>VLOOKUP(A26,'Loan Book Summary'!C:AE,29,FALSE)</f>
        <v>0</v>
      </c>
      <c r="P26" s="354"/>
      <c r="Q26" s="354">
        <f>IF(I26="Matured","",VLOOKUP(A26,'MacroPD-Cal'!A:N,14,FALSE))</f>
        <v>1.6593351253015531E-2</v>
      </c>
      <c r="R26" s="354">
        <f t="shared" si="4"/>
        <v>0</v>
      </c>
      <c r="S26" s="354">
        <f t="shared" si="5"/>
        <v>3.0171115674195756</v>
      </c>
      <c r="T26" s="354"/>
      <c r="U26" s="354"/>
      <c r="AD26" s="346" t="str">
        <f>VLOOKUP(A26,'Loan Book Summary'!C:E,3,FALSE)</f>
        <v>AP BRISTOL NUMBER 3 LIMITED</v>
      </c>
    </row>
    <row r="27" spans="1:30" x14ac:dyDescent="0.25">
      <c r="A27" s="354">
        <v>1100000191</v>
      </c>
      <c r="B27" s="249">
        <f>VLOOKUP(A27,'Loan Book Summary'!C:W,21,FALSE)</f>
        <v>3950000</v>
      </c>
      <c r="C27" s="249">
        <f>VLOOKUP(A27,'Loan Book Summary'!C:AB,26,FALSE)</f>
        <v>0</v>
      </c>
      <c r="D27" s="398">
        <f>VLOOKUP(A27,'Loan Book Summary'!C:Q,15,FALSE)</f>
        <v>43886</v>
      </c>
      <c r="E27" s="398">
        <f>VLOOKUP(A27,'Loan Book Summary'!C:R,16,FALSE)</f>
        <v>44988</v>
      </c>
      <c r="F27" s="354">
        <f t="shared" si="3"/>
        <v>0.75564681724845995</v>
      </c>
      <c r="G27" s="354"/>
      <c r="H27" s="354"/>
      <c r="I27" s="354">
        <f>IFERROR(VLOOKUP(A27,'Stage 2 loans'!A:D,4,FALSE),1)</f>
        <v>1</v>
      </c>
      <c r="J27" s="354">
        <f>VLOOKUP(A27,Reference_Rate_Repricing_Report!B:P,15,FALSE)</f>
        <v>7.25</v>
      </c>
      <c r="K27" s="354"/>
      <c r="L27" s="274">
        <f>IF(I27="Matured","",IFERROR(VLOOKUP(A27,'Updated Ncino PD'!$A:$B,2,FALSE),IF($Z$2="ON",IF(I27=1,VLOOKUP(A27,'MacroPD-Cal'!A:H,8,FALSE),VLOOKUP(A27,'MacroPD-Cal'!A:O,15,FALSE)),IF($Z$5="Weighted",IF(I27=1,VLOOKUP(A27,'Model Output_TTC'!A:BX,76,FALSE),VLOOKUP(A27,'Model Output_TTC'!A:CD,82,FALSE)),IF($Z$5="Baseline",IF(I27=1,VLOOKUP(A27,'Model Output_TTC'!$A:$AO,41,FALSE),VLOOKUP(A27,'Model Output_TTC'!$A:$AU,47,FALSE)),IF($Z$5="90th Percentile",IF(I27=1,VLOOKUP(A27,'Model Output_TTC'!$A:$BJ,62,FALSE),VLOOKUP(A27,'Model Output_TTC'!$A:$BP,68,FALSE)),IF($Z$5="96th Percentile",IF(I27=1,VLOOKUP(A27,'Model Output_TTC'!$A:$T,20,FALSE),VLOOKUP(A27,'Model Output_TTC'!$A:$Z,26,FALSE)),"")))))))</f>
        <v>2.1899999999999999E-2</v>
      </c>
      <c r="M27" s="274">
        <f>IF('Ref-Data'!I27="Matured","",VLOOKUP(A27,'LGD Data'!A:C,3,0))</f>
        <v>9.9999999999999978E-2</v>
      </c>
      <c r="N27" s="274">
        <f>IF(I27="Matured","",MAX(IFERROR(VLOOKUP(A27,'Updated Ncino PD'!$U:$V,2,FALSE),'Ref-Data'!M27),10%))</f>
        <v>0.1</v>
      </c>
      <c r="O27" s="354">
        <f>VLOOKUP(A27,'Loan Book Summary'!C:AE,29,FALSE)</f>
        <v>0</v>
      </c>
      <c r="P27" s="354"/>
      <c r="Q27" s="354">
        <f>IF(I27="Matured","",VLOOKUP(A27,'MacroPD-Cal'!A:N,14,FALSE))</f>
        <v>1.6593351253015531E-2</v>
      </c>
      <c r="R27" s="354">
        <f t="shared" si="4"/>
        <v>0</v>
      </c>
      <c r="S27" s="354">
        <f t="shared" si="5"/>
        <v>3.0171115674195756</v>
      </c>
      <c r="T27" s="354"/>
      <c r="U27" s="354"/>
      <c r="AD27" s="346" t="str">
        <f>VLOOKUP(A27,'Loan Book Summary'!C:E,3,FALSE)</f>
        <v>AP BRISTOL NUMBER 3 LIMITED</v>
      </c>
    </row>
    <row r="28" spans="1:30" x14ac:dyDescent="0.25">
      <c r="A28" s="354">
        <v>1100000004</v>
      </c>
      <c r="B28" s="249">
        <f>VLOOKUP(A28,'Loan Book Summary'!C:W,21,FALSE)</f>
        <v>1254060</v>
      </c>
      <c r="C28" s="249">
        <f>VLOOKUP(A28,'Loan Book Summary'!C:AB,26,FALSE)</f>
        <v>1254060</v>
      </c>
      <c r="D28" s="398">
        <f>VLOOKUP(A28,'Loan Book Summary'!C:Q,15,FALSE)</f>
        <v>43923</v>
      </c>
      <c r="E28" s="398">
        <f>VLOOKUP(A28,'Loan Book Summary'!C:R,16,FALSE)</f>
        <v>45930</v>
      </c>
      <c r="F28" s="354">
        <f t="shared" si="3"/>
        <v>3.3347022587268995</v>
      </c>
      <c r="G28" s="354"/>
      <c r="H28" s="354"/>
      <c r="I28" s="354">
        <f>IFERROR(VLOOKUP(A28,'Stage 2 loans'!A:D,4,FALSE),1)</f>
        <v>1</v>
      </c>
      <c r="J28" s="354">
        <f>VLOOKUP(A28,Reference_Rate_Repricing_Report!B:P,15,FALSE)</f>
        <v>7.23</v>
      </c>
      <c r="K28" s="354"/>
      <c r="L28" s="274">
        <f>IF(I28="Matured","",IFERROR(VLOOKUP(A28,'Updated Ncino PD'!$A:$B,2,FALSE),IF($Z$2="ON",IF(I28=1,VLOOKUP(A28,'MacroPD-Cal'!A:H,8,FALSE),VLOOKUP(A28,'MacroPD-Cal'!A:O,15,FALSE)),IF($Z$5="Weighted",IF(I28=1,VLOOKUP(A28,'Model Output_TTC'!A:BX,76,FALSE),VLOOKUP(A28,'Model Output_TTC'!A:CD,82,FALSE)),IF($Z$5="Baseline",IF(I28=1,VLOOKUP(A28,'Model Output_TTC'!$A:$AO,41,FALSE),VLOOKUP(A28,'Model Output_TTC'!$A:$AU,47,FALSE)),IF($Z$5="90th Percentile",IF(I28=1,VLOOKUP(A28,'Model Output_TTC'!$A:$BJ,62,FALSE),VLOOKUP(A28,'Model Output_TTC'!$A:$BP,68,FALSE)),IF($Z$5="96th Percentile",IF(I28=1,VLOOKUP(A28,'Model Output_TTC'!$A:$T,20,FALSE),VLOOKUP(A28,'Model Output_TTC'!$A:$Z,26,FALSE)),"")))))))</f>
        <v>2.6000000000000003E-3</v>
      </c>
      <c r="M28" s="274">
        <f>IF('Ref-Data'!I28="Matured","",VLOOKUP(A28,'LGD Data'!A:C,3,0))</f>
        <v>0.40369925783208194</v>
      </c>
      <c r="N28" s="274">
        <f>IF(I28="Matured","",MAX(IFERROR(VLOOKUP(A28,'Updated Ncino PD'!$U:$V,2,FALSE),'Ref-Data'!M28),10%))</f>
        <v>0.40369925783208194</v>
      </c>
      <c r="O28" s="354">
        <f>VLOOKUP(A28,'Loan Book Summary'!C:AE,29,FALSE)</f>
        <v>0</v>
      </c>
      <c r="P28" s="354"/>
      <c r="Q28" s="354">
        <f>IF(I28="Matured","",VLOOKUP(A28,'MacroPD-Cal'!A:N,14,FALSE))</f>
        <v>2.6000000000000003E-3</v>
      </c>
      <c r="R28" s="354">
        <f t="shared" si="4"/>
        <v>0</v>
      </c>
      <c r="S28" s="354">
        <f t="shared" si="5"/>
        <v>5.4948665297741277</v>
      </c>
      <c r="T28" s="354"/>
      <c r="U28" s="354"/>
      <c r="AD28" s="346" t="str">
        <f>VLOOKUP(A28,'Loan Book Summary'!C:E,3,FALSE)</f>
        <v>BASIL JAMES DEMEROUTIS</v>
      </c>
    </row>
    <row r="29" spans="1:30" x14ac:dyDescent="0.25">
      <c r="A29" s="354">
        <v>1100000005</v>
      </c>
      <c r="B29" s="249">
        <f>VLOOKUP(A29,'Loan Book Summary'!C:W,21,FALSE)</f>
        <v>2107734</v>
      </c>
      <c r="C29" s="249">
        <f>VLOOKUP(A29,'Loan Book Summary'!C:AB,26,FALSE)</f>
        <v>1865639.33</v>
      </c>
      <c r="D29" s="398">
        <f>VLOOKUP(A29,'Loan Book Summary'!C:Q,15,FALSE)</f>
        <v>43971</v>
      </c>
      <c r="E29" s="398">
        <f>VLOOKUP(A29,'Loan Book Summary'!C:R,16,FALSE)</f>
        <v>46345</v>
      </c>
      <c r="F29" s="354">
        <f t="shared" si="3"/>
        <v>4.470910335386721</v>
      </c>
      <c r="G29" s="354"/>
      <c r="H29" s="354"/>
      <c r="I29" s="354">
        <f>IFERROR(VLOOKUP(A29,'Stage 2 loans'!A:D,4,FALSE),1)</f>
        <v>1</v>
      </c>
      <c r="J29" s="354">
        <f>VLOOKUP(A29,Reference_Rate_Repricing_Report!B:P,15,FALSE)</f>
        <v>5.8</v>
      </c>
      <c r="K29" s="354"/>
      <c r="L29" s="274">
        <f>IF(I29="Matured","",IFERROR(VLOOKUP(A29,'Updated Ncino PD'!$A:$B,2,FALSE),IF($Z$2="ON",IF(I29=1,VLOOKUP(A29,'MacroPD-Cal'!A:H,8,FALSE),VLOOKUP(A29,'MacroPD-Cal'!A:O,15,FALSE)),IF($Z$5="Weighted",IF(I29=1,VLOOKUP(A29,'Model Output_TTC'!A:BX,76,FALSE),VLOOKUP(A29,'Model Output_TTC'!A:CD,82,FALSE)),IF($Z$5="Baseline",IF(I29=1,VLOOKUP(A29,'Model Output_TTC'!$A:$AO,41,FALSE),VLOOKUP(A29,'Model Output_TTC'!$A:$AU,47,FALSE)),IF($Z$5="90th Percentile",IF(I29=1,VLOOKUP(A29,'Model Output_TTC'!$A:$BJ,62,FALSE),VLOOKUP(A29,'Model Output_TTC'!$A:$BP,68,FALSE)),IF($Z$5="96th Percentile",IF(I29=1,VLOOKUP(A29,'Model Output_TTC'!$A:$T,20,FALSE),VLOOKUP(A29,'Model Output_TTC'!$A:$Z,26,FALSE)),"")))))))</f>
        <v>9.300000000000001E-3</v>
      </c>
      <c r="M29" s="274">
        <f>IF('Ref-Data'!I29="Matured","",VLOOKUP(A29,'LGD Data'!A:C,3,0))</f>
        <v>0.1</v>
      </c>
      <c r="N29" s="274">
        <f>IF(I29="Matured","",MAX(IFERROR(VLOOKUP(A29,'Updated Ncino PD'!$U:$V,2,FALSE),'Ref-Data'!M29),10%))</f>
        <v>0.1</v>
      </c>
      <c r="O29" s="354">
        <f>VLOOKUP(A29,'Loan Book Summary'!C:AE,29,FALSE)</f>
        <v>0</v>
      </c>
      <c r="P29" s="354"/>
      <c r="Q29" s="354">
        <f>IF(I29="Matured","",VLOOKUP(A29,'MacroPD-Cal'!A:N,14,FALSE))</f>
        <v>9.300000000000001E-3</v>
      </c>
      <c r="R29" s="354">
        <f t="shared" si="4"/>
        <v>0</v>
      </c>
      <c r="S29" s="354">
        <f t="shared" si="5"/>
        <v>6.4996577686516082</v>
      </c>
      <c r="T29" s="354"/>
      <c r="U29" s="354"/>
      <c r="AD29" s="346" t="str">
        <f>VLOOKUP(A29,'Loan Book Summary'!C:E,3,FALSE)</f>
        <v>KHALIDA KHALID</v>
      </c>
    </row>
    <row r="30" spans="1:30" x14ac:dyDescent="0.25">
      <c r="A30" s="354">
        <v>1200000152</v>
      </c>
      <c r="B30" s="249">
        <f>VLOOKUP(A30,'Loan Book Summary'!C:W,21,FALSE)</f>
        <v>3500000</v>
      </c>
      <c r="C30" s="249">
        <f>VLOOKUP(A30,'Loan Book Summary'!C:AB,26,FALSE)</f>
        <v>3500000</v>
      </c>
      <c r="D30" s="398">
        <f>VLOOKUP(A30,'Loan Book Summary'!C:Q,15,FALSE)</f>
        <v>43980</v>
      </c>
      <c r="E30" s="398">
        <f>VLOOKUP(A30,'Loan Book Summary'!C:R,16,FALSE)</f>
        <v>45076</v>
      </c>
      <c r="F30" s="354">
        <f t="shared" si="3"/>
        <v>0.99657768651608492</v>
      </c>
      <c r="G30" s="354"/>
      <c r="H30" s="354"/>
      <c r="I30" s="354">
        <f>IFERROR(VLOOKUP(A30,'Stage 2 loans'!A:D,4,FALSE),1)</f>
        <v>1</v>
      </c>
      <c r="J30" s="354">
        <f>VLOOKUP(A30,Reference_Rate_Repricing_Report!B:P,15,FALSE)</f>
        <v>7.59</v>
      </c>
      <c r="K30" s="354"/>
      <c r="L30" s="274">
        <f>IF(I30="Matured","",IFERROR(VLOOKUP(A30,'Updated Ncino PD'!$A:$B,2,FALSE),IF($Z$2="ON",IF(I30=1,VLOOKUP(A30,'MacroPD-Cal'!A:H,8,FALSE),VLOOKUP(A30,'MacroPD-Cal'!A:O,15,FALSE)),IF($Z$5="Weighted",IF(I30=1,VLOOKUP(A30,'Model Output_TTC'!A:BX,76,FALSE),VLOOKUP(A30,'Model Output_TTC'!A:CD,82,FALSE)),IF($Z$5="Baseline",IF(I30=1,VLOOKUP(A30,'Model Output_TTC'!$A:$AO,41,FALSE),VLOOKUP(A30,'Model Output_TTC'!$A:$AU,47,FALSE)),IF($Z$5="90th Percentile",IF(I30=1,VLOOKUP(A30,'Model Output_TTC'!$A:$BJ,62,FALSE),VLOOKUP(A30,'Model Output_TTC'!$A:$BP,68,FALSE)),IF($Z$5="96th Percentile",IF(I30=1,VLOOKUP(A30,'Model Output_TTC'!$A:$T,20,FALSE),VLOOKUP(A30,'Model Output_TTC'!$A:$Z,26,FALSE)),"")))))))</f>
        <v>2.29E-2</v>
      </c>
      <c r="M30" s="274">
        <f>IF('Ref-Data'!I30="Matured","",VLOOKUP(A30,'LGD Data'!A:C,3,0))</f>
        <v>0.1</v>
      </c>
      <c r="N30" s="274">
        <f>IF(I30="Matured","",MAX(IFERROR(VLOOKUP(A30,'Updated Ncino PD'!$U:$V,2,FALSE),'Ref-Data'!M30),10%))</f>
        <v>0.1</v>
      </c>
      <c r="O30" s="354">
        <f>VLOOKUP(A30,'Loan Book Summary'!C:AE,29,FALSE)</f>
        <v>0</v>
      </c>
      <c r="P30" s="354"/>
      <c r="Q30" s="354">
        <f>IF(I30="Matured","",VLOOKUP(A30,'MacroPD-Cal'!A:N,14,FALSE))</f>
        <v>2.2822530227254667E-2</v>
      </c>
      <c r="R30" s="354">
        <f t="shared" si="4"/>
        <v>0</v>
      </c>
      <c r="S30" s="354">
        <f t="shared" si="5"/>
        <v>3.0006844626967832</v>
      </c>
      <c r="T30" s="354"/>
      <c r="U30" s="354"/>
      <c r="AD30" s="346" t="str">
        <f>VLOOKUP(A30,'Loan Book Summary'!C:E,3,FALSE)</f>
        <v>INN COLLECTION BIDCO LIMITED</v>
      </c>
    </row>
    <row r="31" spans="1:30" x14ac:dyDescent="0.25">
      <c r="A31" s="354">
        <v>1200000128</v>
      </c>
      <c r="B31" s="249">
        <f>VLOOKUP(A31,'Loan Book Summary'!C:W,21,FALSE)</f>
        <v>1027839.57</v>
      </c>
      <c r="C31" s="249">
        <f>VLOOKUP(A31,'Loan Book Summary'!C:AB,26,FALSE)</f>
        <v>1027839.57</v>
      </c>
      <c r="D31" s="398">
        <f>VLOOKUP(A31,'Loan Book Summary'!C:Q,15,FALSE)</f>
        <v>43980</v>
      </c>
      <c r="E31" s="398">
        <f>VLOOKUP(A31,'Loan Book Summary'!C:R,16,FALSE)</f>
        <v>45426</v>
      </c>
      <c r="F31" s="354">
        <f t="shared" si="3"/>
        <v>1.9548254620123204</v>
      </c>
      <c r="G31" s="354"/>
      <c r="H31" s="354"/>
      <c r="I31" s="354">
        <f>IFERROR(VLOOKUP(A31,'Stage 2 loans'!A:D,4,FALSE),1)</f>
        <v>1</v>
      </c>
      <c r="J31" s="354">
        <f>VLOOKUP(A31,Reference_Rate_Repricing_Report!B:P,15,FALSE)</f>
        <v>2.99</v>
      </c>
      <c r="K31" s="354"/>
      <c r="L31" s="274">
        <f>IF(I31="Matured","",IFERROR(VLOOKUP(A31,'Updated Ncino PD'!$A:$B,2,FALSE),IF($Z$2="ON",IF(I31=1,VLOOKUP(A31,'MacroPD-Cal'!A:H,8,FALSE),VLOOKUP(A31,'MacroPD-Cal'!A:O,15,FALSE)),IF($Z$5="Weighted",IF(I31=1,VLOOKUP(A31,'Model Output_TTC'!A:BX,76,FALSE),VLOOKUP(A31,'Model Output_TTC'!A:CD,82,FALSE)),IF($Z$5="Baseline",IF(I31=1,VLOOKUP(A31,'Model Output_TTC'!$A:$AO,41,FALSE),VLOOKUP(A31,'Model Output_TTC'!$A:$AU,47,FALSE)),IF($Z$5="90th Percentile",IF(I31=1,VLOOKUP(A31,'Model Output_TTC'!$A:$BJ,62,FALSE),VLOOKUP(A31,'Model Output_TTC'!$A:$BP,68,FALSE)),IF($Z$5="96th Percentile",IF(I31=1,VLOOKUP(A31,'Model Output_TTC'!$A:$T,20,FALSE),VLOOKUP(A31,'Model Output_TTC'!$A:$Z,26,FALSE)),"")))))))</f>
        <v>9.9000000000000008E-3</v>
      </c>
      <c r="M31" s="274">
        <f>IF('Ref-Data'!I31="Matured","",VLOOKUP(A31,'LGD Data'!A:C,3,0))</f>
        <v>0.34429999999999999</v>
      </c>
      <c r="N31" s="274">
        <f>IF(I31="Matured","",MAX(IFERROR(VLOOKUP(A31,'Updated Ncino PD'!$U:$V,2,FALSE),'Ref-Data'!M31),10%))</f>
        <v>0.34429999999999999</v>
      </c>
      <c r="O31" s="354">
        <f>VLOOKUP(A31,'Loan Book Summary'!C:AE,29,FALSE)</f>
        <v>0</v>
      </c>
      <c r="P31" s="354"/>
      <c r="Q31" s="354">
        <f>IF(I31="Matured","",VLOOKUP(A31,'MacroPD-Cal'!A:N,14,FALSE))</f>
        <v>9.9000000000000008E-3</v>
      </c>
      <c r="R31" s="354">
        <f t="shared" si="4"/>
        <v>0</v>
      </c>
      <c r="S31" s="354">
        <f t="shared" si="5"/>
        <v>3.9589322381930185</v>
      </c>
      <c r="T31" s="354"/>
      <c r="U31" s="354"/>
      <c r="AD31" s="346" t="str">
        <f>VLOOKUP(A31,'Loan Book Summary'!C:E,3,FALSE)</f>
        <v>+VENTURE BATTERSEA LIMITED</v>
      </c>
    </row>
    <row r="32" spans="1:30" x14ac:dyDescent="0.25">
      <c r="A32" s="354">
        <v>1200000130</v>
      </c>
      <c r="B32" s="249">
        <f>VLOOKUP(A32,'Loan Book Summary'!C:W,21,FALSE)</f>
        <v>1974999.96</v>
      </c>
      <c r="C32" s="249">
        <f>VLOOKUP(A32,'Loan Book Summary'!C:AB,26,FALSE)</f>
        <v>1974999.96</v>
      </c>
      <c r="D32" s="398">
        <f>VLOOKUP(A32,'Loan Book Summary'!C:Q,15,FALSE)</f>
        <v>43980</v>
      </c>
      <c r="E32" s="398">
        <f>VLOOKUP(A32,'Loan Book Summary'!C:R,16,FALSE)</f>
        <v>45426</v>
      </c>
      <c r="F32" s="354">
        <f t="shared" si="3"/>
        <v>1.9548254620123204</v>
      </c>
      <c r="G32" s="354"/>
      <c r="H32" s="354"/>
      <c r="I32" s="354">
        <f>IFERROR(VLOOKUP(A32,'Stage 2 loans'!A:D,4,FALSE),1)</f>
        <v>1</v>
      </c>
      <c r="J32" s="354">
        <f>VLOOKUP(A32,Reference_Rate_Repricing_Report!B:P,15,FALSE)</f>
        <v>3.38</v>
      </c>
      <c r="K32" s="354"/>
      <c r="L32" s="274">
        <f>IF(I32="Matured","",IFERROR(VLOOKUP(A32,'Updated Ncino PD'!$A:$B,2,FALSE),IF($Z$2="ON",IF(I32=1,VLOOKUP(A32,'MacroPD-Cal'!A:H,8,FALSE),VLOOKUP(A32,'MacroPD-Cal'!A:O,15,FALSE)),IF($Z$5="Weighted",IF(I32=1,VLOOKUP(A32,'Model Output_TTC'!A:BX,76,FALSE),VLOOKUP(A32,'Model Output_TTC'!A:CD,82,FALSE)),IF($Z$5="Baseline",IF(I32=1,VLOOKUP(A32,'Model Output_TTC'!$A:$AO,41,FALSE),VLOOKUP(A32,'Model Output_TTC'!$A:$AU,47,FALSE)),IF($Z$5="90th Percentile",IF(I32=1,VLOOKUP(A32,'Model Output_TTC'!$A:$BJ,62,FALSE),VLOOKUP(A32,'Model Output_TTC'!$A:$BP,68,FALSE)),IF($Z$5="96th Percentile",IF(I32=1,VLOOKUP(A32,'Model Output_TTC'!$A:$T,20,FALSE),VLOOKUP(A32,'Model Output_TTC'!$A:$Z,26,FALSE)),"")))))))</f>
        <v>9.9000000000000008E-3</v>
      </c>
      <c r="M32" s="274">
        <f>IF('Ref-Data'!I32="Matured","",VLOOKUP(A32,'LGD Data'!A:C,3,0))</f>
        <v>0.34429999999999999</v>
      </c>
      <c r="N32" s="274">
        <f>IF(I32="Matured","",MAX(IFERROR(VLOOKUP(A32,'Updated Ncino PD'!$U:$V,2,FALSE),'Ref-Data'!M32),10%))</f>
        <v>0.34429999999999999</v>
      </c>
      <c r="O32" s="354">
        <f>VLOOKUP(A32,'Loan Book Summary'!C:AE,29,FALSE)</f>
        <v>0</v>
      </c>
      <c r="P32" s="354"/>
      <c r="Q32" s="354">
        <f>IF(I32="Matured","",VLOOKUP(A32,'MacroPD-Cal'!A:N,14,FALSE))</f>
        <v>9.9000000000000008E-3</v>
      </c>
      <c r="R32" s="354">
        <f t="shared" si="4"/>
        <v>0</v>
      </c>
      <c r="S32" s="354">
        <f t="shared" si="5"/>
        <v>3.9589322381930185</v>
      </c>
      <c r="T32" s="354"/>
      <c r="U32" s="354"/>
      <c r="AD32" s="346" t="str">
        <f>VLOOKUP(A32,'Loan Book Summary'!C:E,3,FALSE)</f>
        <v>+VENTURE BATTERSEA LIMITED</v>
      </c>
    </row>
    <row r="33" spans="1:30" x14ac:dyDescent="0.25">
      <c r="A33" s="354">
        <v>1200000001</v>
      </c>
      <c r="B33" s="249">
        <f>VLOOKUP(A33,'Loan Book Summary'!C:W,21,FALSE)</f>
        <v>529567.98</v>
      </c>
      <c r="C33" s="249">
        <f>VLOOKUP(A33,'Loan Book Summary'!C:AB,26,FALSE)</f>
        <v>529567.98</v>
      </c>
      <c r="D33" s="398">
        <f>VLOOKUP(A33,'Loan Book Summary'!C:Q,15,FALSE)</f>
        <v>43987</v>
      </c>
      <c r="E33" s="398">
        <f>VLOOKUP(A33,'Loan Book Summary'!C:R,16,FALSE)</f>
        <v>45576</v>
      </c>
      <c r="F33" s="354">
        <f t="shared" si="3"/>
        <v>2.3655030800821355</v>
      </c>
      <c r="G33" s="354"/>
      <c r="H33" s="354"/>
      <c r="I33" s="354">
        <f>IFERROR(VLOOKUP(A33,'Stage 2 loans'!A:D,4,FALSE),1)</f>
        <v>1</v>
      </c>
      <c r="J33" s="354">
        <f>VLOOKUP(A33,Reference_Rate_Repricing_Report!B:P,15,FALSE)</f>
        <v>6.28</v>
      </c>
      <c r="K33" s="354"/>
      <c r="L33" s="274">
        <f>IF(I33="Matured","",IFERROR(VLOOKUP(A33,'Updated Ncino PD'!$A:$B,2,FALSE),IF($Z$2="ON",IF(I33=1,VLOOKUP(A33,'MacroPD-Cal'!A:H,8,FALSE),VLOOKUP(A33,'MacroPD-Cal'!A:O,15,FALSE)),IF($Z$5="Weighted",IF(I33=1,VLOOKUP(A33,'Model Output_TTC'!A:BX,76,FALSE),VLOOKUP(A33,'Model Output_TTC'!A:CD,82,FALSE)),IF($Z$5="Baseline",IF(I33=1,VLOOKUP(A33,'Model Output_TTC'!$A:$AO,41,FALSE),VLOOKUP(A33,'Model Output_TTC'!$A:$AU,47,FALSE)),IF($Z$5="90th Percentile",IF(I33=1,VLOOKUP(A33,'Model Output_TTC'!$A:$BJ,62,FALSE),VLOOKUP(A33,'Model Output_TTC'!$A:$BP,68,FALSE)),IF($Z$5="96th Percentile",IF(I33=1,VLOOKUP(A33,'Model Output_TTC'!$A:$T,20,FALSE),VLOOKUP(A33,'Model Output_TTC'!$A:$Z,26,FALSE)),"")))))))</f>
        <v>3.5000000000000001E-3</v>
      </c>
      <c r="M33" s="274">
        <f>IF('Ref-Data'!I33="Matured","",VLOOKUP(A33,'LGD Data'!A:C,3,0))</f>
        <v>0.2</v>
      </c>
      <c r="N33" s="274">
        <f>IF(I33="Matured","",MAX(IFERROR(VLOOKUP(A33,'Updated Ncino PD'!$U:$V,2,FALSE),'Ref-Data'!M33),10%))</f>
        <v>0.2</v>
      </c>
      <c r="O33" s="354">
        <f>VLOOKUP(A33,'Loan Book Summary'!C:AE,29,FALSE)</f>
        <v>0</v>
      </c>
      <c r="P33" s="354"/>
      <c r="Q33" s="354">
        <f>IF(I33="Matured","",VLOOKUP(A33,'MacroPD-Cal'!A:N,14,FALSE))</f>
        <v>3.5000000000000001E-3</v>
      </c>
      <c r="R33" s="354">
        <f t="shared" si="4"/>
        <v>0</v>
      </c>
      <c r="S33" s="354">
        <f t="shared" si="5"/>
        <v>4.3504449007529091</v>
      </c>
      <c r="T33" s="354"/>
      <c r="U33" s="354"/>
      <c r="AD33" s="346" t="str">
        <f>VLOOKUP(A33,'Loan Book Summary'!C:E,3,FALSE)</f>
        <v>CASA ITALIAN RESTAURANTS LTD</v>
      </c>
    </row>
    <row r="34" spans="1:30" x14ac:dyDescent="0.25">
      <c r="A34" s="354">
        <v>1200000131</v>
      </c>
      <c r="B34" s="249">
        <f>VLOOKUP(A34,'Loan Book Summary'!C:W,21,FALSE)</f>
        <v>4262424.9000000004</v>
      </c>
      <c r="C34" s="249">
        <f>VLOOKUP(A34,'Loan Book Summary'!C:AB,26,FALSE)</f>
        <v>4262424.9000000004</v>
      </c>
      <c r="D34" s="398">
        <f>VLOOKUP(A34,'Loan Book Summary'!C:Q,15,FALSE)</f>
        <v>43997</v>
      </c>
      <c r="E34" s="398">
        <f>VLOOKUP(A34,'Loan Book Summary'!C:R,16,FALSE)</f>
        <v>46174</v>
      </c>
      <c r="F34" s="354">
        <f t="shared" si="3"/>
        <v>4.0027378507871321</v>
      </c>
      <c r="G34" s="354"/>
      <c r="H34" s="354"/>
      <c r="I34" s="354">
        <f>IFERROR(VLOOKUP(A34,'Stage 2 loans'!A:D,4,FALSE),1)</f>
        <v>1</v>
      </c>
      <c r="J34" s="354">
        <f>VLOOKUP(A34,Reference_Rate_Repricing_Report!B:P,15,FALSE)</f>
        <v>7.67</v>
      </c>
      <c r="K34" s="354"/>
      <c r="L34" s="274">
        <f>IF(I34="Matured","",IFERROR(VLOOKUP(A34,'Updated Ncino PD'!$A:$B,2,FALSE),IF($Z$2="ON",IF(I34=1,VLOOKUP(A34,'MacroPD-Cal'!A:H,8,FALSE),VLOOKUP(A34,'MacroPD-Cal'!A:O,15,FALSE)),IF($Z$5="Weighted",IF(I34=1,VLOOKUP(A34,'Model Output_TTC'!A:BX,76,FALSE),VLOOKUP(A34,'Model Output_TTC'!A:CD,82,FALSE)),IF($Z$5="Baseline",IF(I34=1,VLOOKUP(A34,'Model Output_TTC'!$A:$AO,41,FALSE),VLOOKUP(A34,'Model Output_TTC'!$A:$AU,47,FALSE)),IF($Z$5="90th Percentile",IF(I34=1,VLOOKUP(A34,'Model Output_TTC'!$A:$BJ,62,FALSE),VLOOKUP(A34,'Model Output_TTC'!$A:$BP,68,FALSE)),IF($Z$5="96th Percentile",IF(I34=1,VLOOKUP(A34,'Model Output_TTC'!$A:$T,20,FALSE),VLOOKUP(A34,'Model Output_TTC'!$A:$Z,26,FALSE)),"")))))))</f>
        <v>1.4400000000000001E-2</v>
      </c>
      <c r="M34" s="274">
        <f>IF('Ref-Data'!I34="Matured","",VLOOKUP(A34,'LGD Data'!A:C,3,0))</f>
        <v>0.15</v>
      </c>
      <c r="N34" s="274">
        <f>IF(I34="Matured","",MAX(IFERROR(VLOOKUP(A34,'Updated Ncino PD'!$U:$V,2,FALSE),'Ref-Data'!M34),10%))</f>
        <v>0.15</v>
      </c>
      <c r="O34" s="354">
        <f>VLOOKUP(A34,'Loan Book Summary'!C:AE,29,FALSE)</f>
        <v>0</v>
      </c>
      <c r="P34" s="354"/>
      <c r="Q34" s="354">
        <f>IF(I34="Matured","",VLOOKUP(A34,'MacroPD-Cal'!A:N,14,FALSE))</f>
        <v>1.4400000000000001E-2</v>
      </c>
      <c r="R34" s="354">
        <f t="shared" si="4"/>
        <v>0</v>
      </c>
      <c r="S34" s="354">
        <f t="shared" si="5"/>
        <v>5.9603011635865846</v>
      </c>
      <c r="T34" s="354"/>
      <c r="U34" s="354"/>
      <c r="AD34" s="346" t="str">
        <f>VLOOKUP(A34,'Loan Book Summary'!C:E,3,FALSE)</f>
        <v>NINE GATWICK HOTEL LIMITED</v>
      </c>
    </row>
    <row r="35" spans="1:30" x14ac:dyDescent="0.25">
      <c r="A35" s="354">
        <v>1200000149</v>
      </c>
      <c r="B35" s="249">
        <f>VLOOKUP(A35,'Loan Book Summary'!C:W,21,FALSE)</f>
        <v>998648</v>
      </c>
      <c r="C35" s="249">
        <f>VLOOKUP(A35,'Loan Book Summary'!C:AB,26,FALSE)</f>
        <v>998648</v>
      </c>
      <c r="D35" s="398">
        <f>VLOOKUP(A35,'Loan Book Summary'!C:Q,15,FALSE)</f>
        <v>43999</v>
      </c>
      <c r="E35" s="398">
        <f>VLOOKUP(A35,'Loan Book Summary'!C:R,16,FALSE)</f>
        <v>46190</v>
      </c>
      <c r="F35" s="354">
        <f t="shared" si="3"/>
        <v>4.046543463381246</v>
      </c>
      <c r="G35" s="354"/>
      <c r="H35" s="354"/>
      <c r="I35" s="354">
        <f>IFERROR(VLOOKUP(A35,'Stage 2 loans'!A:D,4,FALSE),1)</f>
        <v>1</v>
      </c>
      <c r="J35" s="354">
        <f>VLOOKUP(A35,Reference_Rate_Repricing_Report!B:P,15,FALSE)</f>
        <v>7.9</v>
      </c>
      <c r="K35" s="354"/>
      <c r="L35" s="274">
        <f>IF(I35="Matured","",IFERROR(VLOOKUP(A35,'Updated Ncino PD'!$A:$B,2,FALSE),IF($Z$2="ON",IF(I35=1,VLOOKUP(A35,'MacroPD-Cal'!A:H,8,FALSE),VLOOKUP(A35,'MacroPD-Cal'!A:O,15,FALSE)),IF($Z$5="Weighted",IF(I35=1,VLOOKUP(A35,'Model Output_TTC'!A:BX,76,FALSE),VLOOKUP(A35,'Model Output_TTC'!A:CD,82,FALSE)),IF($Z$5="Baseline",IF(I35=1,VLOOKUP(A35,'Model Output_TTC'!$A:$AO,41,FALSE),VLOOKUP(A35,'Model Output_TTC'!$A:$AU,47,FALSE)),IF($Z$5="90th Percentile",IF(I35=1,VLOOKUP(A35,'Model Output_TTC'!$A:$BJ,62,FALSE),VLOOKUP(A35,'Model Output_TTC'!$A:$BP,68,FALSE)),IF($Z$5="96th Percentile",IF(I35=1,VLOOKUP(A35,'Model Output_TTC'!$A:$T,20,FALSE),VLOOKUP(A35,'Model Output_TTC'!$A:$Z,26,FALSE)),"")))))))</f>
        <v>1.03E-2</v>
      </c>
      <c r="M35" s="274">
        <f>IF('Ref-Data'!I35="Matured","",VLOOKUP(A35,'LGD Data'!A:C,3,0))</f>
        <v>0.2</v>
      </c>
      <c r="N35" s="274">
        <f>IF(I35="Matured","",MAX(IFERROR(VLOOKUP(A35,'Updated Ncino PD'!$U:$V,2,FALSE),'Ref-Data'!M35),10%))</f>
        <v>0.2</v>
      </c>
      <c r="O35" s="354">
        <f>VLOOKUP(A35,'Loan Book Summary'!C:AE,29,FALSE)</f>
        <v>0</v>
      </c>
      <c r="P35" s="354"/>
      <c r="Q35" s="354">
        <f>IF(I35="Matured","",VLOOKUP(A35,'MacroPD-Cal'!A:N,14,FALSE))</f>
        <v>1.03E-2</v>
      </c>
      <c r="R35" s="354">
        <f t="shared" si="4"/>
        <v>0</v>
      </c>
      <c r="S35" s="354">
        <f t="shared" si="5"/>
        <v>5.9986310746064335</v>
      </c>
      <c r="T35" s="354"/>
      <c r="U35" s="354"/>
      <c r="AD35" s="346" t="str">
        <f>VLOOKUP(A35,'Loan Book Summary'!C:E,3,FALSE)</f>
        <v>INCEPTION VENTURES GROUP LIMITED &amp; BEDFORD STREET BAR TRADING LIMITED &amp; NEWMAN STREET BAR TRADING LIMITED &amp; BROADGATE CIRCLE  BAR TRADING LIMITED</v>
      </c>
    </row>
    <row r="36" spans="1:30" x14ac:dyDescent="0.25">
      <c r="A36" s="354">
        <v>1200000148</v>
      </c>
      <c r="B36" s="249">
        <f>VLOOKUP(A36,'Loan Book Summary'!C:W,21,FALSE)</f>
        <v>2000000</v>
      </c>
      <c r="C36" s="249">
        <f>VLOOKUP(A36,'Loan Book Summary'!C:AB,26,FALSE)</f>
        <v>2000000</v>
      </c>
      <c r="D36" s="398">
        <f>VLOOKUP(A36,'Loan Book Summary'!C:Q,15,FALSE)</f>
        <v>43999</v>
      </c>
      <c r="E36" s="398">
        <f>VLOOKUP(A36,'Loan Book Summary'!C:R,16,FALSE)</f>
        <v>46190</v>
      </c>
      <c r="F36" s="354">
        <f t="shared" si="3"/>
        <v>4.046543463381246</v>
      </c>
      <c r="G36" s="354"/>
      <c r="H36" s="354"/>
      <c r="I36" s="354">
        <f>IFERROR(VLOOKUP(A36,'Stage 2 loans'!A:D,4,FALSE),1)</f>
        <v>1</v>
      </c>
      <c r="J36" s="354">
        <f>VLOOKUP(A36,Reference_Rate_Repricing_Report!B:P,15,FALSE)</f>
        <v>8.5500000000000007</v>
      </c>
      <c r="K36" s="354"/>
      <c r="L36" s="274">
        <f>IF(I36="Matured","",IFERROR(VLOOKUP(A36,'Updated Ncino PD'!$A:$B,2,FALSE),IF($Z$2="ON",IF(I36=1,VLOOKUP(A36,'MacroPD-Cal'!A:H,8,FALSE),VLOOKUP(A36,'MacroPD-Cal'!A:O,15,FALSE)),IF($Z$5="Weighted",IF(I36=1,VLOOKUP(A36,'Model Output_TTC'!A:BX,76,FALSE),VLOOKUP(A36,'Model Output_TTC'!A:CD,82,FALSE)),IF($Z$5="Baseline",IF(I36=1,VLOOKUP(A36,'Model Output_TTC'!$A:$AO,41,FALSE),VLOOKUP(A36,'Model Output_TTC'!$A:$AU,47,FALSE)),IF($Z$5="90th Percentile",IF(I36=1,VLOOKUP(A36,'Model Output_TTC'!$A:$BJ,62,FALSE),VLOOKUP(A36,'Model Output_TTC'!$A:$BP,68,FALSE)),IF($Z$5="96th Percentile",IF(I36=1,VLOOKUP(A36,'Model Output_TTC'!$A:$T,20,FALSE),VLOOKUP(A36,'Model Output_TTC'!$A:$Z,26,FALSE)),"")))))))</f>
        <v>1.03E-2</v>
      </c>
      <c r="M36" s="274">
        <f>IF('Ref-Data'!I36="Matured","",VLOOKUP(A36,'LGD Data'!A:C,3,0))</f>
        <v>0.2</v>
      </c>
      <c r="N36" s="274">
        <f>IF(I36="Matured","",MAX(IFERROR(VLOOKUP(A36,'Updated Ncino PD'!$U:$V,2,FALSE),'Ref-Data'!M36),10%))</f>
        <v>0.2</v>
      </c>
      <c r="O36" s="354">
        <f>VLOOKUP(A36,'Loan Book Summary'!C:AE,29,FALSE)</f>
        <v>0</v>
      </c>
      <c r="P36" s="354"/>
      <c r="Q36" s="354">
        <f>IF(I36="Matured","",VLOOKUP(A36,'MacroPD-Cal'!A:N,14,FALSE))</f>
        <v>1.03E-2</v>
      </c>
      <c r="R36" s="354">
        <f t="shared" si="4"/>
        <v>0</v>
      </c>
      <c r="S36" s="354">
        <f t="shared" si="5"/>
        <v>5.9986310746064335</v>
      </c>
      <c r="T36" s="354"/>
      <c r="U36" s="354"/>
      <c r="AD36" s="346" t="str">
        <f>VLOOKUP(A36,'Loan Book Summary'!C:E,3,FALSE)</f>
        <v>INCEPTION VENTURES GROUP LIMITED &amp; BEDFORD STREET BAR TRADING LIMITED &amp; NEWMAN STREET BAR TRADING LIMITED &amp; BROADGATE CIRCLE  BAR TRADING LIMITED</v>
      </c>
    </row>
    <row r="37" spans="1:30" x14ac:dyDescent="0.25">
      <c r="A37" s="354">
        <v>1200000125</v>
      </c>
      <c r="B37" s="249">
        <f>VLOOKUP(A37,'Loan Book Summary'!C:W,21,FALSE)</f>
        <v>980000</v>
      </c>
      <c r="C37" s="249">
        <f>VLOOKUP(A37,'Loan Book Summary'!C:AB,26,FALSE)</f>
        <v>980000</v>
      </c>
      <c r="D37" s="398">
        <f>VLOOKUP(A37,'Loan Book Summary'!C:Q,15,FALSE)</f>
        <v>44007</v>
      </c>
      <c r="E37" s="398">
        <f>VLOOKUP(A37,'Loan Book Summary'!C:R,16,FALSE)</f>
        <v>45810</v>
      </c>
      <c r="F37" s="354">
        <f t="shared" ref="F37:F63" si="6">IF(I37="Matured", "",(E37-$X$1)/365.25)</f>
        <v>3.0061601642710474</v>
      </c>
      <c r="G37" s="354"/>
      <c r="H37" s="354"/>
      <c r="I37" s="354">
        <f>IFERROR(VLOOKUP(A37,'Stage 2 loans'!A:D,4,FALSE),1)</f>
        <v>1</v>
      </c>
      <c r="J37" s="354">
        <f>VLOOKUP(A37,Reference_Rate_Repricing_Report!B:P,15,FALSE)</f>
        <v>7.9</v>
      </c>
      <c r="K37" s="354"/>
      <c r="L37" s="274">
        <f>IF(I37="Matured","",IFERROR(VLOOKUP(A37,'Updated Ncino PD'!$A:$B,2,FALSE),IF($Z$2="ON",IF(I37=1,VLOOKUP(A37,'MacroPD-Cal'!A:H,8,FALSE),VLOOKUP(A37,'MacroPD-Cal'!A:O,15,FALSE)),IF($Z$5="Weighted",IF(I37=1,VLOOKUP(A37,'Model Output_TTC'!A:BX,76,FALSE),VLOOKUP(A37,'Model Output_TTC'!A:CD,82,FALSE)),IF($Z$5="Baseline",IF(I37=1,VLOOKUP(A37,'Model Output_TTC'!$A:$AO,41,FALSE),VLOOKUP(A37,'Model Output_TTC'!$A:$AU,47,FALSE)),IF($Z$5="90th Percentile",IF(I37=1,VLOOKUP(A37,'Model Output_TTC'!$A:$BJ,62,FALSE),VLOOKUP(A37,'Model Output_TTC'!$A:$BP,68,FALSE)),IF($Z$5="96th Percentile",IF(I37=1,VLOOKUP(A37,'Model Output_TTC'!$A:$T,20,FALSE),VLOOKUP(A37,'Model Output_TTC'!$A:$Z,26,FALSE)),"")))))))</f>
        <v>1.9599999999999999E-2</v>
      </c>
      <c r="M37" s="274">
        <f>IF('Ref-Data'!I37="Matured","",VLOOKUP(A37,'LGD Data'!A:C,3,0))</f>
        <v>0.44259999999999999</v>
      </c>
      <c r="N37" s="274">
        <f>IF(I37="Matured","",MAX(IFERROR(VLOOKUP(A37,'Updated Ncino PD'!$U:$V,2,FALSE),'Ref-Data'!M37),10%))</f>
        <v>0.44259999999999999</v>
      </c>
      <c r="O37" s="354">
        <f>VLOOKUP(A37,'Loan Book Summary'!C:AE,29,FALSE)</f>
        <v>0</v>
      </c>
      <c r="P37" s="354"/>
      <c r="Q37" s="354">
        <f>IF(I37="Matured","",VLOOKUP(A37,'MacroPD-Cal'!A:N,14,FALSE))</f>
        <v>1.9599999999999999E-2</v>
      </c>
      <c r="R37" s="354">
        <f t="shared" ref="R37:R63" si="7">IF(I37="Matured","",+IF(S37&gt;=1,0.5*L37*N37*O37,0.2*L37*N37*O37))</f>
        <v>0</v>
      </c>
      <c r="S37" s="354">
        <f t="shared" ref="S37:S63" si="8">IF(I37="Matured","",(E37-D37)/365.25)</f>
        <v>4.9363449691991788</v>
      </c>
      <c r="T37" s="354"/>
      <c r="U37" s="354"/>
      <c r="AD37" s="346" t="str">
        <f>VLOOKUP(A37,'Loan Book Summary'!C:E,3,FALSE)</f>
        <v>DAISY GREEN FOOD LIMITED</v>
      </c>
    </row>
    <row r="38" spans="1:30" x14ac:dyDescent="0.25">
      <c r="A38" s="354">
        <v>1200000124</v>
      </c>
      <c r="B38" s="249">
        <f>VLOOKUP(A38,'Loan Book Summary'!C:W,21,FALSE)</f>
        <v>750000</v>
      </c>
      <c r="C38" s="249">
        <f>VLOOKUP(A38,'Loan Book Summary'!C:AB,26,FALSE)</f>
        <v>750000</v>
      </c>
      <c r="D38" s="398">
        <f>VLOOKUP(A38,'Loan Book Summary'!C:Q,15,FALSE)</f>
        <v>44007</v>
      </c>
      <c r="E38" s="398">
        <f>VLOOKUP(A38,'Loan Book Summary'!C:R,16,FALSE)</f>
        <v>45810</v>
      </c>
      <c r="F38" s="354">
        <f t="shared" si="6"/>
        <v>3.0061601642710474</v>
      </c>
      <c r="G38" s="354"/>
      <c r="H38" s="354"/>
      <c r="I38" s="354">
        <f>IFERROR(VLOOKUP(A38,'Stage 2 loans'!A:D,4,FALSE),1)</f>
        <v>1</v>
      </c>
      <c r="J38" s="354">
        <f>VLOOKUP(A38,Reference_Rate_Repricing_Report!B:P,15,FALSE)</f>
        <v>7.9</v>
      </c>
      <c r="K38" s="354"/>
      <c r="L38" s="274">
        <f>IF(I38="Matured","",IFERROR(VLOOKUP(A38,'Updated Ncino PD'!$A:$B,2,FALSE),IF($Z$2="ON",IF(I38=1,VLOOKUP(A38,'MacroPD-Cal'!A:H,8,FALSE),VLOOKUP(A38,'MacroPD-Cal'!A:O,15,FALSE)),IF($Z$5="Weighted",IF(I38=1,VLOOKUP(A38,'Model Output_TTC'!A:BX,76,FALSE),VLOOKUP(A38,'Model Output_TTC'!A:CD,82,FALSE)),IF($Z$5="Baseline",IF(I38=1,VLOOKUP(A38,'Model Output_TTC'!$A:$AO,41,FALSE),VLOOKUP(A38,'Model Output_TTC'!$A:$AU,47,FALSE)),IF($Z$5="90th Percentile",IF(I38=1,VLOOKUP(A38,'Model Output_TTC'!$A:$BJ,62,FALSE),VLOOKUP(A38,'Model Output_TTC'!$A:$BP,68,FALSE)),IF($Z$5="96th Percentile",IF(I38=1,VLOOKUP(A38,'Model Output_TTC'!$A:$T,20,FALSE),VLOOKUP(A38,'Model Output_TTC'!$A:$Z,26,FALSE)),"")))))))</f>
        <v>1.9599999999999999E-2</v>
      </c>
      <c r="M38" s="274">
        <f>IF('Ref-Data'!I38="Matured","",VLOOKUP(A38,'LGD Data'!A:C,3,0))</f>
        <v>0.44259999999999999</v>
      </c>
      <c r="N38" s="274">
        <f>IF(I38="Matured","",MAX(IFERROR(VLOOKUP(A38,'Updated Ncino PD'!$U:$V,2,FALSE),'Ref-Data'!M38),10%))</f>
        <v>0.44259999999999999</v>
      </c>
      <c r="O38" s="354">
        <f>VLOOKUP(A38,'Loan Book Summary'!C:AE,29,FALSE)</f>
        <v>0</v>
      </c>
      <c r="P38" s="354"/>
      <c r="Q38" s="354">
        <f>IF(I38="Matured","",VLOOKUP(A38,'MacroPD-Cal'!A:N,14,FALSE))</f>
        <v>1.9599999999999999E-2</v>
      </c>
      <c r="R38" s="354">
        <f t="shared" si="7"/>
        <v>0</v>
      </c>
      <c r="S38" s="354">
        <f t="shared" si="8"/>
        <v>4.9363449691991788</v>
      </c>
      <c r="T38" s="354"/>
      <c r="U38" s="354"/>
      <c r="AD38" s="346" t="str">
        <f>VLOOKUP(A38,'Loan Book Summary'!C:E,3,FALSE)</f>
        <v>DAISY GREEN FOOD LIMITED</v>
      </c>
    </row>
    <row r="39" spans="1:30" x14ac:dyDescent="0.25">
      <c r="A39" s="354">
        <v>1200000127</v>
      </c>
      <c r="B39" s="249">
        <f>VLOOKUP(A39,'Loan Book Summary'!C:W,21,FALSE)</f>
        <v>902500</v>
      </c>
      <c r="C39" s="249">
        <f>VLOOKUP(A39,'Loan Book Summary'!C:AB,26,FALSE)</f>
        <v>902500</v>
      </c>
      <c r="D39" s="398">
        <f>VLOOKUP(A39,'Loan Book Summary'!C:Q,15,FALSE)</f>
        <v>44007</v>
      </c>
      <c r="E39" s="398">
        <f>VLOOKUP(A39,'Loan Book Summary'!C:R,16,FALSE)</f>
        <v>45810</v>
      </c>
      <c r="F39" s="354">
        <f t="shared" si="6"/>
        <v>3.0061601642710474</v>
      </c>
      <c r="G39" s="354"/>
      <c r="H39" s="354"/>
      <c r="I39" s="354">
        <f>IFERROR(VLOOKUP(A39,'Stage 2 loans'!A:D,4,FALSE),1)</f>
        <v>1</v>
      </c>
      <c r="J39" s="354">
        <f>VLOOKUP(A39,Reference_Rate_Repricing_Report!B:P,15,FALSE)</f>
        <v>7.9</v>
      </c>
      <c r="K39" s="354"/>
      <c r="L39" s="274">
        <f>IF(I39="Matured","",IFERROR(VLOOKUP(A39,'Updated Ncino PD'!$A:$B,2,FALSE),IF($Z$2="ON",IF(I39=1,VLOOKUP(A39,'MacroPD-Cal'!A:H,8,FALSE),VLOOKUP(A39,'MacroPD-Cal'!A:O,15,FALSE)),IF($Z$5="Weighted",IF(I39=1,VLOOKUP(A39,'Model Output_TTC'!A:BX,76,FALSE),VLOOKUP(A39,'Model Output_TTC'!A:CD,82,FALSE)),IF($Z$5="Baseline",IF(I39=1,VLOOKUP(A39,'Model Output_TTC'!$A:$AO,41,FALSE),VLOOKUP(A39,'Model Output_TTC'!$A:$AU,47,FALSE)),IF($Z$5="90th Percentile",IF(I39=1,VLOOKUP(A39,'Model Output_TTC'!$A:$BJ,62,FALSE),VLOOKUP(A39,'Model Output_TTC'!$A:$BP,68,FALSE)),IF($Z$5="96th Percentile",IF(I39=1,VLOOKUP(A39,'Model Output_TTC'!$A:$T,20,FALSE),VLOOKUP(A39,'Model Output_TTC'!$A:$Z,26,FALSE)),"")))))))</f>
        <v>1.9599999999999999E-2</v>
      </c>
      <c r="M39" s="274">
        <f>IF('Ref-Data'!I39="Matured","",VLOOKUP(A39,'LGD Data'!A:C,3,0))</f>
        <v>0.44259999999999999</v>
      </c>
      <c r="N39" s="274">
        <f>IF(I39="Matured","",MAX(IFERROR(VLOOKUP(A39,'Updated Ncino PD'!$U:$V,2,FALSE),'Ref-Data'!M39),10%))</f>
        <v>0.44259999999999999</v>
      </c>
      <c r="O39" s="354">
        <f>VLOOKUP(A39,'Loan Book Summary'!C:AE,29,FALSE)</f>
        <v>0</v>
      </c>
      <c r="P39" s="354"/>
      <c r="Q39" s="354">
        <f>IF(I39="Matured","",VLOOKUP(A39,'MacroPD-Cal'!A:N,14,FALSE))</f>
        <v>1.9599999999999999E-2</v>
      </c>
      <c r="R39" s="354">
        <f t="shared" si="7"/>
        <v>0</v>
      </c>
      <c r="S39" s="354">
        <f t="shared" si="8"/>
        <v>4.9363449691991788</v>
      </c>
      <c r="T39" s="354"/>
      <c r="U39" s="354"/>
      <c r="AD39" s="346" t="str">
        <f>VLOOKUP(A39,'Loan Book Summary'!C:E,3,FALSE)</f>
        <v>DAISY GREEN FOOD LIMITED</v>
      </c>
    </row>
    <row r="40" spans="1:30" x14ac:dyDescent="0.25">
      <c r="A40" s="354">
        <v>1200000132</v>
      </c>
      <c r="B40" s="249">
        <f>VLOOKUP(A40,'Loan Book Summary'!C:W,21,FALSE)</f>
        <v>3634267.09</v>
      </c>
      <c r="C40" s="249">
        <f>VLOOKUP(A40,'Loan Book Summary'!C:AB,26,FALSE)</f>
        <v>3634267.09</v>
      </c>
      <c r="D40" s="398">
        <f>VLOOKUP(A40,'Loan Book Summary'!C:Q,15,FALSE)</f>
        <v>44011</v>
      </c>
      <c r="E40" s="398">
        <f>VLOOKUP(A40,'Loan Book Summary'!C:R,16,FALSE)</f>
        <v>46202</v>
      </c>
      <c r="F40" s="354">
        <f t="shared" si="6"/>
        <v>4.0793976728268309</v>
      </c>
      <c r="G40" s="354"/>
      <c r="H40" s="354"/>
      <c r="I40" s="354">
        <f>IFERROR(VLOOKUP(A40,'Stage 2 loans'!A:D,4,FALSE),1)</f>
        <v>1</v>
      </c>
      <c r="J40" s="354">
        <f>VLOOKUP(A40,Reference_Rate_Repricing_Report!B:P,15,FALSE)</f>
        <v>7.48</v>
      </c>
      <c r="K40" s="354"/>
      <c r="L40" s="274">
        <f>IF(I40="Matured","",IFERROR(VLOOKUP(A40,'Updated Ncino PD'!$A:$B,2,FALSE),IF($Z$2="ON",IF(I40=1,VLOOKUP(A40,'MacroPD-Cal'!A:H,8,FALSE),VLOOKUP(A40,'MacroPD-Cal'!A:O,15,FALSE)),IF($Z$5="Weighted",IF(I40=1,VLOOKUP(A40,'Model Output_TTC'!A:BX,76,FALSE),VLOOKUP(A40,'Model Output_TTC'!A:CD,82,FALSE)),IF($Z$5="Baseline",IF(I40=1,VLOOKUP(A40,'Model Output_TTC'!$A:$AO,41,FALSE),VLOOKUP(A40,'Model Output_TTC'!$A:$AU,47,FALSE)),IF($Z$5="90th Percentile",IF(I40=1,VLOOKUP(A40,'Model Output_TTC'!$A:$BJ,62,FALSE),VLOOKUP(A40,'Model Output_TTC'!$A:$BP,68,FALSE)),IF($Z$5="96th Percentile",IF(I40=1,VLOOKUP(A40,'Model Output_TTC'!$A:$T,20,FALSE),VLOOKUP(A40,'Model Output_TTC'!$A:$Z,26,FALSE)),"")))))))</f>
        <v>0.1885</v>
      </c>
      <c r="M40" s="274">
        <f>IF('Ref-Data'!I40="Matured","",VLOOKUP(A40,'LGD Data'!A:C,3,0))</f>
        <v>0.15373995174733182</v>
      </c>
      <c r="N40" s="274">
        <f>IF(I40="Matured","",MAX(IFERROR(VLOOKUP(A40,'Updated Ncino PD'!$U:$V,2,FALSE),'Ref-Data'!M40),10%))</f>
        <v>0.15373995174733182</v>
      </c>
      <c r="O40" s="354">
        <f>VLOOKUP(A40,'Loan Book Summary'!C:AE,29,FALSE)</f>
        <v>0</v>
      </c>
      <c r="P40" s="354"/>
      <c r="Q40" s="354">
        <f>IF(I40="Matured","",VLOOKUP(A40,'MacroPD-Cal'!A:N,14,FALSE))</f>
        <v>0.1885</v>
      </c>
      <c r="R40" s="354">
        <f t="shared" si="7"/>
        <v>0</v>
      </c>
      <c r="S40" s="354">
        <f t="shared" si="8"/>
        <v>5.9986310746064335</v>
      </c>
      <c r="T40" s="354"/>
      <c r="U40" s="354"/>
      <c r="AD40" s="346" t="str">
        <f>VLOOKUP(A40,'Loan Book Summary'!C:E,3,FALSE)</f>
        <v>SBH PARK HOLDING LIMITED</v>
      </c>
    </row>
    <row r="41" spans="1:30" x14ac:dyDescent="0.25">
      <c r="A41" s="354">
        <v>1200000133</v>
      </c>
      <c r="B41" s="249">
        <f>VLOOKUP(A41,'Loan Book Summary'!C:W,21,FALSE)</f>
        <v>500000</v>
      </c>
      <c r="C41" s="249">
        <f>VLOOKUP(A41,'Loan Book Summary'!C:AB,26,FALSE)</f>
        <v>500000</v>
      </c>
      <c r="D41" s="398">
        <f>VLOOKUP(A41,'Loan Book Summary'!C:Q,15,FALSE)</f>
        <v>44012</v>
      </c>
      <c r="E41" s="398">
        <f>VLOOKUP(A41,'Loan Book Summary'!C:R,16,FALSE)</f>
        <v>46203</v>
      </c>
      <c r="F41" s="354">
        <f t="shared" si="6"/>
        <v>4.0821355236139629</v>
      </c>
      <c r="G41" s="354"/>
      <c r="H41" s="354"/>
      <c r="I41" s="354">
        <f>IFERROR(VLOOKUP(A41,'Stage 2 loans'!A:D,4,FALSE),1)</f>
        <v>1</v>
      </c>
      <c r="J41" s="354">
        <f>VLOOKUP(A41,Reference_Rate_Repricing_Report!B:P,15,FALSE)</f>
        <v>7.32</v>
      </c>
      <c r="K41" s="354"/>
      <c r="L41" s="274">
        <f>IF(I41="Matured","",IFERROR(VLOOKUP(A41,'Updated Ncino PD'!$A:$B,2,FALSE),IF($Z$2="ON",IF(I41=1,VLOOKUP(A41,'MacroPD-Cal'!A:H,8,FALSE),VLOOKUP(A41,'MacroPD-Cal'!A:O,15,FALSE)),IF($Z$5="Weighted",IF(I41=1,VLOOKUP(A41,'Model Output_TTC'!A:BX,76,FALSE),VLOOKUP(A41,'Model Output_TTC'!A:CD,82,FALSE)),IF($Z$5="Baseline",IF(I41=1,VLOOKUP(A41,'Model Output_TTC'!$A:$AO,41,FALSE),VLOOKUP(A41,'Model Output_TTC'!$A:$AU,47,FALSE)),IF($Z$5="90th Percentile",IF(I41=1,VLOOKUP(A41,'Model Output_TTC'!$A:$BJ,62,FALSE),VLOOKUP(A41,'Model Output_TTC'!$A:$BP,68,FALSE)),IF($Z$5="96th Percentile",IF(I41=1,VLOOKUP(A41,'Model Output_TTC'!$A:$T,20,FALSE),VLOOKUP(A41,'Model Output_TTC'!$A:$Z,26,FALSE)),"")))))))</f>
        <v>8.7000000000000011E-3</v>
      </c>
      <c r="M41" s="274">
        <f>IF('Ref-Data'!I41="Matured","",VLOOKUP(A41,'LGD Data'!A:C,3,0))</f>
        <v>0.15</v>
      </c>
      <c r="N41" s="274">
        <f>IF(I41="Matured","",MAX(IFERROR(VLOOKUP(A41,'Updated Ncino PD'!$U:$V,2,FALSE),'Ref-Data'!M41),10%))</f>
        <v>0.15</v>
      </c>
      <c r="O41" s="354">
        <f>VLOOKUP(A41,'Loan Book Summary'!C:AE,29,FALSE)</f>
        <v>0</v>
      </c>
      <c r="P41" s="354"/>
      <c r="Q41" s="354">
        <f>IF(I41="Matured","",VLOOKUP(A41,'MacroPD-Cal'!A:N,14,FALSE))</f>
        <v>8.7000000000000011E-3</v>
      </c>
      <c r="R41" s="354">
        <f t="shared" si="7"/>
        <v>0</v>
      </c>
      <c r="S41" s="354">
        <f t="shared" si="8"/>
        <v>5.9986310746064335</v>
      </c>
      <c r="T41" s="354"/>
      <c r="U41" s="354"/>
      <c r="AD41" s="346" t="str">
        <f>VLOOKUP(A41,'Loan Book Summary'!C:E,3,FALSE)</f>
        <v>LEISURE AND HOTEL INVESTMENTS LIMITED AND BIKE AND BOOT INNS LIMITED</v>
      </c>
    </row>
    <row r="42" spans="1:30" x14ac:dyDescent="0.25">
      <c r="A42" s="354">
        <v>1200000134</v>
      </c>
      <c r="B42" s="249">
        <f>VLOOKUP(A42,'Loan Book Summary'!C:W,21,FALSE)</f>
        <v>487998.51</v>
      </c>
      <c r="C42" s="249">
        <f>VLOOKUP(A42,'Loan Book Summary'!C:AB,26,FALSE)</f>
        <v>487998.51</v>
      </c>
      <c r="D42" s="398">
        <f>VLOOKUP(A42,'Loan Book Summary'!C:Q,15,FALSE)</f>
        <v>44012</v>
      </c>
      <c r="E42" s="398">
        <f>VLOOKUP(A42,'Loan Book Summary'!C:R,16,FALSE)</f>
        <v>46203</v>
      </c>
      <c r="F42" s="354">
        <f t="shared" si="6"/>
        <v>4.0821355236139629</v>
      </c>
      <c r="G42" s="354"/>
      <c r="H42" s="354"/>
      <c r="I42" s="354">
        <f>IFERROR(VLOOKUP(A42,'Stage 2 loans'!A:D,4,FALSE),1)</f>
        <v>1</v>
      </c>
      <c r="J42" s="354">
        <f>VLOOKUP(A42,Reference_Rate_Repricing_Report!B:P,15,FALSE)</f>
        <v>7.32</v>
      </c>
      <c r="K42" s="354"/>
      <c r="L42" s="274">
        <f>IF(I42="Matured","",IFERROR(VLOOKUP(A42,'Updated Ncino PD'!$A:$B,2,FALSE),IF($Z$2="ON",IF(I42=1,VLOOKUP(A42,'MacroPD-Cal'!A:H,8,FALSE),VLOOKUP(A42,'MacroPD-Cal'!A:O,15,FALSE)),IF($Z$5="Weighted",IF(I42=1,VLOOKUP(A42,'Model Output_TTC'!A:BX,76,FALSE),VLOOKUP(A42,'Model Output_TTC'!A:CD,82,FALSE)),IF($Z$5="Baseline",IF(I42=1,VLOOKUP(A42,'Model Output_TTC'!$A:$AO,41,FALSE),VLOOKUP(A42,'Model Output_TTC'!$A:$AU,47,FALSE)),IF($Z$5="90th Percentile",IF(I42=1,VLOOKUP(A42,'Model Output_TTC'!$A:$BJ,62,FALSE),VLOOKUP(A42,'Model Output_TTC'!$A:$BP,68,FALSE)),IF($Z$5="96th Percentile",IF(I42=1,VLOOKUP(A42,'Model Output_TTC'!$A:$T,20,FALSE),VLOOKUP(A42,'Model Output_TTC'!$A:$Z,26,FALSE)),"")))))))</f>
        <v>8.7000000000000011E-3</v>
      </c>
      <c r="M42" s="274">
        <f>IF('Ref-Data'!I42="Matured","",VLOOKUP(A42,'LGD Data'!A:C,3,0))</f>
        <v>0.15</v>
      </c>
      <c r="N42" s="274">
        <f>IF(I42="Matured","",MAX(IFERROR(VLOOKUP(A42,'Updated Ncino PD'!$U:$V,2,FALSE),'Ref-Data'!M42),10%))</f>
        <v>0.15</v>
      </c>
      <c r="O42" s="354">
        <f>VLOOKUP(A42,'Loan Book Summary'!C:AE,29,FALSE)</f>
        <v>0</v>
      </c>
      <c r="P42" s="354"/>
      <c r="Q42" s="354">
        <f>IF(I42="Matured","",VLOOKUP(A42,'MacroPD-Cal'!A:N,14,FALSE))</f>
        <v>8.7000000000000011E-3</v>
      </c>
      <c r="R42" s="354">
        <f t="shared" si="7"/>
        <v>0</v>
      </c>
      <c r="S42" s="354">
        <f t="shared" si="8"/>
        <v>5.9986310746064335</v>
      </c>
      <c r="T42" s="354"/>
      <c r="U42" s="354"/>
      <c r="AD42" s="346" t="str">
        <f>VLOOKUP(A42,'Loan Book Summary'!C:E,3,FALSE)</f>
        <v>LEISURE AND HOTEL INVESTMENTS LIMITED AND BIKE AND BOOT INNS LIMITED</v>
      </c>
    </row>
    <row r="43" spans="1:30" x14ac:dyDescent="0.25">
      <c r="A43" s="354">
        <v>1200000157</v>
      </c>
      <c r="B43" s="249">
        <f>VLOOKUP(A43,'Loan Book Summary'!C:W,21,FALSE)</f>
        <v>1882882.88</v>
      </c>
      <c r="C43" s="249">
        <f>VLOOKUP(A43,'Loan Book Summary'!C:AB,26,FALSE)</f>
        <v>1882882.88</v>
      </c>
      <c r="D43" s="398">
        <f>VLOOKUP(A43,'Loan Book Summary'!C:Q,15,FALSE)</f>
        <v>44043</v>
      </c>
      <c r="E43" s="398">
        <f>VLOOKUP(A43,'Loan Book Summary'!C:R,16,FALSE)</f>
        <v>45869</v>
      </c>
      <c r="F43" s="354">
        <f t="shared" si="6"/>
        <v>3.1676933607118412</v>
      </c>
      <c r="G43" s="354"/>
      <c r="H43" s="354"/>
      <c r="I43" s="354">
        <f>IFERROR(VLOOKUP(A43,'Stage 2 loans'!A:D,4,FALSE),1)</f>
        <v>1</v>
      </c>
      <c r="J43" s="354">
        <f>VLOOKUP(A43,Reference_Rate_Repricing_Report!B:P,15,FALSE)</f>
        <v>7.79</v>
      </c>
      <c r="K43" s="354"/>
      <c r="L43" s="274">
        <f>IF(I43="Matured","",IFERROR(VLOOKUP(A43,'Updated Ncino PD'!$A:$B,2,FALSE),IF($Z$2="ON",IF(I43=1,VLOOKUP(A43,'MacroPD-Cal'!A:H,8,FALSE),VLOOKUP(A43,'MacroPD-Cal'!A:O,15,FALSE)),IF($Z$5="Weighted",IF(I43=1,VLOOKUP(A43,'Model Output_TTC'!A:BX,76,FALSE),VLOOKUP(A43,'Model Output_TTC'!A:CD,82,FALSE)),IF($Z$5="Baseline",IF(I43=1,VLOOKUP(A43,'Model Output_TTC'!$A:$AO,41,FALSE),VLOOKUP(A43,'Model Output_TTC'!$A:$AU,47,FALSE)),IF($Z$5="90th Percentile",IF(I43=1,VLOOKUP(A43,'Model Output_TTC'!$A:$BJ,62,FALSE),VLOOKUP(A43,'Model Output_TTC'!$A:$BP,68,FALSE)),IF($Z$5="96th Percentile",IF(I43=1,VLOOKUP(A43,'Model Output_TTC'!$A:$T,20,FALSE),VLOOKUP(A43,'Model Output_TTC'!$A:$Z,26,FALSE)),"")))))))</f>
        <v>1.23E-2</v>
      </c>
      <c r="M43" s="274">
        <f>IF('Ref-Data'!I43="Matured","",VLOOKUP(A43,'LGD Data'!A:C,3,0))</f>
        <v>0.42970000000000003</v>
      </c>
      <c r="N43" s="274">
        <f>IF(I43="Matured","",MAX(IFERROR(VLOOKUP(A43,'Updated Ncino PD'!$U:$V,2,FALSE),'Ref-Data'!M43),10%))</f>
        <v>0.42970000000000003</v>
      </c>
      <c r="O43" s="354">
        <f>VLOOKUP(A43,'Loan Book Summary'!C:AE,29,FALSE)</f>
        <v>0</v>
      </c>
      <c r="P43" s="354"/>
      <c r="Q43" s="354">
        <f>IF(I43="Matured","",VLOOKUP(A43,'MacroPD-Cal'!A:N,14,FALSE))</f>
        <v>1.23E-2</v>
      </c>
      <c r="R43" s="354">
        <f t="shared" si="7"/>
        <v>0</v>
      </c>
      <c r="S43" s="354">
        <f t="shared" si="8"/>
        <v>4.9993155373032172</v>
      </c>
      <c r="T43" s="354"/>
      <c r="U43" s="354"/>
      <c r="AD43" s="346" t="str">
        <f>VLOOKUP(A43,'Loan Book Summary'!C:E,3,FALSE)</f>
        <v>OTTOLENGHI LIMITED</v>
      </c>
    </row>
    <row r="44" spans="1:30" x14ac:dyDescent="0.25">
      <c r="A44" s="354">
        <v>1200000002</v>
      </c>
      <c r="B44" s="249">
        <f>VLOOKUP(A44,'Loan Book Summary'!C:W,21,FALSE)</f>
        <v>15000000</v>
      </c>
      <c r="C44" s="249">
        <f>VLOOKUP(A44,'Loan Book Summary'!C:AB,26,FALSE)</f>
        <v>15000000</v>
      </c>
      <c r="D44" s="398">
        <f>VLOOKUP(A44,'Loan Book Summary'!C:Q,15,FALSE)</f>
        <v>44043</v>
      </c>
      <c r="E44" s="398">
        <f>VLOOKUP(A44,'Loan Book Summary'!C:R,16,FALSE)</f>
        <v>45138</v>
      </c>
      <c r="F44" s="354">
        <f t="shared" si="6"/>
        <v>1.1663244353182751</v>
      </c>
      <c r="G44" s="354"/>
      <c r="H44" s="354"/>
      <c r="I44" s="354">
        <f>IFERROR(VLOOKUP(A44,'Stage 2 loans'!A:D,4,FALSE),1)</f>
        <v>1</v>
      </c>
      <c r="J44" s="354">
        <f>VLOOKUP(A44,Reference_Rate_Repricing_Report!B:P,15,FALSE)</f>
        <v>8</v>
      </c>
      <c r="K44" s="354"/>
      <c r="L44" s="274">
        <f>IF(I44="Matured","",IFERROR(VLOOKUP(A44,'Updated Ncino PD'!$A:$B,2,FALSE),IF($Z$2="ON",IF(I44=1,VLOOKUP(A44,'MacroPD-Cal'!A:H,8,FALSE),VLOOKUP(A44,'MacroPD-Cal'!A:O,15,FALSE)),IF($Z$5="Weighted",IF(I44=1,VLOOKUP(A44,'Model Output_TTC'!A:BX,76,FALSE),VLOOKUP(A44,'Model Output_TTC'!A:CD,82,FALSE)),IF($Z$5="Baseline",IF(I44=1,VLOOKUP(A44,'Model Output_TTC'!$A:$AO,41,FALSE),VLOOKUP(A44,'Model Output_TTC'!$A:$AU,47,FALSE)),IF($Z$5="90th Percentile",IF(I44=1,VLOOKUP(A44,'Model Output_TTC'!$A:$BJ,62,FALSE),VLOOKUP(A44,'Model Output_TTC'!$A:$BP,68,FALSE)),IF($Z$5="96th Percentile",IF(I44=1,VLOOKUP(A44,'Model Output_TTC'!$A:$T,20,FALSE),VLOOKUP(A44,'Model Output_TTC'!$A:$Z,26,FALSE)),"")))))))</f>
        <v>4.7000000000000002E-3</v>
      </c>
      <c r="M44" s="274">
        <f>IF('Ref-Data'!I44="Matured","",VLOOKUP(A44,'LGD Data'!A:C,3,0))</f>
        <v>0.2</v>
      </c>
      <c r="N44" s="274">
        <f>IF(I44="Matured","",MAX(IFERROR(VLOOKUP(A44,'Updated Ncino PD'!$U:$V,2,FALSE),'Ref-Data'!M44),10%))</f>
        <v>0.2</v>
      </c>
      <c r="O44" s="354">
        <f>VLOOKUP(A44,'Loan Book Summary'!C:AE,29,FALSE)</f>
        <v>0</v>
      </c>
      <c r="P44" s="354"/>
      <c r="Q44" s="354">
        <f>IF(I44="Matured","",VLOOKUP(A44,'MacroPD-Cal'!A:N,14,FALSE))</f>
        <v>4.7000000000000002E-3</v>
      </c>
      <c r="R44" s="354">
        <f t="shared" si="7"/>
        <v>0</v>
      </c>
      <c r="S44" s="354">
        <f t="shared" si="8"/>
        <v>2.9979466119096507</v>
      </c>
      <c r="T44" s="354"/>
      <c r="U44" s="354"/>
      <c r="AD44" s="346" t="str">
        <f>VLOOKUP(A44,'Loan Book Summary'!C:E,3,FALSE)</f>
        <v>STAYCITY INVESTMENTS LIMITED</v>
      </c>
    </row>
    <row r="45" spans="1:30" x14ac:dyDescent="0.25">
      <c r="A45" s="354">
        <v>1100000225</v>
      </c>
      <c r="B45" s="249">
        <f>VLOOKUP(A45,'Loan Book Summary'!C:W,21,FALSE)</f>
        <v>15000000</v>
      </c>
      <c r="C45" s="249">
        <f>VLOOKUP(A45,'Loan Book Summary'!C:AB,26,FALSE)</f>
        <v>15000000</v>
      </c>
      <c r="D45" s="398">
        <f>VLOOKUP(A45,'Loan Book Summary'!C:Q,15,FALSE)</f>
        <v>44043</v>
      </c>
      <c r="E45" s="398">
        <f>VLOOKUP(A45,'Loan Book Summary'!C:R,16,FALSE)</f>
        <v>45138</v>
      </c>
      <c r="F45" s="354">
        <f t="shared" si="6"/>
        <v>1.1663244353182751</v>
      </c>
      <c r="G45" s="354"/>
      <c r="H45" s="354"/>
      <c r="I45" s="354">
        <f>IFERROR(VLOOKUP(A45,'Stage 2 loans'!A:D,4,FALSE),1)</f>
        <v>1</v>
      </c>
      <c r="J45" s="354">
        <f>VLOOKUP(A45,Reference_Rate_Repricing_Report!B:P,15,FALSE)</f>
        <v>8</v>
      </c>
      <c r="K45" s="354"/>
      <c r="L45" s="274">
        <f>IF(I45="Matured","",IFERROR(VLOOKUP(A45,'Updated Ncino PD'!$A:$B,2,FALSE),IF($Z$2="ON",IF(I45=1,VLOOKUP(A45,'MacroPD-Cal'!A:H,8,FALSE),VLOOKUP(A45,'MacroPD-Cal'!A:O,15,FALSE)),IF($Z$5="Weighted",IF(I45=1,VLOOKUP(A45,'Model Output_TTC'!A:BX,76,FALSE),VLOOKUP(A45,'Model Output_TTC'!A:CD,82,FALSE)),IF($Z$5="Baseline",IF(I45=1,VLOOKUP(A45,'Model Output_TTC'!$A:$AO,41,FALSE),VLOOKUP(A45,'Model Output_TTC'!$A:$AU,47,FALSE)),IF($Z$5="90th Percentile",IF(I45=1,VLOOKUP(A45,'Model Output_TTC'!$A:$BJ,62,FALSE),VLOOKUP(A45,'Model Output_TTC'!$A:$BP,68,FALSE)),IF($Z$5="96th Percentile",IF(I45=1,VLOOKUP(A45,'Model Output_TTC'!$A:$T,20,FALSE),VLOOKUP(A45,'Model Output_TTC'!$A:$Z,26,FALSE)),"")))))))</f>
        <v>4.7000000000000002E-3</v>
      </c>
      <c r="M45" s="274">
        <f>IF('Ref-Data'!I45="Matured","",VLOOKUP(A45,'LGD Data'!A:C,3,0))</f>
        <v>0.2</v>
      </c>
      <c r="N45" s="274">
        <f>IF(I45="Matured","",MAX(IFERROR(VLOOKUP(A45,'Updated Ncino PD'!$U:$V,2,FALSE),'Ref-Data'!M45),10%))</f>
        <v>0.2</v>
      </c>
      <c r="O45" s="354">
        <f>VLOOKUP(A45,'Loan Book Summary'!C:AE,29,FALSE)</f>
        <v>0</v>
      </c>
      <c r="P45" s="354"/>
      <c r="Q45" s="354">
        <f>IF(I45="Matured","",VLOOKUP(A45,'MacroPD-Cal'!A:N,14,FALSE))</f>
        <v>4.7000000000000002E-3</v>
      </c>
      <c r="R45" s="354">
        <f t="shared" si="7"/>
        <v>0</v>
      </c>
      <c r="S45" s="354">
        <f t="shared" si="8"/>
        <v>2.9979466119096507</v>
      </c>
      <c r="T45" s="354"/>
      <c r="U45" s="354"/>
      <c r="AD45" s="346" t="str">
        <f>VLOOKUP(A45,'Loan Book Summary'!C:E,3,FALSE)</f>
        <v>STAYCITY INVESTMENTS LIMITED</v>
      </c>
    </row>
    <row r="46" spans="1:30" x14ac:dyDescent="0.25">
      <c r="A46" s="354">
        <v>1100000111</v>
      </c>
      <c r="B46" s="249">
        <f>VLOOKUP(A46,'Loan Book Summary'!C:W,21,FALSE)</f>
        <v>1000000</v>
      </c>
      <c r="C46" s="249">
        <f>VLOOKUP(A46,'Loan Book Summary'!C:AB,26,FALSE)</f>
        <v>1000000</v>
      </c>
      <c r="D46" s="398">
        <f>VLOOKUP(A46,'Loan Book Summary'!C:Q,15,FALSE)</f>
        <v>44125</v>
      </c>
      <c r="E46" s="398">
        <f>VLOOKUP(A46,'Loan Book Summary'!C:R,16,FALSE)</f>
        <v>45222</v>
      </c>
      <c r="F46" s="354">
        <f t="shared" si="6"/>
        <v>1.3963039014373717</v>
      </c>
      <c r="G46" s="354"/>
      <c r="H46" s="354"/>
      <c r="I46" s="354">
        <f>IFERROR(VLOOKUP(A46,'Stage 2 loans'!A:D,4,FALSE),1)</f>
        <v>1</v>
      </c>
      <c r="J46" s="354">
        <f>VLOOKUP(A46,Reference_Rate_Repricing_Report!B:P,15,FALSE)</f>
        <v>6.47</v>
      </c>
      <c r="K46" s="354"/>
      <c r="L46" s="274">
        <f>IF(I46="Matured","",IFERROR(VLOOKUP(A46,'Updated Ncino PD'!$A:$B,2,FALSE),IF($Z$2="ON",IF(I46=1,VLOOKUP(A46,'MacroPD-Cal'!A:H,8,FALSE),VLOOKUP(A46,'MacroPD-Cal'!A:O,15,FALSE)),IF($Z$5="Weighted",IF(I46=1,VLOOKUP(A46,'Model Output_TTC'!A:BX,76,FALSE),VLOOKUP(A46,'Model Output_TTC'!A:CD,82,FALSE)),IF($Z$5="Baseline",IF(I46=1,VLOOKUP(A46,'Model Output_TTC'!$A:$AO,41,FALSE),VLOOKUP(A46,'Model Output_TTC'!$A:$AU,47,FALSE)),IF($Z$5="90th Percentile",IF(I46=1,VLOOKUP(A46,'Model Output_TTC'!$A:$BJ,62,FALSE),VLOOKUP(A46,'Model Output_TTC'!$A:$BP,68,FALSE)),IF($Z$5="96th Percentile",IF(I46=1,VLOOKUP(A46,'Model Output_TTC'!$A:$T,20,FALSE),VLOOKUP(A46,'Model Output_TTC'!$A:$Z,26,FALSE)),"")))))))</f>
        <v>3.5000000000000001E-3</v>
      </c>
      <c r="M46" s="274">
        <f>IF('Ref-Data'!I46="Matured","",VLOOKUP(A46,'LGD Data'!A:C,3,0))</f>
        <v>0.39429999999999998</v>
      </c>
      <c r="N46" s="274">
        <f>IF(I46="Matured","",MAX(IFERROR(VLOOKUP(A46,'Updated Ncino PD'!$U:$V,2,FALSE),'Ref-Data'!M46),10%))</f>
        <v>0.39429999999999998</v>
      </c>
      <c r="O46" s="354">
        <f>VLOOKUP(A46,'Loan Book Summary'!C:AE,29,FALSE)</f>
        <v>0</v>
      </c>
      <c r="P46" s="354"/>
      <c r="Q46" s="354">
        <f>IF(I46="Matured","",VLOOKUP(A46,'MacroPD-Cal'!A:N,14,FALSE))</f>
        <v>3.5000000000000001E-3</v>
      </c>
      <c r="R46" s="354">
        <f t="shared" si="7"/>
        <v>0</v>
      </c>
      <c r="S46" s="354">
        <f t="shared" si="8"/>
        <v>3.0034223134839153</v>
      </c>
      <c r="T46" s="354"/>
      <c r="U46" s="354"/>
      <c r="AD46" s="346" t="str">
        <f>VLOOKUP(A46,'Loan Book Summary'!C:E,3,FALSE)</f>
        <v>REMSONS HOLDINGS LTD</v>
      </c>
    </row>
    <row r="47" spans="1:30" x14ac:dyDescent="0.25">
      <c r="A47" s="354">
        <v>1100000110</v>
      </c>
      <c r="B47" s="249">
        <f>VLOOKUP(A47,'Loan Book Summary'!C:W,21,FALSE)</f>
        <v>340000</v>
      </c>
      <c r="C47" s="249">
        <f>VLOOKUP(A47,'Loan Book Summary'!C:AB,26,FALSE)</f>
        <v>340000</v>
      </c>
      <c r="D47" s="398">
        <f>VLOOKUP(A47,'Loan Book Summary'!C:Q,15,FALSE)</f>
        <v>44125</v>
      </c>
      <c r="E47" s="398">
        <f>VLOOKUP(A47,'Loan Book Summary'!C:R,16,FALSE)</f>
        <v>45222</v>
      </c>
      <c r="F47" s="354">
        <f t="shared" si="6"/>
        <v>1.3963039014373717</v>
      </c>
      <c r="G47" s="354"/>
      <c r="H47" s="354"/>
      <c r="I47" s="354">
        <f>IFERROR(VLOOKUP(A47,'Stage 2 loans'!A:D,4,FALSE),1)</f>
        <v>1</v>
      </c>
      <c r="J47" s="354">
        <f>VLOOKUP(A47,Reference_Rate_Repricing_Report!B:P,15,FALSE)</f>
        <v>6.92</v>
      </c>
      <c r="K47" s="354"/>
      <c r="L47" s="274">
        <f>IF(I47="Matured","",IFERROR(VLOOKUP(A47,'Updated Ncino PD'!$A:$B,2,FALSE),IF($Z$2="ON",IF(I47=1,VLOOKUP(A47,'MacroPD-Cal'!A:H,8,FALSE),VLOOKUP(A47,'MacroPD-Cal'!A:O,15,FALSE)),IF($Z$5="Weighted",IF(I47=1,VLOOKUP(A47,'Model Output_TTC'!A:BX,76,FALSE),VLOOKUP(A47,'Model Output_TTC'!A:CD,82,FALSE)),IF($Z$5="Baseline",IF(I47=1,VLOOKUP(A47,'Model Output_TTC'!$A:$AO,41,FALSE),VLOOKUP(A47,'Model Output_TTC'!$A:$AU,47,FALSE)),IF($Z$5="90th Percentile",IF(I47=1,VLOOKUP(A47,'Model Output_TTC'!$A:$BJ,62,FALSE),VLOOKUP(A47,'Model Output_TTC'!$A:$BP,68,FALSE)),IF($Z$5="96th Percentile",IF(I47=1,VLOOKUP(A47,'Model Output_TTC'!$A:$T,20,FALSE),VLOOKUP(A47,'Model Output_TTC'!$A:$Z,26,FALSE)),"")))))))</f>
        <v>3.5000000000000001E-3</v>
      </c>
      <c r="M47" s="274">
        <f>IF('Ref-Data'!I47="Matured","",VLOOKUP(A47,'LGD Data'!A:C,3,0))</f>
        <v>0.39429999999999998</v>
      </c>
      <c r="N47" s="274">
        <f>IF(I47="Matured","",MAX(IFERROR(VLOOKUP(A47,'Updated Ncino PD'!$U:$V,2,FALSE),'Ref-Data'!M47),10%))</f>
        <v>0.39429999999999998</v>
      </c>
      <c r="O47" s="354">
        <f>VLOOKUP(A47,'Loan Book Summary'!C:AE,29,FALSE)</f>
        <v>0</v>
      </c>
      <c r="P47" s="354"/>
      <c r="Q47" s="354">
        <f>IF(I47="Matured","",VLOOKUP(A47,'MacroPD-Cal'!A:N,14,FALSE))</f>
        <v>3.5000000000000001E-3</v>
      </c>
      <c r="R47" s="354">
        <f t="shared" si="7"/>
        <v>0</v>
      </c>
      <c r="S47" s="354">
        <f t="shared" si="8"/>
        <v>3.0034223134839153</v>
      </c>
      <c r="T47" s="354"/>
      <c r="U47" s="354"/>
      <c r="AD47" s="346" t="str">
        <f>VLOOKUP(A47,'Loan Book Summary'!C:E,3,FALSE)</f>
        <v>REMSONS HOLDINGS LTD</v>
      </c>
    </row>
    <row r="48" spans="1:30" x14ac:dyDescent="0.25">
      <c r="A48" s="354">
        <v>1200000147</v>
      </c>
      <c r="B48" s="249">
        <f>VLOOKUP(A48,'Loan Book Summary'!C:W,21,FALSE)</f>
        <v>4762825.24</v>
      </c>
      <c r="C48" s="249">
        <f>VLOOKUP(A48,'Loan Book Summary'!C:AB,26,FALSE)</f>
        <v>4762825.24</v>
      </c>
      <c r="D48" s="398">
        <f>VLOOKUP(A48,'Loan Book Summary'!C:Q,15,FALSE)</f>
        <v>44134</v>
      </c>
      <c r="E48" s="398">
        <f>VLOOKUP(A48,'Loan Book Summary'!C:R,16,FALSE)</f>
        <v>46325</v>
      </c>
      <c r="F48" s="354">
        <f t="shared" si="6"/>
        <v>4.4161533196440796</v>
      </c>
      <c r="G48" s="354"/>
      <c r="H48" s="354"/>
      <c r="I48" s="354">
        <f>IFERROR(VLOOKUP(A48,'Stage 2 loans'!A:D,4,FALSE),1)</f>
        <v>1</v>
      </c>
      <c r="J48" s="354">
        <f>VLOOKUP(A48,Reference_Rate_Repricing_Report!B:P,15,FALSE)</f>
        <v>7.47</v>
      </c>
      <c r="K48" s="354"/>
      <c r="L48" s="274">
        <f>IF(I48="Matured","",IFERROR(VLOOKUP(A48,'Updated Ncino PD'!$A:$B,2,FALSE),IF($Z$2="ON",IF(I48=1,VLOOKUP(A48,'MacroPD-Cal'!A:H,8,FALSE),VLOOKUP(A48,'MacroPD-Cal'!A:O,15,FALSE)),IF($Z$5="Weighted",IF(I48=1,VLOOKUP(A48,'Model Output_TTC'!A:BX,76,FALSE),VLOOKUP(A48,'Model Output_TTC'!A:CD,82,FALSE)),IF($Z$5="Baseline",IF(I48=1,VLOOKUP(A48,'Model Output_TTC'!$A:$AO,41,FALSE),VLOOKUP(A48,'Model Output_TTC'!$A:$AU,47,FALSE)),IF($Z$5="90th Percentile",IF(I48=1,VLOOKUP(A48,'Model Output_TTC'!$A:$BJ,62,FALSE),VLOOKUP(A48,'Model Output_TTC'!$A:$BP,68,FALSE)),IF($Z$5="96th Percentile",IF(I48=1,VLOOKUP(A48,'Model Output_TTC'!$A:$T,20,FALSE),VLOOKUP(A48,'Model Output_TTC'!$A:$Z,26,FALSE)),"")))))))</f>
        <v>1.7600000000000001E-2</v>
      </c>
      <c r="M48" s="274">
        <f>IF('Ref-Data'!I48="Matured","",VLOOKUP(A48,'LGD Data'!A:C,3,0))</f>
        <v>0.15</v>
      </c>
      <c r="N48" s="274">
        <f>IF(I48="Matured","",MAX(IFERROR(VLOOKUP(A48,'Updated Ncino PD'!$U:$V,2,FALSE),'Ref-Data'!M48),10%))</f>
        <v>0.15</v>
      </c>
      <c r="O48" s="354">
        <f>VLOOKUP(A48,'Loan Book Summary'!C:AE,29,FALSE)</f>
        <v>0</v>
      </c>
      <c r="P48" s="354"/>
      <c r="Q48" s="354">
        <f>IF(I48="Matured","",VLOOKUP(A48,'MacroPD-Cal'!A:N,14,FALSE))</f>
        <v>1.7600000000000001E-2</v>
      </c>
      <c r="R48" s="354">
        <f t="shared" si="7"/>
        <v>0</v>
      </c>
      <c r="S48" s="354">
        <f t="shared" si="8"/>
        <v>5.9986310746064335</v>
      </c>
      <c r="T48" s="354"/>
      <c r="U48" s="354"/>
      <c r="AD48" s="346" t="str">
        <f>VLOOKUP(A48,'Loan Book Summary'!C:E,3,FALSE)</f>
        <v>ZEAL HOTEL (BRIDGWATER J23) LIMITED</v>
      </c>
    </row>
    <row r="49" spans="1:30" x14ac:dyDescent="0.25">
      <c r="A49" s="354">
        <v>1200000146</v>
      </c>
      <c r="B49" s="249">
        <f>VLOOKUP(A49,'Loan Book Summary'!C:W,21,FALSE)</f>
        <v>2100000</v>
      </c>
      <c r="C49" s="249">
        <f>VLOOKUP(A49,'Loan Book Summary'!C:AB,26,FALSE)</f>
        <v>2100000</v>
      </c>
      <c r="D49" s="398">
        <f>VLOOKUP(A49,'Loan Book Summary'!C:Q,15,FALSE)</f>
        <v>44148</v>
      </c>
      <c r="E49" s="398">
        <f>VLOOKUP(A49,'Loan Book Summary'!C:R,16,FALSE)</f>
        <v>44958</v>
      </c>
      <c r="F49" s="354">
        <f t="shared" si="6"/>
        <v>0.67351129363449691</v>
      </c>
      <c r="G49" s="354"/>
      <c r="H49" s="354"/>
      <c r="I49" s="354">
        <f>IFERROR(VLOOKUP(A49,'Stage 2 loans'!A:D,4,FALSE),1)</f>
        <v>1</v>
      </c>
      <c r="J49" s="354">
        <f>VLOOKUP(A49,Reference_Rate_Repricing_Report!B:P,15,FALSE)</f>
        <v>7.24</v>
      </c>
      <c r="K49" s="354"/>
      <c r="L49" s="274">
        <f>IF(I49="Matured","",IFERROR(VLOOKUP(A49,'Updated Ncino PD'!$A:$B,2,FALSE),IF($Z$2="ON",IF(I49=1,VLOOKUP(A49,'MacroPD-Cal'!A:H,8,FALSE),VLOOKUP(A49,'MacroPD-Cal'!A:O,15,FALSE)),IF($Z$5="Weighted",IF(I49=1,VLOOKUP(A49,'Model Output_TTC'!A:BX,76,FALSE),VLOOKUP(A49,'Model Output_TTC'!A:CD,82,FALSE)),IF($Z$5="Baseline",IF(I49=1,VLOOKUP(A49,'Model Output_TTC'!$A:$AO,41,FALSE),VLOOKUP(A49,'Model Output_TTC'!$A:$AU,47,FALSE)),IF($Z$5="90th Percentile",IF(I49=1,VLOOKUP(A49,'Model Output_TTC'!$A:$BJ,62,FALSE),VLOOKUP(A49,'Model Output_TTC'!$A:$BP,68,FALSE)),IF($Z$5="96th Percentile",IF(I49=1,VLOOKUP(A49,'Model Output_TTC'!$A:$T,20,FALSE),VLOOKUP(A49,'Model Output_TTC'!$A:$Z,26,FALSE)),"")))))))</f>
        <v>7.3000000000000001E-3</v>
      </c>
      <c r="M49" s="274">
        <f>IF('Ref-Data'!I49="Matured","",VLOOKUP(A49,'LGD Data'!A:C,3,0))</f>
        <v>0.43159999999999998</v>
      </c>
      <c r="N49" s="274">
        <f>IF(I49="Matured","",MAX(IFERROR(VLOOKUP(A49,'Updated Ncino PD'!$U:$V,2,FALSE),'Ref-Data'!M49),10%))</f>
        <v>0.43159999999999998</v>
      </c>
      <c r="O49" s="354">
        <f>VLOOKUP(A49,'Loan Book Summary'!C:AE,29,FALSE)</f>
        <v>0</v>
      </c>
      <c r="P49" s="354"/>
      <c r="Q49" s="354">
        <f>IF(I49="Matured","",VLOOKUP(A49,'MacroPD-Cal'!A:N,14,FALSE))</f>
        <v>4.9225105071935005E-3</v>
      </c>
      <c r="R49" s="354">
        <f t="shared" si="7"/>
        <v>0</v>
      </c>
      <c r="S49" s="354">
        <f t="shared" si="8"/>
        <v>2.2176591375770021</v>
      </c>
      <c r="T49" s="354"/>
      <c r="U49" s="354"/>
      <c r="AD49" s="346" t="str">
        <f>VLOOKUP(A49,'Loan Book Summary'!C:E,3,FALSE)</f>
        <v>WHISKEY (BIDCO) LIMITED</v>
      </c>
    </row>
    <row r="50" spans="1:30" x14ac:dyDescent="0.25">
      <c r="A50" s="354">
        <v>1200000116</v>
      </c>
      <c r="B50" s="249">
        <f>VLOOKUP(A50,'Loan Book Summary'!C:W,21,FALSE)</f>
        <v>405001</v>
      </c>
      <c r="C50" s="249">
        <f>VLOOKUP(A50,'Loan Book Summary'!C:AB,26,FALSE)</f>
        <v>405001</v>
      </c>
      <c r="D50" s="398">
        <f>VLOOKUP(A50,'Loan Book Summary'!C:Q,15,FALSE)</f>
        <v>44155</v>
      </c>
      <c r="E50" s="398">
        <f>VLOOKUP(A50,'Loan Book Summary'!C:R,16,FALSE)</f>
        <v>45889</v>
      </c>
      <c r="F50" s="354">
        <f t="shared" si="6"/>
        <v>3.2224503764544834</v>
      </c>
      <c r="G50" s="354"/>
      <c r="H50" s="354"/>
      <c r="I50" s="354">
        <f>IFERROR(VLOOKUP(A50,'Stage 2 loans'!A:D,4,FALSE),1)</f>
        <v>1</v>
      </c>
      <c r="J50" s="354">
        <f>VLOOKUP(A50,Reference_Rate_Repricing_Report!B:P,15,FALSE)</f>
        <v>7.04</v>
      </c>
      <c r="K50" s="354"/>
      <c r="L50" s="274">
        <f>IF(I50="Matured","",IFERROR(VLOOKUP(A50,'Updated Ncino PD'!$A:$B,2,FALSE),IF($Z$2="ON",IF(I50=1,VLOOKUP(A50,'MacroPD-Cal'!A:H,8,FALSE),VLOOKUP(A50,'MacroPD-Cal'!A:O,15,FALSE)),IF($Z$5="Weighted",IF(I50=1,VLOOKUP(A50,'Model Output_TTC'!A:BX,76,FALSE),VLOOKUP(A50,'Model Output_TTC'!A:CD,82,FALSE)),IF($Z$5="Baseline",IF(I50=1,VLOOKUP(A50,'Model Output_TTC'!$A:$AO,41,FALSE),VLOOKUP(A50,'Model Output_TTC'!$A:$AU,47,FALSE)),IF($Z$5="90th Percentile",IF(I50=1,VLOOKUP(A50,'Model Output_TTC'!$A:$BJ,62,FALSE),VLOOKUP(A50,'Model Output_TTC'!$A:$BP,68,FALSE)),IF($Z$5="96th Percentile",IF(I50=1,VLOOKUP(A50,'Model Output_TTC'!$A:$T,20,FALSE),VLOOKUP(A50,'Model Output_TTC'!$A:$Z,26,FALSE)),"")))))))</f>
        <v>5.5999999999999999E-3</v>
      </c>
      <c r="M50" s="274">
        <f>IF('Ref-Data'!I50="Matured","",VLOOKUP(A50,'LGD Data'!A:C,3,0))</f>
        <v>0.1</v>
      </c>
      <c r="N50" s="274">
        <f>IF(I50="Matured","",MAX(IFERROR(VLOOKUP(A50,'Updated Ncino PD'!$U:$V,2,FALSE),'Ref-Data'!M50),10%))</f>
        <v>0.1</v>
      </c>
      <c r="O50" s="354">
        <f>VLOOKUP(A50,'Loan Book Summary'!C:AE,29,FALSE)</f>
        <v>0</v>
      </c>
      <c r="P50" s="354"/>
      <c r="Q50" s="354">
        <f>IF(I50="Matured","",VLOOKUP(A50,'MacroPD-Cal'!A:N,14,FALSE))</f>
        <v>5.5999999999999999E-3</v>
      </c>
      <c r="R50" s="354">
        <f t="shared" si="7"/>
        <v>0</v>
      </c>
      <c r="S50" s="354">
        <f t="shared" si="8"/>
        <v>4.7474332648870634</v>
      </c>
      <c r="T50" s="354"/>
      <c r="U50" s="354"/>
      <c r="AD50" s="346" t="str">
        <f>VLOOKUP(A50,'Loan Book Summary'!C:E,3,FALSE)</f>
        <v>CONSTANT EQUITY ALPHA LIMITED</v>
      </c>
    </row>
    <row r="51" spans="1:30" x14ac:dyDescent="0.25">
      <c r="A51" s="354">
        <v>1200000105</v>
      </c>
      <c r="B51" s="249">
        <f>VLOOKUP(A51,'Loan Book Summary'!C:W,21,FALSE)</f>
        <v>1713000.72</v>
      </c>
      <c r="C51" s="249">
        <f>VLOOKUP(A51,'Loan Book Summary'!C:AB,26,FALSE)</f>
        <v>1713000.72</v>
      </c>
      <c r="D51" s="398">
        <f>VLOOKUP(A51,'Loan Book Summary'!C:Q,15,FALSE)</f>
        <v>44211</v>
      </c>
      <c r="E51" s="398">
        <f>VLOOKUP(A51,'Loan Book Summary'!C:R,16,FALSE)</f>
        <v>46037</v>
      </c>
      <c r="F51" s="354">
        <f t="shared" si="6"/>
        <v>3.6276522929500343</v>
      </c>
      <c r="G51" s="354"/>
      <c r="H51" s="354"/>
      <c r="I51" s="354">
        <f>IFERROR(VLOOKUP(A51,'Stage 2 loans'!A:D,4,FALSE),1)</f>
        <v>1</v>
      </c>
      <c r="J51" s="354">
        <f>VLOOKUP(A51,Reference_Rate_Repricing_Report!B:P,15,FALSE)</f>
        <v>7.09</v>
      </c>
      <c r="K51" s="354"/>
      <c r="L51" s="274">
        <f>IF(I51="Matured","",IFERROR(VLOOKUP(A51,'Updated Ncino PD'!$A:$B,2,FALSE),IF($Z$2="ON",IF(I51=1,VLOOKUP(A51,'MacroPD-Cal'!A:H,8,FALSE),VLOOKUP(A51,'MacroPD-Cal'!A:O,15,FALSE)),IF($Z$5="Weighted",IF(I51=1,VLOOKUP(A51,'Model Output_TTC'!A:BX,76,FALSE),VLOOKUP(A51,'Model Output_TTC'!A:CD,82,FALSE)),IF($Z$5="Baseline",IF(I51=1,VLOOKUP(A51,'Model Output_TTC'!$A:$AO,41,FALSE),VLOOKUP(A51,'Model Output_TTC'!$A:$AU,47,FALSE)),IF($Z$5="90th Percentile",IF(I51=1,VLOOKUP(A51,'Model Output_TTC'!$A:$BJ,62,FALSE),VLOOKUP(A51,'Model Output_TTC'!$A:$BP,68,FALSE)),IF($Z$5="96th Percentile",IF(I51=1,VLOOKUP(A51,'Model Output_TTC'!$A:$T,20,FALSE),VLOOKUP(A51,'Model Output_TTC'!$A:$Z,26,FALSE)),"")))))))</f>
        <v>7.0000000000000001E-3</v>
      </c>
      <c r="M51" s="274">
        <f>IF('Ref-Data'!I51="Matured","",VLOOKUP(A51,'LGD Data'!A:C,3,0))</f>
        <v>0.15</v>
      </c>
      <c r="N51" s="274">
        <f>IF(I51="Matured","",MAX(IFERROR(VLOOKUP(A51,'Updated Ncino PD'!$U:$V,2,FALSE),'Ref-Data'!M51),10%))</f>
        <v>0.15</v>
      </c>
      <c r="O51" s="354">
        <f>VLOOKUP(A51,'Loan Book Summary'!C:AE,29,FALSE)</f>
        <v>0</v>
      </c>
      <c r="P51" s="354"/>
      <c r="Q51" s="354">
        <f>IF(I51="Matured","",VLOOKUP(A51,'MacroPD-Cal'!A:N,14,FALSE))</f>
        <v>7.0000000000000001E-3</v>
      </c>
      <c r="R51" s="354">
        <f t="shared" si="7"/>
        <v>0</v>
      </c>
      <c r="S51" s="354">
        <f t="shared" si="8"/>
        <v>4.9993155373032172</v>
      </c>
      <c r="T51" s="354"/>
      <c r="U51" s="354"/>
      <c r="AD51" s="346" t="str">
        <f>VLOOKUP(A51,'Loan Book Summary'!C:E,3,FALSE)</f>
        <v>ASHTON YATES LTD</v>
      </c>
    </row>
    <row r="52" spans="1:30" x14ac:dyDescent="0.25">
      <c r="A52" s="354">
        <v>1200000106</v>
      </c>
      <c r="B52" s="249">
        <f>VLOOKUP(A52,'Loan Book Summary'!C:W,21,FALSE)</f>
        <v>4156853.67</v>
      </c>
      <c r="C52" s="249">
        <f>VLOOKUP(A52,'Loan Book Summary'!C:AB,26,FALSE)</f>
        <v>4156853.67</v>
      </c>
      <c r="D52" s="398">
        <f>VLOOKUP(A52,'Loan Book Summary'!C:Q,15,FALSE)</f>
        <v>44216</v>
      </c>
      <c r="E52" s="398">
        <f>VLOOKUP(A52,'Loan Book Summary'!C:R,16,FALSE)</f>
        <v>45946</v>
      </c>
      <c r="F52" s="354">
        <f t="shared" si="6"/>
        <v>3.378507871321013</v>
      </c>
      <c r="G52" s="354"/>
      <c r="H52" s="354"/>
      <c r="I52" s="354">
        <f>IFERROR(VLOOKUP(A52,'Stage 2 loans'!A:D,4,FALSE),1)</f>
        <v>1</v>
      </c>
      <c r="J52" s="354">
        <f>VLOOKUP(A52,Reference_Rate_Repricing_Report!B:P,15,FALSE)</f>
        <v>6.78</v>
      </c>
      <c r="K52" s="354"/>
      <c r="L52" s="274">
        <f>IF(I52="Matured","",IFERROR(VLOOKUP(A52,'Updated Ncino PD'!$A:$B,2,FALSE),IF($Z$2="ON",IF(I52=1,VLOOKUP(A52,'MacroPD-Cal'!A:H,8,FALSE),VLOOKUP(A52,'MacroPD-Cal'!A:O,15,FALSE)),IF($Z$5="Weighted",IF(I52=1,VLOOKUP(A52,'Model Output_TTC'!A:BX,76,FALSE),VLOOKUP(A52,'Model Output_TTC'!A:CD,82,FALSE)),IF($Z$5="Baseline",IF(I52=1,VLOOKUP(A52,'Model Output_TTC'!$A:$AO,41,FALSE),VLOOKUP(A52,'Model Output_TTC'!$A:$AU,47,FALSE)),IF($Z$5="90th Percentile",IF(I52=1,VLOOKUP(A52,'Model Output_TTC'!$A:$BJ,62,FALSE),VLOOKUP(A52,'Model Output_TTC'!$A:$BP,68,FALSE)),IF($Z$5="96th Percentile",IF(I52=1,VLOOKUP(A52,'Model Output_TTC'!$A:$T,20,FALSE),VLOOKUP(A52,'Model Output_TTC'!$A:$Z,26,FALSE)),"")))))))</f>
        <v>0.10360000000000001</v>
      </c>
      <c r="M52" s="274">
        <f>IF('Ref-Data'!I52="Matured","",VLOOKUP(A52,'LGD Data'!A:C,3,0))</f>
        <v>0.457881885879943</v>
      </c>
      <c r="N52" s="274">
        <f>IF(I52="Matured","",MAX(IFERROR(VLOOKUP(A52,'Updated Ncino PD'!$U:$V,2,FALSE),'Ref-Data'!M52),10%))</f>
        <v>0.457881885879943</v>
      </c>
      <c r="O52" s="354">
        <f>VLOOKUP(A52,'Loan Book Summary'!C:AE,29,FALSE)</f>
        <v>0</v>
      </c>
      <c r="P52" s="354"/>
      <c r="Q52" s="354">
        <f>IF(I52="Matured","",VLOOKUP(A52,'MacroPD-Cal'!A:N,14,FALSE))</f>
        <v>0.10360000000000001</v>
      </c>
      <c r="R52" s="354">
        <f t="shared" si="7"/>
        <v>0</v>
      </c>
      <c r="S52" s="354">
        <f t="shared" si="8"/>
        <v>4.7364818617385351</v>
      </c>
      <c r="T52" s="354"/>
      <c r="U52" s="354"/>
      <c r="AD52" s="346" t="str">
        <f>VLOOKUP(A52,'Loan Book Summary'!C:E,3,FALSE)</f>
        <v>VISTA BIDCO LIMITED</v>
      </c>
    </row>
    <row r="53" spans="1:30" x14ac:dyDescent="0.25">
      <c r="A53" s="354">
        <v>1200000135</v>
      </c>
      <c r="B53" s="249">
        <f>VLOOKUP(A53,'Loan Book Summary'!C:W,21,FALSE)</f>
        <v>5000000</v>
      </c>
      <c r="C53" s="249">
        <f>VLOOKUP(A53,'Loan Book Summary'!C:AB,26,FALSE)</f>
        <v>4178175.14</v>
      </c>
      <c r="D53" s="398">
        <f>VLOOKUP(A53,'Loan Book Summary'!C:Q,15,FALSE)</f>
        <v>44222</v>
      </c>
      <c r="E53" s="398">
        <f>VLOOKUP(A53,'Loan Book Summary'!C:R,16,FALSE)</f>
        <v>44834</v>
      </c>
      <c r="F53" s="354">
        <f t="shared" si="6"/>
        <v>0.33401779603011633</v>
      </c>
      <c r="G53" s="354"/>
      <c r="H53" s="354"/>
      <c r="I53" s="354">
        <f>IFERROR(VLOOKUP(A53,'Stage 2 loans'!A:D,4,FALSE),1)</f>
        <v>2</v>
      </c>
      <c r="J53" s="354">
        <f>VLOOKUP(A53,Reference_Rate_Repricing_Report!B:P,15,FALSE)</f>
        <v>7.11</v>
      </c>
      <c r="K53" s="354"/>
      <c r="L53" s="274">
        <f>IF(I53="Matured","",IFERROR(VLOOKUP(A53,'Updated Ncino PD'!$A:$B,2,FALSE),IF($Z$2="ON",IF(I53=1,VLOOKUP(A53,'MacroPD-Cal'!A:H,8,FALSE),VLOOKUP(A53,'MacroPD-Cal'!A:O,15,FALSE)),IF($Z$5="Weighted",IF(I53=1,VLOOKUP(A53,'Model Output_TTC'!A:BX,76,FALSE),VLOOKUP(A53,'Model Output_TTC'!A:CD,82,FALSE)),IF($Z$5="Baseline",IF(I53=1,VLOOKUP(A53,'Model Output_TTC'!$A:$AO,41,FALSE),VLOOKUP(A53,'Model Output_TTC'!$A:$AU,47,FALSE)),IF($Z$5="90th Percentile",IF(I53=1,VLOOKUP(A53,'Model Output_TTC'!$A:$BJ,62,FALSE),VLOOKUP(A53,'Model Output_TTC'!$A:$BP,68,FALSE)),IF($Z$5="96th Percentile",IF(I53=1,VLOOKUP(A53,'Model Output_TTC'!$A:$T,20,FALSE),VLOOKUP(A53,'Model Output_TTC'!$A:$Z,26,FALSE)),"")))))))</f>
        <v>0.1411</v>
      </c>
      <c r="M53" s="274">
        <f>IF('Ref-Data'!I53="Matured","",VLOOKUP(A53,'LGD Data'!A:C,3,0))</f>
        <v>0.33850601215969001</v>
      </c>
      <c r="N53" s="274">
        <f>IF(I53="Matured","",MAX(IFERROR(VLOOKUP(A53,'Updated Ncino PD'!$U:$V,2,FALSE),'Ref-Data'!M53),10%))</f>
        <v>0.33850601215969001</v>
      </c>
      <c r="O53" s="354">
        <f>VLOOKUP(A53,'Loan Book Summary'!C:AE,29,FALSE)</f>
        <v>821824.86</v>
      </c>
      <c r="P53" s="354"/>
      <c r="Q53" s="354">
        <f>IF(I53="Matured","",VLOOKUP(A53,'MacroPD-Cal'!A:N,14,FALSE))</f>
        <v>4.9536040084954158E-2</v>
      </c>
      <c r="R53" s="354">
        <f t="shared" si="7"/>
        <v>19626.491884489449</v>
      </c>
      <c r="S53" s="354">
        <f t="shared" si="8"/>
        <v>1.675564681724846</v>
      </c>
      <c r="T53" s="354"/>
      <c r="U53" s="354"/>
      <c r="AD53" s="346" t="str">
        <f>VLOOKUP(A53,'Loan Book Summary'!C:E,3,FALSE)</f>
        <v>LINCOLN PLAZA HOTEL CO LIMITED</v>
      </c>
    </row>
    <row r="54" spans="1:30" x14ac:dyDescent="0.25">
      <c r="A54" s="354">
        <v>1100000119</v>
      </c>
      <c r="B54" s="249">
        <f>VLOOKUP(A54,'Loan Book Summary'!C:W,21,FALSE)</f>
        <v>2999999.95</v>
      </c>
      <c r="C54" s="249">
        <f>VLOOKUP(A54,'Loan Book Summary'!C:AB,26,FALSE)</f>
        <v>2999999.95</v>
      </c>
      <c r="D54" s="398">
        <f>VLOOKUP(A54,'Loan Book Summary'!C:Q,15,FALSE)</f>
        <v>44245</v>
      </c>
      <c r="E54" s="398">
        <f>VLOOKUP(A54,'Loan Book Summary'!C:R,16,FALSE)</f>
        <v>46071</v>
      </c>
      <c r="F54" s="354">
        <f t="shared" si="6"/>
        <v>3.7207392197125255</v>
      </c>
      <c r="G54" s="354"/>
      <c r="H54" s="354"/>
      <c r="I54" s="354">
        <f>IFERROR(VLOOKUP(A54,'Stage 2 loans'!A:D,4,FALSE),1)</f>
        <v>1</v>
      </c>
      <c r="J54" s="354">
        <f>VLOOKUP(A54,Reference_Rate_Repricing_Report!B:P,15,FALSE)</f>
        <v>6.25</v>
      </c>
      <c r="K54" s="354"/>
      <c r="L54" s="274">
        <f>IF(I54="Matured","",IFERROR(VLOOKUP(A54,'Updated Ncino PD'!$A:$B,2,FALSE),IF($Z$2="ON",IF(I54=1,VLOOKUP(A54,'MacroPD-Cal'!A:H,8,FALSE),VLOOKUP(A54,'MacroPD-Cal'!A:O,15,FALSE)),IF($Z$5="Weighted",IF(I54=1,VLOOKUP(A54,'Model Output_TTC'!A:BX,76,FALSE),VLOOKUP(A54,'Model Output_TTC'!A:CD,82,FALSE)),IF($Z$5="Baseline",IF(I54=1,VLOOKUP(A54,'Model Output_TTC'!$A:$AO,41,FALSE),VLOOKUP(A54,'Model Output_TTC'!$A:$AU,47,FALSE)),IF($Z$5="90th Percentile",IF(I54=1,VLOOKUP(A54,'Model Output_TTC'!$A:$BJ,62,FALSE),VLOOKUP(A54,'Model Output_TTC'!$A:$BP,68,FALSE)),IF($Z$5="96th Percentile",IF(I54=1,VLOOKUP(A54,'Model Output_TTC'!$A:$T,20,FALSE),VLOOKUP(A54,'Model Output_TTC'!$A:$Z,26,FALSE)),"")))))))</f>
        <v>3.2000000000000001E-2</v>
      </c>
      <c r="M54" s="274">
        <f>IF('Ref-Data'!I54="Matured","",VLOOKUP(A54,'LGD Data'!A:C,3,0))</f>
        <v>0.44950000000000001</v>
      </c>
      <c r="N54" s="274">
        <f>IF(I54="Matured","",MAX(IFERROR(VLOOKUP(A54,'Updated Ncino PD'!$U:$V,2,FALSE),'Ref-Data'!M54),10%))</f>
        <v>0.44950000000000001</v>
      </c>
      <c r="O54" s="354">
        <f>VLOOKUP(A54,'Loan Book Summary'!C:AE,29,FALSE)</f>
        <v>0</v>
      </c>
      <c r="P54" s="354"/>
      <c r="Q54" s="354">
        <f>IF(I54="Matured","",VLOOKUP(A54,'MacroPD-Cal'!A:N,14,FALSE))</f>
        <v>3.2000000000000001E-2</v>
      </c>
      <c r="R54" s="354">
        <f t="shared" si="7"/>
        <v>0</v>
      </c>
      <c r="S54" s="354">
        <f t="shared" si="8"/>
        <v>4.9993155373032172</v>
      </c>
      <c r="T54" s="354"/>
      <c r="U54" s="354"/>
      <c r="AD54" s="346" t="str">
        <f>VLOOKUP(A54,'Loan Book Summary'!C:E,3,FALSE)</f>
        <v>CULLEN WEALTH HOLDINGS LIMITED</v>
      </c>
    </row>
    <row r="55" spans="1:30" x14ac:dyDescent="0.25">
      <c r="A55" s="354">
        <v>1200000111</v>
      </c>
      <c r="B55" s="249">
        <f>VLOOKUP(A55,'Loan Book Summary'!C:W,21,FALSE)</f>
        <v>266666.56</v>
      </c>
      <c r="C55" s="249">
        <f>VLOOKUP(A55,'Loan Book Summary'!C:AB,26,FALSE)</f>
        <v>266666.56</v>
      </c>
      <c r="D55" s="398">
        <f>VLOOKUP(A55,'Loan Book Summary'!C:Q,15,FALSE)</f>
        <v>44245</v>
      </c>
      <c r="E55" s="398">
        <f>VLOOKUP(A55,'Loan Book Summary'!C:R,16,FALSE)</f>
        <v>45000</v>
      </c>
      <c r="F55" s="354">
        <f t="shared" si="6"/>
        <v>0.7885010266940452</v>
      </c>
      <c r="G55" s="354"/>
      <c r="H55" s="354"/>
      <c r="I55" s="354">
        <f>IFERROR(VLOOKUP(A55,'Stage 2 loans'!A:D,4,FALSE),1)</f>
        <v>1</v>
      </c>
      <c r="J55" s="354">
        <f>VLOOKUP(A55,Reference_Rate_Repricing_Report!B:P,15,FALSE)</f>
        <v>5.87</v>
      </c>
      <c r="K55" s="354"/>
      <c r="L55" s="274">
        <f>IF(I55="Matured","",IFERROR(VLOOKUP(A55,'Updated Ncino PD'!$A:$B,2,FALSE),IF($Z$2="ON",IF(I55=1,VLOOKUP(A55,'MacroPD-Cal'!A:H,8,FALSE),VLOOKUP(A55,'MacroPD-Cal'!A:O,15,FALSE)),IF($Z$5="Weighted",IF(I55=1,VLOOKUP(A55,'Model Output_TTC'!A:BX,76,FALSE),VLOOKUP(A55,'Model Output_TTC'!A:CD,82,FALSE)),IF($Z$5="Baseline",IF(I55=1,VLOOKUP(A55,'Model Output_TTC'!$A:$AO,41,FALSE),VLOOKUP(A55,'Model Output_TTC'!$A:$AU,47,FALSE)),IF($Z$5="90th Percentile",IF(I55=1,VLOOKUP(A55,'Model Output_TTC'!$A:$BJ,62,FALSE),VLOOKUP(A55,'Model Output_TTC'!$A:$BP,68,FALSE)),IF($Z$5="96th Percentile",IF(I55=1,VLOOKUP(A55,'Model Output_TTC'!$A:$T,20,FALSE),VLOOKUP(A55,'Model Output_TTC'!$A:$Z,26,FALSE)),"")))))))</f>
        <v>5.0000000000000001E-3</v>
      </c>
      <c r="M55" s="274">
        <f>IF('Ref-Data'!I55="Matured","",VLOOKUP(A55,'LGD Data'!A:C,3,0))</f>
        <v>0.21205137936335117</v>
      </c>
      <c r="N55" s="274">
        <f>IF(I55="Matured","",MAX(IFERROR(VLOOKUP(A55,'Updated Ncino PD'!$U:$V,2,FALSE),'Ref-Data'!M55),10%))</f>
        <v>0.21205137936335117</v>
      </c>
      <c r="O55" s="354">
        <f>VLOOKUP(A55,'Loan Book Summary'!C:AE,29,FALSE)</f>
        <v>0</v>
      </c>
      <c r="P55" s="354"/>
      <c r="Q55" s="354">
        <f>IF(I55="Matured","",VLOOKUP(A55,'MacroPD-Cal'!A:N,14,FALSE))</f>
        <v>3.9445939437432465E-3</v>
      </c>
      <c r="R55" s="354">
        <f t="shared" si="7"/>
        <v>0</v>
      </c>
      <c r="S55" s="354">
        <f t="shared" si="8"/>
        <v>2.0670773442847366</v>
      </c>
      <c r="T55" s="354"/>
      <c r="U55" s="354"/>
      <c r="AD55" s="346" t="str">
        <f>VLOOKUP(A55,'Loan Book Summary'!C:E,3,FALSE)</f>
        <v>LAR GROUP LIMITED</v>
      </c>
    </row>
    <row r="56" spans="1:30" x14ac:dyDescent="0.25">
      <c r="A56" s="354">
        <v>1200000112</v>
      </c>
      <c r="B56" s="249">
        <f>VLOOKUP(A56,'Loan Book Summary'!C:W,21,FALSE)</f>
        <v>300000</v>
      </c>
      <c r="C56" s="249">
        <f>VLOOKUP(A56,'Loan Book Summary'!C:AB,26,FALSE)</f>
        <v>100</v>
      </c>
      <c r="D56" s="398">
        <f>VLOOKUP(A56,'Loan Book Summary'!C:Q,15,FALSE)</f>
        <v>44245</v>
      </c>
      <c r="E56" s="398">
        <f>VLOOKUP(A56,'Loan Book Summary'!C:R,16,FALSE)</f>
        <v>44977</v>
      </c>
      <c r="F56" s="354">
        <f t="shared" si="6"/>
        <v>0.72553045859000687</v>
      </c>
      <c r="G56" s="354"/>
      <c r="H56" s="354"/>
      <c r="I56" s="354">
        <f>IFERROR(VLOOKUP(A56,'Stage 2 loans'!A:D,4,FALSE),1)</f>
        <v>1</v>
      </c>
      <c r="J56" s="354">
        <f>VLOOKUP(A56,Reference_Rate_Repricing_Report!B:P,15,FALSE)</f>
        <v>5.76</v>
      </c>
      <c r="K56" s="354"/>
      <c r="L56" s="274">
        <f>IF(I56="Matured","",IFERROR(VLOOKUP(A56,'Updated Ncino PD'!$A:$B,2,FALSE),IF($Z$2="ON",IF(I56=1,VLOOKUP(A56,'MacroPD-Cal'!A:H,8,FALSE),VLOOKUP(A56,'MacroPD-Cal'!A:O,15,FALSE)),IF($Z$5="Weighted",IF(I56=1,VLOOKUP(A56,'Model Output_TTC'!A:BX,76,FALSE),VLOOKUP(A56,'Model Output_TTC'!A:CD,82,FALSE)),IF($Z$5="Baseline",IF(I56=1,VLOOKUP(A56,'Model Output_TTC'!$A:$AO,41,FALSE),VLOOKUP(A56,'Model Output_TTC'!$A:$AU,47,FALSE)),IF($Z$5="90th Percentile",IF(I56=1,VLOOKUP(A56,'Model Output_TTC'!$A:$BJ,62,FALSE),VLOOKUP(A56,'Model Output_TTC'!$A:$BP,68,FALSE)),IF($Z$5="96th Percentile",IF(I56=1,VLOOKUP(A56,'Model Output_TTC'!$A:$T,20,FALSE),VLOOKUP(A56,'Model Output_TTC'!$A:$Z,26,FALSE)),"")))))))</f>
        <v>5.0000000000000001E-3</v>
      </c>
      <c r="M56" s="274">
        <f>IF('Ref-Data'!I56="Matured","",VLOOKUP(A56,'LGD Data'!A:C,3,0))</f>
        <v>0.21205137936335117</v>
      </c>
      <c r="N56" s="274">
        <f>IF(I56="Matured","",MAX(IFERROR(VLOOKUP(A56,'Updated Ncino PD'!$U:$V,2,FALSE),'Ref-Data'!M56),10%))</f>
        <v>0.21205137936335117</v>
      </c>
      <c r="O56" s="354">
        <f>VLOOKUP(A56,'Loan Book Summary'!C:AE,29,FALSE)</f>
        <v>299900</v>
      </c>
      <c r="P56" s="354"/>
      <c r="Q56" s="354">
        <f>IF(I56="Matured","",VLOOKUP(A56,'MacroPD-Cal'!A:N,14,FALSE))</f>
        <v>3.6301467955345279E-3</v>
      </c>
      <c r="R56" s="354">
        <f t="shared" si="7"/>
        <v>158.98552167767255</v>
      </c>
      <c r="S56" s="354">
        <f t="shared" si="8"/>
        <v>2.0041067761806981</v>
      </c>
      <c r="T56" s="354"/>
      <c r="U56" s="354"/>
      <c r="AD56" s="346" t="str">
        <f>VLOOKUP(A56,'Loan Book Summary'!C:E,3,FALSE)</f>
        <v>LAR GROUP LIMITED</v>
      </c>
    </row>
    <row r="57" spans="1:30" x14ac:dyDescent="0.25">
      <c r="A57" s="354">
        <v>1200000108</v>
      </c>
      <c r="B57" s="249">
        <f>VLOOKUP(A57,'Loan Book Summary'!C:W,21,FALSE)</f>
        <v>992000</v>
      </c>
      <c r="C57" s="249">
        <f>VLOOKUP(A57,'Loan Book Summary'!C:AB,26,FALSE)</f>
        <v>992000</v>
      </c>
      <c r="D57" s="398">
        <f>VLOOKUP(A57,'Loan Book Summary'!C:Q,15,FALSE)</f>
        <v>44249</v>
      </c>
      <c r="E57" s="398">
        <f>VLOOKUP(A57,'Loan Book Summary'!C:R,16,FALSE)</f>
        <v>45467</v>
      </c>
      <c r="F57" s="354">
        <f t="shared" si="6"/>
        <v>2.0670773442847366</v>
      </c>
      <c r="G57" s="354"/>
      <c r="H57" s="354"/>
      <c r="I57" s="354">
        <f>IFERROR(VLOOKUP(A57,'Stage 2 loans'!A:D,4,FALSE),1)</f>
        <v>1</v>
      </c>
      <c r="J57" s="354">
        <f>VLOOKUP(A57,Reference_Rate_Repricing_Report!B:P,15,FALSE)</f>
        <v>7.34</v>
      </c>
      <c r="K57" s="354"/>
      <c r="L57" s="274">
        <f>IF(I57="Matured","",IFERROR(VLOOKUP(A57,'Updated Ncino PD'!$A:$B,2,FALSE),IF($Z$2="ON",IF(I57=1,VLOOKUP(A57,'MacroPD-Cal'!A:H,8,FALSE),VLOOKUP(A57,'MacroPD-Cal'!A:O,15,FALSE)),IF($Z$5="Weighted",IF(I57=1,VLOOKUP(A57,'Model Output_TTC'!A:BX,76,FALSE),VLOOKUP(A57,'Model Output_TTC'!A:CD,82,FALSE)),IF($Z$5="Baseline",IF(I57=1,VLOOKUP(A57,'Model Output_TTC'!$A:$AO,41,FALSE),VLOOKUP(A57,'Model Output_TTC'!$A:$AU,47,FALSE)),IF($Z$5="90th Percentile",IF(I57=1,VLOOKUP(A57,'Model Output_TTC'!$A:$BJ,62,FALSE),VLOOKUP(A57,'Model Output_TTC'!$A:$BP,68,FALSE)),IF($Z$5="96th Percentile",IF(I57=1,VLOOKUP(A57,'Model Output_TTC'!$A:$T,20,FALSE),VLOOKUP(A57,'Model Output_TTC'!$A:$Z,26,FALSE)),"")))))))</f>
        <v>1.3800000000000002E-2</v>
      </c>
      <c r="M57" s="274">
        <f>IF('Ref-Data'!I57="Matured","",VLOOKUP(A57,'LGD Data'!A:C,3,0))</f>
        <v>0.44550000000000001</v>
      </c>
      <c r="N57" s="274">
        <f>IF(I57="Matured","",MAX(IFERROR(VLOOKUP(A57,'Updated Ncino PD'!$U:$V,2,FALSE),'Ref-Data'!M57),10%))</f>
        <v>0.44550000000000001</v>
      </c>
      <c r="O57" s="354">
        <f>VLOOKUP(A57,'Loan Book Summary'!C:AE,29,FALSE)</f>
        <v>0</v>
      </c>
      <c r="P57" s="354"/>
      <c r="Q57" s="354">
        <f>IF(I57="Matured","",VLOOKUP(A57,'MacroPD-Cal'!A:N,14,FALSE))</f>
        <v>1.3800000000000002E-2</v>
      </c>
      <c r="R57" s="354">
        <f t="shared" si="7"/>
        <v>0</v>
      </c>
      <c r="S57" s="354">
        <f t="shared" si="8"/>
        <v>3.3347022587268995</v>
      </c>
      <c r="T57" s="354"/>
      <c r="U57" s="354"/>
      <c r="AD57" s="346" t="str">
        <f>VLOOKUP(A57,'Loan Book Summary'!C:E,3,FALSE)</f>
        <v>BXTR LTD, BXTR MCH LTD, BXTR 3 LTD</v>
      </c>
    </row>
    <row r="58" spans="1:30" x14ac:dyDescent="0.25">
      <c r="A58" s="354">
        <v>1100000126</v>
      </c>
      <c r="B58" s="249">
        <f>VLOOKUP(A58,'Loan Book Summary'!C:W,21,FALSE)</f>
        <v>833332</v>
      </c>
      <c r="C58" s="249">
        <f>VLOOKUP(A58,'Loan Book Summary'!C:AB,26,FALSE)</f>
        <v>833332</v>
      </c>
      <c r="D58" s="398">
        <f>VLOOKUP(A58,'Loan Book Summary'!C:Q,15,FALSE)</f>
        <v>44256</v>
      </c>
      <c r="E58" s="398">
        <f>VLOOKUP(A58,'Loan Book Summary'!C:R,16,FALSE)</f>
        <v>45352</v>
      </c>
      <c r="F58" s="354">
        <f t="shared" si="6"/>
        <v>1.7522245037645447</v>
      </c>
      <c r="G58" s="354"/>
      <c r="H58" s="354"/>
      <c r="I58" s="354">
        <f>IFERROR(VLOOKUP(A58,'Stage 2 loans'!A:D,4,FALSE),1)</f>
        <v>1</v>
      </c>
      <c r="J58" s="354">
        <f>VLOOKUP(A58,Reference_Rate_Repricing_Report!B:P,15,FALSE)</f>
        <v>6.5</v>
      </c>
      <c r="K58" s="354"/>
      <c r="L58" s="274">
        <f>IF(I58="Matured","",IFERROR(VLOOKUP(A58,'Updated Ncino PD'!$A:$B,2,FALSE),IF($Z$2="ON",IF(I58=1,VLOOKUP(A58,'MacroPD-Cal'!A:H,8,FALSE),VLOOKUP(A58,'MacroPD-Cal'!A:O,15,FALSE)),IF($Z$5="Weighted",IF(I58=1,VLOOKUP(A58,'Model Output_TTC'!A:BX,76,FALSE),VLOOKUP(A58,'Model Output_TTC'!A:CD,82,FALSE)),IF($Z$5="Baseline",IF(I58=1,VLOOKUP(A58,'Model Output_TTC'!$A:$AO,41,FALSE),VLOOKUP(A58,'Model Output_TTC'!$A:$AU,47,FALSE)),IF($Z$5="90th Percentile",IF(I58=1,VLOOKUP(A58,'Model Output_TTC'!$A:$BJ,62,FALSE),VLOOKUP(A58,'Model Output_TTC'!$A:$BP,68,FALSE)),IF($Z$5="96th Percentile",IF(I58=1,VLOOKUP(A58,'Model Output_TTC'!$A:$T,20,FALSE),VLOOKUP(A58,'Model Output_TTC'!$A:$Z,26,FALSE)),"")))))))</f>
        <v>3.4000000000000002E-3</v>
      </c>
      <c r="M58" s="274">
        <f>IF('Ref-Data'!I58="Matured","",VLOOKUP(A58,'LGD Data'!A:C,3,0))</f>
        <v>0.44550000000000001</v>
      </c>
      <c r="N58" s="274">
        <f>IF(I58="Matured","",MAX(IFERROR(VLOOKUP(A58,'Updated Ncino PD'!$U:$V,2,FALSE),'Ref-Data'!M58),10%))</f>
        <v>0.44550000000000001</v>
      </c>
      <c r="O58" s="354">
        <f>VLOOKUP(A58,'Loan Book Summary'!C:AE,29,FALSE)</f>
        <v>0</v>
      </c>
      <c r="P58" s="354"/>
      <c r="Q58" s="354">
        <f>IF(I58="Matured","",VLOOKUP(A58,'MacroPD-Cal'!A:N,14,FALSE))</f>
        <v>3.4000000000000002E-3</v>
      </c>
      <c r="R58" s="354">
        <f t="shared" si="7"/>
        <v>0</v>
      </c>
      <c r="S58" s="354">
        <f t="shared" si="8"/>
        <v>3.0006844626967832</v>
      </c>
      <c r="T58" s="354"/>
      <c r="U58" s="354"/>
      <c r="AD58" s="346" t="str">
        <f>VLOOKUP(A58,'Loan Book Summary'!C:E,3,FALSE)</f>
        <v>FARRELLY ENERGY SOLUTIONS LIMITED AND FBS INTELLIGENT ENGINEERING (IE) LIMITED</v>
      </c>
    </row>
    <row r="59" spans="1:30" x14ac:dyDescent="0.25">
      <c r="A59" s="354">
        <v>1100000128</v>
      </c>
      <c r="B59" s="249">
        <f>VLOOKUP(A59,'Loan Book Summary'!C:W,21,FALSE)</f>
        <v>5000000</v>
      </c>
      <c r="C59" s="249">
        <f>VLOOKUP(A59,'Loan Book Summary'!C:AB,26,FALSE)</f>
        <v>0</v>
      </c>
      <c r="D59" s="398">
        <f>VLOOKUP(A59,'Loan Book Summary'!C:Q,15,FALSE)</f>
        <v>44271</v>
      </c>
      <c r="E59" s="398">
        <f>VLOOKUP(A59,'Loan Book Summary'!C:R,16,FALSE)</f>
        <v>46007</v>
      </c>
      <c r="F59" s="354">
        <f t="shared" si="6"/>
        <v>3.5455167693360714</v>
      </c>
      <c r="G59" s="354"/>
      <c r="H59" s="354"/>
      <c r="I59" s="354">
        <f>IFERROR(VLOOKUP(A59,'Stage 2 loans'!A:D,4,FALSE),1)</f>
        <v>1</v>
      </c>
      <c r="J59" s="354">
        <f>VLOOKUP(A59,Reference_Rate_Repricing_Report!B:P,15,FALSE)</f>
        <v>5.25</v>
      </c>
      <c r="K59" s="354"/>
      <c r="L59" s="274">
        <f>IF(I59="Matured","",IFERROR(VLOOKUP(A59,'Updated Ncino PD'!$A:$B,2,FALSE),IF($Z$2="ON",IF(I59=1,VLOOKUP(A59,'MacroPD-Cal'!A:H,8,FALSE),VLOOKUP(A59,'MacroPD-Cal'!A:O,15,FALSE)),IF($Z$5="Weighted",IF(I59=1,VLOOKUP(A59,'Model Output_TTC'!A:BX,76,FALSE),VLOOKUP(A59,'Model Output_TTC'!A:CD,82,FALSE)),IF($Z$5="Baseline",IF(I59=1,VLOOKUP(A59,'Model Output_TTC'!$A:$AO,41,FALSE),VLOOKUP(A59,'Model Output_TTC'!$A:$AU,47,FALSE)),IF($Z$5="90th Percentile",IF(I59=1,VLOOKUP(A59,'Model Output_TTC'!$A:$BJ,62,FALSE),VLOOKUP(A59,'Model Output_TTC'!$A:$BP,68,FALSE)),IF($Z$5="96th Percentile",IF(I59=1,VLOOKUP(A59,'Model Output_TTC'!$A:$T,20,FALSE),VLOOKUP(A59,'Model Output_TTC'!$A:$Z,26,FALSE)),"")))))))</f>
        <v>7.3000000000000001E-3</v>
      </c>
      <c r="M59" s="274">
        <f>IF('Ref-Data'!I59="Matured","",VLOOKUP(A59,'LGD Data'!A:C,3,0))</f>
        <v>0.40620000000000001</v>
      </c>
      <c r="N59" s="274">
        <f>IF(I59="Matured","",MAX(IFERROR(VLOOKUP(A59,'Updated Ncino PD'!$U:$V,2,FALSE),'Ref-Data'!M59),10%))</f>
        <v>0.40620000000000001</v>
      </c>
      <c r="O59" s="354">
        <f>VLOOKUP(A59,'Loan Book Summary'!C:AE,29,FALSE)</f>
        <v>5000000</v>
      </c>
      <c r="P59" s="354"/>
      <c r="Q59" s="354">
        <f>IF(I59="Matured","",VLOOKUP(A59,'MacroPD-Cal'!A:N,14,FALSE))</f>
        <v>7.3000000000000001E-3</v>
      </c>
      <c r="R59" s="354">
        <f t="shared" si="7"/>
        <v>7413.15</v>
      </c>
      <c r="S59" s="354">
        <f t="shared" si="8"/>
        <v>4.7529089664613275</v>
      </c>
      <c r="T59" s="354"/>
      <c r="U59" s="354"/>
      <c r="AD59" s="346" t="str">
        <f>VLOOKUP(A59,'Loan Book Summary'!C:E,3,FALSE)</f>
        <v>LEARNING CURVE GROUP LIMITED / GENIUS BIDCO LIMITED / BOYD BIDCO LIMITED</v>
      </c>
    </row>
    <row r="60" spans="1:30" x14ac:dyDescent="0.25">
      <c r="A60" s="354">
        <v>1100000136</v>
      </c>
      <c r="B60" s="249">
        <f>VLOOKUP(A60,'Loan Book Summary'!C:W,21,FALSE)</f>
        <v>2312500</v>
      </c>
      <c r="C60" s="249">
        <f>VLOOKUP(A60,'Loan Book Summary'!C:AB,26,FALSE)</f>
        <v>2312500</v>
      </c>
      <c r="D60" s="398">
        <f>VLOOKUP(A60,'Loan Book Summary'!C:Q,15,FALSE)</f>
        <v>44281</v>
      </c>
      <c r="E60" s="398">
        <f>VLOOKUP(A60,'Loan Book Summary'!C:R,16,FALSE)</f>
        <v>46107</v>
      </c>
      <c r="F60" s="354">
        <f t="shared" si="6"/>
        <v>3.8193018480492813</v>
      </c>
      <c r="G60" s="354"/>
      <c r="H60" s="354"/>
      <c r="I60" s="354">
        <f>IFERROR(VLOOKUP(A60,'Stage 2 loans'!A:D,4,FALSE),1)</f>
        <v>1</v>
      </c>
      <c r="J60" s="354">
        <f>VLOOKUP(A60,Reference_Rate_Repricing_Report!B:P,15,FALSE)</f>
        <v>6.9</v>
      </c>
      <c r="K60" s="354"/>
      <c r="L60" s="274">
        <f>IF(I60="Matured","",IFERROR(VLOOKUP(A60,'Updated Ncino PD'!$A:$B,2,FALSE),IF($Z$2="ON",IF(I60=1,VLOOKUP(A60,'MacroPD-Cal'!A:H,8,FALSE),VLOOKUP(A60,'MacroPD-Cal'!A:O,15,FALSE)),IF($Z$5="Weighted",IF(I60=1,VLOOKUP(A60,'Model Output_TTC'!A:BX,76,FALSE),VLOOKUP(A60,'Model Output_TTC'!A:CD,82,FALSE)),IF($Z$5="Baseline",IF(I60=1,VLOOKUP(A60,'Model Output_TTC'!$A:$AO,41,FALSE),VLOOKUP(A60,'Model Output_TTC'!$A:$AU,47,FALSE)),IF($Z$5="90th Percentile",IF(I60=1,VLOOKUP(A60,'Model Output_TTC'!$A:$BJ,62,FALSE),VLOOKUP(A60,'Model Output_TTC'!$A:$BP,68,FALSE)),IF($Z$5="96th Percentile",IF(I60=1,VLOOKUP(A60,'Model Output_TTC'!$A:$T,20,FALSE),VLOOKUP(A60,'Model Output_TTC'!$A:$Z,26,FALSE)),"")))))))</f>
        <v>1.9300000000000001E-2</v>
      </c>
      <c r="M60" s="274">
        <f>IF('Ref-Data'!I60="Matured","",VLOOKUP(A60,'LGD Data'!A:C,3,0))</f>
        <v>0.1</v>
      </c>
      <c r="N60" s="274">
        <f>IF(I60="Matured","",MAX(IFERROR(VLOOKUP(A60,'Updated Ncino PD'!$U:$V,2,FALSE),'Ref-Data'!M60),10%))</f>
        <v>0.1</v>
      </c>
      <c r="O60" s="354">
        <f>VLOOKUP(A60,'Loan Book Summary'!C:AE,29,FALSE)</f>
        <v>0</v>
      </c>
      <c r="P60" s="354"/>
      <c r="Q60" s="354">
        <f>IF(I60="Matured","",VLOOKUP(A60,'MacroPD-Cal'!A:N,14,FALSE))</f>
        <v>1.9300000000000001E-2</v>
      </c>
      <c r="R60" s="354">
        <f t="shared" si="7"/>
        <v>0</v>
      </c>
      <c r="S60" s="354">
        <f t="shared" si="8"/>
        <v>4.9993155373032172</v>
      </c>
      <c r="T60" s="354"/>
      <c r="U60" s="354"/>
      <c r="AD60" s="346" t="str">
        <f>VLOOKUP(A60,'Loan Book Summary'!C:E,3,FALSE)</f>
        <v>DUMBLETON HALL HOTEL PROPERTY COMPANY LIMITED</v>
      </c>
    </row>
    <row r="61" spans="1:30" x14ac:dyDescent="0.25">
      <c r="A61" s="354">
        <v>1200000117</v>
      </c>
      <c r="B61" s="249">
        <f>VLOOKUP(A61,'Loan Book Summary'!C:W,21,FALSE)</f>
        <v>3000000</v>
      </c>
      <c r="C61" s="249">
        <f>VLOOKUP(A61,'Loan Book Summary'!C:AB,26,FALSE)</f>
        <v>3000000</v>
      </c>
      <c r="D61" s="398">
        <f>VLOOKUP(A61,'Loan Book Summary'!C:Q,15,FALSE)</f>
        <v>44298</v>
      </c>
      <c r="E61" s="398">
        <f>VLOOKUP(A61,'Loan Book Summary'!C:R,16,FALSE)</f>
        <v>46489</v>
      </c>
      <c r="F61" s="354">
        <f t="shared" si="6"/>
        <v>4.8651608487337441</v>
      </c>
      <c r="G61" s="354"/>
      <c r="H61" s="354"/>
      <c r="I61" s="354">
        <f>IFERROR(VLOOKUP(A61,'Stage 2 loans'!A:D,4,FALSE),1)</f>
        <v>1</v>
      </c>
      <c r="J61" s="354">
        <f>VLOOKUP(A61,Reference_Rate_Repricing_Report!B:P,15,FALSE)</f>
        <v>6.25</v>
      </c>
      <c r="K61" s="354"/>
      <c r="L61" s="274">
        <f>IF(I61="Matured","",IFERROR(VLOOKUP(A61,'Updated Ncino PD'!$A:$B,2,FALSE),IF($Z$2="ON",IF(I61=1,VLOOKUP(A61,'MacroPD-Cal'!A:H,8,FALSE),VLOOKUP(A61,'MacroPD-Cal'!A:O,15,FALSE)),IF($Z$5="Weighted",IF(I61=1,VLOOKUP(A61,'Model Output_TTC'!A:BX,76,FALSE),VLOOKUP(A61,'Model Output_TTC'!A:CD,82,FALSE)),IF($Z$5="Baseline",IF(I61=1,VLOOKUP(A61,'Model Output_TTC'!$A:$AO,41,FALSE),VLOOKUP(A61,'Model Output_TTC'!$A:$AU,47,FALSE)),IF($Z$5="90th Percentile",IF(I61=1,VLOOKUP(A61,'Model Output_TTC'!$A:$BJ,62,FALSE),VLOOKUP(A61,'Model Output_TTC'!$A:$BP,68,FALSE)),IF($Z$5="96th Percentile",IF(I61=1,VLOOKUP(A61,'Model Output_TTC'!$A:$T,20,FALSE),VLOOKUP(A61,'Model Output_TTC'!$A:$Z,26,FALSE)),"")))))))</f>
        <v>1.2100000000000001E-2</v>
      </c>
      <c r="M61" s="274">
        <f>IF('Ref-Data'!I61="Matured","",VLOOKUP(A61,'LGD Data'!A:C,3,0))</f>
        <v>0.15</v>
      </c>
      <c r="N61" s="274">
        <f>IF(I61="Matured","",MAX(IFERROR(VLOOKUP(A61,'Updated Ncino PD'!$U:$V,2,FALSE),'Ref-Data'!M61),10%))</f>
        <v>0.15</v>
      </c>
      <c r="O61" s="354">
        <f>VLOOKUP(A61,'Loan Book Summary'!C:AE,29,FALSE)</f>
        <v>0</v>
      </c>
      <c r="P61" s="354"/>
      <c r="Q61" s="354">
        <f>IF(I61="Matured","",VLOOKUP(A61,'MacroPD-Cal'!A:N,14,FALSE))</f>
        <v>1.2100000000000001E-2</v>
      </c>
      <c r="R61" s="354">
        <f t="shared" si="7"/>
        <v>0</v>
      </c>
      <c r="S61" s="354">
        <f t="shared" si="8"/>
        <v>5.9986310746064335</v>
      </c>
      <c r="T61" s="354"/>
      <c r="U61" s="354"/>
      <c r="AD61" s="346" t="str">
        <f>VLOOKUP(A61,'Loan Book Summary'!C:E,3,FALSE)</f>
        <v>SIGNET HOTELS (HAMPTON COURT - PROPERTY) LTD</v>
      </c>
    </row>
    <row r="62" spans="1:30" x14ac:dyDescent="0.25">
      <c r="A62" s="354">
        <v>1100000150</v>
      </c>
      <c r="B62" s="249">
        <f>VLOOKUP(A62,'Loan Book Summary'!C:W,21,FALSE)</f>
        <v>3300873.9</v>
      </c>
      <c r="C62" s="249">
        <f>VLOOKUP(A62,'Loan Book Summary'!C:AB,26,FALSE)</f>
        <v>3300873.9</v>
      </c>
      <c r="D62" s="398">
        <f>VLOOKUP(A62,'Loan Book Summary'!C:Q,15,FALSE)</f>
        <v>44298</v>
      </c>
      <c r="E62" s="398">
        <f>VLOOKUP(A62,'Loan Book Summary'!C:R,16,FALSE)</f>
        <v>46125</v>
      </c>
      <c r="F62" s="354">
        <f t="shared" si="6"/>
        <v>3.868583162217659</v>
      </c>
      <c r="G62" s="354"/>
      <c r="H62" s="354"/>
      <c r="I62" s="354">
        <f>IFERROR(VLOOKUP(A62,'Stage 2 loans'!A:D,4,FALSE),1)</f>
        <v>1</v>
      </c>
      <c r="J62" s="354">
        <f>VLOOKUP(A62,Reference_Rate_Repricing_Report!B:P,15,FALSE)</f>
        <v>5.25</v>
      </c>
      <c r="K62" s="354"/>
      <c r="L62" s="274">
        <f>IF(I62="Matured","",IFERROR(VLOOKUP(A62,'Updated Ncino PD'!$A:$B,2,FALSE),IF($Z$2="ON",IF(I62=1,VLOOKUP(A62,'MacroPD-Cal'!A:H,8,FALSE),VLOOKUP(A62,'MacroPD-Cal'!A:O,15,FALSE)),IF($Z$5="Weighted",IF(I62=1,VLOOKUP(A62,'Model Output_TTC'!A:BX,76,FALSE),VLOOKUP(A62,'Model Output_TTC'!A:CD,82,FALSE)),IF($Z$5="Baseline",IF(I62=1,VLOOKUP(A62,'Model Output_TTC'!$A:$AO,41,FALSE),VLOOKUP(A62,'Model Output_TTC'!$A:$AU,47,FALSE)),IF($Z$5="90th Percentile",IF(I62=1,VLOOKUP(A62,'Model Output_TTC'!$A:$BJ,62,FALSE),VLOOKUP(A62,'Model Output_TTC'!$A:$BP,68,FALSE)),IF($Z$5="96th Percentile",IF(I62=1,VLOOKUP(A62,'Model Output_TTC'!$A:$T,20,FALSE),VLOOKUP(A62,'Model Output_TTC'!$A:$Z,26,FALSE)),"")))))))</f>
        <v>1.2100000000000001E-2</v>
      </c>
      <c r="M62" s="274">
        <f>IF('Ref-Data'!I62="Matured","",VLOOKUP(A62,'LGD Data'!A:C,3,0))</f>
        <v>0.15</v>
      </c>
      <c r="N62" s="274">
        <f>IF(I62="Matured","",MAX(IFERROR(VLOOKUP(A62,'Updated Ncino PD'!$U:$V,2,FALSE),'Ref-Data'!M62),10%))</f>
        <v>0.15</v>
      </c>
      <c r="O62" s="354">
        <f>VLOOKUP(A62,'Loan Book Summary'!C:AE,29,FALSE)</f>
        <v>0</v>
      </c>
      <c r="P62" s="354"/>
      <c r="Q62" s="354">
        <f>IF(I62="Matured","",VLOOKUP(A62,'MacroPD-Cal'!A:N,14,FALSE))</f>
        <v>1.2100000000000001E-2</v>
      </c>
      <c r="R62" s="354">
        <f t="shared" si="7"/>
        <v>0</v>
      </c>
      <c r="S62" s="354">
        <f t="shared" si="8"/>
        <v>5.0020533880903493</v>
      </c>
      <c r="T62" s="354"/>
      <c r="U62" s="354"/>
      <c r="AD62" s="346" t="str">
        <f>VLOOKUP(A62,'Loan Book Summary'!C:E,3,FALSE)</f>
        <v>SIGNET HOTELS (HAMPTON COURT - PROPERTY) LTD</v>
      </c>
    </row>
    <row r="63" spans="1:30" x14ac:dyDescent="0.25">
      <c r="A63" s="354">
        <v>1200000118</v>
      </c>
      <c r="B63" s="249">
        <f>VLOOKUP(A63,'Loan Book Summary'!C:W,21,FALSE)</f>
        <v>5000000</v>
      </c>
      <c r="C63" s="249">
        <f>VLOOKUP(A63,'Loan Book Summary'!C:AB,26,FALSE)</f>
        <v>5000000</v>
      </c>
      <c r="D63" s="398">
        <f>VLOOKUP(A63,'Loan Book Summary'!C:Q,15,FALSE)</f>
        <v>44307</v>
      </c>
      <c r="E63" s="398">
        <f>VLOOKUP(A63,'Loan Book Summary'!C:R,16,FALSE)</f>
        <v>46139</v>
      </c>
      <c r="F63" s="354">
        <f t="shared" si="6"/>
        <v>3.9069130732375084</v>
      </c>
      <c r="G63" s="354"/>
      <c r="H63" s="354"/>
      <c r="I63" s="354">
        <f>IFERROR(VLOOKUP(A63,'Stage 2 loans'!A:D,4,FALSE),1)</f>
        <v>1</v>
      </c>
      <c r="J63" s="354">
        <f>VLOOKUP(A63,Reference_Rate_Repricing_Report!B:P,15,FALSE)</f>
        <v>7.59</v>
      </c>
      <c r="K63" s="354"/>
      <c r="L63" s="274">
        <f>IF(I63="Matured","",IFERROR(VLOOKUP(A63,'Updated Ncino PD'!$A:$B,2,FALSE),IF($Z$2="ON",IF(I63=1,VLOOKUP(A63,'MacroPD-Cal'!A:H,8,FALSE),VLOOKUP(A63,'MacroPD-Cal'!A:O,15,FALSE)),IF($Z$5="Weighted",IF(I63=1,VLOOKUP(A63,'Model Output_TTC'!A:BX,76,FALSE),VLOOKUP(A63,'Model Output_TTC'!A:CD,82,FALSE)),IF($Z$5="Baseline",IF(I63=1,VLOOKUP(A63,'Model Output_TTC'!$A:$AO,41,FALSE),VLOOKUP(A63,'Model Output_TTC'!$A:$AU,47,FALSE)),IF($Z$5="90th Percentile",IF(I63=1,VLOOKUP(A63,'Model Output_TTC'!$A:$BJ,62,FALSE),VLOOKUP(A63,'Model Output_TTC'!$A:$BP,68,FALSE)),IF($Z$5="96th Percentile",IF(I63=1,VLOOKUP(A63,'Model Output_TTC'!$A:$T,20,FALSE),VLOOKUP(A63,'Model Output_TTC'!$A:$Z,26,FALSE)),"")))))))</f>
        <v>2.23E-2</v>
      </c>
      <c r="M63" s="274">
        <f>IF('Ref-Data'!I63="Matured","",VLOOKUP(A63,'LGD Data'!A:C,3,0))</f>
        <v>0.15</v>
      </c>
      <c r="N63" s="274">
        <f>IF(I63="Matured","",MAX(IFERROR(VLOOKUP(A63,'Updated Ncino PD'!$U:$V,2,FALSE),'Ref-Data'!M63),10%))</f>
        <v>0.15</v>
      </c>
      <c r="O63" s="354">
        <f>VLOOKUP(A63,'Loan Book Summary'!C:AE,29,FALSE)</f>
        <v>0</v>
      </c>
      <c r="P63" s="354"/>
      <c r="Q63" s="354">
        <f>IF(I63="Matured","",VLOOKUP(A63,'MacroPD-Cal'!A:N,14,FALSE))</f>
        <v>2.23E-2</v>
      </c>
      <c r="R63" s="354">
        <f t="shared" si="7"/>
        <v>0</v>
      </c>
      <c r="S63" s="354">
        <f t="shared" si="8"/>
        <v>5.0157426420260096</v>
      </c>
      <c r="T63" s="354"/>
      <c r="U63" s="354"/>
      <c r="AD63" s="346" t="str">
        <f>VLOOKUP(A63,'Loan Book Summary'!C:E,3,FALSE)</f>
        <v>LYONS DAVIDSON LIMITED</v>
      </c>
    </row>
    <row r="64" spans="1:30" x14ac:dyDescent="0.25">
      <c r="A64" s="354">
        <v>1100000157</v>
      </c>
      <c r="B64" s="249">
        <f>VLOOKUP(A64,'Loan Book Summary'!C:W,21,FALSE)</f>
        <v>1500000</v>
      </c>
      <c r="C64" s="249">
        <f>VLOOKUP(A64,'Loan Book Summary'!C:AB,26,FALSE)</f>
        <v>1500000</v>
      </c>
      <c r="D64" s="398">
        <f>VLOOKUP(A64,'Loan Book Summary'!C:Q,15,FALSE)</f>
        <v>44307</v>
      </c>
      <c r="E64" s="398">
        <f>VLOOKUP(A64,'Loan Book Summary'!C:R,16,FALSE)</f>
        <v>46139</v>
      </c>
      <c r="F64" s="354">
        <f t="shared" ref="F64:F69" si="9">IF(I64="Matured", "",(E64-$X$1)/365.25)</f>
        <v>3.9069130732375084</v>
      </c>
      <c r="G64" s="354"/>
      <c r="H64" s="354"/>
      <c r="I64" s="354">
        <f>IFERROR(VLOOKUP(A64,'Stage 2 loans'!A:D,4,FALSE),1)</f>
        <v>1</v>
      </c>
      <c r="J64" s="354">
        <f>VLOOKUP(A64,Reference_Rate_Repricing_Report!B:P,15,FALSE)</f>
        <v>6.25</v>
      </c>
      <c r="K64" s="354"/>
      <c r="L64" s="274">
        <f>IF(I64="Matured","",IFERROR(VLOOKUP(A64,'Updated Ncino PD'!$A:$B,2,FALSE),IF($Z$2="ON",IF(I64=1,VLOOKUP(A64,'MacroPD-Cal'!A:H,8,FALSE),VLOOKUP(A64,'MacroPD-Cal'!A:O,15,FALSE)),IF($Z$5="Weighted",IF(I64=1,VLOOKUP(A64,'Model Output_TTC'!A:BX,76,FALSE),VLOOKUP(A64,'Model Output_TTC'!A:CD,82,FALSE)),IF($Z$5="Baseline",IF(I64=1,VLOOKUP(A64,'Model Output_TTC'!$A:$AO,41,FALSE),VLOOKUP(A64,'Model Output_TTC'!$A:$AU,47,FALSE)),IF($Z$5="90th Percentile",IF(I64=1,VLOOKUP(A64,'Model Output_TTC'!$A:$BJ,62,FALSE),VLOOKUP(A64,'Model Output_TTC'!$A:$BP,68,FALSE)),IF($Z$5="96th Percentile",IF(I64=1,VLOOKUP(A64,'Model Output_TTC'!$A:$T,20,FALSE),VLOOKUP(A64,'Model Output_TTC'!$A:$Z,26,FALSE)),"")))))))</f>
        <v>2.23E-2</v>
      </c>
      <c r="M64" s="274">
        <f>IF('Ref-Data'!I64="Matured","",VLOOKUP(A64,'LGD Data'!A:C,3,0))</f>
        <v>0.1</v>
      </c>
      <c r="N64" s="274">
        <f>IF(I64="Matured","",MAX(IFERROR(VLOOKUP(A64,'Updated Ncino PD'!$U:$V,2,FALSE),'Ref-Data'!M64),10%))</f>
        <v>0.1</v>
      </c>
      <c r="O64" s="354">
        <f>VLOOKUP(A64,'Loan Book Summary'!C:AE,29,FALSE)</f>
        <v>0</v>
      </c>
      <c r="P64" s="354"/>
      <c r="Q64" s="354">
        <f>IF(I64="Matured","",VLOOKUP(A64,'MacroPD-Cal'!A:N,14,FALSE))</f>
        <v>2.23E-2</v>
      </c>
      <c r="R64" s="354">
        <f t="shared" ref="R64:R69" si="10">IF(I64="Matured","",+IF(S64&gt;=1,0.5*L64*N64*O64,0.2*L64*N64*O64))</f>
        <v>0</v>
      </c>
      <c r="S64" s="354">
        <f t="shared" ref="S64:S69" si="11">IF(I64="Matured","",(E64-D64)/365.25)</f>
        <v>5.0157426420260096</v>
      </c>
      <c r="T64" s="354"/>
      <c r="U64" s="354"/>
      <c r="AD64" s="346" t="str">
        <f>VLOOKUP(A64,'Loan Book Summary'!C:E,3,FALSE)</f>
        <v>LYONS DAVIDSON LIMITED</v>
      </c>
    </row>
    <row r="65" spans="1:30" x14ac:dyDescent="0.25">
      <c r="A65" s="354">
        <v>1200000119</v>
      </c>
      <c r="B65" s="249">
        <f>VLOOKUP(A65,'Loan Book Summary'!C:W,21,FALSE)</f>
        <v>3260403</v>
      </c>
      <c r="C65" s="249">
        <f>VLOOKUP(A65,'Loan Book Summary'!C:AB,26,FALSE)</f>
        <v>3260403</v>
      </c>
      <c r="D65" s="398">
        <f>VLOOKUP(A65,'Loan Book Summary'!C:Q,15,FALSE)</f>
        <v>44309</v>
      </c>
      <c r="E65" s="398">
        <f>VLOOKUP(A65,'Loan Book Summary'!C:R,16,FALSE)</f>
        <v>46500</v>
      </c>
      <c r="F65" s="354">
        <f t="shared" si="9"/>
        <v>4.8952772073921968</v>
      </c>
      <c r="G65" s="354"/>
      <c r="H65" s="354"/>
      <c r="I65" s="354">
        <f>IFERROR(VLOOKUP(A65,'Stage 2 loans'!A:D,4,FALSE),1)</f>
        <v>1</v>
      </c>
      <c r="J65" s="354">
        <f>VLOOKUP(A65,Reference_Rate_Repricing_Report!B:P,15,FALSE)</f>
        <v>7.19</v>
      </c>
      <c r="K65" s="354"/>
      <c r="L65" s="274">
        <f>IF(I65="Matured","",IFERROR(VLOOKUP(A65,'Updated Ncino PD'!$A:$B,2,FALSE),IF($Z$2="ON",IF(I65=1,VLOOKUP(A65,'MacroPD-Cal'!A:H,8,FALSE),VLOOKUP(A65,'MacroPD-Cal'!A:O,15,FALSE)),IF($Z$5="Weighted",IF(I65=1,VLOOKUP(A65,'Model Output_TTC'!A:BX,76,FALSE),VLOOKUP(A65,'Model Output_TTC'!A:CD,82,FALSE)),IF($Z$5="Baseline",IF(I65=1,VLOOKUP(A65,'Model Output_TTC'!$A:$AO,41,FALSE),VLOOKUP(A65,'Model Output_TTC'!$A:$AU,47,FALSE)),IF($Z$5="90th Percentile",IF(I65=1,VLOOKUP(A65,'Model Output_TTC'!$A:$BJ,62,FALSE),VLOOKUP(A65,'Model Output_TTC'!$A:$BP,68,FALSE)),IF($Z$5="96th Percentile",IF(I65=1,VLOOKUP(A65,'Model Output_TTC'!$A:$T,20,FALSE),VLOOKUP(A65,'Model Output_TTC'!$A:$Z,26,FALSE)),"")))))))</f>
        <v>1.03E-2</v>
      </c>
      <c r="M65" s="274">
        <f>IF('Ref-Data'!I65="Matured","",VLOOKUP(A65,'LGD Data'!A:C,3,0))</f>
        <v>0.15</v>
      </c>
      <c r="N65" s="274">
        <f>IF(I65="Matured","",MAX(IFERROR(VLOOKUP(A65,'Updated Ncino PD'!$U:$V,2,FALSE),'Ref-Data'!M65),10%))</f>
        <v>0.15</v>
      </c>
      <c r="O65" s="354">
        <f>VLOOKUP(A65,'Loan Book Summary'!C:AE,29,FALSE)</f>
        <v>0</v>
      </c>
      <c r="P65" s="354"/>
      <c r="Q65" s="354">
        <f>IF(I65="Matured","",VLOOKUP(A65,'MacroPD-Cal'!A:N,14,FALSE))</f>
        <v>1.03E-2</v>
      </c>
      <c r="R65" s="354">
        <f t="shared" si="10"/>
        <v>0</v>
      </c>
      <c r="S65" s="354">
        <f t="shared" si="11"/>
        <v>5.9986310746064335</v>
      </c>
      <c r="T65" s="354"/>
      <c r="U65" s="354"/>
      <c r="AD65" s="346" t="str">
        <f>VLOOKUP(A65,'Loan Book Summary'!C:E,3,FALSE)</f>
        <v>SLATTERS DEVELOPMENT LIMITED</v>
      </c>
    </row>
    <row r="66" spans="1:30" x14ac:dyDescent="0.25">
      <c r="A66" s="354">
        <v>1200000120</v>
      </c>
      <c r="B66" s="249">
        <f>VLOOKUP(A66,'Loan Book Summary'!C:W,21,FALSE)</f>
        <v>1739597</v>
      </c>
      <c r="C66" s="249">
        <f>VLOOKUP(A66,'Loan Book Summary'!C:AB,26,FALSE)</f>
        <v>1739597</v>
      </c>
      <c r="D66" s="398">
        <f>VLOOKUP(A66,'Loan Book Summary'!C:Q,15,FALSE)</f>
        <v>44309</v>
      </c>
      <c r="E66" s="398">
        <f>VLOOKUP(A66,'Loan Book Summary'!C:R,16,FALSE)</f>
        <v>46500</v>
      </c>
      <c r="F66" s="354">
        <f t="shared" si="9"/>
        <v>4.8952772073921968</v>
      </c>
      <c r="G66" s="354"/>
      <c r="H66" s="354"/>
      <c r="I66" s="354">
        <f>IFERROR(VLOOKUP(A66,'Stage 2 loans'!A:D,4,FALSE),1)</f>
        <v>1</v>
      </c>
      <c r="J66" s="354">
        <f>VLOOKUP(A66,Reference_Rate_Repricing_Report!B:P,15,FALSE)</f>
        <v>7.19</v>
      </c>
      <c r="K66" s="354"/>
      <c r="L66" s="274">
        <f>IF(I66="Matured","",IFERROR(VLOOKUP(A66,'Updated Ncino PD'!$A:$B,2,FALSE),IF($Z$2="ON",IF(I66=1,VLOOKUP(A66,'MacroPD-Cal'!A:H,8,FALSE),VLOOKUP(A66,'MacroPD-Cal'!A:O,15,FALSE)),IF($Z$5="Weighted",IF(I66=1,VLOOKUP(A66,'Model Output_TTC'!A:BX,76,FALSE),VLOOKUP(A66,'Model Output_TTC'!A:CD,82,FALSE)),IF($Z$5="Baseline",IF(I66=1,VLOOKUP(A66,'Model Output_TTC'!$A:$AO,41,FALSE),VLOOKUP(A66,'Model Output_TTC'!$A:$AU,47,FALSE)),IF($Z$5="90th Percentile",IF(I66=1,VLOOKUP(A66,'Model Output_TTC'!$A:$BJ,62,FALSE),VLOOKUP(A66,'Model Output_TTC'!$A:$BP,68,FALSE)),IF($Z$5="96th Percentile",IF(I66=1,VLOOKUP(A66,'Model Output_TTC'!$A:$T,20,FALSE),VLOOKUP(A66,'Model Output_TTC'!$A:$Z,26,FALSE)),"")))))))</f>
        <v>1.03E-2</v>
      </c>
      <c r="M66" s="274">
        <f>IF('Ref-Data'!I66="Matured","",VLOOKUP(A66,'LGD Data'!A:C,3,0))</f>
        <v>0.15</v>
      </c>
      <c r="N66" s="274">
        <f>IF(I66="Matured","",MAX(IFERROR(VLOOKUP(A66,'Updated Ncino PD'!$U:$V,2,FALSE),'Ref-Data'!M66),10%))</f>
        <v>0.15</v>
      </c>
      <c r="O66" s="354">
        <f>VLOOKUP(A66,'Loan Book Summary'!C:AE,29,FALSE)</f>
        <v>0</v>
      </c>
      <c r="P66" s="354"/>
      <c r="Q66" s="354">
        <f>IF(I66="Matured","",VLOOKUP(A66,'MacroPD-Cal'!A:N,14,FALSE))</f>
        <v>1.03E-2</v>
      </c>
      <c r="R66" s="354">
        <f t="shared" si="10"/>
        <v>0</v>
      </c>
      <c r="S66" s="354">
        <f t="shared" si="11"/>
        <v>5.9986310746064335</v>
      </c>
      <c r="T66" s="354"/>
      <c r="U66" s="354"/>
      <c r="AD66" s="346" t="str">
        <f>VLOOKUP(A66,'Loan Book Summary'!C:E,3,FALSE)</f>
        <v>SLATTERS DEVELOPMENT LIMITED</v>
      </c>
    </row>
    <row r="67" spans="1:30" x14ac:dyDescent="0.25">
      <c r="A67" s="354">
        <v>1200000121</v>
      </c>
      <c r="B67" s="249">
        <f>VLOOKUP(A67,'Loan Book Summary'!C:W,21,FALSE)</f>
        <v>2300000</v>
      </c>
      <c r="C67" s="249">
        <f>VLOOKUP(A67,'Loan Book Summary'!C:AB,26,FALSE)</f>
        <v>2300000</v>
      </c>
      <c r="D67" s="398">
        <f>VLOOKUP(A67,'Loan Book Summary'!C:Q,15,FALSE)</f>
        <v>44312</v>
      </c>
      <c r="E67" s="398">
        <f>VLOOKUP(A67,'Loan Book Summary'!C:R,16,FALSE)</f>
        <v>46590</v>
      </c>
      <c r="F67" s="354">
        <f t="shared" si="9"/>
        <v>5.1416837782340865</v>
      </c>
      <c r="G67" s="354"/>
      <c r="H67" s="354"/>
      <c r="I67" s="354">
        <f>IFERROR(VLOOKUP(A67,'Stage 2 loans'!A:D,4,FALSE),1)</f>
        <v>1</v>
      </c>
      <c r="J67" s="354">
        <f>VLOOKUP(A67,Reference_Rate_Repricing_Report!B:P,15,FALSE)</f>
        <v>7.3</v>
      </c>
      <c r="K67" s="354"/>
      <c r="L67" s="274">
        <f>IF(I67="Matured","",IFERROR(VLOOKUP(A67,'Updated Ncino PD'!$A:$B,2,FALSE),IF($Z$2="ON",IF(I67=1,VLOOKUP(A67,'MacroPD-Cal'!A:H,8,FALSE),VLOOKUP(A67,'MacroPD-Cal'!A:O,15,FALSE)),IF($Z$5="Weighted",IF(I67=1,VLOOKUP(A67,'Model Output_TTC'!A:BX,76,FALSE),VLOOKUP(A67,'Model Output_TTC'!A:CD,82,FALSE)),IF($Z$5="Baseline",IF(I67=1,VLOOKUP(A67,'Model Output_TTC'!$A:$AO,41,FALSE),VLOOKUP(A67,'Model Output_TTC'!$A:$AU,47,FALSE)),IF($Z$5="90th Percentile",IF(I67=1,VLOOKUP(A67,'Model Output_TTC'!$A:$BJ,62,FALSE),VLOOKUP(A67,'Model Output_TTC'!$A:$BP,68,FALSE)),IF($Z$5="96th Percentile",IF(I67=1,VLOOKUP(A67,'Model Output_TTC'!$A:$T,20,FALSE),VLOOKUP(A67,'Model Output_TTC'!$A:$Z,26,FALSE)),"")))))))</f>
        <v>8.2000000000000007E-3</v>
      </c>
      <c r="M67" s="274">
        <f>IF('Ref-Data'!I67="Matured","",VLOOKUP(A67,'LGD Data'!A:C,3,0))</f>
        <v>0.15</v>
      </c>
      <c r="N67" s="274">
        <f>IF(I67="Matured","",MAX(IFERROR(VLOOKUP(A67,'Updated Ncino PD'!$U:$V,2,FALSE),'Ref-Data'!M67),10%))</f>
        <v>0.15</v>
      </c>
      <c r="O67" s="354">
        <f>VLOOKUP(A67,'Loan Book Summary'!C:AE,29,FALSE)</f>
        <v>0</v>
      </c>
      <c r="P67" s="354"/>
      <c r="Q67" s="354">
        <f>IF(I67="Matured","",VLOOKUP(A67,'MacroPD-Cal'!A:N,14,FALSE))</f>
        <v>8.2000000000000007E-3</v>
      </c>
      <c r="R67" s="354">
        <f t="shared" si="10"/>
        <v>0</v>
      </c>
      <c r="S67" s="354">
        <f t="shared" si="11"/>
        <v>6.236824093086927</v>
      </c>
      <c r="T67" s="354"/>
      <c r="U67" s="354"/>
      <c r="AD67" s="346" t="str">
        <f>VLOOKUP(A67,'Loan Book Summary'!C:E,3,FALSE)</f>
        <v>LHH INVESTMENTS LIMITED</v>
      </c>
    </row>
    <row r="68" spans="1:30" x14ac:dyDescent="0.25">
      <c r="A68" s="354">
        <v>1200000137</v>
      </c>
      <c r="B68" s="249">
        <f>VLOOKUP(A68,'Loan Book Summary'!C:W,21,FALSE)</f>
        <v>1141302.73</v>
      </c>
      <c r="C68" s="249">
        <f>VLOOKUP(A68,'Loan Book Summary'!C:AB,26,FALSE)</f>
        <v>1141302.73</v>
      </c>
      <c r="D68" s="398">
        <f>VLOOKUP(A68,'Loan Book Summary'!C:Q,15,FALSE)</f>
        <v>44341</v>
      </c>
      <c r="E68" s="398">
        <f>VLOOKUP(A68,'Loan Book Summary'!C:R,16,FALSE)</f>
        <v>46532</v>
      </c>
      <c r="F68" s="354">
        <f t="shared" si="9"/>
        <v>4.9828884325804248</v>
      </c>
      <c r="G68" s="354"/>
      <c r="H68" s="354"/>
      <c r="I68" s="354">
        <f>IFERROR(VLOOKUP(A68,'Stage 2 loans'!A:D,4,FALSE),1)</f>
        <v>1</v>
      </c>
      <c r="J68" s="354">
        <f>VLOOKUP(A68,Reference_Rate_Repricing_Report!B:P,15,FALSE)</f>
        <v>7.2</v>
      </c>
      <c r="K68" s="354"/>
      <c r="L68" s="274">
        <f>IF(I68="Matured","",IFERROR(VLOOKUP(A68,'Updated Ncino PD'!$A:$B,2,FALSE),IF($Z$2="ON",IF(I68=1,VLOOKUP(A68,'MacroPD-Cal'!A:H,8,FALSE),VLOOKUP(A68,'MacroPD-Cal'!A:O,15,FALSE)),IF($Z$5="Weighted",IF(I68=1,VLOOKUP(A68,'Model Output_TTC'!A:BX,76,FALSE),VLOOKUP(A68,'Model Output_TTC'!A:CD,82,FALSE)),IF($Z$5="Baseline",IF(I68=1,VLOOKUP(A68,'Model Output_TTC'!$A:$AO,41,FALSE),VLOOKUP(A68,'Model Output_TTC'!$A:$AU,47,FALSE)),IF($Z$5="90th Percentile",IF(I68=1,VLOOKUP(A68,'Model Output_TTC'!$A:$BJ,62,FALSE),VLOOKUP(A68,'Model Output_TTC'!$A:$BP,68,FALSE)),IF($Z$5="96th Percentile",IF(I68=1,VLOOKUP(A68,'Model Output_TTC'!$A:$T,20,FALSE),VLOOKUP(A68,'Model Output_TTC'!$A:$Z,26,FALSE)),"")))))))</f>
        <v>1.9599999999999999E-2</v>
      </c>
      <c r="M68" s="274">
        <f>IF('Ref-Data'!I68="Matured","",VLOOKUP(A68,'LGD Data'!A:C,3,0))</f>
        <v>0.44259999999999999</v>
      </c>
      <c r="N68" s="274">
        <f>IF(I68="Matured","",MAX(IFERROR(VLOOKUP(A68,'Updated Ncino PD'!$U:$V,2,FALSE),'Ref-Data'!M68),10%))</f>
        <v>0.44259999999999999</v>
      </c>
      <c r="O68" s="354">
        <f>VLOOKUP(A68,'Loan Book Summary'!C:AE,29,FALSE)</f>
        <v>0</v>
      </c>
      <c r="P68" s="354"/>
      <c r="Q68" s="354">
        <f>IF(I68="Matured","",VLOOKUP(A68,'MacroPD-Cal'!A:N,14,FALSE))</f>
        <v>1.9599999999999999E-2</v>
      </c>
      <c r="R68" s="354">
        <f t="shared" si="10"/>
        <v>0</v>
      </c>
      <c r="S68" s="354">
        <f t="shared" si="11"/>
        <v>5.9986310746064335</v>
      </c>
      <c r="T68" s="354"/>
      <c r="U68" s="354"/>
      <c r="AD68" s="346" t="str">
        <f>VLOOKUP(A68,'Loan Book Summary'!C:E,3,FALSE)</f>
        <v>DAISY GREEN FOOD LIMITED</v>
      </c>
    </row>
    <row r="69" spans="1:30" x14ac:dyDescent="0.25">
      <c r="A69" s="354">
        <v>1200000138</v>
      </c>
      <c r="B69" s="249">
        <f>VLOOKUP(A69,'Loan Book Summary'!C:W,21,FALSE)</f>
        <v>418000</v>
      </c>
      <c r="C69" s="249">
        <f>VLOOKUP(A69,'Loan Book Summary'!C:AB,26,FALSE)</f>
        <v>50000</v>
      </c>
      <c r="D69" s="398">
        <f>VLOOKUP(A69,'Loan Book Summary'!C:Q,15,FALSE)</f>
        <v>44341</v>
      </c>
      <c r="E69" s="398">
        <f>VLOOKUP(A69,'Loan Book Summary'!C:R,16,FALSE)</f>
        <v>46532</v>
      </c>
      <c r="F69" s="354">
        <f t="shared" si="9"/>
        <v>4.9828884325804248</v>
      </c>
      <c r="G69" s="354"/>
      <c r="H69" s="354"/>
      <c r="I69" s="354">
        <f>IFERROR(VLOOKUP(A69,'Stage 2 loans'!A:D,4,FALSE),1)</f>
        <v>1</v>
      </c>
      <c r="J69" s="354">
        <f>VLOOKUP(A69,Reference_Rate_Repricing_Report!B:P,15,FALSE)</f>
        <v>7.19</v>
      </c>
      <c r="K69" s="354"/>
      <c r="L69" s="274">
        <f>IF(I69="Matured","",IFERROR(VLOOKUP(A69,'Updated Ncino PD'!$A:$B,2,FALSE),IF($Z$2="ON",IF(I69=1,VLOOKUP(A69,'MacroPD-Cal'!A:H,8,FALSE),VLOOKUP(A69,'MacroPD-Cal'!A:O,15,FALSE)),IF($Z$5="Weighted",IF(I69=1,VLOOKUP(A69,'Model Output_TTC'!A:BX,76,FALSE),VLOOKUP(A69,'Model Output_TTC'!A:CD,82,FALSE)),IF($Z$5="Baseline",IF(I69=1,VLOOKUP(A69,'Model Output_TTC'!$A:$AO,41,FALSE),VLOOKUP(A69,'Model Output_TTC'!$A:$AU,47,FALSE)),IF($Z$5="90th Percentile",IF(I69=1,VLOOKUP(A69,'Model Output_TTC'!$A:$BJ,62,FALSE),VLOOKUP(A69,'Model Output_TTC'!$A:$BP,68,FALSE)),IF($Z$5="96th Percentile",IF(I69=1,VLOOKUP(A69,'Model Output_TTC'!$A:$T,20,FALSE),VLOOKUP(A69,'Model Output_TTC'!$A:$Z,26,FALSE)),"")))))))</f>
        <v>1.9599999999999999E-2</v>
      </c>
      <c r="M69" s="274">
        <f>IF('Ref-Data'!I69="Matured","",VLOOKUP(A69,'LGD Data'!A:C,3,0))</f>
        <v>0.44259999999999999</v>
      </c>
      <c r="N69" s="274">
        <f>IF(I69="Matured","",MAX(IFERROR(VLOOKUP(A69,'Updated Ncino PD'!$U:$V,2,FALSE),'Ref-Data'!M69),10%))</f>
        <v>0.44259999999999999</v>
      </c>
      <c r="O69" s="354">
        <f>VLOOKUP(A69,'Loan Book Summary'!C:AE,29,FALSE)</f>
        <v>368000</v>
      </c>
      <c r="P69" s="354"/>
      <c r="Q69" s="354">
        <f>IF(I69="Matured","",VLOOKUP(A69,'MacroPD-Cal'!A:N,14,FALSE))</f>
        <v>1.9599999999999999E-2</v>
      </c>
      <c r="R69" s="354">
        <f t="shared" si="10"/>
        <v>1596.1926399999998</v>
      </c>
      <c r="S69" s="354">
        <f t="shared" si="11"/>
        <v>5.9986310746064335</v>
      </c>
      <c r="T69" s="354"/>
      <c r="U69" s="354"/>
      <c r="AD69" s="346" t="str">
        <f>VLOOKUP(A69,'Loan Book Summary'!C:E,3,FALSE)</f>
        <v>DAISY GREEN FOOD LIMITED</v>
      </c>
    </row>
    <row r="70" spans="1:30" x14ac:dyDescent="0.25">
      <c r="A70" s="354">
        <v>1200000142</v>
      </c>
      <c r="B70" s="249">
        <f>VLOOKUP(A70,'Loan Book Summary'!C:W,21,FALSE)</f>
        <v>867000</v>
      </c>
      <c r="C70" s="249">
        <f>VLOOKUP(A70,'Loan Book Summary'!C:AB,26,FALSE)</f>
        <v>867000</v>
      </c>
      <c r="D70" s="398">
        <f>VLOOKUP(A70,'Loan Book Summary'!C:Q,15,FALSE)</f>
        <v>44344</v>
      </c>
      <c r="E70" s="398">
        <f>VLOOKUP(A70,'Loan Book Summary'!C:R,16,FALSE)</f>
        <v>46202</v>
      </c>
      <c r="F70" s="354">
        <f t="shared" ref="F70:F115" si="12">IF(I70="Matured", "",(E70-$X$1)/365.25)</f>
        <v>4.0793976728268309</v>
      </c>
      <c r="G70" s="354"/>
      <c r="H70" s="354"/>
      <c r="I70" s="354">
        <f>IFERROR(VLOOKUP(A70,'Stage 2 loans'!A:D,4,FALSE),1)</f>
        <v>1</v>
      </c>
      <c r="J70" s="354">
        <f>VLOOKUP(A70,Reference_Rate_Repricing_Report!B:P,15,FALSE)</f>
        <v>7.44</v>
      </c>
      <c r="K70" s="354"/>
      <c r="L70" s="274">
        <f>IF(I70="Matured","",IFERROR(VLOOKUP(A70,'Updated Ncino PD'!$A:$B,2,FALSE),IF($Z$2="ON",IF(I70=1,VLOOKUP(A70,'MacroPD-Cal'!A:H,8,FALSE),VLOOKUP(A70,'MacroPD-Cal'!A:O,15,FALSE)),IF($Z$5="Weighted",IF(I70=1,VLOOKUP(A70,'Model Output_TTC'!A:BX,76,FALSE),VLOOKUP(A70,'Model Output_TTC'!A:CD,82,FALSE)),IF($Z$5="Baseline",IF(I70=1,VLOOKUP(A70,'Model Output_TTC'!$A:$AO,41,FALSE),VLOOKUP(A70,'Model Output_TTC'!$A:$AU,47,FALSE)),IF($Z$5="90th Percentile",IF(I70=1,VLOOKUP(A70,'Model Output_TTC'!$A:$BJ,62,FALSE),VLOOKUP(A70,'Model Output_TTC'!$A:$BP,68,FALSE)),IF($Z$5="96th Percentile",IF(I70=1,VLOOKUP(A70,'Model Output_TTC'!$A:$T,20,FALSE),VLOOKUP(A70,'Model Output_TTC'!$A:$Z,26,FALSE)),"")))))))</f>
        <v>0.1885</v>
      </c>
      <c r="M70" s="274">
        <f>IF('Ref-Data'!I70="Matured","",VLOOKUP(A70,'LGD Data'!A:C,3,0))</f>
        <v>0.15397009191929528</v>
      </c>
      <c r="N70" s="274">
        <f>IF(I70="Matured","",MAX(IFERROR(VLOOKUP(A70,'Updated Ncino PD'!$U:$V,2,FALSE),'Ref-Data'!M70),10%))</f>
        <v>0.15397009191929528</v>
      </c>
      <c r="O70" s="354">
        <f>VLOOKUP(A70,'Loan Book Summary'!C:AE,29,FALSE)</f>
        <v>0</v>
      </c>
      <c r="P70" s="354"/>
      <c r="Q70" s="354">
        <f>IF(I70="Matured","",VLOOKUP(A70,'MacroPD-Cal'!A:N,14,FALSE))</f>
        <v>0.1885</v>
      </c>
      <c r="R70" s="354">
        <f t="shared" ref="R70:R115" si="13">IF(I70="Matured","",+IF(S70&gt;=1,0.5*L70*N70*O70,0.2*L70*N70*O70))</f>
        <v>0</v>
      </c>
      <c r="S70" s="354">
        <f t="shared" ref="S70:S115" si="14">IF(I70="Matured","",(E70-D70)/365.25)</f>
        <v>5.0869267624914443</v>
      </c>
      <c r="T70" s="354"/>
      <c r="U70" s="354"/>
      <c r="V70" s="346"/>
      <c r="W70" s="346"/>
      <c r="X70" s="346"/>
      <c r="Y70" s="346"/>
      <c r="Z70" s="346"/>
      <c r="AA70" s="346"/>
      <c r="AB70" s="346"/>
      <c r="AC70" s="346"/>
      <c r="AD70" s="346" t="str">
        <f>VLOOKUP(A70,'Loan Book Summary'!C:E,3,FALSE)</f>
        <v>SBH PARK HOLDING LIMITED</v>
      </c>
    </row>
    <row r="71" spans="1:30" x14ac:dyDescent="0.25">
      <c r="A71" s="354">
        <v>1200000143</v>
      </c>
      <c r="B71" s="249">
        <f>VLOOKUP(A71,'Loan Book Summary'!C:W,21,FALSE)</f>
        <v>2462727.33</v>
      </c>
      <c r="C71" s="249">
        <f>VLOOKUP(A71,'Loan Book Summary'!C:AB,26,FALSE)</f>
        <v>2462727.33</v>
      </c>
      <c r="D71" s="398">
        <f>VLOOKUP(A71,'Loan Book Summary'!C:Q,15,FALSE)</f>
        <v>44344</v>
      </c>
      <c r="E71" s="398">
        <f>VLOOKUP(A71,'Loan Book Summary'!C:R,16,FALSE)</f>
        <v>46535</v>
      </c>
      <c r="F71" s="354">
        <f t="shared" si="12"/>
        <v>4.991101984941821</v>
      </c>
      <c r="G71" s="354"/>
      <c r="H71" s="354"/>
      <c r="I71" s="354">
        <f>IFERROR(VLOOKUP(A71,'Stage 2 loans'!A:D,4,FALSE),1)</f>
        <v>1</v>
      </c>
      <c r="J71" s="354">
        <f>VLOOKUP(A71,Reference_Rate_Repricing_Report!B:P,15,FALSE)</f>
        <v>6.48</v>
      </c>
      <c r="K71" s="354"/>
      <c r="L71" s="274">
        <f>IF(I71="Matured","",IFERROR(VLOOKUP(A71,'Updated Ncino PD'!$A:$B,2,FALSE),IF($Z$2="ON",IF(I71=1,VLOOKUP(A71,'MacroPD-Cal'!A:H,8,FALSE),VLOOKUP(A71,'MacroPD-Cal'!A:O,15,FALSE)),IF($Z$5="Weighted",IF(I71=1,VLOOKUP(A71,'Model Output_TTC'!A:BX,76,FALSE),VLOOKUP(A71,'Model Output_TTC'!A:CD,82,FALSE)),IF($Z$5="Baseline",IF(I71=1,VLOOKUP(A71,'Model Output_TTC'!$A:$AO,41,FALSE),VLOOKUP(A71,'Model Output_TTC'!$A:$AU,47,FALSE)),IF($Z$5="90th Percentile",IF(I71=1,VLOOKUP(A71,'Model Output_TTC'!$A:$BJ,62,FALSE),VLOOKUP(A71,'Model Output_TTC'!$A:$BP,68,FALSE)),IF($Z$5="96th Percentile",IF(I71=1,VLOOKUP(A71,'Model Output_TTC'!$A:$T,20,FALSE),VLOOKUP(A71,'Model Output_TTC'!$A:$Z,26,FALSE)),"")))))))</f>
        <v>8.7000000000000011E-3</v>
      </c>
      <c r="M71" s="274">
        <f>IF('Ref-Data'!I71="Matured","",VLOOKUP(A71,'LGD Data'!A:C,3,0))</f>
        <v>0.15</v>
      </c>
      <c r="N71" s="274">
        <f>IF(I71="Matured","",MAX(IFERROR(VLOOKUP(A71,'Updated Ncino PD'!$U:$V,2,FALSE),'Ref-Data'!M71),10%))</f>
        <v>0.15</v>
      </c>
      <c r="O71" s="354">
        <f>VLOOKUP(A71,'Loan Book Summary'!C:AE,29,FALSE)</f>
        <v>0</v>
      </c>
      <c r="P71" s="354"/>
      <c r="Q71" s="354">
        <f>IF(I71="Matured","",VLOOKUP(A71,'MacroPD-Cal'!A:N,14,FALSE))</f>
        <v>8.7000000000000011E-3</v>
      </c>
      <c r="R71" s="354">
        <f t="shared" si="13"/>
        <v>0</v>
      </c>
      <c r="S71" s="354">
        <f t="shared" si="14"/>
        <v>5.9986310746064335</v>
      </c>
      <c r="T71" s="354"/>
      <c r="U71" s="354"/>
      <c r="V71" s="346"/>
      <c r="W71" s="346"/>
      <c r="X71" s="346"/>
      <c r="Y71" s="346"/>
      <c r="Z71" s="346"/>
      <c r="AA71" s="346"/>
      <c r="AB71" s="346"/>
      <c r="AC71" s="346"/>
      <c r="AD71" s="346" t="str">
        <f>VLOOKUP(A71,'Loan Book Summary'!C:E,3,FALSE)</f>
        <v>LEISURE AND HOTEL INVESTMENTS LIMITED AND BIKE AND BOOT INNS LIMITED</v>
      </c>
    </row>
    <row r="72" spans="1:30" x14ac:dyDescent="0.25">
      <c r="A72" s="354">
        <v>1200000144</v>
      </c>
      <c r="B72" s="249">
        <f>VLOOKUP(A72,'Loan Book Summary'!C:W,21,FALSE)</f>
        <v>203978</v>
      </c>
      <c r="C72" s="249">
        <f>VLOOKUP(A72,'Loan Book Summary'!C:AB,26,FALSE)</f>
        <v>203978</v>
      </c>
      <c r="D72" s="398">
        <f>VLOOKUP(A72,'Loan Book Summary'!C:Q,15,FALSE)</f>
        <v>44344</v>
      </c>
      <c r="E72" s="398">
        <f>VLOOKUP(A72,'Loan Book Summary'!C:R,16,FALSE)</f>
        <v>45467</v>
      </c>
      <c r="F72" s="354">
        <f t="shared" si="12"/>
        <v>2.0670773442847366</v>
      </c>
      <c r="G72" s="354"/>
      <c r="H72" s="354"/>
      <c r="I72" s="354">
        <f>IFERROR(VLOOKUP(A72,'Stage 2 loans'!A:D,4,FALSE),1)</f>
        <v>1</v>
      </c>
      <c r="J72" s="354">
        <f>VLOOKUP(A72,Reference_Rate_Repricing_Report!B:P,15,FALSE)</f>
        <v>7.34</v>
      </c>
      <c r="K72" s="354"/>
      <c r="L72" s="274">
        <f>IF(I72="Matured","",IFERROR(VLOOKUP(A72,'Updated Ncino PD'!$A:$B,2,FALSE),IF($Z$2="ON",IF(I72=1,VLOOKUP(A72,'MacroPD-Cal'!A:H,8,FALSE),VLOOKUP(A72,'MacroPD-Cal'!A:O,15,FALSE)),IF($Z$5="Weighted",IF(I72=1,VLOOKUP(A72,'Model Output_TTC'!A:BX,76,FALSE),VLOOKUP(A72,'Model Output_TTC'!A:CD,82,FALSE)),IF($Z$5="Baseline",IF(I72=1,VLOOKUP(A72,'Model Output_TTC'!$A:$AO,41,FALSE),VLOOKUP(A72,'Model Output_TTC'!$A:$AU,47,FALSE)),IF($Z$5="90th Percentile",IF(I72=1,VLOOKUP(A72,'Model Output_TTC'!$A:$BJ,62,FALSE),VLOOKUP(A72,'Model Output_TTC'!$A:$BP,68,FALSE)),IF($Z$5="96th Percentile",IF(I72=1,VLOOKUP(A72,'Model Output_TTC'!$A:$T,20,FALSE),VLOOKUP(A72,'Model Output_TTC'!$A:$Z,26,FALSE)),"")))))))</f>
        <v>1.3800000000000002E-2</v>
      </c>
      <c r="M72" s="274">
        <f>IF('Ref-Data'!I72="Matured","",VLOOKUP(A72,'LGD Data'!A:C,3,0))</f>
        <v>0.44550000000000001</v>
      </c>
      <c r="N72" s="274">
        <f>IF(I72="Matured","",MAX(IFERROR(VLOOKUP(A72,'Updated Ncino PD'!$U:$V,2,FALSE),'Ref-Data'!M72),10%))</f>
        <v>0.44550000000000001</v>
      </c>
      <c r="O72" s="354">
        <f>VLOOKUP(A72,'Loan Book Summary'!C:AE,29,FALSE)</f>
        <v>0</v>
      </c>
      <c r="P72" s="354"/>
      <c r="Q72" s="354">
        <f>IF(I72="Matured","",VLOOKUP(A72,'MacroPD-Cal'!A:N,14,FALSE))</f>
        <v>1.3800000000000002E-2</v>
      </c>
      <c r="R72" s="354">
        <f t="shared" si="13"/>
        <v>0</v>
      </c>
      <c r="S72" s="354">
        <f t="shared" si="14"/>
        <v>3.07460643394935</v>
      </c>
      <c r="T72" s="354"/>
      <c r="U72" s="354"/>
      <c r="V72" s="346"/>
      <c r="W72" s="346"/>
      <c r="X72" s="346"/>
      <c r="Y72" s="346"/>
      <c r="Z72" s="346"/>
      <c r="AA72" s="346"/>
      <c r="AB72" s="346"/>
      <c r="AC72" s="346"/>
      <c r="AD72" s="346" t="str">
        <f>VLOOKUP(A72,'Loan Book Summary'!C:E,3,FALSE)</f>
        <v>BXTR LTD, BXTR MCH LTD, BXTR 3 LTD</v>
      </c>
    </row>
    <row r="73" spans="1:30" x14ac:dyDescent="0.25">
      <c r="A73" s="354">
        <v>1200000139</v>
      </c>
      <c r="B73" s="249">
        <f>VLOOKUP(A73,'Loan Book Summary'!C:W,21,FALSE)</f>
        <v>5000000</v>
      </c>
      <c r="C73" s="249">
        <f>VLOOKUP(A73,'Loan Book Summary'!C:AB,26,FALSE)</f>
        <v>5000000</v>
      </c>
      <c r="D73" s="398">
        <f>VLOOKUP(A73,'Loan Book Summary'!C:Q,15,FALSE)</f>
        <v>44344</v>
      </c>
      <c r="E73" s="398">
        <f>VLOOKUP(A73,'Loan Book Summary'!C:R,16,FALSE)</f>
        <v>45499</v>
      </c>
      <c r="F73" s="354">
        <f t="shared" si="12"/>
        <v>2.1546885694729636</v>
      </c>
      <c r="G73" s="354"/>
      <c r="H73" s="354"/>
      <c r="I73" s="354">
        <f>IFERROR(VLOOKUP(A73,'Stage 2 loans'!A:D,4,FALSE),1)</f>
        <v>1</v>
      </c>
      <c r="J73" s="354">
        <f>VLOOKUP(A73,Reference_Rate_Repricing_Report!B:P,15,FALSE)</f>
        <v>6.74</v>
      </c>
      <c r="K73" s="354"/>
      <c r="L73" s="274">
        <f>IF(I73="Matured","",IFERROR(VLOOKUP(A73,'Updated Ncino PD'!$A:$B,2,FALSE),IF($Z$2="ON",IF(I73=1,VLOOKUP(A73,'MacroPD-Cal'!A:H,8,FALSE),VLOOKUP(A73,'MacroPD-Cal'!A:O,15,FALSE)),IF($Z$5="Weighted",IF(I73=1,VLOOKUP(A73,'Model Output_TTC'!A:BX,76,FALSE),VLOOKUP(A73,'Model Output_TTC'!A:CD,82,FALSE)),IF($Z$5="Baseline",IF(I73=1,VLOOKUP(A73,'Model Output_TTC'!$A:$AO,41,FALSE),VLOOKUP(A73,'Model Output_TTC'!$A:$AU,47,FALSE)),IF($Z$5="90th Percentile",IF(I73=1,VLOOKUP(A73,'Model Output_TTC'!$A:$BJ,62,FALSE),VLOOKUP(A73,'Model Output_TTC'!$A:$BP,68,FALSE)),IF($Z$5="96th Percentile",IF(I73=1,VLOOKUP(A73,'Model Output_TTC'!$A:$T,20,FALSE),VLOOKUP(A73,'Model Output_TTC'!$A:$Z,26,FALSE)),"")))))))</f>
        <v>2.69E-2</v>
      </c>
      <c r="M73" s="274">
        <f>IF('Ref-Data'!I73="Matured","",VLOOKUP(A73,'LGD Data'!A:C,3,0))</f>
        <v>0.15</v>
      </c>
      <c r="N73" s="274">
        <f>IF(I73="Matured","",MAX(IFERROR(VLOOKUP(A73,'Updated Ncino PD'!$U:$V,2,FALSE),'Ref-Data'!M73),10%))</f>
        <v>0.15</v>
      </c>
      <c r="O73" s="354">
        <f>VLOOKUP(A73,'Loan Book Summary'!C:AE,29,FALSE)</f>
        <v>0</v>
      </c>
      <c r="P73" s="354"/>
      <c r="Q73" s="354">
        <f>IF(I73="Matured","",VLOOKUP(A73,'MacroPD-Cal'!A:N,14,FALSE))</f>
        <v>2.69E-2</v>
      </c>
      <c r="R73" s="354">
        <f t="shared" si="13"/>
        <v>0</v>
      </c>
      <c r="S73" s="354">
        <f t="shared" si="14"/>
        <v>3.162217659137577</v>
      </c>
      <c r="T73" s="354"/>
      <c r="U73" s="354"/>
      <c r="V73" s="346"/>
      <c r="W73" s="346"/>
      <c r="X73" s="346"/>
      <c r="Y73" s="346"/>
      <c r="Z73" s="346"/>
      <c r="AA73" s="346"/>
      <c r="AB73" s="346"/>
      <c r="AC73" s="346"/>
      <c r="AD73" s="346" t="str">
        <f>VLOOKUP(A73,'Loan Book Summary'!C:E,3,FALSE)</f>
        <v>NICOL'S WORSTEDS LIMITED</v>
      </c>
    </row>
    <row r="74" spans="1:30" x14ac:dyDescent="0.25">
      <c r="A74" s="354">
        <v>1100000195</v>
      </c>
      <c r="B74" s="249">
        <f>VLOOKUP(A74,'Loan Book Summary'!C:W,21,FALSE)</f>
        <v>3000000</v>
      </c>
      <c r="C74" s="249">
        <f>VLOOKUP(A74,'Loan Book Summary'!C:AB,26,FALSE)</f>
        <v>3000000</v>
      </c>
      <c r="D74" s="398">
        <f>VLOOKUP(A74,'Loan Book Summary'!C:Q,15,FALSE)</f>
        <v>44349</v>
      </c>
      <c r="E74" s="398">
        <f>VLOOKUP(A74,'Loan Book Summary'!C:R,16,FALSE)</f>
        <v>46175</v>
      </c>
      <c r="F74" s="354">
        <f t="shared" si="12"/>
        <v>4.0054757015742641</v>
      </c>
      <c r="G74" s="354"/>
      <c r="H74" s="354"/>
      <c r="I74" s="354">
        <f>IFERROR(VLOOKUP(A74,'Stage 2 loans'!A:D,4,FALSE),1)</f>
        <v>1</v>
      </c>
      <c r="J74" s="354">
        <f>VLOOKUP(A74,Reference_Rate_Repricing_Report!B:P,15,FALSE)</f>
        <v>5.5</v>
      </c>
      <c r="K74" s="354"/>
      <c r="L74" s="274">
        <f>IF(I74="Matured","",IFERROR(VLOOKUP(A74,'Updated Ncino PD'!$A:$B,2,FALSE),IF($Z$2="ON",IF(I74=1,VLOOKUP(A74,'MacroPD-Cal'!A:H,8,FALSE),VLOOKUP(A74,'MacroPD-Cal'!A:O,15,FALSE)),IF($Z$5="Weighted",IF(I74=1,VLOOKUP(A74,'Model Output_TTC'!A:BX,76,FALSE),VLOOKUP(A74,'Model Output_TTC'!A:CD,82,FALSE)),IF($Z$5="Baseline",IF(I74=1,VLOOKUP(A74,'Model Output_TTC'!$A:$AO,41,FALSE),VLOOKUP(A74,'Model Output_TTC'!$A:$AU,47,FALSE)),IF($Z$5="90th Percentile",IF(I74=1,VLOOKUP(A74,'Model Output_TTC'!$A:$BJ,62,FALSE),VLOOKUP(A74,'Model Output_TTC'!$A:$BP,68,FALSE)),IF($Z$5="96th Percentile",IF(I74=1,VLOOKUP(A74,'Model Output_TTC'!$A:$T,20,FALSE),VLOOKUP(A74,'Model Output_TTC'!$A:$Z,26,FALSE)),"")))))))</f>
        <v>4.9100000000000005E-2</v>
      </c>
      <c r="M74" s="274">
        <f>IF('Ref-Data'!I74="Matured","",VLOOKUP(A74,'LGD Data'!A:C,3,0))</f>
        <v>0.38150000000000001</v>
      </c>
      <c r="N74" s="274">
        <f>IF(I74="Matured","",MAX(IFERROR(VLOOKUP(A74,'Updated Ncino PD'!$U:$V,2,FALSE),'Ref-Data'!M74),10%))</f>
        <v>0.38150000000000001</v>
      </c>
      <c r="O74" s="354">
        <f>VLOOKUP(A74,'Loan Book Summary'!C:AE,29,FALSE)</f>
        <v>0</v>
      </c>
      <c r="P74" s="354"/>
      <c r="Q74" s="354">
        <f>IF(I74="Matured","",VLOOKUP(A74,'MacroPD-Cal'!A:N,14,FALSE))</f>
        <v>4.9100000000000005E-2</v>
      </c>
      <c r="R74" s="354">
        <f t="shared" si="13"/>
        <v>0</v>
      </c>
      <c r="S74" s="354">
        <f t="shared" si="14"/>
        <v>4.9993155373032172</v>
      </c>
      <c r="T74" s="354"/>
      <c r="U74" s="354"/>
      <c r="V74" s="346"/>
      <c r="W74" s="346"/>
      <c r="X74" s="346"/>
      <c r="Y74" s="346"/>
      <c r="Z74" s="346"/>
      <c r="AA74" s="346"/>
      <c r="AB74" s="346"/>
      <c r="AC74" s="346"/>
      <c r="AD74" s="346" t="str">
        <f>VLOOKUP(A74,'Loan Book Summary'!C:E,3,FALSE)</f>
        <v>KANSAS BIDCO LIMITED</v>
      </c>
    </row>
    <row r="75" spans="1:30" x14ac:dyDescent="0.25">
      <c r="A75" s="354">
        <v>1100000224</v>
      </c>
      <c r="B75" s="249">
        <f>VLOOKUP(A75,'Loan Book Summary'!C:W,21,FALSE)</f>
        <v>32000000</v>
      </c>
      <c r="C75" s="249">
        <f>VLOOKUP(A75,'Loan Book Summary'!C:AB,26,FALSE)</f>
        <v>32000000</v>
      </c>
      <c r="D75" s="398">
        <f>VLOOKUP(A75,'Loan Book Summary'!C:Q,15,FALSE)</f>
        <v>44377</v>
      </c>
      <c r="E75" s="398">
        <f>VLOOKUP(A75,'Loan Book Summary'!C:R,16,FALSE)</f>
        <v>46328</v>
      </c>
      <c r="F75" s="354">
        <f t="shared" si="12"/>
        <v>4.4243668720054758</v>
      </c>
      <c r="G75" s="354"/>
      <c r="H75" s="354"/>
      <c r="I75" s="354">
        <f>IFERROR(VLOOKUP(A75,'Stage 2 loans'!A:D,4,FALSE),1)</f>
        <v>1</v>
      </c>
      <c r="J75" s="354">
        <f>VLOOKUP(A75,Reference_Rate_Repricing_Report!B:P,15,FALSE)</f>
        <v>6.5</v>
      </c>
      <c r="K75" s="354"/>
      <c r="L75" s="274">
        <f>IF(I75="Matured","",IFERROR(VLOOKUP(A75,'Updated Ncino PD'!$A:$B,2,FALSE),IF($Z$2="ON",IF(I75=1,VLOOKUP(A75,'MacroPD-Cal'!A:H,8,FALSE),VLOOKUP(A75,'MacroPD-Cal'!A:O,15,FALSE)),IF($Z$5="Weighted",IF(I75=1,VLOOKUP(A75,'Model Output_TTC'!A:BX,76,FALSE),VLOOKUP(A75,'Model Output_TTC'!A:CD,82,FALSE)),IF($Z$5="Baseline",IF(I75=1,VLOOKUP(A75,'Model Output_TTC'!$A:$AO,41,FALSE),VLOOKUP(A75,'Model Output_TTC'!$A:$AU,47,FALSE)),IF($Z$5="90th Percentile",IF(I75=1,VLOOKUP(A75,'Model Output_TTC'!$A:$BJ,62,FALSE),VLOOKUP(A75,'Model Output_TTC'!$A:$BP,68,FALSE)),IF($Z$5="96th Percentile",IF(I75=1,VLOOKUP(A75,'Model Output_TTC'!$A:$T,20,FALSE),VLOOKUP(A75,'Model Output_TTC'!$A:$Z,26,FALSE)),"")))))))</f>
        <v>2.8E-3</v>
      </c>
      <c r="M75" s="274">
        <f>IF('Ref-Data'!I75="Matured","",VLOOKUP(A75,'LGD Data'!A:C,3,0))</f>
        <v>0.15</v>
      </c>
      <c r="N75" s="274">
        <f>IF(I75="Matured","",MAX(IFERROR(VLOOKUP(A75,'Updated Ncino PD'!$U:$V,2,FALSE),'Ref-Data'!M75),10%))</f>
        <v>0.15</v>
      </c>
      <c r="O75" s="354">
        <f>VLOOKUP(A75,'Loan Book Summary'!C:AE,29,FALSE)</f>
        <v>0</v>
      </c>
      <c r="P75" s="354"/>
      <c r="Q75" s="354">
        <f>IF(I75="Matured","",VLOOKUP(A75,'MacroPD-Cal'!A:N,14,FALSE))</f>
        <v>2.8E-3</v>
      </c>
      <c r="R75" s="354">
        <f t="shared" si="13"/>
        <v>0</v>
      </c>
      <c r="S75" s="354">
        <f t="shared" si="14"/>
        <v>5.3415468856947292</v>
      </c>
      <c r="T75" s="354"/>
      <c r="U75" s="354"/>
      <c r="V75" s="346"/>
      <c r="W75" s="346"/>
      <c r="X75" s="346"/>
      <c r="Y75" s="346"/>
      <c r="Z75" s="346"/>
      <c r="AA75" s="346"/>
      <c r="AB75" s="346"/>
      <c r="AC75" s="346"/>
      <c r="AD75" s="346" t="str">
        <f>VLOOKUP(A75,'Loan Book Summary'!C:E,3,FALSE)</f>
        <v>OCEAN HOUSE DEVELOPMENT LIMITED AND PINBOARD LIMITED PARTNERSHIP</v>
      </c>
    </row>
    <row r="76" spans="1:30" x14ac:dyDescent="0.25">
      <c r="A76" s="354">
        <v>1100000226</v>
      </c>
      <c r="B76" s="249">
        <f>VLOOKUP(A76,'Loan Book Summary'!C:W,21,FALSE)</f>
        <v>41800000</v>
      </c>
      <c r="C76" s="249">
        <f>VLOOKUP(A76,'Loan Book Summary'!C:AB,26,FALSE)</f>
        <v>41800000</v>
      </c>
      <c r="D76" s="398">
        <f>VLOOKUP(A76,'Loan Book Summary'!C:Q,15,FALSE)</f>
        <v>44384</v>
      </c>
      <c r="E76" s="398">
        <f>VLOOKUP(A76,'Loan Book Summary'!C:R,16,FALSE)</f>
        <v>44935</v>
      </c>
      <c r="F76" s="354">
        <f t="shared" si="12"/>
        <v>0.61054072553045857</v>
      </c>
      <c r="G76" s="354"/>
      <c r="H76" s="354"/>
      <c r="I76" s="354">
        <f>IFERROR(VLOOKUP(A76,'Stage 2 loans'!A:D,4,FALSE),1)</f>
        <v>1</v>
      </c>
      <c r="J76" s="354">
        <f>VLOOKUP(A76,Reference_Rate_Repricing_Report!B:P,15,FALSE)</f>
        <v>5.5</v>
      </c>
      <c r="K76" s="354"/>
      <c r="L76" s="274">
        <f>IF(I76="Matured","",IFERROR(VLOOKUP(A76,'Updated Ncino PD'!$A:$B,2,FALSE),IF($Z$2="ON",IF(I76=1,VLOOKUP(A76,'MacroPD-Cal'!A:H,8,FALSE),VLOOKUP(A76,'MacroPD-Cal'!A:O,15,FALSE)),IF($Z$5="Weighted",IF(I76=1,VLOOKUP(A76,'Model Output_TTC'!A:BX,76,FALSE),VLOOKUP(A76,'Model Output_TTC'!A:CD,82,FALSE)),IF($Z$5="Baseline",IF(I76=1,VLOOKUP(A76,'Model Output_TTC'!$A:$AO,41,FALSE),VLOOKUP(A76,'Model Output_TTC'!$A:$AU,47,FALSE)),IF($Z$5="90th Percentile",IF(I76=1,VLOOKUP(A76,'Model Output_TTC'!$A:$BJ,62,FALSE),VLOOKUP(A76,'Model Output_TTC'!$A:$BP,68,FALSE)),IF($Z$5="96th Percentile",IF(I76=1,VLOOKUP(A76,'Model Output_TTC'!$A:$T,20,FALSE),VLOOKUP(A76,'Model Output_TTC'!$A:$Z,26,FALSE)),"")))))))</f>
        <v>2.35E-2</v>
      </c>
      <c r="M76" s="274">
        <f>IF('Ref-Data'!I76="Matured","",VLOOKUP(A76,'LGD Data'!A:C,3,0))</f>
        <v>0.1</v>
      </c>
      <c r="N76" s="274">
        <f>IF(I76="Matured","",MAX(IFERROR(VLOOKUP(A76,'Updated Ncino PD'!$U:$V,2,FALSE),'Ref-Data'!M76),10%))</f>
        <v>0.1</v>
      </c>
      <c r="O76" s="354">
        <f>VLOOKUP(A76,'Loan Book Summary'!C:AE,29,FALSE)</f>
        <v>0</v>
      </c>
      <c r="P76" s="354"/>
      <c r="Q76" s="354">
        <f>IF(I76="Matured","",VLOOKUP(A76,'MacroPD-Cal'!A:N,14,FALSE))</f>
        <v>1.4414089072972813E-2</v>
      </c>
      <c r="R76" s="354">
        <f t="shared" si="13"/>
        <v>0</v>
      </c>
      <c r="S76" s="354">
        <f t="shared" si="14"/>
        <v>1.5085557837097878</v>
      </c>
      <c r="T76" s="354"/>
      <c r="U76" s="354"/>
      <c r="V76" s="346"/>
      <c r="W76" s="346"/>
      <c r="X76" s="346"/>
      <c r="Y76" s="346"/>
      <c r="Z76" s="346"/>
      <c r="AA76" s="346"/>
      <c r="AB76" s="346"/>
      <c r="AC76" s="346"/>
      <c r="AD76" s="346" t="str">
        <f>VLOOKUP(A76,'Loan Book Summary'!C:E,3,FALSE)</f>
        <v>T14H  GUERNSEY LIMITED</v>
      </c>
    </row>
    <row r="77" spans="1:30" x14ac:dyDescent="0.25">
      <c r="A77" s="354">
        <v>1300000001</v>
      </c>
      <c r="B77" s="249">
        <f>VLOOKUP(A77,'Loan Book Summary'!C:W,21,FALSE)</f>
        <v>4500000</v>
      </c>
      <c r="C77" s="249">
        <f>VLOOKUP(A77,'Loan Book Summary'!C:AB,26,FALSE)</f>
        <v>2822433</v>
      </c>
      <c r="D77" s="398">
        <f>VLOOKUP(A77,'Loan Book Summary'!C:Q,15,FALSE)</f>
        <v>44386</v>
      </c>
      <c r="E77" s="398">
        <f>VLOOKUP(A77,'Loan Book Summary'!C:R,16,FALSE)</f>
        <v>44753</v>
      </c>
      <c r="F77" s="354">
        <f t="shared" si="12"/>
        <v>0.11225188227241616</v>
      </c>
      <c r="G77" s="354"/>
      <c r="H77" s="354"/>
      <c r="I77" s="354">
        <f>IFERROR(VLOOKUP(A77,'Stage 2 loans'!A:D,4,FALSE),1)</f>
        <v>1</v>
      </c>
      <c r="J77" s="354">
        <f>VLOOKUP(A77,Reference_Rate_Repricing_Report!B:P,15,FALSE)</f>
        <v>6.87</v>
      </c>
      <c r="K77" s="354"/>
      <c r="L77" s="274">
        <f>IF(I77="Matured","",IFERROR(VLOOKUP(A77,'Updated Ncino PD'!$A:$B,2,FALSE),IF($Z$2="ON",IF(I77=1,VLOOKUP(A77,'MacroPD-Cal'!A:H,8,FALSE),VLOOKUP(A77,'MacroPD-Cal'!A:O,15,FALSE)),IF($Z$5="Weighted",IF(I77=1,VLOOKUP(A77,'Model Output_TTC'!A:BX,76,FALSE),VLOOKUP(A77,'Model Output_TTC'!A:CD,82,FALSE)),IF($Z$5="Baseline",IF(I77=1,VLOOKUP(A77,'Model Output_TTC'!$A:$AO,41,FALSE),VLOOKUP(A77,'Model Output_TTC'!$A:$AU,47,FALSE)),IF($Z$5="90th Percentile",IF(I77=1,VLOOKUP(A77,'Model Output_TTC'!$A:$BJ,62,FALSE),VLOOKUP(A77,'Model Output_TTC'!$A:$BP,68,FALSE)),IF($Z$5="96th Percentile",IF(I77=1,VLOOKUP(A77,'Model Output_TTC'!$A:$T,20,FALSE),VLOOKUP(A77,'Model Output_TTC'!$A:$Z,26,FALSE)),"")))))))</f>
        <v>0.1283</v>
      </c>
      <c r="M77" s="274">
        <f>IF('Ref-Data'!I77="Matured","",VLOOKUP(A77,'LGD Data'!A:C,3,0))</f>
        <v>0.1613</v>
      </c>
      <c r="N77" s="274">
        <f>IF(I77="Matured","",MAX(IFERROR(VLOOKUP(A77,'Updated Ncino PD'!$U:$V,2,FALSE),'Ref-Data'!M77),10%))</f>
        <v>0.1613</v>
      </c>
      <c r="O77" s="354">
        <f>VLOOKUP(A77,'Loan Book Summary'!C:AE,29,FALSE)</f>
        <v>1677567</v>
      </c>
      <c r="P77" s="354"/>
      <c r="Q77" s="354">
        <f>IF(I77="Matured","",VLOOKUP(A77,'MacroPD-Cal'!A:N,14,FALSE))</f>
        <v>1.5295123479906136E-2</v>
      </c>
      <c r="R77" s="354">
        <f t="shared" si="13"/>
        <v>17358.448387965</v>
      </c>
      <c r="S77" s="354">
        <f t="shared" si="14"/>
        <v>1.0047912388774811</v>
      </c>
      <c r="T77" s="354"/>
      <c r="U77" s="354"/>
      <c r="V77" s="346"/>
      <c r="W77" s="346"/>
      <c r="X77" s="346"/>
      <c r="Y77" s="346"/>
      <c r="Z77" s="346"/>
      <c r="AA77" s="346"/>
      <c r="AB77" s="346"/>
      <c r="AC77" s="346"/>
      <c r="AD77" s="346" t="str">
        <f>VLOOKUP(A77,'Loan Book Summary'!C:E,3,FALSE)</f>
        <v>Z CHA HOLDCO LTD</v>
      </c>
    </row>
    <row r="78" spans="1:30" x14ac:dyDescent="0.25">
      <c r="A78" s="354">
        <v>1100000234</v>
      </c>
      <c r="B78" s="249">
        <f>VLOOKUP(A78,'Loan Book Summary'!C:W,21,FALSE)</f>
        <v>4500000</v>
      </c>
      <c r="C78" s="249">
        <f>VLOOKUP(A78,'Loan Book Summary'!C:AB,26,FALSE)</f>
        <v>4500000</v>
      </c>
      <c r="D78" s="398">
        <f>VLOOKUP(A78,'Loan Book Summary'!C:Q,15,FALSE)</f>
        <v>44439</v>
      </c>
      <c r="E78" s="398">
        <f>VLOOKUP(A78,'Loan Book Summary'!C:R,16,FALSE)</f>
        <v>46266</v>
      </c>
      <c r="F78" s="354">
        <f t="shared" si="12"/>
        <v>4.2546201232032859</v>
      </c>
      <c r="G78" s="354"/>
      <c r="H78" s="354"/>
      <c r="I78" s="354">
        <f>IFERROR(VLOOKUP(A78,'Stage 2 loans'!A:D,4,FALSE),1)</f>
        <v>1</v>
      </c>
      <c r="J78" s="354">
        <f>VLOOKUP(A78,Reference_Rate_Repricing_Report!B:P,15,FALSE)</f>
        <v>6.25</v>
      </c>
      <c r="K78" s="354"/>
      <c r="L78" s="274">
        <f>IF(I78="Matured","",IFERROR(VLOOKUP(A78,'Updated Ncino PD'!$A:$B,2,FALSE),IF($Z$2="ON",IF(I78=1,VLOOKUP(A78,'MacroPD-Cal'!A:H,8,FALSE),VLOOKUP(A78,'MacroPD-Cal'!A:O,15,FALSE)),IF($Z$5="Weighted",IF(I78=1,VLOOKUP(A78,'Model Output_TTC'!A:BX,76,FALSE),VLOOKUP(A78,'Model Output_TTC'!A:CD,82,FALSE)),IF($Z$5="Baseline",IF(I78=1,VLOOKUP(A78,'Model Output_TTC'!$A:$AO,41,FALSE),VLOOKUP(A78,'Model Output_TTC'!$A:$AU,47,FALSE)),IF($Z$5="90th Percentile",IF(I78=1,VLOOKUP(A78,'Model Output_TTC'!$A:$BJ,62,FALSE),VLOOKUP(A78,'Model Output_TTC'!$A:$BP,68,FALSE)),IF($Z$5="96th Percentile",IF(I78=1,VLOOKUP(A78,'Model Output_TTC'!$A:$T,20,FALSE),VLOOKUP(A78,'Model Output_TTC'!$A:$Z,26,FALSE)),"")))))))</f>
        <v>4.5999999999999999E-3</v>
      </c>
      <c r="M78" s="274">
        <f>IF('Ref-Data'!I78="Matured","",VLOOKUP(A78,'LGD Data'!A:C,3,0))</f>
        <v>0.45</v>
      </c>
      <c r="N78" s="274">
        <f>IF(I78="Matured","",MAX(IFERROR(VLOOKUP(A78,'Updated Ncino PD'!$U:$V,2,FALSE),'Ref-Data'!M78),10%))</f>
        <v>0.45</v>
      </c>
      <c r="O78" s="354">
        <f>VLOOKUP(A78,'Loan Book Summary'!C:AE,29,FALSE)</f>
        <v>0</v>
      </c>
      <c r="P78" s="354"/>
      <c r="Q78" s="354">
        <f>IF(I78="Matured","",VLOOKUP(A78,'MacroPD-Cal'!A:N,14,FALSE))</f>
        <v>4.5999999999999999E-3</v>
      </c>
      <c r="R78" s="354">
        <f t="shared" si="13"/>
        <v>0</v>
      </c>
      <c r="S78" s="354">
        <f t="shared" si="14"/>
        <v>5.0020533880903493</v>
      </c>
      <c r="T78" s="354"/>
      <c r="U78" s="354"/>
      <c r="V78" s="346"/>
      <c r="W78" s="346"/>
      <c r="X78" s="346"/>
      <c r="Y78" s="346"/>
      <c r="Z78" s="346"/>
      <c r="AA78" s="346"/>
      <c r="AB78" s="346"/>
      <c r="AC78" s="346"/>
      <c r="AD78" s="346" t="str">
        <f>VLOOKUP(A78,'Loan Book Summary'!C:E,3,FALSE)</f>
        <v>M&amp;E MILLS LIMITED</v>
      </c>
    </row>
    <row r="79" spans="1:30" ht="16.5" customHeight="1" x14ac:dyDescent="0.25">
      <c r="A79" s="354">
        <v>1100000233</v>
      </c>
      <c r="B79" s="249">
        <f>VLOOKUP(A79,'Loan Book Summary'!C:W,21,FALSE)</f>
        <v>500000</v>
      </c>
      <c r="C79" s="249">
        <f>VLOOKUP(A79,'Loan Book Summary'!C:AB,26,FALSE)</f>
        <v>0</v>
      </c>
      <c r="D79" s="398">
        <f>VLOOKUP(A79,'Loan Book Summary'!C:Q,15,FALSE)</f>
        <v>44439</v>
      </c>
      <c r="E79" s="398">
        <f>VLOOKUP(A79,'Loan Book Summary'!C:R,16,FALSE)</f>
        <v>46266</v>
      </c>
      <c r="F79" s="354">
        <f t="shared" si="12"/>
        <v>4.2546201232032859</v>
      </c>
      <c r="G79" s="354"/>
      <c r="H79" s="354"/>
      <c r="I79" s="354">
        <f>IFERROR(VLOOKUP(A79,'Stage 2 loans'!A:D,4,FALSE),1)</f>
        <v>1</v>
      </c>
      <c r="J79" s="354">
        <f>VLOOKUP(A79,Reference_Rate_Repricing_Report!B:P,15,FALSE)</f>
        <v>6.25</v>
      </c>
      <c r="K79" s="354"/>
      <c r="L79" s="274">
        <f>IF(I79="Matured","",IFERROR(VLOOKUP(A79,'Updated Ncino PD'!$A:$B,2,FALSE),IF($Z$2="ON",IF(I79=1,VLOOKUP(A79,'MacroPD-Cal'!A:H,8,FALSE),VLOOKUP(A79,'MacroPD-Cal'!A:O,15,FALSE)),IF($Z$5="Weighted",IF(I79=1,VLOOKUP(A79,'Model Output_TTC'!A:BX,76,FALSE),VLOOKUP(A79,'Model Output_TTC'!A:CD,82,FALSE)),IF($Z$5="Baseline",IF(I79=1,VLOOKUP(A79,'Model Output_TTC'!$A:$AO,41,FALSE),VLOOKUP(A79,'Model Output_TTC'!$A:$AU,47,FALSE)),IF($Z$5="90th Percentile",IF(I79=1,VLOOKUP(A79,'Model Output_TTC'!$A:$BJ,62,FALSE),VLOOKUP(A79,'Model Output_TTC'!$A:$BP,68,FALSE)),IF($Z$5="96th Percentile",IF(I79=1,VLOOKUP(A79,'Model Output_TTC'!$A:$T,20,FALSE),VLOOKUP(A79,'Model Output_TTC'!$A:$Z,26,FALSE)),"")))))))</f>
        <v>4.5999999999999999E-3</v>
      </c>
      <c r="M79" s="274">
        <f>IF('Ref-Data'!I79="Matured","",VLOOKUP(A79,'LGD Data'!A:C,3,0))</f>
        <v>0.45</v>
      </c>
      <c r="N79" s="274">
        <f>IF(I79="Matured","",MAX(IFERROR(VLOOKUP(A79,'Updated Ncino PD'!$U:$V,2,FALSE),'Ref-Data'!M79),10%))</f>
        <v>0.45</v>
      </c>
      <c r="O79" s="354">
        <f>VLOOKUP(A79,'Loan Book Summary'!C:AE,29,FALSE)</f>
        <v>500000</v>
      </c>
      <c r="P79" s="354"/>
      <c r="Q79" s="354">
        <f>IF(I79="Matured","",VLOOKUP(A79,'MacroPD-Cal'!A:N,14,FALSE))</f>
        <v>4.5999999999999999E-3</v>
      </c>
      <c r="R79" s="354">
        <f t="shared" si="13"/>
        <v>517.5</v>
      </c>
      <c r="S79" s="354">
        <f t="shared" si="14"/>
        <v>5.0020533880903493</v>
      </c>
      <c r="T79" s="354"/>
      <c r="U79" s="354"/>
      <c r="V79" s="346"/>
      <c r="W79" s="346"/>
      <c r="X79" s="346"/>
      <c r="Y79" s="346"/>
      <c r="Z79" s="346"/>
      <c r="AA79" s="346"/>
      <c r="AB79" s="346"/>
      <c r="AC79" s="346"/>
      <c r="AD79" s="346" t="str">
        <f>VLOOKUP(A79,'Loan Book Summary'!C:E,3,FALSE)</f>
        <v>M&amp;E MILLS LIMITED</v>
      </c>
    </row>
    <row r="80" spans="1:30" ht="16.5" customHeight="1" x14ac:dyDescent="0.25">
      <c r="A80" s="354">
        <v>1100000235</v>
      </c>
      <c r="B80" s="249">
        <f>VLOOKUP(A80,'Loan Book Summary'!C:W,21,FALSE)</f>
        <v>10000000</v>
      </c>
      <c r="C80" s="249">
        <f>VLOOKUP(A80,'Loan Book Summary'!C:AB,26,FALSE)</f>
        <v>5750500</v>
      </c>
      <c r="D80" s="398">
        <f>VLOOKUP(A80,'Loan Book Summary'!C:Q,15,FALSE)</f>
        <v>44446</v>
      </c>
      <c r="E80" s="398">
        <f>VLOOKUP(A80,'Loan Book Summary'!C:R,16,FALSE)</f>
        <v>46272</v>
      </c>
      <c r="F80" s="354">
        <f t="shared" si="12"/>
        <v>4.2710472279260783</v>
      </c>
      <c r="G80" s="354"/>
      <c r="H80" s="354"/>
      <c r="I80" s="354">
        <f>IFERROR(VLOOKUP(A80,'Stage 2 loans'!A:D,4,FALSE),1)</f>
        <v>1</v>
      </c>
      <c r="J80" s="354">
        <f>VLOOKUP(A80,Reference_Rate_Repricing_Report!B:P,15,FALSE)</f>
        <v>6.6</v>
      </c>
      <c r="K80" s="354"/>
      <c r="L80" s="274">
        <f>IF(I80="Matured","",IFERROR(VLOOKUP(A80,'Updated Ncino PD'!$A:$B,2,FALSE),IF($Z$2="ON",IF(I80=1,VLOOKUP(A80,'MacroPD-Cal'!A:H,8,FALSE),VLOOKUP(A80,'MacroPD-Cal'!A:O,15,FALSE)),IF($Z$5="Weighted",IF(I80=1,VLOOKUP(A80,'Model Output_TTC'!A:BX,76,FALSE),VLOOKUP(A80,'Model Output_TTC'!A:CD,82,FALSE)),IF($Z$5="Baseline",IF(I80=1,VLOOKUP(A80,'Model Output_TTC'!$A:$AO,41,FALSE),VLOOKUP(A80,'Model Output_TTC'!$A:$AU,47,FALSE)),IF($Z$5="90th Percentile",IF(I80=1,VLOOKUP(A80,'Model Output_TTC'!$A:$BJ,62,FALSE),VLOOKUP(A80,'Model Output_TTC'!$A:$BP,68,FALSE)),IF($Z$5="96th Percentile",IF(I80=1,VLOOKUP(A80,'Model Output_TTC'!$A:$T,20,FALSE),VLOOKUP(A80,'Model Output_TTC'!$A:$Z,26,FALSE)),"")))))))</f>
        <v>2.4800000000000003E-2</v>
      </c>
      <c r="M80" s="274">
        <f>IF('Ref-Data'!I80="Matured","",VLOOKUP(A80,'LGD Data'!A:C,3,0))</f>
        <v>0.42</v>
      </c>
      <c r="N80" s="274">
        <f>IF(I80="Matured","",MAX(IFERROR(VLOOKUP(A80,'Updated Ncino PD'!$U:$V,2,FALSE),'Ref-Data'!M80),10%))</f>
        <v>0.42</v>
      </c>
      <c r="O80" s="354">
        <f>VLOOKUP(A80,'Loan Book Summary'!C:AE,29,FALSE)</f>
        <v>4249500</v>
      </c>
      <c r="P80" s="354"/>
      <c r="Q80" s="354">
        <f>IF(I80="Matured","",VLOOKUP(A80,'MacroPD-Cal'!A:N,14,FALSE))</f>
        <v>2.4800000000000003E-2</v>
      </c>
      <c r="R80" s="354">
        <f t="shared" si="13"/>
        <v>22131.396000000001</v>
      </c>
      <c r="S80" s="354">
        <f t="shared" si="14"/>
        <v>4.9993155373032172</v>
      </c>
      <c r="T80" s="354"/>
      <c r="U80" s="354"/>
      <c r="V80" s="346"/>
      <c r="W80" s="346"/>
      <c r="X80" s="346"/>
      <c r="Y80" s="346"/>
      <c r="Z80" s="346"/>
      <c r="AA80" s="346"/>
      <c r="AB80" s="346"/>
      <c r="AC80" s="346"/>
      <c r="AD80" s="346" t="str">
        <f>VLOOKUP(A80,'Loan Book Summary'!C:E,3,FALSE)</f>
        <v>MELROSE EDUCATION LIMITED</v>
      </c>
    </row>
    <row r="81" spans="1:30" ht="16.5" customHeight="1" x14ac:dyDescent="0.25">
      <c r="A81" s="354">
        <v>1100000238</v>
      </c>
      <c r="B81" s="249">
        <f>VLOOKUP(A81,'Loan Book Summary'!C:W,21,FALSE)</f>
        <v>4000000</v>
      </c>
      <c r="C81" s="249">
        <f>VLOOKUP(A81,'Loan Book Summary'!C:AB,26,FALSE)</f>
        <v>0</v>
      </c>
      <c r="D81" s="398">
        <f>VLOOKUP(A81,'Loan Book Summary'!C:Q,15,FALSE)</f>
        <v>44455</v>
      </c>
      <c r="E81" s="398">
        <f>VLOOKUP(A81,'Loan Book Summary'!C:R,16,FALSE)</f>
        <v>46281</v>
      </c>
      <c r="F81" s="354">
        <f t="shared" si="12"/>
        <v>4.2956878850102669</v>
      </c>
      <c r="G81" s="354"/>
      <c r="H81" s="354"/>
      <c r="I81" s="354">
        <f>IFERROR(VLOOKUP(A81,'Stage 2 loans'!A:D,4,FALSE),1)</f>
        <v>1</v>
      </c>
      <c r="J81" s="354">
        <f>VLOOKUP(A81,Reference_Rate_Repricing_Report!B:P,15,FALSE)</f>
        <v>5.75</v>
      </c>
      <c r="K81" s="354"/>
      <c r="L81" s="274">
        <f>IF(I81="Matured","",IFERROR(VLOOKUP(A81,'Updated Ncino PD'!$A:$B,2,FALSE),IF($Z$2="ON",IF(I81=1,VLOOKUP(A81,'MacroPD-Cal'!A:H,8,FALSE),VLOOKUP(A81,'MacroPD-Cal'!A:O,15,FALSE)),IF($Z$5="Weighted",IF(I81=1,VLOOKUP(A81,'Model Output_TTC'!A:BX,76,FALSE),VLOOKUP(A81,'Model Output_TTC'!A:CD,82,FALSE)),IF($Z$5="Baseline",IF(I81=1,VLOOKUP(A81,'Model Output_TTC'!$A:$AO,41,FALSE),VLOOKUP(A81,'Model Output_TTC'!$A:$AU,47,FALSE)),IF($Z$5="90th Percentile",IF(I81=1,VLOOKUP(A81,'Model Output_TTC'!$A:$BJ,62,FALSE),VLOOKUP(A81,'Model Output_TTC'!$A:$BP,68,FALSE)),IF($Z$5="96th Percentile",IF(I81=1,VLOOKUP(A81,'Model Output_TTC'!$A:$T,20,FALSE),VLOOKUP(A81,'Model Output_TTC'!$A:$Z,26,FALSE)),"")))))))</f>
        <v>7.7899999999999997E-2</v>
      </c>
      <c r="M81" s="274">
        <f>IF('Ref-Data'!I81="Matured","",VLOOKUP(A81,'LGD Data'!A:C,3,0))</f>
        <v>0.4264</v>
      </c>
      <c r="N81" s="274">
        <f>IF(I81="Matured","",MAX(IFERROR(VLOOKUP(A81,'Updated Ncino PD'!$U:$V,2,FALSE),'Ref-Data'!M81),10%))</f>
        <v>0.4264</v>
      </c>
      <c r="O81" s="354">
        <f>VLOOKUP(A81,'Loan Book Summary'!C:AE,29,FALSE)</f>
        <v>4000000</v>
      </c>
      <c r="P81" s="354"/>
      <c r="Q81" s="354">
        <f>IF(I81="Matured","",VLOOKUP(A81,'MacroPD-Cal'!A:N,14,FALSE))</f>
        <v>7.7899999999999997E-2</v>
      </c>
      <c r="R81" s="354">
        <f t="shared" si="13"/>
        <v>66433.119999999995</v>
      </c>
      <c r="S81" s="354">
        <f t="shared" si="14"/>
        <v>4.9993155373032172</v>
      </c>
      <c r="T81" s="354"/>
      <c r="U81" s="354"/>
      <c r="V81" s="346"/>
      <c r="W81" s="346"/>
      <c r="X81" s="346"/>
      <c r="Y81" s="346"/>
      <c r="Z81" s="346"/>
      <c r="AA81" s="346"/>
      <c r="AB81" s="346"/>
      <c r="AC81" s="346"/>
      <c r="AD81" s="346" t="str">
        <f>VLOOKUP(A81,'Loan Book Summary'!C:E,3,FALSE)</f>
        <v>TOPHAM BIDCO LIMITED</v>
      </c>
    </row>
    <row r="82" spans="1:30" ht="16.5" customHeight="1" x14ac:dyDescent="0.25">
      <c r="A82" s="354">
        <v>1100000236</v>
      </c>
      <c r="B82" s="249">
        <f>VLOOKUP(A82,'Loan Book Summary'!C:W,21,FALSE)</f>
        <v>6750000</v>
      </c>
      <c r="C82" s="249">
        <f>VLOOKUP(A82,'Loan Book Summary'!C:AB,26,FALSE)</f>
        <v>6750000</v>
      </c>
      <c r="D82" s="398">
        <f>VLOOKUP(A82,'Loan Book Summary'!C:Q,15,FALSE)</f>
        <v>44455</v>
      </c>
      <c r="E82" s="398">
        <f>VLOOKUP(A82,'Loan Book Summary'!C:R,16,FALSE)</f>
        <v>46281</v>
      </c>
      <c r="F82" s="354">
        <f t="shared" si="12"/>
        <v>4.2956878850102669</v>
      </c>
      <c r="G82" s="354"/>
      <c r="H82" s="354"/>
      <c r="I82" s="354">
        <f>IFERROR(VLOOKUP(A82,'Stage 2 loans'!A:D,4,FALSE),1)</f>
        <v>1</v>
      </c>
      <c r="J82" s="354">
        <f>VLOOKUP(A82,Reference_Rate_Repricing_Report!B:P,15,FALSE)</f>
        <v>6</v>
      </c>
      <c r="K82" s="354"/>
      <c r="L82" s="274">
        <f>IF(I82="Matured","",IFERROR(VLOOKUP(A82,'Updated Ncino PD'!$A:$B,2,FALSE),IF($Z$2="ON",IF(I82=1,VLOOKUP(A82,'MacroPD-Cal'!A:H,8,FALSE),VLOOKUP(A82,'MacroPD-Cal'!A:O,15,FALSE)),IF($Z$5="Weighted",IF(I82=1,VLOOKUP(A82,'Model Output_TTC'!A:BX,76,FALSE),VLOOKUP(A82,'Model Output_TTC'!A:CD,82,FALSE)),IF($Z$5="Baseline",IF(I82=1,VLOOKUP(A82,'Model Output_TTC'!$A:$AO,41,FALSE),VLOOKUP(A82,'Model Output_TTC'!$A:$AU,47,FALSE)),IF($Z$5="90th Percentile",IF(I82=1,VLOOKUP(A82,'Model Output_TTC'!$A:$BJ,62,FALSE),VLOOKUP(A82,'Model Output_TTC'!$A:$BP,68,FALSE)),IF($Z$5="96th Percentile",IF(I82=1,VLOOKUP(A82,'Model Output_TTC'!$A:$T,20,FALSE),VLOOKUP(A82,'Model Output_TTC'!$A:$Z,26,FALSE)),"")))))))</f>
        <v>7.7899999999999997E-2</v>
      </c>
      <c r="M82" s="274">
        <f>IF('Ref-Data'!I82="Matured","",VLOOKUP(A82,'LGD Data'!A:C,3,0))</f>
        <v>0.4264</v>
      </c>
      <c r="N82" s="274">
        <f>IF(I82="Matured","",MAX(IFERROR(VLOOKUP(A82,'Updated Ncino PD'!$U:$V,2,FALSE),'Ref-Data'!M82),10%))</f>
        <v>0.4264</v>
      </c>
      <c r="O82" s="354">
        <f>VLOOKUP(A82,'Loan Book Summary'!C:AE,29,FALSE)</f>
        <v>0</v>
      </c>
      <c r="P82" s="354"/>
      <c r="Q82" s="354">
        <f>IF(I82="Matured","",VLOOKUP(A82,'MacroPD-Cal'!A:N,14,FALSE))</f>
        <v>7.7899999999999997E-2</v>
      </c>
      <c r="R82" s="354">
        <f t="shared" si="13"/>
        <v>0</v>
      </c>
      <c r="S82" s="354">
        <f t="shared" si="14"/>
        <v>4.9993155373032172</v>
      </c>
      <c r="T82" s="354"/>
      <c r="U82" s="354"/>
      <c r="V82" s="346"/>
      <c r="W82" s="346"/>
      <c r="X82" s="346"/>
      <c r="Y82" s="346"/>
      <c r="Z82" s="346"/>
      <c r="AA82" s="346"/>
      <c r="AB82" s="346"/>
      <c r="AC82" s="346"/>
      <c r="AD82" s="346" t="str">
        <f>VLOOKUP(A82,'Loan Book Summary'!C:E,3,FALSE)</f>
        <v>TOPHAM BIDCO LIMITED</v>
      </c>
    </row>
    <row r="83" spans="1:30" x14ac:dyDescent="0.25">
      <c r="A83" s="354">
        <v>1100000237</v>
      </c>
      <c r="B83" s="249">
        <f>VLOOKUP(A83,'Loan Book Summary'!C:W,21,FALSE)</f>
        <v>7500000</v>
      </c>
      <c r="C83" s="249">
        <f>VLOOKUP(A83,'Loan Book Summary'!C:AB,26,FALSE)</f>
        <v>7500000</v>
      </c>
      <c r="D83" s="398">
        <f>VLOOKUP(A83,'Loan Book Summary'!C:Q,15,FALSE)</f>
        <v>44455</v>
      </c>
      <c r="E83" s="398">
        <f>VLOOKUP(A83,'Loan Book Summary'!C:R,16,FALSE)</f>
        <v>46281</v>
      </c>
      <c r="F83" s="354">
        <f t="shared" si="12"/>
        <v>4.2956878850102669</v>
      </c>
      <c r="G83" s="354"/>
      <c r="H83" s="354"/>
      <c r="I83" s="354">
        <f>IFERROR(VLOOKUP(A83,'Stage 2 loans'!A:D,4,FALSE),1)</f>
        <v>1</v>
      </c>
      <c r="J83" s="354">
        <f>VLOOKUP(A83,Reference_Rate_Repricing_Report!B:P,15,FALSE)</f>
        <v>6.25</v>
      </c>
      <c r="K83" s="354"/>
      <c r="L83" s="274">
        <f>IF(I83="Matured","",IFERROR(VLOOKUP(A83,'Updated Ncino PD'!$A:$B,2,FALSE),IF($Z$2="ON",IF(I83=1,VLOOKUP(A83,'MacroPD-Cal'!A:H,8,FALSE),VLOOKUP(A83,'MacroPD-Cal'!A:O,15,FALSE)),IF($Z$5="Weighted",IF(I83=1,VLOOKUP(A83,'Model Output_TTC'!A:BX,76,FALSE),VLOOKUP(A83,'Model Output_TTC'!A:CD,82,FALSE)),IF($Z$5="Baseline",IF(I83=1,VLOOKUP(A83,'Model Output_TTC'!$A:$AO,41,FALSE),VLOOKUP(A83,'Model Output_TTC'!$A:$AU,47,FALSE)),IF($Z$5="90th Percentile",IF(I83=1,VLOOKUP(A83,'Model Output_TTC'!$A:$BJ,62,FALSE),VLOOKUP(A83,'Model Output_TTC'!$A:$BP,68,FALSE)),IF($Z$5="96th Percentile",IF(I83=1,VLOOKUP(A83,'Model Output_TTC'!$A:$T,20,FALSE),VLOOKUP(A83,'Model Output_TTC'!$A:$Z,26,FALSE)),"")))))))</f>
        <v>7.7899999999999997E-2</v>
      </c>
      <c r="M83" s="274">
        <f>IF('Ref-Data'!I83="Matured","",VLOOKUP(A83,'LGD Data'!A:C,3,0))</f>
        <v>0.4264</v>
      </c>
      <c r="N83" s="274">
        <f>IF(I83="Matured","",MAX(IFERROR(VLOOKUP(A83,'Updated Ncino PD'!$U:$V,2,FALSE),'Ref-Data'!M83),10%))</f>
        <v>0.4264</v>
      </c>
      <c r="O83" s="354">
        <f>VLOOKUP(A83,'Loan Book Summary'!C:AE,29,FALSE)</f>
        <v>0</v>
      </c>
      <c r="P83" s="354"/>
      <c r="Q83" s="354">
        <f>IF(I83="Matured","",VLOOKUP(A83,'MacroPD-Cal'!A:N,14,FALSE))</f>
        <v>7.7899999999999997E-2</v>
      </c>
      <c r="R83" s="354">
        <f t="shared" si="13"/>
        <v>0</v>
      </c>
      <c r="S83" s="354">
        <f t="shared" si="14"/>
        <v>4.9993155373032172</v>
      </c>
      <c r="T83" s="354"/>
      <c r="U83" s="354"/>
      <c r="V83" s="346"/>
      <c r="W83" s="346"/>
      <c r="X83" s="346"/>
      <c r="Y83" s="346"/>
      <c r="Z83" s="346"/>
      <c r="AA83" s="346"/>
      <c r="AB83" s="346"/>
      <c r="AC83" s="346"/>
      <c r="AD83" s="346" t="str">
        <f>VLOOKUP(A83,'Loan Book Summary'!C:E,3,FALSE)</f>
        <v>TOPHAM BIDCO LIMITED</v>
      </c>
    </row>
    <row r="84" spans="1:30" x14ac:dyDescent="0.25">
      <c r="A84" s="354">
        <v>1100000241</v>
      </c>
      <c r="B84" s="249">
        <f>VLOOKUP(A84,'Loan Book Summary'!C:W,21,FALSE)</f>
        <v>4953225</v>
      </c>
      <c r="C84" s="249">
        <f>VLOOKUP(A84,'Loan Book Summary'!C:AB,26,FALSE)</f>
        <v>4953225</v>
      </c>
      <c r="D84" s="398">
        <f>VLOOKUP(A84,'Loan Book Summary'!C:Q,15,FALSE)</f>
        <v>44469</v>
      </c>
      <c r="E84" s="398">
        <f>VLOOKUP(A84,'Loan Book Summary'!C:R,16,FALSE)</f>
        <v>46321</v>
      </c>
      <c r="F84" s="354">
        <f t="shared" si="12"/>
        <v>4.4052019164955514</v>
      </c>
      <c r="G84" s="354"/>
      <c r="H84" s="354"/>
      <c r="I84" s="354">
        <f>IFERROR(VLOOKUP(A84,'Stage 2 loans'!A:D,4,FALSE),1)</f>
        <v>1</v>
      </c>
      <c r="J84" s="354">
        <f>VLOOKUP(A84,Reference_Rate_Repricing_Report!B:P,15,FALSE)</f>
        <v>5.6</v>
      </c>
      <c r="K84" s="354"/>
      <c r="L84" s="274">
        <f>IF(I84="Matured","",IFERROR(VLOOKUP(A84,'Updated Ncino PD'!$A:$B,2,FALSE),IF($Z$2="ON",IF(I84=1,VLOOKUP(A84,'MacroPD-Cal'!A:H,8,FALSE),VLOOKUP(A84,'MacroPD-Cal'!A:O,15,FALSE)),IF($Z$5="Weighted",IF(I84=1,VLOOKUP(A84,'Model Output_TTC'!A:BX,76,FALSE),VLOOKUP(A84,'Model Output_TTC'!A:CD,82,FALSE)),IF($Z$5="Baseline",IF(I84=1,VLOOKUP(A84,'Model Output_TTC'!$A:$AO,41,FALSE),VLOOKUP(A84,'Model Output_TTC'!$A:$AU,47,FALSE)),IF($Z$5="90th Percentile",IF(I84=1,VLOOKUP(A84,'Model Output_TTC'!$A:$BJ,62,FALSE),VLOOKUP(A84,'Model Output_TTC'!$A:$BP,68,FALSE)),IF($Z$5="96th Percentile",IF(I84=1,VLOOKUP(A84,'Model Output_TTC'!$A:$T,20,FALSE),VLOOKUP(A84,'Model Output_TTC'!$A:$Z,26,FALSE)),"")))))))</f>
        <v>3.6000000000000003E-3</v>
      </c>
      <c r="M84" s="274">
        <f>IF('Ref-Data'!I84="Matured","",VLOOKUP(A84,'LGD Data'!A:C,3,0))</f>
        <v>0.15016858201638894</v>
      </c>
      <c r="N84" s="274">
        <f>IF(I84="Matured","",MAX(IFERROR(VLOOKUP(A84,'Updated Ncino PD'!$U:$V,2,FALSE),'Ref-Data'!M84),10%))</f>
        <v>0.15016858201638894</v>
      </c>
      <c r="O84" s="354">
        <f>VLOOKUP(A84,'Loan Book Summary'!C:AE,29,FALSE)</f>
        <v>0</v>
      </c>
      <c r="P84" s="354"/>
      <c r="Q84" s="354">
        <f>IF(I84="Matured","",VLOOKUP(A84,'MacroPD-Cal'!A:N,14,FALSE))</f>
        <v>3.6000000000000003E-3</v>
      </c>
      <c r="R84" s="354">
        <f t="shared" si="13"/>
        <v>0</v>
      </c>
      <c r="S84" s="354">
        <f t="shared" si="14"/>
        <v>5.0704996577686519</v>
      </c>
      <c r="T84" s="354"/>
      <c r="U84" s="354"/>
      <c r="V84" s="346"/>
      <c r="W84" s="346"/>
      <c r="X84" s="346"/>
      <c r="Y84" s="346"/>
      <c r="Z84" s="346"/>
      <c r="AA84" s="346"/>
      <c r="AB84" s="346"/>
      <c r="AC84" s="346"/>
      <c r="AD84" s="346" t="str">
        <f>VLOOKUP(A84,'Loan Book Summary'!C:E,3,FALSE)</f>
        <v>PARK LANE HEALTHCARE (MAGNOLIA HOUSE) LIMITED &amp; PARK LANE HEALTHCARE (THE MANOR HOUSE) LIMITED &amp; PARK LANE HEALTHCARE (CROSTON PARK) LIMITED &amp; YORK HERITAGE (THE HALL THORNTON LE DALE ) LIMITED &amp; PLH MOORGATE HOLDCO LIMITED</v>
      </c>
    </row>
    <row r="85" spans="1:30" x14ac:dyDescent="0.25">
      <c r="A85" s="354">
        <v>1100000242</v>
      </c>
      <c r="B85" s="249">
        <f>VLOOKUP(A85,'Loan Book Summary'!C:W,21,FALSE)</f>
        <v>1691086</v>
      </c>
      <c r="C85" s="249">
        <f>VLOOKUP(A85,'Loan Book Summary'!C:AB,26,FALSE)</f>
        <v>1691086</v>
      </c>
      <c r="D85" s="398">
        <f>VLOOKUP(A85,'Loan Book Summary'!C:Q,15,FALSE)</f>
        <v>44469</v>
      </c>
      <c r="E85" s="398">
        <f>VLOOKUP(A85,'Loan Book Summary'!C:R,16,FALSE)</f>
        <v>46321</v>
      </c>
      <c r="F85" s="354">
        <f t="shared" si="12"/>
        <v>4.4052019164955514</v>
      </c>
      <c r="G85" s="354"/>
      <c r="H85" s="354"/>
      <c r="I85" s="354">
        <f>IFERROR(VLOOKUP(A85,'Stage 2 loans'!A:D,4,FALSE),1)</f>
        <v>1</v>
      </c>
      <c r="J85" s="354">
        <f>VLOOKUP(A85,Reference_Rate_Repricing_Report!B:P,15,FALSE)</f>
        <v>5.6</v>
      </c>
      <c r="K85" s="354"/>
      <c r="L85" s="274">
        <f>IF(I85="Matured","",IFERROR(VLOOKUP(A85,'Updated Ncino PD'!$A:$B,2,FALSE),IF($Z$2="ON",IF(I85=1,VLOOKUP(A85,'MacroPD-Cal'!A:H,8,FALSE),VLOOKUP(A85,'MacroPD-Cal'!A:O,15,FALSE)),IF($Z$5="Weighted",IF(I85=1,VLOOKUP(A85,'Model Output_TTC'!A:BX,76,FALSE),VLOOKUP(A85,'Model Output_TTC'!A:CD,82,FALSE)),IF($Z$5="Baseline",IF(I85=1,VLOOKUP(A85,'Model Output_TTC'!$A:$AO,41,FALSE),VLOOKUP(A85,'Model Output_TTC'!$A:$AU,47,FALSE)),IF($Z$5="90th Percentile",IF(I85=1,VLOOKUP(A85,'Model Output_TTC'!$A:$BJ,62,FALSE),VLOOKUP(A85,'Model Output_TTC'!$A:$BP,68,FALSE)),IF($Z$5="96th Percentile",IF(I85=1,VLOOKUP(A85,'Model Output_TTC'!$A:$T,20,FALSE),VLOOKUP(A85,'Model Output_TTC'!$A:$Z,26,FALSE)),"")))))))</f>
        <v>3.6000000000000003E-3</v>
      </c>
      <c r="M85" s="274">
        <f>IF('Ref-Data'!I85="Matured","",VLOOKUP(A85,'LGD Data'!A:C,3,0))</f>
        <v>0.15016858201638894</v>
      </c>
      <c r="N85" s="274">
        <f>IF(I85="Matured","",MAX(IFERROR(VLOOKUP(A85,'Updated Ncino PD'!$U:$V,2,FALSE),'Ref-Data'!M85),10%))</f>
        <v>0.15016858201638894</v>
      </c>
      <c r="O85" s="354">
        <f>VLOOKUP(A85,'Loan Book Summary'!C:AE,29,FALSE)</f>
        <v>0</v>
      </c>
      <c r="P85" s="354"/>
      <c r="Q85" s="354">
        <f>IF(I85="Matured","",VLOOKUP(A85,'MacroPD-Cal'!A:N,14,FALSE))</f>
        <v>3.6000000000000003E-3</v>
      </c>
      <c r="R85" s="354">
        <f t="shared" si="13"/>
        <v>0</v>
      </c>
      <c r="S85" s="354">
        <f t="shared" si="14"/>
        <v>5.0704996577686519</v>
      </c>
      <c r="T85" s="354"/>
      <c r="U85" s="354"/>
      <c r="V85" s="346"/>
      <c r="W85" s="346"/>
      <c r="X85" s="346"/>
      <c r="Y85" s="346"/>
      <c r="Z85" s="346"/>
      <c r="AA85" s="346"/>
      <c r="AB85" s="346"/>
      <c r="AC85" s="346"/>
      <c r="AD85" s="346" t="str">
        <f>VLOOKUP(A85,'Loan Book Summary'!C:E,3,FALSE)</f>
        <v>PARK LANE HEALTHCARE (MAGNOLIA HOUSE) LIMITED &amp; PARK LANE HEALTHCARE (THE MANOR HOUSE) LIMITED &amp; PARK LANE HEALTHCARE (CROSTON PARK) LIMITED &amp; YORK HERITAGE (THE HALL THORNTON LE DALE ) LIMITED &amp; PLH MOORGATE HOLDCO LIMITED</v>
      </c>
    </row>
    <row r="86" spans="1:30" x14ac:dyDescent="0.25">
      <c r="A86" s="354">
        <v>1100000243</v>
      </c>
      <c r="B86" s="249">
        <f>VLOOKUP(A86,'Loan Book Summary'!C:W,21,FALSE)</f>
        <v>3695245</v>
      </c>
      <c r="C86" s="249">
        <f>VLOOKUP(A86,'Loan Book Summary'!C:AB,26,FALSE)</f>
        <v>3695245</v>
      </c>
      <c r="D86" s="398">
        <f>VLOOKUP(A86,'Loan Book Summary'!C:Q,15,FALSE)</f>
        <v>44469</v>
      </c>
      <c r="E86" s="398">
        <f>VLOOKUP(A86,'Loan Book Summary'!C:R,16,FALSE)</f>
        <v>46321</v>
      </c>
      <c r="F86" s="354">
        <f t="shared" si="12"/>
        <v>4.4052019164955514</v>
      </c>
      <c r="G86" s="354"/>
      <c r="H86" s="354"/>
      <c r="I86" s="354">
        <f>IFERROR(VLOOKUP(A86,'Stage 2 loans'!A:D,4,FALSE),1)</f>
        <v>1</v>
      </c>
      <c r="J86" s="354">
        <f>VLOOKUP(A86,Reference_Rate_Repricing_Report!B:P,15,FALSE)</f>
        <v>5.6</v>
      </c>
      <c r="K86" s="354"/>
      <c r="L86" s="274">
        <f>IF(I86="Matured","",IFERROR(VLOOKUP(A86,'Updated Ncino PD'!$A:$B,2,FALSE),IF($Z$2="ON",IF(I86=1,VLOOKUP(A86,'MacroPD-Cal'!A:H,8,FALSE),VLOOKUP(A86,'MacroPD-Cal'!A:O,15,FALSE)),IF($Z$5="Weighted",IF(I86=1,VLOOKUP(A86,'Model Output_TTC'!A:BX,76,FALSE),VLOOKUP(A86,'Model Output_TTC'!A:CD,82,FALSE)),IF($Z$5="Baseline",IF(I86=1,VLOOKUP(A86,'Model Output_TTC'!$A:$AO,41,FALSE),VLOOKUP(A86,'Model Output_TTC'!$A:$AU,47,FALSE)),IF($Z$5="90th Percentile",IF(I86=1,VLOOKUP(A86,'Model Output_TTC'!$A:$BJ,62,FALSE),VLOOKUP(A86,'Model Output_TTC'!$A:$BP,68,FALSE)),IF($Z$5="96th Percentile",IF(I86=1,VLOOKUP(A86,'Model Output_TTC'!$A:$T,20,FALSE),VLOOKUP(A86,'Model Output_TTC'!$A:$Z,26,FALSE)),"")))))))</f>
        <v>3.6000000000000003E-3</v>
      </c>
      <c r="M86" s="274">
        <f>IF('Ref-Data'!I86="Matured","",VLOOKUP(A86,'LGD Data'!A:C,3,0))</f>
        <v>0.15016858201638894</v>
      </c>
      <c r="N86" s="274">
        <f>IF(I86="Matured","",MAX(IFERROR(VLOOKUP(A86,'Updated Ncino PD'!$U:$V,2,FALSE),'Ref-Data'!M86),10%))</f>
        <v>0.15016858201638894</v>
      </c>
      <c r="O86" s="354">
        <f>VLOOKUP(A86,'Loan Book Summary'!C:AE,29,FALSE)</f>
        <v>0</v>
      </c>
      <c r="P86" s="354"/>
      <c r="Q86" s="354">
        <f>IF(I86="Matured","",VLOOKUP(A86,'MacroPD-Cal'!A:N,14,FALSE))</f>
        <v>3.6000000000000003E-3</v>
      </c>
      <c r="R86" s="354">
        <f t="shared" si="13"/>
        <v>0</v>
      </c>
      <c r="S86" s="354">
        <f t="shared" si="14"/>
        <v>5.0704996577686519</v>
      </c>
      <c r="T86" s="354"/>
      <c r="U86" s="354"/>
      <c r="V86" s="346"/>
      <c r="W86" s="346"/>
      <c r="X86" s="346"/>
      <c r="Y86" s="346"/>
      <c r="Z86" s="346"/>
      <c r="AA86" s="346"/>
      <c r="AB86" s="346"/>
      <c r="AC86" s="346"/>
      <c r="AD86" s="346" t="str">
        <f>VLOOKUP(A86,'Loan Book Summary'!C:E,3,FALSE)</f>
        <v>PARK LANE HEALTHCARE (MAGNOLIA HOUSE) LIMITED &amp; PARK LANE HEALTHCARE (THE MANOR HOUSE) LIMITED &amp; PARK LANE HEALTHCARE (CROSTON PARK) LIMITED &amp; YORK HERITAGE (THE HALL THORNTON LE DALE ) LIMITED &amp; PLH MOORGATE HOLDCO LIMITED</v>
      </c>
    </row>
    <row r="87" spans="1:30" x14ac:dyDescent="0.25">
      <c r="A87" s="354">
        <v>1100000245</v>
      </c>
      <c r="B87" s="249">
        <f>VLOOKUP(A87,'Loan Book Summary'!C:W,21,FALSE)</f>
        <v>2378209</v>
      </c>
      <c r="C87" s="249">
        <f>VLOOKUP(A87,'Loan Book Summary'!C:AB,26,FALSE)</f>
        <v>2378209</v>
      </c>
      <c r="D87" s="398">
        <f>VLOOKUP(A87,'Loan Book Summary'!C:Q,15,FALSE)</f>
        <v>44469</v>
      </c>
      <c r="E87" s="398">
        <f>VLOOKUP(A87,'Loan Book Summary'!C:R,16,FALSE)</f>
        <v>46321</v>
      </c>
      <c r="F87" s="354">
        <f t="shared" si="12"/>
        <v>4.4052019164955514</v>
      </c>
      <c r="G87" s="354"/>
      <c r="H87" s="354"/>
      <c r="I87" s="354">
        <f>IFERROR(VLOOKUP(A87,'Stage 2 loans'!A:D,4,FALSE),1)</f>
        <v>1</v>
      </c>
      <c r="J87" s="354">
        <f>VLOOKUP(A87,Reference_Rate_Repricing_Report!B:P,15,FALSE)</f>
        <v>5.6</v>
      </c>
      <c r="K87" s="354"/>
      <c r="L87" s="274">
        <f>IF(I87="Matured","",IFERROR(VLOOKUP(A87,'Updated Ncino PD'!$A:$B,2,FALSE),IF($Z$2="ON",IF(I87=1,VLOOKUP(A87,'MacroPD-Cal'!A:H,8,FALSE),VLOOKUP(A87,'MacroPD-Cal'!A:O,15,FALSE)),IF($Z$5="Weighted",IF(I87=1,VLOOKUP(A87,'Model Output_TTC'!A:BX,76,FALSE),VLOOKUP(A87,'Model Output_TTC'!A:CD,82,FALSE)),IF($Z$5="Baseline",IF(I87=1,VLOOKUP(A87,'Model Output_TTC'!$A:$AO,41,FALSE),VLOOKUP(A87,'Model Output_TTC'!$A:$AU,47,FALSE)),IF($Z$5="90th Percentile",IF(I87=1,VLOOKUP(A87,'Model Output_TTC'!$A:$BJ,62,FALSE),VLOOKUP(A87,'Model Output_TTC'!$A:$BP,68,FALSE)),IF($Z$5="96th Percentile",IF(I87=1,VLOOKUP(A87,'Model Output_TTC'!$A:$T,20,FALSE),VLOOKUP(A87,'Model Output_TTC'!$A:$Z,26,FALSE)),"")))))))</f>
        <v>3.6000000000000003E-3</v>
      </c>
      <c r="M87" s="274">
        <f>IF('Ref-Data'!I87="Matured","",VLOOKUP(A87,'LGD Data'!A:C,3,0))</f>
        <v>0.15016858201638894</v>
      </c>
      <c r="N87" s="274">
        <f>IF(I87="Matured","",MAX(IFERROR(VLOOKUP(A87,'Updated Ncino PD'!$U:$V,2,FALSE),'Ref-Data'!M87),10%))</f>
        <v>0.15016858201638894</v>
      </c>
      <c r="O87" s="354">
        <f>VLOOKUP(A87,'Loan Book Summary'!C:AE,29,FALSE)</f>
        <v>0</v>
      </c>
      <c r="P87" s="354"/>
      <c r="Q87" s="354">
        <f>IF(I87="Matured","",VLOOKUP(A87,'MacroPD-Cal'!A:N,14,FALSE))</f>
        <v>3.6000000000000003E-3</v>
      </c>
      <c r="R87" s="354">
        <f t="shared" si="13"/>
        <v>0</v>
      </c>
      <c r="S87" s="354">
        <f t="shared" si="14"/>
        <v>5.0704996577686519</v>
      </c>
      <c r="T87" s="354"/>
      <c r="U87" s="354"/>
      <c r="V87" s="346"/>
      <c r="W87" s="346"/>
      <c r="X87" s="346"/>
      <c r="Y87" s="346"/>
      <c r="Z87" s="346"/>
      <c r="AA87" s="346"/>
      <c r="AB87" s="346"/>
      <c r="AC87" s="346"/>
      <c r="AD87" s="346" t="str">
        <f>VLOOKUP(A87,'Loan Book Summary'!C:E,3,FALSE)</f>
        <v>PARK LANE HEALTHCARE (MAGNOLIA HOUSE) LIMITED &amp; PARK LANE HEALTHCARE (THE MANOR HOUSE) LIMITED &amp; PARK LANE HEALTHCARE (CROSTON PARK) LIMITED &amp; YORK HERITAGE (THE HALL THORNTON LE DALE ) LIMITED &amp; PLH MOORGATE HOLDCO LIMITED</v>
      </c>
    </row>
    <row r="88" spans="1:30" x14ac:dyDescent="0.25">
      <c r="A88" s="354">
        <v>1100000244</v>
      </c>
      <c r="B88" s="249">
        <f>VLOOKUP(A88,'Loan Book Summary'!C:W,21,FALSE)</f>
        <v>2879716</v>
      </c>
      <c r="C88" s="249">
        <f>VLOOKUP(A88,'Loan Book Summary'!C:AB,26,FALSE)</f>
        <v>2879716</v>
      </c>
      <c r="D88" s="398">
        <f>VLOOKUP(A88,'Loan Book Summary'!C:Q,15,FALSE)</f>
        <v>44469</v>
      </c>
      <c r="E88" s="398">
        <f>VLOOKUP(A88,'Loan Book Summary'!C:R,16,FALSE)</f>
        <v>46321</v>
      </c>
      <c r="F88" s="354">
        <f t="shared" si="12"/>
        <v>4.4052019164955514</v>
      </c>
      <c r="G88" s="354"/>
      <c r="H88" s="354"/>
      <c r="I88" s="354">
        <f>IFERROR(VLOOKUP(A88,'Stage 2 loans'!A:D,4,FALSE),1)</f>
        <v>1</v>
      </c>
      <c r="J88" s="354">
        <f>VLOOKUP(A88,Reference_Rate_Repricing_Report!B:P,15,FALSE)</f>
        <v>5.6</v>
      </c>
      <c r="K88" s="354"/>
      <c r="L88" s="274">
        <f>IF(I88="Matured","",IFERROR(VLOOKUP(A88,'Updated Ncino PD'!$A:$B,2,FALSE),IF($Z$2="ON",IF(I88=1,VLOOKUP(A88,'MacroPD-Cal'!A:H,8,FALSE),VLOOKUP(A88,'MacroPD-Cal'!A:O,15,FALSE)),IF($Z$5="Weighted",IF(I88=1,VLOOKUP(A88,'Model Output_TTC'!A:BX,76,FALSE),VLOOKUP(A88,'Model Output_TTC'!A:CD,82,FALSE)),IF($Z$5="Baseline",IF(I88=1,VLOOKUP(A88,'Model Output_TTC'!$A:$AO,41,FALSE),VLOOKUP(A88,'Model Output_TTC'!$A:$AU,47,FALSE)),IF($Z$5="90th Percentile",IF(I88=1,VLOOKUP(A88,'Model Output_TTC'!$A:$BJ,62,FALSE),VLOOKUP(A88,'Model Output_TTC'!$A:$BP,68,FALSE)),IF($Z$5="96th Percentile",IF(I88=1,VLOOKUP(A88,'Model Output_TTC'!$A:$T,20,FALSE),VLOOKUP(A88,'Model Output_TTC'!$A:$Z,26,FALSE)),"")))))))</f>
        <v>3.6000000000000003E-3</v>
      </c>
      <c r="M88" s="274">
        <f>IF('Ref-Data'!I88="Matured","",VLOOKUP(A88,'LGD Data'!A:C,3,0))</f>
        <v>0.15016858201638894</v>
      </c>
      <c r="N88" s="274">
        <f>IF(I88="Matured","",MAX(IFERROR(VLOOKUP(A88,'Updated Ncino PD'!$U:$V,2,FALSE),'Ref-Data'!M88),10%))</f>
        <v>0.15016858201638894</v>
      </c>
      <c r="O88" s="354">
        <f>VLOOKUP(A88,'Loan Book Summary'!C:AE,29,FALSE)</f>
        <v>0</v>
      </c>
      <c r="P88" s="354"/>
      <c r="Q88" s="354">
        <f>IF(I88="Matured","",VLOOKUP(A88,'MacroPD-Cal'!A:N,14,FALSE))</f>
        <v>3.6000000000000003E-3</v>
      </c>
      <c r="R88" s="354">
        <f t="shared" si="13"/>
        <v>0</v>
      </c>
      <c r="S88" s="354">
        <f t="shared" si="14"/>
        <v>5.0704996577686519</v>
      </c>
      <c r="T88" s="354"/>
      <c r="U88" s="354"/>
      <c r="V88" s="346"/>
      <c r="W88" s="346"/>
      <c r="X88" s="346"/>
      <c r="Y88" s="346"/>
      <c r="Z88" s="346"/>
      <c r="AA88" s="346"/>
      <c r="AB88" s="346"/>
      <c r="AC88" s="346"/>
      <c r="AD88" s="346" t="str">
        <f>VLOOKUP(A88,'Loan Book Summary'!C:E,3,FALSE)</f>
        <v>PARK LANE HEALTHCARE (MAGNOLIA HOUSE) LIMITED &amp; PARK LANE HEALTHCARE (THE MANOR HOUSE) LIMITED &amp; PARK LANE HEALTHCARE (CROSTON PARK) LIMITED &amp; YORK HERITAGE (THE HALL THORNTON LE DALE ) LIMITED &amp; PLH MOORGATE HOLDCO LIMITED</v>
      </c>
    </row>
    <row r="89" spans="1:30" x14ac:dyDescent="0.25">
      <c r="A89" s="354">
        <v>1100000248</v>
      </c>
      <c r="B89" s="249">
        <f>VLOOKUP(A89,'Loan Book Summary'!C:W,21,FALSE)</f>
        <v>17992725.920000002</v>
      </c>
      <c r="C89" s="249">
        <f>VLOOKUP(A89,'Loan Book Summary'!C:AB,26,FALSE)</f>
        <v>17992725.920000002</v>
      </c>
      <c r="D89" s="398">
        <f>VLOOKUP(A89,'Loan Book Summary'!C:Q,15,FALSE)</f>
        <v>44519</v>
      </c>
      <c r="E89" s="398">
        <f>VLOOKUP(A89,'Loan Book Summary'!C:R,16,FALSE)</f>
        <v>45992</v>
      </c>
      <c r="F89" s="354">
        <f t="shared" si="12"/>
        <v>3.5044490075290895</v>
      </c>
      <c r="G89" s="354"/>
      <c r="H89" s="354"/>
      <c r="I89" s="354">
        <f>IFERROR(VLOOKUP(A89,'Stage 2 loans'!A:D,4,FALSE),1)</f>
        <v>1</v>
      </c>
      <c r="J89" s="354">
        <f>VLOOKUP(A89,Reference_Rate_Repricing_Report!B:P,15,FALSE)</f>
        <v>5.7</v>
      </c>
      <c r="K89" s="354"/>
      <c r="L89" s="274">
        <f>IF(I89="Matured","",IFERROR(VLOOKUP(A89,'Updated Ncino PD'!$A:$B,2,FALSE),IF($Z$2="ON",IF(I89=1,VLOOKUP(A89,'MacroPD-Cal'!A:H,8,FALSE),VLOOKUP(A89,'MacroPD-Cal'!A:O,15,FALSE)),IF($Z$5="Weighted",IF(I89=1,VLOOKUP(A89,'Model Output_TTC'!A:BX,76,FALSE),VLOOKUP(A89,'Model Output_TTC'!A:CD,82,FALSE)),IF($Z$5="Baseline",IF(I89=1,VLOOKUP(A89,'Model Output_TTC'!$A:$AO,41,FALSE),VLOOKUP(A89,'Model Output_TTC'!$A:$AU,47,FALSE)),IF($Z$5="90th Percentile",IF(I89=1,VLOOKUP(A89,'Model Output_TTC'!$A:$BJ,62,FALSE),VLOOKUP(A89,'Model Output_TTC'!$A:$BP,68,FALSE)),IF($Z$5="96th Percentile",IF(I89=1,VLOOKUP(A89,'Model Output_TTC'!$A:$T,20,FALSE),VLOOKUP(A89,'Model Output_TTC'!$A:$Z,26,FALSE)),"")))))))</f>
        <v>2.29E-2</v>
      </c>
      <c r="M89" s="274">
        <f>IF('Ref-Data'!I89="Matured","",VLOOKUP(A89,'LGD Data'!A:C,3,0))</f>
        <v>0.35859999999999997</v>
      </c>
      <c r="N89" s="274">
        <f>IF(I89="Matured","",MAX(IFERROR(VLOOKUP(A89,'Updated Ncino PD'!$U:$V,2,FALSE),'Ref-Data'!M89),10%))</f>
        <v>0.35859999999999997</v>
      </c>
      <c r="O89" s="354">
        <f>VLOOKUP(A89,'Loan Book Summary'!C:AE,29,FALSE)</f>
        <v>0</v>
      </c>
      <c r="P89" s="354"/>
      <c r="Q89" s="354">
        <f>IF(I89="Matured","",VLOOKUP(A89,'MacroPD-Cal'!A:N,14,FALSE))</f>
        <v>2.29E-2</v>
      </c>
      <c r="R89" s="354">
        <f t="shared" si="13"/>
        <v>0</v>
      </c>
      <c r="S89" s="354">
        <f t="shared" si="14"/>
        <v>4.0328542094455848</v>
      </c>
      <c r="T89" s="354"/>
      <c r="U89" s="354"/>
      <c r="V89" s="346"/>
      <c r="W89" s="346"/>
      <c r="X89" s="346"/>
      <c r="Y89" s="346"/>
      <c r="Z89" s="346"/>
      <c r="AA89" s="346"/>
      <c r="AB89" s="346"/>
      <c r="AC89" s="346"/>
      <c r="AD89" s="346" t="str">
        <f>VLOOKUP(A89,'Loan Book Summary'!C:E,3,FALSE)</f>
        <v>INN COLLECTION BIDCO LIMITED</v>
      </c>
    </row>
    <row r="90" spans="1:30" x14ac:dyDescent="0.25">
      <c r="A90" s="354">
        <v>1100000249</v>
      </c>
      <c r="B90" s="249">
        <f>VLOOKUP(A90,'Loan Book Summary'!C:W,21,FALSE)</f>
        <v>2800000</v>
      </c>
      <c r="C90" s="249">
        <f>VLOOKUP(A90,'Loan Book Summary'!C:AB,26,FALSE)</f>
        <v>2800000</v>
      </c>
      <c r="D90" s="398">
        <f>VLOOKUP(A90,'Loan Book Summary'!C:Q,15,FALSE)</f>
        <v>44519</v>
      </c>
      <c r="E90" s="398">
        <f>VLOOKUP(A90,'Loan Book Summary'!C:R,16,FALSE)</f>
        <v>45992</v>
      </c>
      <c r="F90" s="354">
        <f t="shared" si="12"/>
        <v>3.5044490075290895</v>
      </c>
      <c r="G90" s="354"/>
      <c r="H90" s="354"/>
      <c r="I90" s="354">
        <f>IFERROR(VLOOKUP(A90,'Stage 2 loans'!A:D,4,FALSE),1)</f>
        <v>1</v>
      </c>
      <c r="J90" s="354">
        <f>VLOOKUP(A90,Reference_Rate_Repricing_Report!B:P,15,FALSE)</f>
        <v>6.2</v>
      </c>
      <c r="K90" s="354"/>
      <c r="L90" s="274">
        <f>IF(I90="Matured","",IFERROR(VLOOKUP(A90,'Updated Ncino PD'!$A:$B,2,FALSE),IF($Z$2="ON",IF(I90=1,VLOOKUP(A90,'MacroPD-Cal'!A:H,8,FALSE),VLOOKUP(A90,'MacroPD-Cal'!A:O,15,FALSE)),IF($Z$5="Weighted",IF(I90=1,VLOOKUP(A90,'Model Output_TTC'!A:BX,76,FALSE),VLOOKUP(A90,'Model Output_TTC'!A:CD,82,FALSE)),IF($Z$5="Baseline",IF(I90=1,VLOOKUP(A90,'Model Output_TTC'!$A:$AO,41,FALSE),VLOOKUP(A90,'Model Output_TTC'!$A:$AU,47,FALSE)),IF($Z$5="90th Percentile",IF(I90=1,VLOOKUP(A90,'Model Output_TTC'!$A:$BJ,62,FALSE),VLOOKUP(A90,'Model Output_TTC'!$A:$BP,68,FALSE)),IF($Z$5="96th Percentile",IF(I90=1,VLOOKUP(A90,'Model Output_TTC'!$A:$T,20,FALSE),VLOOKUP(A90,'Model Output_TTC'!$A:$Z,26,FALSE)),"")))))))</f>
        <v>2.29E-2</v>
      </c>
      <c r="M90" s="274">
        <f>IF('Ref-Data'!I90="Matured","",VLOOKUP(A90,'LGD Data'!A:C,3,0))</f>
        <v>0.35859999999999997</v>
      </c>
      <c r="N90" s="274">
        <f>IF(I90="Matured","",MAX(IFERROR(VLOOKUP(A90,'Updated Ncino PD'!$U:$V,2,FALSE),'Ref-Data'!M90),10%))</f>
        <v>0.35859999999999997</v>
      </c>
      <c r="O90" s="354">
        <f>VLOOKUP(A90,'Loan Book Summary'!C:AE,29,FALSE)</f>
        <v>0</v>
      </c>
      <c r="P90" s="354"/>
      <c r="Q90" s="354">
        <f>IF(I90="Matured","",VLOOKUP(A90,'MacroPD-Cal'!A:N,14,FALSE))</f>
        <v>2.29E-2</v>
      </c>
      <c r="R90" s="354">
        <f t="shared" si="13"/>
        <v>0</v>
      </c>
      <c r="S90" s="354">
        <f t="shared" si="14"/>
        <v>4.0328542094455848</v>
      </c>
      <c r="T90" s="354"/>
      <c r="U90" s="354"/>
      <c r="V90" s="346"/>
      <c r="W90" s="346"/>
      <c r="X90" s="346"/>
      <c r="Y90" s="346"/>
      <c r="Z90" s="346"/>
      <c r="AA90" s="346"/>
      <c r="AB90" s="346"/>
      <c r="AC90" s="346"/>
      <c r="AD90" s="346" t="str">
        <f>VLOOKUP(A90,'Loan Book Summary'!C:E,3,FALSE)</f>
        <v>INN COLLECTION BIDCO LIMITED</v>
      </c>
    </row>
    <row r="91" spans="1:30" x14ac:dyDescent="0.25">
      <c r="A91" s="354">
        <v>1100000258</v>
      </c>
      <c r="B91" s="249">
        <f>VLOOKUP(A91,'Loan Book Summary'!C:W,21,FALSE)</f>
        <v>3150000</v>
      </c>
      <c r="C91" s="249">
        <f>VLOOKUP(A91,'Loan Book Summary'!C:AB,26,FALSE)</f>
        <v>0</v>
      </c>
      <c r="D91" s="398">
        <f>VLOOKUP(A91,'Loan Book Summary'!C:Q,15,FALSE)</f>
        <v>44519</v>
      </c>
      <c r="E91" s="398">
        <f>VLOOKUP(A91,'Loan Book Summary'!C:R,16,FALSE)</f>
        <v>45992</v>
      </c>
      <c r="F91" s="354">
        <f t="shared" si="12"/>
        <v>3.5044490075290895</v>
      </c>
      <c r="G91" s="354"/>
      <c r="H91" s="354"/>
      <c r="I91" s="354">
        <f>IFERROR(VLOOKUP(A91,'Stage 2 loans'!A:D,4,FALSE),1)</f>
        <v>1</v>
      </c>
      <c r="J91" s="354">
        <f>VLOOKUP(A91,Reference_Rate_Repricing_Report!B:P,15,FALSE)</f>
        <v>6.2</v>
      </c>
      <c r="K91" s="354"/>
      <c r="L91" s="274">
        <f>IF(I91="Matured","",IFERROR(VLOOKUP(A91,'Updated Ncino PD'!$A:$B,2,FALSE),IF($Z$2="ON",IF(I91=1,VLOOKUP(A91,'MacroPD-Cal'!A:H,8,FALSE),VLOOKUP(A91,'MacroPD-Cal'!A:O,15,FALSE)),IF($Z$5="Weighted",IF(I91=1,VLOOKUP(A91,'Model Output_TTC'!A:BX,76,FALSE),VLOOKUP(A91,'Model Output_TTC'!A:CD,82,FALSE)),IF($Z$5="Baseline",IF(I91=1,VLOOKUP(A91,'Model Output_TTC'!$A:$AO,41,FALSE),VLOOKUP(A91,'Model Output_TTC'!$A:$AU,47,FALSE)),IF($Z$5="90th Percentile",IF(I91=1,VLOOKUP(A91,'Model Output_TTC'!$A:$BJ,62,FALSE),VLOOKUP(A91,'Model Output_TTC'!$A:$BP,68,FALSE)),IF($Z$5="96th Percentile",IF(I91=1,VLOOKUP(A91,'Model Output_TTC'!$A:$T,20,FALSE),VLOOKUP(A91,'Model Output_TTC'!$A:$Z,26,FALSE)),"")))))))</f>
        <v>2.29E-2</v>
      </c>
      <c r="M91" s="274">
        <f>IF('Ref-Data'!I91="Matured","",VLOOKUP(A91,'LGD Data'!A:C,3,0))</f>
        <v>0.35859999999999997</v>
      </c>
      <c r="N91" s="274">
        <f>IF(I91="Matured","",MAX(IFERROR(VLOOKUP(A91,'Updated Ncino PD'!$U:$V,2,FALSE),'Ref-Data'!M91),10%))</f>
        <v>0.35859999999999997</v>
      </c>
      <c r="O91" s="354">
        <f>VLOOKUP(A91,'Loan Book Summary'!C:AE,29,FALSE)</f>
        <v>3150000</v>
      </c>
      <c r="P91" s="354"/>
      <c r="Q91" s="354">
        <f>IF(I91="Matured","",VLOOKUP(A91,'MacroPD-Cal'!A:N,14,FALSE))</f>
        <v>2.29E-2</v>
      </c>
      <c r="R91" s="354">
        <f t="shared" si="13"/>
        <v>12933.805499999999</v>
      </c>
      <c r="S91" s="354">
        <f t="shared" si="14"/>
        <v>4.0328542094455848</v>
      </c>
      <c r="T91" s="354"/>
      <c r="U91" s="354"/>
      <c r="V91" s="346"/>
      <c r="W91" s="346"/>
      <c r="X91" s="346"/>
      <c r="Y91" s="346"/>
      <c r="Z91" s="346"/>
      <c r="AA91" s="346"/>
      <c r="AB91" s="346"/>
      <c r="AC91" s="346"/>
      <c r="AD91" s="346" t="str">
        <f>VLOOKUP(A91,'Loan Book Summary'!C:E,3,FALSE)</f>
        <v>INN COLLECTION BIDCO LIMITED</v>
      </c>
    </row>
    <row r="92" spans="1:30" x14ac:dyDescent="0.25">
      <c r="A92" s="354">
        <v>1100000259</v>
      </c>
      <c r="B92" s="249">
        <f>VLOOKUP(A92,'Loan Book Summary'!C:W,21,FALSE)</f>
        <v>2450000</v>
      </c>
      <c r="C92" s="249">
        <f>VLOOKUP(A92,'Loan Book Summary'!C:AB,26,FALSE)</f>
        <v>2450000</v>
      </c>
      <c r="D92" s="398">
        <f>VLOOKUP(A92,'Loan Book Summary'!C:Q,15,FALSE)</f>
        <v>44519</v>
      </c>
      <c r="E92" s="398">
        <f>VLOOKUP(A92,'Loan Book Summary'!C:R,16,FALSE)</f>
        <v>45992</v>
      </c>
      <c r="F92" s="354">
        <f t="shared" si="12"/>
        <v>3.5044490075290895</v>
      </c>
      <c r="G92" s="354"/>
      <c r="H92" s="354"/>
      <c r="I92" s="354">
        <f>IFERROR(VLOOKUP(A92,'Stage 2 loans'!A:D,4,FALSE),1)</f>
        <v>1</v>
      </c>
      <c r="J92" s="354">
        <f>VLOOKUP(A92,Reference_Rate_Repricing_Report!B:P,15,FALSE)</f>
        <v>6.2</v>
      </c>
      <c r="K92" s="354"/>
      <c r="L92" s="274">
        <f>IF(I92="Matured","",IFERROR(VLOOKUP(A92,'Updated Ncino PD'!$A:$B,2,FALSE),IF($Z$2="ON",IF(I92=1,VLOOKUP(A92,'MacroPD-Cal'!A:H,8,FALSE),VLOOKUP(A92,'MacroPD-Cal'!A:O,15,FALSE)),IF($Z$5="Weighted",IF(I92=1,VLOOKUP(A92,'Model Output_TTC'!A:BX,76,FALSE),VLOOKUP(A92,'Model Output_TTC'!A:CD,82,FALSE)),IF($Z$5="Baseline",IF(I92=1,VLOOKUP(A92,'Model Output_TTC'!$A:$AO,41,FALSE),VLOOKUP(A92,'Model Output_TTC'!$A:$AU,47,FALSE)),IF($Z$5="90th Percentile",IF(I92=1,VLOOKUP(A92,'Model Output_TTC'!$A:$BJ,62,FALSE),VLOOKUP(A92,'Model Output_TTC'!$A:$BP,68,FALSE)),IF($Z$5="96th Percentile",IF(I92=1,VLOOKUP(A92,'Model Output_TTC'!$A:$T,20,FALSE),VLOOKUP(A92,'Model Output_TTC'!$A:$Z,26,FALSE)),"")))))))</f>
        <v>2.29E-2</v>
      </c>
      <c r="M92" s="274">
        <f>IF('Ref-Data'!I92="Matured","",VLOOKUP(A92,'LGD Data'!A:C,3,0))</f>
        <v>0.35859999999999997</v>
      </c>
      <c r="N92" s="274">
        <f>IF(I92="Matured","",MAX(IFERROR(VLOOKUP(A92,'Updated Ncino PD'!$U:$V,2,FALSE),'Ref-Data'!M92),10%))</f>
        <v>0.35859999999999997</v>
      </c>
      <c r="O92" s="354">
        <f>VLOOKUP(A92,'Loan Book Summary'!C:AE,29,FALSE)</f>
        <v>0</v>
      </c>
      <c r="P92" s="354"/>
      <c r="Q92" s="354">
        <f>IF(I92="Matured","",VLOOKUP(A92,'MacroPD-Cal'!A:N,14,FALSE))</f>
        <v>2.29E-2</v>
      </c>
      <c r="R92" s="354">
        <f t="shared" si="13"/>
        <v>0</v>
      </c>
      <c r="S92" s="354">
        <f t="shared" si="14"/>
        <v>4.0328542094455848</v>
      </c>
      <c r="T92" s="354"/>
      <c r="U92" s="354"/>
      <c r="V92" s="346"/>
      <c r="W92" s="346"/>
      <c r="X92" s="346"/>
      <c r="Y92" s="346"/>
      <c r="Z92" s="346"/>
      <c r="AA92" s="346"/>
      <c r="AB92" s="346"/>
      <c r="AC92" s="346"/>
      <c r="AD92" s="346" t="str">
        <f>VLOOKUP(A92,'Loan Book Summary'!C:E,3,FALSE)</f>
        <v>INN COLLECTION BIDCO LIMITED</v>
      </c>
    </row>
    <row r="93" spans="1:30" x14ac:dyDescent="0.25">
      <c r="A93" s="354">
        <v>1100000253</v>
      </c>
      <c r="B93" s="249">
        <f>VLOOKUP(A93,'Loan Book Summary'!C:W,21,FALSE)</f>
        <v>6865000</v>
      </c>
      <c r="C93" s="249">
        <f>VLOOKUP(A93,'Loan Book Summary'!C:AB,26,FALSE)</f>
        <v>0</v>
      </c>
      <c r="D93" s="398">
        <f>VLOOKUP(A93,'Loan Book Summary'!C:Q,15,FALSE)</f>
        <v>44519</v>
      </c>
      <c r="E93" s="398">
        <f>VLOOKUP(A93,'Loan Book Summary'!C:R,16,FALSE)</f>
        <v>45992</v>
      </c>
      <c r="F93" s="354">
        <f t="shared" si="12"/>
        <v>3.5044490075290895</v>
      </c>
      <c r="G93" s="354"/>
      <c r="H93" s="354"/>
      <c r="I93" s="354">
        <f>IFERROR(VLOOKUP(A93,'Stage 2 loans'!A:D,4,FALSE),1)</f>
        <v>1</v>
      </c>
      <c r="J93" s="354">
        <f>VLOOKUP(A93,Reference_Rate_Repricing_Report!B:P,15,FALSE)</f>
        <v>6.2</v>
      </c>
      <c r="K93" s="354"/>
      <c r="L93" s="274">
        <f>IF(I93="Matured","",IFERROR(VLOOKUP(A93,'Updated Ncino PD'!$A:$B,2,FALSE),IF($Z$2="ON",IF(I93=1,VLOOKUP(A93,'MacroPD-Cal'!A:H,8,FALSE),VLOOKUP(A93,'MacroPD-Cal'!A:O,15,FALSE)),IF($Z$5="Weighted",IF(I93=1,VLOOKUP(A93,'Model Output_TTC'!A:BX,76,FALSE),VLOOKUP(A93,'Model Output_TTC'!A:CD,82,FALSE)),IF($Z$5="Baseline",IF(I93=1,VLOOKUP(A93,'Model Output_TTC'!$A:$AO,41,FALSE),VLOOKUP(A93,'Model Output_TTC'!$A:$AU,47,FALSE)),IF($Z$5="90th Percentile",IF(I93=1,VLOOKUP(A93,'Model Output_TTC'!$A:$BJ,62,FALSE),VLOOKUP(A93,'Model Output_TTC'!$A:$BP,68,FALSE)),IF($Z$5="96th Percentile",IF(I93=1,VLOOKUP(A93,'Model Output_TTC'!$A:$T,20,FALSE),VLOOKUP(A93,'Model Output_TTC'!$A:$Z,26,FALSE)),"")))))))</f>
        <v>2.29E-2</v>
      </c>
      <c r="M93" s="274">
        <f>IF('Ref-Data'!I93="Matured","",VLOOKUP(A93,'LGD Data'!A:C,3,0))</f>
        <v>0.35859999999999997</v>
      </c>
      <c r="N93" s="274">
        <f>IF(I93="Matured","",MAX(IFERROR(VLOOKUP(A93,'Updated Ncino PD'!$U:$V,2,FALSE),'Ref-Data'!M93),10%))</f>
        <v>0.35859999999999997</v>
      </c>
      <c r="O93" s="354">
        <f>VLOOKUP(A93,'Loan Book Summary'!C:AE,29,FALSE)</f>
        <v>6865000</v>
      </c>
      <c r="P93" s="354"/>
      <c r="Q93" s="354">
        <f>IF(I93="Matured","",VLOOKUP(A93,'MacroPD-Cal'!A:N,14,FALSE))</f>
        <v>2.29E-2</v>
      </c>
      <c r="R93" s="354">
        <f t="shared" si="13"/>
        <v>28187.484049999995</v>
      </c>
      <c r="S93" s="354">
        <f t="shared" si="14"/>
        <v>4.0328542094455848</v>
      </c>
      <c r="T93" s="354"/>
      <c r="U93" s="354"/>
      <c r="V93" s="346"/>
      <c r="W93" s="346"/>
      <c r="X93" s="346"/>
      <c r="Y93" s="346"/>
      <c r="Z93" s="346"/>
      <c r="AA93" s="346"/>
      <c r="AB93" s="346"/>
      <c r="AC93" s="346"/>
      <c r="AD93" s="346" t="str">
        <f>VLOOKUP(A93,'Loan Book Summary'!C:E,3,FALSE)</f>
        <v>INN COLLECTION BIDCO LIMITED</v>
      </c>
    </row>
    <row r="94" spans="1:30" x14ac:dyDescent="0.25">
      <c r="A94" s="354">
        <v>1100000250</v>
      </c>
      <c r="B94" s="249">
        <f>VLOOKUP(A94,'Loan Book Summary'!C:W,21,FALSE)</f>
        <v>3245000</v>
      </c>
      <c r="C94" s="249">
        <f>VLOOKUP(A94,'Loan Book Summary'!C:AB,26,FALSE)</f>
        <v>0</v>
      </c>
      <c r="D94" s="398">
        <f>VLOOKUP(A94,'Loan Book Summary'!C:Q,15,FALSE)</f>
        <v>44519</v>
      </c>
      <c r="E94" s="398">
        <f>VLOOKUP(A94,'Loan Book Summary'!C:R,16,FALSE)</f>
        <v>45992</v>
      </c>
      <c r="F94" s="354">
        <f t="shared" si="12"/>
        <v>3.5044490075290895</v>
      </c>
      <c r="G94" s="354"/>
      <c r="H94" s="354"/>
      <c r="I94" s="354">
        <f>IFERROR(VLOOKUP(A94,'Stage 2 loans'!A:D,4,FALSE),1)</f>
        <v>1</v>
      </c>
      <c r="J94" s="354">
        <f>VLOOKUP(A94,Reference_Rate_Repricing_Report!B:P,15,FALSE)</f>
        <v>6.2</v>
      </c>
      <c r="K94" s="354"/>
      <c r="L94" s="274">
        <f>IF(I94="Matured","",IFERROR(VLOOKUP(A94,'Updated Ncino PD'!$A:$B,2,FALSE),IF($Z$2="ON",IF(I94=1,VLOOKUP(A94,'MacroPD-Cal'!A:H,8,FALSE),VLOOKUP(A94,'MacroPD-Cal'!A:O,15,FALSE)),IF($Z$5="Weighted",IF(I94=1,VLOOKUP(A94,'Model Output_TTC'!A:BX,76,FALSE),VLOOKUP(A94,'Model Output_TTC'!A:CD,82,FALSE)),IF($Z$5="Baseline",IF(I94=1,VLOOKUP(A94,'Model Output_TTC'!$A:$AO,41,FALSE),VLOOKUP(A94,'Model Output_TTC'!$A:$AU,47,FALSE)),IF($Z$5="90th Percentile",IF(I94=1,VLOOKUP(A94,'Model Output_TTC'!$A:$BJ,62,FALSE),VLOOKUP(A94,'Model Output_TTC'!$A:$BP,68,FALSE)),IF($Z$5="96th Percentile",IF(I94=1,VLOOKUP(A94,'Model Output_TTC'!$A:$T,20,FALSE),VLOOKUP(A94,'Model Output_TTC'!$A:$Z,26,FALSE)),"")))))))</f>
        <v>2.29E-2</v>
      </c>
      <c r="M94" s="274">
        <f>IF('Ref-Data'!I94="Matured","",VLOOKUP(A94,'LGD Data'!A:C,3,0))</f>
        <v>0.35859999999999997</v>
      </c>
      <c r="N94" s="274">
        <f>IF(I94="Matured","",MAX(IFERROR(VLOOKUP(A94,'Updated Ncino PD'!$U:$V,2,FALSE),'Ref-Data'!M94),10%))</f>
        <v>0.35859999999999997</v>
      </c>
      <c r="O94" s="354">
        <f>VLOOKUP(A94,'Loan Book Summary'!C:AE,29,FALSE)</f>
        <v>3245000</v>
      </c>
      <c r="P94" s="354"/>
      <c r="Q94" s="354">
        <f>IF(I94="Matured","",VLOOKUP(A94,'MacroPD-Cal'!A:N,14,FALSE))</f>
        <v>2.29E-2</v>
      </c>
      <c r="R94" s="354">
        <f t="shared" si="13"/>
        <v>13323.872649999999</v>
      </c>
      <c r="S94" s="354">
        <f t="shared" si="14"/>
        <v>4.0328542094455848</v>
      </c>
      <c r="T94" s="354"/>
      <c r="U94" s="354"/>
      <c r="V94" s="346"/>
      <c r="W94" s="346"/>
      <c r="X94" s="346"/>
      <c r="Y94" s="346"/>
      <c r="Z94" s="346"/>
      <c r="AA94" s="346"/>
      <c r="AB94" s="346"/>
      <c r="AC94" s="346"/>
      <c r="AD94" s="346" t="str">
        <f>VLOOKUP(A94,'Loan Book Summary'!C:E,3,FALSE)</f>
        <v>INN COLLECTION BIDCO LIMITED</v>
      </c>
    </row>
    <row r="95" spans="1:30" x14ac:dyDescent="0.25">
      <c r="A95" s="354">
        <v>1100000255</v>
      </c>
      <c r="B95" s="249">
        <f>VLOOKUP(A95,'Loan Book Summary'!C:W,21,FALSE)</f>
        <v>6640000</v>
      </c>
      <c r="C95" s="249">
        <f>VLOOKUP(A95,'Loan Book Summary'!C:AB,26,FALSE)</f>
        <v>0</v>
      </c>
      <c r="D95" s="398">
        <f>VLOOKUP(A95,'Loan Book Summary'!C:Q,15,FALSE)</f>
        <v>44519</v>
      </c>
      <c r="E95" s="398">
        <f>VLOOKUP(A95,'Loan Book Summary'!C:R,16,FALSE)</f>
        <v>45992</v>
      </c>
      <c r="F95" s="354">
        <f t="shared" si="12"/>
        <v>3.5044490075290895</v>
      </c>
      <c r="G95" s="354"/>
      <c r="H95" s="354"/>
      <c r="I95" s="354">
        <f>IFERROR(VLOOKUP(A95,'Stage 2 loans'!A:D,4,FALSE),1)</f>
        <v>1</v>
      </c>
      <c r="J95" s="354">
        <f>VLOOKUP(A95,Reference_Rate_Repricing_Report!B:P,15,FALSE)</f>
        <v>6.2</v>
      </c>
      <c r="K95" s="354"/>
      <c r="L95" s="274">
        <f>IF(I95="Matured","",IFERROR(VLOOKUP(A95,'Updated Ncino PD'!$A:$B,2,FALSE),IF($Z$2="ON",IF(I95=1,VLOOKUP(A95,'MacroPD-Cal'!A:H,8,FALSE),VLOOKUP(A95,'MacroPD-Cal'!A:O,15,FALSE)),IF($Z$5="Weighted",IF(I95=1,VLOOKUP(A95,'Model Output_TTC'!A:BX,76,FALSE),VLOOKUP(A95,'Model Output_TTC'!A:CD,82,FALSE)),IF($Z$5="Baseline",IF(I95=1,VLOOKUP(A95,'Model Output_TTC'!$A:$AO,41,FALSE),VLOOKUP(A95,'Model Output_TTC'!$A:$AU,47,FALSE)),IF($Z$5="90th Percentile",IF(I95=1,VLOOKUP(A95,'Model Output_TTC'!$A:$BJ,62,FALSE),VLOOKUP(A95,'Model Output_TTC'!$A:$BP,68,FALSE)),IF($Z$5="96th Percentile",IF(I95=1,VLOOKUP(A95,'Model Output_TTC'!$A:$T,20,FALSE),VLOOKUP(A95,'Model Output_TTC'!$A:$Z,26,FALSE)),"")))))))</f>
        <v>2.29E-2</v>
      </c>
      <c r="M95" s="274">
        <f>IF('Ref-Data'!I95="Matured","",VLOOKUP(A95,'LGD Data'!A:C,3,0))</f>
        <v>0.35859999999999997</v>
      </c>
      <c r="N95" s="274">
        <f>IF(I95="Matured","",MAX(IFERROR(VLOOKUP(A95,'Updated Ncino PD'!$U:$V,2,FALSE),'Ref-Data'!M95),10%))</f>
        <v>0.35859999999999997</v>
      </c>
      <c r="O95" s="354">
        <f>VLOOKUP(A95,'Loan Book Summary'!C:AE,29,FALSE)</f>
        <v>6640000</v>
      </c>
      <c r="P95" s="354"/>
      <c r="Q95" s="354">
        <f>IF(I95="Matured","",VLOOKUP(A95,'MacroPD-Cal'!A:N,14,FALSE))</f>
        <v>2.29E-2</v>
      </c>
      <c r="R95" s="354">
        <f t="shared" si="13"/>
        <v>27263.640799999997</v>
      </c>
      <c r="S95" s="354">
        <f t="shared" si="14"/>
        <v>4.0328542094455848</v>
      </c>
      <c r="T95" s="354"/>
      <c r="U95" s="354"/>
      <c r="V95" s="346"/>
      <c r="W95" s="346"/>
      <c r="X95" s="346"/>
      <c r="Y95" s="346"/>
      <c r="Z95" s="346"/>
      <c r="AA95" s="346"/>
      <c r="AB95" s="346"/>
      <c r="AC95" s="346"/>
      <c r="AD95" s="346" t="str">
        <f>VLOOKUP(A95,'Loan Book Summary'!C:E,3,FALSE)</f>
        <v>INN COLLECTION BIDCO LIMITED</v>
      </c>
    </row>
    <row r="96" spans="1:30" x14ac:dyDescent="0.25">
      <c r="A96" s="354">
        <v>1100000252</v>
      </c>
      <c r="B96" s="249">
        <f>VLOOKUP(A96,'Loan Book Summary'!C:W,21,FALSE)</f>
        <v>4280000</v>
      </c>
      <c r="C96" s="249">
        <f>VLOOKUP(A96,'Loan Book Summary'!C:AB,26,FALSE)</f>
        <v>0</v>
      </c>
      <c r="D96" s="398">
        <f>VLOOKUP(A96,'Loan Book Summary'!C:Q,15,FALSE)</f>
        <v>44519</v>
      </c>
      <c r="E96" s="398">
        <f>VLOOKUP(A96,'Loan Book Summary'!C:R,16,FALSE)</f>
        <v>45992</v>
      </c>
      <c r="F96" s="354">
        <f t="shared" si="12"/>
        <v>3.5044490075290895</v>
      </c>
      <c r="G96" s="354"/>
      <c r="H96" s="354"/>
      <c r="I96" s="354">
        <f>IFERROR(VLOOKUP(A96,'Stage 2 loans'!A:D,4,FALSE),1)</f>
        <v>1</v>
      </c>
      <c r="J96" s="354">
        <f>VLOOKUP(A96,Reference_Rate_Repricing_Report!B:P,15,FALSE)</f>
        <v>6.2</v>
      </c>
      <c r="K96" s="354"/>
      <c r="L96" s="274">
        <f>IF(I96="Matured","",IFERROR(VLOOKUP(A96,'Updated Ncino PD'!$A:$B,2,FALSE),IF($Z$2="ON",IF(I96=1,VLOOKUP(A96,'MacroPD-Cal'!A:H,8,FALSE),VLOOKUP(A96,'MacroPD-Cal'!A:O,15,FALSE)),IF($Z$5="Weighted",IF(I96=1,VLOOKUP(A96,'Model Output_TTC'!A:BX,76,FALSE),VLOOKUP(A96,'Model Output_TTC'!A:CD,82,FALSE)),IF($Z$5="Baseline",IF(I96=1,VLOOKUP(A96,'Model Output_TTC'!$A:$AO,41,FALSE),VLOOKUP(A96,'Model Output_TTC'!$A:$AU,47,FALSE)),IF($Z$5="90th Percentile",IF(I96=1,VLOOKUP(A96,'Model Output_TTC'!$A:$BJ,62,FALSE),VLOOKUP(A96,'Model Output_TTC'!$A:$BP,68,FALSE)),IF($Z$5="96th Percentile",IF(I96=1,VLOOKUP(A96,'Model Output_TTC'!$A:$T,20,FALSE),VLOOKUP(A96,'Model Output_TTC'!$A:$Z,26,FALSE)),"")))))))</f>
        <v>2.29E-2</v>
      </c>
      <c r="M96" s="274">
        <f>IF('Ref-Data'!I96="Matured","",VLOOKUP(A96,'LGD Data'!A:C,3,0))</f>
        <v>0.35859999999999997</v>
      </c>
      <c r="N96" s="274">
        <f>IF(I96="Matured","",MAX(IFERROR(VLOOKUP(A96,'Updated Ncino PD'!$U:$V,2,FALSE),'Ref-Data'!M96),10%))</f>
        <v>0.35859999999999997</v>
      </c>
      <c r="O96" s="354">
        <f>VLOOKUP(A96,'Loan Book Summary'!C:AE,29,FALSE)</f>
        <v>4280000</v>
      </c>
      <c r="P96" s="354"/>
      <c r="Q96" s="354">
        <f>IF(I96="Matured","",VLOOKUP(A96,'MacroPD-Cal'!A:N,14,FALSE))</f>
        <v>2.29E-2</v>
      </c>
      <c r="R96" s="354">
        <f t="shared" si="13"/>
        <v>17573.551599999999</v>
      </c>
      <c r="S96" s="354">
        <f t="shared" si="14"/>
        <v>4.0328542094455848</v>
      </c>
      <c r="T96" s="354"/>
      <c r="U96" s="354"/>
      <c r="V96" s="346"/>
      <c r="W96" s="346"/>
      <c r="X96" s="346"/>
      <c r="Y96" s="346"/>
      <c r="Z96" s="346"/>
      <c r="AA96" s="346"/>
      <c r="AB96" s="346"/>
      <c r="AC96" s="346"/>
      <c r="AD96" s="346" t="str">
        <f>VLOOKUP(A96,'Loan Book Summary'!C:E,3,FALSE)</f>
        <v>INN COLLECTION BIDCO LIMITED</v>
      </c>
    </row>
    <row r="97" spans="1:30" x14ac:dyDescent="0.25">
      <c r="A97" s="354">
        <v>1100000257</v>
      </c>
      <c r="B97" s="249">
        <f>VLOOKUP(A97,'Loan Book Summary'!C:W,21,FALSE)</f>
        <v>7774000</v>
      </c>
      <c r="C97" s="249">
        <f>VLOOKUP(A97,'Loan Book Summary'!C:AB,26,FALSE)</f>
        <v>0</v>
      </c>
      <c r="D97" s="398">
        <f>VLOOKUP(A97,'Loan Book Summary'!C:Q,15,FALSE)</f>
        <v>44519</v>
      </c>
      <c r="E97" s="398">
        <f>VLOOKUP(A97,'Loan Book Summary'!C:R,16,FALSE)</f>
        <v>45992</v>
      </c>
      <c r="F97" s="354">
        <f t="shared" si="12"/>
        <v>3.5044490075290895</v>
      </c>
      <c r="G97" s="354"/>
      <c r="H97" s="354"/>
      <c r="I97" s="354">
        <f>IFERROR(VLOOKUP(A97,'Stage 2 loans'!A:D,4,FALSE),1)</f>
        <v>1</v>
      </c>
      <c r="J97" s="354">
        <f>VLOOKUP(A97,Reference_Rate_Repricing_Report!B:P,15,FALSE)</f>
        <v>6.2</v>
      </c>
      <c r="K97" s="354"/>
      <c r="L97" s="274">
        <f>IF(I97="Matured","",IFERROR(VLOOKUP(A97,'Updated Ncino PD'!$A:$B,2,FALSE),IF($Z$2="ON",IF(I97=1,VLOOKUP(A97,'MacroPD-Cal'!A:H,8,FALSE),VLOOKUP(A97,'MacroPD-Cal'!A:O,15,FALSE)),IF($Z$5="Weighted",IF(I97=1,VLOOKUP(A97,'Model Output_TTC'!A:BX,76,FALSE),VLOOKUP(A97,'Model Output_TTC'!A:CD,82,FALSE)),IF($Z$5="Baseline",IF(I97=1,VLOOKUP(A97,'Model Output_TTC'!$A:$AO,41,FALSE),VLOOKUP(A97,'Model Output_TTC'!$A:$AU,47,FALSE)),IF($Z$5="90th Percentile",IF(I97=1,VLOOKUP(A97,'Model Output_TTC'!$A:$BJ,62,FALSE),VLOOKUP(A97,'Model Output_TTC'!$A:$BP,68,FALSE)),IF($Z$5="96th Percentile",IF(I97=1,VLOOKUP(A97,'Model Output_TTC'!$A:$T,20,FALSE),VLOOKUP(A97,'Model Output_TTC'!$A:$Z,26,FALSE)),"")))))))</f>
        <v>2.29E-2</v>
      </c>
      <c r="M97" s="274">
        <f>IF('Ref-Data'!I97="Matured","",VLOOKUP(A97,'LGD Data'!A:C,3,0))</f>
        <v>0.35859999999999997</v>
      </c>
      <c r="N97" s="274">
        <f>IF(I97="Matured","",MAX(IFERROR(VLOOKUP(A97,'Updated Ncino PD'!$U:$V,2,FALSE),'Ref-Data'!M97),10%))</f>
        <v>0.35859999999999997</v>
      </c>
      <c r="O97" s="354">
        <f>VLOOKUP(A97,'Loan Book Summary'!C:AE,29,FALSE)</f>
        <v>7774000</v>
      </c>
      <c r="P97" s="354"/>
      <c r="Q97" s="354">
        <f>IF(I97="Matured","",VLOOKUP(A97,'MacroPD-Cal'!A:N,14,FALSE))</f>
        <v>2.29E-2</v>
      </c>
      <c r="R97" s="354">
        <f t="shared" si="13"/>
        <v>31919.810779999996</v>
      </c>
      <c r="S97" s="354">
        <f t="shared" si="14"/>
        <v>4.0328542094455848</v>
      </c>
      <c r="T97" s="354"/>
      <c r="U97" s="354"/>
      <c r="V97" s="346"/>
      <c r="W97" s="346"/>
      <c r="X97" s="346"/>
      <c r="Y97" s="346"/>
      <c r="Z97" s="346"/>
      <c r="AA97" s="346"/>
      <c r="AB97" s="346"/>
      <c r="AC97" s="346"/>
      <c r="AD97" s="346" t="str">
        <f>VLOOKUP(A97,'Loan Book Summary'!C:E,3,FALSE)</f>
        <v>INN COLLECTION BIDCO LIMITED</v>
      </c>
    </row>
    <row r="98" spans="1:30" x14ac:dyDescent="0.25">
      <c r="A98" s="354">
        <v>1100000251</v>
      </c>
      <c r="B98" s="249">
        <f>VLOOKUP(A98,'Loan Book Summary'!C:W,21,FALSE)</f>
        <v>796000</v>
      </c>
      <c r="C98" s="249">
        <f>VLOOKUP(A98,'Loan Book Summary'!C:AB,26,FALSE)</f>
        <v>0</v>
      </c>
      <c r="D98" s="398">
        <f>VLOOKUP(A98,'Loan Book Summary'!C:Q,15,FALSE)</f>
        <v>44519</v>
      </c>
      <c r="E98" s="398">
        <f>VLOOKUP(A98,'Loan Book Summary'!C:R,16,FALSE)</f>
        <v>45992</v>
      </c>
      <c r="F98" s="354">
        <f t="shared" si="12"/>
        <v>3.5044490075290895</v>
      </c>
      <c r="G98" s="354"/>
      <c r="H98" s="354"/>
      <c r="I98" s="354">
        <f>IFERROR(VLOOKUP(A98,'Stage 2 loans'!A:D,4,FALSE),1)</f>
        <v>1</v>
      </c>
      <c r="J98" s="354">
        <f>VLOOKUP(A98,Reference_Rate_Repricing_Report!B:P,15,FALSE)</f>
        <v>6.2</v>
      </c>
      <c r="K98" s="354"/>
      <c r="L98" s="274">
        <f>IF(I98="Matured","",IFERROR(VLOOKUP(A98,'Updated Ncino PD'!$A:$B,2,FALSE),IF($Z$2="ON",IF(I98=1,VLOOKUP(A98,'MacroPD-Cal'!A:H,8,FALSE),VLOOKUP(A98,'MacroPD-Cal'!A:O,15,FALSE)),IF($Z$5="Weighted",IF(I98=1,VLOOKUP(A98,'Model Output_TTC'!A:BX,76,FALSE),VLOOKUP(A98,'Model Output_TTC'!A:CD,82,FALSE)),IF($Z$5="Baseline",IF(I98=1,VLOOKUP(A98,'Model Output_TTC'!$A:$AO,41,FALSE),VLOOKUP(A98,'Model Output_TTC'!$A:$AU,47,FALSE)),IF($Z$5="90th Percentile",IF(I98=1,VLOOKUP(A98,'Model Output_TTC'!$A:$BJ,62,FALSE),VLOOKUP(A98,'Model Output_TTC'!$A:$BP,68,FALSE)),IF($Z$5="96th Percentile",IF(I98=1,VLOOKUP(A98,'Model Output_TTC'!$A:$T,20,FALSE),VLOOKUP(A98,'Model Output_TTC'!$A:$Z,26,FALSE)),"")))))))</f>
        <v>2.29E-2</v>
      </c>
      <c r="M98" s="274">
        <f>IF('Ref-Data'!I98="Matured","",VLOOKUP(A98,'LGD Data'!A:C,3,0))</f>
        <v>0.35859999999999997</v>
      </c>
      <c r="N98" s="274">
        <f>IF(I98="Matured","",MAX(IFERROR(VLOOKUP(A98,'Updated Ncino PD'!$U:$V,2,FALSE),'Ref-Data'!M98),10%))</f>
        <v>0.35859999999999997</v>
      </c>
      <c r="O98" s="354">
        <f>VLOOKUP(A98,'Loan Book Summary'!C:AE,29,FALSE)</f>
        <v>796000</v>
      </c>
      <c r="P98" s="354"/>
      <c r="Q98" s="354">
        <f>IF(I98="Matured","",VLOOKUP(A98,'MacroPD-Cal'!A:N,14,FALSE))</f>
        <v>2.29E-2</v>
      </c>
      <c r="R98" s="354">
        <f t="shared" si="13"/>
        <v>3268.3521199999996</v>
      </c>
      <c r="S98" s="354">
        <f t="shared" si="14"/>
        <v>4.0328542094455848</v>
      </c>
      <c r="T98" s="354"/>
      <c r="U98" s="354"/>
      <c r="V98" s="346"/>
      <c r="W98" s="346"/>
      <c r="X98" s="346"/>
      <c r="Y98" s="346"/>
      <c r="Z98" s="346"/>
      <c r="AA98" s="346"/>
      <c r="AB98" s="346"/>
      <c r="AC98" s="346"/>
      <c r="AD98" s="346" t="str">
        <f>VLOOKUP(A98,'Loan Book Summary'!C:E,3,FALSE)</f>
        <v>INN COLLECTION BIDCO LIMITED</v>
      </c>
    </row>
    <row r="99" spans="1:30" x14ac:dyDescent="0.25">
      <c r="A99" s="354">
        <v>1100000254</v>
      </c>
      <c r="B99" s="249">
        <f>VLOOKUP(A99,'Loan Book Summary'!C:W,21,FALSE)</f>
        <v>3000000</v>
      </c>
      <c r="C99" s="249">
        <f>VLOOKUP(A99,'Loan Book Summary'!C:AB,26,FALSE)</f>
        <v>2000000</v>
      </c>
      <c r="D99" s="398">
        <f>VLOOKUP(A99,'Loan Book Summary'!C:Q,15,FALSE)</f>
        <v>44519</v>
      </c>
      <c r="E99" s="398">
        <f>VLOOKUP(A99,'Loan Book Summary'!C:R,16,FALSE)</f>
        <v>45992</v>
      </c>
      <c r="F99" s="354">
        <f t="shared" si="12"/>
        <v>3.5044490075290895</v>
      </c>
      <c r="G99" s="354"/>
      <c r="H99" s="354"/>
      <c r="I99" s="354">
        <f>IFERROR(VLOOKUP(A99,'Stage 2 loans'!A:D,4,FALSE),1)</f>
        <v>1</v>
      </c>
      <c r="J99" s="354">
        <f>VLOOKUP(A99,Reference_Rate_Repricing_Report!B:P,15,FALSE)</f>
        <v>6.2</v>
      </c>
      <c r="K99" s="354"/>
      <c r="L99" s="274">
        <f>IF(I99="Matured","",IFERROR(VLOOKUP(A99,'Updated Ncino PD'!$A:$B,2,FALSE),IF($Z$2="ON",IF(I99=1,VLOOKUP(A99,'MacroPD-Cal'!A:H,8,FALSE),VLOOKUP(A99,'MacroPD-Cal'!A:O,15,FALSE)),IF($Z$5="Weighted",IF(I99=1,VLOOKUP(A99,'Model Output_TTC'!A:BX,76,FALSE),VLOOKUP(A99,'Model Output_TTC'!A:CD,82,FALSE)),IF($Z$5="Baseline",IF(I99=1,VLOOKUP(A99,'Model Output_TTC'!$A:$AO,41,FALSE),VLOOKUP(A99,'Model Output_TTC'!$A:$AU,47,FALSE)),IF($Z$5="90th Percentile",IF(I99=1,VLOOKUP(A99,'Model Output_TTC'!$A:$BJ,62,FALSE),VLOOKUP(A99,'Model Output_TTC'!$A:$BP,68,FALSE)),IF($Z$5="96th Percentile",IF(I99=1,VLOOKUP(A99,'Model Output_TTC'!$A:$T,20,FALSE),VLOOKUP(A99,'Model Output_TTC'!$A:$Z,26,FALSE)),"")))))))</f>
        <v>2.29E-2</v>
      </c>
      <c r="M99" s="274">
        <f>IF('Ref-Data'!I99="Matured","",VLOOKUP(A99,'LGD Data'!A:C,3,0))</f>
        <v>0.35859999999999997</v>
      </c>
      <c r="N99" s="274">
        <f>IF(I99="Matured","",MAX(IFERROR(VLOOKUP(A99,'Updated Ncino PD'!$U:$V,2,FALSE),'Ref-Data'!M99),10%))</f>
        <v>0.35859999999999997</v>
      </c>
      <c r="O99" s="354">
        <f>VLOOKUP(A99,'Loan Book Summary'!C:AE,29,FALSE)</f>
        <v>1000000</v>
      </c>
      <c r="P99" s="354"/>
      <c r="Q99" s="354">
        <f>IF(I99="Matured","",VLOOKUP(A99,'MacroPD-Cal'!A:N,14,FALSE))</f>
        <v>2.29E-2</v>
      </c>
      <c r="R99" s="354">
        <f t="shared" si="13"/>
        <v>4105.9699999999993</v>
      </c>
      <c r="S99" s="354">
        <f t="shared" si="14"/>
        <v>4.0328542094455848</v>
      </c>
      <c r="T99" s="354"/>
      <c r="U99" s="354"/>
      <c r="V99" s="346"/>
      <c r="W99" s="346"/>
      <c r="X99" s="346"/>
      <c r="Y99" s="346"/>
      <c r="Z99" s="346"/>
      <c r="AA99" s="346"/>
      <c r="AB99" s="346"/>
      <c r="AC99" s="346"/>
      <c r="AD99" s="346" t="str">
        <f>VLOOKUP(A99,'Loan Book Summary'!C:E,3,FALSE)</f>
        <v>INN COLLECTION BIDCO LIMITED</v>
      </c>
    </row>
    <row r="100" spans="1:30" x14ac:dyDescent="0.25">
      <c r="A100" s="354">
        <v>1100000256</v>
      </c>
      <c r="B100" s="249">
        <f>VLOOKUP(A100,'Loan Book Summary'!C:W,21,FALSE)</f>
        <v>1000000</v>
      </c>
      <c r="C100" s="249">
        <f>VLOOKUP(A100,'Loan Book Summary'!C:AB,26,FALSE)</f>
        <v>1000000</v>
      </c>
      <c r="D100" s="398">
        <f>VLOOKUP(A100,'Loan Book Summary'!C:Q,15,FALSE)</f>
        <v>44519</v>
      </c>
      <c r="E100" s="398">
        <f>VLOOKUP(A100,'Loan Book Summary'!C:R,16,FALSE)</f>
        <v>45992</v>
      </c>
      <c r="F100" s="354">
        <f t="shared" si="12"/>
        <v>3.5044490075290895</v>
      </c>
      <c r="G100" s="354"/>
      <c r="H100" s="354"/>
      <c r="I100" s="354">
        <f>IFERROR(VLOOKUP(A100,'Stage 2 loans'!A:D,4,FALSE),1)</f>
        <v>1</v>
      </c>
      <c r="J100" s="354">
        <f>VLOOKUP(A100,Reference_Rate_Repricing_Report!B:P,15,FALSE)</f>
        <v>6.2</v>
      </c>
      <c r="K100" s="354"/>
      <c r="L100" s="274">
        <f>IF(I100="Matured","",IFERROR(VLOOKUP(A100,'Updated Ncino PD'!$A:$B,2,FALSE),IF($Z$2="ON",IF(I100=1,VLOOKUP(A100,'MacroPD-Cal'!A:H,8,FALSE),VLOOKUP(A100,'MacroPD-Cal'!A:O,15,FALSE)),IF($Z$5="Weighted",IF(I100=1,VLOOKUP(A100,'Model Output_TTC'!A:BX,76,FALSE),VLOOKUP(A100,'Model Output_TTC'!A:CD,82,FALSE)),IF($Z$5="Baseline",IF(I100=1,VLOOKUP(A100,'Model Output_TTC'!$A:$AO,41,FALSE),VLOOKUP(A100,'Model Output_TTC'!$A:$AU,47,FALSE)),IF($Z$5="90th Percentile",IF(I100=1,VLOOKUP(A100,'Model Output_TTC'!$A:$BJ,62,FALSE),VLOOKUP(A100,'Model Output_TTC'!$A:$BP,68,FALSE)),IF($Z$5="96th Percentile",IF(I100=1,VLOOKUP(A100,'Model Output_TTC'!$A:$T,20,FALSE),VLOOKUP(A100,'Model Output_TTC'!$A:$Z,26,FALSE)),"")))))))</f>
        <v>2.29E-2</v>
      </c>
      <c r="M100" s="274">
        <f>IF('Ref-Data'!I100="Matured","",VLOOKUP(A100,'LGD Data'!A:C,3,0))</f>
        <v>0.35859999999999997</v>
      </c>
      <c r="N100" s="274">
        <f>IF(I100="Matured","",MAX(IFERROR(VLOOKUP(A100,'Updated Ncino PD'!$U:$V,2,FALSE),'Ref-Data'!M100),10%))</f>
        <v>0.35859999999999997</v>
      </c>
      <c r="O100" s="354">
        <f>VLOOKUP(A100,'Loan Book Summary'!C:AE,29,FALSE)</f>
        <v>0</v>
      </c>
      <c r="P100" s="354"/>
      <c r="Q100" s="354">
        <f>IF(I100="Matured","",VLOOKUP(A100,'MacroPD-Cal'!A:N,14,FALSE))</f>
        <v>2.29E-2</v>
      </c>
      <c r="R100" s="354">
        <f t="shared" si="13"/>
        <v>0</v>
      </c>
      <c r="S100" s="354">
        <f t="shared" si="14"/>
        <v>4.0328542094455848</v>
      </c>
      <c r="T100" s="354"/>
      <c r="U100" s="354"/>
      <c r="V100" s="346"/>
      <c r="W100" s="346"/>
      <c r="X100" s="346"/>
      <c r="Y100" s="346"/>
      <c r="Z100" s="346"/>
      <c r="AA100" s="346"/>
      <c r="AB100" s="346"/>
      <c r="AC100" s="346"/>
      <c r="AD100" s="346" t="str">
        <f>VLOOKUP(A100,'Loan Book Summary'!C:E,3,FALSE)</f>
        <v>INN COLLECTION BIDCO LIMITED</v>
      </c>
    </row>
    <row r="101" spans="1:30" x14ac:dyDescent="0.25">
      <c r="A101" s="354">
        <v>1100000268</v>
      </c>
      <c r="B101" s="249">
        <f>VLOOKUP(A101,'Loan Book Summary'!C:W,21,FALSE)</f>
        <v>4956140</v>
      </c>
      <c r="C101" s="249">
        <f>VLOOKUP(A101,'Loan Book Summary'!C:AB,26,FALSE)</f>
        <v>4956140</v>
      </c>
      <c r="D101" s="398">
        <f>VLOOKUP(A101,'Loan Book Summary'!C:Q,15,FALSE)</f>
        <v>44593</v>
      </c>
      <c r="E101" s="398">
        <f>VLOOKUP(A101,'Loan Book Summary'!C:R,16,FALSE)</f>
        <v>46419</v>
      </c>
      <c r="F101" s="354">
        <f t="shared" si="12"/>
        <v>4.6735112936344967</v>
      </c>
      <c r="G101" s="354"/>
      <c r="H101" s="354"/>
      <c r="I101" s="354">
        <f>IFERROR(VLOOKUP(A101,'Stage 2 loans'!A:D,4,FALSE),1)</f>
        <v>1</v>
      </c>
      <c r="J101" s="354">
        <f>VLOOKUP(A101,Reference_Rate_Repricing_Report!B:P,15,FALSE)</f>
        <v>6</v>
      </c>
      <c r="K101" s="354"/>
      <c r="L101" s="274">
        <f>IF(I101="Matured","",IFERROR(VLOOKUP(A101,'Updated Ncino PD'!$A:$B,2,FALSE),IF($Z$2="ON",IF(I101=1,VLOOKUP(A101,'MacroPD-Cal'!A:H,8,FALSE),VLOOKUP(A101,'MacroPD-Cal'!A:O,15,FALSE)),IF($Z$5="Weighted",IF(I101=1,VLOOKUP(A101,'Model Output_TTC'!A:BX,76,FALSE),VLOOKUP(A101,'Model Output_TTC'!A:CD,82,FALSE)),IF($Z$5="Baseline",IF(I101=1,VLOOKUP(A101,'Model Output_TTC'!$A:$AO,41,FALSE),VLOOKUP(A101,'Model Output_TTC'!$A:$AU,47,FALSE)),IF($Z$5="90th Percentile",IF(I101=1,VLOOKUP(A101,'Model Output_TTC'!$A:$BJ,62,FALSE),VLOOKUP(A101,'Model Output_TTC'!$A:$BP,68,FALSE)),IF($Z$5="96th Percentile",IF(I101=1,VLOOKUP(A101,'Model Output_TTC'!$A:$T,20,FALSE),VLOOKUP(A101,'Model Output_TTC'!$A:$Z,26,FALSE)),"")))))))</f>
        <v>3.1000000000000003E-3</v>
      </c>
      <c r="M101" s="274">
        <f>IF('Ref-Data'!I101="Matured","",VLOOKUP(A101,'LGD Data'!A:C,3,0))</f>
        <v>0.41450000000000004</v>
      </c>
      <c r="N101" s="274">
        <f>IF(I101="Matured","",MAX(IFERROR(VLOOKUP(A101,'Updated Ncino PD'!$U:$V,2,FALSE),'Ref-Data'!M101),10%))</f>
        <v>0.41450000000000004</v>
      </c>
      <c r="O101" s="354">
        <f>VLOOKUP(A101,'Loan Book Summary'!C:AE,29,FALSE)</f>
        <v>0</v>
      </c>
      <c r="P101" s="354"/>
      <c r="Q101" s="354">
        <f>IF(I101="Matured","",VLOOKUP(A101,'MacroPD-Cal'!A:N,14,FALSE))</f>
        <v>3.1000000000000003E-3</v>
      </c>
      <c r="R101" s="354">
        <f t="shared" si="13"/>
        <v>0</v>
      </c>
      <c r="S101" s="354">
        <f t="shared" si="14"/>
        <v>4.9993155373032172</v>
      </c>
      <c r="T101" s="354"/>
      <c r="U101" s="354"/>
      <c r="V101" s="346"/>
      <c r="W101" s="346"/>
      <c r="X101" s="346"/>
      <c r="Y101" s="346"/>
      <c r="Z101" s="346"/>
      <c r="AA101" s="346"/>
      <c r="AB101" s="346"/>
      <c r="AC101" s="346"/>
      <c r="AD101" s="346" t="str">
        <f>VLOOKUP(A101,'Loan Book Summary'!C:E,3,FALSE)</f>
        <v>APPRENTIFY GROUP LIMITED</v>
      </c>
    </row>
    <row r="102" spans="1:30" x14ac:dyDescent="0.25">
      <c r="A102" s="354">
        <v>1100000269</v>
      </c>
      <c r="B102" s="249">
        <f>VLOOKUP(A102,'Loan Book Summary'!C:W,21,FALSE)</f>
        <v>5000000</v>
      </c>
      <c r="C102" s="249">
        <f>VLOOKUP(A102,'Loan Book Summary'!C:AB,26,FALSE)</f>
        <v>0</v>
      </c>
      <c r="D102" s="398">
        <f>VLOOKUP(A102,'Loan Book Summary'!C:Q,15,FALSE)</f>
        <v>44593</v>
      </c>
      <c r="E102" s="398">
        <f>VLOOKUP(A102,'Loan Book Summary'!C:R,16,FALSE)</f>
        <v>46419</v>
      </c>
      <c r="F102" s="354">
        <f t="shared" si="12"/>
        <v>4.6735112936344967</v>
      </c>
      <c r="G102" s="354"/>
      <c r="H102" s="354"/>
      <c r="I102" s="354">
        <f>IFERROR(VLOOKUP(A102,'Stage 2 loans'!A:D,4,FALSE),1)</f>
        <v>1</v>
      </c>
      <c r="J102" s="354">
        <f>VLOOKUP(A102,Reference_Rate_Repricing_Report!B:P,15,FALSE)</f>
        <v>6</v>
      </c>
      <c r="K102" s="354"/>
      <c r="L102" s="274">
        <f>IF(I102="Matured","",IFERROR(VLOOKUP(A102,'Updated Ncino PD'!$A:$B,2,FALSE),IF($Z$2="ON",IF(I102=1,VLOOKUP(A102,'MacroPD-Cal'!A:H,8,FALSE),VLOOKUP(A102,'MacroPD-Cal'!A:O,15,FALSE)),IF($Z$5="Weighted",IF(I102=1,VLOOKUP(A102,'Model Output_TTC'!A:BX,76,FALSE),VLOOKUP(A102,'Model Output_TTC'!A:CD,82,FALSE)),IF($Z$5="Baseline",IF(I102=1,VLOOKUP(A102,'Model Output_TTC'!$A:$AO,41,FALSE),VLOOKUP(A102,'Model Output_TTC'!$A:$AU,47,FALSE)),IF($Z$5="90th Percentile",IF(I102=1,VLOOKUP(A102,'Model Output_TTC'!$A:$BJ,62,FALSE),VLOOKUP(A102,'Model Output_TTC'!$A:$BP,68,FALSE)),IF($Z$5="96th Percentile",IF(I102=1,VLOOKUP(A102,'Model Output_TTC'!$A:$T,20,FALSE),VLOOKUP(A102,'Model Output_TTC'!$A:$Z,26,FALSE)),"")))))))</f>
        <v>3.1000000000000003E-3</v>
      </c>
      <c r="M102" s="274">
        <f>IF('Ref-Data'!I102="Matured","",VLOOKUP(A102,'LGD Data'!A:C,3,0))</f>
        <v>0.41450000000000004</v>
      </c>
      <c r="N102" s="274">
        <f>IF(I102="Matured","",MAX(IFERROR(VLOOKUP(A102,'Updated Ncino PD'!$U:$V,2,FALSE),'Ref-Data'!M102),10%))</f>
        <v>0.41450000000000004</v>
      </c>
      <c r="O102" s="354">
        <f>VLOOKUP(A102,'Loan Book Summary'!C:AE,29,FALSE)</f>
        <v>0</v>
      </c>
      <c r="P102" s="354"/>
      <c r="Q102" s="354">
        <f>IF(I102="Matured","",VLOOKUP(A102,'MacroPD-Cal'!A:N,14,FALSE))</f>
        <v>3.1000000000000003E-3</v>
      </c>
      <c r="R102" s="354">
        <f t="shared" si="13"/>
        <v>0</v>
      </c>
      <c r="S102" s="354">
        <f t="shared" si="14"/>
        <v>4.9993155373032172</v>
      </c>
      <c r="T102" s="354"/>
      <c r="U102" s="354"/>
      <c r="V102" s="346"/>
      <c r="W102" s="346"/>
      <c r="X102" s="346"/>
      <c r="Y102" s="346"/>
      <c r="Z102" s="346"/>
      <c r="AA102" s="346"/>
      <c r="AB102" s="346"/>
      <c r="AC102" s="346"/>
      <c r="AD102" s="346" t="str">
        <f>VLOOKUP(A102,'Loan Book Summary'!C:E,3,FALSE)</f>
        <v>APPRENTIFY GROUP LIMITED</v>
      </c>
    </row>
    <row r="103" spans="1:30" x14ac:dyDescent="0.25">
      <c r="A103" s="354">
        <v>1100000266</v>
      </c>
      <c r="B103" s="249">
        <f>VLOOKUP(A103,'Loan Book Summary'!C:W,21,FALSE)</f>
        <v>5600000</v>
      </c>
      <c r="C103" s="249">
        <f>VLOOKUP(A103,'Loan Book Summary'!C:AB,26,FALSE)</f>
        <v>5600000</v>
      </c>
      <c r="D103" s="398">
        <f>VLOOKUP(A103,'Loan Book Summary'!C:Q,15,FALSE)</f>
        <v>44596</v>
      </c>
      <c r="E103" s="398">
        <f>VLOOKUP(A103,'Loan Book Summary'!C:R,16,FALSE)</f>
        <v>46422</v>
      </c>
      <c r="F103" s="354">
        <f t="shared" si="12"/>
        <v>4.6817248459958929</v>
      </c>
      <c r="G103" s="354"/>
      <c r="H103" s="354"/>
      <c r="I103" s="354">
        <f>IFERROR(VLOOKUP(A103,'Stage 2 loans'!A:D,4,FALSE),1)</f>
        <v>1</v>
      </c>
      <c r="J103" s="354">
        <f>VLOOKUP(A103,Reference_Rate_Repricing_Report!B:P,15,FALSE)</f>
        <v>6.1</v>
      </c>
      <c r="K103" s="354"/>
      <c r="L103" s="274">
        <f>IF(I103="Matured","",IFERROR(VLOOKUP(A103,'Updated Ncino PD'!$A:$B,2,FALSE),IF($Z$2="ON",IF(I103=1,VLOOKUP(A103,'MacroPD-Cal'!A:H,8,FALSE),VLOOKUP(A103,'MacroPD-Cal'!A:O,15,FALSE)),IF($Z$5="Weighted",IF(I103=1,VLOOKUP(A103,'Model Output_TTC'!A:BX,76,FALSE),VLOOKUP(A103,'Model Output_TTC'!A:CD,82,FALSE)),IF($Z$5="Baseline",IF(I103=1,VLOOKUP(A103,'Model Output_TTC'!$A:$AO,41,FALSE),VLOOKUP(A103,'Model Output_TTC'!$A:$AU,47,FALSE)),IF($Z$5="90th Percentile",IF(I103=1,VLOOKUP(A103,'Model Output_TTC'!$A:$BJ,62,FALSE),VLOOKUP(A103,'Model Output_TTC'!$A:$BP,68,FALSE)),IF($Z$5="96th Percentile",IF(I103=1,VLOOKUP(A103,'Model Output_TTC'!$A:$T,20,FALSE),VLOOKUP(A103,'Model Output_TTC'!$A:$Z,26,FALSE)),"")))))))</f>
        <v>4.8999999999999998E-3</v>
      </c>
      <c r="M103" s="274">
        <f>IF('Ref-Data'!I103="Matured","",VLOOKUP(A103,'LGD Data'!A:C,3,0))</f>
        <v>0.39140000000000003</v>
      </c>
      <c r="N103" s="274">
        <f>IF(I103="Matured","",MAX(IFERROR(VLOOKUP(A103,'Updated Ncino PD'!$U:$V,2,FALSE),'Ref-Data'!M103),10%))</f>
        <v>0.39140000000000003</v>
      </c>
      <c r="O103" s="354">
        <f>VLOOKUP(A103,'Loan Book Summary'!C:AE,29,FALSE)</f>
        <v>0</v>
      </c>
      <c r="P103" s="354"/>
      <c r="Q103" s="354">
        <f>IF(I103="Matured","",VLOOKUP(A103,'MacroPD-Cal'!A:N,14,FALSE))</f>
        <v>4.8999999999999998E-3</v>
      </c>
      <c r="R103" s="354">
        <f t="shared" si="13"/>
        <v>0</v>
      </c>
      <c r="S103" s="354">
        <f t="shared" si="14"/>
        <v>4.9993155373032172</v>
      </c>
      <c r="T103" s="354"/>
      <c r="U103" s="354"/>
      <c r="V103" s="346"/>
      <c r="W103" s="346"/>
      <c r="X103" s="346"/>
      <c r="Y103" s="346"/>
      <c r="Z103" s="346"/>
      <c r="AA103" s="346"/>
      <c r="AB103" s="346"/>
      <c r="AC103" s="346"/>
      <c r="AD103" s="346" t="str">
        <f>VLOOKUP(A103,'Loan Book Summary'!C:E,3,FALSE)</f>
        <v>CHELSEA BIDCO LIMITED</v>
      </c>
    </row>
    <row r="104" spans="1:30" x14ac:dyDescent="0.25">
      <c r="A104" s="354">
        <v>1100000267</v>
      </c>
      <c r="B104" s="249">
        <f>VLOOKUP(A104,'Loan Book Summary'!C:W,21,FALSE)</f>
        <v>9000000</v>
      </c>
      <c r="C104" s="249">
        <f>VLOOKUP(A104,'Loan Book Summary'!C:AB,26,FALSE)</f>
        <v>9000000</v>
      </c>
      <c r="D104" s="398">
        <f>VLOOKUP(A104,'Loan Book Summary'!C:Q,15,FALSE)</f>
        <v>44596</v>
      </c>
      <c r="E104" s="398">
        <f>VLOOKUP(A104,'Loan Book Summary'!C:R,16,FALSE)</f>
        <v>46422</v>
      </c>
      <c r="F104" s="354">
        <f t="shared" si="12"/>
        <v>4.6817248459958929</v>
      </c>
      <c r="G104" s="354"/>
      <c r="H104" s="354"/>
      <c r="I104" s="354">
        <f>IFERROR(VLOOKUP(A104,'Stage 2 loans'!A:D,4,FALSE),1)</f>
        <v>1</v>
      </c>
      <c r="J104" s="354">
        <f>VLOOKUP(A104,Reference_Rate_Repricing_Report!B:P,15,FALSE)</f>
        <v>6.3</v>
      </c>
      <c r="K104" s="354"/>
      <c r="L104" s="274">
        <f>IF(I104="Matured","",IFERROR(VLOOKUP(A104,'Updated Ncino PD'!$A:$B,2,FALSE),IF($Z$2="ON",IF(I104=1,VLOOKUP(A104,'MacroPD-Cal'!A:H,8,FALSE),VLOOKUP(A104,'MacroPD-Cal'!A:O,15,FALSE)),IF($Z$5="Weighted",IF(I104=1,VLOOKUP(A104,'Model Output_TTC'!A:BX,76,FALSE),VLOOKUP(A104,'Model Output_TTC'!A:CD,82,FALSE)),IF($Z$5="Baseline",IF(I104=1,VLOOKUP(A104,'Model Output_TTC'!$A:$AO,41,FALSE),VLOOKUP(A104,'Model Output_TTC'!$A:$AU,47,FALSE)),IF($Z$5="90th Percentile",IF(I104=1,VLOOKUP(A104,'Model Output_TTC'!$A:$BJ,62,FALSE),VLOOKUP(A104,'Model Output_TTC'!$A:$BP,68,FALSE)),IF($Z$5="96th Percentile",IF(I104=1,VLOOKUP(A104,'Model Output_TTC'!$A:$T,20,FALSE),VLOOKUP(A104,'Model Output_TTC'!$A:$Z,26,FALSE)),"")))))))</f>
        <v>4.8999999999999998E-3</v>
      </c>
      <c r="M104" s="274">
        <f>IF('Ref-Data'!I104="Matured","",VLOOKUP(A104,'LGD Data'!A:C,3,0))</f>
        <v>0.39140000000000003</v>
      </c>
      <c r="N104" s="274">
        <f>IF(I104="Matured","",MAX(IFERROR(VLOOKUP(A104,'Updated Ncino PD'!$U:$V,2,FALSE),'Ref-Data'!M104),10%))</f>
        <v>0.39140000000000003</v>
      </c>
      <c r="O104" s="354">
        <f>VLOOKUP(A104,'Loan Book Summary'!C:AE,29,FALSE)</f>
        <v>0</v>
      </c>
      <c r="P104" s="354"/>
      <c r="Q104" s="354">
        <f>IF(I104="Matured","",VLOOKUP(A104,'MacroPD-Cal'!A:N,14,FALSE))</f>
        <v>4.8999999999999998E-3</v>
      </c>
      <c r="R104" s="354">
        <f t="shared" si="13"/>
        <v>0</v>
      </c>
      <c r="S104" s="354">
        <f t="shared" si="14"/>
        <v>4.9993155373032172</v>
      </c>
      <c r="T104" s="354"/>
      <c r="U104" s="354"/>
      <c r="V104" s="346"/>
      <c r="W104" s="346"/>
      <c r="X104" s="346"/>
      <c r="Y104" s="346"/>
      <c r="Z104" s="346"/>
      <c r="AA104" s="346"/>
      <c r="AB104" s="346"/>
      <c r="AC104" s="346"/>
      <c r="AD104" s="346" t="str">
        <f>VLOOKUP(A104,'Loan Book Summary'!C:E,3,FALSE)</f>
        <v>CHELSEA BIDCO LIMITED</v>
      </c>
    </row>
    <row r="105" spans="1:30" x14ac:dyDescent="0.25">
      <c r="A105" s="354">
        <v>1100000270</v>
      </c>
      <c r="B105" s="249">
        <f>VLOOKUP(A105,'Loan Book Summary'!C:W,21,FALSE)</f>
        <v>5000000</v>
      </c>
      <c r="C105" s="249">
        <f>VLOOKUP(A105,'Loan Book Summary'!C:AB,26,FALSE)</f>
        <v>0</v>
      </c>
      <c r="D105" s="398">
        <f>VLOOKUP(A105,'Loan Book Summary'!C:Q,15,FALSE)</f>
        <v>44596</v>
      </c>
      <c r="E105" s="398">
        <f>VLOOKUP(A105,'Loan Book Summary'!C:R,16,FALSE)</f>
        <v>46422</v>
      </c>
      <c r="F105" s="354">
        <f t="shared" si="12"/>
        <v>4.6817248459958929</v>
      </c>
      <c r="G105" s="354"/>
      <c r="H105" s="354"/>
      <c r="I105" s="354">
        <f>IFERROR(VLOOKUP(A105,'Stage 2 loans'!A:D,4,FALSE),1)</f>
        <v>1</v>
      </c>
      <c r="J105" s="354">
        <f>VLOOKUP(A105,Reference_Rate_Repricing_Report!B:P,15,FALSE)</f>
        <v>6</v>
      </c>
      <c r="K105" s="354"/>
      <c r="L105" s="274">
        <f>IF(I105="Matured","",IFERROR(VLOOKUP(A105,'Updated Ncino PD'!$A:$B,2,FALSE),IF($Z$2="ON",IF(I105=1,VLOOKUP(A105,'MacroPD-Cal'!A:H,8,FALSE),VLOOKUP(A105,'MacroPD-Cal'!A:O,15,FALSE)),IF($Z$5="Weighted",IF(I105=1,VLOOKUP(A105,'Model Output_TTC'!A:BX,76,FALSE),VLOOKUP(A105,'Model Output_TTC'!A:CD,82,FALSE)),IF($Z$5="Baseline",IF(I105=1,VLOOKUP(A105,'Model Output_TTC'!$A:$AO,41,FALSE),VLOOKUP(A105,'Model Output_TTC'!$A:$AU,47,FALSE)),IF($Z$5="90th Percentile",IF(I105=1,VLOOKUP(A105,'Model Output_TTC'!$A:$BJ,62,FALSE),VLOOKUP(A105,'Model Output_TTC'!$A:$BP,68,FALSE)),IF($Z$5="96th Percentile",IF(I105=1,VLOOKUP(A105,'Model Output_TTC'!$A:$T,20,FALSE),VLOOKUP(A105,'Model Output_TTC'!$A:$Z,26,FALSE)),"")))))))</f>
        <v>4.8999999999999998E-3</v>
      </c>
      <c r="M105" s="274">
        <f>IF('Ref-Data'!I105="Matured","",VLOOKUP(A105,'LGD Data'!A:C,3,0))</f>
        <v>0.39140000000000003</v>
      </c>
      <c r="N105" s="274">
        <f>IF(I105="Matured","",MAX(IFERROR(VLOOKUP(A105,'Updated Ncino PD'!$U:$V,2,FALSE),'Ref-Data'!M105),10%))</f>
        <v>0.39140000000000003</v>
      </c>
      <c r="O105" s="354">
        <f>VLOOKUP(A105,'Loan Book Summary'!C:AE,29,FALSE)</f>
        <v>5000000</v>
      </c>
      <c r="P105" s="354"/>
      <c r="Q105" s="354">
        <f>IF(I105="Matured","",VLOOKUP(A105,'MacroPD-Cal'!A:N,14,FALSE))</f>
        <v>4.8999999999999998E-3</v>
      </c>
      <c r="R105" s="354">
        <f t="shared" si="13"/>
        <v>4794.6499999999996</v>
      </c>
      <c r="S105" s="354">
        <f t="shared" si="14"/>
        <v>4.9993155373032172</v>
      </c>
      <c r="T105" s="354"/>
      <c r="U105" s="354"/>
      <c r="V105" s="346"/>
      <c r="W105" s="346"/>
      <c r="X105" s="346"/>
      <c r="Y105" s="346"/>
      <c r="Z105" s="346"/>
      <c r="AA105" s="346"/>
      <c r="AB105" s="346"/>
      <c r="AC105" s="346"/>
      <c r="AD105" s="346" t="str">
        <f>VLOOKUP(A105,'Loan Book Summary'!C:E,3,FALSE)</f>
        <v>CHELSEA BIDCO LIMITED</v>
      </c>
    </row>
    <row r="106" spans="1:30" x14ac:dyDescent="0.25">
      <c r="A106" s="354">
        <v>1100000271</v>
      </c>
      <c r="B106" s="249">
        <f>VLOOKUP(A106,'Loan Book Summary'!C:W,21,FALSE)</f>
        <v>10000000</v>
      </c>
      <c r="C106" s="249">
        <f>VLOOKUP(A106,'Loan Book Summary'!C:AB,26,FALSE)</f>
        <v>10000000</v>
      </c>
      <c r="D106" s="398">
        <f>VLOOKUP(A106,'Loan Book Summary'!C:Q,15,FALSE)</f>
        <v>44597</v>
      </c>
      <c r="E106" s="398">
        <f>VLOOKUP(A106,'Loan Book Summary'!C:R,16,FALSE)</f>
        <v>46426</v>
      </c>
      <c r="F106" s="354">
        <f t="shared" si="12"/>
        <v>4.6926762491444221</v>
      </c>
      <c r="G106" s="354"/>
      <c r="H106" s="354"/>
      <c r="I106" s="354">
        <f>IFERROR(VLOOKUP(A106,'Stage 2 loans'!A:D,4,FALSE),1)</f>
        <v>1</v>
      </c>
      <c r="J106" s="354">
        <f>VLOOKUP(A106,Reference_Rate_Repricing_Report!B:P,15,FALSE)</f>
        <v>6.25</v>
      </c>
      <c r="K106" s="354"/>
      <c r="L106" s="274">
        <f>IF(I106="Matured","",IFERROR(VLOOKUP(A106,'Updated Ncino PD'!$A:$B,2,FALSE),IF($Z$2="ON",IF(I106=1,VLOOKUP(A106,'MacroPD-Cal'!A:H,8,FALSE),VLOOKUP(A106,'MacroPD-Cal'!A:O,15,FALSE)),IF($Z$5="Weighted",IF(I106=1,VLOOKUP(A106,'Model Output_TTC'!A:BX,76,FALSE),VLOOKUP(A106,'Model Output_TTC'!A:CD,82,FALSE)),IF($Z$5="Baseline",IF(I106=1,VLOOKUP(A106,'Model Output_TTC'!$A:$AO,41,FALSE),VLOOKUP(A106,'Model Output_TTC'!$A:$AU,47,FALSE)),IF($Z$5="90th Percentile",IF(I106=1,VLOOKUP(A106,'Model Output_TTC'!$A:$BJ,62,FALSE),VLOOKUP(A106,'Model Output_TTC'!$A:$BP,68,FALSE)),IF($Z$5="96th Percentile",IF(I106=1,VLOOKUP(A106,'Model Output_TTC'!$A:$T,20,FALSE),VLOOKUP(A106,'Model Output_TTC'!$A:$Z,26,FALSE)),"")))))))</f>
        <v>1.89E-2</v>
      </c>
      <c r="M106" s="274">
        <f>IF('Ref-Data'!I106="Matured","",VLOOKUP(A106,'LGD Data'!A:C,3,0))</f>
        <v>0.39140000000000003</v>
      </c>
      <c r="N106" s="274">
        <f>IF(I106="Matured","",MAX(IFERROR(VLOOKUP(A106,'Updated Ncino PD'!$U:$V,2,FALSE),'Ref-Data'!M106),10%))</f>
        <v>0.39140000000000003</v>
      </c>
      <c r="O106" s="354">
        <f>VLOOKUP(A106,'Loan Book Summary'!C:AE,29,FALSE)</f>
        <v>0</v>
      </c>
      <c r="P106" s="354"/>
      <c r="Q106" s="354">
        <f>IF(I106="Matured","",VLOOKUP(A106,'MacroPD-Cal'!A:N,14,FALSE))</f>
        <v>1.89E-2</v>
      </c>
      <c r="R106" s="354">
        <f t="shared" si="13"/>
        <v>0</v>
      </c>
      <c r="S106" s="354">
        <f t="shared" si="14"/>
        <v>5.0075290896646134</v>
      </c>
      <c r="T106" s="354"/>
      <c r="U106" s="354"/>
      <c r="V106" s="346"/>
      <c r="W106" s="346"/>
      <c r="X106" s="346"/>
      <c r="Y106" s="346"/>
      <c r="Z106" s="346"/>
      <c r="AA106" s="346"/>
      <c r="AB106" s="346"/>
      <c r="AC106" s="346"/>
      <c r="AD106" s="346" t="str">
        <f>VLOOKUP(A106,'Loan Book Summary'!C:E,3,FALSE)</f>
        <v>BRASSERIE BAR CO LIMITED &amp; ABRIAND PROPCO LIMITED</v>
      </c>
    </row>
    <row r="107" spans="1:30" x14ac:dyDescent="0.25">
      <c r="A107" s="354">
        <v>1100000272</v>
      </c>
      <c r="B107" s="249">
        <f>VLOOKUP(A107,'Loan Book Summary'!C:W,21,FALSE)</f>
        <v>5000000</v>
      </c>
      <c r="C107" s="249">
        <f>VLOOKUP(A107,'Loan Book Summary'!C:AB,26,FALSE)</f>
        <v>5000000</v>
      </c>
      <c r="D107" s="398">
        <f>VLOOKUP(A107,'Loan Book Summary'!C:Q,15,FALSE)</f>
        <v>44597</v>
      </c>
      <c r="E107" s="398">
        <f>VLOOKUP(A107,'Loan Book Summary'!C:R,16,FALSE)</f>
        <v>46426</v>
      </c>
      <c r="F107" s="354">
        <f t="shared" si="12"/>
        <v>4.6926762491444221</v>
      </c>
      <c r="G107" s="354"/>
      <c r="H107" s="354"/>
      <c r="I107" s="354">
        <f>IFERROR(VLOOKUP(A107,'Stage 2 loans'!A:D,4,FALSE),1)</f>
        <v>1</v>
      </c>
      <c r="J107" s="354">
        <f>VLOOKUP(A107,Reference_Rate_Repricing_Report!B:P,15,FALSE)</f>
        <v>6.75</v>
      </c>
      <c r="K107" s="354"/>
      <c r="L107" s="274">
        <f>IF(I107="Matured","",IFERROR(VLOOKUP(A107,'Updated Ncino PD'!$A:$B,2,FALSE),IF($Z$2="ON",IF(I107=1,VLOOKUP(A107,'MacroPD-Cal'!A:H,8,FALSE),VLOOKUP(A107,'MacroPD-Cal'!A:O,15,FALSE)),IF($Z$5="Weighted",IF(I107=1,VLOOKUP(A107,'Model Output_TTC'!A:BX,76,FALSE),VLOOKUP(A107,'Model Output_TTC'!A:CD,82,FALSE)),IF($Z$5="Baseline",IF(I107=1,VLOOKUP(A107,'Model Output_TTC'!$A:$AO,41,FALSE),VLOOKUP(A107,'Model Output_TTC'!$A:$AU,47,FALSE)),IF($Z$5="90th Percentile",IF(I107=1,VLOOKUP(A107,'Model Output_TTC'!$A:$BJ,62,FALSE),VLOOKUP(A107,'Model Output_TTC'!$A:$BP,68,FALSE)),IF($Z$5="96th Percentile",IF(I107=1,VLOOKUP(A107,'Model Output_TTC'!$A:$T,20,FALSE),VLOOKUP(A107,'Model Output_TTC'!$A:$Z,26,FALSE)),"")))))))</f>
        <v>1.89E-2</v>
      </c>
      <c r="M107" s="274">
        <f>IF('Ref-Data'!I107="Matured","",VLOOKUP(A107,'LGD Data'!A:C,3,0))</f>
        <v>0.39140000000000003</v>
      </c>
      <c r="N107" s="274">
        <f>IF(I107="Matured","",MAX(IFERROR(VLOOKUP(A107,'Updated Ncino PD'!$U:$V,2,FALSE),'Ref-Data'!M107),10%))</f>
        <v>0.39140000000000003</v>
      </c>
      <c r="O107" s="354">
        <f>VLOOKUP(A107,'Loan Book Summary'!C:AE,29,FALSE)</f>
        <v>0</v>
      </c>
      <c r="P107" s="354"/>
      <c r="Q107" s="354">
        <f>IF(I107="Matured","",VLOOKUP(A107,'MacroPD-Cal'!A:N,14,FALSE))</f>
        <v>1.89E-2</v>
      </c>
      <c r="R107" s="354">
        <f t="shared" si="13"/>
        <v>0</v>
      </c>
      <c r="S107" s="354">
        <f t="shared" si="14"/>
        <v>5.0075290896646134</v>
      </c>
      <c r="T107" s="354"/>
      <c r="U107" s="354"/>
      <c r="V107" s="346"/>
      <c r="W107" s="346"/>
      <c r="X107" s="346"/>
      <c r="Y107" s="346"/>
      <c r="Z107" s="346"/>
      <c r="AA107" s="346"/>
      <c r="AB107" s="346"/>
      <c r="AC107" s="346"/>
      <c r="AD107" s="346" t="str">
        <f>VLOOKUP(A107,'Loan Book Summary'!C:E,3,FALSE)</f>
        <v>BRASSERIE BAR CO LIMITED &amp; ABRIAND PROPCO LIMITED</v>
      </c>
    </row>
    <row r="108" spans="1:30" x14ac:dyDescent="0.25">
      <c r="A108" s="354">
        <v>1100000274</v>
      </c>
      <c r="B108" s="249">
        <f>VLOOKUP(A108,'Loan Book Summary'!C:W,21,FALSE)</f>
        <v>8400000</v>
      </c>
      <c r="C108" s="249">
        <f>VLOOKUP(A108,'Loan Book Summary'!C:AB,26,FALSE)</f>
        <v>0</v>
      </c>
      <c r="D108" s="398">
        <f>VLOOKUP(A108,'Loan Book Summary'!C:Q,15,FALSE)</f>
        <v>44597</v>
      </c>
      <c r="E108" s="398">
        <f>VLOOKUP(A108,'Loan Book Summary'!C:R,16,FALSE)</f>
        <v>46426</v>
      </c>
      <c r="F108" s="354">
        <f t="shared" si="12"/>
        <v>4.6926762491444221</v>
      </c>
      <c r="G108" s="354"/>
      <c r="H108" s="354"/>
      <c r="I108" s="354">
        <f>IFERROR(VLOOKUP(A108,'Stage 2 loans'!A:D,4,FALSE),1)</f>
        <v>1</v>
      </c>
      <c r="J108" s="354">
        <f>VLOOKUP(A108,Reference_Rate_Repricing_Report!B:P,15,FALSE)</f>
        <v>7</v>
      </c>
      <c r="K108" s="354"/>
      <c r="L108" s="274">
        <f>IF(I108="Matured","",IFERROR(VLOOKUP(A108,'Updated Ncino PD'!$A:$B,2,FALSE),IF($Z$2="ON",IF(I108=1,VLOOKUP(A108,'MacroPD-Cal'!A:H,8,FALSE),VLOOKUP(A108,'MacroPD-Cal'!A:O,15,FALSE)),IF($Z$5="Weighted",IF(I108=1,VLOOKUP(A108,'Model Output_TTC'!A:BX,76,FALSE),VLOOKUP(A108,'Model Output_TTC'!A:CD,82,FALSE)),IF($Z$5="Baseline",IF(I108=1,VLOOKUP(A108,'Model Output_TTC'!$A:$AO,41,FALSE),VLOOKUP(A108,'Model Output_TTC'!$A:$AU,47,FALSE)),IF($Z$5="90th Percentile",IF(I108=1,VLOOKUP(A108,'Model Output_TTC'!$A:$BJ,62,FALSE),VLOOKUP(A108,'Model Output_TTC'!$A:$BP,68,FALSE)),IF($Z$5="96th Percentile",IF(I108=1,VLOOKUP(A108,'Model Output_TTC'!$A:$T,20,FALSE),VLOOKUP(A108,'Model Output_TTC'!$A:$Z,26,FALSE)),"")))))))</f>
        <v>1.89E-2</v>
      </c>
      <c r="M108" s="274">
        <f>IF('Ref-Data'!I108="Matured","",VLOOKUP(A108,'LGD Data'!A:C,3,0))</f>
        <v>0.39140000000000003</v>
      </c>
      <c r="N108" s="274">
        <f>IF(I108="Matured","",MAX(IFERROR(VLOOKUP(A108,'Updated Ncino PD'!$U:$V,2,FALSE),'Ref-Data'!M108),10%))</f>
        <v>0.39140000000000003</v>
      </c>
      <c r="O108" s="354">
        <f>VLOOKUP(A108,'Loan Book Summary'!C:AE,29,FALSE)</f>
        <v>8400000</v>
      </c>
      <c r="P108" s="354"/>
      <c r="Q108" s="354">
        <f>IF(I108="Matured","",VLOOKUP(A108,'MacroPD-Cal'!A:N,14,FALSE))</f>
        <v>1.89E-2</v>
      </c>
      <c r="R108" s="354">
        <f t="shared" si="13"/>
        <v>31069.332000000002</v>
      </c>
      <c r="S108" s="354">
        <f t="shared" si="14"/>
        <v>5.0075290896646134</v>
      </c>
      <c r="T108" s="354"/>
      <c r="U108" s="354"/>
      <c r="V108" s="346"/>
      <c r="W108" s="346"/>
      <c r="X108" s="346"/>
      <c r="Y108" s="346"/>
      <c r="Z108" s="346"/>
      <c r="AA108" s="346"/>
      <c r="AB108" s="346"/>
      <c r="AC108" s="346"/>
      <c r="AD108" s="346" t="str">
        <f>VLOOKUP(A108,'Loan Book Summary'!C:E,3,FALSE)</f>
        <v>BRASSERIE BAR CO LIMITED &amp; ABRIAND PROPCO LIMITED</v>
      </c>
    </row>
    <row r="109" spans="1:30" x14ac:dyDescent="0.25">
      <c r="A109" s="354">
        <v>1100000273</v>
      </c>
      <c r="B109" s="249">
        <f>VLOOKUP(A109,'Loan Book Summary'!C:W,21,FALSE)</f>
        <v>5000000</v>
      </c>
      <c r="C109" s="249">
        <f>VLOOKUP(A109,'Loan Book Summary'!C:AB,26,FALSE)</f>
        <v>0</v>
      </c>
      <c r="D109" s="398">
        <f>VLOOKUP(A109,'Loan Book Summary'!C:Q,15,FALSE)</f>
        <v>44597</v>
      </c>
      <c r="E109" s="398">
        <f>VLOOKUP(A109,'Loan Book Summary'!C:R,16,FALSE)</f>
        <v>46426</v>
      </c>
      <c r="F109" s="354">
        <f t="shared" si="12"/>
        <v>4.6926762491444221</v>
      </c>
      <c r="G109" s="354"/>
      <c r="H109" s="354"/>
      <c r="I109" s="354">
        <f>IFERROR(VLOOKUP(A109,'Stage 2 loans'!A:D,4,FALSE),1)</f>
        <v>1</v>
      </c>
      <c r="J109" s="354">
        <f>VLOOKUP(A109,Reference_Rate_Repricing_Report!B:P,15,FALSE)</f>
        <v>7</v>
      </c>
      <c r="K109" s="354"/>
      <c r="L109" s="274">
        <f>IF(I109="Matured","",IFERROR(VLOOKUP(A109,'Updated Ncino PD'!$A:$B,2,FALSE),IF($Z$2="ON",IF(I109=1,VLOOKUP(A109,'MacroPD-Cal'!A:H,8,FALSE),VLOOKUP(A109,'MacroPD-Cal'!A:O,15,FALSE)),IF($Z$5="Weighted",IF(I109=1,VLOOKUP(A109,'Model Output_TTC'!A:BX,76,FALSE),VLOOKUP(A109,'Model Output_TTC'!A:CD,82,FALSE)),IF($Z$5="Baseline",IF(I109=1,VLOOKUP(A109,'Model Output_TTC'!$A:$AO,41,FALSE),VLOOKUP(A109,'Model Output_TTC'!$A:$AU,47,FALSE)),IF($Z$5="90th Percentile",IF(I109=1,VLOOKUP(A109,'Model Output_TTC'!$A:$BJ,62,FALSE),VLOOKUP(A109,'Model Output_TTC'!$A:$BP,68,FALSE)),IF($Z$5="96th Percentile",IF(I109=1,VLOOKUP(A109,'Model Output_TTC'!$A:$T,20,FALSE),VLOOKUP(A109,'Model Output_TTC'!$A:$Z,26,FALSE)),"")))))))</f>
        <v>1.89E-2</v>
      </c>
      <c r="M109" s="274">
        <f>IF('Ref-Data'!I109="Matured","",VLOOKUP(A109,'LGD Data'!A:C,3,0))</f>
        <v>0.39140000000000003</v>
      </c>
      <c r="N109" s="274">
        <f>IF(I109="Matured","",MAX(IFERROR(VLOOKUP(A109,'Updated Ncino PD'!$U:$V,2,FALSE),'Ref-Data'!M109),10%))</f>
        <v>0.39140000000000003</v>
      </c>
      <c r="O109" s="354">
        <f>VLOOKUP(A109,'Loan Book Summary'!C:AE,29,FALSE)</f>
        <v>5000000</v>
      </c>
      <c r="P109" s="354"/>
      <c r="Q109" s="354">
        <f>IF(I109="Matured","",VLOOKUP(A109,'MacroPD-Cal'!A:N,14,FALSE))</f>
        <v>1.89E-2</v>
      </c>
      <c r="R109" s="354">
        <f t="shared" si="13"/>
        <v>18493.650000000001</v>
      </c>
      <c r="S109" s="354">
        <f t="shared" si="14"/>
        <v>5.0075290896646134</v>
      </c>
      <c r="T109" s="354"/>
      <c r="U109" s="354"/>
      <c r="V109" s="346"/>
      <c r="W109" s="346"/>
      <c r="X109" s="346"/>
      <c r="Y109" s="346"/>
      <c r="Z109" s="346"/>
      <c r="AA109" s="346"/>
      <c r="AB109" s="346"/>
      <c r="AC109" s="346"/>
      <c r="AD109" s="346" t="str">
        <f>VLOOKUP(A109,'Loan Book Summary'!C:E,3,FALSE)</f>
        <v>BRASSERIE BAR CO LIMITED &amp; ABRIAND PROPCO LIMITED</v>
      </c>
    </row>
    <row r="110" spans="1:30" x14ac:dyDescent="0.25">
      <c r="A110" s="354">
        <v>1100000275</v>
      </c>
      <c r="B110" s="249">
        <f>VLOOKUP(A110,'Loan Book Summary'!C:W,21,FALSE)</f>
        <v>6600000</v>
      </c>
      <c r="C110" s="249">
        <f>VLOOKUP(A110,'Loan Book Summary'!C:AB,26,FALSE)</f>
        <v>0</v>
      </c>
      <c r="D110" s="398">
        <f>VLOOKUP(A110,'Loan Book Summary'!C:Q,15,FALSE)</f>
        <v>44597</v>
      </c>
      <c r="E110" s="398">
        <f>VLOOKUP(A110,'Loan Book Summary'!C:R,16,FALSE)</f>
        <v>46426</v>
      </c>
      <c r="F110" s="354">
        <f t="shared" si="12"/>
        <v>4.6926762491444221</v>
      </c>
      <c r="G110" s="354"/>
      <c r="H110" s="354"/>
      <c r="I110" s="354">
        <f>IFERROR(VLOOKUP(A110,'Stage 2 loans'!A:D,4,FALSE),1)</f>
        <v>1</v>
      </c>
      <c r="J110" s="354">
        <f>VLOOKUP(A110,Reference_Rate_Repricing_Report!B:P,15,FALSE)</f>
        <v>7</v>
      </c>
      <c r="K110" s="354"/>
      <c r="L110" s="274">
        <f>IF(I110="Matured","",IFERROR(VLOOKUP(A110,'Updated Ncino PD'!$A:$B,2,FALSE),IF($Z$2="ON",IF(I110=1,VLOOKUP(A110,'MacroPD-Cal'!A:H,8,FALSE),VLOOKUP(A110,'MacroPD-Cal'!A:O,15,FALSE)),IF($Z$5="Weighted",IF(I110=1,VLOOKUP(A110,'Model Output_TTC'!A:BX,76,FALSE),VLOOKUP(A110,'Model Output_TTC'!A:CD,82,FALSE)),IF($Z$5="Baseline",IF(I110=1,VLOOKUP(A110,'Model Output_TTC'!$A:$AO,41,FALSE),VLOOKUP(A110,'Model Output_TTC'!$A:$AU,47,FALSE)),IF($Z$5="90th Percentile",IF(I110=1,VLOOKUP(A110,'Model Output_TTC'!$A:$BJ,62,FALSE),VLOOKUP(A110,'Model Output_TTC'!$A:$BP,68,FALSE)),IF($Z$5="96th Percentile",IF(I110=1,VLOOKUP(A110,'Model Output_TTC'!$A:$T,20,FALSE),VLOOKUP(A110,'Model Output_TTC'!$A:$Z,26,FALSE)),"")))))))</f>
        <v>1.89E-2</v>
      </c>
      <c r="M110" s="274">
        <f>IF('Ref-Data'!I110="Matured","",VLOOKUP(A110,'LGD Data'!A:C,3,0))</f>
        <v>0.39140000000000003</v>
      </c>
      <c r="N110" s="274">
        <f>IF(I110="Matured","",MAX(IFERROR(VLOOKUP(A110,'Updated Ncino PD'!$U:$V,2,FALSE),'Ref-Data'!M110),10%))</f>
        <v>0.39140000000000003</v>
      </c>
      <c r="O110" s="354">
        <f>VLOOKUP(A110,'Loan Book Summary'!C:AE,29,FALSE)</f>
        <v>6600000</v>
      </c>
      <c r="P110" s="354"/>
      <c r="Q110" s="354">
        <f>IF(I110="Matured","",VLOOKUP(A110,'MacroPD-Cal'!A:N,14,FALSE))</f>
        <v>1.89E-2</v>
      </c>
      <c r="R110" s="354">
        <f t="shared" si="13"/>
        <v>24411.618000000002</v>
      </c>
      <c r="S110" s="354">
        <f t="shared" si="14"/>
        <v>5.0075290896646134</v>
      </c>
      <c r="T110" s="354"/>
      <c r="U110" s="354"/>
      <c r="V110" s="346"/>
      <c r="W110" s="346"/>
      <c r="X110" s="346"/>
      <c r="Y110" s="346"/>
      <c r="Z110" s="346"/>
      <c r="AA110" s="346"/>
      <c r="AB110" s="346"/>
      <c r="AC110" s="346"/>
      <c r="AD110" s="346" t="str">
        <f>VLOOKUP(A110,'Loan Book Summary'!C:E,3,FALSE)</f>
        <v>BRASSERIE BAR CO LIMITED &amp; ABRIAND PROPCO LIMITED</v>
      </c>
    </row>
    <row r="111" spans="1:30" x14ac:dyDescent="0.25">
      <c r="A111" s="354">
        <v>1100000276</v>
      </c>
      <c r="B111" s="249">
        <f>VLOOKUP(A111,'Loan Book Summary'!C:W,21,FALSE)</f>
        <v>3000000</v>
      </c>
      <c r="C111" s="249">
        <f>VLOOKUP(A111,'Loan Book Summary'!C:AB,26,FALSE)</f>
        <v>35846</v>
      </c>
      <c r="D111" s="398">
        <f>VLOOKUP(A111,'Loan Book Summary'!C:Q,15,FALSE)</f>
        <v>44606</v>
      </c>
      <c r="E111" s="398">
        <f>VLOOKUP(A111,'Loan Book Summary'!C:R,16,FALSE)</f>
        <v>44834</v>
      </c>
      <c r="F111" s="354">
        <f t="shared" si="12"/>
        <v>0.33401779603011633</v>
      </c>
      <c r="G111" s="354"/>
      <c r="H111" s="354"/>
      <c r="I111" s="354">
        <f>IFERROR(VLOOKUP(A111,'Stage 2 loans'!A:D,4,FALSE),1)</f>
        <v>2</v>
      </c>
      <c r="J111" s="354">
        <f>VLOOKUP(A111,Reference_Rate_Repricing_Report!B:P,15,FALSE)</f>
        <v>12.75</v>
      </c>
      <c r="K111" s="354"/>
      <c r="L111" s="274">
        <f>IF(I111="Matured","",IFERROR(VLOOKUP(A111,'Updated Ncino PD'!$A:$B,2,FALSE),IF($Z$2="ON",IF(I111=1,VLOOKUP(A111,'MacroPD-Cal'!A:H,8,FALSE),VLOOKUP(A111,'MacroPD-Cal'!A:O,15,FALSE)),IF($Z$5="Weighted",IF(I111=1,VLOOKUP(A111,'Model Output_TTC'!A:BX,76,FALSE),VLOOKUP(A111,'Model Output_TTC'!A:CD,82,FALSE)),IF($Z$5="Baseline",IF(I111=1,VLOOKUP(A111,'Model Output_TTC'!$A:$AO,41,FALSE),VLOOKUP(A111,'Model Output_TTC'!$A:$AU,47,FALSE)),IF($Z$5="90th Percentile",IF(I111=1,VLOOKUP(A111,'Model Output_TTC'!$A:$BJ,62,FALSE),VLOOKUP(A111,'Model Output_TTC'!$A:$BP,68,FALSE)),IF($Z$5="96th Percentile",IF(I111=1,VLOOKUP(A111,'Model Output_TTC'!$A:$T,20,FALSE),VLOOKUP(A111,'Model Output_TTC'!$A:$Z,26,FALSE)),"")))))))</f>
        <v>0.1411</v>
      </c>
      <c r="M111" s="274">
        <f>IF('Ref-Data'!I111="Matured","",VLOOKUP(A111,'LGD Data'!A:C,3,0))</f>
        <v>0.33850601215969001</v>
      </c>
      <c r="N111" s="274">
        <f>IF(I111="Matured","",MAX(IFERROR(VLOOKUP(A111,'Updated Ncino PD'!$U:$V,2,FALSE),'Ref-Data'!M111),10%))</f>
        <v>0.33850601215969001</v>
      </c>
      <c r="O111" s="354">
        <f>VLOOKUP(A111,'Loan Book Summary'!C:AE,29,FALSE)</f>
        <v>2964154</v>
      </c>
      <c r="P111" s="354"/>
      <c r="Q111" s="354">
        <f>IF(I111="Matured","",VLOOKUP(A111,'MacroPD-Cal'!A:N,14,FALSE))</f>
        <v>4.9536040084954158E-2</v>
      </c>
      <c r="R111" s="354">
        <f t="shared" si="13"/>
        <v>28315.495068074211</v>
      </c>
      <c r="S111" s="354">
        <f t="shared" si="14"/>
        <v>0.62422997946611913</v>
      </c>
      <c r="T111" s="354"/>
      <c r="U111" s="354"/>
      <c r="V111" s="346"/>
      <c r="W111" s="346"/>
      <c r="X111" s="346"/>
      <c r="Y111" s="346"/>
      <c r="Z111" s="346"/>
      <c r="AA111" s="346"/>
      <c r="AB111" s="346"/>
      <c r="AC111" s="346"/>
      <c r="AD111" s="346" t="str">
        <f>VLOOKUP(A111,'Loan Book Summary'!C:E,3,FALSE)</f>
        <v>LINCOLN PLAZA HOTEL CO LIMITED</v>
      </c>
    </row>
    <row r="112" spans="1:30" x14ac:dyDescent="0.25">
      <c r="A112" s="354">
        <v>1300000002</v>
      </c>
      <c r="B112" s="249">
        <f>VLOOKUP(A112,'Loan Book Summary'!C:W,21,FALSE)</f>
        <v>750000</v>
      </c>
      <c r="C112" s="249">
        <f>VLOOKUP(A112,'Loan Book Summary'!C:AB,26,FALSE)</f>
        <v>750000</v>
      </c>
      <c r="D112" s="398">
        <f>VLOOKUP(A112,'Loan Book Summary'!C:Q,15,FALSE)</f>
        <v>44615</v>
      </c>
      <c r="E112" s="398">
        <f>VLOOKUP(A112,'Loan Book Summary'!C:R,16,FALSE)</f>
        <v>46441</v>
      </c>
      <c r="F112" s="354">
        <f t="shared" si="12"/>
        <v>4.7337440109514031</v>
      </c>
      <c r="G112" s="354"/>
      <c r="H112" s="354"/>
      <c r="I112" s="354">
        <f>IFERROR(VLOOKUP(A112,'Stage 2 loans'!A:D,4,FALSE),1)</f>
        <v>1</v>
      </c>
      <c r="J112" s="354">
        <f>VLOOKUP(A112,Reference_Rate_Repricing_Report!B:P,15,FALSE)</f>
        <v>7.25</v>
      </c>
      <c r="K112" s="354"/>
      <c r="L112" s="274">
        <f>IF(I112="Matured","",IFERROR(VLOOKUP(A112,'Updated Ncino PD'!$A:$B,2,FALSE),IF($Z$2="ON",IF(I112=1,VLOOKUP(A112,'MacroPD-Cal'!A:H,8,FALSE),VLOOKUP(A112,'MacroPD-Cal'!A:O,15,FALSE)),IF($Z$5="Weighted",IF(I112=1,VLOOKUP(A112,'Model Output_TTC'!A:BX,76,FALSE),VLOOKUP(A112,'Model Output_TTC'!A:CD,82,FALSE)),IF($Z$5="Baseline",IF(I112=1,VLOOKUP(A112,'Model Output_TTC'!$A:$AO,41,FALSE),VLOOKUP(A112,'Model Output_TTC'!$A:$AU,47,FALSE)),IF($Z$5="90th Percentile",IF(I112=1,VLOOKUP(A112,'Model Output_TTC'!$A:$BJ,62,FALSE),VLOOKUP(A112,'Model Output_TTC'!$A:$BP,68,FALSE)),IF($Z$5="96th Percentile",IF(I112=1,VLOOKUP(A112,'Model Output_TTC'!$A:$T,20,FALSE),VLOOKUP(A112,'Model Output_TTC'!$A:$Z,26,FALSE)),"")))))))</f>
        <v>2.01E-2</v>
      </c>
      <c r="M112" s="274">
        <f>IF('Ref-Data'!I112="Matured","",VLOOKUP(A112,'LGD Data'!A:C,3,0))</f>
        <v>0.1</v>
      </c>
      <c r="N112" s="274">
        <f>IF(I112="Matured","",MAX(IFERROR(VLOOKUP(A112,'Updated Ncino PD'!$U:$V,2,FALSE),'Ref-Data'!M112),10%))</f>
        <v>0.1</v>
      </c>
      <c r="O112" s="354">
        <f>VLOOKUP(A112,'Loan Book Summary'!C:AE,29,FALSE)</f>
        <v>0</v>
      </c>
      <c r="P112" s="354"/>
      <c r="Q112" s="354">
        <f>IF(I112="Matured","",VLOOKUP(A112,'MacroPD-Cal'!A:N,14,FALSE))</f>
        <v>2.01E-2</v>
      </c>
      <c r="R112" s="354">
        <f t="shared" si="13"/>
        <v>0</v>
      </c>
      <c r="S112" s="354">
        <f t="shared" si="14"/>
        <v>4.9993155373032172</v>
      </c>
      <c r="T112" s="354"/>
      <c r="U112" s="354"/>
      <c r="V112" s="346"/>
      <c r="W112" s="346"/>
      <c r="X112" s="346"/>
      <c r="Y112" s="346"/>
      <c r="Z112" s="346"/>
      <c r="AA112" s="346"/>
      <c r="AB112" s="346"/>
      <c r="AC112" s="346"/>
      <c r="AD112" s="346" t="str">
        <f>VLOOKUP(A112,'Loan Book Summary'!C:E,3,FALSE)</f>
        <v>STRAWBERRY FIELDS NURSERY &amp; PRESCHOOL LIMITED</v>
      </c>
    </row>
    <row r="113" spans="1:30" x14ac:dyDescent="0.25">
      <c r="A113" s="354">
        <v>1100000277</v>
      </c>
      <c r="B113" s="249">
        <f>VLOOKUP(A113,'Loan Book Summary'!C:W,21,FALSE)</f>
        <v>14500000</v>
      </c>
      <c r="C113" s="249">
        <f>VLOOKUP(A113,'Loan Book Summary'!C:AB,26,FALSE)</f>
        <v>14500000</v>
      </c>
      <c r="D113" s="398">
        <f>VLOOKUP(A113,'Loan Book Summary'!C:Q,15,FALSE)</f>
        <v>44645</v>
      </c>
      <c r="E113" s="398">
        <f>VLOOKUP(A113,'Loan Book Summary'!C:R,16,FALSE)</f>
        <v>46476</v>
      </c>
      <c r="F113" s="354">
        <f t="shared" si="12"/>
        <v>4.8295687885010263</v>
      </c>
      <c r="G113" s="354"/>
      <c r="H113" s="354"/>
      <c r="I113" s="354">
        <f>IFERROR(VLOOKUP(A113,'Stage 2 loans'!A:D,4,FALSE),1)</f>
        <v>1</v>
      </c>
      <c r="J113" s="354">
        <f>VLOOKUP(A113,Reference_Rate_Repricing_Report!B:P,15,FALSE)</f>
        <v>6.7</v>
      </c>
      <c r="K113" s="354"/>
      <c r="L113" s="274">
        <f>IF(I113="Matured","",IFERROR(VLOOKUP(A113,'Updated Ncino PD'!$A:$B,2,FALSE),IF($Z$2="ON",IF(I113=1,VLOOKUP(A113,'MacroPD-Cal'!A:H,8,FALSE),VLOOKUP(A113,'MacroPD-Cal'!A:O,15,FALSE)),IF($Z$5="Weighted",IF(I113=1,VLOOKUP(A113,'Model Output_TTC'!A:BX,76,FALSE),VLOOKUP(A113,'Model Output_TTC'!A:CD,82,FALSE)),IF($Z$5="Baseline",IF(I113=1,VLOOKUP(A113,'Model Output_TTC'!$A:$AO,41,FALSE),VLOOKUP(A113,'Model Output_TTC'!$A:$AU,47,FALSE)),IF($Z$5="90th Percentile",IF(I113=1,VLOOKUP(A113,'Model Output_TTC'!$A:$BJ,62,FALSE),VLOOKUP(A113,'Model Output_TTC'!$A:$BP,68,FALSE)),IF($Z$5="96th Percentile",IF(I113=1,VLOOKUP(A113,'Model Output_TTC'!$A:$T,20,FALSE),VLOOKUP(A113,'Model Output_TTC'!$A:$Z,26,FALSE)),"")))))))</f>
        <v>3.6799999999999999E-2</v>
      </c>
      <c r="M113" s="274">
        <f>IF('Ref-Data'!I113="Matured","",VLOOKUP(A113,'LGD Data'!A:C,3,0))</f>
        <v>0.12740000000000001</v>
      </c>
      <c r="N113" s="274">
        <f>IF(I113="Matured","",MAX(IFERROR(VLOOKUP(A113,'Updated Ncino PD'!$U:$V,2,FALSE),'Ref-Data'!M113),10%))</f>
        <v>0.12740000000000001</v>
      </c>
      <c r="O113" s="354">
        <f>VLOOKUP(A113,'Loan Book Summary'!C:AE,29,FALSE)</f>
        <v>0</v>
      </c>
      <c r="P113" s="354"/>
      <c r="Q113" s="354">
        <f>IF(I113="Matured","",VLOOKUP(A113,'MacroPD-Cal'!A:N,14,FALSE))</f>
        <v>3.6799999999999999E-2</v>
      </c>
      <c r="R113" s="354">
        <f t="shared" si="13"/>
        <v>0</v>
      </c>
      <c r="S113" s="354">
        <f t="shared" si="14"/>
        <v>5.0130047912388775</v>
      </c>
      <c r="T113" s="354"/>
      <c r="U113" s="354"/>
      <c r="V113" s="346"/>
      <c r="W113" s="346"/>
      <c r="X113" s="346"/>
      <c r="Y113" s="346"/>
      <c r="Z113" s="346"/>
      <c r="AA113" s="346"/>
      <c r="AB113" s="346"/>
      <c r="AC113" s="346"/>
      <c r="AD113" s="346" t="str">
        <f>VLOOKUP(A113,'Loan Book Summary'!C:E,3,FALSE)</f>
        <v>PORTOBELLO STARBOARD LIMITED</v>
      </c>
    </row>
    <row r="114" spans="1:30" x14ac:dyDescent="0.25">
      <c r="A114" s="354">
        <v>1100000281</v>
      </c>
      <c r="B114" s="249">
        <f>VLOOKUP(A114,'Loan Book Summary'!C:W,21,FALSE)</f>
        <v>25500000</v>
      </c>
      <c r="C114" s="249">
        <f>VLOOKUP(A114,'Loan Book Summary'!C:AB,26,FALSE)</f>
        <v>9750000</v>
      </c>
      <c r="D114" s="398">
        <f>VLOOKUP(A114,'Loan Book Summary'!C:Q,15,FALSE)</f>
        <v>44645</v>
      </c>
      <c r="E114" s="398">
        <f>VLOOKUP(A114,'Loan Book Summary'!C:R,16,FALSE)</f>
        <v>46476</v>
      </c>
      <c r="F114" s="354">
        <f t="shared" si="12"/>
        <v>4.8295687885010263</v>
      </c>
      <c r="G114" s="354"/>
      <c r="H114" s="354"/>
      <c r="I114" s="354">
        <f>IFERROR(VLOOKUP(A114,'Stage 2 loans'!A:D,4,FALSE),1)</f>
        <v>1</v>
      </c>
      <c r="J114" s="354">
        <f>VLOOKUP(A114,Reference_Rate_Repricing_Report!B:P,15,FALSE)</f>
        <v>6</v>
      </c>
      <c r="K114" s="354"/>
      <c r="L114" s="274">
        <f>IF(I114="Matured","",IFERROR(VLOOKUP(A114,'Updated Ncino PD'!$A:$B,2,FALSE),IF($Z$2="ON",IF(I114=1,VLOOKUP(A114,'MacroPD-Cal'!A:H,8,FALSE),VLOOKUP(A114,'MacroPD-Cal'!A:O,15,FALSE)),IF($Z$5="Weighted",IF(I114=1,VLOOKUP(A114,'Model Output_TTC'!A:BX,76,FALSE),VLOOKUP(A114,'Model Output_TTC'!A:CD,82,FALSE)),IF($Z$5="Baseline",IF(I114=1,VLOOKUP(A114,'Model Output_TTC'!$A:$AO,41,FALSE),VLOOKUP(A114,'Model Output_TTC'!$A:$AU,47,FALSE)),IF($Z$5="90th Percentile",IF(I114=1,VLOOKUP(A114,'Model Output_TTC'!$A:$BJ,62,FALSE),VLOOKUP(A114,'Model Output_TTC'!$A:$BP,68,FALSE)),IF($Z$5="96th Percentile",IF(I114=1,VLOOKUP(A114,'Model Output_TTC'!$A:$T,20,FALSE),VLOOKUP(A114,'Model Output_TTC'!$A:$Z,26,FALSE)),"")))))))</f>
        <v>3.6799999999999999E-2</v>
      </c>
      <c r="M114" s="274">
        <f>IF('Ref-Data'!I114="Matured","",VLOOKUP(A114,'LGD Data'!A:C,3,0))</f>
        <v>0.12740000000000001</v>
      </c>
      <c r="N114" s="274">
        <f>IF(I114="Matured","",MAX(IFERROR(VLOOKUP(A114,'Updated Ncino PD'!$U:$V,2,FALSE),'Ref-Data'!M114),10%))</f>
        <v>0.12740000000000001</v>
      </c>
      <c r="O114" s="354">
        <f>VLOOKUP(A114,'Loan Book Summary'!C:AE,29,FALSE)</f>
        <v>15750000</v>
      </c>
      <c r="P114" s="354"/>
      <c r="Q114" s="354">
        <f>IF(I114="Matured","",VLOOKUP(A114,'MacroPD-Cal'!A:N,14,FALSE))</f>
        <v>3.6799999999999999E-2</v>
      </c>
      <c r="R114" s="354">
        <f t="shared" si="13"/>
        <v>36920.520000000004</v>
      </c>
      <c r="S114" s="354">
        <f t="shared" si="14"/>
        <v>5.0130047912388775</v>
      </c>
      <c r="T114" s="354"/>
      <c r="U114" s="354"/>
      <c r="V114" s="346"/>
      <c r="W114" s="346"/>
      <c r="X114" s="346"/>
      <c r="Y114" s="346"/>
      <c r="Z114" s="346"/>
      <c r="AA114" s="346"/>
      <c r="AB114" s="346"/>
      <c r="AC114" s="346"/>
      <c r="AD114" s="346" t="str">
        <f>VLOOKUP(A114,'Loan Book Summary'!C:E,3,FALSE)</f>
        <v>PORTOBELLO STARBOARD LIMITED</v>
      </c>
    </row>
    <row r="115" spans="1:30" x14ac:dyDescent="0.25">
      <c r="A115" s="354">
        <v>1100000279</v>
      </c>
      <c r="B115" s="249">
        <f>VLOOKUP(A115,'Loan Book Summary'!C:W,21,FALSE)</f>
        <v>15000000</v>
      </c>
      <c r="C115" s="249">
        <f>VLOOKUP(A115,'Loan Book Summary'!C:AB,26,FALSE)</f>
        <v>0</v>
      </c>
      <c r="D115" s="398">
        <f>VLOOKUP(A115,'Loan Book Summary'!C:Q,15,FALSE)</f>
        <v>44651</v>
      </c>
      <c r="E115" s="398">
        <f>VLOOKUP(A115,'Loan Book Summary'!C:R,16,FALSE)</f>
        <v>46477</v>
      </c>
      <c r="F115" s="354">
        <f t="shared" si="12"/>
        <v>4.8323066392881584</v>
      </c>
      <c r="G115" s="354"/>
      <c r="H115" s="354"/>
      <c r="I115" s="354">
        <f>IFERROR(VLOOKUP(A115,'Stage 2 loans'!A:D,4,FALSE),1)</f>
        <v>1</v>
      </c>
      <c r="J115" s="354">
        <f>VLOOKUP(A115,Reference_Rate_Repricing_Report!B:P,15,FALSE)</f>
        <v>5.23</v>
      </c>
      <c r="K115" s="354"/>
      <c r="L115" s="274">
        <f>IF(I115="Matured","",IFERROR(VLOOKUP(A115,'Updated Ncino PD'!$A:$B,2,FALSE),IF($Z$2="ON",IF(I115=1,VLOOKUP(A115,'MacroPD-Cal'!A:H,8,FALSE),VLOOKUP(A115,'MacroPD-Cal'!A:O,15,FALSE)),IF($Z$5="Weighted",IF(I115=1,VLOOKUP(A115,'Model Output_TTC'!A:BX,76,FALSE),VLOOKUP(A115,'Model Output_TTC'!A:CD,82,FALSE)),IF($Z$5="Baseline",IF(I115=1,VLOOKUP(A115,'Model Output_TTC'!$A:$AO,41,FALSE),VLOOKUP(A115,'Model Output_TTC'!$A:$AU,47,FALSE)),IF($Z$5="90th Percentile",IF(I115=1,VLOOKUP(A115,'Model Output_TTC'!$A:$BJ,62,FALSE),VLOOKUP(A115,'Model Output_TTC'!$A:$BP,68,FALSE)),IF($Z$5="96th Percentile",IF(I115=1,VLOOKUP(A115,'Model Output_TTC'!$A:$T,20,FALSE),VLOOKUP(A115,'Model Output_TTC'!$A:$Z,26,FALSE)),"")))))))</f>
        <v>0.27540000000000003</v>
      </c>
      <c r="M115" s="274">
        <f>IF('Ref-Data'!I115="Matured","",VLOOKUP(A115,'LGD Data'!A:C,3,0))</f>
        <v>0.1</v>
      </c>
      <c r="N115" s="274">
        <f>IF(I115="Matured","",MAX(IFERROR(VLOOKUP(A115,'Updated Ncino PD'!$U:$V,2,FALSE),'Ref-Data'!M115),10%))</f>
        <v>0.1</v>
      </c>
      <c r="O115" s="354">
        <f>VLOOKUP(A115,'Loan Book Summary'!C:AE,29,FALSE)</f>
        <v>15000000</v>
      </c>
      <c r="P115" s="354"/>
      <c r="Q115" s="354">
        <f>IF(I115="Matured","",VLOOKUP(A115,'MacroPD-Cal'!A:N,14,FALSE))</f>
        <v>0.27540000000000003</v>
      </c>
      <c r="R115" s="354">
        <f t="shared" si="13"/>
        <v>206550.00000000003</v>
      </c>
      <c r="S115" s="354">
        <f t="shared" si="14"/>
        <v>4.9993155373032172</v>
      </c>
      <c r="T115" s="354"/>
      <c r="U115" s="354"/>
      <c r="V115" s="346"/>
      <c r="W115" s="346"/>
      <c r="X115" s="346"/>
      <c r="Y115" s="346"/>
      <c r="Z115" s="346"/>
      <c r="AA115" s="346"/>
      <c r="AB115" s="346"/>
      <c r="AC115" s="346"/>
      <c r="AD115" s="346" t="str">
        <f>VLOOKUP(A115,'Loan Book Summary'!C:E,3,FALSE)</f>
        <v>CHART FORTE (HAMMERSMITH) LIMITED AND CHART FORTE (KHS) LIMITED</v>
      </c>
    </row>
    <row r="116" spans="1:30" x14ac:dyDescent="0.25">
      <c r="A116" s="354">
        <v>1100000283</v>
      </c>
      <c r="B116" s="249">
        <f>VLOOKUP(A116,'Loan Book Summary'!C:W,21,FALSE)</f>
        <v>2568335</v>
      </c>
      <c r="C116" s="249">
        <f>VLOOKUP(A116,'Loan Book Summary'!C:AB,26,FALSE)</f>
        <v>2408335</v>
      </c>
      <c r="D116" s="398">
        <f>VLOOKUP(A116,'Loan Book Summary'!C:Q,15,FALSE)</f>
        <v>44685</v>
      </c>
      <c r="E116" s="398">
        <f>VLOOKUP(A116,'Loan Book Summary'!C:R,16,FALSE)</f>
        <v>46511</v>
      </c>
      <c r="F116" s="354">
        <f t="shared" ref="F116:F120" si="15">IF(I116="Matured", "",(E116-$X$1)/365.25)</f>
        <v>4.9253935660506505</v>
      </c>
      <c r="G116" s="354"/>
      <c r="H116" s="354"/>
      <c r="I116" s="354">
        <f>IFERROR(VLOOKUP(A116,'Stage 2 loans'!A:D,4,FALSE),1)</f>
        <v>1</v>
      </c>
      <c r="J116" s="354">
        <f>VLOOKUP(A116,Reference_Rate_Repricing_Report!B:P,15,FALSE)</f>
        <v>6.4</v>
      </c>
      <c r="K116" s="354"/>
      <c r="L116" s="274">
        <f>IF(I116="Matured","",IFERROR(VLOOKUP(A116,'Updated Ncino PD'!$A:$B,2,FALSE),IF($Z$2="ON",IF(I116=1,VLOOKUP(A116,'MacroPD-Cal'!A:H,8,FALSE),VLOOKUP(A116,'MacroPD-Cal'!A:O,15,FALSE)),IF($Z$5="Weighted",IF(I116=1,VLOOKUP(A116,'Model Output_TTC'!A:BX,76,FALSE),VLOOKUP(A116,'Model Output_TTC'!A:CD,82,FALSE)),IF($Z$5="Baseline",IF(I116=1,VLOOKUP(A116,'Model Output_TTC'!$A:$AO,41,FALSE),VLOOKUP(A116,'Model Output_TTC'!$A:$AU,47,FALSE)),IF($Z$5="90th Percentile",IF(I116=1,VLOOKUP(A116,'Model Output_TTC'!$A:$BJ,62,FALSE),VLOOKUP(A116,'Model Output_TTC'!$A:$BP,68,FALSE)),IF($Z$5="96th Percentile",IF(I116=1,VLOOKUP(A116,'Model Output_TTC'!$A:$T,20,FALSE),VLOOKUP(A116,'Model Output_TTC'!$A:$Z,26,FALSE)),"")))))))</f>
        <v>1.3899999999999999E-2</v>
      </c>
      <c r="M116" s="274">
        <f>IF('Ref-Data'!I116="Matured","",VLOOKUP(A116,'LGD Data'!A:C,3,0))</f>
        <v>0.39649999999999996</v>
      </c>
      <c r="N116" s="274">
        <f>IF(I116="Matured","",MAX(IFERROR(VLOOKUP(A116,'Updated Ncino PD'!$U:$V,2,FALSE),'Ref-Data'!M116),10%))</f>
        <v>0.39649999999999996</v>
      </c>
      <c r="O116" s="354">
        <f>VLOOKUP(A116,'Loan Book Summary'!C:AE,29,FALSE)</f>
        <v>160000</v>
      </c>
      <c r="P116" s="354"/>
      <c r="Q116" s="354">
        <f>IF(I116="Matured","",VLOOKUP(A116,'MacroPD-Cal'!A:N,14,FALSE))</f>
        <v>1.3899999999999999E-2</v>
      </c>
      <c r="R116" s="354">
        <f t="shared" ref="R116:R120" si="16">IF(I116="Matured","",+IF(S116&gt;=1,0.5*L116*N116*O116,0.2*L116*N116*O116))</f>
        <v>440.9079999999999</v>
      </c>
      <c r="S116" s="354">
        <f t="shared" ref="S116:S120" si="17">IF(I116="Matured","",(E116-D116)/365.25)</f>
        <v>4.9993155373032172</v>
      </c>
      <c r="AD116" s="346" t="str">
        <f>VLOOKUP(A116,'Loan Book Summary'!C:E,3,FALSE)</f>
        <v>AFM WEALTH LIMITED</v>
      </c>
    </row>
    <row r="117" spans="1:30" x14ac:dyDescent="0.25">
      <c r="A117" s="354">
        <v>1100000284</v>
      </c>
      <c r="B117" s="249">
        <f>VLOOKUP(A117,'Loan Book Summary'!C:W,21,FALSE)</f>
        <v>1015000</v>
      </c>
      <c r="C117" s="249">
        <f>VLOOKUP(A117,'Loan Book Summary'!C:AB,26,FALSE)</f>
        <v>0</v>
      </c>
      <c r="D117" s="398">
        <f>VLOOKUP(A117,'Loan Book Summary'!C:Q,15,FALSE)</f>
        <v>44694</v>
      </c>
      <c r="E117" s="398">
        <f>VLOOKUP(A117,'Loan Book Summary'!C:R,16,FALSE)</f>
        <v>46520</v>
      </c>
      <c r="F117" s="354">
        <f t="shared" si="15"/>
        <v>4.9500342231348391</v>
      </c>
      <c r="G117" s="354"/>
      <c r="H117" s="354"/>
      <c r="I117" s="354">
        <f>IFERROR(VLOOKUP(A117,'Stage 2 loans'!A:D,4,FALSE),1)</f>
        <v>1</v>
      </c>
      <c r="J117" s="354">
        <f>VLOOKUP(A117,Reference_Rate_Repricing_Report!B:P,15,FALSE)</f>
        <v>7.24</v>
      </c>
      <c r="K117" s="354"/>
      <c r="L117" s="274">
        <f>IF(I117="Matured","",IFERROR(VLOOKUP(A117,'Updated Ncino PD'!$A:$B,2,FALSE),IF($Z$2="ON",IF(I117=1,VLOOKUP(A117,'MacroPD-Cal'!A:H,8,FALSE),VLOOKUP(A117,'MacroPD-Cal'!A:O,15,FALSE)),IF($Z$5="Weighted",IF(I117=1,VLOOKUP(A117,'Model Output_TTC'!A:BX,76,FALSE),VLOOKUP(A117,'Model Output_TTC'!A:CD,82,FALSE)),IF($Z$5="Baseline",IF(I117=1,VLOOKUP(A117,'Model Output_TTC'!$A:$AO,41,FALSE),VLOOKUP(A117,'Model Output_TTC'!$A:$AU,47,FALSE)),IF($Z$5="90th Percentile",IF(I117=1,VLOOKUP(A117,'Model Output_TTC'!$A:$BJ,62,FALSE),VLOOKUP(A117,'Model Output_TTC'!$A:$BP,68,FALSE)),IF($Z$5="96th Percentile",IF(I117=1,VLOOKUP(A117,'Model Output_TTC'!$A:$T,20,FALSE),VLOOKUP(A117,'Model Output_TTC'!$A:$Z,26,FALSE)),"")))))))</f>
        <v>5.0000000000000001E-3</v>
      </c>
      <c r="M117" s="274">
        <f>IF('Ref-Data'!I117="Matured","",VLOOKUP(A117,'LGD Data'!A:C,3,0))</f>
        <v>0.3911</v>
      </c>
      <c r="N117" s="274">
        <f>IF(I117="Matured","",MAX(IFERROR(VLOOKUP(A117,'Updated Ncino PD'!$U:$V,2,FALSE),'Ref-Data'!M117),10%))</f>
        <v>0.3911</v>
      </c>
      <c r="O117" s="354">
        <f>VLOOKUP(A117,'Loan Book Summary'!C:AE,29,FALSE)</f>
        <v>0</v>
      </c>
      <c r="P117" s="354"/>
      <c r="Q117" s="354">
        <f>IF(I117="Matured","",VLOOKUP(A117,'MacroPD-Cal'!A:N,14,FALSE))</f>
        <v>5.0000000000000001E-3</v>
      </c>
      <c r="R117" s="354">
        <f t="shared" si="16"/>
        <v>0</v>
      </c>
      <c r="S117" s="354">
        <f t="shared" si="17"/>
        <v>4.9993155373032172</v>
      </c>
      <c r="AD117" s="346" t="str">
        <f>VLOOKUP(A117,'Loan Book Summary'!C:E,3,FALSE)</f>
        <v>CLAVIS IDS LIMITED</v>
      </c>
    </row>
    <row r="118" spans="1:30" x14ac:dyDescent="0.25">
      <c r="A118" s="354">
        <v>1300000003</v>
      </c>
      <c r="B118" s="249">
        <f>VLOOKUP(A118,'Loan Book Summary'!C:W,21,FALSE)</f>
        <v>235000</v>
      </c>
      <c r="C118" s="249">
        <f>VLOOKUP(A118,'Loan Book Summary'!C:AB,26,FALSE)</f>
        <v>0</v>
      </c>
      <c r="D118" s="398">
        <f>VLOOKUP(A118,'Loan Book Summary'!C:Q,15,FALSE)</f>
        <v>44694</v>
      </c>
      <c r="E118" s="398">
        <f>VLOOKUP(A118,'Loan Book Summary'!C:R,16,FALSE)</f>
        <v>46520</v>
      </c>
      <c r="F118" s="354">
        <f t="shared" si="15"/>
        <v>4.9500342231348391</v>
      </c>
      <c r="G118" s="354"/>
      <c r="H118" s="354"/>
      <c r="I118" s="354">
        <f>IFERROR(VLOOKUP(A118,'Stage 2 loans'!A:D,4,FALSE),1)</f>
        <v>1</v>
      </c>
      <c r="J118" s="354">
        <f>VLOOKUP(A118,Reference_Rate_Repricing_Report!B:P,15,FALSE)</f>
        <v>7.12</v>
      </c>
      <c r="K118" s="354"/>
      <c r="L118" s="274">
        <f>IF(I118="Matured","",IFERROR(VLOOKUP(A118,'Updated Ncino PD'!$A:$B,2,FALSE),IF($Z$2="ON",IF(I118=1,VLOOKUP(A118,'MacroPD-Cal'!A:H,8,FALSE),VLOOKUP(A118,'MacroPD-Cal'!A:O,15,FALSE)),IF($Z$5="Weighted",IF(I118=1,VLOOKUP(A118,'Model Output_TTC'!A:BX,76,FALSE),VLOOKUP(A118,'Model Output_TTC'!A:CD,82,FALSE)),IF($Z$5="Baseline",IF(I118=1,VLOOKUP(A118,'Model Output_TTC'!$A:$AO,41,FALSE),VLOOKUP(A118,'Model Output_TTC'!$A:$AU,47,FALSE)),IF($Z$5="90th Percentile",IF(I118=1,VLOOKUP(A118,'Model Output_TTC'!$A:$BJ,62,FALSE),VLOOKUP(A118,'Model Output_TTC'!$A:$BP,68,FALSE)),IF($Z$5="96th Percentile",IF(I118=1,VLOOKUP(A118,'Model Output_TTC'!$A:$T,20,FALSE),VLOOKUP(A118,'Model Output_TTC'!$A:$Z,26,FALSE)),"")))))))</f>
        <v>5.0000000000000001E-3</v>
      </c>
      <c r="M118" s="274">
        <f>IF('Ref-Data'!I118="Matured","",VLOOKUP(A118,'LGD Data'!A:C,3,0))</f>
        <v>0.3911</v>
      </c>
      <c r="N118" s="274">
        <f>IF(I118="Matured","",MAX(IFERROR(VLOOKUP(A118,'Updated Ncino PD'!$U:$V,2,FALSE),'Ref-Data'!M118),10%))</f>
        <v>0.3911</v>
      </c>
      <c r="O118" s="354">
        <f>VLOOKUP(A118,'Loan Book Summary'!C:AE,29,FALSE)</f>
        <v>0</v>
      </c>
      <c r="P118" s="354"/>
      <c r="Q118" s="354">
        <f>IF(I118="Matured","",VLOOKUP(A118,'MacroPD-Cal'!A:N,14,FALSE))</f>
        <v>5.0000000000000001E-3</v>
      </c>
      <c r="R118" s="354">
        <f t="shared" si="16"/>
        <v>0</v>
      </c>
      <c r="S118" s="354">
        <f t="shared" si="17"/>
        <v>4.9993155373032172</v>
      </c>
      <c r="AD118" s="346" t="str">
        <f>VLOOKUP(A118,'Loan Book Summary'!C:E,3,FALSE)</f>
        <v>CLAVIS IDS LIMITED</v>
      </c>
    </row>
    <row r="119" spans="1:30" x14ac:dyDescent="0.25">
      <c r="A119" s="354">
        <v>1100000289</v>
      </c>
      <c r="B119" s="249">
        <f>VLOOKUP(A119,'Loan Book Summary'!C:W,21,FALSE)</f>
        <v>3200000</v>
      </c>
      <c r="C119" s="249">
        <f>VLOOKUP(A119,'Loan Book Summary'!C:AB,26,FALSE)</f>
        <v>0</v>
      </c>
      <c r="D119" s="398">
        <f>VLOOKUP(A119,'Loan Book Summary'!C:Q,15,FALSE)</f>
        <v>44708</v>
      </c>
      <c r="E119" s="398">
        <f>VLOOKUP(A119,'Loan Book Summary'!C:R,16,FALSE)</f>
        <v>46169</v>
      </c>
      <c r="F119" s="354">
        <f t="shared" si="15"/>
        <v>3.9890485968514717</v>
      </c>
      <c r="G119" s="354"/>
      <c r="H119" s="354"/>
      <c r="I119" s="354">
        <f>IFERROR(VLOOKUP(A119,'Stage 2 loans'!A:D,4,FALSE),1)</f>
        <v>1</v>
      </c>
      <c r="J119" s="354">
        <f>VLOOKUP(A119,Reference_Rate_Repricing_Report!B:P,15,FALSE)</f>
        <v>6.48</v>
      </c>
      <c r="K119" s="354"/>
      <c r="L119" s="274">
        <f>IF(I119="Matured","",IFERROR(VLOOKUP(A119,'Updated Ncino PD'!$A:$B,2,FALSE),IF($Z$2="ON",IF(I119=1,VLOOKUP(A119,'MacroPD-Cal'!A:H,8,FALSE),VLOOKUP(A119,'MacroPD-Cal'!A:O,15,FALSE)),IF($Z$5="Weighted",IF(I119=1,VLOOKUP(A119,'Model Output_TTC'!A:BX,76,FALSE),VLOOKUP(A119,'Model Output_TTC'!A:CD,82,FALSE)),IF($Z$5="Baseline",IF(I119=1,VLOOKUP(A119,'Model Output_TTC'!$A:$AO,41,FALSE),VLOOKUP(A119,'Model Output_TTC'!$A:$AU,47,FALSE)),IF($Z$5="90th Percentile",IF(I119=1,VLOOKUP(A119,'Model Output_TTC'!$A:$BJ,62,FALSE),VLOOKUP(A119,'Model Output_TTC'!$A:$BP,68,FALSE)),IF($Z$5="96th Percentile",IF(I119=1,VLOOKUP(A119,'Model Output_TTC'!$A:$T,20,FALSE),VLOOKUP(A119,'Model Output_TTC'!$A:$Z,26,FALSE)),"")))))))</f>
        <v>3.6900000000000002E-2</v>
      </c>
      <c r="M119" s="274">
        <f>IF('Ref-Data'!I119="Matured","",VLOOKUP(A119,'LGD Data'!A:C,3,0))</f>
        <v>0.41700000000000004</v>
      </c>
      <c r="N119" s="274">
        <f>IF(I119="Matured","",MAX(IFERROR(VLOOKUP(A119,'Updated Ncino PD'!$U:$V,2,FALSE),'Ref-Data'!M119),10%))</f>
        <v>0.41700000000000004</v>
      </c>
      <c r="O119" s="354">
        <f>VLOOKUP(A119,'Loan Book Summary'!C:AE,29,FALSE)</f>
        <v>0</v>
      </c>
      <c r="P119" s="354"/>
      <c r="Q119" s="354">
        <f>IF(I119="Matured","",VLOOKUP(A119,'MacroPD-Cal'!A:N,14,FALSE))</f>
        <v>3.6900000000000002E-2</v>
      </c>
      <c r="R119" s="354">
        <f t="shared" si="16"/>
        <v>0</v>
      </c>
      <c r="S119" s="354">
        <f t="shared" si="17"/>
        <v>4</v>
      </c>
      <c r="AD119" s="346" t="str">
        <f>VLOOKUP(A119,'Loan Book Summary'!C:E,3,FALSE)</f>
        <v>FDBC HOLDINGS LIMITED</v>
      </c>
    </row>
    <row r="120" spans="1:30" x14ac:dyDescent="0.25">
      <c r="A120" s="354">
        <v>1300000004</v>
      </c>
      <c r="B120" s="249">
        <f>VLOOKUP(A120,'Loan Book Summary'!C:W,21,FALSE)</f>
        <v>1000000</v>
      </c>
      <c r="C120" s="249">
        <f>VLOOKUP(A120,'Loan Book Summary'!C:AB,26,FALSE)</f>
        <v>975326</v>
      </c>
      <c r="D120" s="398">
        <f>VLOOKUP(A120,'Loan Book Summary'!C:Q,15,FALSE)</f>
        <v>44712</v>
      </c>
      <c r="E120" s="398">
        <f>VLOOKUP(A120,'Loan Book Summary'!C:R,16,FALSE)</f>
        <v>45810</v>
      </c>
      <c r="F120" s="354">
        <f t="shared" si="15"/>
        <v>3.0061601642710474</v>
      </c>
      <c r="G120" s="354"/>
      <c r="H120" s="354"/>
      <c r="I120" s="354">
        <f>IFERROR(VLOOKUP(A120,'Stage 2 loans'!A:D,4,FALSE),1)</f>
        <v>1</v>
      </c>
      <c r="J120" s="354">
        <f>VLOOKUP(A120,Reference_Rate_Repricing_Report!B:P,15,FALSE)</f>
        <v>7.84</v>
      </c>
      <c r="K120" s="354"/>
      <c r="L120" s="274">
        <f>IF(I120="Matured","",IFERROR(VLOOKUP(A120,'Updated Ncino PD'!$A:$B,2,FALSE),IF($Z$2="ON",IF(I120=1,VLOOKUP(A120,'MacroPD-Cal'!A:H,8,FALSE),VLOOKUP(A120,'MacroPD-Cal'!A:O,15,FALSE)),IF($Z$5="Weighted",IF(I120=1,VLOOKUP(A120,'Model Output_TTC'!A:BX,76,FALSE),VLOOKUP(A120,'Model Output_TTC'!A:CD,82,FALSE)),IF($Z$5="Baseline",IF(I120=1,VLOOKUP(A120,'Model Output_TTC'!$A:$AO,41,FALSE),VLOOKUP(A120,'Model Output_TTC'!$A:$AU,47,FALSE)),IF($Z$5="90th Percentile",IF(I120=1,VLOOKUP(A120,'Model Output_TTC'!$A:$BJ,62,FALSE),VLOOKUP(A120,'Model Output_TTC'!$A:$BP,68,FALSE)),IF($Z$5="96th Percentile",IF(I120=1,VLOOKUP(A120,'Model Output_TTC'!$A:$T,20,FALSE),VLOOKUP(A120,'Model Output_TTC'!$A:$Z,26,FALSE)),"")))))))</f>
        <v>1.46E-2</v>
      </c>
      <c r="M120" s="274">
        <f>IF('Ref-Data'!I120="Matured","",VLOOKUP(A120,'LGD Data'!A:C,3,0))</f>
        <v>0.1</v>
      </c>
      <c r="N120" s="274">
        <f>IF(I120="Matured","",MAX(IFERROR(VLOOKUP(A120,'Updated Ncino PD'!$U:$V,2,FALSE),'Ref-Data'!M120),10%))</f>
        <v>0.1</v>
      </c>
      <c r="O120" s="354">
        <f>VLOOKUP(A120,'Loan Book Summary'!C:AE,29,FALSE)</f>
        <v>24674</v>
      </c>
      <c r="P120" s="354"/>
      <c r="Q120" s="354">
        <f>IF(I120="Matured","",VLOOKUP(A120,'MacroPD-Cal'!A:N,14,FALSE))</f>
        <v>1.46E-2</v>
      </c>
      <c r="R120" s="354">
        <f t="shared" si="16"/>
        <v>18.012020000000003</v>
      </c>
      <c r="S120" s="354">
        <f t="shared" si="17"/>
        <v>3.0061601642710474</v>
      </c>
      <c r="AD120" s="346" t="str">
        <f>VLOOKUP(A120,'Loan Book Summary'!C:E,3,FALSE)</f>
        <v>LYONS DAVIDSON LIMITED</v>
      </c>
    </row>
  </sheetData>
  <dataValidations count="2">
    <dataValidation type="list" allowBlank="1" showInputMessage="1" showErrorMessage="1" sqref="Z2" xr:uid="{B2C642A9-AEF7-4D7D-80B4-09FBE0B18FC2}">
      <formula1>"ON,OFF"</formula1>
    </dataValidation>
    <dataValidation type="list" allowBlank="1" showInputMessage="1" showErrorMessage="1" sqref="Z5" xr:uid="{2A52CBD8-31A0-4824-AA3F-E22EB125F85C}">
      <formula1>"Baseline,90th Percentile,96th Percentile,Weighted"</formula1>
    </dataValidation>
  </dataValidation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3639D1-EAEC-4AE6-AFAD-2D88FCFFD327}">
  <sheetPr codeName="Sheet12"/>
  <dimension ref="A1:Y97"/>
  <sheetViews>
    <sheetView zoomScale="80" zoomScaleNormal="80" workbookViewId="0">
      <selection activeCell="B3" sqref="B3:F3"/>
    </sheetView>
  </sheetViews>
  <sheetFormatPr defaultColWidth="8.7109375" defaultRowHeight="15" x14ac:dyDescent="0.25"/>
  <cols>
    <col min="1" max="1" width="58.140625" style="166" bestFit="1" customWidth="1"/>
    <col min="2" max="6" width="19.5703125" style="355" customWidth="1"/>
    <col min="7" max="22" width="20" style="166" bestFit="1" customWidth="1"/>
    <col min="23" max="23" width="21.7109375" style="166" bestFit="1" customWidth="1"/>
    <col min="24" max="24" width="26.42578125" style="166" bestFit="1" customWidth="1"/>
    <col min="25" max="26" width="20" style="166" bestFit="1" customWidth="1"/>
    <col min="27" max="16384" width="8.7109375" style="166"/>
  </cols>
  <sheetData>
    <row r="1" spans="1:25" s="355" customFormat="1" x14ac:dyDescent="0.25">
      <c r="A1" s="167"/>
      <c r="B1" s="570" t="s">
        <v>1881</v>
      </c>
      <c r="C1" s="570"/>
      <c r="D1" s="570"/>
      <c r="E1" s="570"/>
      <c r="F1" s="570"/>
      <c r="G1" s="567" t="s">
        <v>721</v>
      </c>
      <c r="H1" s="567"/>
      <c r="I1" s="567"/>
      <c r="J1" s="567"/>
      <c r="K1" s="567"/>
      <c r="L1" s="568" t="s">
        <v>1879</v>
      </c>
      <c r="M1" s="568"/>
      <c r="N1" s="568"/>
      <c r="O1" s="568"/>
      <c r="P1" s="568"/>
      <c r="Q1" s="569" t="s">
        <v>1880</v>
      </c>
      <c r="R1" s="569"/>
      <c r="S1" s="569"/>
      <c r="T1" s="569"/>
      <c r="U1" s="569"/>
    </row>
    <row r="2" spans="1:25" x14ac:dyDescent="0.25">
      <c r="A2" s="364" t="s">
        <v>743</v>
      </c>
      <c r="B2" s="394" t="s">
        <v>41</v>
      </c>
      <c r="C2" s="394" t="s">
        <v>42</v>
      </c>
      <c r="D2" s="394" t="s">
        <v>43</v>
      </c>
      <c r="E2" s="394" t="s">
        <v>44</v>
      </c>
      <c r="F2" s="394" t="s">
        <v>45</v>
      </c>
      <c r="G2" s="395" t="s">
        <v>41</v>
      </c>
      <c r="H2" s="395" t="s">
        <v>42</v>
      </c>
      <c r="I2" s="395" t="s">
        <v>43</v>
      </c>
      <c r="J2" s="395" t="s">
        <v>44</v>
      </c>
      <c r="K2" s="395" t="s">
        <v>45</v>
      </c>
      <c r="L2" s="396" t="s">
        <v>41</v>
      </c>
      <c r="M2" s="396" t="s">
        <v>42</v>
      </c>
      <c r="N2" s="396" t="s">
        <v>43</v>
      </c>
      <c r="O2" s="396" t="s">
        <v>44</v>
      </c>
      <c r="P2" s="396" t="s">
        <v>45</v>
      </c>
      <c r="Q2" s="397" t="s">
        <v>41</v>
      </c>
      <c r="R2" s="397" t="s">
        <v>42</v>
      </c>
      <c r="S2" s="397" t="s">
        <v>43</v>
      </c>
      <c r="T2" s="397" t="s">
        <v>44</v>
      </c>
      <c r="U2" s="397" t="s">
        <v>45</v>
      </c>
      <c r="W2" s="393" t="s">
        <v>1883</v>
      </c>
      <c r="X2" s="167" t="s">
        <v>721</v>
      </c>
      <c r="Y2" s="392">
        <v>0.6</v>
      </c>
    </row>
    <row r="3" spans="1:25" x14ac:dyDescent="0.25">
      <c r="A3" s="354" t="s">
        <v>1070</v>
      </c>
      <c r="B3" s="391">
        <f>G3*$Y$2+L3*$Y$3+Q3*$Y$4</f>
        <v>2.5734999999999997E-2</v>
      </c>
      <c r="C3" s="391">
        <f t="shared" ref="C3:F3" si="0">H3*$Y$2+M3*$Y$3+R3*$Y$4</f>
        <v>2.4434999999999998E-2</v>
      </c>
      <c r="D3" s="391">
        <f t="shared" si="0"/>
        <v>2.3664999999999999E-2</v>
      </c>
      <c r="E3" s="391">
        <f t="shared" si="0"/>
        <v>2.3225000000000003E-2</v>
      </c>
      <c r="F3" s="391">
        <f t="shared" si="0"/>
        <v>2.2824999999999998E-2</v>
      </c>
      <c r="G3" s="390">
        <f>VLOOKUP($A3,'Output Baseline'!$A:$CW,MATCH('Model Output-LoanNameUpdate'!G$2,'Output Baseline'!$A$1:$CW$1,0),FALSE)</f>
        <v>2.0199999999999999E-2</v>
      </c>
      <c r="H3" s="390">
        <f>VLOOKUP($A3,'Output Baseline'!$A:$CW,MATCH('Model Output-LoanNameUpdate'!H$2,'Output Baseline'!$A$1:$CW$1,0),FALSE)</f>
        <v>1.9599999999999999E-2</v>
      </c>
      <c r="I3" s="390">
        <f>VLOOKUP($A3,'Output Baseline'!$A:$CW,MATCH('Model Output-LoanNameUpdate'!I$2,'Output Baseline'!$A$1:$CW$1,0),FALSE)</f>
        <v>1.9199999999999998E-2</v>
      </c>
      <c r="J3" s="390">
        <f>VLOOKUP($A3,'Output Baseline'!$A:$CW,MATCH('Model Output-LoanNameUpdate'!J$2,'Output Baseline'!$A$1:$CW$1,0),FALSE)</f>
        <v>1.9E-2</v>
      </c>
      <c r="K3" s="390">
        <f>VLOOKUP($A3,'Output Baseline'!$A:$CW,MATCH('Model Output-LoanNameUpdate'!K$2,'Output Baseline'!$A$1:$CW$1,0),FALSE)</f>
        <v>1.8800000000000001E-2</v>
      </c>
      <c r="L3" s="390">
        <f>VLOOKUP($A3,'Output 90% Downside'!$A:$CW,MATCH('Model Output-LoanNameUpdate'!L$2,'Output 90% Downside'!$A$1:$CW$1,0),FALSE)</f>
        <v>2.9899999999999999E-2</v>
      </c>
      <c r="M3" s="390">
        <f>VLOOKUP($A3,'Output 90% Downside'!$A:$CW,MATCH('Model Output-LoanNameUpdate'!M$2,'Output 90% Downside'!$A$1:$CW$1,0),FALSE)</f>
        <v>2.8400000000000002E-2</v>
      </c>
      <c r="N3" s="390">
        <f>VLOOKUP($A3,'Output 90% Downside'!$A:$CW,MATCH('Model Output-LoanNameUpdate'!N$2,'Output 90% Downside'!$A$1:$CW$1,0),FALSE)</f>
        <v>2.75E-2</v>
      </c>
      <c r="O3" s="390">
        <f>VLOOKUP($A3,'Output 90% Downside'!$A:$CW,MATCH('Model Output-LoanNameUpdate'!O$2,'Output 90% Downside'!$A$1:$CW$1,0),FALSE)</f>
        <v>2.7E-2</v>
      </c>
      <c r="P3" s="390">
        <f>VLOOKUP($A3,'Output 90% Downside'!$A:$CW,MATCH('Model Output-LoanNameUpdate'!P$2,'Output 90% Downside'!$A$1:$CW$1,0),FALSE)</f>
        <v>2.6499999999999999E-2</v>
      </c>
      <c r="Q3" s="390">
        <f>VLOOKUP($A3,'Output 96% Downside'!$A:$CW,MATCH('Model Output-LoanNameUpdate'!Q$2,'Output 96% Downside'!$A$1:$CW$1,0),FALSE)</f>
        <v>6.3E-2</v>
      </c>
      <c r="R3" s="390">
        <f>VLOOKUP($A3,'Output 96% Downside'!$A:$CW,MATCH('Model Output-LoanNameUpdate'!R$2,'Output 96% Downside'!$A$1:$CW$1,0),FALSE)</f>
        <v>5.4699999999999999E-2</v>
      </c>
      <c r="S3" s="390">
        <f>VLOOKUP($A3,'Output 96% Downside'!$A:$CW,MATCH('Model Output-LoanNameUpdate'!S$2,'Output 96% Downside'!$A$1:$CW$1,0),FALSE)</f>
        <v>5.04E-2</v>
      </c>
      <c r="T3" s="390">
        <f>VLOOKUP($A3,'Output 96% Downside'!$A:$CW,MATCH('Model Output-LoanNameUpdate'!T$2,'Output 96% Downside'!$A$1:$CW$1,0),FALSE)</f>
        <v>4.7500000000000001E-2</v>
      </c>
      <c r="U3" s="390">
        <f>VLOOKUP($A3,'Output 96% Downside'!$A:$CW,MATCH('Model Output-LoanNameUpdate'!U$2,'Output 96% Downside'!$A$1:$CW$1,0),FALSE)</f>
        <v>4.5400000000000003E-2</v>
      </c>
      <c r="W3" s="178"/>
      <c r="X3" s="167" t="s">
        <v>1884</v>
      </c>
      <c r="Y3" s="392">
        <v>0.35</v>
      </c>
    </row>
    <row r="4" spans="1:25" x14ac:dyDescent="0.25">
      <c r="A4" s="354" t="s">
        <v>1075</v>
      </c>
      <c r="B4" s="391">
        <f t="shared" ref="B4:B34" si="1">G4*$Y$2+L4*$Y$3+Q4*$Y$4</f>
        <v>0.11214499999999999</v>
      </c>
      <c r="C4" s="391">
        <f t="shared" ref="C4:C34" si="2">H4*$Y$2+M4*$Y$3+R4*$Y$4</f>
        <v>8.7529999999999997E-2</v>
      </c>
      <c r="D4" s="391">
        <f t="shared" ref="D4:D34" si="3">I4*$Y$2+N4*$Y$3+S4*$Y$4</f>
        <v>7.5595000000000009E-2</v>
      </c>
      <c r="E4" s="391">
        <f t="shared" ref="E4:E34" si="4">J4*$Y$2+O4*$Y$3+T4*$Y$4</f>
        <v>6.8144999999999997E-2</v>
      </c>
      <c r="F4" s="391">
        <f t="shared" ref="F4:F34" si="5">K4*$Y$2+P4*$Y$3+U4*$Y$4</f>
        <v>6.2839999999999993E-2</v>
      </c>
      <c r="G4" s="390">
        <f>VLOOKUP($A4,'Output Baseline'!$A:$CW,MATCH('Model Output-LoanNameUpdate'!G$2,'Output Baseline'!$A$1:$CW$1,0),FALSE)</f>
        <v>0.11260000000000001</v>
      </c>
      <c r="H4" s="390">
        <f>VLOOKUP($A4,'Output Baseline'!$A:$CW,MATCH('Model Output-LoanNameUpdate'!H$2,'Output Baseline'!$A$1:$CW$1,0),FALSE)</f>
        <v>8.8200000000000001E-2</v>
      </c>
      <c r="I4" s="390">
        <f>VLOOKUP($A4,'Output Baseline'!$A:$CW,MATCH('Model Output-LoanNameUpdate'!I$2,'Output Baseline'!$A$1:$CW$1,0),FALSE)</f>
        <v>7.6300000000000007E-2</v>
      </c>
      <c r="J4" s="390">
        <f>VLOOKUP($A4,'Output Baseline'!$A:$CW,MATCH('Model Output-LoanNameUpdate'!J$2,'Output Baseline'!$A$1:$CW$1,0),FALSE)</f>
        <v>6.8900000000000003E-2</v>
      </c>
      <c r="K4" s="390">
        <f>VLOOKUP($A4,'Output Baseline'!$A:$CW,MATCH('Model Output-LoanNameUpdate'!K$2,'Output Baseline'!$A$1:$CW$1,0),FALSE)</f>
        <v>6.3600000000000004E-2</v>
      </c>
      <c r="L4" s="390">
        <f>VLOOKUP($A4,'Output 90% Downside'!$A:$CW,MATCH('Model Output-LoanNameUpdate'!L$2,'Output 90% Downside'!$A$1:$CW$1,0),FALSE)</f>
        <v>0.11260000000000001</v>
      </c>
      <c r="M4" s="390">
        <f>VLOOKUP($A4,'Output 90% Downside'!$A:$CW,MATCH('Model Output-LoanNameUpdate'!M$2,'Output 90% Downside'!$A$1:$CW$1,0),FALSE)</f>
        <v>8.7999999999999995E-2</v>
      </c>
      <c r="N4" s="390">
        <f>VLOOKUP($A4,'Output 90% Downside'!$A:$CW,MATCH('Model Output-LoanNameUpdate'!N$2,'Output 90% Downside'!$A$1:$CW$1,0),FALSE)</f>
        <v>7.6100000000000001E-2</v>
      </c>
      <c r="O4" s="390">
        <f>VLOOKUP($A4,'Output 90% Downside'!$A:$CW,MATCH('Model Output-LoanNameUpdate'!O$2,'Output 90% Downside'!$A$1:$CW$1,0),FALSE)</f>
        <v>6.8599999999999994E-2</v>
      </c>
      <c r="P4" s="390">
        <f>VLOOKUP($A4,'Output 90% Downside'!$A:$CW,MATCH('Model Output-LoanNameUpdate'!P$2,'Output 90% Downside'!$A$1:$CW$1,0),FALSE)</f>
        <v>6.3299999999999995E-2</v>
      </c>
      <c r="Q4" s="390">
        <f>VLOOKUP($A4,'Output 96% Downside'!$A:$CW,MATCH('Model Output-LoanNameUpdate'!Q$2,'Output 96% Downside'!$A$1:$CW$1,0),FALSE)</f>
        <v>0.10349999999999999</v>
      </c>
      <c r="R4" s="390">
        <f>VLOOKUP($A4,'Output 96% Downside'!$A:$CW,MATCH('Model Output-LoanNameUpdate'!R$2,'Output 96% Downside'!$A$1:$CW$1,0),FALSE)</f>
        <v>7.6200000000000004E-2</v>
      </c>
      <c r="S4" s="390">
        <f>VLOOKUP($A4,'Output 96% Downside'!$A:$CW,MATCH('Model Output-LoanNameUpdate'!S$2,'Output 96% Downside'!$A$1:$CW$1,0),FALSE)</f>
        <v>6.3600000000000004E-2</v>
      </c>
      <c r="T4" s="390">
        <f>VLOOKUP($A4,'Output 96% Downside'!$A:$CW,MATCH('Model Output-LoanNameUpdate'!T$2,'Output 96% Downside'!$A$1:$CW$1,0),FALSE)</f>
        <v>5.5899999999999998E-2</v>
      </c>
      <c r="U4" s="390">
        <f>VLOOKUP($A4,'Output 96% Downside'!$A:$CW,MATCH('Model Output-LoanNameUpdate'!U$2,'Output 96% Downside'!$A$1:$CW$1,0),FALSE)</f>
        <v>5.0500000000000003E-2</v>
      </c>
      <c r="W4" s="178"/>
      <c r="X4" s="167" t="s">
        <v>1885</v>
      </c>
      <c r="Y4" s="392">
        <v>0.05</v>
      </c>
    </row>
    <row r="5" spans="1:25" x14ac:dyDescent="0.25">
      <c r="A5" s="354" t="s">
        <v>1078</v>
      </c>
      <c r="B5" s="391">
        <f t="shared" si="1"/>
        <v>7.5500000000000012E-3</v>
      </c>
      <c r="C5" s="391">
        <f t="shared" si="2"/>
        <v>8.3249999999999991E-3</v>
      </c>
      <c r="D5" s="391">
        <f t="shared" si="3"/>
        <v>8.8099999999999984E-3</v>
      </c>
      <c r="E5" s="391">
        <f t="shared" si="4"/>
        <v>9.1999999999999998E-3</v>
      </c>
      <c r="F5" s="391">
        <f t="shared" si="5"/>
        <v>9.4549999999999999E-3</v>
      </c>
      <c r="G5" s="390">
        <f>VLOOKUP($A5,'Output Baseline'!$A:$CW,MATCH('Model Output-LoanNameUpdate'!G$2,'Output Baseline'!$A$1:$CW$1,0),FALSE)</f>
        <v>6.7000000000000002E-3</v>
      </c>
      <c r="H5" s="390">
        <f>VLOOKUP($A5,'Output Baseline'!$A:$CW,MATCH('Model Output-LoanNameUpdate'!H$2,'Output Baseline'!$A$1:$CW$1,0),FALSE)</f>
        <v>7.4999999999999997E-3</v>
      </c>
      <c r="I5" s="390">
        <f>VLOOKUP($A5,'Output Baseline'!$A:$CW,MATCH('Model Output-LoanNameUpdate'!I$2,'Output Baseline'!$A$1:$CW$1,0),FALSE)</f>
        <v>8.0000000000000002E-3</v>
      </c>
      <c r="J5" s="390">
        <f>VLOOKUP($A5,'Output Baseline'!$A:$CW,MATCH('Model Output-LoanNameUpdate'!J$2,'Output Baseline'!$A$1:$CW$1,0),FALSE)</f>
        <v>8.3999999999999995E-3</v>
      </c>
      <c r="K5" s="390">
        <f>VLOOKUP($A5,'Output Baseline'!$A:$CW,MATCH('Model Output-LoanNameUpdate'!K$2,'Output Baseline'!$A$1:$CW$1,0),FALSE)</f>
        <v>8.6999999999999994E-3</v>
      </c>
      <c r="L5" s="390">
        <f>VLOOKUP($A5,'Output 90% Downside'!$A:$CW,MATCH('Model Output-LoanNameUpdate'!L$2,'Output 90% Downside'!$A$1:$CW$1,0),FALSE)</f>
        <v>8.3000000000000001E-3</v>
      </c>
      <c r="M5" s="390">
        <f>VLOOKUP($A5,'Output 90% Downside'!$A:$CW,MATCH('Model Output-LoanNameUpdate'!M$2,'Output 90% Downside'!$A$1:$CW$1,0),FALSE)</f>
        <v>9.1000000000000004E-3</v>
      </c>
      <c r="N5" s="390">
        <f>VLOOKUP($A5,'Output 90% Downside'!$A:$CW,MATCH('Model Output-LoanNameUpdate'!N$2,'Output 90% Downside'!$A$1:$CW$1,0),FALSE)</f>
        <v>9.5999999999999992E-3</v>
      </c>
      <c r="O5" s="390">
        <f>VLOOKUP($A5,'Output 90% Downside'!$A:$CW,MATCH('Model Output-LoanNameUpdate'!O$2,'Output 90% Downside'!$A$1:$CW$1,0),FALSE)</f>
        <v>0.01</v>
      </c>
      <c r="P5" s="390">
        <f>VLOOKUP($A5,'Output 90% Downside'!$A:$CW,MATCH('Model Output-LoanNameUpdate'!P$2,'Output 90% Downside'!$A$1:$CW$1,0),FALSE)</f>
        <v>1.0200000000000001E-2</v>
      </c>
      <c r="Q5" s="390">
        <f>VLOOKUP($A5,'Output 96% Downside'!$A:$CW,MATCH('Model Output-LoanNameUpdate'!Q$2,'Output 96% Downside'!$A$1:$CW$1,0),FALSE)</f>
        <v>1.2500000000000001E-2</v>
      </c>
      <c r="R5" s="390">
        <f>VLOOKUP($A5,'Output 96% Downside'!$A:$CW,MATCH('Model Output-LoanNameUpdate'!R$2,'Output 96% Downside'!$A$1:$CW$1,0),FALSE)</f>
        <v>1.2800000000000001E-2</v>
      </c>
      <c r="S5" s="390">
        <f>VLOOKUP($A5,'Output 96% Downside'!$A:$CW,MATCH('Model Output-LoanNameUpdate'!S$2,'Output 96% Downside'!$A$1:$CW$1,0),FALSE)</f>
        <v>1.2999999999999999E-2</v>
      </c>
      <c r="T5" s="390">
        <f>VLOOKUP($A5,'Output 96% Downside'!$A:$CW,MATCH('Model Output-LoanNameUpdate'!T$2,'Output 96% Downside'!$A$1:$CW$1,0),FALSE)</f>
        <v>1.32E-2</v>
      </c>
      <c r="U5" s="390">
        <f>VLOOKUP($A5,'Output 96% Downside'!$A:$CW,MATCH('Model Output-LoanNameUpdate'!U$2,'Output 96% Downside'!$A$1:$CW$1,0),FALSE)</f>
        <v>1.3299999999999999E-2</v>
      </c>
    </row>
    <row r="6" spans="1:25" x14ac:dyDescent="0.25">
      <c r="A6" s="354" t="s">
        <v>1080</v>
      </c>
      <c r="B6" s="391">
        <f t="shared" si="1"/>
        <v>1.3599999999999999E-2</v>
      </c>
      <c r="C6" s="391">
        <f t="shared" si="2"/>
        <v>1.3094999999999999E-2</v>
      </c>
      <c r="D6" s="391">
        <f t="shared" si="3"/>
        <v>1.286E-2</v>
      </c>
      <c r="E6" s="391">
        <f t="shared" si="4"/>
        <v>1.2644999999999998E-2</v>
      </c>
      <c r="F6" s="391">
        <f t="shared" si="5"/>
        <v>1.2539999999999999E-2</v>
      </c>
      <c r="G6" s="390">
        <f>VLOOKUP($A6,'Output Baseline'!$A:$CW,MATCH('Model Output-LoanNameUpdate'!G$2,'Output Baseline'!$A$1:$CW$1,0),FALSE)</f>
        <v>1.2E-2</v>
      </c>
      <c r="H6" s="390">
        <f>VLOOKUP($A6,'Output Baseline'!$A:$CW,MATCH('Model Output-LoanNameUpdate'!H$2,'Output Baseline'!$A$1:$CW$1,0),FALSE)</f>
        <v>1.18E-2</v>
      </c>
      <c r="I6" s="390">
        <f>VLOOKUP($A6,'Output Baseline'!$A:$CW,MATCH('Model Output-LoanNameUpdate'!I$2,'Output Baseline'!$A$1:$CW$1,0),FALSE)</f>
        <v>1.17E-2</v>
      </c>
      <c r="J6" s="390">
        <f>VLOOKUP($A6,'Output Baseline'!$A:$CW,MATCH('Model Output-LoanNameUpdate'!J$2,'Output Baseline'!$A$1:$CW$1,0),FALSE)</f>
        <v>1.1599999999999999E-2</v>
      </c>
      <c r="K6" s="390">
        <f>VLOOKUP($A6,'Output Baseline'!$A:$CW,MATCH('Model Output-LoanNameUpdate'!K$2,'Output Baseline'!$A$1:$CW$1,0),FALSE)</f>
        <v>1.1599999999999999E-2</v>
      </c>
      <c r="L6" s="390">
        <f>VLOOKUP($A6,'Output 90% Downside'!$A:$CW,MATCH('Model Output-LoanNameUpdate'!L$2,'Output 90% Downside'!$A$1:$CW$1,0),FALSE)</f>
        <v>1.4999999999999999E-2</v>
      </c>
      <c r="M6" s="390">
        <f>VLOOKUP($A6,'Output 90% Downside'!$A:$CW,MATCH('Model Output-LoanNameUpdate'!M$2,'Output 90% Downside'!$A$1:$CW$1,0),FALSE)</f>
        <v>1.43E-2</v>
      </c>
      <c r="N6" s="390">
        <f>VLOOKUP($A6,'Output 90% Downside'!$A:$CW,MATCH('Model Output-LoanNameUpdate'!N$2,'Output 90% Downside'!$A$1:$CW$1,0),FALSE)</f>
        <v>1.4E-2</v>
      </c>
      <c r="O6" s="390">
        <f>VLOOKUP($A6,'Output 90% Downside'!$A:$CW,MATCH('Model Output-LoanNameUpdate'!O$2,'Output 90% Downside'!$A$1:$CW$1,0),FALSE)</f>
        <v>1.37E-2</v>
      </c>
      <c r="P6" s="390">
        <f>VLOOKUP($A6,'Output 90% Downside'!$A:$CW,MATCH('Model Output-LoanNameUpdate'!P$2,'Output 90% Downside'!$A$1:$CW$1,0),FALSE)</f>
        <v>1.35E-2</v>
      </c>
      <c r="Q6" s="390">
        <f>VLOOKUP($A6,'Output 96% Downside'!$A:$CW,MATCH('Model Output-LoanNameUpdate'!Q$2,'Output 96% Downside'!$A$1:$CW$1,0),FALSE)</f>
        <v>2.3E-2</v>
      </c>
      <c r="R6" s="390">
        <f>VLOOKUP($A6,'Output 96% Downside'!$A:$CW,MATCH('Model Output-LoanNameUpdate'!R$2,'Output 96% Downside'!$A$1:$CW$1,0),FALSE)</f>
        <v>2.0199999999999999E-2</v>
      </c>
      <c r="S6" s="390">
        <f>VLOOKUP($A6,'Output 96% Downside'!$A:$CW,MATCH('Model Output-LoanNameUpdate'!S$2,'Output 96% Downside'!$A$1:$CW$1,0),FALSE)</f>
        <v>1.8800000000000001E-2</v>
      </c>
      <c r="T6" s="390">
        <f>VLOOKUP($A6,'Output 96% Downside'!$A:$CW,MATCH('Model Output-LoanNameUpdate'!T$2,'Output 96% Downside'!$A$1:$CW$1,0),FALSE)</f>
        <v>1.78E-2</v>
      </c>
      <c r="U6" s="390">
        <f>VLOOKUP($A6,'Output 96% Downside'!$A:$CW,MATCH('Model Output-LoanNameUpdate'!U$2,'Output 96% Downside'!$A$1:$CW$1,0),FALSE)</f>
        <v>1.7100000000000001E-2</v>
      </c>
    </row>
    <row r="7" spans="1:25" x14ac:dyDescent="0.25">
      <c r="A7" s="354" t="s">
        <v>1081</v>
      </c>
      <c r="B7" s="391">
        <f t="shared" si="1"/>
        <v>0.11214499999999999</v>
      </c>
      <c r="C7" s="391">
        <f t="shared" si="2"/>
        <v>8.7529999999999997E-2</v>
      </c>
      <c r="D7" s="391">
        <f t="shared" si="3"/>
        <v>7.5595000000000009E-2</v>
      </c>
      <c r="E7" s="391">
        <f t="shared" si="4"/>
        <v>6.8144999999999997E-2</v>
      </c>
      <c r="F7" s="391">
        <f t="shared" si="5"/>
        <v>6.2839999999999993E-2</v>
      </c>
      <c r="G7" s="390">
        <f>VLOOKUP($A7,'Output Baseline'!$A:$CW,MATCH('Model Output-LoanNameUpdate'!G$2,'Output Baseline'!$A$1:$CW$1,0),FALSE)</f>
        <v>0.11260000000000001</v>
      </c>
      <c r="H7" s="390">
        <f>VLOOKUP($A7,'Output Baseline'!$A:$CW,MATCH('Model Output-LoanNameUpdate'!H$2,'Output Baseline'!$A$1:$CW$1,0),FALSE)</f>
        <v>8.8200000000000001E-2</v>
      </c>
      <c r="I7" s="390">
        <f>VLOOKUP($A7,'Output Baseline'!$A:$CW,MATCH('Model Output-LoanNameUpdate'!I$2,'Output Baseline'!$A$1:$CW$1,0),FALSE)</f>
        <v>7.6300000000000007E-2</v>
      </c>
      <c r="J7" s="390">
        <f>VLOOKUP($A7,'Output Baseline'!$A:$CW,MATCH('Model Output-LoanNameUpdate'!J$2,'Output Baseline'!$A$1:$CW$1,0),FALSE)</f>
        <v>6.8900000000000003E-2</v>
      </c>
      <c r="K7" s="390">
        <f>VLOOKUP($A7,'Output Baseline'!$A:$CW,MATCH('Model Output-LoanNameUpdate'!K$2,'Output Baseline'!$A$1:$CW$1,0),FALSE)</f>
        <v>6.3600000000000004E-2</v>
      </c>
      <c r="L7" s="390">
        <f>VLOOKUP($A7,'Output 90% Downside'!$A:$CW,MATCH('Model Output-LoanNameUpdate'!L$2,'Output 90% Downside'!$A$1:$CW$1,0),FALSE)</f>
        <v>0.11260000000000001</v>
      </c>
      <c r="M7" s="390">
        <f>VLOOKUP($A7,'Output 90% Downside'!$A:$CW,MATCH('Model Output-LoanNameUpdate'!M$2,'Output 90% Downside'!$A$1:$CW$1,0),FALSE)</f>
        <v>8.7999999999999995E-2</v>
      </c>
      <c r="N7" s="390">
        <f>VLOOKUP($A7,'Output 90% Downside'!$A:$CW,MATCH('Model Output-LoanNameUpdate'!N$2,'Output 90% Downside'!$A$1:$CW$1,0),FALSE)</f>
        <v>7.6100000000000001E-2</v>
      </c>
      <c r="O7" s="390">
        <f>VLOOKUP($A7,'Output 90% Downside'!$A:$CW,MATCH('Model Output-LoanNameUpdate'!O$2,'Output 90% Downside'!$A$1:$CW$1,0),FALSE)</f>
        <v>6.8599999999999994E-2</v>
      </c>
      <c r="P7" s="390">
        <f>VLOOKUP($A7,'Output 90% Downside'!$A:$CW,MATCH('Model Output-LoanNameUpdate'!P$2,'Output 90% Downside'!$A$1:$CW$1,0),FALSE)</f>
        <v>6.3299999999999995E-2</v>
      </c>
      <c r="Q7" s="390">
        <f>VLOOKUP($A7,'Output 96% Downside'!$A:$CW,MATCH('Model Output-LoanNameUpdate'!Q$2,'Output 96% Downside'!$A$1:$CW$1,0),FALSE)</f>
        <v>0.10349999999999999</v>
      </c>
      <c r="R7" s="390">
        <f>VLOOKUP($A7,'Output 96% Downside'!$A:$CW,MATCH('Model Output-LoanNameUpdate'!R$2,'Output 96% Downside'!$A$1:$CW$1,0),FALSE)</f>
        <v>7.6200000000000004E-2</v>
      </c>
      <c r="S7" s="390">
        <f>VLOOKUP($A7,'Output 96% Downside'!$A:$CW,MATCH('Model Output-LoanNameUpdate'!S$2,'Output 96% Downside'!$A$1:$CW$1,0),FALSE)</f>
        <v>6.3600000000000004E-2</v>
      </c>
      <c r="T7" s="390">
        <f>VLOOKUP($A7,'Output 96% Downside'!$A:$CW,MATCH('Model Output-LoanNameUpdate'!T$2,'Output 96% Downside'!$A$1:$CW$1,0),FALSE)</f>
        <v>5.5899999999999998E-2</v>
      </c>
      <c r="U7" s="390">
        <f>VLOOKUP($A7,'Output 96% Downside'!$A:$CW,MATCH('Model Output-LoanNameUpdate'!U$2,'Output 96% Downside'!$A$1:$CW$1,0),FALSE)</f>
        <v>5.0500000000000003E-2</v>
      </c>
    </row>
    <row r="8" spans="1:25" x14ac:dyDescent="0.25">
      <c r="A8" s="354" t="s">
        <v>1082</v>
      </c>
      <c r="B8" s="391">
        <f t="shared" si="1"/>
        <v>1.8619999999999998E-2</v>
      </c>
      <c r="C8" s="391">
        <f t="shared" si="2"/>
        <v>1.4779999999999998E-2</v>
      </c>
      <c r="D8" s="391">
        <f t="shared" si="3"/>
        <v>1.2939999999999998E-2</v>
      </c>
      <c r="E8" s="391">
        <f t="shared" si="4"/>
        <v>1.174E-2</v>
      </c>
      <c r="F8" s="391">
        <f t="shared" si="5"/>
        <v>1.094E-2</v>
      </c>
      <c r="G8" s="390">
        <f>VLOOKUP($A8,'Output Baseline'!$A:$CW,MATCH('Model Output-LoanNameUpdate'!G$2,'Output Baseline'!$A$1:$CW$1,0),FALSE)</f>
        <v>1.8499999999999999E-2</v>
      </c>
      <c r="H8" s="390">
        <f>VLOOKUP($A8,'Output Baseline'!$A:$CW,MATCH('Model Output-LoanNameUpdate'!H$2,'Output Baseline'!$A$1:$CW$1,0),FALSE)</f>
        <v>1.47E-2</v>
      </c>
      <c r="I8" s="390">
        <f>VLOOKUP($A8,'Output Baseline'!$A:$CW,MATCH('Model Output-LoanNameUpdate'!I$2,'Output Baseline'!$A$1:$CW$1,0),FALSE)</f>
        <v>1.29E-2</v>
      </c>
      <c r="J8" s="390">
        <f>VLOOKUP($A8,'Output Baseline'!$A:$CW,MATCH('Model Output-LoanNameUpdate'!J$2,'Output Baseline'!$A$1:$CW$1,0),FALSE)</f>
        <v>1.17E-2</v>
      </c>
      <c r="K8" s="390">
        <f>VLOOKUP($A8,'Output Baseline'!$A:$CW,MATCH('Model Output-LoanNameUpdate'!K$2,'Output Baseline'!$A$1:$CW$1,0),FALSE)</f>
        <v>1.09E-2</v>
      </c>
      <c r="L8" s="390">
        <f>VLOOKUP($A8,'Output 90% Downside'!$A:$CW,MATCH('Model Output-LoanNameUpdate'!L$2,'Output 90% Downside'!$A$1:$CW$1,0),FALSE)</f>
        <v>1.8800000000000001E-2</v>
      </c>
      <c r="M8" s="390">
        <f>VLOOKUP($A8,'Output 90% Downside'!$A:$CW,MATCH('Model Output-LoanNameUpdate'!M$2,'Output 90% Downside'!$A$1:$CW$1,0),FALSE)</f>
        <v>1.49E-2</v>
      </c>
      <c r="N8" s="390">
        <f>VLOOKUP($A8,'Output 90% Downside'!$A:$CW,MATCH('Model Output-LoanNameUpdate'!N$2,'Output 90% Downside'!$A$1:$CW$1,0),FALSE)</f>
        <v>1.2999999999999999E-2</v>
      </c>
      <c r="O8" s="390">
        <f>VLOOKUP($A8,'Output 90% Downside'!$A:$CW,MATCH('Model Output-LoanNameUpdate'!O$2,'Output 90% Downside'!$A$1:$CW$1,0),FALSE)</f>
        <v>1.18E-2</v>
      </c>
      <c r="P8" s="390">
        <f>VLOOKUP($A8,'Output 90% Downside'!$A:$CW,MATCH('Model Output-LoanNameUpdate'!P$2,'Output 90% Downside'!$A$1:$CW$1,0),FALSE)</f>
        <v>1.0999999999999999E-2</v>
      </c>
      <c r="Q8" s="390">
        <f>VLOOKUP($A8,'Output 96% Downside'!$A:$CW,MATCH('Model Output-LoanNameUpdate'!Q$2,'Output 96% Downside'!$A$1:$CW$1,0),FALSE)</f>
        <v>1.8800000000000001E-2</v>
      </c>
      <c r="R8" s="390">
        <f>VLOOKUP($A8,'Output 96% Downside'!$A:$CW,MATCH('Model Output-LoanNameUpdate'!R$2,'Output 96% Downside'!$A$1:$CW$1,0),FALSE)</f>
        <v>1.49E-2</v>
      </c>
      <c r="S8" s="390">
        <f>VLOOKUP($A8,'Output 96% Downside'!$A:$CW,MATCH('Model Output-LoanNameUpdate'!S$2,'Output 96% Downside'!$A$1:$CW$1,0),FALSE)</f>
        <v>1.2999999999999999E-2</v>
      </c>
      <c r="T8" s="390">
        <f>VLOOKUP($A8,'Output 96% Downside'!$A:$CW,MATCH('Model Output-LoanNameUpdate'!T$2,'Output 96% Downside'!$A$1:$CW$1,0),FALSE)</f>
        <v>1.18E-2</v>
      </c>
      <c r="U8" s="390">
        <f>VLOOKUP($A8,'Output 96% Downside'!$A:$CW,MATCH('Model Output-LoanNameUpdate'!U$2,'Output 96% Downside'!$A$1:$CW$1,0),FALSE)</f>
        <v>1.0999999999999999E-2</v>
      </c>
    </row>
    <row r="9" spans="1:25" x14ac:dyDescent="0.25">
      <c r="A9" s="354" t="s">
        <v>2768</v>
      </c>
      <c r="B9" s="391">
        <f t="shared" si="1"/>
        <v>0.118065</v>
      </c>
      <c r="C9" s="391">
        <f t="shared" si="2"/>
        <v>0.109255</v>
      </c>
      <c r="D9" s="391">
        <f t="shared" si="3"/>
        <v>0.104445</v>
      </c>
      <c r="E9" s="391">
        <f t="shared" si="4"/>
        <v>0.10106499999999999</v>
      </c>
      <c r="F9" s="391">
        <f t="shared" si="5"/>
        <v>9.8589999999999983E-2</v>
      </c>
      <c r="G9" s="390">
        <f>VLOOKUP($A9,'Output Baseline'!$A:$CW,MATCH('Model Output-LoanNameUpdate'!G$2,'Output Baseline'!$A$1:$CW$1,0),FALSE)</f>
        <v>0.1176</v>
      </c>
      <c r="H9" s="390">
        <f>VLOOKUP($A9,'Output Baseline'!$A:$CW,MATCH('Model Output-LoanNameUpdate'!H$2,'Output Baseline'!$A$1:$CW$1,0),FALSE)</f>
        <v>0.109</v>
      </c>
      <c r="I9" s="390">
        <f>VLOOKUP($A9,'Output Baseline'!$A:$CW,MATCH('Model Output-LoanNameUpdate'!I$2,'Output Baseline'!$A$1:$CW$1,0),FALSE)</f>
        <v>0.1043</v>
      </c>
      <c r="J9" s="390">
        <f>VLOOKUP($A9,'Output Baseline'!$A:$CW,MATCH('Model Output-LoanNameUpdate'!J$2,'Output Baseline'!$A$1:$CW$1,0),FALSE)</f>
        <v>0.10100000000000001</v>
      </c>
      <c r="K9" s="390">
        <f>VLOOKUP($A9,'Output Baseline'!$A:$CW,MATCH('Model Output-LoanNameUpdate'!K$2,'Output Baseline'!$A$1:$CW$1,0),FALSE)</f>
        <v>9.8599999999999993E-2</v>
      </c>
      <c r="L9" s="390">
        <f>VLOOKUP($A9,'Output 90% Downside'!$A:$CW,MATCH('Model Output-LoanNameUpdate'!L$2,'Output 90% Downside'!$A$1:$CW$1,0),FALSE)</f>
        <v>0.1193</v>
      </c>
      <c r="M9" s="390">
        <f>VLOOKUP($A9,'Output 90% Downside'!$A:$CW,MATCH('Model Output-LoanNameUpdate'!M$2,'Output 90% Downside'!$A$1:$CW$1,0),FALSE)</f>
        <v>0.1105</v>
      </c>
      <c r="N9" s="390">
        <f>VLOOKUP($A9,'Output 90% Downside'!$A:$CW,MATCH('Model Output-LoanNameUpdate'!N$2,'Output 90% Downside'!$A$1:$CW$1,0),FALSE)</f>
        <v>0.1057</v>
      </c>
      <c r="O9" s="390">
        <f>VLOOKUP($A9,'Output 90% Downside'!$A:$CW,MATCH('Model Output-LoanNameUpdate'!O$2,'Output 90% Downside'!$A$1:$CW$1,0),FALSE)</f>
        <v>0.1023</v>
      </c>
      <c r="P9" s="390">
        <f>VLOOKUP($A9,'Output 90% Downside'!$A:$CW,MATCH('Model Output-LoanNameUpdate'!P$2,'Output 90% Downside'!$A$1:$CW$1,0),FALSE)</f>
        <v>9.98E-2</v>
      </c>
      <c r="Q9" s="390">
        <f>VLOOKUP($A9,'Output 96% Downside'!$A:$CW,MATCH('Model Output-LoanNameUpdate'!Q$2,'Output 96% Downside'!$A$1:$CW$1,0),FALSE)</f>
        <v>0.115</v>
      </c>
      <c r="R9" s="390">
        <f>VLOOKUP($A9,'Output 96% Downside'!$A:$CW,MATCH('Model Output-LoanNameUpdate'!R$2,'Output 96% Downside'!$A$1:$CW$1,0),FALSE)</f>
        <v>0.1036</v>
      </c>
      <c r="S9" s="390">
        <f>VLOOKUP($A9,'Output 96% Downside'!$A:$CW,MATCH('Model Output-LoanNameUpdate'!S$2,'Output 96% Downside'!$A$1:$CW$1,0),FALSE)</f>
        <v>9.74E-2</v>
      </c>
      <c r="T9" s="390">
        <f>VLOOKUP($A9,'Output 96% Downside'!$A:$CW,MATCH('Model Output-LoanNameUpdate'!T$2,'Output 96% Downside'!$A$1:$CW$1,0),FALSE)</f>
        <v>9.3200000000000005E-2</v>
      </c>
      <c r="U9" s="390">
        <f>VLOOKUP($A9,'Output 96% Downside'!$A:$CW,MATCH('Model Output-LoanNameUpdate'!U$2,'Output 96% Downside'!$A$1:$CW$1,0),FALSE)</f>
        <v>0.09</v>
      </c>
    </row>
    <row r="10" spans="1:25" x14ac:dyDescent="0.25">
      <c r="A10" s="354" t="s">
        <v>1083</v>
      </c>
      <c r="B10" s="391">
        <f t="shared" si="1"/>
        <v>5.1649999999999995E-3</v>
      </c>
      <c r="C10" s="391">
        <f t="shared" si="2"/>
        <v>5.1249999999999993E-3</v>
      </c>
      <c r="D10" s="391">
        <f t="shared" si="3"/>
        <v>5.1199999999999996E-3</v>
      </c>
      <c r="E10" s="391">
        <f t="shared" si="4"/>
        <v>5.1199999999999996E-3</v>
      </c>
      <c r="F10" s="391">
        <f t="shared" si="5"/>
        <v>5.0850000000000001E-3</v>
      </c>
      <c r="G10" s="390">
        <f>VLOOKUP($A10,'Output Baseline'!$A:$CW,MATCH('Model Output-LoanNameUpdate'!G$2,'Output Baseline'!$A$1:$CW$1,0),FALSE)</f>
        <v>4.7999999999999996E-3</v>
      </c>
      <c r="H10" s="390">
        <f>VLOOKUP($A10,'Output Baseline'!$A:$CW,MATCH('Model Output-LoanNameUpdate'!H$2,'Output Baseline'!$A$1:$CW$1,0),FALSE)</f>
        <v>4.7999999999999996E-3</v>
      </c>
      <c r="I10" s="390">
        <f>VLOOKUP($A10,'Output Baseline'!$A:$CW,MATCH('Model Output-LoanNameUpdate'!I$2,'Output Baseline'!$A$1:$CW$1,0),FALSE)</f>
        <v>4.7999999999999996E-3</v>
      </c>
      <c r="J10" s="390">
        <f>VLOOKUP($A10,'Output Baseline'!$A:$CW,MATCH('Model Output-LoanNameUpdate'!J$2,'Output Baseline'!$A$1:$CW$1,0),FALSE)</f>
        <v>4.7999999999999996E-3</v>
      </c>
      <c r="K10" s="390">
        <f>VLOOKUP($A10,'Output Baseline'!$A:$CW,MATCH('Model Output-LoanNameUpdate'!K$2,'Output Baseline'!$A$1:$CW$1,0),FALSE)</f>
        <v>4.7999999999999996E-3</v>
      </c>
      <c r="L10" s="390">
        <f>VLOOKUP($A10,'Output 90% Downside'!$A:$CW,MATCH('Model Output-LoanNameUpdate'!L$2,'Output 90% Downside'!$A$1:$CW$1,0),FALSE)</f>
        <v>5.5999999999999999E-3</v>
      </c>
      <c r="M10" s="390">
        <f>VLOOKUP($A10,'Output 90% Downside'!$A:$CW,MATCH('Model Output-LoanNameUpdate'!M$2,'Output 90% Downside'!$A$1:$CW$1,0),FALSE)</f>
        <v>5.4999999999999997E-3</v>
      </c>
      <c r="N10" s="390">
        <f>VLOOKUP($A10,'Output 90% Downside'!$A:$CW,MATCH('Model Output-LoanNameUpdate'!N$2,'Output 90% Downside'!$A$1:$CW$1,0),FALSE)</f>
        <v>5.4999999999999997E-3</v>
      </c>
      <c r="O10" s="390">
        <f>VLOOKUP($A10,'Output 90% Downside'!$A:$CW,MATCH('Model Output-LoanNameUpdate'!O$2,'Output 90% Downside'!$A$1:$CW$1,0),FALSE)</f>
        <v>5.4999999999999997E-3</v>
      </c>
      <c r="P10" s="390">
        <f>VLOOKUP($A10,'Output 90% Downside'!$A:$CW,MATCH('Model Output-LoanNameUpdate'!P$2,'Output 90% Downside'!$A$1:$CW$1,0),FALSE)</f>
        <v>5.4000000000000003E-3</v>
      </c>
      <c r="Q10" s="390">
        <f>VLOOKUP($A10,'Output 96% Downside'!$A:$CW,MATCH('Model Output-LoanNameUpdate'!Q$2,'Output 96% Downside'!$A$1:$CW$1,0),FALSE)</f>
        <v>6.4999999999999997E-3</v>
      </c>
      <c r="R10" s="390">
        <f>VLOOKUP($A10,'Output 96% Downside'!$A:$CW,MATCH('Model Output-LoanNameUpdate'!R$2,'Output 96% Downside'!$A$1:$CW$1,0),FALSE)</f>
        <v>6.4000000000000003E-3</v>
      </c>
      <c r="S10" s="390">
        <f>VLOOKUP($A10,'Output 96% Downside'!$A:$CW,MATCH('Model Output-LoanNameUpdate'!S$2,'Output 96% Downside'!$A$1:$CW$1,0),FALSE)</f>
        <v>6.3E-3</v>
      </c>
      <c r="T10" s="390">
        <f>VLOOKUP($A10,'Output 96% Downside'!$A:$CW,MATCH('Model Output-LoanNameUpdate'!T$2,'Output 96% Downside'!$A$1:$CW$1,0),FALSE)</f>
        <v>6.3E-3</v>
      </c>
      <c r="U10" s="390">
        <f>VLOOKUP($A10,'Output 96% Downside'!$A:$CW,MATCH('Model Output-LoanNameUpdate'!U$2,'Output 96% Downside'!$A$1:$CW$1,0),FALSE)</f>
        <v>6.3E-3</v>
      </c>
    </row>
    <row r="11" spans="1:25" x14ac:dyDescent="0.25">
      <c r="A11" s="354" t="s">
        <v>1087</v>
      </c>
      <c r="B11" s="391">
        <f t="shared" si="1"/>
        <v>4.9619999999999997E-2</v>
      </c>
      <c r="C11" s="391">
        <f t="shared" si="2"/>
        <v>4.5170000000000002E-2</v>
      </c>
      <c r="D11" s="391">
        <f t="shared" si="3"/>
        <v>4.2764999999999997E-2</v>
      </c>
      <c r="E11" s="391">
        <f t="shared" si="4"/>
        <v>4.1260000000000005E-2</v>
      </c>
      <c r="F11" s="391">
        <f t="shared" si="5"/>
        <v>4.0154999999999996E-2</v>
      </c>
      <c r="G11" s="390">
        <f>VLOOKUP($A11,'Output Baseline'!$A:$CW,MATCH('Model Output-LoanNameUpdate'!G$2,'Output Baseline'!$A$1:$CW$1,0),FALSE)</f>
        <v>1.6299999999999999E-2</v>
      </c>
      <c r="H11" s="390">
        <f>VLOOKUP($A11,'Output Baseline'!$A:$CW,MATCH('Model Output-LoanNameUpdate'!H$2,'Output Baseline'!$A$1:$CW$1,0),FALSE)</f>
        <v>1.7100000000000001E-2</v>
      </c>
      <c r="I11" s="390">
        <f>VLOOKUP($A11,'Output Baseline'!$A:$CW,MATCH('Model Output-LoanNameUpdate'!I$2,'Output Baseline'!$A$1:$CW$1,0),FALSE)</f>
        <v>1.7500000000000002E-2</v>
      </c>
      <c r="J11" s="390">
        <f>VLOOKUP($A11,'Output Baseline'!$A:$CW,MATCH('Model Output-LoanNameUpdate'!J$2,'Output Baseline'!$A$1:$CW$1,0),FALSE)</f>
        <v>1.7899999999999999E-2</v>
      </c>
      <c r="K11" s="390">
        <f>VLOOKUP($A11,'Output Baseline'!$A:$CW,MATCH('Model Output-LoanNameUpdate'!K$2,'Output Baseline'!$A$1:$CW$1,0),FALSE)</f>
        <v>1.8200000000000001E-2</v>
      </c>
      <c r="L11" s="390">
        <f>VLOOKUP($A11,'Output 90% Downside'!$A:$CW,MATCH('Model Output-LoanNameUpdate'!L$2,'Output 90% Downside'!$A$1:$CW$1,0),FALSE)</f>
        <v>9.5100000000000004E-2</v>
      </c>
      <c r="M11" s="390">
        <f>VLOOKUP($A11,'Output 90% Downside'!$A:$CW,MATCH('Model Output-LoanNameUpdate'!M$2,'Output 90% Downside'!$A$1:$CW$1,0),FALSE)</f>
        <v>8.3199999999999996E-2</v>
      </c>
      <c r="N11" s="390">
        <f>VLOOKUP($A11,'Output 90% Downside'!$A:$CW,MATCH('Model Output-LoanNameUpdate'!N$2,'Output 90% Downside'!$A$1:$CW$1,0),FALSE)</f>
        <v>7.6799999999999993E-2</v>
      </c>
      <c r="O11" s="390">
        <f>VLOOKUP($A11,'Output 90% Downside'!$A:$CW,MATCH('Model Output-LoanNameUpdate'!O$2,'Output 90% Downside'!$A$1:$CW$1,0),FALSE)</f>
        <v>7.2599999999999998E-2</v>
      </c>
      <c r="P11" s="390">
        <f>VLOOKUP($A11,'Output 90% Downside'!$A:$CW,MATCH('Model Output-LoanNameUpdate'!P$2,'Output 90% Downside'!$A$1:$CW$1,0),FALSE)</f>
        <v>6.9500000000000006E-2</v>
      </c>
      <c r="Q11" s="390">
        <f>VLOOKUP($A11,'Output 96% Downside'!$A:$CW,MATCH('Model Output-LoanNameUpdate'!Q$2,'Output 96% Downside'!$A$1:$CW$1,0),FALSE)</f>
        <v>0.13109999999999999</v>
      </c>
      <c r="R11" s="390">
        <f>VLOOKUP($A11,'Output 96% Downside'!$A:$CW,MATCH('Model Output-LoanNameUpdate'!R$2,'Output 96% Downside'!$A$1:$CW$1,0),FALSE)</f>
        <v>0.1158</v>
      </c>
      <c r="S11" s="390">
        <f>VLOOKUP($A11,'Output 96% Downside'!$A:$CW,MATCH('Model Output-LoanNameUpdate'!S$2,'Output 96% Downside'!$A$1:$CW$1,0),FALSE)</f>
        <v>0.1077</v>
      </c>
      <c r="T11" s="390">
        <f>VLOOKUP($A11,'Output 96% Downside'!$A:$CW,MATCH('Model Output-LoanNameUpdate'!T$2,'Output 96% Downside'!$A$1:$CW$1,0),FALSE)</f>
        <v>0.1022</v>
      </c>
      <c r="U11" s="390">
        <f>VLOOKUP($A11,'Output 96% Downside'!$A:$CW,MATCH('Model Output-LoanNameUpdate'!U$2,'Output 96% Downside'!$A$1:$CW$1,0),FALSE)</f>
        <v>9.8199999999999996E-2</v>
      </c>
    </row>
    <row r="12" spans="1:25" x14ac:dyDescent="0.25">
      <c r="A12" s="354" t="s">
        <v>1092</v>
      </c>
      <c r="B12" s="391">
        <f t="shared" si="1"/>
        <v>0.11214499999999999</v>
      </c>
      <c r="C12" s="391">
        <f t="shared" si="2"/>
        <v>8.7529999999999997E-2</v>
      </c>
      <c r="D12" s="391">
        <f t="shared" si="3"/>
        <v>7.5595000000000009E-2</v>
      </c>
      <c r="E12" s="391">
        <f t="shared" si="4"/>
        <v>6.8144999999999997E-2</v>
      </c>
      <c r="F12" s="391">
        <f t="shared" si="5"/>
        <v>6.2839999999999993E-2</v>
      </c>
      <c r="G12" s="390">
        <f>VLOOKUP($A12,'Output Baseline'!$A:$CW,MATCH('Model Output-LoanNameUpdate'!G$2,'Output Baseline'!$A$1:$CW$1,0),FALSE)</f>
        <v>0.11260000000000001</v>
      </c>
      <c r="H12" s="390">
        <f>VLOOKUP($A12,'Output Baseline'!$A:$CW,MATCH('Model Output-LoanNameUpdate'!H$2,'Output Baseline'!$A$1:$CW$1,0),FALSE)</f>
        <v>8.8200000000000001E-2</v>
      </c>
      <c r="I12" s="390">
        <f>VLOOKUP($A12,'Output Baseline'!$A:$CW,MATCH('Model Output-LoanNameUpdate'!I$2,'Output Baseline'!$A$1:$CW$1,0),FALSE)</f>
        <v>7.6300000000000007E-2</v>
      </c>
      <c r="J12" s="390">
        <f>VLOOKUP($A12,'Output Baseline'!$A:$CW,MATCH('Model Output-LoanNameUpdate'!J$2,'Output Baseline'!$A$1:$CW$1,0),FALSE)</f>
        <v>6.8900000000000003E-2</v>
      </c>
      <c r="K12" s="390">
        <f>VLOOKUP($A12,'Output Baseline'!$A:$CW,MATCH('Model Output-LoanNameUpdate'!K$2,'Output Baseline'!$A$1:$CW$1,0),FALSE)</f>
        <v>6.3600000000000004E-2</v>
      </c>
      <c r="L12" s="390">
        <f>VLOOKUP($A12,'Output 90% Downside'!$A:$CW,MATCH('Model Output-LoanNameUpdate'!L$2,'Output 90% Downside'!$A$1:$CW$1,0),FALSE)</f>
        <v>0.11260000000000001</v>
      </c>
      <c r="M12" s="390">
        <f>VLOOKUP($A12,'Output 90% Downside'!$A:$CW,MATCH('Model Output-LoanNameUpdate'!M$2,'Output 90% Downside'!$A$1:$CW$1,0),FALSE)</f>
        <v>8.7999999999999995E-2</v>
      </c>
      <c r="N12" s="390">
        <f>VLOOKUP($A12,'Output 90% Downside'!$A:$CW,MATCH('Model Output-LoanNameUpdate'!N$2,'Output 90% Downside'!$A$1:$CW$1,0),FALSE)</f>
        <v>7.6100000000000001E-2</v>
      </c>
      <c r="O12" s="390">
        <f>VLOOKUP($A12,'Output 90% Downside'!$A:$CW,MATCH('Model Output-LoanNameUpdate'!O$2,'Output 90% Downside'!$A$1:$CW$1,0),FALSE)</f>
        <v>6.8599999999999994E-2</v>
      </c>
      <c r="P12" s="390">
        <f>VLOOKUP($A12,'Output 90% Downside'!$A:$CW,MATCH('Model Output-LoanNameUpdate'!P$2,'Output 90% Downside'!$A$1:$CW$1,0),FALSE)</f>
        <v>6.3299999999999995E-2</v>
      </c>
      <c r="Q12" s="390">
        <f>VLOOKUP($A12,'Output 96% Downside'!$A:$CW,MATCH('Model Output-LoanNameUpdate'!Q$2,'Output 96% Downside'!$A$1:$CW$1,0),FALSE)</f>
        <v>0.10349999999999999</v>
      </c>
      <c r="R12" s="390">
        <f>VLOOKUP($A12,'Output 96% Downside'!$A:$CW,MATCH('Model Output-LoanNameUpdate'!R$2,'Output 96% Downside'!$A$1:$CW$1,0),FALSE)</f>
        <v>7.6200000000000004E-2</v>
      </c>
      <c r="S12" s="390">
        <f>VLOOKUP($A12,'Output 96% Downside'!$A:$CW,MATCH('Model Output-LoanNameUpdate'!S$2,'Output 96% Downside'!$A$1:$CW$1,0),FALSE)</f>
        <v>6.3600000000000004E-2</v>
      </c>
      <c r="T12" s="390">
        <f>VLOOKUP($A12,'Output 96% Downside'!$A:$CW,MATCH('Model Output-LoanNameUpdate'!T$2,'Output 96% Downside'!$A$1:$CW$1,0),FALSE)</f>
        <v>5.5899999999999998E-2</v>
      </c>
      <c r="U12" s="390">
        <f>VLOOKUP($A12,'Output 96% Downside'!$A:$CW,MATCH('Model Output-LoanNameUpdate'!U$2,'Output 96% Downside'!$A$1:$CW$1,0),FALSE)</f>
        <v>5.0500000000000003E-2</v>
      </c>
    </row>
    <row r="13" spans="1:25" x14ac:dyDescent="0.25">
      <c r="A13" s="354" t="s">
        <v>1095</v>
      </c>
      <c r="B13" s="391">
        <f t="shared" si="1"/>
        <v>2.3949999999999996E-3</v>
      </c>
      <c r="C13" s="391">
        <f t="shared" si="2"/>
        <v>2.2499999999999998E-3</v>
      </c>
      <c r="D13" s="391">
        <f t="shared" si="3"/>
        <v>2.1449999999999998E-3</v>
      </c>
      <c r="E13" s="391">
        <f t="shared" si="4"/>
        <v>2.14E-3</v>
      </c>
      <c r="F13" s="391">
        <f t="shared" si="5"/>
        <v>2.0999999999999999E-3</v>
      </c>
      <c r="G13" s="390">
        <f>VLOOKUP($A13,'Output Baseline'!$A:$CW,MATCH('Model Output-LoanNameUpdate'!G$2,'Output Baseline'!$A$1:$CW$1,0),FALSE)</f>
        <v>2.2000000000000001E-3</v>
      </c>
      <c r="H13" s="390">
        <f>VLOOKUP($A13,'Output Baseline'!$A:$CW,MATCH('Model Output-LoanNameUpdate'!H$2,'Output Baseline'!$A$1:$CW$1,0),FALSE)</f>
        <v>2.0999999999999999E-3</v>
      </c>
      <c r="I13" s="390">
        <f>VLOOKUP($A13,'Output Baseline'!$A:$CW,MATCH('Model Output-LoanNameUpdate'!I$2,'Output Baseline'!$A$1:$CW$1,0),FALSE)</f>
        <v>2E-3</v>
      </c>
      <c r="J13" s="390">
        <f>VLOOKUP($A13,'Output Baseline'!$A:$CW,MATCH('Model Output-LoanNameUpdate'!J$2,'Output Baseline'!$A$1:$CW$1,0),FALSE)</f>
        <v>2E-3</v>
      </c>
      <c r="K13" s="390">
        <f>VLOOKUP($A13,'Output Baseline'!$A:$CW,MATCH('Model Output-LoanNameUpdate'!K$2,'Output Baseline'!$A$1:$CW$1,0),FALSE)</f>
        <v>2E-3</v>
      </c>
      <c r="L13" s="390">
        <f>VLOOKUP($A13,'Output 90% Downside'!$A:$CW,MATCH('Model Output-LoanNameUpdate'!L$2,'Output 90% Downside'!$A$1:$CW$1,0),FALSE)</f>
        <v>2.5999999999999999E-3</v>
      </c>
      <c r="M13" s="390">
        <f>VLOOKUP($A13,'Output 90% Downside'!$A:$CW,MATCH('Model Output-LoanNameUpdate'!M$2,'Output 90% Downside'!$A$1:$CW$1,0),FALSE)</f>
        <v>2.3999999999999998E-3</v>
      </c>
      <c r="N13" s="390">
        <f>VLOOKUP($A13,'Output 90% Downside'!$A:$CW,MATCH('Model Output-LoanNameUpdate'!N$2,'Output 90% Downside'!$A$1:$CW$1,0),FALSE)</f>
        <v>2.3E-3</v>
      </c>
      <c r="O13" s="390">
        <f>VLOOKUP($A13,'Output 90% Downside'!$A:$CW,MATCH('Model Output-LoanNameUpdate'!O$2,'Output 90% Downside'!$A$1:$CW$1,0),FALSE)</f>
        <v>2.3E-3</v>
      </c>
      <c r="P13" s="390">
        <f>VLOOKUP($A13,'Output 90% Downside'!$A:$CW,MATCH('Model Output-LoanNameUpdate'!P$2,'Output 90% Downside'!$A$1:$CW$1,0),FALSE)</f>
        <v>2.2000000000000001E-3</v>
      </c>
      <c r="Q13" s="390">
        <f>VLOOKUP($A13,'Output 96% Downside'!$A:$CW,MATCH('Model Output-LoanNameUpdate'!Q$2,'Output 96% Downside'!$A$1:$CW$1,0),FALSE)</f>
        <v>3.3E-3</v>
      </c>
      <c r="R13" s="390">
        <f>VLOOKUP($A13,'Output 96% Downside'!$A:$CW,MATCH('Model Output-LoanNameUpdate'!R$2,'Output 96% Downside'!$A$1:$CW$1,0),FALSE)</f>
        <v>3.0000000000000001E-3</v>
      </c>
      <c r="S13" s="390">
        <f>VLOOKUP($A13,'Output 96% Downside'!$A:$CW,MATCH('Model Output-LoanNameUpdate'!S$2,'Output 96% Downside'!$A$1:$CW$1,0),FALSE)</f>
        <v>2.8E-3</v>
      </c>
      <c r="T13" s="390">
        <f>VLOOKUP($A13,'Output 96% Downside'!$A:$CW,MATCH('Model Output-LoanNameUpdate'!T$2,'Output 96% Downside'!$A$1:$CW$1,0),FALSE)</f>
        <v>2.7000000000000001E-3</v>
      </c>
      <c r="U13" s="390">
        <f>VLOOKUP($A13,'Output 96% Downside'!$A:$CW,MATCH('Model Output-LoanNameUpdate'!U$2,'Output 96% Downside'!$A$1:$CW$1,0),FALSE)</f>
        <v>2.5999999999999999E-3</v>
      </c>
    </row>
    <row r="14" spans="1:25" x14ac:dyDescent="0.25">
      <c r="A14" s="354" t="s">
        <v>1099</v>
      </c>
      <c r="B14" s="391">
        <f t="shared" si="1"/>
        <v>1.4E-3</v>
      </c>
      <c r="C14" s="391">
        <f t="shared" si="2"/>
        <v>1.56E-3</v>
      </c>
      <c r="D14" s="391">
        <f t="shared" si="3"/>
        <v>1.6000000000000001E-3</v>
      </c>
      <c r="E14" s="391">
        <f t="shared" si="4"/>
        <v>1.6999999999999997E-3</v>
      </c>
      <c r="F14" s="391">
        <f t="shared" si="5"/>
        <v>1.6999999999999997E-3</v>
      </c>
      <c r="G14" s="390">
        <f>VLOOKUP($A14,'Output Baseline'!$A:$CW,MATCH('Model Output-LoanNameUpdate'!G$2,'Output Baseline'!$A$1:$CW$1,0),FALSE)</f>
        <v>1.4E-3</v>
      </c>
      <c r="H14" s="390">
        <f>VLOOKUP($A14,'Output Baseline'!$A:$CW,MATCH('Model Output-LoanNameUpdate'!H$2,'Output Baseline'!$A$1:$CW$1,0),FALSE)</f>
        <v>1.6000000000000001E-3</v>
      </c>
      <c r="I14" s="390">
        <f>VLOOKUP($A14,'Output Baseline'!$A:$CW,MATCH('Model Output-LoanNameUpdate'!I$2,'Output Baseline'!$A$1:$CW$1,0),FALSE)</f>
        <v>1.6000000000000001E-3</v>
      </c>
      <c r="J14" s="390">
        <f>VLOOKUP($A14,'Output Baseline'!$A:$CW,MATCH('Model Output-LoanNameUpdate'!J$2,'Output Baseline'!$A$1:$CW$1,0),FALSE)</f>
        <v>1.6999999999999999E-3</v>
      </c>
      <c r="K14" s="390">
        <f>VLOOKUP($A14,'Output Baseline'!$A:$CW,MATCH('Model Output-LoanNameUpdate'!K$2,'Output Baseline'!$A$1:$CW$1,0),FALSE)</f>
        <v>1.6999999999999999E-3</v>
      </c>
      <c r="L14" s="390">
        <f>VLOOKUP($A14,'Output 90% Downside'!$A:$CW,MATCH('Model Output-LoanNameUpdate'!L$2,'Output 90% Downside'!$A$1:$CW$1,0),FALSE)</f>
        <v>1.4E-3</v>
      </c>
      <c r="M14" s="390">
        <f>VLOOKUP($A14,'Output 90% Downside'!$A:$CW,MATCH('Model Output-LoanNameUpdate'!M$2,'Output 90% Downside'!$A$1:$CW$1,0),FALSE)</f>
        <v>1.5E-3</v>
      </c>
      <c r="N14" s="390">
        <f>VLOOKUP($A14,'Output 90% Downside'!$A:$CW,MATCH('Model Output-LoanNameUpdate'!N$2,'Output 90% Downside'!$A$1:$CW$1,0),FALSE)</f>
        <v>1.6000000000000001E-3</v>
      </c>
      <c r="O14" s="390">
        <f>VLOOKUP($A14,'Output 90% Downside'!$A:$CW,MATCH('Model Output-LoanNameUpdate'!O$2,'Output 90% Downside'!$A$1:$CW$1,0),FALSE)</f>
        <v>1.6999999999999999E-3</v>
      </c>
      <c r="P14" s="390">
        <f>VLOOKUP($A14,'Output 90% Downside'!$A:$CW,MATCH('Model Output-LoanNameUpdate'!P$2,'Output 90% Downside'!$A$1:$CW$1,0),FALSE)</f>
        <v>1.6999999999999999E-3</v>
      </c>
      <c r="Q14" s="390">
        <f>VLOOKUP($A14,'Output 96% Downside'!$A:$CW,MATCH('Model Output-LoanNameUpdate'!Q$2,'Output 96% Downside'!$A$1:$CW$1,0),FALSE)</f>
        <v>1.4E-3</v>
      </c>
      <c r="R14" s="390">
        <f>VLOOKUP($A14,'Output 96% Downside'!$A:$CW,MATCH('Model Output-LoanNameUpdate'!R$2,'Output 96% Downside'!$A$1:$CW$1,0),FALSE)</f>
        <v>1.5E-3</v>
      </c>
      <c r="S14" s="390">
        <f>VLOOKUP($A14,'Output 96% Downside'!$A:$CW,MATCH('Model Output-LoanNameUpdate'!S$2,'Output 96% Downside'!$A$1:$CW$1,0),FALSE)</f>
        <v>1.6000000000000001E-3</v>
      </c>
      <c r="T14" s="390">
        <f>VLOOKUP($A14,'Output 96% Downside'!$A:$CW,MATCH('Model Output-LoanNameUpdate'!T$2,'Output 96% Downside'!$A$1:$CW$1,0),FALSE)</f>
        <v>1.6999999999999999E-3</v>
      </c>
      <c r="U14" s="390">
        <f>VLOOKUP($A14,'Output 96% Downside'!$A:$CW,MATCH('Model Output-LoanNameUpdate'!U$2,'Output 96% Downside'!$A$1:$CW$1,0),FALSE)</f>
        <v>1.6999999999999999E-3</v>
      </c>
    </row>
    <row r="15" spans="1:25" x14ac:dyDescent="0.25">
      <c r="A15" s="354" t="s">
        <v>2762</v>
      </c>
      <c r="B15" s="391">
        <f t="shared" si="1"/>
        <v>1.8814999999999998E-2</v>
      </c>
      <c r="C15" s="391">
        <f t="shared" si="2"/>
        <v>1.7129999999999999E-2</v>
      </c>
      <c r="D15" s="391">
        <f t="shared" si="3"/>
        <v>1.6215E-2</v>
      </c>
      <c r="E15" s="391">
        <f t="shared" si="4"/>
        <v>1.5569999999999999E-2</v>
      </c>
      <c r="F15" s="391">
        <f t="shared" si="5"/>
        <v>1.5119999999999998E-2</v>
      </c>
      <c r="G15" s="390">
        <f>VLOOKUP($A15,'Output Baseline'!$A:$CW,MATCH('Model Output-LoanNameUpdate'!G$2,'Output Baseline'!$A$1:$CW$1,0),FALSE)</f>
        <v>1.2E-2</v>
      </c>
      <c r="H15" s="390">
        <f>VLOOKUP($A15,'Output Baseline'!$A:$CW,MATCH('Model Output-LoanNameUpdate'!H$2,'Output Baseline'!$A$1:$CW$1,0),FALSE)</f>
        <v>1.17E-2</v>
      </c>
      <c r="I15" s="390">
        <f>VLOOKUP($A15,'Output Baseline'!$A:$CW,MATCH('Model Output-LoanNameUpdate'!I$2,'Output Baseline'!$A$1:$CW$1,0),FALSE)</f>
        <v>1.15E-2</v>
      </c>
      <c r="J15" s="390">
        <f>VLOOKUP($A15,'Output Baseline'!$A:$CW,MATCH('Model Output-LoanNameUpdate'!J$2,'Output Baseline'!$A$1:$CW$1,0),FALSE)</f>
        <v>1.1299999999999999E-2</v>
      </c>
      <c r="K15" s="390">
        <f>VLOOKUP($A15,'Output Baseline'!$A:$CW,MATCH('Model Output-LoanNameUpdate'!K$2,'Output Baseline'!$A$1:$CW$1,0),FALSE)</f>
        <v>1.12E-2</v>
      </c>
      <c r="L15" s="390">
        <f>VLOOKUP($A15,'Output 90% Downside'!$A:$CW,MATCH('Model Output-LoanNameUpdate'!L$2,'Output 90% Downside'!$A$1:$CW$1,0),FALSE)</f>
        <v>2.76E-2</v>
      </c>
      <c r="M15" s="390">
        <f>VLOOKUP($A15,'Output 90% Downside'!$A:$CW,MATCH('Model Output-LoanNameUpdate'!M$2,'Output 90% Downside'!$A$1:$CW$1,0),FALSE)</f>
        <v>2.4199999999999999E-2</v>
      </c>
      <c r="N15" s="390">
        <f>VLOOKUP($A15,'Output 90% Downside'!$A:$CW,MATCH('Model Output-LoanNameUpdate'!N$2,'Output 90% Downside'!$A$1:$CW$1,0),FALSE)</f>
        <v>2.24E-2</v>
      </c>
      <c r="O15" s="390">
        <f>VLOOKUP($A15,'Output 90% Downside'!$A:$CW,MATCH('Model Output-LoanNameUpdate'!O$2,'Output 90% Downside'!$A$1:$CW$1,0),FALSE)</f>
        <v>2.12E-2</v>
      </c>
      <c r="P15" s="390">
        <f>VLOOKUP($A15,'Output 90% Downside'!$A:$CW,MATCH('Model Output-LoanNameUpdate'!P$2,'Output 90% Downside'!$A$1:$CW$1,0),FALSE)</f>
        <v>2.0299999999999999E-2</v>
      </c>
      <c r="Q15" s="390">
        <f>VLOOKUP($A15,'Output 96% Downside'!$A:$CW,MATCH('Model Output-LoanNameUpdate'!Q$2,'Output 96% Downside'!$A$1:$CW$1,0),FALSE)</f>
        <v>3.9100000000000003E-2</v>
      </c>
      <c r="R15" s="390">
        <f>VLOOKUP($A15,'Output 96% Downside'!$A:$CW,MATCH('Model Output-LoanNameUpdate'!R$2,'Output 96% Downside'!$A$1:$CW$1,0),FALSE)</f>
        <v>3.2800000000000003E-2</v>
      </c>
      <c r="S15" s="390">
        <f>VLOOKUP($A15,'Output 96% Downside'!$A:$CW,MATCH('Model Output-LoanNameUpdate'!S$2,'Output 96% Downside'!$A$1:$CW$1,0),FALSE)</f>
        <v>2.9499999999999998E-2</v>
      </c>
      <c r="T15" s="390">
        <f>VLOOKUP($A15,'Output 96% Downside'!$A:$CW,MATCH('Model Output-LoanNameUpdate'!T$2,'Output 96% Downside'!$A$1:$CW$1,0),FALSE)</f>
        <v>2.7400000000000001E-2</v>
      </c>
      <c r="U15" s="390">
        <f>VLOOKUP($A15,'Output 96% Downside'!$A:$CW,MATCH('Model Output-LoanNameUpdate'!U$2,'Output 96% Downside'!$A$1:$CW$1,0),FALSE)</f>
        <v>2.5899999999999999E-2</v>
      </c>
    </row>
    <row r="16" spans="1:25" x14ac:dyDescent="0.25">
      <c r="A16" s="354" t="s">
        <v>3174</v>
      </c>
      <c r="B16" s="391">
        <f t="shared" si="1"/>
        <v>1.2855E-2</v>
      </c>
      <c r="C16" s="391">
        <f t="shared" si="2"/>
        <v>1.1990000000000001E-2</v>
      </c>
      <c r="D16" s="391">
        <f t="shared" si="3"/>
        <v>1.1439999999999999E-2</v>
      </c>
      <c r="E16" s="391">
        <f t="shared" si="4"/>
        <v>1.1069999999999998E-2</v>
      </c>
      <c r="F16" s="391">
        <f t="shared" si="5"/>
        <v>1.0844999999999999E-2</v>
      </c>
      <c r="G16" s="390">
        <f>VLOOKUP($A16,'Output Baseline'!$A:$CW,MATCH('Model Output-LoanNameUpdate'!G$2,'Output Baseline'!$A$1:$CW$1,0),FALSE)</f>
        <v>1.03E-2</v>
      </c>
      <c r="H16" s="390">
        <f>VLOOKUP($A16,'Output Baseline'!$A:$CW,MATCH('Model Output-LoanNameUpdate'!H$2,'Output Baseline'!$A$1:$CW$1,0),FALSE)</f>
        <v>9.9000000000000008E-3</v>
      </c>
      <c r="I16" s="390">
        <f>VLOOKUP($A16,'Output Baseline'!$A:$CW,MATCH('Model Output-LoanNameUpdate'!I$2,'Output Baseline'!$A$1:$CW$1,0),FALSE)</f>
        <v>9.5999999999999992E-3</v>
      </c>
      <c r="J16" s="390">
        <f>VLOOKUP($A16,'Output Baseline'!$A:$CW,MATCH('Model Output-LoanNameUpdate'!J$2,'Output Baseline'!$A$1:$CW$1,0),FALSE)</f>
        <v>9.4000000000000004E-3</v>
      </c>
      <c r="K16" s="390">
        <f>VLOOKUP($A16,'Output Baseline'!$A:$CW,MATCH('Model Output-LoanNameUpdate'!K$2,'Output Baseline'!$A$1:$CW$1,0),FALSE)</f>
        <v>9.2999999999999992E-3</v>
      </c>
      <c r="L16" s="390">
        <f>VLOOKUP($A16,'Output 90% Downside'!$A:$CW,MATCH('Model Output-LoanNameUpdate'!L$2,'Output 90% Downside'!$A$1:$CW$1,0),FALSE)</f>
        <v>1.6400000000000001E-2</v>
      </c>
      <c r="M16" s="390">
        <f>VLOOKUP($A16,'Output 90% Downside'!$A:$CW,MATCH('Model Output-LoanNameUpdate'!M$2,'Output 90% Downside'!$A$1:$CW$1,0),FALSE)</f>
        <v>1.49E-2</v>
      </c>
      <c r="N16" s="390">
        <f>VLOOKUP($A16,'Output 90% Downside'!$A:$CW,MATCH('Model Output-LoanNameUpdate'!N$2,'Output 90% Downside'!$A$1:$CW$1,0),FALSE)</f>
        <v>1.4E-2</v>
      </c>
      <c r="O16" s="390">
        <f>VLOOKUP($A16,'Output 90% Downside'!$A:$CW,MATCH('Model Output-LoanNameUpdate'!O$2,'Output 90% Downside'!$A$1:$CW$1,0),FALSE)</f>
        <v>1.34E-2</v>
      </c>
      <c r="P16" s="390">
        <f>VLOOKUP($A16,'Output 90% Downside'!$A:$CW,MATCH('Model Output-LoanNameUpdate'!P$2,'Output 90% Downside'!$A$1:$CW$1,0),FALSE)</f>
        <v>1.2999999999999999E-2</v>
      </c>
      <c r="Q16" s="390">
        <f>VLOOKUP($A16,'Output 96% Downside'!$A:$CW,MATCH('Model Output-LoanNameUpdate'!Q$2,'Output 96% Downside'!$A$1:$CW$1,0),FALSE)</f>
        <v>1.8700000000000001E-2</v>
      </c>
      <c r="R16" s="390">
        <f>VLOOKUP($A16,'Output 96% Downside'!$A:$CW,MATCH('Model Output-LoanNameUpdate'!R$2,'Output 96% Downside'!$A$1:$CW$1,0),FALSE)</f>
        <v>1.67E-2</v>
      </c>
      <c r="S16" s="390">
        <f>VLOOKUP($A16,'Output 96% Downside'!$A:$CW,MATCH('Model Output-LoanNameUpdate'!S$2,'Output 96% Downside'!$A$1:$CW$1,0),FALSE)</f>
        <v>1.5599999999999999E-2</v>
      </c>
      <c r="T16" s="390">
        <f>VLOOKUP($A16,'Output 96% Downside'!$A:$CW,MATCH('Model Output-LoanNameUpdate'!T$2,'Output 96% Downside'!$A$1:$CW$1,0),FALSE)</f>
        <v>1.4800000000000001E-2</v>
      </c>
      <c r="U16" s="390">
        <f>VLOOKUP($A16,'Output 96% Downside'!$A:$CW,MATCH('Model Output-LoanNameUpdate'!U$2,'Output 96% Downside'!$A$1:$CW$1,0),FALSE)</f>
        <v>1.43E-2</v>
      </c>
    </row>
    <row r="17" spans="1:21" x14ac:dyDescent="0.25">
      <c r="A17" s="354" t="s">
        <v>1102</v>
      </c>
      <c r="B17" s="391">
        <f t="shared" si="1"/>
        <v>9.9464999999999998E-2</v>
      </c>
      <c r="C17" s="391">
        <f t="shared" si="2"/>
        <v>7.621E-2</v>
      </c>
      <c r="D17" s="391">
        <f t="shared" si="3"/>
        <v>6.5194999999999989E-2</v>
      </c>
      <c r="E17" s="391">
        <f t="shared" si="4"/>
        <v>5.8264999999999997E-2</v>
      </c>
      <c r="F17" s="391">
        <f t="shared" si="5"/>
        <v>5.3459999999999994E-2</v>
      </c>
      <c r="G17" s="390">
        <f>VLOOKUP($A17,'Output Baseline'!$A:$CW,MATCH('Model Output-LoanNameUpdate'!G$2,'Output Baseline'!$A$1:$CW$1,0),FALSE)</f>
        <v>9.7199999999999995E-2</v>
      </c>
      <c r="H17" s="390">
        <f>VLOOKUP($A17,'Output Baseline'!$A:$CW,MATCH('Model Output-LoanNameUpdate'!H$2,'Output Baseline'!$A$1:$CW$1,0),FALSE)</f>
        <v>7.3400000000000007E-2</v>
      </c>
      <c r="I17" s="390">
        <f>VLOOKUP($A17,'Output Baseline'!$A:$CW,MATCH('Model Output-LoanNameUpdate'!I$2,'Output Baseline'!$A$1:$CW$1,0),FALSE)</f>
        <v>6.2300000000000001E-2</v>
      </c>
      <c r="J17" s="390">
        <f>VLOOKUP($A17,'Output Baseline'!$A:$CW,MATCH('Model Output-LoanNameUpdate'!J$2,'Output Baseline'!$A$1:$CW$1,0),FALSE)</f>
        <v>5.5300000000000002E-2</v>
      </c>
      <c r="K17" s="390">
        <f>VLOOKUP($A17,'Output Baseline'!$A:$CW,MATCH('Model Output-LoanNameUpdate'!K$2,'Output Baseline'!$A$1:$CW$1,0),FALSE)</f>
        <v>5.0500000000000003E-2</v>
      </c>
      <c r="L17" s="390">
        <f>VLOOKUP($A17,'Output 90% Downside'!$A:$CW,MATCH('Model Output-LoanNameUpdate'!L$2,'Output 90% Downside'!$A$1:$CW$1,0),FALSE)</f>
        <v>0.104</v>
      </c>
      <c r="M17" s="390">
        <f>VLOOKUP($A17,'Output 90% Downside'!$A:$CW,MATCH('Model Output-LoanNameUpdate'!M$2,'Output 90% Downside'!$A$1:$CW$1,0),FALSE)</f>
        <v>8.1900000000000001E-2</v>
      </c>
      <c r="N17" s="390">
        <f>VLOOKUP($A17,'Output 90% Downside'!$A:$CW,MATCH('Model Output-LoanNameUpdate'!N$2,'Output 90% Downside'!$A$1:$CW$1,0),FALSE)</f>
        <v>7.1099999999999997E-2</v>
      </c>
      <c r="O17" s="390">
        <f>VLOOKUP($A17,'Output 90% Downside'!$A:$CW,MATCH('Model Output-LoanNameUpdate'!O$2,'Output 90% Downside'!$A$1:$CW$1,0),FALSE)</f>
        <v>6.4299999999999996E-2</v>
      </c>
      <c r="P17" s="390">
        <f>VLOOKUP($A17,'Output 90% Downside'!$A:$CW,MATCH('Model Output-LoanNameUpdate'!P$2,'Output 90% Downside'!$A$1:$CW$1,0),FALSE)</f>
        <v>5.9499999999999997E-2</v>
      </c>
      <c r="Q17" s="390">
        <f>VLOOKUP($A17,'Output 96% Downside'!$A:$CW,MATCH('Model Output-LoanNameUpdate'!Q$2,'Output 96% Downside'!$A$1:$CW$1,0),FALSE)</f>
        <v>9.4899999999999998E-2</v>
      </c>
      <c r="R17" s="390">
        <f>VLOOKUP($A17,'Output 96% Downside'!$A:$CW,MATCH('Model Output-LoanNameUpdate'!R$2,'Output 96% Downside'!$A$1:$CW$1,0),FALSE)</f>
        <v>7.0099999999999996E-2</v>
      </c>
      <c r="S17" s="390">
        <f>VLOOKUP($A17,'Output 96% Downside'!$A:$CW,MATCH('Model Output-LoanNameUpdate'!S$2,'Output 96% Downside'!$A$1:$CW$1,0),FALSE)</f>
        <v>5.8599999999999999E-2</v>
      </c>
      <c r="T17" s="390">
        <f>VLOOKUP($A17,'Output 96% Downside'!$A:$CW,MATCH('Model Output-LoanNameUpdate'!T$2,'Output 96% Downside'!$A$1:$CW$1,0),FALSE)</f>
        <v>5.16E-2</v>
      </c>
      <c r="U17" s="390">
        <f>VLOOKUP($A17,'Output 96% Downside'!$A:$CW,MATCH('Model Output-LoanNameUpdate'!U$2,'Output 96% Downside'!$A$1:$CW$1,0),FALSE)</f>
        <v>4.6699999999999998E-2</v>
      </c>
    </row>
    <row r="18" spans="1:21" x14ac:dyDescent="0.25">
      <c r="A18" s="354" t="s">
        <v>3188</v>
      </c>
      <c r="B18" s="391">
        <f t="shared" si="1"/>
        <v>7.5499999999999986E-3</v>
      </c>
      <c r="C18" s="391">
        <f t="shared" si="2"/>
        <v>7.1149999999999989E-3</v>
      </c>
      <c r="D18" s="391">
        <f t="shared" si="3"/>
        <v>6.8449999999999995E-3</v>
      </c>
      <c r="E18" s="391">
        <f t="shared" si="4"/>
        <v>6.6599999999999993E-3</v>
      </c>
      <c r="F18" s="391">
        <f t="shared" si="5"/>
        <v>6.474999999999999E-3</v>
      </c>
      <c r="G18" s="390">
        <f>VLOOKUP($A18,'Output Baseline'!$A:$CW,MATCH('Model Output-LoanNameUpdate'!G$2,'Output Baseline'!$A$1:$CW$1,0),FALSE)</f>
        <v>5.8999999999999999E-3</v>
      </c>
      <c r="H18" s="390">
        <f>VLOOKUP($A18,'Output Baseline'!$A:$CW,MATCH('Model Output-LoanNameUpdate'!H$2,'Output Baseline'!$A$1:$CW$1,0),FALSE)</f>
        <v>5.7999999999999996E-3</v>
      </c>
      <c r="I18" s="390">
        <f>VLOOKUP($A18,'Output Baseline'!$A:$CW,MATCH('Model Output-LoanNameUpdate'!I$2,'Output Baseline'!$A$1:$CW$1,0),FALSE)</f>
        <v>5.7000000000000002E-3</v>
      </c>
      <c r="J18" s="390">
        <f>VLOOKUP($A18,'Output Baseline'!$A:$CW,MATCH('Model Output-LoanNameUpdate'!J$2,'Output Baseline'!$A$1:$CW$1,0),FALSE)</f>
        <v>5.5999999999999999E-3</v>
      </c>
      <c r="K18" s="390">
        <f>VLOOKUP($A18,'Output Baseline'!$A:$CW,MATCH('Model Output-LoanNameUpdate'!K$2,'Output Baseline'!$A$1:$CW$1,0),FALSE)</f>
        <v>5.4999999999999997E-3</v>
      </c>
      <c r="L18" s="390">
        <f>VLOOKUP($A18,'Output 90% Downside'!$A:$CW,MATCH('Model Output-LoanNameUpdate'!L$2,'Output 90% Downside'!$A$1:$CW$1,0),FALSE)</f>
        <v>9.7999999999999997E-3</v>
      </c>
      <c r="M18" s="390">
        <f>VLOOKUP($A18,'Output 90% Downside'!$A:$CW,MATCH('Model Output-LoanNameUpdate'!M$2,'Output 90% Downside'!$A$1:$CW$1,0),FALSE)</f>
        <v>8.8999999999999999E-3</v>
      </c>
      <c r="N18" s="390">
        <f>VLOOKUP($A18,'Output 90% Downside'!$A:$CW,MATCH('Model Output-LoanNameUpdate'!N$2,'Output 90% Downside'!$A$1:$CW$1,0),FALSE)</f>
        <v>8.3999999999999995E-3</v>
      </c>
      <c r="O18" s="390">
        <f>VLOOKUP($A18,'Output 90% Downside'!$A:$CW,MATCH('Model Output-LoanNameUpdate'!O$2,'Output 90% Downside'!$A$1:$CW$1,0),FALSE)</f>
        <v>8.0999999999999996E-3</v>
      </c>
      <c r="P18" s="390">
        <f>VLOOKUP($A18,'Output 90% Downside'!$A:$CW,MATCH('Model Output-LoanNameUpdate'!P$2,'Output 90% Downside'!$A$1:$CW$1,0),FALSE)</f>
        <v>7.7999999999999996E-3</v>
      </c>
      <c r="Q18" s="390">
        <f>VLOOKUP($A18,'Output 96% Downside'!$A:$CW,MATCH('Model Output-LoanNameUpdate'!Q$2,'Output 96% Downside'!$A$1:$CW$1,0),FALSE)</f>
        <v>1.1599999999999999E-2</v>
      </c>
      <c r="R18" s="390">
        <f>VLOOKUP($A18,'Output 96% Downside'!$A:$CW,MATCH('Model Output-LoanNameUpdate'!R$2,'Output 96% Downside'!$A$1:$CW$1,0),FALSE)</f>
        <v>1.04E-2</v>
      </c>
      <c r="S18" s="390">
        <f>VLOOKUP($A18,'Output 96% Downside'!$A:$CW,MATCH('Model Output-LoanNameUpdate'!S$2,'Output 96% Downside'!$A$1:$CW$1,0),FALSE)</f>
        <v>9.7000000000000003E-3</v>
      </c>
      <c r="T18" s="390">
        <f>VLOOKUP($A18,'Output 96% Downside'!$A:$CW,MATCH('Model Output-LoanNameUpdate'!T$2,'Output 96% Downside'!$A$1:$CW$1,0),FALSE)</f>
        <v>9.2999999999999992E-3</v>
      </c>
      <c r="U18" s="390">
        <f>VLOOKUP($A18,'Output 96% Downside'!$A:$CW,MATCH('Model Output-LoanNameUpdate'!U$2,'Output 96% Downside'!$A$1:$CW$1,0),FALSE)</f>
        <v>8.8999999999999999E-3</v>
      </c>
    </row>
    <row r="19" spans="1:21" x14ac:dyDescent="0.25">
      <c r="A19" s="354" t="s">
        <v>3191</v>
      </c>
      <c r="B19" s="391">
        <f t="shared" si="1"/>
        <v>1.8629999999999997E-2</v>
      </c>
      <c r="C19" s="391">
        <f t="shared" si="2"/>
        <v>1.8149999999999999E-2</v>
      </c>
      <c r="D19" s="391">
        <f t="shared" si="3"/>
        <v>1.7859999999999997E-2</v>
      </c>
      <c r="E19" s="391">
        <f t="shared" si="4"/>
        <v>1.7660000000000002E-2</v>
      </c>
      <c r="F19" s="391">
        <f t="shared" si="5"/>
        <v>1.7539999999999997E-2</v>
      </c>
      <c r="G19" s="390">
        <f>VLOOKUP($A19,'Output Baseline'!$A:$CW,MATCH('Model Output-LoanNameUpdate'!G$2,'Output Baseline'!$A$1:$CW$1,0),FALSE)</f>
        <v>1.2699999999999999E-2</v>
      </c>
      <c r="H19" s="390">
        <f>VLOOKUP($A19,'Output Baseline'!$A:$CW,MATCH('Model Output-LoanNameUpdate'!H$2,'Output Baseline'!$A$1:$CW$1,0),FALSE)</f>
        <v>1.2999999999999999E-2</v>
      </c>
      <c r="I19" s="390">
        <f>VLOOKUP($A19,'Output Baseline'!$A:$CW,MATCH('Model Output-LoanNameUpdate'!I$2,'Output Baseline'!$A$1:$CW$1,0),FALSE)</f>
        <v>1.3100000000000001E-2</v>
      </c>
      <c r="J19" s="390">
        <f>VLOOKUP($A19,'Output Baseline'!$A:$CW,MATCH('Model Output-LoanNameUpdate'!J$2,'Output Baseline'!$A$1:$CW$1,0),FALSE)</f>
        <v>1.32E-2</v>
      </c>
      <c r="K19" s="390">
        <f>VLOOKUP($A19,'Output Baseline'!$A:$CW,MATCH('Model Output-LoanNameUpdate'!K$2,'Output Baseline'!$A$1:$CW$1,0),FALSE)</f>
        <v>1.3299999999999999E-2</v>
      </c>
      <c r="L19" s="390">
        <f>VLOOKUP($A19,'Output 90% Downside'!$A:$CW,MATCH('Model Output-LoanNameUpdate'!L$2,'Output 90% Downside'!$A$1:$CW$1,0),FALSE)</f>
        <v>2.6800000000000001E-2</v>
      </c>
      <c r="M19" s="390">
        <f>VLOOKUP($A19,'Output 90% Downside'!$A:$CW,MATCH('Model Output-LoanNameUpdate'!M$2,'Output 90% Downside'!$A$1:$CW$1,0),FALSE)</f>
        <v>2.53E-2</v>
      </c>
      <c r="N19" s="390">
        <f>VLOOKUP($A19,'Output 90% Downside'!$A:$CW,MATCH('Model Output-LoanNameUpdate'!N$2,'Output 90% Downside'!$A$1:$CW$1,0),FALSE)</f>
        <v>2.4500000000000001E-2</v>
      </c>
      <c r="O19" s="390">
        <f>VLOOKUP($A19,'Output 90% Downside'!$A:$CW,MATCH('Model Output-LoanNameUpdate'!O$2,'Output 90% Downside'!$A$1:$CW$1,0),FALSE)</f>
        <v>2.3900000000000001E-2</v>
      </c>
      <c r="P19" s="390">
        <f>VLOOKUP($A19,'Output 90% Downside'!$A:$CW,MATCH('Model Output-LoanNameUpdate'!P$2,'Output 90% Downside'!$A$1:$CW$1,0),FALSE)</f>
        <v>2.35E-2</v>
      </c>
      <c r="Q19" s="390">
        <f>VLOOKUP($A19,'Output 96% Downside'!$A:$CW,MATCH('Model Output-LoanNameUpdate'!Q$2,'Output 96% Downside'!$A$1:$CW$1,0),FALSE)</f>
        <v>3.2599999999999997E-2</v>
      </c>
      <c r="R19" s="390">
        <f>VLOOKUP($A19,'Output 96% Downside'!$A:$CW,MATCH('Model Output-LoanNameUpdate'!R$2,'Output 96% Downside'!$A$1:$CW$1,0),FALSE)</f>
        <v>2.9899999999999999E-2</v>
      </c>
      <c r="S19" s="390">
        <f>VLOOKUP($A19,'Output 96% Downside'!$A:$CW,MATCH('Model Output-LoanNameUpdate'!S$2,'Output 96% Downside'!$A$1:$CW$1,0),FALSE)</f>
        <v>2.8500000000000001E-2</v>
      </c>
      <c r="T19" s="390">
        <f>VLOOKUP($A19,'Output 96% Downside'!$A:$CW,MATCH('Model Output-LoanNameUpdate'!T$2,'Output 96% Downside'!$A$1:$CW$1,0),FALSE)</f>
        <v>2.75E-2</v>
      </c>
      <c r="U19" s="390">
        <f>VLOOKUP($A19,'Output 96% Downside'!$A:$CW,MATCH('Model Output-LoanNameUpdate'!U$2,'Output 96% Downside'!$A$1:$CW$1,0),FALSE)</f>
        <v>2.6700000000000002E-2</v>
      </c>
    </row>
    <row r="20" spans="1:21" x14ac:dyDescent="0.25">
      <c r="A20" s="354" t="s">
        <v>1103</v>
      </c>
      <c r="B20" s="391">
        <f t="shared" si="1"/>
        <v>1.805E-3</v>
      </c>
      <c r="C20" s="391">
        <f t="shared" si="2"/>
        <v>2.0049999999999998E-3</v>
      </c>
      <c r="D20" s="391">
        <f t="shared" si="3"/>
        <v>2.1449999999999998E-3</v>
      </c>
      <c r="E20" s="391">
        <f t="shared" si="4"/>
        <v>2.3049999999999998E-3</v>
      </c>
      <c r="F20" s="391">
        <f t="shared" si="5"/>
        <v>2.3449999999999999E-3</v>
      </c>
      <c r="G20" s="390">
        <f>VLOOKUP($A20,'Output Baseline'!$A:$CW,MATCH('Model Output-LoanNameUpdate'!G$2,'Output Baseline'!$A$1:$CW$1,0),FALSE)</f>
        <v>1.8E-3</v>
      </c>
      <c r="H20" s="390">
        <f>VLOOKUP($A20,'Output Baseline'!$A:$CW,MATCH('Model Output-LoanNameUpdate'!H$2,'Output Baseline'!$A$1:$CW$1,0),FALSE)</f>
        <v>2E-3</v>
      </c>
      <c r="I20" s="390">
        <f>VLOOKUP($A20,'Output Baseline'!$A:$CW,MATCH('Model Output-LoanNameUpdate'!I$2,'Output Baseline'!$A$1:$CW$1,0),FALSE)</f>
        <v>2.0999999999999999E-3</v>
      </c>
      <c r="J20" s="390">
        <f>VLOOKUP($A20,'Output Baseline'!$A:$CW,MATCH('Model Output-LoanNameUpdate'!J$2,'Output Baseline'!$A$1:$CW$1,0),FALSE)</f>
        <v>2.3E-3</v>
      </c>
      <c r="K20" s="390">
        <f>VLOOKUP($A20,'Output Baseline'!$A:$CW,MATCH('Model Output-LoanNameUpdate'!K$2,'Output Baseline'!$A$1:$CW$1,0),FALSE)</f>
        <v>2.3E-3</v>
      </c>
      <c r="L20" s="390">
        <f>VLOOKUP($A20,'Output 90% Downside'!$A:$CW,MATCH('Model Output-LoanNameUpdate'!L$2,'Output 90% Downside'!$A$1:$CW$1,0),FALSE)</f>
        <v>1.8E-3</v>
      </c>
      <c r="M20" s="390">
        <f>VLOOKUP($A20,'Output 90% Downside'!$A:$CW,MATCH('Model Output-LoanNameUpdate'!M$2,'Output 90% Downside'!$A$1:$CW$1,0),FALSE)</f>
        <v>2E-3</v>
      </c>
      <c r="N20" s="390">
        <f>VLOOKUP($A20,'Output 90% Downside'!$A:$CW,MATCH('Model Output-LoanNameUpdate'!N$2,'Output 90% Downside'!$A$1:$CW$1,0),FALSE)</f>
        <v>2.2000000000000001E-3</v>
      </c>
      <c r="O20" s="390">
        <f>VLOOKUP($A20,'Output 90% Downside'!$A:$CW,MATCH('Model Output-LoanNameUpdate'!O$2,'Output 90% Downside'!$A$1:$CW$1,0),FALSE)</f>
        <v>2.3E-3</v>
      </c>
      <c r="P20" s="390">
        <f>VLOOKUP($A20,'Output 90% Downside'!$A:$CW,MATCH('Model Output-LoanNameUpdate'!P$2,'Output 90% Downside'!$A$1:$CW$1,0),FALSE)</f>
        <v>2.3999999999999998E-3</v>
      </c>
      <c r="Q20" s="390">
        <f>VLOOKUP($A20,'Output 96% Downside'!$A:$CW,MATCH('Model Output-LoanNameUpdate'!Q$2,'Output 96% Downside'!$A$1:$CW$1,0),FALSE)</f>
        <v>1.9E-3</v>
      </c>
      <c r="R20" s="390">
        <f>VLOOKUP($A20,'Output 96% Downside'!$A:$CW,MATCH('Model Output-LoanNameUpdate'!R$2,'Output 96% Downside'!$A$1:$CW$1,0),FALSE)</f>
        <v>2.0999999999999999E-3</v>
      </c>
      <c r="S20" s="390">
        <f>VLOOKUP($A20,'Output 96% Downside'!$A:$CW,MATCH('Model Output-LoanNameUpdate'!S$2,'Output 96% Downside'!$A$1:$CW$1,0),FALSE)</f>
        <v>2.3E-3</v>
      </c>
      <c r="T20" s="390">
        <f>VLOOKUP($A20,'Output 96% Downside'!$A:$CW,MATCH('Model Output-LoanNameUpdate'!T$2,'Output 96% Downside'!$A$1:$CW$1,0),FALSE)</f>
        <v>2.3999999999999998E-3</v>
      </c>
      <c r="U20" s="390">
        <f>VLOOKUP($A20,'Output 96% Downside'!$A:$CW,MATCH('Model Output-LoanNameUpdate'!U$2,'Output 96% Downside'!$A$1:$CW$1,0),FALSE)</f>
        <v>2.5000000000000001E-3</v>
      </c>
    </row>
    <row r="21" spans="1:21" x14ac:dyDescent="0.25">
      <c r="A21" s="354" t="s">
        <v>1107</v>
      </c>
      <c r="B21" s="391">
        <f t="shared" si="1"/>
        <v>5.8454999999999993E-2</v>
      </c>
      <c r="C21" s="391">
        <f t="shared" si="2"/>
        <v>4.4569999999999999E-2</v>
      </c>
      <c r="D21" s="391">
        <f t="shared" si="3"/>
        <v>3.7985000000000005E-2</v>
      </c>
      <c r="E21" s="391">
        <f t="shared" si="4"/>
        <v>3.3855000000000003E-2</v>
      </c>
      <c r="F21" s="391">
        <f t="shared" si="5"/>
        <v>3.1035E-2</v>
      </c>
      <c r="G21" s="390">
        <f>VLOOKUP($A21,'Output Baseline'!$A:$CW,MATCH('Model Output-LoanNameUpdate'!G$2,'Output Baseline'!$A$1:$CW$1,0),FALSE)</f>
        <v>5.5599999999999997E-2</v>
      </c>
      <c r="H21" s="390">
        <f>VLOOKUP($A21,'Output Baseline'!$A:$CW,MATCH('Model Output-LoanNameUpdate'!H$2,'Output Baseline'!$A$1:$CW$1,0),FALSE)</f>
        <v>4.2799999999999998E-2</v>
      </c>
      <c r="I21" s="390">
        <f>VLOOKUP($A21,'Output Baseline'!$A:$CW,MATCH('Model Output-LoanNameUpdate'!I$2,'Output Baseline'!$A$1:$CW$1,0),FALSE)</f>
        <v>3.6700000000000003E-2</v>
      </c>
      <c r="J21" s="390">
        <f>VLOOKUP($A21,'Output Baseline'!$A:$CW,MATCH('Model Output-LoanNameUpdate'!J$2,'Output Baseline'!$A$1:$CW$1,0),FALSE)</f>
        <v>3.2800000000000003E-2</v>
      </c>
      <c r="K21" s="390">
        <f>VLOOKUP($A21,'Output Baseline'!$A:$CW,MATCH('Model Output-LoanNameUpdate'!K$2,'Output Baseline'!$A$1:$CW$1,0),FALSE)</f>
        <v>3.0200000000000001E-2</v>
      </c>
      <c r="L21" s="390">
        <f>VLOOKUP($A21,'Output 90% Downside'!$A:$CW,MATCH('Model Output-LoanNameUpdate'!L$2,'Output 90% Downside'!$A$1:$CW$1,0),FALSE)</f>
        <v>6.2E-2</v>
      </c>
      <c r="M21" s="390">
        <f>VLOOKUP($A21,'Output 90% Downside'!$A:$CW,MATCH('Model Output-LoanNameUpdate'!M$2,'Output 90% Downside'!$A$1:$CW$1,0),FALSE)</f>
        <v>4.6800000000000001E-2</v>
      </c>
      <c r="N21" s="390">
        <f>VLOOKUP($A21,'Output 90% Downside'!$A:$CW,MATCH('Model Output-LoanNameUpdate'!N$2,'Output 90% Downside'!$A$1:$CW$1,0),FALSE)</f>
        <v>3.9600000000000003E-2</v>
      </c>
      <c r="O21" s="390">
        <f>VLOOKUP($A21,'Output 90% Downside'!$A:$CW,MATCH('Model Output-LoanNameUpdate'!O$2,'Output 90% Downside'!$A$1:$CW$1,0),FALSE)</f>
        <v>3.5200000000000002E-2</v>
      </c>
      <c r="P21" s="390">
        <f>VLOOKUP($A21,'Output 90% Downside'!$A:$CW,MATCH('Model Output-LoanNameUpdate'!P$2,'Output 90% Downside'!$A$1:$CW$1,0),FALSE)</f>
        <v>3.2099999999999997E-2</v>
      </c>
      <c r="Q21" s="390">
        <f>VLOOKUP($A21,'Output 96% Downside'!$A:$CW,MATCH('Model Output-LoanNameUpdate'!Q$2,'Output 96% Downside'!$A$1:$CW$1,0),FALSE)</f>
        <v>6.7900000000000002E-2</v>
      </c>
      <c r="R21" s="390">
        <f>VLOOKUP($A21,'Output 96% Downside'!$A:$CW,MATCH('Model Output-LoanNameUpdate'!R$2,'Output 96% Downside'!$A$1:$CW$1,0),FALSE)</f>
        <v>5.0200000000000002E-2</v>
      </c>
      <c r="S21" s="390">
        <f>VLOOKUP($A21,'Output 96% Downside'!$A:$CW,MATCH('Model Output-LoanNameUpdate'!S$2,'Output 96% Downside'!$A$1:$CW$1,0),FALSE)</f>
        <v>4.2099999999999999E-2</v>
      </c>
      <c r="T21" s="390">
        <f>VLOOKUP($A21,'Output 96% Downside'!$A:$CW,MATCH('Model Output-LoanNameUpdate'!T$2,'Output 96% Downside'!$A$1:$CW$1,0),FALSE)</f>
        <v>3.7100000000000001E-2</v>
      </c>
      <c r="U21" s="390">
        <f>VLOOKUP($A21,'Output 96% Downside'!$A:$CW,MATCH('Model Output-LoanNameUpdate'!U$2,'Output 96% Downside'!$A$1:$CW$1,0),FALSE)</f>
        <v>3.3599999999999998E-2</v>
      </c>
    </row>
    <row r="22" spans="1:21" x14ac:dyDescent="0.25">
      <c r="A22" s="354" t="s">
        <v>1108</v>
      </c>
      <c r="B22" s="391">
        <f t="shared" si="1"/>
        <v>2.1099999999999999E-3</v>
      </c>
      <c r="C22" s="391">
        <f t="shared" si="2"/>
        <v>2.2099999999999997E-3</v>
      </c>
      <c r="D22" s="391">
        <f t="shared" si="3"/>
        <v>2.3049999999999998E-3</v>
      </c>
      <c r="E22" s="391">
        <f t="shared" si="4"/>
        <v>2.3049999999999998E-3</v>
      </c>
      <c r="F22" s="391">
        <f t="shared" si="5"/>
        <v>2.3399999999999996E-3</v>
      </c>
      <c r="G22" s="390">
        <f>VLOOKUP($A22,'Output Baseline'!$A:$CW,MATCH('Model Output-LoanNameUpdate'!G$2,'Output Baseline'!$A$1:$CW$1,0),FALSE)</f>
        <v>2.0999999999999999E-3</v>
      </c>
      <c r="H22" s="390">
        <f>VLOOKUP($A22,'Output Baseline'!$A:$CW,MATCH('Model Output-LoanNameUpdate'!H$2,'Output Baseline'!$A$1:$CW$1,0),FALSE)</f>
        <v>2.2000000000000001E-3</v>
      </c>
      <c r="I22" s="390">
        <f>VLOOKUP($A22,'Output Baseline'!$A:$CW,MATCH('Model Output-LoanNameUpdate'!I$2,'Output Baseline'!$A$1:$CW$1,0),FALSE)</f>
        <v>2.3E-3</v>
      </c>
      <c r="J22" s="390">
        <f>VLOOKUP($A22,'Output Baseline'!$A:$CW,MATCH('Model Output-LoanNameUpdate'!J$2,'Output Baseline'!$A$1:$CW$1,0),FALSE)</f>
        <v>2.3E-3</v>
      </c>
      <c r="K22" s="390">
        <f>VLOOKUP($A22,'Output Baseline'!$A:$CW,MATCH('Model Output-LoanNameUpdate'!K$2,'Output Baseline'!$A$1:$CW$1,0),FALSE)</f>
        <v>2.3E-3</v>
      </c>
      <c r="L22" s="390">
        <f>VLOOKUP($A22,'Output 90% Downside'!$A:$CW,MATCH('Model Output-LoanNameUpdate'!L$2,'Output 90% Downside'!$A$1:$CW$1,0),FALSE)</f>
        <v>2.0999999999999999E-3</v>
      </c>
      <c r="M22" s="390">
        <f>VLOOKUP($A22,'Output 90% Downside'!$A:$CW,MATCH('Model Output-LoanNameUpdate'!M$2,'Output 90% Downside'!$A$1:$CW$1,0),FALSE)</f>
        <v>2.2000000000000001E-3</v>
      </c>
      <c r="N22" s="390">
        <f>VLOOKUP($A22,'Output 90% Downside'!$A:$CW,MATCH('Model Output-LoanNameUpdate'!N$2,'Output 90% Downside'!$A$1:$CW$1,0),FALSE)</f>
        <v>2.3E-3</v>
      </c>
      <c r="O22" s="390">
        <f>VLOOKUP($A22,'Output 90% Downside'!$A:$CW,MATCH('Model Output-LoanNameUpdate'!O$2,'Output 90% Downside'!$A$1:$CW$1,0),FALSE)</f>
        <v>2.3E-3</v>
      </c>
      <c r="P22" s="390">
        <f>VLOOKUP($A22,'Output 90% Downside'!$A:$CW,MATCH('Model Output-LoanNameUpdate'!P$2,'Output 90% Downside'!$A$1:$CW$1,0),FALSE)</f>
        <v>2.3999999999999998E-3</v>
      </c>
      <c r="Q22" s="390">
        <f>VLOOKUP($A22,'Output 96% Downside'!$A:$CW,MATCH('Model Output-LoanNameUpdate'!Q$2,'Output 96% Downside'!$A$1:$CW$1,0),FALSE)</f>
        <v>2.3E-3</v>
      </c>
      <c r="R22" s="390">
        <f>VLOOKUP($A22,'Output 96% Downside'!$A:$CW,MATCH('Model Output-LoanNameUpdate'!R$2,'Output 96% Downside'!$A$1:$CW$1,0),FALSE)</f>
        <v>2.3999999999999998E-3</v>
      </c>
      <c r="S22" s="390">
        <f>VLOOKUP($A22,'Output 96% Downside'!$A:$CW,MATCH('Model Output-LoanNameUpdate'!S$2,'Output 96% Downside'!$A$1:$CW$1,0),FALSE)</f>
        <v>2.3999999999999998E-3</v>
      </c>
      <c r="T22" s="390">
        <f>VLOOKUP($A22,'Output 96% Downside'!$A:$CW,MATCH('Model Output-LoanNameUpdate'!T$2,'Output 96% Downside'!$A$1:$CW$1,0),FALSE)</f>
        <v>2.3999999999999998E-3</v>
      </c>
      <c r="U22" s="390">
        <f>VLOOKUP($A22,'Output 96% Downside'!$A:$CW,MATCH('Model Output-LoanNameUpdate'!U$2,'Output 96% Downside'!$A$1:$CW$1,0),FALSE)</f>
        <v>2.3999999999999998E-3</v>
      </c>
    </row>
    <row r="23" spans="1:21" x14ac:dyDescent="0.25">
      <c r="A23" s="354" t="s">
        <v>1110</v>
      </c>
      <c r="B23" s="391">
        <f t="shared" si="1"/>
        <v>1.8554999999999999E-2</v>
      </c>
      <c r="C23" s="391">
        <f t="shared" si="2"/>
        <v>1.5204999999999998E-2</v>
      </c>
      <c r="D23" s="391">
        <f t="shared" si="3"/>
        <v>1.3475000000000001E-2</v>
      </c>
      <c r="E23" s="391">
        <f t="shared" si="4"/>
        <v>1.2364999999999999E-2</v>
      </c>
      <c r="F23" s="391">
        <f t="shared" si="5"/>
        <v>1.1635E-2</v>
      </c>
      <c r="G23" s="390">
        <f>VLOOKUP($A23,'Output Baseline'!$A:$CW,MATCH('Model Output-LoanNameUpdate'!G$2,'Output Baseline'!$A$1:$CW$1,0),FALSE)</f>
        <v>1.6199999999999999E-2</v>
      </c>
      <c r="H23" s="390">
        <f>VLOOKUP($A23,'Output Baseline'!$A:$CW,MATCH('Model Output-LoanNameUpdate'!H$2,'Output Baseline'!$A$1:$CW$1,0),FALSE)</f>
        <v>1.3599999999999999E-2</v>
      </c>
      <c r="I23" s="390">
        <f>VLOOKUP($A23,'Output Baseline'!$A:$CW,MATCH('Model Output-LoanNameUpdate'!I$2,'Output Baseline'!$A$1:$CW$1,0),FALSE)</f>
        <v>1.2200000000000001E-2</v>
      </c>
      <c r="J23" s="390">
        <f>VLOOKUP($A23,'Output Baseline'!$A:$CW,MATCH('Model Output-LoanNameUpdate'!J$2,'Output Baseline'!$A$1:$CW$1,0),FALSE)</f>
        <v>1.1299999999999999E-2</v>
      </c>
      <c r="K23" s="390">
        <f>VLOOKUP($A23,'Output Baseline'!$A:$CW,MATCH('Model Output-LoanNameUpdate'!K$2,'Output Baseline'!$A$1:$CW$1,0),FALSE)</f>
        <v>1.0699999999999999E-2</v>
      </c>
      <c r="L23" s="390">
        <f>VLOOKUP($A23,'Output 90% Downside'!$A:$CW,MATCH('Model Output-LoanNameUpdate'!L$2,'Output 90% Downside'!$A$1:$CW$1,0),FALSE)</f>
        <v>2.18E-2</v>
      </c>
      <c r="M23" s="390">
        <f>VLOOKUP($A23,'Output 90% Downside'!$A:$CW,MATCH('Model Output-LoanNameUpdate'!M$2,'Output 90% Downside'!$A$1:$CW$1,0),FALSE)</f>
        <v>1.7399999999999999E-2</v>
      </c>
      <c r="N23" s="390">
        <f>VLOOKUP($A23,'Output 90% Downside'!$A:$CW,MATCH('Model Output-LoanNameUpdate'!N$2,'Output 90% Downside'!$A$1:$CW$1,0),FALSE)</f>
        <v>1.52E-2</v>
      </c>
      <c r="O23" s="390">
        <f>VLOOKUP($A23,'Output 90% Downside'!$A:$CW,MATCH('Model Output-LoanNameUpdate'!O$2,'Output 90% Downside'!$A$1:$CW$1,0),FALSE)</f>
        <v>1.38E-2</v>
      </c>
      <c r="P23" s="390">
        <f>VLOOKUP($A23,'Output 90% Downside'!$A:$CW,MATCH('Model Output-LoanNameUpdate'!P$2,'Output 90% Downside'!$A$1:$CW$1,0),FALSE)</f>
        <v>1.29E-2</v>
      </c>
      <c r="Q23" s="390">
        <f>VLOOKUP($A23,'Output 96% Downside'!$A:$CW,MATCH('Model Output-LoanNameUpdate'!Q$2,'Output 96% Downside'!$A$1:$CW$1,0),FALSE)</f>
        <v>2.41E-2</v>
      </c>
      <c r="R23" s="390">
        <f>VLOOKUP($A23,'Output 96% Downside'!$A:$CW,MATCH('Model Output-LoanNameUpdate'!R$2,'Output 96% Downside'!$A$1:$CW$1,0),FALSE)</f>
        <v>1.9099999999999999E-2</v>
      </c>
      <c r="S23" s="390">
        <f>VLOOKUP($A23,'Output 96% Downside'!$A:$CW,MATCH('Model Output-LoanNameUpdate'!S$2,'Output 96% Downside'!$A$1:$CW$1,0),FALSE)</f>
        <v>1.67E-2</v>
      </c>
      <c r="T23" s="390">
        <f>VLOOKUP($A23,'Output 96% Downside'!$A:$CW,MATCH('Model Output-LoanNameUpdate'!T$2,'Output 96% Downside'!$A$1:$CW$1,0),FALSE)</f>
        <v>1.5100000000000001E-2</v>
      </c>
      <c r="U23" s="390">
        <f>VLOOKUP($A23,'Output 96% Downside'!$A:$CW,MATCH('Model Output-LoanNameUpdate'!U$2,'Output 96% Downside'!$A$1:$CW$1,0),FALSE)</f>
        <v>1.4E-2</v>
      </c>
    </row>
    <row r="24" spans="1:21" x14ac:dyDescent="0.25">
      <c r="A24" s="354" t="s">
        <v>1111</v>
      </c>
      <c r="B24" s="391">
        <f t="shared" si="1"/>
        <v>4.3999999999999994E-3</v>
      </c>
      <c r="C24" s="391">
        <f t="shared" si="2"/>
        <v>5.0799999999999994E-3</v>
      </c>
      <c r="D24" s="391">
        <f t="shared" si="3"/>
        <v>5.5599999999999998E-3</v>
      </c>
      <c r="E24" s="391">
        <f t="shared" si="4"/>
        <v>5.8399999999999997E-3</v>
      </c>
      <c r="F24" s="391">
        <f t="shared" si="5"/>
        <v>6.1399999999999996E-3</v>
      </c>
      <c r="G24" s="390">
        <f>VLOOKUP($A24,'Output Baseline'!$A:$CW,MATCH('Model Output-LoanNameUpdate'!G$2,'Output Baseline'!$A$1:$CW$1,0),FALSE)</f>
        <v>4.0000000000000001E-3</v>
      </c>
      <c r="H24" s="390">
        <f>VLOOKUP($A24,'Output Baseline'!$A:$CW,MATCH('Model Output-LoanNameUpdate'!H$2,'Output Baseline'!$A$1:$CW$1,0),FALSE)</f>
        <v>4.5999999999999999E-3</v>
      </c>
      <c r="I24" s="390">
        <f>VLOOKUP($A24,'Output Baseline'!$A:$CW,MATCH('Model Output-LoanNameUpdate'!I$2,'Output Baseline'!$A$1:$CW$1,0),FALSE)</f>
        <v>5.0000000000000001E-3</v>
      </c>
      <c r="J24" s="390">
        <f>VLOOKUP($A24,'Output Baseline'!$A:$CW,MATCH('Model Output-LoanNameUpdate'!J$2,'Output Baseline'!$A$1:$CW$1,0),FALSE)</f>
        <v>5.1999999999999998E-3</v>
      </c>
      <c r="K24" s="390">
        <f>VLOOKUP($A24,'Output Baseline'!$A:$CW,MATCH('Model Output-LoanNameUpdate'!K$2,'Output Baseline'!$A$1:$CW$1,0),FALSE)</f>
        <v>5.4999999999999997E-3</v>
      </c>
      <c r="L24" s="390">
        <f>VLOOKUP($A24,'Output 90% Downside'!$A:$CW,MATCH('Model Output-LoanNameUpdate'!L$2,'Output 90% Downside'!$A$1:$CW$1,0),FALSE)</f>
        <v>5.0000000000000001E-3</v>
      </c>
      <c r="M24" s="390">
        <f>VLOOKUP($A24,'Output 90% Downside'!$A:$CW,MATCH('Model Output-LoanNameUpdate'!M$2,'Output 90% Downside'!$A$1:$CW$1,0),FALSE)</f>
        <v>5.7999999999999996E-3</v>
      </c>
      <c r="N24" s="390">
        <f>VLOOKUP($A24,'Output 90% Downside'!$A:$CW,MATCH('Model Output-LoanNameUpdate'!N$2,'Output 90% Downside'!$A$1:$CW$1,0),FALSE)</f>
        <v>6.4000000000000003E-3</v>
      </c>
      <c r="O24" s="390">
        <f>VLOOKUP($A24,'Output 90% Downside'!$A:$CW,MATCH('Model Output-LoanNameUpdate'!O$2,'Output 90% Downside'!$A$1:$CW$1,0),FALSE)</f>
        <v>6.7999999999999996E-3</v>
      </c>
      <c r="P24" s="390">
        <f>VLOOKUP($A24,'Output 90% Downside'!$A:$CW,MATCH('Model Output-LoanNameUpdate'!P$2,'Output 90% Downside'!$A$1:$CW$1,0),FALSE)</f>
        <v>7.1000000000000004E-3</v>
      </c>
      <c r="Q24" s="390">
        <f>VLOOKUP($A24,'Output 96% Downside'!$A:$CW,MATCH('Model Output-LoanNameUpdate'!Q$2,'Output 96% Downside'!$A$1:$CW$1,0),FALSE)</f>
        <v>5.0000000000000001E-3</v>
      </c>
      <c r="R24" s="390">
        <f>VLOOKUP($A24,'Output 96% Downside'!$A:$CW,MATCH('Model Output-LoanNameUpdate'!R$2,'Output 96% Downside'!$A$1:$CW$1,0),FALSE)</f>
        <v>5.7999999999999996E-3</v>
      </c>
      <c r="S24" s="390">
        <f>VLOOKUP($A24,'Output 96% Downside'!$A:$CW,MATCH('Model Output-LoanNameUpdate'!S$2,'Output 96% Downside'!$A$1:$CW$1,0),FALSE)</f>
        <v>6.4000000000000003E-3</v>
      </c>
      <c r="T24" s="390">
        <f>VLOOKUP($A24,'Output 96% Downside'!$A:$CW,MATCH('Model Output-LoanNameUpdate'!T$2,'Output 96% Downside'!$A$1:$CW$1,0),FALSE)</f>
        <v>6.7999999999999996E-3</v>
      </c>
      <c r="U24" s="390">
        <f>VLOOKUP($A24,'Output 96% Downside'!$A:$CW,MATCH('Model Output-LoanNameUpdate'!U$2,'Output 96% Downside'!$A$1:$CW$1,0),FALSE)</f>
        <v>7.1000000000000004E-3</v>
      </c>
    </row>
    <row r="25" spans="1:21" x14ac:dyDescent="0.25">
      <c r="A25" s="354" t="s">
        <v>1113</v>
      </c>
      <c r="B25" s="391">
        <f t="shared" si="1"/>
        <v>7.0200000000000002E-3</v>
      </c>
      <c r="C25" s="391">
        <f t="shared" si="2"/>
        <v>6.8299999999999993E-3</v>
      </c>
      <c r="D25" s="391">
        <f t="shared" si="3"/>
        <v>6.685E-3</v>
      </c>
      <c r="E25" s="391">
        <f t="shared" si="4"/>
        <v>6.5799999999999999E-3</v>
      </c>
      <c r="F25" s="391">
        <f t="shared" si="5"/>
        <v>6.5399999999999998E-3</v>
      </c>
      <c r="G25" s="390">
        <f>VLOOKUP($A25,'Output Baseline'!$A:$CW,MATCH('Model Output-LoanNameUpdate'!G$2,'Output Baseline'!$A$1:$CW$1,0),FALSE)</f>
        <v>6.7000000000000002E-3</v>
      </c>
      <c r="H25" s="390">
        <f>VLOOKUP($A25,'Output Baseline'!$A:$CW,MATCH('Model Output-LoanNameUpdate'!H$2,'Output Baseline'!$A$1:$CW$1,0),FALSE)</f>
        <v>6.6E-3</v>
      </c>
      <c r="I25" s="390">
        <f>VLOOKUP($A25,'Output Baseline'!$A:$CW,MATCH('Model Output-LoanNameUpdate'!I$2,'Output Baseline'!$A$1:$CW$1,0),FALSE)</f>
        <v>6.4999999999999997E-3</v>
      </c>
      <c r="J25" s="390">
        <f>VLOOKUP($A25,'Output Baseline'!$A:$CW,MATCH('Model Output-LoanNameUpdate'!J$2,'Output Baseline'!$A$1:$CW$1,0),FALSE)</f>
        <v>6.4000000000000003E-3</v>
      </c>
      <c r="K25" s="390">
        <f>VLOOKUP($A25,'Output Baseline'!$A:$CW,MATCH('Model Output-LoanNameUpdate'!K$2,'Output Baseline'!$A$1:$CW$1,0),FALSE)</f>
        <v>6.4000000000000003E-3</v>
      </c>
      <c r="L25" s="390">
        <f>VLOOKUP($A25,'Output 90% Downside'!$A:$CW,MATCH('Model Output-LoanNameUpdate'!L$2,'Output 90% Downside'!$A$1:$CW$1,0),FALSE)</f>
        <v>7.4999999999999997E-3</v>
      </c>
      <c r="M25" s="390">
        <f>VLOOKUP($A25,'Output 90% Downside'!$A:$CW,MATCH('Model Output-LoanNameUpdate'!M$2,'Output 90% Downside'!$A$1:$CW$1,0),FALSE)</f>
        <v>7.1999999999999998E-3</v>
      </c>
      <c r="N25" s="390">
        <f>VLOOKUP($A25,'Output 90% Downside'!$A:$CW,MATCH('Model Output-LoanNameUpdate'!N$2,'Output 90% Downside'!$A$1:$CW$1,0),FALSE)</f>
        <v>7.0000000000000001E-3</v>
      </c>
      <c r="O25" s="390">
        <f>VLOOKUP($A25,'Output 90% Downside'!$A:$CW,MATCH('Model Output-LoanNameUpdate'!O$2,'Output 90% Downside'!$A$1:$CW$1,0),FALSE)</f>
        <v>6.8999999999999999E-3</v>
      </c>
      <c r="P25" s="390">
        <f>VLOOKUP($A25,'Output 90% Downside'!$A:$CW,MATCH('Model Output-LoanNameUpdate'!P$2,'Output 90% Downside'!$A$1:$CW$1,0),FALSE)</f>
        <v>6.7999999999999996E-3</v>
      </c>
      <c r="Q25" s="390">
        <f>VLOOKUP($A25,'Output 96% Downside'!$A:$CW,MATCH('Model Output-LoanNameUpdate'!Q$2,'Output 96% Downside'!$A$1:$CW$1,0),FALSE)</f>
        <v>7.4999999999999997E-3</v>
      </c>
      <c r="R25" s="390">
        <f>VLOOKUP($A25,'Output 96% Downside'!$A:$CW,MATCH('Model Output-LoanNameUpdate'!R$2,'Output 96% Downside'!$A$1:$CW$1,0),FALSE)</f>
        <v>7.0000000000000001E-3</v>
      </c>
      <c r="S25" s="390">
        <f>VLOOKUP($A25,'Output 96% Downside'!$A:$CW,MATCH('Model Output-LoanNameUpdate'!S$2,'Output 96% Downside'!$A$1:$CW$1,0),FALSE)</f>
        <v>6.7000000000000002E-3</v>
      </c>
      <c r="T25" s="390">
        <f>VLOOKUP($A25,'Output 96% Downside'!$A:$CW,MATCH('Model Output-LoanNameUpdate'!T$2,'Output 96% Downside'!$A$1:$CW$1,0),FALSE)</f>
        <v>6.4999999999999997E-3</v>
      </c>
      <c r="U25" s="390">
        <f>VLOOKUP($A25,'Output 96% Downside'!$A:$CW,MATCH('Model Output-LoanNameUpdate'!U$2,'Output 96% Downside'!$A$1:$CW$1,0),FALSE)</f>
        <v>6.4000000000000003E-3</v>
      </c>
    </row>
    <row r="26" spans="1:21" x14ac:dyDescent="0.25">
      <c r="A26" s="354" t="s">
        <v>3424</v>
      </c>
      <c r="B26" s="391">
        <f t="shared" si="1"/>
        <v>1.2749999999999999E-2</v>
      </c>
      <c r="C26" s="391">
        <f t="shared" si="2"/>
        <v>1.2699999999999999E-2</v>
      </c>
      <c r="D26" s="391">
        <f t="shared" si="3"/>
        <v>1.2685E-2</v>
      </c>
      <c r="E26" s="391">
        <f t="shared" si="4"/>
        <v>1.2684999999999998E-2</v>
      </c>
      <c r="F26" s="391">
        <f t="shared" si="5"/>
        <v>1.2725E-2</v>
      </c>
      <c r="G26" s="390">
        <f>VLOOKUP($A26,'Output Baseline'!$A:$CW,MATCH('Model Output-LoanNameUpdate'!G$2,'Output Baseline'!$A$1:$CW$1,0),FALSE)</f>
        <v>1.12E-2</v>
      </c>
      <c r="H26" s="390">
        <f>VLOOKUP($A26,'Output Baseline'!$A:$CW,MATCH('Model Output-LoanNameUpdate'!H$2,'Output Baseline'!$A$1:$CW$1,0),FALSE)</f>
        <v>1.14E-2</v>
      </c>
      <c r="I26" s="390">
        <f>VLOOKUP($A26,'Output Baseline'!$A:$CW,MATCH('Model Output-LoanNameUpdate'!I$2,'Output Baseline'!$A$1:$CW$1,0),FALSE)</f>
        <v>1.15E-2</v>
      </c>
      <c r="J26" s="390">
        <f>VLOOKUP($A26,'Output Baseline'!$A:$CW,MATCH('Model Output-LoanNameUpdate'!J$2,'Output Baseline'!$A$1:$CW$1,0),FALSE)</f>
        <v>1.1599999999999999E-2</v>
      </c>
      <c r="K26" s="390">
        <f>VLOOKUP($A26,'Output Baseline'!$A:$CW,MATCH('Model Output-LoanNameUpdate'!K$2,'Output Baseline'!$A$1:$CW$1,0),FALSE)</f>
        <v>1.17E-2</v>
      </c>
      <c r="L26" s="390">
        <f>VLOOKUP($A26,'Output 90% Downside'!$A:$CW,MATCH('Model Output-LoanNameUpdate'!L$2,'Output 90% Downside'!$A$1:$CW$1,0),FALSE)</f>
        <v>1.43E-2</v>
      </c>
      <c r="M26" s="390">
        <f>VLOOKUP($A26,'Output 90% Downside'!$A:$CW,MATCH('Model Output-LoanNameUpdate'!M$2,'Output 90% Downside'!$A$1:$CW$1,0),FALSE)</f>
        <v>1.4E-2</v>
      </c>
      <c r="N26" s="390">
        <f>VLOOKUP($A26,'Output 90% Downside'!$A:$CW,MATCH('Model Output-LoanNameUpdate'!N$2,'Output 90% Downside'!$A$1:$CW$1,0),FALSE)</f>
        <v>1.3899999999999999E-2</v>
      </c>
      <c r="O26" s="390">
        <f>VLOOKUP($A26,'Output 90% Downside'!$A:$CW,MATCH('Model Output-LoanNameUpdate'!O$2,'Output 90% Downside'!$A$1:$CW$1,0),FALSE)</f>
        <v>1.38E-2</v>
      </c>
      <c r="P26" s="390">
        <f>VLOOKUP($A26,'Output 90% Downside'!$A:$CW,MATCH('Model Output-LoanNameUpdate'!P$2,'Output 90% Downside'!$A$1:$CW$1,0),FALSE)</f>
        <v>1.38E-2</v>
      </c>
      <c r="Q26" s="390">
        <f>VLOOKUP($A26,'Output 96% Downside'!$A:$CW,MATCH('Model Output-LoanNameUpdate'!Q$2,'Output 96% Downside'!$A$1:$CW$1,0),FALSE)</f>
        <v>2.0500000000000001E-2</v>
      </c>
      <c r="R26" s="390">
        <f>VLOOKUP($A26,'Output 96% Downside'!$A:$CW,MATCH('Model Output-LoanNameUpdate'!R$2,'Output 96% Downside'!$A$1:$CW$1,0),FALSE)</f>
        <v>1.9199999999999998E-2</v>
      </c>
      <c r="S26" s="390">
        <f>VLOOKUP($A26,'Output 96% Downside'!$A:$CW,MATCH('Model Output-LoanNameUpdate'!S$2,'Output 96% Downside'!$A$1:$CW$1,0),FALSE)</f>
        <v>1.84E-2</v>
      </c>
      <c r="T26" s="390">
        <f>VLOOKUP($A26,'Output 96% Downside'!$A:$CW,MATCH('Model Output-LoanNameUpdate'!T$2,'Output 96% Downside'!$A$1:$CW$1,0),FALSE)</f>
        <v>1.7899999999999999E-2</v>
      </c>
      <c r="U26" s="390">
        <f>VLOOKUP($A26,'Output 96% Downside'!$A:$CW,MATCH('Model Output-LoanNameUpdate'!U$2,'Output 96% Downside'!$A$1:$CW$1,0),FALSE)</f>
        <v>1.7500000000000002E-2</v>
      </c>
    </row>
    <row r="27" spans="1:21" x14ac:dyDescent="0.25">
      <c r="A27" s="354" t="s">
        <v>1077</v>
      </c>
      <c r="B27" s="391">
        <f t="shared" si="1"/>
        <v>7.6799999999999993E-3</v>
      </c>
      <c r="C27" s="391">
        <f t="shared" si="2"/>
        <v>7.4449999999999994E-3</v>
      </c>
      <c r="D27" s="391">
        <f t="shared" si="3"/>
        <v>7.3399999999999993E-3</v>
      </c>
      <c r="E27" s="391">
        <f t="shared" si="4"/>
        <v>7.3100000000000005E-3</v>
      </c>
      <c r="F27" s="391">
        <f t="shared" si="5"/>
        <v>7.2549999999999993E-3</v>
      </c>
      <c r="G27" s="390">
        <f>VLOOKUP($A27,'Output Baseline'!$A:$CW,MATCH('Model Output-LoanNameUpdate'!G$2,'Output Baseline'!$A$1:$CW$1,0),FALSE)</f>
        <v>5.7999999999999996E-3</v>
      </c>
      <c r="H27" s="390">
        <f>VLOOKUP($A27,'Output Baseline'!$A:$CW,MATCH('Model Output-LoanNameUpdate'!H$2,'Output Baseline'!$A$1:$CW$1,0),FALSE)</f>
        <v>5.7999999999999996E-3</v>
      </c>
      <c r="I27" s="390">
        <f>VLOOKUP($A27,'Output Baseline'!$A:$CW,MATCH('Model Output-LoanNameUpdate'!I$2,'Output Baseline'!$A$1:$CW$1,0),FALSE)</f>
        <v>5.7999999999999996E-3</v>
      </c>
      <c r="J27" s="390">
        <f>VLOOKUP($A27,'Output Baseline'!$A:$CW,MATCH('Model Output-LoanNameUpdate'!J$2,'Output Baseline'!$A$1:$CW$1,0),FALSE)</f>
        <v>5.8999999999999999E-3</v>
      </c>
      <c r="K27" s="390">
        <f>VLOOKUP($A27,'Output Baseline'!$A:$CW,MATCH('Model Output-LoanNameUpdate'!K$2,'Output Baseline'!$A$1:$CW$1,0),FALSE)</f>
        <v>5.8999999999999999E-3</v>
      </c>
      <c r="L27" s="390">
        <f>VLOOKUP($A27,'Output 90% Downside'!$A:$CW,MATCH('Model Output-LoanNameUpdate'!L$2,'Output 90% Downside'!$A$1:$CW$1,0),FALSE)</f>
        <v>0.01</v>
      </c>
      <c r="M27" s="390">
        <f>VLOOKUP($A27,'Output 90% Downside'!$A:$CW,MATCH('Model Output-LoanNameUpdate'!M$2,'Output 90% Downside'!$A$1:$CW$1,0),FALSE)</f>
        <v>9.4999999999999998E-3</v>
      </c>
      <c r="N27" s="390">
        <f>VLOOKUP($A27,'Output 90% Downside'!$A:$CW,MATCH('Model Output-LoanNameUpdate'!N$2,'Output 90% Downside'!$A$1:$CW$1,0),FALSE)</f>
        <v>9.2999999999999992E-3</v>
      </c>
      <c r="O27" s="390">
        <f>VLOOKUP($A27,'Output 90% Downside'!$A:$CW,MATCH('Model Output-LoanNameUpdate'!O$2,'Output 90% Downside'!$A$1:$CW$1,0),FALSE)</f>
        <v>9.1000000000000004E-3</v>
      </c>
      <c r="P27" s="390">
        <f>VLOOKUP($A27,'Output 90% Downside'!$A:$CW,MATCH('Model Output-LoanNameUpdate'!P$2,'Output 90% Downside'!$A$1:$CW$1,0),FALSE)</f>
        <v>8.9999999999999993E-3</v>
      </c>
      <c r="Q27" s="390">
        <f>VLOOKUP($A27,'Output 96% Downside'!$A:$CW,MATCH('Model Output-LoanNameUpdate'!Q$2,'Output 96% Downside'!$A$1:$CW$1,0),FALSE)</f>
        <v>1.4E-2</v>
      </c>
      <c r="R27" s="390">
        <f>VLOOKUP($A27,'Output 96% Downside'!$A:$CW,MATCH('Model Output-LoanNameUpdate'!R$2,'Output 96% Downside'!$A$1:$CW$1,0),FALSE)</f>
        <v>1.2800000000000001E-2</v>
      </c>
      <c r="S27" s="390">
        <f>VLOOKUP($A27,'Output 96% Downside'!$A:$CW,MATCH('Model Output-LoanNameUpdate'!S$2,'Output 96% Downside'!$A$1:$CW$1,0),FALSE)</f>
        <v>1.21E-2</v>
      </c>
      <c r="T27" s="390">
        <f>VLOOKUP($A27,'Output 96% Downside'!$A:$CW,MATCH('Model Output-LoanNameUpdate'!T$2,'Output 96% Downside'!$A$1:$CW$1,0),FALSE)</f>
        <v>1.17E-2</v>
      </c>
      <c r="U27" s="390">
        <f>VLOOKUP($A27,'Output 96% Downside'!$A:$CW,MATCH('Model Output-LoanNameUpdate'!U$2,'Output 96% Downside'!$A$1:$CW$1,0),FALSE)</f>
        <v>1.1299999999999999E-2</v>
      </c>
    </row>
    <row r="28" spans="1:21" x14ac:dyDescent="0.25">
      <c r="A28" s="354" t="s">
        <v>2767</v>
      </c>
      <c r="B28" s="391">
        <f t="shared" si="1"/>
        <v>4.1949999999999999E-3</v>
      </c>
      <c r="C28" s="391">
        <f t="shared" si="2"/>
        <v>4.6849999999999999E-3</v>
      </c>
      <c r="D28" s="391">
        <f t="shared" si="3"/>
        <v>5.0399999999999993E-3</v>
      </c>
      <c r="E28" s="391">
        <f t="shared" si="4"/>
        <v>5.2349999999999983E-3</v>
      </c>
      <c r="F28" s="391">
        <f t="shared" si="5"/>
        <v>5.4299999999999999E-3</v>
      </c>
      <c r="G28" s="390">
        <f>VLOOKUP($A28,'Output Baseline'!$A:$CW,MATCH('Model Output-LoanNameUpdate'!G$2,'Output Baseline'!$A$1:$CW$1,0),FALSE)</f>
        <v>2.8E-3</v>
      </c>
      <c r="H28" s="390">
        <f>VLOOKUP($A28,'Output Baseline'!$A:$CW,MATCH('Model Output-LoanNameUpdate'!H$2,'Output Baseline'!$A$1:$CW$1,0),FALSE)</f>
        <v>3.3E-3</v>
      </c>
      <c r="I28" s="390">
        <f>VLOOKUP($A28,'Output Baseline'!$A:$CW,MATCH('Model Output-LoanNameUpdate'!I$2,'Output Baseline'!$A$1:$CW$1,0),FALSE)</f>
        <v>3.7000000000000002E-3</v>
      </c>
      <c r="J28" s="390">
        <f>VLOOKUP($A28,'Output Baseline'!$A:$CW,MATCH('Model Output-LoanNameUpdate'!J$2,'Output Baseline'!$A$1:$CW$1,0),FALSE)</f>
        <v>3.8999999999999998E-3</v>
      </c>
      <c r="K28" s="390">
        <f>VLOOKUP($A28,'Output Baseline'!$A:$CW,MATCH('Model Output-LoanNameUpdate'!K$2,'Output Baseline'!$A$1:$CW$1,0),FALSE)</f>
        <v>4.1000000000000003E-3</v>
      </c>
      <c r="L28" s="390">
        <f>VLOOKUP($A28,'Output 90% Downside'!$A:$CW,MATCH('Model Output-LoanNameUpdate'!L$2,'Output 90% Downside'!$A$1:$CW$1,0),FALSE)</f>
        <v>5.8999999999999999E-3</v>
      </c>
      <c r="M28" s="390">
        <f>VLOOKUP($A28,'Output 90% Downside'!$A:$CW,MATCH('Model Output-LoanNameUpdate'!M$2,'Output 90% Downside'!$A$1:$CW$1,0),FALSE)</f>
        <v>6.4000000000000003E-3</v>
      </c>
      <c r="N28" s="390">
        <f>VLOOKUP($A28,'Output 90% Downside'!$A:$CW,MATCH('Model Output-LoanNameUpdate'!N$2,'Output 90% Downside'!$A$1:$CW$1,0),FALSE)</f>
        <v>6.7000000000000002E-3</v>
      </c>
      <c r="O28" s="390">
        <f>VLOOKUP($A28,'Output 90% Downside'!$A:$CW,MATCH('Model Output-LoanNameUpdate'!O$2,'Output 90% Downside'!$A$1:$CW$1,0),FALSE)</f>
        <v>6.8999999999999999E-3</v>
      </c>
      <c r="P28" s="390">
        <f>VLOOKUP($A28,'Output 90% Downside'!$A:$CW,MATCH('Model Output-LoanNameUpdate'!P$2,'Output 90% Downside'!$A$1:$CW$1,0),FALSE)</f>
        <v>7.1000000000000004E-3</v>
      </c>
      <c r="Q28" s="390">
        <f>VLOOKUP($A28,'Output 96% Downside'!$A:$CW,MATCH('Model Output-LoanNameUpdate'!Q$2,'Output 96% Downside'!$A$1:$CW$1,0),FALSE)</f>
        <v>8.9999999999999993E-3</v>
      </c>
      <c r="R28" s="390">
        <f>VLOOKUP($A28,'Output 96% Downside'!$A:$CW,MATCH('Model Output-LoanNameUpdate'!R$2,'Output 96% Downside'!$A$1:$CW$1,0),FALSE)</f>
        <v>9.2999999999999992E-3</v>
      </c>
      <c r="S28" s="390">
        <f>VLOOKUP($A28,'Output 96% Downside'!$A:$CW,MATCH('Model Output-LoanNameUpdate'!S$2,'Output 96% Downside'!$A$1:$CW$1,0),FALSE)</f>
        <v>9.4999999999999998E-3</v>
      </c>
      <c r="T28" s="390">
        <f>VLOOKUP($A28,'Output 96% Downside'!$A:$CW,MATCH('Model Output-LoanNameUpdate'!T$2,'Output 96% Downside'!$A$1:$CW$1,0),FALSE)</f>
        <v>9.5999999999999992E-3</v>
      </c>
      <c r="U28" s="390">
        <f>VLOOKUP($A28,'Output 96% Downside'!$A:$CW,MATCH('Model Output-LoanNameUpdate'!U$2,'Output 96% Downside'!$A$1:$CW$1,0),FALSE)</f>
        <v>9.7000000000000003E-3</v>
      </c>
    </row>
    <row r="29" spans="1:21" x14ac:dyDescent="0.25">
      <c r="A29" s="354" t="s">
        <v>1061</v>
      </c>
      <c r="B29" s="391">
        <f t="shared" si="1"/>
        <v>1.2485E-2</v>
      </c>
      <c r="C29" s="391">
        <f t="shared" si="2"/>
        <v>1.1665E-2</v>
      </c>
      <c r="D29" s="391">
        <f t="shared" si="3"/>
        <v>1.1294999999999999E-2</v>
      </c>
      <c r="E29" s="391">
        <f t="shared" si="4"/>
        <v>1.0964999999999999E-2</v>
      </c>
      <c r="F29" s="391">
        <f t="shared" si="5"/>
        <v>1.0829999999999999E-2</v>
      </c>
      <c r="G29" s="390">
        <f>VLOOKUP($A29,'Output Baseline'!$A:$CW,MATCH('Model Output-LoanNameUpdate'!G$2,'Output Baseline'!$A$1:$CW$1,0),FALSE)</f>
        <v>5.7999999999999996E-3</v>
      </c>
      <c r="H29" s="390">
        <f>VLOOKUP($A29,'Output Baseline'!$A:$CW,MATCH('Model Output-LoanNameUpdate'!H$2,'Output Baseline'!$A$1:$CW$1,0),FALSE)</f>
        <v>6.1999999999999998E-3</v>
      </c>
      <c r="I29" s="390">
        <f>VLOOKUP($A29,'Output Baseline'!$A:$CW,MATCH('Model Output-LoanNameUpdate'!I$2,'Output Baseline'!$A$1:$CW$1,0),FALSE)</f>
        <v>6.4999999999999997E-3</v>
      </c>
      <c r="J29" s="390">
        <f>VLOOKUP($A29,'Output Baseline'!$A:$CW,MATCH('Model Output-LoanNameUpdate'!J$2,'Output Baseline'!$A$1:$CW$1,0),FALSE)</f>
        <v>6.6E-3</v>
      </c>
      <c r="K29" s="390">
        <f>VLOOKUP($A29,'Output Baseline'!$A:$CW,MATCH('Model Output-LoanNameUpdate'!K$2,'Output Baseline'!$A$1:$CW$1,0),FALSE)</f>
        <v>6.7999999999999996E-3</v>
      </c>
      <c r="L29" s="390">
        <f>VLOOKUP($A29,'Output 90% Downside'!$A:$CW,MATCH('Model Output-LoanNameUpdate'!L$2,'Output 90% Downside'!$A$1:$CW$1,0),FALSE)</f>
        <v>2.01E-2</v>
      </c>
      <c r="M29" s="390">
        <f>VLOOKUP($A29,'Output 90% Downside'!$A:$CW,MATCH('Model Output-LoanNameUpdate'!M$2,'Output 90% Downside'!$A$1:$CW$1,0),FALSE)</f>
        <v>1.7999999999999999E-2</v>
      </c>
      <c r="N29" s="390">
        <f>VLOOKUP($A29,'Output 90% Downside'!$A:$CW,MATCH('Model Output-LoanNameUpdate'!N$2,'Output 90% Downside'!$A$1:$CW$1,0),FALSE)</f>
        <v>1.6899999999999998E-2</v>
      </c>
      <c r="O29" s="390">
        <f>VLOOKUP($A29,'Output 90% Downside'!$A:$CW,MATCH('Model Output-LoanNameUpdate'!O$2,'Output 90% Downside'!$A$1:$CW$1,0),FALSE)</f>
        <v>1.61E-2</v>
      </c>
      <c r="P29" s="390">
        <f>VLOOKUP($A29,'Output 90% Downside'!$A:$CW,MATCH('Model Output-LoanNameUpdate'!P$2,'Output 90% Downside'!$A$1:$CW$1,0),FALSE)</f>
        <v>1.5599999999999999E-2</v>
      </c>
      <c r="Q29" s="390">
        <f>VLOOKUP($A29,'Output 96% Downside'!$A:$CW,MATCH('Model Output-LoanNameUpdate'!Q$2,'Output 96% Downside'!$A$1:$CW$1,0),FALSE)</f>
        <v>3.9399999999999998E-2</v>
      </c>
      <c r="R29" s="390">
        <f>VLOOKUP($A29,'Output 96% Downside'!$A:$CW,MATCH('Model Output-LoanNameUpdate'!R$2,'Output 96% Downside'!$A$1:$CW$1,0),FALSE)</f>
        <v>3.2899999999999999E-2</v>
      </c>
      <c r="S29" s="390">
        <f>VLOOKUP($A29,'Output 96% Downside'!$A:$CW,MATCH('Model Output-LoanNameUpdate'!S$2,'Output 96% Downside'!$A$1:$CW$1,0),FALSE)</f>
        <v>2.9600000000000001E-2</v>
      </c>
      <c r="T29" s="390">
        <f>VLOOKUP($A29,'Output 96% Downside'!$A:$CW,MATCH('Model Output-LoanNameUpdate'!T$2,'Output 96% Downside'!$A$1:$CW$1,0),FALSE)</f>
        <v>2.7400000000000001E-2</v>
      </c>
      <c r="U29" s="390">
        <f>VLOOKUP($A29,'Output 96% Downside'!$A:$CW,MATCH('Model Output-LoanNameUpdate'!U$2,'Output 96% Downside'!$A$1:$CW$1,0),FALSE)</f>
        <v>2.58E-2</v>
      </c>
    </row>
    <row r="30" spans="1:21" x14ac:dyDescent="0.25">
      <c r="A30" s="354" t="s">
        <v>1112</v>
      </c>
      <c r="B30" s="391">
        <f t="shared" si="1"/>
        <v>5.2099999999999994E-3</v>
      </c>
      <c r="C30" s="391">
        <f t="shared" si="2"/>
        <v>4.535E-3</v>
      </c>
      <c r="D30" s="391">
        <f t="shared" si="3"/>
        <v>4.1849999999999995E-3</v>
      </c>
      <c r="E30" s="391">
        <f t="shared" si="4"/>
        <v>3.9399999999999999E-3</v>
      </c>
      <c r="F30" s="391">
        <f t="shared" si="5"/>
        <v>3.7949999999999998E-3</v>
      </c>
      <c r="G30" s="390">
        <f>VLOOKUP($A30,'Output Baseline'!$A:$CW,MATCH('Model Output-LoanNameUpdate'!G$2,'Output Baseline'!$A$1:$CW$1,0),FALSE)</f>
        <v>4.1999999999999997E-3</v>
      </c>
      <c r="H30" s="390">
        <f>VLOOKUP($A30,'Output Baseline'!$A:$CW,MATCH('Model Output-LoanNameUpdate'!H$2,'Output Baseline'!$A$1:$CW$1,0),FALSE)</f>
        <v>3.7000000000000002E-3</v>
      </c>
      <c r="I30" s="390">
        <f>VLOOKUP($A30,'Output Baseline'!$A:$CW,MATCH('Model Output-LoanNameUpdate'!I$2,'Output Baseline'!$A$1:$CW$1,0),FALSE)</f>
        <v>3.3999999999999998E-3</v>
      </c>
      <c r="J30" s="390">
        <f>VLOOKUP($A30,'Output Baseline'!$A:$CW,MATCH('Model Output-LoanNameUpdate'!J$2,'Output Baseline'!$A$1:$CW$1,0),FALSE)</f>
        <v>3.2000000000000002E-3</v>
      </c>
      <c r="K30" s="390">
        <f>VLOOKUP($A30,'Output Baseline'!$A:$CW,MATCH('Model Output-LoanNameUpdate'!K$2,'Output Baseline'!$A$1:$CW$1,0),FALSE)</f>
        <v>3.0999999999999999E-3</v>
      </c>
      <c r="L30" s="390">
        <f>VLOOKUP($A30,'Output 90% Downside'!$A:$CW,MATCH('Model Output-LoanNameUpdate'!L$2,'Output 90% Downside'!$A$1:$CW$1,0),FALSE)</f>
        <v>6.4999999999999997E-3</v>
      </c>
      <c r="M30" s="390">
        <f>VLOOKUP($A30,'Output 90% Downside'!$A:$CW,MATCH('Model Output-LoanNameUpdate'!M$2,'Output 90% Downside'!$A$1:$CW$1,0),FALSE)</f>
        <v>5.5999999999999999E-3</v>
      </c>
      <c r="N30" s="390">
        <f>VLOOKUP($A30,'Output 90% Downside'!$A:$CW,MATCH('Model Output-LoanNameUpdate'!N$2,'Output 90% Downside'!$A$1:$CW$1,0),FALSE)</f>
        <v>5.1999999999999998E-3</v>
      </c>
      <c r="O30" s="390">
        <f>VLOOKUP($A30,'Output 90% Downside'!$A:$CW,MATCH('Model Output-LoanNameUpdate'!O$2,'Output 90% Downside'!$A$1:$CW$1,0),FALSE)</f>
        <v>4.8999999999999998E-3</v>
      </c>
      <c r="P30" s="390">
        <f>VLOOKUP($A30,'Output 90% Downside'!$A:$CW,MATCH('Model Output-LoanNameUpdate'!P$2,'Output 90% Downside'!$A$1:$CW$1,0),FALSE)</f>
        <v>4.7000000000000002E-3</v>
      </c>
      <c r="Q30" s="390">
        <f>VLOOKUP($A30,'Output 96% Downside'!$A:$CW,MATCH('Model Output-LoanNameUpdate'!Q$2,'Output 96% Downside'!$A$1:$CW$1,0),FALSE)</f>
        <v>8.3000000000000001E-3</v>
      </c>
      <c r="R30" s="390">
        <f>VLOOKUP($A30,'Output 96% Downside'!$A:$CW,MATCH('Model Output-LoanNameUpdate'!R$2,'Output 96% Downside'!$A$1:$CW$1,0),FALSE)</f>
        <v>7.1000000000000004E-3</v>
      </c>
      <c r="S30" s="390">
        <f>VLOOKUP($A30,'Output 96% Downside'!$A:$CW,MATCH('Model Output-LoanNameUpdate'!S$2,'Output 96% Downside'!$A$1:$CW$1,0),FALSE)</f>
        <v>6.4999999999999997E-3</v>
      </c>
      <c r="T30" s="390">
        <f>VLOOKUP($A30,'Output 96% Downside'!$A:$CW,MATCH('Model Output-LoanNameUpdate'!T$2,'Output 96% Downside'!$A$1:$CW$1,0),FALSE)</f>
        <v>6.1000000000000004E-3</v>
      </c>
      <c r="U30" s="390">
        <f>VLOOKUP($A30,'Output 96% Downside'!$A:$CW,MATCH('Model Output-LoanNameUpdate'!U$2,'Output 96% Downside'!$A$1:$CW$1,0),FALSE)</f>
        <v>5.7999999999999996E-3</v>
      </c>
    </row>
    <row r="31" spans="1:21" x14ac:dyDescent="0.25">
      <c r="A31" s="354" t="s">
        <v>1117</v>
      </c>
      <c r="B31" s="391">
        <f t="shared" si="1"/>
        <v>3.9399999999999999E-3</v>
      </c>
      <c r="C31" s="391">
        <f t="shared" si="2"/>
        <v>4.7799999999999995E-3</v>
      </c>
      <c r="D31" s="391">
        <f t="shared" si="3"/>
        <v>5.28E-3</v>
      </c>
      <c r="E31" s="391">
        <f t="shared" si="4"/>
        <v>5.7199999999999994E-3</v>
      </c>
      <c r="F31" s="391">
        <f t="shared" si="5"/>
        <v>6.0199999999999993E-3</v>
      </c>
      <c r="G31" s="390">
        <f>VLOOKUP($A31,'Output Baseline'!$A:$CW,MATCH('Model Output-LoanNameUpdate'!G$2,'Output Baseline'!$A$1:$CW$1,0),FALSE)</f>
        <v>3.5000000000000001E-3</v>
      </c>
      <c r="H31" s="390">
        <f>VLOOKUP($A31,'Output Baseline'!$A:$CW,MATCH('Model Output-LoanNameUpdate'!H$2,'Output Baseline'!$A$1:$CW$1,0),FALSE)</f>
        <v>4.3E-3</v>
      </c>
      <c r="I31" s="390">
        <f>VLOOKUP($A31,'Output Baseline'!$A:$CW,MATCH('Model Output-LoanNameUpdate'!I$2,'Output Baseline'!$A$1:$CW$1,0),FALSE)</f>
        <v>4.7999999999999996E-3</v>
      </c>
      <c r="J31" s="390">
        <f>VLOOKUP($A31,'Output Baseline'!$A:$CW,MATCH('Model Output-LoanNameUpdate'!J$2,'Output Baseline'!$A$1:$CW$1,0),FALSE)</f>
        <v>5.1999999999999998E-3</v>
      </c>
      <c r="K31" s="390">
        <f>VLOOKUP($A31,'Output Baseline'!$A:$CW,MATCH('Model Output-LoanNameUpdate'!K$2,'Output Baseline'!$A$1:$CW$1,0),FALSE)</f>
        <v>5.4999999999999997E-3</v>
      </c>
      <c r="L31" s="390">
        <f>VLOOKUP($A31,'Output 90% Downside'!$A:$CW,MATCH('Model Output-LoanNameUpdate'!L$2,'Output 90% Downside'!$A$1:$CW$1,0),FALSE)</f>
        <v>4.5999999999999999E-3</v>
      </c>
      <c r="M31" s="390">
        <f>VLOOKUP($A31,'Output 90% Downside'!$A:$CW,MATCH('Model Output-LoanNameUpdate'!M$2,'Output 90% Downside'!$A$1:$CW$1,0),FALSE)</f>
        <v>5.4999999999999997E-3</v>
      </c>
      <c r="N31" s="390">
        <f>VLOOKUP($A31,'Output 90% Downside'!$A:$CW,MATCH('Model Output-LoanNameUpdate'!N$2,'Output 90% Downside'!$A$1:$CW$1,0),FALSE)</f>
        <v>6.0000000000000001E-3</v>
      </c>
      <c r="O31" s="390">
        <f>VLOOKUP($A31,'Output 90% Downside'!$A:$CW,MATCH('Model Output-LoanNameUpdate'!O$2,'Output 90% Downside'!$A$1:$CW$1,0),FALSE)</f>
        <v>6.4999999999999997E-3</v>
      </c>
      <c r="P31" s="390">
        <f>VLOOKUP($A31,'Output 90% Downside'!$A:$CW,MATCH('Model Output-LoanNameUpdate'!P$2,'Output 90% Downside'!$A$1:$CW$1,0),FALSE)</f>
        <v>6.7999999999999996E-3</v>
      </c>
      <c r="Q31" s="390">
        <f>VLOOKUP($A31,'Output 96% Downside'!$A:$CW,MATCH('Model Output-LoanNameUpdate'!Q$2,'Output 96% Downside'!$A$1:$CW$1,0),FALSE)</f>
        <v>4.5999999999999999E-3</v>
      </c>
      <c r="R31" s="390">
        <f>VLOOKUP($A31,'Output 96% Downside'!$A:$CW,MATCH('Model Output-LoanNameUpdate'!R$2,'Output 96% Downside'!$A$1:$CW$1,0),FALSE)</f>
        <v>5.4999999999999997E-3</v>
      </c>
      <c r="S31" s="390">
        <f>VLOOKUP($A31,'Output 96% Downside'!$A:$CW,MATCH('Model Output-LoanNameUpdate'!S$2,'Output 96% Downside'!$A$1:$CW$1,0),FALSE)</f>
        <v>6.0000000000000001E-3</v>
      </c>
      <c r="T31" s="390">
        <f>VLOOKUP($A31,'Output 96% Downside'!$A:$CW,MATCH('Model Output-LoanNameUpdate'!T$2,'Output 96% Downside'!$A$1:$CW$1,0),FALSE)</f>
        <v>6.4999999999999997E-3</v>
      </c>
      <c r="U31" s="390">
        <f>VLOOKUP($A31,'Output 96% Downside'!$A:$CW,MATCH('Model Output-LoanNameUpdate'!U$2,'Output 96% Downside'!$A$1:$CW$1,0),FALSE)</f>
        <v>6.7999999999999996E-3</v>
      </c>
    </row>
    <row r="32" spans="1:21" x14ac:dyDescent="0.25">
      <c r="A32" s="354" t="s">
        <v>1119</v>
      </c>
      <c r="B32" s="391">
        <f t="shared" si="1"/>
        <v>6.0999999999999995E-3</v>
      </c>
      <c r="C32" s="391">
        <f t="shared" si="2"/>
        <v>7.0049999999999999E-3</v>
      </c>
      <c r="D32" s="391">
        <f t="shared" si="3"/>
        <v>7.6049999999999998E-3</v>
      </c>
      <c r="E32" s="391">
        <f t="shared" si="4"/>
        <v>8.1049999999999994E-3</v>
      </c>
      <c r="F32" s="391">
        <f t="shared" si="5"/>
        <v>8.4999999999999989E-3</v>
      </c>
      <c r="G32" s="390">
        <f>VLOOKUP($A32,'Output Baseline'!$A:$CW,MATCH('Model Output-LoanNameUpdate'!G$2,'Output Baseline'!$A$1:$CW$1,0),FALSE)</f>
        <v>5.5999999999999999E-3</v>
      </c>
      <c r="H32" s="390">
        <f>VLOOKUP($A32,'Output Baseline'!$A:$CW,MATCH('Model Output-LoanNameUpdate'!H$2,'Output Baseline'!$A$1:$CW$1,0),FALSE)</f>
        <v>6.4999999999999997E-3</v>
      </c>
      <c r="I32" s="390">
        <f>VLOOKUP($A32,'Output Baseline'!$A:$CW,MATCH('Model Output-LoanNameUpdate'!I$2,'Output Baseline'!$A$1:$CW$1,0),FALSE)</f>
        <v>7.1000000000000004E-3</v>
      </c>
      <c r="J32" s="390">
        <f>VLOOKUP($A32,'Output Baseline'!$A:$CW,MATCH('Model Output-LoanNameUpdate'!J$2,'Output Baseline'!$A$1:$CW$1,0),FALSE)</f>
        <v>7.6E-3</v>
      </c>
      <c r="K32" s="390">
        <f>VLOOKUP($A32,'Output Baseline'!$A:$CW,MATCH('Model Output-LoanNameUpdate'!K$2,'Output Baseline'!$A$1:$CW$1,0),FALSE)</f>
        <v>8.0000000000000002E-3</v>
      </c>
      <c r="L32" s="390">
        <f>VLOOKUP($A32,'Output 90% Downside'!$A:$CW,MATCH('Model Output-LoanNameUpdate'!L$2,'Output 90% Downside'!$A$1:$CW$1,0),FALSE)</f>
        <v>6.7999999999999996E-3</v>
      </c>
      <c r="M32" s="390">
        <f>VLOOKUP($A32,'Output 90% Downside'!$A:$CW,MATCH('Model Output-LoanNameUpdate'!M$2,'Output 90% Downside'!$A$1:$CW$1,0),FALSE)</f>
        <v>7.7000000000000002E-3</v>
      </c>
      <c r="N32" s="390">
        <f>VLOOKUP($A32,'Output 90% Downside'!$A:$CW,MATCH('Model Output-LoanNameUpdate'!N$2,'Output 90% Downside'!$A$1:$CW$1,0),FALSE)</f>
        <v>8.3000000000000001E-3</v>
      </c>
      <c r="O32" s="390">
        <f>VLOOKUP($A32,'Output 90% Downside'!$A:$CW,MATCH('Model Output-LoanNameUpdate'!O$2,'Output 90% Downside'!$A$1:$CW$1,0),FALSE)</f>
        <v>8.8000000000000005E-3</v>
      </c>
      <c r="P32" s="390">
        <f>VLOOKUP($A32,'Output 90% Downside'!$A:$CW,MATCH('Model Output-LoanNameUpdate'!P$2,'Output 90% Downside'!$A$1:$CW$1,0),FALSE)</f>
        <v>9.1999999999999998E-3</v>
      </c>
      <c r="Q32" s="390">
        <f>VLOOKUP($A32,'Output 96% Downside'!$A:$CW,MATCH('Model Output-LoanNameUpdate'!Q$2,'Output 96% Downside'!$A$1:$CW$1,0),FALSE)</f>
        <v>7.1999999999999998E-3</v>
      </c>
      <c r="R32" s="390">
        <f>VLOOKUP($A32,'Output 96% Downside'!$A:$CW,MATCH('Model Output-LoanNameUpdate'!R$2,'Output 96% Downside'!$A$1:$CW$1,0),FALSE)</f>
        <v>8.2000000000000007E-3</v>
      </c>
      <c r="S32" s="390">
        <f>VLOOKUP($A32,'Output 96% Downside'!$A:$CW,MATCH('Model Output-LoanNameUpdate'!S$2,'Output 96% Downside'!$A$1:$CW$1,0),FALSE)</f>
        <v>8.8000000000000005E-3</v>
      </c>
      <c r="T32" s="390">
        <f>VLOOKUP($A32,'Output 96% Downside'!$A:$CW,MATCH('Model Output-LoanNameUpdate'!T$2,'Output 96% Downside'!$A$1:$CW$1,0),FALSE)</f>
        <v>9.2999999999999992E-3</v>
      </c>
      <c r="U32" s="390">
        <f>VLOOKUP($A32,'Output 96% Downside'!$A:$CW,MATCH('Model Output-LoanNameUpdate'!U$2,'Output 96% Downside'!$A$1:$CW$1,0),FALSE)</f>
        <v>9.5999999999999992E-3</v>
      </c>
    </row>
    <row r="33" spans="1:21" x14ac:dyDescent="0.25">
      <c r="A33" s="354" t="s">
        <v>1065</v>
      </c>
      <c r="B33" s="391">
        <f t="shared" si="1"/>
        <v>7.4450000000000002E-3</v>
      </c>
      <c r="C33" s="391">
        <f t="shared" si="2"/>
        <v>7.5799999999999999E-3</v>
      </c>
      <c r="D33" s="391">
        <f t="shared" si="3"/>
        <v>7.6749999999999995E-3</v>
      </c>
      <c r="E33" s="391">
        <f t="shared" si="4"/>
        <v>7.7749999999999989E-3</v>
      </c>
      <c r="F33" s="391">
        <f t="shared" si="5"/>
        <v>7.835E-3</v>
      </c>
      <c r="G33" s="390">
        <f>VLOOKUP($A33,'Output Baseline'!$A:$CW,MATCH('Model Output-LoanNameUpdate'!G$2,'Output Baseline'!$A$1:$CW$1,0),FALSE)</f>
        <v>6.7999999999999996E-3</v>
      </c>
      <c r="H33" s="390">
        <f>VLOOKUP($A33,'Output Baseline'!$A:$CW,MATCH('Model Output-LoanNameUpdate'!H$2,'Output Baseline'!$A$1:$CW$1,0),FALSE)</f>
        <v>6.8999999999999999E-3</v>
      </c>
      <c r="I33" s="390">
        <f>VLOOKUP($A33,'Output Baseline'!$A:$CW,MATCH('Model Output-LoanNameUpdate'!I$2,'Output Baseline'!$A$1:$CW$1,0),FALSE)</f>
        <v>7.0000000000000001E-3</v>
      </c>
      <c r="J33" s="390">
        <f>VLOOKUP($A33,'Output Baseline'!$A:$CW,MATCH('Model Output-LoanNameUpdate'!J$2,'Output Baseline'!$A$1:$CW$1,0),FALSE)</f>
        <v>7.1000000000000004E-3</v>
      </c>
      <c r="K33" s="390">
        <f>VLOOKUP($A33,'Output Baseline'!$A:$CW,MATCH('Model Output-LoanNameUpdate'!K$2,'Output Baseline'!$A$1:$CW$1,0),FALSE)</f>
        <v>7.1999999999999998E-3</v>
      </c>
      <c r="L33" s="390">
        <f>VLOOKUP($A33,'Output 90% Downside'!$A:$CW,MATCH('Model Output-LoanNameUpdate'!L$2,'Output 90% Downside'!$A$1:$CW$1,0),FALSE)</f>
        <v>8.3000000000000001E-3</v>
      </c>
      <c r="M33" s="390">
        <f>VLOOKUP($A33,'Output 90% Downside'!$A:$CW,MATCH('Model Output-LoanNameUpdate'!M$2,'Output 90% Downside'!$A$1:$CW$1,0),FALSE)</f>
        <v>8.5000000000000006E-3</v>
      </c>
      <c r="N33" s="390">
        <f>VLOOKUP($A33,'Output 90% Downside'!$A:$CW,MATCH('Model Output-LoanNameUpdate'!N$2,'Output 90% Downside'!$A$1:$CW$1,0),FALSE)</f>
        <v>8.6E-3</v>
      </c>
      <c r="O33" s="390">
        <f>VLOOKUP($A33,'Output 90% Downside'!$A:$CW,MATCH('Model Output-LoanNameUpdate'!O$2,'Output 90% Downside'!$A$1:$CW$1,0),FALSE)</f>
        <v>8.6999999999999994E-3</v>
      </c>
      <c r="P33" s="390">
        <f>VLOOKUP($A33,'Output 90% Downside'!$A:$CW,MATCH('Model Output-LoanNameUpdate'!P$2,'Output 90% Downside'!$A$1:$CW$1,0),FALSE)</f>
        <v>8.6999999999999994E-3</v>
      </c>
      <c r="Q33" s="390">
        <f>VLOOKUP($A33,'Output 96% Downside'!$A:$CW,MATCH('Model Output-LoanNameUpdate'!Q$2,'Output 96% Downside'!$A$1:$CW$1,0),FALSE)</f>
        <v>9.1999999999999998E-3</v>
      </c>
      <c r="R33" s="390">
        <f>VLOOKUP($A33,'Output 96% Downside'!$A:$CW,MATCH('Model Output-LoanNameUpdate'!R$2,'Output 96% Downside'!$A$1:$CW$1,0),FALSE)</f>
        <v>9.2999999999999992E-3</v>
      </c>
      <c r="S33" s="390">
        <f>VLOOKUP($A33,'Output 96% Downside'!$A:$CW,MATCH('Model Output-LoanNameUpdate'!S$2,'Output 96% Downside'!$A$1:$CW$1,0),FALSE)</f>
        <v>9.2999999999999992E-3</v>
      </c>
      <c r="T33" s="390">
        <f>VLOOKUP($A33,'Output 96% Downside'!$A:$CW,MATCH('Model Output-LoanNameUpdate'!T$2,'Output 96% Downside'!$A$1:$CW$1,0),FALSE)</f>
        <v>9.4000000000000004E-3</v>
      </c>
      <c r="U33" s="390">
        <f>VLOOKUP($A33,'Output 96% Downside'!$A:$CW,MATCH('Model Output-LoanNameUpdate'!U$2,'Output 96% Downside'!$A$1:$CW$1,0),FALSE)</f>
        <v>9.4000000000000004E-3</v>
      </c>
    </row>
    <row r="34" spans="1:21" x14ac:dyDescent="0.25">
      <c r="A34" s="354" t="s">
        <v>1122</v>
      </c>
      <c r="B34" s="391">
        <f t="shared" si="1"/>
        <v>7.2479999999999989E-2</v>
      </c>
      <c r="C34" s="391">
        <f t="shared" si="2"/>
        <v>5.704999999999999E-2</v>
      </c>
      <c r="D34" s="391">
        <f t="shared" si="3"/>
        <v>4.9605000000000003E-2</v>
      </c>
      <c r="E34" s="391">
        <f t="shared" si="4"/>
        <v>4.4889999999999999E-2</v>
      </c>
      <c r="F34" s="391">
        <f t="shared" si="5"/>
        <v>4.1540000000000001E-2</v>
      </c>
      <c r="G34" s="390">
        <f>VLOOKUP($A34,'Output Baseline'!$A:$CW,MATCH('Model Output-LoanNameUpdate'!G$2,'Output Baseline'!$A$1:$CW$1,0),FALSE)</f>
        <v>6.59E-2</v>
      </c>
      <c r="H34" s="390">
        <f>VLOOKUP($A34,'Output Baseline'!$A:$CW,MATCH('Model Output-LoanNameUpdate'!H$2,'Output Baseline'!$A$1:$CW$1,0),FALSE)</f>
        <v>5.2999999999999999E-2</v>
      </c>
      <c r="I34" s="390">
        <f>VLOOKUP($A34,'Output Baseline'!$A:$CW,MATCH('Model Output-LoanNameUpdate'!I$2,'Output Baseline'!$A$1:$CW$1,0),FALSE)</f>
        <v>4.6699999999999998E-2</v>
      </c>
      <c r="J34" s="390">
        <f>VLOOKUP($A34,'Output Baseline'!$A:$CW,MATCH('Model Output-LoanNameUpdate'!J$2,'Output Baseline'!$A$1:$CW$1,0),FALSE)</f>
        <v>4.2599999999999999E-2</v>
      </c>
      <c r="K34" s="390">
        <f>VLOOKUP($A34,'Output Baseline'!$A:$CW,MATCH('Model Output-LoanNameUpdate'!K$2,'Output Baseline'!$A$1:$CW$1,0),FALSE)</f>
        <v>3.9699999999999999E-2</v>
      </c>
      <c r="L34" s="390">
        <f>VLOOKUP($A34,'Output 90% Downside'!$A:$CW,MATCH('Model Output-LoanNameUpdate'!L$2,'Output 90% Downside'!$A$1:$CW$1,0),FALSE)</f>
        <v>8.2000000000000003E-2</v>
      </c>
      <c r="M34" s="390">
        <f>VLOOKUP($A34,'Output 90% Downside'!$A:$CW,MATCH('Model Output-LoanNameUpdate'!M$2,'Output 90% Downside'!$A$1:$CW$1,0),FALSE)</f>
        <v>6.2899999999999998E-2</v>
      </c>
      <c r="N34" s="390">
        <f>VLOOKUP($A34,'Output 90% Downside'!$A:$CW,MATCH('Model Output-LoanNameUpdate'!N$2,'Output 90% Downside'!$A$1:$CW$1,0),FALSE)</f>
        <v>5.3800000000000001E-2</v>
      </c>
      <c r="O34" s="390">
        <f>VLOOKUP($A34,'Output 90% Downside'!$A:$CW,MATCH('Model Output-LoanNameUpdate'!O$2,'Output 90% Downside'!$A$1:$CW$1,0),FALSE)</f>
        <v>4.82E-2</v>
      </c>
      <c r="P34" s="390">
        <f>VLOOKUP($A34,'Output 90% Downside'!$A:$CW,MATCH('Model Output-LoanNameUpdate'!P$2,'Output 90% Downside'!$A$1:$CW$1,0),FALSE)</f>
        <v>4.4200000000000003E-2</v>
      </c>
      <c r="Q34" s="390">
        <f>VLOOKUP($A34,'Output 96% Downside'!$A:$CW,MATCH('Model Output-LoanNameUpdate'!Q$2,'Output 96% Downside'!$A$1:$CW$1,0),FALSE)</f>
        <v>8.48E-2</v>
      </c>
      <c r="R34" s="390">
        <f>VLOOKUP($A34,'Output 96% Downside'!$A:$CW,MATCH('Model Output-LoanNameUpdate'!R$2,'Output 96% Downside'!$A$1:$CW$1,0),FALSE)</f>
        <v>6.4699999999999994E-2</v>
      </c>
      <c r="S34" s="390">
        <f>VLOOKUP($A34,'Output 96% Downside'!$A:$CW,MATCH('Model Output-LoanNameUpdate'!S$2,'Output 96% Downside'!$A$1:$CW$1,0),FALSE)</f>
        <v>5.5100000000000003E-2</v>
      </c>
      <c r="T34" s="390">
        <f>VLOOKUP($A34,'Output 96% Downside'!$A:$CW,MATCH('Model Output-LoanNameUpdate'!T$2,'Output 96% Downside'!$A$1:$CW$1,0),FALSE)</f>
        <v>4.9200000000000001E-2</v>
      </c>
      <c r="U34" s="390">
        <f>VLOOKUP($A34,'Output 96% Downside'!$A:$CW,MATCH('Model Output-LoanNameUpdate'!U$2,'Output 96% Downside'!$A$1:$CW$1,0),FALSE)</f>
        <v>4.4999999999999998E-2</v>
      </c>
    </row>
    <row r="35" spans="1:21" x14ac:dyDescent="0.25">
      <c r="A35" s="354" t="s">
        <v>2765</v>
      </c>
      <c r="B35" s="391">
        <f t="shared" ref="B35:B60" si="6">G35*$Y$2+L35*$Y$3+Q35*$Y$4</f>
        <v>1.8919999999999999E-2</v>
      </c>
      <c r="C35" s="391">
        <f t="shared" ref="C35:C60" si="7">H35*$Y$2+M35*$Y$3+R35*$Y$4</f>
        <v>1.6840000000000001E-2</v>
      </c>
      <c r="D35" s="391">
        <f t="shared" ref="D35:D60" si="8">I35*$Y$2+N35*$Y$3+S35*$Y$4</f>
        <v>1.5740000000000001E-2</v>
      </c>
      <c r="E35" s="391">
        <f t="shared" ref="E35:E60" si="9">J35*$Y$2+O35*$Y$3+T35*$Y$4</f>
        <v>1.4999999999999999E-2</v>
      </c>
      <c r="F35" s="391">
        <f t="shared" ref="F35:F60" si="10">K35*$Y$2+P35*$Y$3+U35*$Y$4</f>
        <v>1.444E-2</v>
      </c>
      <c r="G35" s="390">
        <f>VLOOKUP($A35,'Output Baseline'!$A:$CW,MATCH('Model Output-LoanNameUpdate'!G$2,'Output Baseline'!$A$1:$CW$1,0),FALSE)</f>
        <v>1.5800000000000002E-2</v>
      </c>
      <c r="H35" s="390">
        <f>VLOOKUP($A35,'Output Baseline'!$A:$CW,MATCH('Model Output-LoanNameUpdate'!H$2,'Output Baseline'!$A$1:$CW$1,0),FALSE)</f>
        <v>1.44E-2</v>
      </c>
      <c r="I35" s="390">
        <f>VLOOKUP($A35,'Output Baseline'!$A:$CW,MATCH('Model Output-LoanNameUpdate'!I$2,'Output Baseline'!$A$1:$CW$1,0),FALSE)</f>
        <v>1.37E-2</v>
      </c>
      <c r="J35" s="390">
        <f>VLOOKUP($A35,'Output Baseline'!$A:$CW,MATCH('Model Output-LoanNameUpdate'!J$2,'Output Baseline'!$A$1:$CW$1,0),FALSE)</f>
        <v>1.32E-2</v>
      </c>
      <c r="K35" s="390">
        <f>VLOOKUP($A35,'Output Baseline'!$A:$CW,MATCH('Model Output-LoanNameUpdate'!K$2,'Output Baseline'!$A$1:$CW$1,0),FALSE)</f>
        <v>1.2800000000000001E-2</v>
      </c>
      <c r="L35" s="390">
        <f>VLOOKUP($A35,'Output 90% Downside'!$A:$CW,MATCH('Model Output-LoanNameUpdate'!L$2,'Output 90% Downside'!$A$1:$CW$1,0),FALSE)</f>
        <v>2.3599999999999999E-2</v>
      </c>
      <c r="M35" s="390">
        <f>VLOOKUP($A35,'Output 90% Downside'!$A:$CW,MATCH('Model Output-LoanNameUpdate'!M$2,'Output 90% Downside'!$A$1:$CW$1,0),FALSE)</f>
        <v>2.0500000000000001E-2</v>
      </c>
      <c r="N35" s="390">
        <f>VLOOKUP($A35,'Output 90% Downside'!$A:$CW,MATCH('Model Output-LoanNameUpdate'!N$2,'Output 90% Downside'!$A$1:$CW$1,0),FALSE)</f>
        <v>1.8800000000000001E-2</v>
      </c>
      <c r="O35" s="390">
        <f>VLOOKUP($A35,'Output 90% Downside'!$A:$CW,MATCH('Model Output-LoanNameUpdate'!O$2,'Output 90% Downside'!$A$1:$CW$1,0),FALSE)</f>
        <v>1.77E-2</v>
      </c>
      <c r="P35" s="390">
        <f>VLOOKUP($A35,'Output 90% Downside'!$A:$CW,MATCH('Model Output-LoanNameUpdate'!P$2,'Output 90% Downside'!$A$1:$CW$1,0),FALSE)</f>
        <v>1.6899999999999998E-2</v>
      </c>
      <c r="Q35" s="390">
        <f>VLOOKUP($A35,'Output 96% Downside'!$A:$CW,MATCH('Model Output-LoanNameUpdate'!Q$2,'Output 96% Downside'!$A$1:$CW$1,0),FALSE)</f>
        <v>2.3599999999999999E-2</v>
      </c>
      <c r="R35" s="390">
        <f>VLOOKUP($A35,'Output 96% Downside'!$A:$CW,MATCH('Model Output-LoanNameUpdate'!R$2,'Output 96% Downside'!$A$1:$CW$1,0),FALSE)</f>
        <v>2.0500000000000001E-2</v>
      </c>
      <c r="S35" s="390">
        <f>VLOOKUP($A35,'Output 96% Downside'!$A:$CW,MATCH('Model Output-LoanNameUpdate'!S$2,'Output 96% Downside'!$A$1:$CW$1,0),FALSE)</f>
        <v>1.8800000000000001E-2</v>
      </c>
      <c r="T35" s="390">
        <f>VLOOKUP($A35,'Output 96% Downside'!$A:$CW,MATCH('Model Output-LoanNameUpdate'!T$2,'Output 96% Downside'!$A$1:$CW$1,0),FALSE)</f>
        <v>1.77E-2</v>
      </c>
      <c r="U35" s="390">
        <f>VLOOKUP($A35,'Output 96% Downside'!$A:$CW,MATCH('Model Output-LoanNameUpdate'!U$2,'Output 96% Downside'!$A$1:$CW$1,0),FALSE)</f>
        <v>1.6899999999999998E-2</v>
      </c>
    </row>
    <row r="36" spans="1:21" x14ac:dyDescent="0.25">
      <c r="A36" s="354" t="s">
        <v>2760</v>
      </c>
      <c r="B36" s="391">
        <f t="shared" si="6"/>
        <v>2.085E-3</v>
      </c>
      <c r="C36" s="391">
        <f t="shared" si="7"/>
        <v>2.5850000000000001E-3</v>
      </c>
      <c r="D36" s="391">
        <f t="shared" si="8"/>
        <v>2.885E-3</v>
      </c>
      <c r="E36" s="391">
        <f t="shared" si="9"/>
        <v>3.0899999999999999E-3</v>
      </c>
      <c r="F36" s="391">
        <f t="shared" si="10"/>
        <v>3.29E-3</v>
      </c>
      <c r="G36" s="390">
        <f>VLOOKUP($A36,'Output Baseline'!$A:$CW,MATCH('Model Output-LoanNameUpdate'!G$2,'Output Baseline'!$A$1:$CW$1,0),FALSE)</f>
        <v>2E-3</v>
      </c>
      <c r="H36" s="390">
        <f>VLOOKUP($A36,'Output Baseline'!$A:$CW,MATCH('Model Output-LoanNameUpdate'!H$2,'Output Baseline'!$A$1:$CW$1,0),FALSE)</f>
        <v>2.5000000000000001E-3</v>
      </c>
      <c r="I36" s="390">
        <f>VLOOKUP($A36,'Output Baseline'!$A:$CW,MATCH('Model Output-LoanNameUpdate'!I$2,'Output Baseline'!$A$1:$CW$1,0),FALSE)</f>
        <v>2.8E-3</v>
      </c>
      <c r="J36" s="390">
        <f>VLOOKUP($A36,'Output Baseline'!$A:$CW,MATCH('Model Output-LoanNameUpdate'!J$2,'Output Baseline'!$A$1:$CW$1,0),FALSE)</f>
        <v>3.0000000000000001E-3</v>
      </c>
      <c r="K36" s="390">
        <f>VLOOKUP($A36,'Output Baseline'!$A:$CW,MATCH('Model Output-LoanNameUpdate'!K$2,'Output Baseline'!$A$1:$CW$1,0),FALSE)</f>
        <v>3.2000000000000002E-3</v>
      </c>
      <c r="L36" s="390">
        <f>VLOOKUP($A36,'Output 90% Downside'!$A:$CW,MATCH('Model Output-LoanNameUpdate'!L$2,'Output 90% Downside'!$A$1:$CW$1,0),FALSE)</f>
        <v>2.2000000000000001E-3</v>
      </c>
      <c r="M36" s="390">
        <f>VLOOKUP($A36,'Output 90% Downside'!$A:$CW,MATCH('Model Output-LoanNameUpdate'!M$2,'Output 90% Downside'!$A$1:$CW$1,0),FALSE)</f>
        <v>2.7000000000000001E-3</v>
      </c>
      <c r="N36" s="390">
        <f>VLOOKUP($A36,'Output 90% Downside'!$A:$CW,MATCH('Model Output-LoanNameUpdate'!N$2,'Output 90% Downside'!$A$1:$CW$1,0),FALSE)</f>
        <v>3.0000000000000001E-3</v>
      </c>
      <c r="O36" s="390">
        <f>VLOOKUP($A36,'Output 90% Downside'!$A:$CW,MATCH('Model Output-LoanNameUpdate'!O$2,'Output 90% Downside'!$A$1:$CW$1,0),FALSE)</f>
        <v>3.2000000000000002E-3</v>
      </c>
      <c r="P36" s="390">
        <f>VLOOKUP($A36,'Output 90% Downside'!$A:$CW,MATCH('Model Output-LoanNameUpdate'!P$2,'Output 90% Downside'!$A$1:$CW$1,0),FALSE)</f>
        <v>3.3999999999999998E-3</v>
      </c>
      <c r="Q36" s="390">
        <f>VLOOKUP($A36,'Output 96% Downside'!$A:$CW,MATCH('Model Output-LoanNameUpdate'!Q$2,'Output 96% Downside'!$A$1:$CW$1,0),FALSE)</f>
        <v>2.3E-3</v>
      </c>
      <c r="R36" s="390">
        <f>VLOOKUP($A36,'Output 96% Downside'!$A:$CW,MATCH('Model Output-LoanNameUpdate'!R$2,'Output 96% Downside'!$A$1:$CW$1,0),FALSE)</f>
        <v>2.8E-3</v>
      </c>
      <c r="S36" s="390">
        <f>VLOOKUP($A36,'Output 96% Downside'!$A:$CW,MATCH('Model Output-LoanNameUpdate'!S$2,'Output 96% Downside'!$A$1:$CW$1,0),FALSE)</f>
        <v>3.0999999999999999E-3</v>
      </c>
      <c r="T36" s="390">
        <f>VLOOKUP($A36,'Output 96% Downside'!$A:$CW,MATCH('Model Output-LoanNameUpdate'!T$2,'Output 96% Downside'!$A$1:$CW$1,0),FALSE)</f>
        <v>3.3999999999999998E-3</v>
      </c>
      <c r="U36" s="390">
        <f>VLOOKUP($A36,'Output 96% Downside'!$A:$CW,MATCH('Model Output-LoanNameUpdate'!U$2,'Output 96% Downside'!$A$1:$CW$1,0),FALSE)</f>
        <v>3.5999999999999999E-3</v>
      </c>
    </row>
    <row r="37" spans="1:21" x14ac:dyDescent="0.25">
      <c r="A37" s="354" t="s">
        <v>1100</v>
      </c>
      <c r="B37" s="391">
        <f t="shared" si="6"/>
        <v>8.5599999999999982E-3</v>
      </c>
      <c r="C37" s="391">
        <f t="shared" si="7"/>
        <v>8.7399999999999995E-3</v>
      </c>
      <c r="D37" s="391">
        <f t="shared" si="8"/>
        <v>8.8600000000000016E-3</v>
      </c>
      <c r="E37" s="391">
        <f t="shared" si="9"/>
        <v>8.9849999999999982E-3</v>
      </c>
      <c r="F37" s="391">
        <f t="shared" si="10"/>
        <v>9.0550000000000005E-3</v>
      </c>
      <c r="G37" s="390">
        <f>VLOOKUP($A37,'Output Baseline'!$A:$CW,MATCH('Model Output-LoanNameUpdate'!G$2,'Output Baseline'!$A$1:$CW$1,0),FALSE)</f>
        <v>5.5999999999999999E-3</v>
      </c>
      <c r="H37" s="390">
        <f>VLOOKUP($A37,'Output Baseline'!$A:$CW,MATCH('Model Output-LoanNameUpdate'!H$2,'Output Baseline'!$A$1:$CW$1,0),FALSE)</f>
        <v>6.1000000000000004E-3</v>
      </c>
      <c r="I37" s="390">
        <f>VLOOKUP($A37,'Output Baseline'!$A:$CW,MATCH('Model Output-LoanNameUpdate'!I$2,'Output Baseline'!$A$1:$CW$1,0),FALSE)</f>
        <v>6.4000000000000003E-3</v>
      </c>
      <c r="J37" s="390">
        <f>VLOOKUP($A37,'Output Baseline'!$A:$CW,MATCH('Model Output-LoanNameUpdate'!J$2,'Output Baseline'!$A$1:$CW$1,0),FALSE)</f>
        <v>6.7000000000000002E-3</v>
      </c>
      <c r="K37" s="390">
        <f>VLOOKUP($A37,'Output Baseline'!$A:$CW,MATCH('Model Output-LoanNameUpdate'!K$2,'Output Baseline'!$A$1:$CW$1,0),FALSE)</f>
        <v>6.8999999999999999E-3</v>
      </c>
      <c r="L37" s="390">
        <f>VLOOKUP($A37,'Output 90% Downside'!$A:$CW,MATCH('Model Output-LoanNameUpdate'!L$2,'Output 90% Downside'!$A$1:$CW$1,0),FALSE)</f>
        <v>1.2500000000000001E-2</v>
      </c>
      <c r="M37" s="390">
        <f>VLOOKUP($A37,'Output 90% Downside'!$A:$CW,MATCH('Model Output-LoanNameUpdate'!M$2,'Output 90% Downside'!$A$1:$CW$1,0),FALSE)</f>
        <v>1.23E-2</v>
      </c>
      <c r="N37" s="390">
        <f>VLOOKUP($A37,'Output 90% Downside'!$A:$CW,MATCH('Model Output-LoanNameUpdate'!N$2,'Output 90% Downside'!$A$1:$CW$1,0),FALSE)</f>
        <v>1.2200000000000001E-2</v>
      </c>
      <c r="O37" s="390">
        <f>VLOOKUP($A37,'Output 90% Downside'!$A:$CW,MATCH('Model Output-LoanNameUpdate'!O$2,'Output 90% Downside'!$A$1:$CW$1,0),FALSE)</f>
        <v>1.21E-2</v>
      </c>
      <c r="P37" s="390">
        <f>VLOOKUP($A37,'Output 90% Downside'!$A:$CW,MATCH('Model Output-LoanNameUpdate'!P$2,'Output 90% Downside'!$A$1:$CW$1,0),FALSE)</f>
        <v>1.2E-2</v>
      </c>
      <c r="Q37" s="390">
        <f>VLOOKUP($A37,'Output 96% Downside'!$A:$CW,MATCH('Model Output-LoanNameUpdate'!Q$2,'Output 96% Downside'!$A$1:$CW$1,0),FALSE)</f>
        <v>1.6500000000000001E-2</v>
      </c>
      <c r="R37" s="390">
        <f>VLOOKUP($A37,'Output 96% Downside'!$A:$CW,MATCH('Model Output-LoanNameUpdate'!R$2,'Output 96% Downside'!$A$1:$CW$1,0),FALSE)</f>
        <v>1.55E-2</v>
      </c>
      <c r="S37" s="390">
        <f>VLOOKUP($A37,'Output 96% Downside'!$A:$CW,MATCH('Model Output-LoanNameUpdate'!S$2,'Output 96% Downside'!$A$1:$CW$1,0),FALSE)</f>
        <v>1.4999999999999999E-2</v>
      </c>
      <c r="T37" s="390">
        <f>VLOOKUP($A37,'Output 96% Downside'!$A:$CW,MATCH('Model Output-LoanNameUpdate'!T$2,'Output 96% Downside'!$A$1:$CW$1,0),FALSE)</f>
        <v>1.46E-2</v>
      </c>
      <c r="U37" s="390">
        <f>VLOOKUP($A37,'Output 96% Downside'!$A:$CW,MATCH('Model Output-LoanNameUpdate'!U$2,'Output 96% Downside'!$A$1:$CW$1,0),FALSE)</f>
        <v>1.43E-2</v>
      </c>
    </row>
    <row r="38" spans="1:21" x14ac:dyDescent="0.25">
      <c r="A38" s="354" t="s">
        <v>2758</v>
      </c>
      <c r="B38" s="391">
        <f t="shared" si="6"/>
        <v>3.2000000000000002E-3</v>
      </c>
      <c r="C38" s="391">
        <f t="shared" si="7"/>
        <v>4.1000000000000003E-3</v>
      </c>
      <c r="D38" s="391">
        <f t="shared" si="8"/>
        <v>4.6049999999999997E-3</v>
      </c>
      <c r="E38" s="391">
        <f t="shared" si="9"/>
        <v>5.1050000000000002E-3</v>
      </c>
      <c r="F38" s="391">
        <f t="shared" si="10"/>
        <v>5.5049999999999995E-3</v>
      </c>
      <c r="G38" s="390">
        <f>VLOOKUP($A38,'Output Baseline'!$A:$CW,MATCH('Model Output-LoanNameUpdate'!G$2,'Output Baseline'!$A$1:$CW$1,0),FALSE)</f>
        <v>3.2000000000000002E-3</v>
      </c>
      <c r="H38" s="390">
        <f>VLOOKUP($A38,'Output Baseline'!$A:$CW,MATCH('Model Output-LoanNameUpdate'!H$2,'Output Baseline'!$A$1:$CW$1,0),FALSE)</f>
        <v>4.1000000000000003E-3</v>
      </c>
      <c r="I38" s="390">
        <f>VLOOKUP($A38,'Output Baseline'!$A:$CW,MATCH('Model Output-LoanNameUpdate'!I$2,'Output Baseline'!$A$1:$CW$1,0),FALSE)</f>
        <v>4.5999999999999999E-3</v>
      </c>
      <c r="J38" s="390">
        <f>VLOOKUP($A38,'Output Baseline'!$A:$CW,MATCH('Model Output-LoanNameUpdate'!J$2,'Output Baseline'!$A$1:$CW$1,0),FALSE)</f>
        <v>5.1000000000000004E-3</v>
      </c>
      <c r="K38" s="390">
        <f>VLOOKUP($A38,'Output Baseline'!$A:$CW,MATCH('Model Output-LoanNameUpdate'!K$2,'Output Baseline'!$A$1:$CW$1,0),FALSE)</f>
        <v>5.4999999999999997E-3</v>
      </c>
      <c r="L38" s="390">
        <f>VLOOKUP($A38,'Output 90% Downside'!$A:$CW,MATCH('Model Output-LoanNameUpdate'!L$2,'Output 90% Downside'!$A$1:$CW$1,0),FALSE)</f>
        <v>3.2000000000000002E-3</v>
      </c>
      <c r="M38" s="390">
        <f>VLOOKUP($A38,'Output 90% Downside'!$A:$CW,MATCH('Model Output-LoanNameUpdate'!M$2,'Output 90% Downside'!$A$1:$CW$1,0),FALSE)</f>
        <v>4.1000000000000003E-3</v>
      </c>
      <c r="N38" s="390">
        <f>VLOOKUP($A38,'Output 90% Downside'!$A:$CW,MATCH('Model Output-LoanNameUpdate'!N$2,'Output 90% Downside'!$A$1:$CW$1,0),FALSE)</f>
        <v>4.5999999999999999E-3</v>
      </c>
      <c r="O38" s="390">
        <f>VLOOKUP($A38,'Output 90% Downside'!$A:$CW,MATCH('Model Output-LoanNameUpdate'!O$2,'Output 90% Downside'!$A$1:$CW$1,0),FALSE)</f>
        <v>5.1000000000000004E-3</v>
      </c>
      <c r="P38" s="390">
        <f>VLOOKUP($A38,'Output 90% Downside'!$A:$CW,MATCH('Model Output-LoanNameUpdate'!P$2,'Output 90% Downside'!$A$1:$CW$1,0),FALSE)</f>
        <v>5.4999999999999997E-3</v>
      </c>
      <c r="Q38" s="390">
        <f>VLOOKUP($A38,'Output 96% Downside'!$A:$CW,MATCH('Model Output-LoanNameUpdate'!Q$2,'Output 96% Downside'!$A$1:$CW$1,0),FALSE)</f>
        <v>3.2000000000000002E-3</v>
      </c>
      <c r="R38" s="390">
        <f>VLOOKUP($A38,'Output 96% Downside'!$A:$CW,MATCH('Model Output-LoanNameUpdate'!R$2,'Output 96% Downside'!$A$1:$CW$1,0),FALSE)</f>
        <v>4.1000000000000003E-3</v>
      </c>
      <c r="S38" s="390">
        <f>VLOOKUP($A38,'Output 96% Downside'!$A:$CW,MATCH('Model Output-LoanNameUpdate'!S$2,'Output 96% Downside'!$A$1:$CW$1,0),FALSE)</f>
        <v>4.7000000000000002E-3</v>
      </c>
      <c r="T38" s="390">
        <f>VLOOKUP($A38,'Output 96% Downside'!$A:$CW,MATCH('Model Output-LoanNameUpdate'!T$2,'Output 96% Downside'!$A$1:$CW$1,0),FALSE)</f>
        <v>5.1999999999999998E-3</v>
      </c>
      <c r="U38" s="390">
        <f>VLOOKUP($A38,'Output 96% Downside'!$A:$CW,MATCH('Model Output-LoanNameUpdate'!U$2,'Output 96% Downside'!$A$1:$CW$1,0),FALSE)</f>
        <v>5.5999999999999999E-3</v>
      </c>
    </row>
    <row r="39" spans="1:21" x14ac:dyDescent="0.25">
      <c r="A39" s="354" t="s">
        <v>3787</v>
      </c>
      <c r="B39" s="391">
        <f t="shared" si="6"/>
        <v>5.1399999999999996E-3</v>
      </c>
      <c r="C39" s="391">
        <f t="shared" si="7"/>
        <v>4.6999999999999993E-3</v>
      </c>
      <c r="D39" s="391">
        <f t="shared" si="8"/>
        <v>4.4599999999999996E-3</v>
      </c>
      <c r="E39" s="391">
        <f t="shared" si="9"/>
        <v>4.2199999999999998E-3</v>
      </c>
      <c r="F39" s="391">
        <f t="shared" si="10"/>
        <v>4.1199999999999995E-3</v>
      </c>
      <c r="G39" s="390">
        <f>VLOOKUP($A39,'Output Baseline'!$A:$CW,MATCH('Model Output-LoanNameUpdate'!G$2,'Output Baseline'!$A$1:$CW$1,0),FALSE)</f>
        <v>4.8999999999999998E-3</v>
      </c>
      <c r="H39" s="390">
        <f>VLOOKUP($A39,'Output Baseline'!$A:$CW,MATCH('Model Output-LoanNameUpdate'!H$2,'Output Baseline'!$A$1:$CW$1,0),FALSE)</f>
        <v>4.4999999999999997E-3</v>
      </c>
      <c r="I39" s="390">
        <f>VLOOKUP($A39,'Output Baseline'!$A:$CW,MATCH('Model Output-LoanNameUpdate'!I$2,'Output Baseline'!$A$1:$CW$1,0),FALSE)</f>
        <v>4.3E-3</v>
      </c>
      <c r="J39" s="390">
        <f>VLOOKUP($A39,'Output Baseline'!$A:$CW,MATCH('Model Output-LoanNameUpdate'!J$2,'Output Baseline'!$A$1:$CW$1,0),FALSE)</f>
        <v>4.1000000000000003E-3</v>
      </c>
      <c r="K39" s="390">
        <f>VLOOKUP($A39,'Output Baseline'!$A:$CW,MATCH('Model Output-LoanNameUpdate'!K$2,'Output Baseline'!$A$1:$CW$1,0),FALSE)</f>
        <v>4.0000000000000001E-3</v>
      </c>
      <c r="L39" s="390">
        <f>VLOOKUP($A39,'Output 90% Downside'!$A:$CW,MATCH('Model Output-LoanNameUpdate'!L$2,'Output 90% Downside'!$A$1:$CW$1,0),FALSE)</f>
        <v>5.4999999999999997E-3</v>
      </c>
      <c r="M39" s="390">
        <f>VLOOKUP($A39,'Output 90% Downside'!$A:$CW,MATCH('Model Output-LoanNameUpdate'!M$2,'Output 90% Downside'!$A$1:$CW$1,0),FALSE)</f>
        <v>5.0000000000000001E-3</v>
      </c>
      <c r="N39" s="390">
        <f>VLOOKUP($A39,'Output 90% Downside'!$A:$CW,MATCH('Model Output-LoanNameUpdate'!N$2,'Output 90% Downside'!$A$1:$CW$1,0),FALSE)</f>
        <v>4.7000000000000002E-3</v>
      </c>
      <c r="O39" s="390">
        <f>VLOOKUP($A39,'Output 90% Downside'!$A:$CW,MATCH('Model Output-LoanNameUpdate'!O$2,'Output 90% Downside'!$A$1:$CW$1,0),FALSE)</f>
        <v>4.4000000000000003E-3</v>
      </c>
      <c r="P39" s="390">
        <f>VLOOKUP($A39,'Output 90% Downside'!$A:$CW,MATCH('Model Output-LoanNameUpdate'!P$2,'Output 90% Downside'!$A$1:$CW$1,0),FALSE)</f>
        <v>4.3E-3</v>
      </c>
      <c r="Q39" s="390">
        <f>VLOOKUP($A39,'Output 96% Downside'!$A:$CW,MATCH('Model Output-LoanNameUpdate'!Q$2,'Output 96% Downside'!$A$1:$CW$1,0),FALSE)</f>
        <v>5.4999999999999997E-3</v>
      </c>
      <c r="R39" s="390">
        <f>VLOOKUP($A39,'Output 96% Downside'!$A:$CW,MATCH('Model Output-LoanNameUpdate'!R$2,'Output 96% Downside'!$A$1:$CW$1,0),FALSE)</f>
        <v>5.0000000000000001E-3</v>
      </c>
      <c r="S39" s="390">
        <f>VLOOKUP($A39,'Output 96% Downside'!$A:$CW,MATCH('Model Output-LoanNameUpdate'!S$2,'Output 96% Downside'!$A$1:$CW$1,0),FALSE)</f>
        <v>4.7000000000000002E-3</v>
      </c>
      <c r="T39" s="390">
        <f>VLOOKUP($A39,'Output 96% Downside'!$A:$CW,MATCH('Model Output-LoanNameUpdate'!T$2,'Output 96% Downside'!$A$1:$CW$1,0),FALSE)</f>
        <v>4.4000000000000003E-3</v>
      </c>
      <c r="U39" s="390">
        <f>VLOOKUP($A39,'Output 96% Downside'!$A:$CW,MATCH('Model Output-LoanNameUpdate'!U$2,'Output 96% Downside'!$A$1:$CW$1,0),FALSE)</f>
        <v>4.3E-3</v>
      </c>
    </row>
    <row r="40" spans="1:21" x14ac:dyDescent="0.25">
      <c r="A40" s="354" t="s">
        <v>2757</v>
      </c>
      <c r="B40" s="391">
        <f t="shared" si="6"/>
        <v>1.2129999999999998E-2</v>
      </c>
      <c r="C40" s="391">
        <f t="shared" si="7"/>
        <v>1.2319999999999999E-2</v>
      </c>
      <c r="D40" s="391">
        <f t="shared" si="8"/>
        <v>1.2455000000000001E-2</v>
      </c>
      <c r="E40" s="391">
        <f t="shared" si="9"/>
        <v>1.257E-2</v>
      </c>
      <c r="F40" s="391">
        <f t="shared" si="10"/>
        <v>1.259E-2</v>
      </c>
      <c r="G40" s="390">
        <f>VLOOKUP($A40,'Output Baseline'!$A:$CW,MATCH('Model Output-LoanNameUpdate'!G$2,'Output Baseline'!$A$1:$CW$1,0),FALSE)</f>
        <v>9.5999999999999992E-3</v>
      </c>
      <c r="H40" s="390">
        <f>VLOOKUP($A40,'Output Baseline'!$A:$CW,MATCH('Model Output-LoanNameUpdate'!H$2,'Output Baseline'!$A$1:$CW$1,0),FALSE)</f>
        <v>0.01</v>
      </c>
      <c r="I40" s="390">
        <f>VLOOKUP($A40,'Output Baseline'!$A:$CW,MATCH('Model Output-LoanNameUpdate'!I$2,'Output Baseline'!$A$1:$CW$1,0),FALSE)</f>
        <v>1.03E-2</v>
      </c>
      <c r="J40" s="390">
        <f>VLOOKUP($A40,'Output Baseline'!$A:$CW,MATCH('Model Output-LoanNameUpdate'!J$2,'Output Baseline'!$A$1:$CW$1,0),FALSE)</f>
        <v>1.0500000000000001E-2</v>
      </c>
      <c r="K40" s="390">
        <f>VLOOKUP($A40,'Output Baseline'!$A:$CW,MATCH('Model Output-LoanNameUpdate'!K$2,'Output Baseline'!$A$1:$CW$1,0),FALSE)</f>
        <v>1.06E-2</v>
      </c>
      <c r="L40" s="390">
        <f>VLOOKUP($A40,'Output 90% Downside'!$A:$CW,MATCH('Model Output-LoanNameUpdate'!L$2,'Output 90% Downside'!$A$1:$CW$1,0),FALSE)</f>
        <v>1.5599999999999999E-2</v>
      </c>
      <c r="M40" s="390">
        <f>VLOOKUP($A40,'Output 90% Downside'!$A:$CW,MATCH('Model Output-LoanNameUpdate'!M$2,'Output 90% Downside'!$A$1:$CW$1,0),FALSE)</f>
        <v>1.55E-2</v>
      </c>
      <c r="N40" s="390">
        <f>VLOOKUP($A40,'Output 90% Downside'!$A:$CW,MATCH('Model Output-LoanNameUpdate'!N$2,'Output 90% Downside'!$A$1:$CW$1,0),FALSE)</f>
        <v>1.54E-2</v>
      </c>
      <c r="O40" s="390">
        <f>VLOOKUP($A40,'Output 90% Downside'!$A:$CW,MATCH('Model Output-LoanNameUpdate'!O$2,'Output 90% Downside'!$A$1:$CW$1,0),FALSE)</f>
        <v>1.54E-2</v>
      </c>
      <c r="P40" s="390">
        <f>VLOOKUP($A40,'Output 90% Downside'!$A:$CW,MATCH('Model Output-LoanNameUpdate'!P$2,'Output 90% Downside'!$A$1:$CW$1,0),FALSE)</f>
        <v>1.5299999999999999E-2</v>
      </c>
      <c r="Q40" s="390">
        <f>VLOOKUP($A40,'Output 96% Downside'!$A:$CW,MATCH('Model Output-LoanNameUpdate'!Q$2,'Output 96% Downside'!$A$1:$CW$1,0),FALSE)</f>
        <v>1.8200000000000001E-2</v>
      </c>
      <c r="R40" s="390">
        <f>VLOOKUP($A40,'Output 96% Downside'!$A:$CW,MATCH('Model Output-LoanNameUpdate'!R$2,'Output 96% Downside'!$A$1:$CW$1,0),FALSE)</f>
        <v>1.7899999999999999E-2</v>
      </c>
      <c r="S40" s="390">
        <f>VLOOKUP($A40,'Output 96% Downside'!$A:$CW,MATCH('Model Output-LoanNameUpdate'!S$2,'Output 96% Downside'!$A$1:$CW$1,0),FALSE)</f>
        <v>1.77E-2</v>
      </c>
      <c r="T40" s="390">
        <f>VLOOKUP($A40,'Output 96% Downside'!$A:$CW,MATCH('Model Output-LoanNameUpdate'!T$2,'Output 96% Downside'!$A$1:$CW$1,0),FALSE)</f>
        <v>1.7600000000000001E-2</v>
      </c>
      <c r="U40" s="390">
        <f>VLOOKUP($A40,'Output 96% Downside'!$A:$CW,MATCH('Model Output-LoanNameUpdate'!U$2,'Output 96% Downside'!$A$1:$CW$1,0),FALSE)</f>
        <v>1.7500000000000002E-2</v>
      </c>
    </row>
    <row r="41" spans="1:21" x14ac:dyDescent="0.25">
      <c r="A41" s="354" t="s">
        <v>2769</v>
      </c>
      <c r="B41" s="391">
        <f t="shared" si="6"/>
        <v>1.0279999999999999E-2</v>
      </c>
      <c r="C41" s="391">
        <f t="shared" si="7"/>
        <v>1.0305E-2</v>
      </c>
      <c r="D41" s="391">
        <f t="shared" si="8"/>
        <v>1.0315000000000001E-2</v>
      </c>
      <c r="E41" s="391">
        <f t="shared" si="9"/>
        <v>1.0329999999999999E-2</v>
      </c>
      <c r="F41" s="391">
        <f t="shared" si="10"/>
        <v>1.0289999999999999E-2</v>
      </c>
      <c r="G41" s="390">
        <f>VLOOKUP($A41,'Output Baseline'!$A:$CW,MATCH('Model Output-LoanNameUpdate'!G$2,'Output Baseline'!$A$1:$CW$1,0),FALSE)</f>
        <v>8.8000000000000005E-3</v>
      </c>
      <c r="H41" s="390">
        <f>VLOOKUP($A41,'Output Baseline'!$A:$CW,MATCH('Model Output-LoanNameUpdate'!H$2,'Output Baseline'!$A$1:$CW$1,0),FALSE)</f>
        <v>8.9999999999999993E-3</v>
      </c>
      <c r="I41" s="390">
        <f>VLOOKUP($A41,'Output Baseline'!$A:$CW,MATCH('Model Output-LoanNameUpdate'!I$2,'Output Baseline'!$A$1:$CW$1,0),FALSE)</f>
        <v>9.1000000000000004E-3</v>
      </c>
      <c r="J41" s="390">
        <f>VLOOKUP($A41,'Output Baseline'!$A:$CW,MATCH('Model Output-LoanNameUpdate'!J$2,'Output Baseline'!$A$1:$CW$1,0),FALSE)</f>
        <v>9.1999999999999998E-3</v>
      </c>
      <c r="K41" s="390">
        <f>VLOOKUP($A41,'Output Baseline'!$A:$CW,MATCH('Model Output-LoanNameUpdate'!K$2,'Output Baseline'!$A$1:$CW$1,0),FALSE)</f>
        <v>9.1999999999999998E-3</v>
      </c>
      <c r="L41" s="390">
        <f>VLOOKUP($A41,'Output 90% Downside'!$A:$CW,MATCH('Model Output-LoanNameUpdate'!L$2,'Output 90% Downside'!$A$1:$CW$1,0),FALSE)</f>
        <v>1.2200000000000001E-2</v>
      </c>
      <c r="M41" s="390">
        <f>VLOOKUP($A41,'Output 90% Downside'!$A:$CW,MATCH('Model Output-LoanNameUpdate'!M$2,'Output 90% Downside'!$A$1:$CW$1,0),FALSE)</f>
        <v>1.2E-2</v>
      </c>
      <c r="N41" s="390">
        <f>VLOOKUP($A41,'Output 90% Downside'!$A:$CW,MATCH('Model Output-LoanNameUpdate'!N$2,'Output 90% Downside'!$A$1:$CW$1,0),FALSE)</f>
        <v>1.1900000000000001E-2</v>
      </c>
      <c r="O41" s="390">
        <f>VLOOKUP($A41,'Output 90% Downside'!$A:$CW,MATCH('Model Output-LoanNameUpdate'!O$2,'Output 90% Downside'!$A$1:$CW$1,0),FALSE)</f>
        <v>1.18E-2</v>
      </c>
      <c r="P41" s="390">
        <f>VLOOKUP($A41,'Output 90% Downside'!$A:$CW,MATCH('Model Output-LoanNameUpdate'!P$2,'Output 90% Downside'!$A$1:$CW$1,0),FALSE)</f>
        <v>1.17E-2</v>
      </c>
      <c r="Q41" s="390">
        <f>VLOOKUP($A41,'Output 96% Downside'!$A:$CW,MATCH('Model Output-LoanNameUpdate'!Q$2,'Output 96% Downside'!$A$1:$CW$1,0),FALSE)</f>
        <v>1.46E-2</v>
      </c>
      <c r="R41" s="390">
        <f>VLOOKUP($A41,'Output 96% Downside'!$A:$CW,MATCH('Model Output-LoanNameUpdate'!R$2,'Output 96% Downside'!$A$1:$CW$1,0),FALSE)</f>
        <v>1.41E-2</v>
      </c>
      <c r="S41" s="390">
        <f>VLOOKUP($A41,'Output 96% Downside'!$A:$CW,MATCH('Model Output-LoanNameUpdate'!S$2,'Output 96% Downside'!$A$1:$CW$1,0),FALSE)</f>
        <v>1.38E-2</v>
      </c>
      <c r="T41" s="390">
        <f>VLOOKUP($A41,'Output 96% Downside'!$A:$CW,MATCH('Model Output-LoanNameUpdate'!T$2,'Output 96% Downside'!$A$1:$CW$1,0),FALSE)</f>
        <v>1.3599999999999999E-2</v>
      </c>
      <c r="U41" s="390">
        <f>VLOOKUP($A41,'Output 96% Downside'!$A:$CW,MATCH('Model Output-LoanNameUpdate'!U$2,'Output 96% Downside'!$A$1:$CW$1,0),FALSE)</f>
        <v>1.35E-2</v>
      </c>
    </row>
    <row r="42" spans="1:21" x14ac:dyDescent="0.25">
      <c r="A42" s="354" t="s">
        <v>3865</v>
      </c>
      <c r="B42" s="391">
        <f t="shared" si="6"/>
        <v>1.5685000000000001E-2</v>
      </c>
      <c r="C42" s="391">
        <f t="shared" si="7"/>
        <v>1.5844999999999998E-2</v>
      </c>
      <c r="D42" s="391">
        <f t="shared" si="8"/>
        <v>1.5999999999999997E-2</v>
      </c>
      <c r="E42" s="391">
        <f t="shared" si="9"/>
        <v>1.6069999999999997E-2</v>
      </c>
      <c r="F42" s="391">
        <f t="shared" si="10"/>
        <v>1.6115000000000001E-2</v>
      </c>
      <c r="G42" s="390">
        <f>VLOOKUP($A42,'Output Baseline'!$A:$CW,MATCH('Model Output-LoanNameUpdate'!G$2,'Output Baseline'!$A$1:$CW$1,0),FALSE)</f>
        <v>1.34E-2</v>
      </c>
      <c r="H42" s="390">
        <f>VLOOKUP($A42,'Output Baseline'!$A:$CW,MATCH('Model Output-LoanNameUpdate'!H$2,'Output Baseline'!$A$1:$CW$1,0),FALSE)</f>
        <v>1.38E-2</v>
      </c>
      <c r="I42" s="390">
        <f>VLOOKUP($A42,'Output Baseline'!$A:$CW,MATCH('Model Output-LoanNameUpdate'!I$2,'Output Baseline'!$A$1:$CW$1,0),FALSE)</f>
        <v>1.41E-2</v>
      </c>
      <c r="J42" s="390">
        <f>VLOOKUP($A42,'Output Baseline'!$A:$CW,MATCH('Model Output-LoanNameUpdate'!J$2,'Output Baseline'!$A$1:$CW$1,0),FALSE)</f>
        <v>1.43E-2</v>
      </c>
      <c r="K42" s="390">
        <f>VLOOKUP($A42,'Output Baseline'!$A:$CW,MATCH('Model Output-LoanNameUpdate'!K$2,'Output Baseline'!$A$1:$CW$1,0),FALSE)</f>
        <v>1.44E-2</v>
      </c>
      <c r="L42" s="390">
        <f>VLOOKUP($A42,'Output 90% Downside'!$A:$CW,MATCH('Model Output-LoanNameUpdate'!L$2,'Output 90% Downside'!$A$1:$CW$1,0),FALSE)</f>
        <v>1.8599999999999998E-2</v>
      </c>
      <c r="M42" s="390">
        <f>VLOOKUP($A42,'Output 90% Downside'!$A:$CW,MATCH('Model Output-LoanNameUpdate'!M$2,'Output 90% Downside'!$A$1:$CW$1,0),FALSE)</f>
        <v>1.8499999999999999E-2</v>
      </c>
      <c r="N42" s="390">
        <f>VLOOKUP($A42,'Output 90% Downside'!$A:$CW,MATCH('Model Output-LoanNameUpdate'!N$2,'Output 90% Downside'!$A$1:$CW$1,0),FALSE)</f>
        <v>1.8499999999999999E-2</v>
      </c>
      <c r="O42" s="390">
        <f>VLOOKUP($A42,'Output 90% Downside'!$A:$CW,MATCH('Model Output-LoanNameUpdate'!O$2,'Output 90% Downside'!$A$1:$CW$1,0),FALSE)</f>
        <v>1.84E-2</v>
      </c>
      <c r="P42" s="390">
        <f>VLOOKUP($A42,'Output 90% Downside'!$A:$CW,MATCH('Model Output-LoanNameUpdate'!P$2,'Output 90% Downside'!$A$1:$CW$1,0),FALSE)</f>
        <v>1.84E-2</v>
      </c>
      <c r="Q42" s="390">
        <f>VLOOKUP($A42,'Output 96% Downside'!$A:$CW,MATCH('Model Output-LoanNameUpdate'!Q$2,'Output 96% Downside'!$A$1:$CW$1,0),FALSE)</f>
        <v>2.2700000000000001E-2</v>
      </c>
      <c r="R42" s="390">
        <f>VLOOKUP($A42,'Output 96% Downside'!$A:$CW,MATCH('Model Output-LoanNameUpdate'!R$2,'Output 96% Downside'!$A$1:$CW$1,0),FALSE)</f>
        <v>2.18E-2</v>
      </c>
      <c r="S42" s="390">
        <f>VLOOKUP($A42,'Output 96% Downside'!$A:$CW,MATCH('Model Output-LoanNameUpdate'!S$2,'Output 96% Downside'!$A$1:$CW$1,0),FALSE)</f>
        <v>2.1299999999999999E-2</v>
      </c>
      <c r="T42" s="390">
        <f>VLOOKUP($A42,'Output 96% Downside'!$A:$CW,MATCH('Model Output-LoanNameUpdate'!T$2,'Output 96% Downside'!$A$1:$CW$1,0),FALSE)</f>
        <v>2.1000000000000001E-2</v>
      </c>
      <c r="U42" s="390">
        <f>VLOOKUP($A42,'Output 96% Downside'!$A:$CW,MATCH('Model Output-LoanNameUpdate'!U$2,'Output 96% Downside'!$A$1:$CW$1,0),FALSE)</f>
        <v>2.07E-2</v>
      </c>
    </row>
    <row r="43" spans="1:21" x14ac:dyDescent="0.25">
      <c r="A43" s="354" t="s">
        <v>2766</v>
      </c>
      <c r="B43" s="391">
        <f t="shared" si="6"/>
        <v>5.9749999999999994E-3</v>
      </c>
      <c r="C43" s="391">
        <f t="shared" si="7"/>
        <v>6.2100000000000002E-3</v>
      </c>
      <c r="D43" s="391">
        <f t="shared" si="8"/>
        <v>6.4549999999999998E-3</v>
      </c>
      <c r="E43" s="391">
        <f t="shared" si="9"/>
        <v>6.6049999999999989E-3</v>
      </c>
      <c r="F43" s="391">
        <f t="shared" si="10"/>
        <v>6.6949999999999996E-3</v>
      </c>
      <c r="G43" s="390">
        <f>VLOOKUP($A43,'Output Baseline'!$A:$CW,MATCH('Model Output-LoanNameUpdate'!G$2,'Output Baseline'!$A$1:$CW$1,0),FALSE)</f>
        <v>4.0000000000000001E-3</v>
      </c>
      <c r="H43" s="390">
        <f>VLOOKUP($A43,'Output Baseline'!$A:$CW,MATCH('Model Output-LoanNameUpdate'!H$2,'Output Baseline'!$A$1:$CW$1,0),FALSE)</f>
        <v>4.3E-3</v>
      </c>
      <c r="I43" s="390">
        <f>VLOOKUP($A43,'Output Baseline'!$A:$CW,MATCH('Model Output-LoanNameUpdate'!I$2,'Output Baseline'!$A$1:$CW$1,0),FALSE)</f>
        <v>4.5999999999999999E-3</v>
      </c>
      <c r="J43" s="390">
        <f>VLOOKUP($A43,'Output Baseline'!$A:$CW,MATCH('Model Output-LoanNameUpdate'!J$2,'Output Baseline'!$A$1:$CW$1,0),FALSE)</f>
        <v>4.7999999999999996E-3</v>
      </c>
      <c r="K43" s="390">
        <f>VLOOKUP($A43,'Output Baseline'!$A:$CW,MATCH('Model Output-LoanNameUpdate'!K$2,'Output Baseline'!$A$1:$CW$1,0),FALSE)</f>
        <v>4.8999999999999998E-3</v>
      </c>
      <c r="L43" s="390">
        <f>VLOOKUP($A43,'Output 90% Downside'!$A:$CW,MATCH('Model Output-LoanNameUpdate'!L$2,'Output 90% Downside'!$A$1:$CW$1,0),FALSE)</f>
        <v>8.6E-3</v>
      </c>
      <c r="M43" s="390">
        <f>VLOOKUP($A43,'Output 90% Downside'!$A:$CW,MATCH('Model Output-LoanNameUpdate'!M$2,'Output 90% Downside'!$A$1:$CW$1,0),FALSE)</f>
        <v>8.8000000000000005E-3</v>
      </c>
      <c r="N43" s="390">
        <f>VLOOKUP($A43,'Output 90% Downside'!$A:$CW,MATCH('Model Output-LoanNameUpdate'!N$2,'Output 90% Downside'!$A$1:$CW$1,0),FALSE)</f>
        <v>8.9999999999999993E-3</v>
      </c>
      <c r="O43" s="390">
        <f>VLOOKUP($A43,'Output 90% Downside'!$A:$CW,MATCH('Model Output-LoanNameUpdate'!O$2,'Output 90% Downside'!$A$1:$CW$1,0),FALSE)</f>
        <v>9.1000000000000004E-3</v>
      </c>
      <c r="P43" s="390">
        <f>VLOOKUP($A43,'Output 90% Downside'!$A:$CW,MATCH('Model Output-LoanNameUpdate'!P$2,'Output 90% Downside'!$A$1:$CW$1,0),FALSE)</f>
        <v>9.1999999999999998E-3</v>
      </c>
      <c r="Q43" s="390">
        <f>VLOOKUP($A43,'Output 96% Downside'!$A:$CW,MATCH('Model Output-LoanNameUpdate'!Q$2,'Output 96% Downside'!$A$1:$CW$1,0),FALSE)</f>
        <v>1.1299999999999999E-2</v>
      </c>
      <c r="R43" s="390">
        <f>VLOOKUP($A43,'Output 96% Downside'!$A:$CW,MATCH('Model Output-LoanNameUpdate'!R$2,'Output 96% Downside'!$A$1:$CW$1,0),FALSE)</f>
        <v>1.0999999999999999E-2</v>
      </c>
      <c r="S43" s="390">
        <f>VLOOKUP($A43,'Output 96% Downside'!$A:$CW,MATCH('Model Output-LoanNameUpdate'!S$2,'Output 96% Downside'!$A$1:$CW$1,0),FALSE)</f>
        <v>1.09E-2</v>
      </c>
      <c r="T43" s="390">
        <f>VLOOKUP($A43,'Output 96% Downside'!$A:$CW,MATCH('Model Output-LoanNameUpdate'!T$2,'Output 96% Downside'!$A$1:$CW$1,0),FALSE)</f>
        <v>1.0800000000000001E-2</v>
      </c>
      <c r="U43" s="390">
        <f>VLOOKUP($A43,'Output 96% Downside'!$A:$CW,MATCH('Model Output-LoanNameUpdate'!U$2,'Output 96% Downside'!$A$1:$CW$1,0),FALSE)</f>
        <v>1.0699999999999999E-2</v>
      </c>
    </row>
    <row r="44" spans="1:21" x14ac:dyDescent="0.25">
      <c r="A44" s="354" t="s">
        <v>4026</v>
      </c>
      <c r="B44" s="391">
        <f t="shared" si="6"/>
        <v>1.2315000000000001E-2</v>
      </c>
      <c r="C44" s="391">
        <f t="shared" si="7"/>
        <v>1.089E-2</v>
      </c>
      <c r="D44" s="391">
        <f t="shared" si="8"/>
        <v>1.017E-2</v>
      </c>
      <c r="E44" s="391">
        <f t="shared" si="9"/>
        <v>9.6299999999999979E-3</v>
      </c>
      <c r="F44" s="391">
        <f t="shared" si="10"/>
        <v>9.2899999999999996E-3</v>
      </c>
      <c r="G44" s="390">
        <f>VLOOKUP($A44,'Output Baseline'!$A:$CW,MATCH('Model Output-LoanNameUpdate'!G$2,'Output Baseline'!$A$1:$CW$1,0),FALSE)</f>
        <v>1.17E-2</v>
      </c>
      <c r="H44" s="390">
        <f>VLOOKUP($A44,'Output Baseline'!$A:$CW,MATCH('Model Output-LoanNameUpdate'!H$2,'Output Baseline'!$A$1:$CW$1,0),FALSE)</f>
        <v>1.04E-2</v>
      </c>
      <c r="I44" s="390">
        <f>VLOOKUP($A44,'Output Baseline'!$A:$CW,MATCH('Model Output-LoanNameUpdate'!I$2,'Output Baseline'!$A$1:$CW$1,0),FALSE)</f>
        <v>9.7999999999999997E-3</v>
      </c>
      <c r="J44" s="390">
        <f>VLOOKUP($A44,'Output Baseline'!$A:$CW,MATCH('Model Output-LoanNameUpdate'!J$2,'Output Baseline'!$A$1:$CW$1,0),FALSE)</f>
        <v>9.2999999999999992E-3</v>
      </c>
      <c r="K44" s="390">
        <f>VLOOKUP($A44,'Output Baseline'!$A:$CW,MATCH('Model Output-LoanNameUpdate'!K$2,'Output Baseline'!$A$1:$CW$1,0),FALSE)</f>
        <v>8.9999999999999993E-3</v>
      </c>
      <c r="L44" s="390">
        <f>VLOOKUP($A44,'Output 90% Downside'!$A:$CW,MATCH('Model Output-LoanNameUpdate'!L$2,'Output 90% Downside'!$A$1:$CW$1,0),FALSE)</f>
        <v>1.32E-2</v>
      </c>
      <c r="M44" s="390">
        <f>VLOOKUP($A44,'Output 90% Downside'!$A:$CW,MATCH('Model Output-LoanNameUpdate'!M$2,'Output 90% Downside'!$A$1:$CW$1,0),FALSE)</f>
        <v>1.1599999999999999E-2</v>
      </c>
      <c r="N44" s="390">
        <f>VLOOKUP($A44,'Output 90% Downside'!$A:$CW,MATCH('Model Output-LoanNameUpdate'!N$2,'Output 90% Downside'!$A$1:$CW$1,0),FALSE)</f>
        <v>1.0699999999999999E-2</v>
      </c>
      <c r="O44" s="390">
        <f>VLOOKUP($A44,'Output 90% Downside'!$A:$CW,MATCH('Model Output-LoanNameUpdate'!O$2,'Output 90% Downside'!$A$1:$CW$1,0),FALSE)</f>
        <v>1.01E-2</v>
      </c>
      <c r="P44" s="390">
        <f>VLOOKUP($A44,'Output 90% Downside'!$A:$CW,MATCH('Model Output-LoanNameUpdate'!P$2,'Output 90% Downside'!$A$1:$CW$1,0),FALSE)</f>
        <v>9.7000000000000003E-3</v>
      </c>
      <c r="Q44" s="390">
        <f>VLOOKUP($A44,'Output 96% Downside'!$A:$CW,MATCH('Model Output-LoanNameUpdate'!Q$2,'Output 96% Downside'!$A$1:$CW$1,0),FALSE)</f>
        <v>1.35E-2</v>
      </c>
      <c r="R44" s="390">
        <f>VLOOKUP($A44,'Output 96% Downside'!$A:$CW,MATCH('Model Output-LoanNameUpdate'!R$2,'Output 96% Downside'!$A$1:$CW$1,0),FALSE)</f>
        <v>1.18E-2</v>
      </c>
      <c r="S44" s="390">
        <f>VLOOKUP($A44,'Output 96% Downside'!$A:$CW,MATCH('Model Output-LoanNameUpdate'!S$2,'Output 96% Downside'!$A$1:$CW$1,0),FALSE)</f>
        <v>1.09E-2</v>
      </c>
      <c r="T44" s="390">
        <f>VLOOKUP($A44,'Output 96% Downside'!$A:$CW,MATCH('Model Output-LoanNameUpdate'!T$2,'Output 96% Downside'!$A$1:$CW$1,0),FALSE)</f>
        <v>1.03E-2</v>
      </c>
      <c r="U44" s="390">
        <f>VLOOKUP($A44,'Output 96% Downside'!$A:$CW,MATCH('Model Output-LoanNameUpdate'!U$2,'Output 96% Downside'!$A$1:$CW$1,0),FALSE)</f>
        <v>9.9000000000000008E-3</v>
      </c>
    </row>
    <row r="45" spans="1:21" x14ac:dyDescent="0.25">
      <c r="A45" s="354" t="s">
        <v>2759</v>
      </c>
      <c r="B45" s="391">
        <f t="shared" si="6"/>
        <v>1.4099999999999998E-2</v>
      </c>
      <c r="C45" s="391">
        <f t="shared" si="7"/>
        <v>1.2060000000000001E-2</v>
      </c>
      <c r="D45" s="391">
        <f t="shared" si="8"/>
        <v>1.0959999999999999E-2</v>
      </c>
      <c r="E45" s="391">
        <f t="shared" si="9"/>
        <v>1.0319999999999999E-2</v>
      </c>
      <c r="F45" s="391">
        <f t="shared" si="10"/>
        <v>9.8199999999999989E-3</v>
      </c>
      <c r="G45" s="390">
        <f>VLOOKUP($A45,'Output Baseline'!$A:$CW,MATCH('Model Output-LoanNameUpdate'!G$2,'Output Baseline'!$A$1:$CW$1,0),FALSE)</f>
        <v>1.3899999999999999E-2</v>
      </c>
      <c r="H45" s="390">
        <f>VLOOKUP($A45,'Output Baseline'!$A:$CW,MATCH('Model Output-LoanNameUpdate'!H$2,'Output Baseline'!$A$1:$CW$1,0),FALSE)</f>
        <v>1.1900000000000001E-2</v>
      </c>
      <c r="I45" s="390">
        <f>VLOOKUP($A45,'Output Baseline'!$A:$CW,MATCH('Model Output-LoanNameUpdate'!I$2,'Output Baseline'!$A$1:$CW$1,0),FALSE)</f>
        <v>1.0800000000000001E-2</v>
      </c>
      <c r="J45" s="390">
        <f>VLOOKUP($A45,'Output Baseline'!$A:$CW,MATCH('Model Output-LoanNameUpdate'!J$2,'Output Baseline'!$A$1:$CW$1,0),FALSE)</f>
        <v>1.0200000000000001E-2</v>
      </c>
      <c r="K45" s="390">
        <f>VLOOKUP($A45,'Output Baseline'!$A:$CW,MATCH('Model Output-LoanNameUpdate'!K$2,'Output Baseline'!$A$1:$CW$1,0),FALSE)</f>
        <v>9.7000000000000003E-3</v>
      </c>
      <c r="L45" s="390">
        <f>VLOOKUP($A45,'Output 90% Downside'!$A:$CW,MATCH('Model Output-LoanNameUpdate'!L$2,'Output 90% Downside'!$A$1:$CW$1,0),FALSE)</f>
        <v>1.44E-2</v>
      </c>
      <c r="M45" s="390">
        <f>VLOOKUP($A45,'Output 90% Downside'!$A:$CW,MATCH('Model Output-LoanNameUpdate'!M$2,'Output 90% Downside'!$A$1:$CW$1,0),FALSE)</f>
        <v>1.23E-2</v>
      </c>
      <c r="N45" s="390">
        <f>VLOOKUP($A45,'Output 90% Downside'!$A:$CW,MATCH('Model Output-LoanNameUpdate'!N$2,'Output 90% Downside'!$A$1:$CW$1,0),FALSE)</f>
        <v>1.12E-2</v>
      </c>
      <c r="O45" s="390">
        <f>VLOOKUP($A45,'Output 90% Downside'!$A:$CW,MATCH('Model Output-LoanNameUpdate'!O$2,'Output 90% Downside'!$A$1:$CW$1,0),FALSE)</f>
        <v>1.0500000000000001E-2</v>
      </c>
      <c r="P45" s="390">
        <f>VLOOKUP($A45,'Output 90% Downside'!$A:$CW,MATCH('Model Output-LoanNameUpdate'!P$2,'Output 90% Downside'!$A$1:$CW$1,0),FALSE)</f>
        <v>0.01</v>
      </c>
      <c r="Q45" s="390">
        <f>VLOOKUP($A45,'Output 96% Downside'!$A:$CW,MATCH('Model Output-LoanNameUpdate'!Q$2,'Output 96% Downside'!$A$1:$CW$1,0),FALSE)</f>
        <v>1.44E-2</v>
      </c>
      <c r="R45" s="390">
        <f>VLOOKUP($A45,'Output 96% Downside'!$A:$CW,MATCH('Model Output-LoanNameUpdate'!R$2,'Output 96% Downside'!$A$1:$CW$1,0),FALSE)</f>
        <v>1.23E-2</v>
      </c>
      <c r="S45" s="390">
        <f>VLOOKUP($A45,'Output 96% Downside'!$A:$CW,MATCH('Model Output-LoanNameUpdate'!S$2,'Output 96% Downside'!$A$1:$CW$1,0),FALSE)</f>
        <v>1.12E-2</v>
      </c>
      <c r="T45" s="390">
        <f>VLOOKUP($A45,'Output 96% Downside'!$A:$CW,MATCH('Model Output-LoanNameUpdate'!T$2,'Output 96% Downside'!$A$1:$CW$1,0),FALSE)</f>
        <v>1.0500000000000001E-2</v>
      </c>
      <c r="U45" s="390">
        <f>VLOOKUP($A45,'Output 96% Downside'!$A:$CW,MATCH('Model Output-LoanNameUpdate'!U$2,'Output 96% Downside'!$A$1:$CW$1,0),FALSE)</f>
        <v>0.01</v>
      </c>
    </row>
    <row r="46" spans="1:21" x14ac:dyDescent="0.25">
      <c r="A46" s="354" t="s">
        <v>4077</v>
      </c>
      <c r="B46" s="391">
        <f t="shared" si="6"/>
        <v>4.555E-3</v>
      </c>
      <c r="C46" s="391">
        <f t="shared" si="7"/>
        <v>4.7099999999999998E-3</v>
      </c>
      <c r="D46" s="391">
        <f t="shared" si="8"/>
        <v>4.7999999999999996E-3</v>
      </c>
      <c r="E46" s="391">
        <f t="shared" si="9"/>
        <v>4.9049999999999996E-3</v>
      </c>
      <c r="F46" s="391">
        <f t="shared" si="10"/>
        <v>4.9749999999999994E-3</v>
      </c>
      <c r="G46" s="390">
        <f>VLOOKUP($A46,'Output Baseline'!$A:$CW,MATCH('Model Output-LoanNameUpdate'!G$2,'Output Baseline'!$A$1:$CW$1,0),FALSE)</f>
        <v>2.8999999999999998E-3</v>
      </c>
      <c r="H46" s="390">
        <f>VLOOKUP($A46,'Output Baseline'!$A:$CW,MATCH('Model Output-LoanNameUpdate'!H$2,'Output Baseline'!$A$1:$CW$1,0),FALSE)</f>
        <v>3.3E-3</v>
      </c>
      <c r="I46" s="390">
        <f>VLOOKUP($A46,'Output Baseline'!$A:$CW,MATCH('Model Output-LoanNameUpdate'!I$2,'Output Baseline'!$A$1:$CW$1,0),FALSE)</f>
        <v>3.5000000000000001E-3</v>
      </c>
      <c r="J46" s="390">
        <f>VLOOKUP($A46,'Output Baseline'!$A:$CW,MATCH('Model Output-LoanNameUpdate'!J$2,'Output Baseline'!$A$1:$CW$1,0),FALSE)</f>
        <v>3.7000000000000002E-3</v>
      </c>
      <c r="K46" s="390">
        <f>VLOOKUP($A46,'Output Baseline'!$A:$CW,MATCH('Model Output-LoanNameUpdate'!K$2,'Output Baseline'!$A$1:$CW$1,0),FALSE)</f>
        <v>3.8999999999999998E-3</v>
      </c>
      <c r="L46" s="390">
        <f>VLOOKUP($A46,'Output 90% Downside'!$A:$CW,MATCH('Model Output-LoanNameUpdate'!L$2,'Output 90% Downside'!$A$1:$CW$1,0),FALSE)</f>
        <v>6.6E-3</v>
      </c>
      <c r="M46" s="390">
        <f>VLOOKUP($A46,'Output 90% Downside'!$A:$CW,MATCH('Model Output-LoanNameUpdate'!M$2,'Output 90% Downside'!$A$1:$CW$1,0),FALSE)</f>
        <v>6.4999999999999997E-3</v>
      </c>
      <c r="N46" s="390">
        <f>VLOOKUP($A46,'Output 90% Downside'!$A:$CW,MATCH('Model Output-LoanNameUpdate'!N$2,'Output 90% Downside'!$A$1:$CW$1,0),FALSE)</f>
        <v>6.4999999999999997E-3</v>
      </c>
      <c r="O46" s="390">
        <f>VLOOKUP($A46,'Output 90% Downside'!$A:$CW,MATCH('Model Output-LoanNameUpdate'!O$2,'Output 90% Downside'!$A$1:$CW$1,0),FALSE)</f>
        <v>6.4999999999999997E-3</v>
      </c>
      <c r="P46" s="390">
        <f>VLOOKUP($A46,'Output 90% Downside'!$A:$CW,MATCH('Model Output-LoanNameUpdate'!P$2,'Output 90% Downside'!$A$1:$CW$1,0),FALSE)</f>
        <v>6.4000000000000003E-3</v>
      </c>
      <c r="Q46" s="390">
        <f>VLOOKUP($A46,'Output 96% Downside'!$A:$CW,MATCH('Model Output-LoanNameUpdate'!Q$2,'Output 96% Downside'!$A$1:$CW$1,0),FALSE)</f>
        <v>1.01E-2</v>
      </c>
      <c r="R46" s="390">
        <f>VLOOKUP($A46,'Output 96% Downside'!$A:$CW,MATCH('Model Output-LoanNameUpdate'!R$2,'Output 96% Downside'!$A$1:$CW$1,0),FALSE)</f>
        <v>9.1000000000000004E-3</v>
      </c>
      <c r="S46" s="390">
        <f>VLOOKUP($A46,'Output 96% Downside'!$A:$CW,MATCH('Model Output-LoanNameUpdate'!S$2,'Output 96% Downside'!$A$1:$CW$1,0),FALSE)</f>
        <v>8.5000000000000006E-3</v>
      </c>
      <c r="T46" s="390">
        <f>VLOOKUP($A46,'Output 96% Downside'!$A:$CW,MATCH('Model Output-LoanNameUpdate'!T$2,'Output 96% Downside'!$A$1:$CW$1,0),FALSE)</f>
        <v>8.2000000000000007E-3</v>
      </c>
      <c r="U46" s="390">
        <f>VLOOKUP($A46,'Output 96% Downside'!$A:$CW,MATCH('Model Output-LoanNameUpdate'!U$2,'Output 96% Downside'!$A$1:$CW$1,0),FALSE)</f>
        <v>7.9000000000000008E-3</v>
      </c>
    </row>
    <row r="47" spans="1:21" x14ac:dyDescent="0.25">
      <c r="A47" s="354" t="s">
        <v>4097</v>
      </c>
      <c r="B47" s="391">
        <f t="shared" si="6"/>
        <v>1.8755000000000001E-2</v>
      </c>
      <c r="C47" s="391">
        <f t="shared" si="7"/>
        <v>1.5350000000000001E-2</v>
      </c>
      <c r="D47" s="391">
        <f t="shared" si="8"/>
        <v>1.3614999999999997E-2</v>
      </c>
      <c r="E47" s="391">
        <f t="shared" si="9"/>
        <v>1.2529999999999999E-2</v>
      </c>
      <c r="F47" s="391">
        <f t="shared" si="10"/>
        <v>1.1729999999999997E-2</v>
      </c>
      <c r="G47" s="390">
        <f>VLOOKUP($A47,'Output Baseline'!$A:$CW,MATCH('Model Output-LoanNameUpdate'!G$2,'Output Baseline'!$A$1:$CW$1,0),FALSE)</f>
        <v>1.18E-2</v>
      </c>
      <c r="H47" s="390">
        <f>VLOOKUP($A47,'Output Baseline'!$A:$CW,MATCH('Model Output-LoanNameUpdate'!H$2,'Output Baseline'!$A$1:$CW$1,0),FALSE)</f>
        <v>1.0200000000000001E-2</v>
      </c>
      <c r="I47" s="390">
        <f>VLOOKUP($A47,'Output Baseline'!$A:$CW,MATCH('Model Output-LoanNameUpdate'!I$2,'Output Baseline'!$A$1:$CW$1,0),FALSE)</f>
        <v>9.2999999999999992E-3</v>
      </c>
      <c r="J47" s="390">
        <f>VLOOKUP($A47,'Output Baseline'!$A:$CW,MATCH('Model Output-LoanNameUpdate'!J$2,'Output Baseline'!$A$1:$CW$1,0),FALSE)</f>
        <v>8.6999999999999994E-3</v>
      </c>
      <c r="K47" s="390">
        <f>VLOOKUP($A47,'Output Baseline'!$A:$CW,MATCH('Model Output-LoanNameUpdate'!K$2,'Output Baseline'!$A$1:$CW$1,0),FALSE)</f>
        <v>8.3000000000000001E-3</v>
      </c>
      <c r="L47" s="390">
        <f>VLOOKUP($A47,'Output 90% Downside'!$A:$CW,MATCH('Model Output-LoanNameUpdate'!L$2,'Output 90% Downside'!$A$1:$CW$1,0),FALSE)</f>
        <v>2.9100000000000001E-2</v>
      </c>
      <c r="M47" s="390">
        <f>VLOOKUP($A47,'Output 90% Downside'!$A:$CW,MATCH('Model Output-LoanNameUpdate'!M$2,'Output 90% Downside'!$A$1:$CW$1,0),FALSE)</f>
        <v>2.3E-2</v>
      </c>
      <c r="N47" s="390">
        <f>VLOOKUP($A47,'Output 90% Downside'!$A:$CW,MATCH('Model Output-LoanNameUpdate'!N$2,'Output 90% Downside'!$A$1:$CW$1,0),FALSE)</f>
        <v>0.02</v>
      </c>
      <c r="O47" s="390">
        <f>VLOOKUP($A47,'Output 90% Downside'!$A:$CW,MATCH('Model Output-LoanNameUpdate'!O$2,'Output 90% Downside'!$A$1:$CW$1,0),FALSE)</f>
        <v>1.8200000000000001E-2</v>
      </c>
      <c r="P47" s="390">
        <f>VLOOKUP($A47,'Output 90% Downside'!$A:$CW,MATCH('Model Output-LoanNameUpdate'!P$2,'Output 90% Downside'!$A$1:$CW$1,0),FALSE)</f>
        <v>1.6799999999999999E-2</v>
      </c>
      <c r="Q47" s="390">
        <f>VLOOKUP($A47,'Output 96% Downside'!$A:$CW,MATCH('Model Output-LoanNameUpdate'!Q$2,'Output 96% Downside'!$A$1:$CW$1,0),FALSE)</f>
        <v>2.98E-2</v>
      </c>
      <c r="R47" s="390">
        <f>VLOOKUP($A47,'Output 96% Downside'!$A:$CW,MATCH('Model Output-LoanNameUpdate'!R$2,'Output 96% Downside'!$A$1:$CW$1,0),FALSE)</f>
        <v>2.3599999999999999E-2</v>
      </c>
      <c r="S47" s="390">
        <f>VLOOKUP($A47,'Output 96% Downside'!$A:$CW,MATCH('Model Output-LoanNameUpdate'!S$2,'Output 96% Downside'!$A$1:$CW$1,0),FALSE)</f>
        <v>2.07E-2</v>
      </c>
      <c r="T47" s="390">
        <f>VLOOKUP($A47,'Output 96% Downside'!$A:$CW,MATCH('Model Output-LoanNameUpdate'!T$2,'Output 96% Downside'!$A$1:$CW$1,0),FALSE)</f>
        <v>1.8800000000000001E-2</v>
      </c>
      <c r="U47" s="390">
        <f>VLOOKUP($A47,'Output 96% Downside'!$A:$CW,MATCH('Model Output-LoanNameUpdate'!U$2,'Output 96% Downside'!$A$1:$CW$1,0),FALSE)</f>
        <v>1.7399999999999999E-2</v>
      </c>
    </row>
    <row r="48" spans="1:21" x14ac:dyDescent="0.25">
      <c r="A48" s="354" t="s">
        <v>4137</v>
      </c>
      <c r="B48" s="391">
        <f t="shared" si="6"/>
        <v>5.1199999999999996E-3</v>
      </c>
      <c r="C48" s="391">
        <f t="shared" si="7"/>
        <v>5.62E-3</v>
      </c>
      <c r="D48" s="391">
        <f t="shared" si="8"/>
        <v>6.0199999999999993E-3</v>
      </c>
      <c r="E48" s="391">
        <f t="shared" si="9"/>
        <v>6.2599999999999999E-3</v>
      </c>
      <c r="F48" s="391">
        <f t="shared" si="10"/>
        <v>6.4600000000000005E-3</v>
      </c>
      <c r="G48" s="390">
        <f>VLOOKUP($A48,'Output Baseline'!$A:$CW,MATCH('Model Output-LoanNameUpdate'!G$2,'Output Baseline'!$A$1:$CW$1,0),FALSE)</f>
        <v>4.7999999999999996E-3</v>
      </c>
      <c r="H48" s="390">
        <f>VLOOKUP($A48,'Output Baseline'!$A:$CW,MATCH('Model Output-LoanNameUpdate'!H$2,'Output Baseline'!$A$1:$CW$1,0),FALSE)</f>
        <v>5.3E-3</v>
      </c>
      <c r="I48" s="390">
        <f>VLOOKUP($A48,'Output Baseline'!$A:$CW,MATCH('Model Output-LoanNameUpdate'!I$2,'Output Baseline'!$A$1:$CW$1,0),FALSE)</f>
        <v>5.7000000000000002E-3</v>
      </c>
      <c r="J48" s="390">
        <f>VLOOKUP($A48,'Output Baseline'!$A:$CW,MATCH('Model Output-LoanNameUpdate'!J$2,'Output Baseline'!$A$1:$CW$1,0),FALSE)</f>
        <v>5.8999999999999999E-3</v>
      </c>
      <c r="K48" s="390">
        <f>VLOOKUP($A48,'Output Baseline'!$A:$CW,MATCH('Model Output-LoanNameUpdate'!K$2,'Output Baseline'!$A$1:$CW$1,0),FALSE)</f>
        <v>6.1000000000000004E-3</v>
      </c>
      <c r="L48" s="390">
        <f>VLOOKUP($A48,'Output 90% Downside'!$A:$CW,MATCH('Model Output-LoanNameUpdate'!L$2,'Output 90% Downside'!$A$1:$CW$1,0),FALSE)</f>
        <v>5.5999999999999999E-3</v>
      </c>
      <c r="M48" s="390">
        <f>VLOOKUP($A48,'Output 90% Downside'!$A:$CW,MATCH('Model Output-LoanNameUpdate'!M$2,'Output 90% Downside'!$A$1:$CW$1,0),FALSE)</f>
        <v>6.1000000000000004E-3</v>
      </c>
      <c r="N48" s="390">
        <f>VLOOKUP($A48,'Output 90% Downside'!$A:$CW,MATCH('Model Output-LoanNameUpdate'!N$2,'Output 90% Downside'!$A$1:$CW$1,0),FALSE)</f>
        <v>6.4999999999999997E-3</v>
      </c>
      <c r="O48" s="390">
        <f>VLOOKUP($A48,'Output 90% Downside'!$A:$CW,MATCH('Model Output-LoanNameUpdate'!O$2,'Output 90% Downside'!$A$1:$CW$1,0),FALSE)</f>
        <v>6.7999999999999996E-3</v>
      </c>
      <c r="P48" s="390">
        <f>VLOOKUP($A48,'Output 90% Downside'!$A:$CW,MATCH('Model Output-LoanNameUpdate'!P$2,'Output 90% Downside'!$A$1:$CW$1,0),FALSE)</f>
        <v>7.0000000000000001E-3</v>
      </c>
      <c r="Q48" s="390">
        <f>VLOOKUP($A48,'Output 96% Downside'!$A:$CW,MATCH('Model Output-LoanNameUpdate'!Q$2,'Output 96% Downside'!$A$1:$CW$1,0),FALSE)</f>
        <v>5.5999999999999999E-3</v>
      </c>
      <c r="R48" s="390">
        <f>VLOOKUP($A48,'Output 96% Downside'!$A:$CW,MATCH('Model Output-LoanNameUpdate'!R$2,'Output 96% Downside'!$A$1:$CW$1,0),FALSE)</f>
        <v>6.1000000000000004E-3</v>
      </c>
      <c r="S48" s="390">
        <f>VLOOKUP($A48,'Output 96% Downside'!$A:$CW,MATCH('Model Output-LoanNameUpdate'!S$2,'Output 96% Downside'!$A$1:$CW$1,0),FALSE)</f>
        <v>6.4999999999999997E-3</v>
      </c>
      <c r="T48" s="390">
        <f>VLOOKUP($A48,'Output 96% Downside'!$A:$CW,MATCH('Model Output-LoanNameUpdate'!T$2,'Output 96% Downside'!$A$1:$CW$1,0),FALSE)</f>
        <v>6.7999999999999996E-3</v>
      </c>
      <c r="U48" s="390">
        <f>VLOOKUP($A48,'Output 96% Downside'!$A:$CW,MATCH('Model Output-LoanNameUpdate'!U$2,'Output 96% Downside'!$A$1:$CW$1,0),FALSE)</f>
        <v>7.0000000000000001E-3</v>
      </c>
    </row>
    <row r="49" spans="1:21" x14ac:dyDescent="0.25">
      <c r="A49" s="354" t="s">
        <v>2761</v>
      </c>
      <c r="B49" s="391">
        <f t="shared" si="6"/>
        <v>1.55E-2</v>
      </c>
      <c r="C49" s="391">
        <f t="shared" si="7"/>
        <v>1.38E-2</v>
      </c>
      <c r="D49" s="391">
        <f t="shared" si="8"/>
        <v>1.2945E-2</v>
      </c>
      <c r="E49" s="391">
        <f t="shared" si="9"/>
        <v>1.2315E-2</v>
      </c>
      <c r="F49" s="391">
        <f t="shared" si="10"/>
        <v>1.183E-2</v>
      </c>
      <c r="G49" s="390">
        <f>VLOOKUP($A49,'Output Baseline'!$A:$CW,MATCH('Model Output-LoanNameUpdate'!G$2,'Output Baseline'!$A$1:$CW$1,0),FALSE)</f>
        <v>1.3899999999999999E-2</v>
      </c>
      <c r="H49" s="390">
        <f>VLOOKUP($A49,'Output Baseline'!$A:$CW,MATCH('Model Output-LoanNameUpdate'!H$2,'Output Baseline'!$A$1:$CW$1,0),FALSE)</f>
        <v>1.26E-2</v>
      </c>
      <c r="I49" s="390">
        <f>VLOOKUP($A49,'Output Baseline'!$A:$CW,MATCH('Model Output-LoanNameUpdate'!I$2,'Output Baseline'!$A$1:$CW$1,0),FALSE)</f>
        <v>1.2E-2</v>
      </c>
      <c r="J49" s="390">
        <f>VLOOKUP($A49,'Output Baseline'!$A:$CW,MATCH('Model Output-LoanNameUpdate'!J$2,'Output Baseline'!$A$1:$CW$1,0),FALSE)</f>
        <v>1.15E-2</v>
      </c>
      <c r="K49" s="390">
        <f>VLOOKUP($A49,'Output Baseline'!$A:$CW,MATCH('Model Output-LoanNameUpdate'!K$2,'Output Baseline'!$A$1:$CW$1,0),FALSE)</f>
        <v>1.11E-2</v>
      </c>
      <c r="L49" s="390">
        <f>VLOOKUP($A49,'Output 90% Downside'!$A:$CW,MATCH('Model Output-LoanNameUpdate'!L$2,'Output 90% Downside'!$A$1:$CW$1,0),FALSE)</f>
        <v>1.7600000000000001E-2</v>
      </c>
      <c r="M49" s="390">
        <f>VLOOKUP($A49,'Output 90% Downside'!$A:$CW,MATCH('Model Output-LoanNameUpdate'!M$2,'Output 90% Downside'!$A$1:$CW$1,0),FALSE)</f>
        <v>1.54E-2</v>
      </c>
      <c r="N49" s="390">
        <f>VLOOKUP($A49,'Output 90% Downside'!$A:$CW,MATCH('Model Output-LoanNameUpdate'!N$2,'Output 90% Downside'!$A$1:$CW$1,0),FALSE)</f>
        <v>1.4200000000000001E-2</v>
      </c>
      <c r="O49" s="390">
        <f>VLOOKUP($A49,'Output 90% Downside'!$A:$CW,MATCH('Model Output-LoanNameUpdate'!O$2,'Output 90% Downside'!$A$1:$CW$1,0),FALSE)</f>
        <v>1.34E-2</v>
      </c>
      <c r="P49" s="390">
        <f>VLOOKUP($A49,'Output 90% Downside'!$A:$CW,MATCH('Model Output-LoanNameUpdate'!P$2,'Output 90% Downside'!$A$1:$CW$1,0),FALSE)</f>
        <v>1.2800000000000001E-2</v>
      </c>
      <c r="Q49" s="390">
        <f>VLOOKUP($A49,'Output 96% Downside'!$A:$CW,MATCH('Model Output-LoanNameUpdate'!Q$2,'Output 96% Downside'!$A$1:$CW$1,0),FALSE)</f>
        <v>0.02</v>
      </c>
      <c r="R49" s="390">
        <f>VLOOKUP($A49,'Output 96% Downside'!$A:$CW,MATCH('Model Output-LoanNameUpdate'!R$2,'Output 96% Downside'!$A$1:$CW$1,0),FALSE)</f>
        <v>1.7000000000000001E-2</v>
      </c>
      <c r="S49" s="390">
        <f>VLOOKUP($A49,'Output 96% Downside'!$A:$CW,MATCH('Model Output-LoanNameUpdate'!S$2,'Output 96% Downside'!$A$1:$CW$1,0),FALSE)</f>
        <v>1.55E-2</v>
      </c>
      <c r="T49" s="390">
        <f>VLOOKUP($A49,'Output 96% Downside'!$A:$CW,MATCH('Model Output-LoanNameUpdate'!T$2,'Output 96% Downside'!$A$1:$CW$1,0),FALSE)</f>
        <v>1.4500000000000001E-2</v>
      </c>
      <c r="U49" s="390">
        <f>VLOOKUP($A49,'Output 96% Downside'!$A:$CW,MATCH('Model Output-LoanNameUpdate'!U$2,'Output 96% Downside'!$A$1:$CW$1,0),FALSE)</f>
        <v>1.38E-2</v>
      </c>
    </row>
    <row r="50" spans="1:21" x14ac:dyDescent="0.25">
      <c r="A50" s="354" t="s">
        <v>2763</v>
      </c>
      <c r="B50" s="391">
        <f t="shared" si="6"/>
        <v>2.9614999999999999E-2</v>
      </c>
      <c r="C50" s="391">
        <f t="shared" si="7"/>
        <v>2.384E-2</v>
      </c>
      <c r="D50" s="391">
        <f t="shared" si="8"/>
        <v>2.0969999999999999E-2</v>
      </c>
      <c r="E50" s="391">
        <f t="shared" si="9"/>
        <v>1.9209999999999998E-2</v>
      </c>
      <c r="F50" s="391">
        <f t="shared" si="10"/>
        <v>1.7954999999999999E-2</v>
      </c>
      <c r="G50" s="390">
        <f>VLOOKUP($A50,'Output Baseline'!$A:$CW,MATCH('Model Output-LoanNameUpdate'!G$2,'Output Baseline'!$A$1:$CW$1,0),FALSE)</f>
        <v>1.84E-2</v>
      </c>
      <c r="H50" s="390">
        <f>VLOOKUP($A50,'Output Baseline'!$A:$CW,MATCH('Model Output-LoanNameUpdate'!H$2,'Output Baseline'!$A$1:$CW$1,0),FALSE)</f>
        <v>1.61E-2</v>
      </c>
      <c r="I50" s="390">
        <f>VLOOKUP($A50,'Output Baseline'!$A:$CW,MATCH('Model Output-LoanNameUpdate'!I$2,'Output Baseline'!$A$1:$CW$1,0),FALSE)</f>
        <v>1.4800000000000001E-2</v>
      </c>
      <c r="J50" s="390">
        <f>VLOOKUP($A50,'Output Baseline'!$A:$CW,MATCH('Model Output-LoanNameUpdate'!J$2,'Output Baseline'!$A$1:$CW$1,0),FALSE)</f>
        <v>1.4E-2</v>
      </c>
      <c r="K50" s="390">
        <f>VLOOKUP($A50,'Output Baseline'!$A:$CW,MATCH('Model Output-LoanNameUpdate'!K$2,'Output Baseline'!$A$1:$CW$1,0),FALSE)</f>
        <v>1.34E-2</v>
      </c>
      <c r="L50" s="390">
        <f>VLOOKUP($A50,'Output 90% Downside'!$A:$CW,MATCH('Model Output-LoanNameUpdate'!L$2,'Output 90% Downside'!$A$1:$CW$1,0),FALSE)</f>
        <v>4.4400000000000002E-2</v>
      </c>
      <c r="M50" s="390">
        <f>VLOOKUP($A50,'Output 90% Downside'!$A:$CW,MATCH('Model Output-LoanNameUpdate'!M$2,'Output 90% Downside'!$A$1:$CW$1,0),FALSE)</f>
        <v>3.4200000000000001E-2</v>
      </c>
      <c r="N50" s="390">
        <f>VLOOKUP($A50,'Output 90% Downside'!$A:$CW,MATCH('Model Output-LoanNameUpdate'!N$2,'Output 90% Downside'!$A$1:$CW$1,0),FALSE)</f>
        <v>2.93E-2</v>
      </c>
      <c r="O50" s="390">
        <f>VLOOKUP($A50,'Output 90% Downside'!$A:$CW,MATCH('Model Output-LoanNameUpdate'!O$2,'Output 90% Downside'!$A$1:$CW$1,0),FALSE)</f>
        <v>2.63E-2</v>
      </c>
      <c r="P50" s="390">
        <f>VLOOKUP($A50,'Output 90% Downside'!$A:$CW,MATCH('Model Output-LoanNameUpdate'!P$2,'Output 90% Downside'!$A$1:$CW$1,0),FALSE)</f>
        <v>2.4199999999999999E-2</v>
      </c>
      <c r="Q50" s="390">
        <f>VLOOKUP($A50,'Output 96% Downside'!$A:$CW,MATCH('Model Output-LoanNameUpdate'!Q$2,'Output 96% Downside'!$A$1:$CW$1,0),FALSE)</f>
        <v>6.0699999999999997E-2</v>
      </c>
      <c r="R50" s="390">
        <f>VLOOKUP($A50,'Output 96% Downside'!$A:$CW,MATCH('Model Output-LoanNameUpdate'!R$2,'Output 96% Downside'!$A$1:$CW$1,0),FALSE)</f>
        <v>4.4200000000000003E-2</v>
      </c>
      <c r="S50" s="390">
        <f>VLOOKUP($A50,'Output 96% Downside'!$A:$CW,MATCH('Model Output-LoanNameUpdate'!S$2,'Output 96% Downside'!$A$1:$CW$1,0),FALSE)</f>
        <v>3.6700000000000003E-2</v>
      </c>
      <c r="T50" s="390">
        <f>VLOOKUP($A50,'Output 96% Downside'!$A:$CW,MATCH('Model Output-LoanNameUpdate'!T$2,'Output 96% Downside'!$A$1:$CW$1,0),FALSE)</f>
        <v>3.2099999999999997E-2</v>
      </c>
      <c r="U50" s="390">
        <f>VLOOKUP($A50,'Output 96% Downside'!$A:$CW,MATCH('Model Output-LoanNameUpdate'!U$2,'Output 96% Downside'!$A$1:$CW$1,0),FALSE)</f>
        <v>2.8899999999999999E-2</v>
      </c>
    </row>
    <row r="51" spans="1:21" x14ac:dyDescent="0.25">
      <c r="A51" s="354" t="s">
        <v>4189</v>
      </c>
      <c r="B51" s="391">
        <f t="shared" si="6"/>
        <v>1.9650000000000002E-3</v>
      </c>
      <c r="C51" s="391">
        <f t="shared" si="7"/>
        <v>1.9249999999999998E-3</v>
      </c>
      <c r="D51" s="391">
        <f t="shared" si="8"/>
        <v>1.885E-3</v>
      </c>
      <c r="E51" s="391">
        <f t="shared" si="9"/>
        <v>1.885E-3</v>
      </c>
      <c r="F51" s="391">
        <f t="shared" si="10"/>
        <v>1.8450000000000001E-3</v>
      </c>
      <c r="G51" s="390">
        <f>VLOOKUP($A51,'Output Baseline'!$A:$CW,MATCH('Model Output-LoanNameUpdate'!G$2,'Output Baseline'!$A$1:$CW$1,0),FALSE)</f>
        <v>1.8E-3</v>
      </c>
      <c r="H51" s="390">
        <f>VLOOKUP($A51,'Output Baseline'!$A:$CW,MATCH('Model Output-LoanNameUpdate'!H$2,'Output Baseline'!$A$1:$CW$1,0),FALSE)</f>
        <v>1.8E-3</v>
      </c>
      <c r="I51" s="390">
        <f>VLOOKUP($A51,'Output Baseline'!$A:$CW,MATCH('Model Output-LoanNameUpdate'!I$2,'Output Baseline'!$A$1:$CW$1,0),FALSE)</f>
        <v>1.8E-3</v>
      </c>
      <c r="J51" s="390">
        <f>VLOOKUP($A51,'Output Baseline'!$A:$CW,MATCH('Model Output-LoanNameUpdate'!J$2,'Output Baseline'!$A$1:$CW$1,0),FALSE)</f>
        <v>1.8E-3</v>
      </c>
      <c r="K51" s="390">
        <f>VLOOKUP($A51,'Output Baseline'!$A:$CW,MATCH('Model Output-LoanNameUpdate'!K$2,'Output Baseline'!$A$1:$CW$1,0),FALSE)</f>
        <v>1.8E-3</v>
      </c>
      <c r="L51" s="390">
        <f>VLOOKUP($A51,'Output 90% Downside'!$A:$CW,MATCH('Model Output-LoanNameUpdate'!L$2,'Output 90% Downside'!$A$1:$CW$1,0),FALSE)</f>
        <v>2.2000000000000001E-3</v>
      </c>
      <c r="M51" s="390">
        <f>VLOOKUP($A51,'Output 90% Downside'!$A:$CW,MATCH('Model Output-LoanNameUpdate'!M$2,'Output 90% Downside'!$A$1:$CW$1,0),FALSE)</f>
        <v>2.0999999999999999E-3</v>
      </c>
      <c r="N51" s="390">
        <f>VLOOKUP($A51,'Output 90% Downside'!$A:$CW,MATCH('Model Output-LoanNameUpdate'!N$2,'Output 90% Downside'!$A$1:$CW$1,0),FALSE)</f>
        <v>2E-3</v>
      </c>
      <c r="O51" s="390">
        <f>VLOOKUP($A51,'Output 90% Downside'!$A:$CW,MATCH('Model Output-LoanNameUpdate'!O$2,'Output 90% Downside'!$A$1:$CW$1,0),FALSE)</f>
        <v>2E-3</v>
      </c>
      <c r="P51" s="390">
        <f>VLOOKUP($A51,'Output 90% Downside'!$A:$CW,MATCH('Model Output-LoanNameUpdate'!P$2,'Output 90% Downside'!$A$1:$CW$1,0),FALSE)</f>
        <v>1.9E-3</v>
      </c>
      <c r="Q51" s="390">
        <f>VLOOKUP($A51,'Output 96% Downside'!$A:$CW,MATCH('Model Output-LoanNameUpdate'!Q$2,'Output 96% Downside'!$A$1:$CW$1,0),FALSE)</f>
        <v>2.3E-3</v>
      </c>
      <c r="R51" s="390">
        <f>VLOOKUP($A51,'Output 96% Downside'!$A:$CW,MATCH('Model Output-LoanNameUpdate'!R$2,'Output 96% Downside'!$A$1:$CW$1,0),FALSE)</f>
        <v>2.2000000000000001E-3</v>
      </c>
      <c r="S51" s="390">
        <f>VLOOKUP($A51,'Output 96% Downside'!$A:$CW,MATCH('Model Output-LoanNameUpdate'!S$2,'Output 96% Downside'!$A$1:$CW$1,0),FALSE)</f>
        <v>2.0999999999999999E-3</v>
      </c>
      <c r="T51" s="390">
        <f>VLOOKUP($A51,'Output 96% Downside'!$A:$CW,MATCH('Model Output-LoanNameUpdate'!T$2,'Output 96% Downside'!$A$1:$CW$1,0),FALSE)</f>
        <v>2.0999999999999999E-3</v>
      </c>
      <c r="U51" s="390">
        <f>VLOOKUP($A51,'Output 96% Downside'!$A:$CW,MATCH('Model Output-LoanNameUpdate'!U$2,'Output 96% Downside'!$A$1:$CW$1,0),FALSE)</f>
        <v>2E-3</v>
      </c>
    </row>
    <row r="52" spans="1:21" x14ac:dyDescent="0.25">
      <c r="A52" s="354" t="s">
        <v>4193</v>
      </c>
      <c r="B52" s="391">
        <f t="shared" si="6"/>
        <v>1.9650000000000002E-3</v>
      </c>
      <c r="C52" s="391">
        <f t="shared" si="7"/>
        <v>1.9249999999999998E-3</v>
      </c>
      <c r="D52" s="391">
        <f t="shared" si="8"/>
        <v>1.885E-3</v>
      </c>
      <c r="E52" s="391">
        <f t="shared" si="9"/>
        <v>1.885E-3</v>
      </c>
      <c r="F52" s="391">
        <f t="shared" si="10"/>
        <v>1.8450000000000001E-3</v>
      </c>
      <c r="G52" s="390">
        <f>VLOOKUP($A52,'Output Baseline'!$A:$CW,MATCH('Model Output-LoanNameUpdate'!G$2,'Output Baseline'!$A$1:$CW$1,0),FALSE)</f>
        <v>1.8E-3</v>
      </c>
      <c r="H52" s="390">
        <f>VLOOKUP($A52,'Output Baseline'!$A:$CW,MATCH('Model Output-LoanNameUpdate'!H$2,'Output Baseline'!$A$1:$CW$1,0),FALSE)</f>
        <v>1.8E-3</v>
      </c>
      <c r="I52" s="390">
        <f>VLOOKUP($A52,'Output Baseline'!$A:$CW,MATCH('Model Output-LoanNameUpdate'!I$2,'Output Baseline'!$A$1:$CW$1,0),FALSE)</f>
        <v>1.8E-3</v>
      </c>
      <c r="J52" s="390">
        <f>VLOOKUP($A52,'Output Baseline'!$A:$CW,MATCH('Model Output-LoanNameUpdate'!J$2,'Output Baseline'!$A$1:$CW$1,0),FALSE)</f>
        <v>1.8E-3</v>
      </c>
      <c r="K52" s="390">
        <f>VLOOKUP($A52,'Output Baseline'!$A:$CW,MATCH('Model Output-LoanNameUpdate'!K$2,'Output Baseline'!$A$1:$CW$1,0),FALSE)</f>
        <v>1.8E-3</v>
      </c>
      <c r="L52" s="390">
        <f>VLOOKUP($A52,'Output 90% Downside'!$A:$CW,MATCH('Model Output-LoanNameUpdate'!L$2,'Output 90% Downside'!$A$1:$CW$1,0),FALSE)</f>
        <v>2.2000000000000001E-3</v>
      </c>
      <c r="M52" s="390">
        <f>VLOOKUP($A52,'Output 90% Downside'!$A:$CW,MATCH('Model Output-LoanNameUpdate'!M$2,'Output 90% Downside'!$A$1:$CW$1,0),FALSE)</f>
        <v>2.0999999999999999E-3</v>
      </c>
      <c r="N52" s="390">
        <f>VLOOKUP($A52,'Output 90% Downside'!$A:$CW,MATCH('Model Output-LoanNameUpdate'!N$2,'Output 90% Downside'!$A$1:$CW$1,0),FALSE)</f>
        <v>2E-3</v>
      </c>
      <c r="O52" s="390">
        <f>VLOOKUP($A52,'Output 90% Downside'!$A:$CW,MATCH('Model Output-LoanNameUpdate'!O$2,'Output 90% Downside'!$A$1:$CW$1,0),FALSE)</f>
        <v>2E-3</v>
      </c>
      <c r="P52" s="390">
        <f>VLOOKUP($A52,'Output 90% Downside'!$A:$CW,MATCH('Model Output-LoanNameUpdate'!P$2,'Output 90% Downside'!$A$1:$CW$1,0),FALSE)</f>
        <v>1.9E-3</v>
      </c>
      <c r="Q52" s="390">
        <f>VLOOKUP($A52,'Output 96% Downside'!$A:$CW,MATCH('Model Output-LoanNameUpdate'!Q$2,'Output 96% Downside'!$A$1:$CW$1,0),FALSE)</f>
        <v>2.3E-3</v>
      </c>
      <c r="R52" s="390">
        <f>VLOOKUP($A52,'Output 96% Downside'!$A:$CW,MATCH('Model Output-LoanNameUpdate'!R$2,'Output 96% Downside'!$A$1:$CW$1,0),FALSE)</f>
        <v>2.2000000000000001E-3</v>
      </c>
      <c r="S52" s="390">
        <f>VLOOKUP($A52,'Output 96% Downside'!$A:$CW,MATCH('Model Output-LoanNameUpdate'!S$2,'Output 96% Downside'!$A$1:$CW$1,0),FALSE)</f>
        <v>2.0999999999999999E-3</v>
      </c>
      <c r="T52" s="390">
        <f>VLOOKUP($A52,'Output 96% Downside'!$A:$CW,MATCH('Model Output-LoanNameUpdate'!T$2,'Output 96% Downside'!$A$1:$CW$1,0),FALSE)</f>
        <v>2.0999999999999999E-3</v>
      </c>
      <c r="U52" s="390">
        <f>VLOOKUP($A52,'Output 96% Downside'!$A:$CW,MATCH('Model Output-LoanNameUpdate'!U$2,'Output 96% Downside'!$A$1:$CW$1,0),FALSE)</f>
        <v>2E-3</v>
      </c>
    </row>
    <row r="53" spans="1:21" x14ac:dyDescent="0.25">
      <c r="A53" s="354" t="s">
        <v>4195</v>
      </c>
      <c r="B53" s="391">
        <f t="shared" si="6"/>
        <v>1.9650000000000002E-3</v>
      </c>
      <c r="C53" s="391">
        <f t="shared" si="7"/>
        <v>1.9249999999999998E-3</v>
      </c>
      <c r="D53" s="391">
        <f t="shared" si="8"/>
        <v>1.885E-3</v>
      </c>
      <c r="E53" s="391">
        <f t="shared" si="9"/>
        <v>1.885E-3</v>
      </c>
      <c r="F53" s="391">
        <f t="shared" si="10"/>
        <v>1.8450000000000001E-3</v>
      </c>
      <c r="G53" s="390">
        <f>VLOOKUP($A53,'Output Baseline'!$A:$CW,MATCH('Model Output-LoanNameUpdate'!G$2,'Output Baseline'!$A$1:$CW$1,0),FALSE)</f>
        <v>1.8E-3</v>
      </c>
      <c r="H53" s="390">
        <f>VLOOKUP($A53,'Output Baseline'!$A:$CW,MATCH('Model Output-LoanNameUpdate'!H$2,'Output Baseline'!$A$1:$CW$1,0),FALSE)</f>
        <v>1.8E-3</v>
      </c>
      <c r="I53" s="390">
        <f>VLOOKUP($A53,'Output Baseline'!$A:$CW,MATCH('Model Output-LoanNameUpdate'!I$2,'Output Baseline'!$A$1:$CW$1,0),FALSE)</f>
        <v>1.8E-3</v>
      </c>
      <c r="J53" s="390">
        <f>VLOOKUP($A53,'Output Baseline'!$A:$CW,MATCH('Model Output-LoanNameUpdate'!J$2,'Output Baseline'!$A$1:$CW$1,0),FALSE)</f>
        <v>1.8E-3</v>
      </c>
      <c r="K53" s="390">
        <f>VLOOKUP($A53,'Output Baseline'!$A:$CW,MATCH('Model Output-LoanNameUpdate'!K$2,'Output Baseline'!$A$1:$CW$1,0),FALSE)</f>
        <v>1.8E-3</v>
      </c>
      <c r="L53" s="390">
        <f>VLOOKUP($A53,'Output 90% Downside'!$A:$CW,MATCH('Model Output-LoanNameUpdate'!L$2,'Output 90% Downside'!$A$1:$CW$1,0),FALSE)</f>
        <v>2.2000000000000001E-3</v>
      </c>
      <c r="M53" s="390">
        <f>VLOOKUP($A53,'Output 90% Downside'!$A:$CW,MATCH('Model Output-LoanNameUpdate'!M$2,'Output 90% Downside'!$A$1:$CW$1,0),FALSE)</f>
        <v>2.0999999999999999E-3</v>
      </c>
      <c r="N53" s="390">
        <f>VLOOKUP($A53,'Output 90% Downside'!$A:$CW,MATCH('Model Output-LoanNameUpdate'!N$2,'Output 90% Downside'!$A$1:$CW$1,0),FALSE)</f>
        <v>2E-3</v>
      </c>
      <c r="O53" s="390">
        <f>VLOOKUP($A53,'Output 90% Downside'!$A:$CW,MATCH('Model Output-LoanNameUpdate'!O$2,'Output 90% Downside'!$A$1:$CW$1,0),FALSE)</f>
        <v>2E-3</v>
      </c>
      <c r="P53" s="390">
        <f>VLOOKUP($A53,'Output 90% Downside'!$A:$CW,MATCH('Model Output-LoanNameUpdate'!P$2,'Output 90% Downside'!$A$1:$CW$1,0),FALSE)</f>
        <v>1.9E-3</v>
      </c>
      <c r="Q53" s="390">
        <f>VLOOKUP($A53,'Output 96% Downside'!$A:$CW,MATCH('Model Output-LoanNameUpdate'!Q$2,'Output 96% Downside'!$A$1:$CW$1,0),FALSE)</f>
        <v>2.3E-3</v>
      </c>
      <c r="R53" s="390">
        <f>VLOOKUP($A53,'Output 96% Downside'!$A:$CW,MATCH('Model Output-LoanNameUpdate'!R$2,'Output 96% Downside'!$A$1:$CW$1,0),FALSE)</f>
        <v>2.2000000000000001E-3</v>
      </c>
      <c r="S53" s="390">
        <f>VLOOKUP($A53,'Output 96% Downside'!$A:$CW,MATCH('Model Output-LoanNameUpdate'!S$2,'Output 96% Downside'!$A$1:$CW$1,0),FALSE)</f>
        <v>2.0999999999999999E-3</v>
      </c>
      <c r="T53" s="390">
        <f>VLOOKUP($A53,'Output 96% Downside'!$A:$CW,MATCH('Model Output-LoanNameUpdate'!T$2,'Output 96% Downside'!$A$1:$CW$1,0),FALSE)</f>
        <v>2.0999999999999999E-3</v>
      </c>
      <c r="U53" s="390">
        <f>VLOOKUP($A53,'Output 96% Downside'!$A:$CW,MATCH('Model Output-LoanNameUpdate'!U$2,'Output 96% Downside'!$A$1:$CW$1,0),FALSE)</f>
        <v>2E-3</v>
      </c>
    </row>
    <row r="54" spans="1:21" x14ac:dyDescent="0.25">
      <c r="A54" s="354" t="s">
        <v>4197</v>
      </c>
      <c r="B54" s="391">
        <f t="shared" si="6"/>
        <v>1.9650000000000002E-3</v>
      </c>
      <c r="C54" s="391">
        <f t="shared" si="7"/>
        <v>1.9249999999999998E-3</v>
      </c>
      <c r="D54" s="391">
        <f t="shared" si="8"/>
        <v>1.885E-3</v>
      </c>
      <c r="E54" s="391">
        <f t="shared" si="9"/>
        <v>1.885E-3</v>
      </c>
      <c r="F54" s="391">
        <f t="shared" si="10"/>
        <v>1.8450000000000001E-3</v>
      </c>
      <c r="G54" s="390">
        <f>VLOOKUP($A54,'Output Baseline'!$A:$CW,MATCH('Model Output-LoanNameUpdate'!G$2,'Output Baseline'!$A$1:$CW$1,0),FALSE)</f>
        <v>1.8E-3</v>
      </c>
      <c r="H54" s="390">
        <f>VLOOKUP($A54,'Output Baseline'!$A:$CW,MATCH('Model Output-LoanNameUpdate'!H$2,'Output Baseline'!$A$1:$CW$1,0),FALSE)</f>
        <v>1.8E-3</v>
      </c>
      <c r="I54" s="390">
        <f>VLOOKUP($A54,'Output Baseline'!$A:$CW,MATCH('Model Output-LoanNameUpdate'!I$2,'Output Baseline'!$A$1:$CW$1,0),FALSE)</f>
        <v>1.8E-3</v>
      </c>
      <c r="J54" s="390">
        <f>VLOOKUP($A54,'Output Baseline'!$A:$CW,MATCH('Model Output-LoanNameUpdate'!J$2,'Output Baseline'!$A$1:$CW$1,0),FALSE)</f>
        <v>1.8E-3</v>
      </c>
      <c r="K54" s="390">
        <f>VLOOKUP($A54,'Output Baseline'!$A:$CW,MATCH('Model Output-LoanNameUpdate'!K$2,'Output Baseline'!$A$1:$CW$1,0),FALSE)</f>
        <v>1.8E-3</v>
      </c>
      <c r="L54" s="390">
        <f>VLOOKUP($A54,'Output 90% Downside'!$A:$CW,MATCH('Model Output-LoanNameUpdate'!L$2,'Output 90% Downside'!$A$1:$CW$1,0),FALSE)</f>
        <v>2.2000000000000001E-3</v>
      </c>
      <c r="M54" s="390">
        <f>VLOOKUP($A54,'Output 90% Downside'!$A:$CW,MATCH('Model Output-LoanNameUpdate'!M$2,'Output 90% Downside'!$A$1:$CW$1,0),FALSE)</f>
        <v>2.0999999999999999E-3</v>
      </c>
      <c r="N54" s="390">
        <f>VLOOKUP($A54,'Output 90% Downside'!$A:$CW,MATCH('Model Output-LoanNameUpdate'!N$2,'Output 90% Downside'!$A$1:$CW$1,0),FALSE)</f>
        <v>2E-3</v>
      </c>
      <c r="O54" s="390">
        <f>VLOOKUP($A54,'Output 90% Downside'!$A:$CW,MATCH('Model Output-LoanNameUpdate'!O$2,'Output 90% Downside'!$A$1:$CW$1,0),FALSE)</f>
        <v>2E-3</v>
      </c>
      <c r="P54" s="390">
        <f>VLOOKUP($A54,'Output 90% Downside'!$A:$CW,MATCH('Model Output-LoanNameUpdate'!P$2,'Output 90% Downside'!$A$1:$CW$1,0),FALSE)</f>
        <v>1.9E-3</v>
      </c>
      <c r="Q54" s="390">
        <f>VLOOKUP($A54,'Output 96% Downside'!$A:$CW,MATCH('Model Output-LoanNameUpdate'!Q$2,'Output 96% Downside'!$A$1:$CW$1,0),FALSE)</f>
        <v>2.3E-3</v>
      </c>
      <c r="R54" s="390">
        <f>VLOOKUP($A54,'Output 96% Downside'!$A:$CW,MATCH('Model Output-LoanNameUpdate'!R$2,'Output 96% Downside'!$A$1:$CW$1,0),FALSE)</f>
        <v>2.2000000000000001E-3</v>
      </c>
      <c r="S54" s="390">
        <f>VLOOKUP($A54,'Output 96% Downside'!$A:$CW,MATCH('Model Output-LoanNameUpdate'!S$2,'Output 96% Downside'!$A$1:$CW$1,0),FALSE)</f>
        <v>2.0999999999999999E-3</v>
      </c>
      <c r="T54" s="390">
        <f>VLOOKUP($A54,'Output 96% Downside'!$A:$CW,MATCH('Model Output-LoanNameUpdate'!T$2,'Output 96% Downside'!$A$1:$CW$1,0),FALSE)</f>
        <v>2.0999999999999999E-3</v>
      </c>
      <c r="U54" s="390">
        <f>VLOOKUP($A54,'Output 96% Downside'!$A:$CW,MATCH('Model Output-LoanNameUpdate'!U$2,'Output 96% Downside'!$A$1:$CW$1,0),FALSE)</f>
        <v>2E-3</v>
      </c>
    </row>
    <row r="55" spans="1:21" x14ac:dyDescent="0.25">
      <c r="A55" s="354" t="s">
        <v>4199</v>
      </c>
      <c r="B55" s="391">
        <f t="shared" si="6"/>
        <v>1.9650000000000002E-3</v>
      </c>
      <c r="C55" s="391">
        <f t="shared" si="7"/>
        <v>1.9249999999999998E-3</v>
      </c>
      <c r="D55" s="391">
        <f t="shared" si="8"/>
        <v>1.885E-3</v>
      </c>
      <c r="E55" s="391">
        <f t="shared" si="9"/>
        <v>1.885E-3</v>
      </c>
      <c r="F55" s="391">
        <f t="shared" si="10"/>
        <v>1.8450000000000001E-3</v>
      </c>
      <c r="G55" s="390">
        <f>VLOOKUP($A55,'Output Baseline'!$A:$CW,MATCH('Model Output-LoanNameUpdate'!G$2,'Output Baseline'!$A$1:$CW$1,0),FALSE)</f>
        <v>1.8E-3</v>
      </c>
      <c r="H55" s="390">
        <f>VLOOKUP($A55,'Output Baseline'!$A:$CW,MATCH('Model Output-LoanNameUpdate'!H$2,'Output Baseline'!$A$1:$CW$1,0),FALSE)</f>
        <v>1.8E-3</v>
      </c>
      <c r="I55" s="390">
        <f>VLOOKUP($A55,'Output Baseline'!$A:$CW,MATCH('Model Output-LoanNameUpdate'!I$2,'Output Baseline'!$A$1:$CW$1,0),FALSE)</f>
        <v>1.8E-3</v>
      </c>
      <c r="J55" s="390">
        <f>VLOOKUP($A55,'Output Baseline'!$A:$CW,MATCH('Model Output-LoanNameUpdate'!J$2,'Output Baseline'!$A$1:$CW$1,0),FALSE)</f>
        <v>1.8E-3</v>
      </c>
      <c r="K55" s="390">
        <f>VLOOKUP($A55,'Output Baseline'!$A:$CW,MATCH('Model Output-LoanNameUpdate'!K$2,'Output Baseline'!$A$1:$CW$1,0),FALSE)</f>
        <v>1.8E-3</v>
      </c>
      <c r="L55" s="390">
        <f>VLOOKUP($A55,'Output 90% Downside'!$A:$CW,MATCH('Model Output-LoanNameUpdate'!L$2,'Output 90% Downside'!$A$1:$CW$1,0),FALSE)</f>
        <v>2.2000000000000001E-3</v>
      </c>
      <c r="M55" s="390">
        <f>VLOOKUP($A55,'Output 90% Downside'!$A:$CW,MATCH('Model Output-LoanNameUpdate'!M$2,'Output 90% Downside'!$A$1:$CW$1,0),FALSE)</f>
        <v>2.0999999999999999E-3</v>
      </c>
      <c r="N55" s="390">
        <f>VLOOKUP($A55,'Output 90% Downside'!$A:$CW,MATCH('Model Output-LoanNameUpdate'!N$2,'Output 90% Downside'!$A$1:$CW$1,0),FALSE)</f>
        <v>2E-3</v>
      </c>
      <c r="O55" s="390">
        <f>VLOOKUP($A55,'Output 90% Downside'!$A:$CW,MATCH('Model Output-LoanNameUpdate'!O$2,'Output 90% Downside'!$A$1:$CW$1,0),FALSE)</f>
        <v>2E-3</v>
      </c>
      <c r="P55" s="390">
        <f>VLOOKUP($A55,'Output 90% Downside'!$A:$CW,MATCH('Model Output-LoanNameUpdate'!P$2,'Output 90% Downside'!$A$1:$CW$1,0),FALSE)</f>
        <v>1.9E-3</v>
      </c>
      <c r="Q55" s="390">
        <f>VLOOKUP($A55,'Output 96% Downside'!$A:$CW,MATCH('Model Output-LoanNameUpdate'!Q$2,'Output 96% Downside'!$A$1:$CW$1,0),FALSE)</f>
        <v>2.3E-3</v>
      </c>
      <c r="R55" s="390">
        <f>VLOOKUP($A55,'Output 96% Downside'!$A:$CW,MATCH('Model Output-LoanNameUpdate'!R$2,'Output 96% Downside'!$A$1:$CW$1,0),FALSE)</f>
        <v>2.2000000000000001E-3</v>
      </c>
      <c r="S55" s="390">
        <f>VLOOKUP($A55,'Output 96% Downside'!$A:$CW,MATCH('Model Output-LoanNameUpdate'!S$2,'Output 96% Downside'!$A$1:$CW$1,0),FALSE)</f>
        <v>2.0999999999999999E-3</v>
      </c>
      <c r="T55" s="390">
        <f>VLOOKUP($A55,'Output 96% Downside'!$A:$CW,MATCH('Model Output-LoanNameUpdate'!T$2,'Output 96% Downside'!$A$1:$CW$1,0),FALSE)</f>
        <v>2.0999999999999999E-3</v>
      </c>
      <c r="U55" s="390">
        <f>VLOOKUP($A55,'Output 96% Downside'!$A:$CW,MATCH('Model Output-LoanNameUpdate'!U$2,'Output 96% Downside'!$A$1:$CW$1,0),FALSE)</f>
        <v>2E-3</v>
      </c>
    </row>
    <row r="56" spans="1:21" x14ac:dyDescent="0.25">
      <c r="A56" s="354" t="s">
        <v>4318</v>
      </c>
      <c r="B56" s="391">
        <f t="shared" si="6"/>
        <v>3.8599999999999997E-3</v>
      </c>
      <c r="C56" s="391">
        <f t="shared" si="7"/>
        <v>5.0449999999999991E-3</v>
      </c>
      <c r="D56" s="391">
        <f t="shared" si="8"/>
        <v>5.8900000000000003E-3</v>
      </c>
      <c r="E56" s="391">
        <f t="shared" si="9"/>
        <v>6.5950000000000002E-3</v>
      </c>
      <c r="F56" s="391">
        <f t="shared" si="10"/>
        <v>7.1599999999999997E-3</v>
      </c>
      <c r="G56" s="390">
        <f>VLOOKUP($A56,'Output Baseline'!$A:$CW,MATCH('Model Output-LoanNameUpdate'!G$2,'Output Baseline'!$A$1:$CW$1,0),FALSE)</f>
        <v>2.8999999999999998E-3</v>
      </c>
      <c r="H56" s="390">
        <f>VLOOKUP($A56,'Output Baseline'!$A:$CW,MATCH('Model Output-LoanNameUpdate'!H$2,'Output Baseline'!$A$1:$CW$1,0),FALSE)</f>
        <v>3.8E-3</v>
      </c>
      <c r="I56" s="390">
        <f>VLOOKUP($A56,'Output Baseline'!$A:$CW,MATCH('Model Output-LoanNameUpdate'!I$2,'Output Baseline'!$A$1:$CW$1,0),FALSE)</f>
        <v>4.4000000000000003E-3</v>
      </c>
      <c r="J56" s="390">
        <f>VLOOKUP($A56,'Output Baseline'!$A:$CW,MATCH('Model Output-LoanNameUpdate'!J$2,'Output Baseline'!$A$1:$CW$1,0),FALSE)</f>
        <v>4.8999999999999998E-3</v>
      </c>
      <c r="K56" s="390">
        <f>VLOOKUP($A56,'Output Baseline'!$A:$CW,MATCH('Model Output-LoanNameUpdate'!K$2,'Output Baseline'!$A$1:$CW$1,0),FALSE)</f>
        <v>5.3E-3</v>
      </c>
      <c r="L56" s="390">
        <f>VLOOKUP($A56,'Output 90% Downside'!$A:$CW,MATCH('Model Output-LoanNameUpdate'!L$2,'Output 90% Downside'!$A$1:$CW$1,0),FALSE)</f>
        <v>5.1999999999999998E-3</v>
      </c>
      <c r="M56" s="390">
        <f>VLOOKUP($A56,'Output 90% Downside'!$A:$CW,MATCH('Model Output-LoanNameUpdate'!M$2,'Output 90% Downside'!$A$1:$CW$1,0),FALSE)</f>
        <v>6.7999999999999996E-3</v>
      </c>
      <c r="N56" s="390">
        <f>VLOOKUP($A56,'Output 90% Downside'!$A:$CW,MATCH('Model Output-LoanNameUpdate'!N$2,'Output 90% Downside'!$A$1:$CW$1,0),FALSE)</f>
        <v>8.0000000000000002E-3</v>
      </c>
      <c r="O56" s="390">
        <f>VLOOKUP($A56,'Output 90% Downside'!$A:$CW,MATCH('Model Output-LoanNameUpdate'!O$2,'Output 90% Downside'!$A$1:$CW$1,0),FALSE)</f>
        <v>8.9999999999999993E-3</v>
      </c>
      <c r="P56" s="390">
        <f>VLOOKUP($A56,'Output 90% Downside'!$A:$CW,MATCH('Model Output-LoanNameUpdate'!P$2,'Output 90% Downside'!$A$1:$CW$1,0),FALSE)</f>
        <v>9.7999999999999997E-3</v>
      </c>
      <c r="Q56" s="390">
        <f>VLOOKUP($A56,'Output 96% Downside'!$A:$CW,MATCH('Model Output-LoanNameUpdate'!Q$2,'Output 96% Downside'!$A$1:$CW$1,0),FALSE)</f>
        <v>6.0000000000000001E-3</v>
      </c>
      <c r="R56" s="390">
        <f>VLOOKUP($A56,'Output 96% Downside'!$A:$CW,MATCH('Model Output-LoanNameUpdate'!R$2,'Output 96% Downside'!$A$1:$CW$1,0),FALSE)</f>
        <v>7.7000000000000002E-3</v>
      </c>
      <c r="S56" s="390">
        <f>VLOOKUP($A56,'Output 96% Downside'!$A:$CW,MATCH('Model Output-LoanNameUpdate'!S$2,'Output 96% Downside'!$A$1:$CW$1,0),FALSE)</f>
        <v>8.9999999999999993E-3</v>
      </c>
      <c r="T56" s="390">
        <f>VLOOKUP($A56,'Output 96% Downside'!$A:$CW,MATCH('Model Output-LoanNameUpdate'!T$2,'Output 96% Downside'!$A$1:$CW$1,0),FALSE)</f>
        <v>1.01E-2</v>
      </c>
      <c r="U56" s="390">
        <f>VLOOKUP($A56,'Output 96% Downside'!$A:$CW,MATCH('Model Output-LoanNameUpdate'!U$2,'Output 96% Downside'!$A$1:$CW$1,0),FALSE)</f>
        <v>1.0999999999999999E-2</v>
      </c>
    </row>
    <row r="57" spans="1:21" x14ac:dyDescent="0.25">
      <c r="A57" s="354" t="s">
        <v>4330</v>
      </c>
      <c r="B57" s="391">
        <f t="shared" si="6"/>
        <v>4.7549999999999988E-3</v>
      </c>
      <c r="C57" s="391">
        <f t="shared" si="7"/>
        <v>5.174999999999999E-3</v>
      </c>
      <c r="D57" s="391">
        <f t="shared" si="8"/>
        <v>5.4549999999999998E-3</v>
      </c>
      <c r="E57" s="391">
        <f t="shared" si="9"/>
        <v>5.5999999999999991E-3</v>
      </c>
      <c r="F57" s="391">
        <f t="shared" si="10"/>
        <v>5.7450000000000001E-3</v>
      </c>
      <c r="G57" s="390">
        <f>VLOOKUP($A57,'Output Baseline'!$A:$CW,MATCH('Model Output-LoanNameUpdate'!G$2,'Output Baseline'!$A$1:$CW$1,0),FALSE)</f>
        <v>3.8999999999999998E-3</v>
      </c>
      <c r="H57" s="390">
        <f>VLOOKUP($A57,'Output Baseline'!$A:$CW,MATCH('Model Output-LoanNameUpdate'!H$2,'Output Baseline'!$A$1:$CW$1,0),FALSE)</f>
        <v>4.1999999999999997E-3</v>
      </c>
      <c r="I57" s="390">
        <f>VLOOKUP($A57,'Output Baseline'!$A:$CW,MATCH('Model Output-LoanNameUpdate'!I$2,'Output Baseline'!$A$1:$CW$1,0),FALSE)</f>
        <v>4.4000000000000003E-3</v>
      </c>
      <c r="J57" s="390">
        <f>VLOOKUP($A57,'Output Baseline'!$A:$CW,MATCH('Model Output-LoanNameUpdate'!J$2,'Output Baseline'!$A$1:$CW$1,0),FALSE)</f>
        <v>4.4999999999999997E-3</v>
      </c>
      <c r="K57" s="390">
        <f>VLOOKUP($A57,'Output Baseline'!$A:$CW,MATCH('Model Output-LoanNameUpdate'!K$2,'Output Baseline'!$A$1:$CW$1,0),FALSE)</f>
        <v>4.5999999999999999E-3</v>
      </c>
      <c r="L57" s="390">
        <f>VLOOKUP($A57,'Output 90% Downside'!$A:$CW,MATCH('Model Output-LoanNameUpdate'!L$2,'Output 90% Downside'!$A$1:$CW$1,0),FALSE)</f>
        <v>5.8999999999999999E-3</v>
      </c>
      <c r="M57" s="390">
        <f>VLOOKUP($A57,'Output 90% Downside'!$A:$CW,MATCH('Model Output-LoanNameUpdate'!M$2,'Output 90% Downside'!$A$1:$CW$1,0),FALSE)</f>
        <v>6.4999999999999997E-3</v>
      </c>
      <c r="N57" s="390">
        <f>VLOOKUP($A57,'Output 90% Downside'!$A:$CW,MATCH('Model Output-LoanNameUpdate'!N$2,'Output 90% Downside'!$A$1:$CW$1,0),FALSE)</f>
        <v>6.8999999999999999E-3</v>
      </c>
      <c r="O57" s="390">
        <f>VLOOKUP($A57,'Output 90% Downside'!$A:$CW,MATCH('Model Output-LoanNameUpdate'!O$2,'Output 90% Downside'!$A$1:$CW$1,0),FALSE)</f>
        <v>7.1000000000000004E-3</v>
      </c>
      <c r="P57" s="390">
        <f>VLOOKUP($A57,'Output 90% Downside'!$A:$CW,MATCH('Model Output-LoanNameUpdate'!P$2,'Output 90% Downside'!$A$1:$CW$1,0),FALSE)</f>
        <v>7.3000000000000001E-3</v>
      </c>
      <c r="Q57" s="390">
        <f>VLOOKUP($A57,'Output 96% Downside'!$A:$CW,MATCH('Model Output-LoanNameUpdate'!Q$2,'Output 96% Downside'!$A$1:$CW$1,0),FALSE)</f>
        <v>7.0000000000000001E-3</v>
      </c>
      <c r="R57" s="390">
        <f>VLOOKUP($A57,'Output 96% Downside'!$A:$CW,MATCH('Model Output-LoanNameUpdate'!R$2,'Output 96% Downside'!$A$1:$CW$1,0),FALSE)</f>
        <v>7.6E-3</v>
      </c>
      <c r="S57" s="390">
        <f>VLOOKUP($A57,'Output 96% Downside'!$A:$CW,MATCH('Model Output-LoanNameUpdate'!S$2,'Output 96% Downside'!$A$1:$CW$1,0),FALSE)</f>
        <v>8.0000000000000002E-3</v>
      </c>
      <c r="T57" s="390">
        <f>VLOOKUP($A57,'Output 96% Downside'!$A:$CW,MATCH('Model Output-LoanNameUpdate'!T$2,'Output 96% Downside'!$A$1:$CW$1,0),FALSE)</f>
        <v>8.3000000000000001E-3</v>
      </c>
      <c r="U57" s="390">
        <f>VLOOKUP($A57,'Output 96% Downside'!$A:$CW,MATCH('Model Output-LoanNameUpdate'!U$2,'Output 96% Downside'!$A$1:$CW$1,0),FALSE)</f>
        <v>8.6E-3</v>
      </c>
    </row>
    <row r="58" spans="1:21" x14ac:dyDescent="0.25">
      <c r="A58" s="354" t="s">
        <v>1073</v>
      </c>
      <c r="B58" s="391">
        <f t="shared" si="6"/>
        <v>1.992E-2</v>
      </c>
      <c r="C58" s="391">
        <f t="shared" si="7"/>
        <v>1.6220000000000002E-2</v>
      </c>
      <c r="D58" s="391">
        <f t="shared" si="8"/>
        <v>1.4385E-2</v>
      </c>
      <c r="E58" s="391">
        <f t="shared" si="9"/>
        <v>1.3189999999999999E-2</v>
      </c>
      <c r="F58" s="391">
        <f t="shared" si="10"/>
        <v>1.235E-2</v>
      </c>
      <c r="G58" s="390">
        <f>VLOOKUP($A58,'Output Baseline'!$A:$CW,MATCH('Model Output-LoanNameUpdate'!G$2,'Output Baseline'!$A$1:$CW$1,0),FALSE)</f>
        <v>1.49E-2</v>
      </c>
      <c r="H58" s="390">
        <f>VLOOKUP($A58,'Output Baseline'!$A:$CW,MATCH('Model Output-LoanNameUpdate'!H$2,'Output Baseline'!$A$1:$CW$1,0),FALSE)</f>
        <v>1.2800000000000001E-2</v>
      </c>
      <c r="I58" s="390">
        <f>VLOOKUP($A58,'Output Baseline'!$A:$CW,MATCH('Model Output-LoanNameUpdate'!I$2,'Output Baseline'!$A$1:$CW$1,0),FALSE)</f>
        <v>1.17E-2</v>
      </c>
      <c r="J58" s="390">
        <f>VLOOKUP($A58,'Output Baseline'!$A:$CW,MATCH('Model Output-LoanNameUpdate'!J$2,'Output Baseline'!$A$1:$CW$1,0),FALSE)</f>
        <v>1.09E-2</v>
      </c>
      <c r="K58" s="390">
        <f>VLOOKUP($A58,'Output Baseline'!$A:$CW,MATCH('Model Output-LoanNameUpdate'!K$2,'Output Baseline'!$A$1:$CW$1,0),FALSE)</f>
        <v>1.04E-2</v>
      </c>
      <c r="L58" s="390">
        <f>VLOOKUP($A58,'Output 90% Downside'!$A:$CW,MATCH('Model Output-LoanNameUpdate'!L$2,'Output 90% Downside'!$A$1:$CW$1,0),FALSE)</f>
        <v>2.64E-2</v>
      </c>
      <c r="M58" s="390">
        <f>VLOOKUP($A58,'Output 90% Downside'!$A:$CW,MATCH('Model Output-LoanNameUpdate'!M$2,'Output 90% Downside'!$A$1:$CW$1,0),FALSE)</f>
        <v>2.06E-2</v>
      </c>
      <c r="N58" s="390">
        <f>VLOOKUP($A58,'Output 90% Downside'!$A:$CW,MATCH('Model Output-LoanNameUpdate'!N$2,'Output 90% Downside'!$A$1:$CW$1,0),FALSE)</f>
        <v>1.78E-2</v>
      </c>
      <c r="O58" s="390">
        <f>VLOOKUP($A58,'Output 90% Downside'!$A:$CW,MATCH('Model Output-LoanNameUpdate'!O$2,'Output 90% Downside'!$A$1:$CW$1,0),FALSE)</f>
        <v>1.61E-2</v>
      </c>
      <c r="P58" s="390">
        <f>VLOOKUP($A58,'Output 90% Downside'!$A:$CW,MATCH('Model Output-LoanNameUpdate'!P$2,'Output 90% Downside'!$A$1:$CW$1,0),FALSE)</f>
        <v>1.4800000000000001E-2</v>
      </c>
      <c r="Q58" s="390">
        <f>VLOOKUP($A58,'Output 96% Downside'!$A:$CW,MATCH('Model Output-LoanNameUpdate'!Q$2,'Output 96% Downside'!$A$1:$CW$1,0),FALSE)</f>
        <v>3.4799999999999998E-2</v>
      </c>
      <c r="R58" s="390">
        <f>VLOOKUP($A58,'Output 96% Downside'!$A:$CW,MATCH('Model Output-LoanNameUpdate'!R$2,'Output 96% Downside'!$A$1:$CW$1,0),FALSE)</f>
        <v>2.6599999999999999E-2</v>
      </c>
      <c r="S58" s="390">
        <f>VLOOKUP($A58,'Output 96% Downside'!$A:$CW,MATCH('Model Output-LoanNameUpdate'!S$2,'Output 96% Downside'!$A$1:$CW$1,0),FALSE)</f>
        <v>2.2700000000000001E-2</v>
      </c>
      <c r="T58" s="390">
        <f>VLOOKUP($A58,'Output 96% Downside'!$A:$CW,MATCH('Model Output-LoanNameUpdate'!T$2,'Output 96% Downside'!$A$1:$CW$1,0),FALSE)</f>
        <v>2.0299999999999999E-2</v>
      </c>
      <c r="U58" s="390">
        <f>VLOOKUP($A58,'Output 96% Downside'!$A:$CW,MATCH('Model Output-LoanNameUpdate'!U$2,'Output 96% Downside'!$A$1:$CW$1,0),FALSE)</f>
        <v>1.8599999999999998E-2</v>
      </c>
    </row>
    <row r="59" spans="1:21" x14ac:dyDescent="0.25">
      <c r="A59" s="354" t="s">
        <v>2764</v>
      </c>
      <c r="B59" s="391">
        <f t="shared" si="6"/>
        <v>1.992E-2</v>
      </c>
      <c r="C59" s="391">
        <f t="shared" si="7"/>
        <v>1.6220000000000002E-2</v>
      </c>
      <c r="D59" s="391">
        <f t="shared" si="8"/>
        <v>1.4385E-2</v>
      </c>
      <c r="E59" s="391">
        <f t="shared" si="9"/>
        <v>1.3189999999999999E-2</v>
      </c>
      <c r="F59" s="391">
        <f t="shared" si="10"/>
        <v>1.235E-2</v>
      </c>
      <c r="G59" s="390">
        <f>VLOOKUP($A59,'Output Baseline'!$A:$CW,MATCH('Model Output-LoanNameUpdate'!G$2,'Output Baseline'!$A$1:$CW$1,0),FALSE)</f>
        <v>1.49E-2</v>
      </c>
      <c r="H59" s="390">
        <f>VLOOKUP($A59,'Output Baseline'!$A:$CW,MATCH('Model Output-LoanNameUpdate'!H$2,'Output Baseline'!$A$1:$CW$1,0),FALSE)</f>
        <v>1.2800000000000001E-2</v>
      </c>
      <c r="I59" s="390">
        <f>VLOOKUP($A59,'Output Baseline'!$A:$CW,MATCH('Model Output-LoanNameUpdate'!I$2,'Output Baseline'!$A$1:$CW$1,0),FALSE)</f>
        <v>1.17E-2</v>
      </c>
      <c r="J59" s="390">
        <f>VLOOKUP($A59,'Output Baseline'!$A:$CW,MATCH('Model Output-LoanNameUpdate'!J$2,'Output Baseline'!$A$1:$CW$1,0),FALSE)</f>
        <v>1.09E-2</v>
      </c>
      <c r="K59" s="390">
        <f>VLOOKUP($A59,'Output Baseline'!$A:$CW,MATCH('Model Output-LoanNameUpdate'!K$2,'Output Baseline'!$A$1:$CW$1,0),FALSE)</f>
        <v>1.04E-2</v>
      </c>
      <c r="L59" s="390">
        <f>VLOOKUP($A59,'Output 90% Downside'!$A:$CW,MATCH('Model Output-LoanNameUpdate'!L$2,'Output 90% Downside'!$A$1:$CW$1,0),FALSE)</f>
        <v>2.64E-2</v>
      </c>
      <c r="M59" s="390">
        <f>VLOOKUP($A59,'Output 90% Downside'!$A:$CW,MATCH('Model Output-LoanNameUpdate'!M$2,'Output 90% Downside'!$A$1:$CW$1,0),FALSE)</f>
        <v>2.06E-2</v>
      </c>
      <c r="N59" s="390">
        <f>VLOOKUP($A59,'Output 90% Downside'!$A:$CW,MATCH('Model Output-LoanNameUpdate'!N$2,'Output 90% Downside'!$A$1:$CW$1,0),FALSE)</f>
        <v>1.78E-2</v>
      </c>
      <c r="O59" s="390">
        <f>VLOOKUP($A59,'Output 90% Downside'!$A:$CW,MATCH('Model Output-LoanNameUpdate'!O$2,'Output 90% Downside'!$A$1:$CW$1,0),FALSE)</f>
        <v>1.61E-2</v>
      </c>
      <c r="P59" s="390">
        <f>VLOOKUP($A59,'Output 90% Downside'!$A:$CW,MATCH('Model Output-LoanNameUpdate'!P$2,'Output 90% Downside'!$A$1:$CW$1,0),FALSE)</f>
        <v>1.4800000000000001E-2</v>
      </c>
      <c r="Q59" s="390">
        <f>VLOOKUP($A59,'Output 96% Downside'!$A:$CW,MATCH('Model Output-LoanNameUpdate'!Q$2,'Output 96% Downside'!$A$1:$CW$1,0),FALSE)</f>
        <v>3.4799999999999998E-2</v>
      </c>
      <c r="R59" s="390">
        <f>VLOOKUP($A59,'Output 96% Downside'!$A:$CW,MATCH('Model Output-LoanNameUpdate'!R$2,'Output 96% Downside'!$A$1:$CW$1,0),FALSE)</f>
        <v>2.6599999999999999E-2</v>
      </c>
      <c r="S59" s="390">
        <f>VLOOKUP($A59,'Output 96% Downside'!$A:$CW,MATCH('Model Output-LoanNameUpdate'!S$2,'Output 96% Downside'!$A$1:$CW$1,0),FALSE)</f>
        <v>2.2700000000000001E-2</v>
      </c>
      <c r="T59" s="390">
        <f>VLOOKUP($A59,'Output 96% Downside'!$A:$CW,MATCH('Model Output-LoanNameUpdate'!T$2,'Output 96% Downside'!$A$1:$CW$1,0),FALSE)</f>
        <v>2.0299999999999999E-2</v>
      </c>
      <c r="U59" s="390">
        <f>VLOOKUP($A59,'Output 96% Downside'!$A:$CW,MATCH('Model Output-LoanNameUpdate'!U$2,'Output 96% Downside'!$A$1:$CW$1,0),FALSE)</f>
        <v>1.8599999999999998E-2</v>
      </c>
    </row>
    <row r="60" spans="1:21" x14ac:dyDescent="0.25">
      <c r="A60" s="354" t="s">
        <v>4340</v>
      </c>
      <c r="B60" s="391">
        <f t="shared" si="6"/>
        <v>3.6099999999999999E-3</v>
      </c>
      <c r="C60" s="391">
        <f t="shared" si="7"/>
        <v>3.7500000000000003E-3</v>
      </c>
      <c r="D60" s="391">
        <f t="shared" si="8"/>
        <v>3.9049999999999996E-3</v>
      </c>
      <c r="E60" s="391">
        <f t="shared" si="9"/>
        <v>3.9449999999999997E-3</v>
      </c>
      <c r="F60" s="391">
        <f t="shared" si="10"/>
        <v>4.0400000000000002E-3</v>
      </c>
      <c r="G60" s="390">
        <f>VLOOKUP($A60,'Output Baseline'!$A:$CW,MATCH('Model Output-LoanNameUpdate'!G$2,'Output Baseline'!$A$1:$CW$1,0),FALSE)</f>
        <v>3.5999999999999999E-3</v>
      </c>
      <c r="H60" s="390">
        <f>VLOOKUP($A60,'Output Baseline'!$A:$CW,MATCH('Model Output-LoanNameUpdate'!H$2,'Output Baseline'!$A$1:$CW$1,0),FALSE)</f>
        <v>3.7000000000000002E-3</v>
      </c>
      <c r="I60" s="390">
        <f>VLOOKUP($A60,'Output Baseline'!$A:$CW,MATCH('Model Output-LoanNameUpdate'!I$2,'Output Baseline'!$A$1:$CW$1,0),FALSE)</f>
        <v>3.8999999999999998E-3</v>
      </c>
      <c r="J60" s="390">
        <f>VLOOKUP($A60,'Output Baseline'!$A:$CW,MATCH('Model Output-LoanNameUpdate'!J$2,'Output Baseline'!$A$1:$CW$1,0),FALSE)</f>
        <v>3.8999999999999998E-3</v>
      </c>
      <c r="K60" s="390">
        <f>VLOOKUP($A60,'Output Baseline'!$A:$CW,MATCH('Model Output-LoanNameUpdate'!K$2,'Output Baseline'!$A$1:$CW$1,0),FALSE)</f>
        <v>4.0000000000000001E-3</v>
      </c>
      <c r="L60" s="390">
        <f>VLOOKUP($A60,'Output 90% Downside'!$A:$CW,MATCH('Model Output-LoanNameUpdate'!L$2,'Output 90% Downside'!$A$1:$CW$1,0),FALSE)</f>
        <v>3.5999999999999999E-3</v>
      </c>
      <c r="M60" s="390">
        <f>VLOOKUP($A60,'Output 90% Downside'!$A:$CW,MATCH('Model Output-LoanNameUpdate'!M$2,'Output 90% Downside'!$A$1:$CW$1,0),FALSE)</f>
        <v>3.8E-3</v>
      </c>
      <c r="N60" s="390">
        <f>VLOOKUP($A60,'Output 90% Downside'!$A:$CW,MATCH('Model Output-LoanNameUpdate'!N$2,'Output 90% Downside'!$A$1:$CW$1,0),FALSE)</f>
        <v>3.8999999999999998E-3</v>
      </c>
      <c r="O60" s="390">
        <f>VLOOKUP($A60,'Output 90% Downside'!$A:$CW,MATCH('Model Output-LoanNameUpdate'!O$2,'Output 90% Downside'!$A$1:$CW$1,0),FALSE)</f>
        <v>4.0000000000000001E-3</v>
      </c>
      <c r="P60" s="390">
        <f>VLOOKUP($A60,'Output 90% Downside'!$A:$CW,MATCH('Model Output-LoanNameUpdate'!P$2,'Output 90% Downside'!$A$1:$CW$1,0),FALSE)</f>
        <v>4.1000000000000003E-3</v>
      </c>
      <c r="Q60" s="390">
        <f>VLOOKUP($A60,'Output 96% Downside'!$A:$CW,MATCH('Model Output-LoanNameUpdate'!Q$2,'Output 96% Downside'!$A$1:$CW$1,0),FALSE)</f>
        <v>3.8E-3</v>
      </c>
      <c r="R60" s="390">
        <f>VLOOKUP($A60,'Output 96% Downside'!$A:$CW,MATCH('Model Output-LoanNameUpdate'!R$2,'Output 96% Downside'!$A$1:$CW$1,0),FALSE)</f>
        <v>4.0000000000000001E-3</v>
      </c>
      <c r="S60" s="390">
        <f>VLOOKUP($A60,'Output 96% Downside'!$A:$CW,MATCH('Model Output-LoanNameUpdate'!S$2,'Output 96% Downside'!$A$1:$CW$1,0),FALSE)</f>
        <v>4.0000000000000001E-3</v>
      </c>
      <c r="T60" s="390">
        <f>VLOOKUP($A60,'Output 96% Downside'!$A:$CW,MATCH('Model Output-LoanNameUpdate'!T$2,'Output 96% Downside'!$A$1:$CW$1,0),FALSE)</f>
        <v>4.1000000000000003E-3</v>
      </c>
      <c r="U60" s="390">
        <f>VLOOKUP($A60,'Output 96% Downside'!$A:$CW,MATCH('Model Output-LoanNameUpdate'!U$2,'Output 96% Downside'!$A$1:$CW$1,0),FALSE)</f>
        <v>4.1000000000000003E-3</v>
      </c>
    </row>
    <row r="61" spans="1:21" x14ac:dyDescent="0.25">
      <c r="A61" s="354" t="s">
        <v>4384</v>
      </c>
      <c r="B61" s="391">
        <f t="shared" ref="B61:B62" si="11">G61*$Y$2+L61*$Y$3+Q61*$Y$4</f>
        <v>1.6955000000000001E-2</v>
      </c>
      <c r="C61" s="391">
        <f t="shared" ref="C61:C62" si="12">H61*$Y$2+M61*$Y$3+R61*$Y$4</f>
        <v>1.4284999999999997E-2</v>
      </c>
      <c r="D61" s="391">
        <f t="shared" ref="D61:D62" si="13">I61*$Y$2+N61*$Y$3+S61*$Y$4</f>
        <v>1.294E-2</v>
      </c>
      <c r="E61" s="391">
        <f t="shared" ref="E61:E62" si="14">J61*$Y$2+O61*$Y$3+T61*$Y$4</f>
        <v>1.1999999999999999E-2</v>
      </c>
      <c r="F61" s="391">
        <f t="shared" ref="F61:F62" si="15">K61*$Y$2+P61*$Y$3+U61*$Y$4</f>
        <v>1.1355000000000001E-2</v>
      </c>
      <c r="G61" s="390">
        <f>VLOOKUP($A61,'Output Baseline'!$A:$CW,MATCH('Model Output-LoanNameUpdate'!G$2,'Output Baseline'!$A$1:$CW$1,0),FALSE)</f>
        <v>1.6400000000000001E-2</v>
      </c>
      <c r="H61" s="390">
        <f>VLOOKUP($A61,'Output Baseline'!$A:$CW,MATCH('Model Output-LoanNameUpdate'!H$2,'Output Baseline'!$A$1:$CW$1,0),FALSE)</f>
        <v>1.3899999999999999E-2</v>
      </c>
      <c r="I61" s="390">
        <f>VLOOKUP($A61,'Output Baseline'!$A:$CW,MATCH('Model Output-LoanNameUpdate'!I$2,'Output Baseline'!$A$1:$CW$1,0),FALSE)</f>
        <v>1.26E-2</v>
      </c>
      <c r="J61" s="390">
        <f>VLOOKUP($A61,'Output Baseline'!$A:$CW,MATCH('Model Output-LoanNameUpdate'!J$2,'Output Baseline'!$A$1:$CW$1,0),FALSE)</f>
        <v>1.17E-2</v>
      </c>
      <c r="K61" s="390">
        <f>VLOOKUP($A61,'Output Baseline'!$A:$CW,MATCH('Model Output-LoanNameUpdate'!K$2,'Output Baseline'!$A$1:$CW$1,0),FALSE)</f>
        <v>1.11E-2</v>
      </c>
      <c r="L61" s="390">
        <f>VLOOKUP($A61,'Output 90% Downside'!$A:$CW,MATCH('Model Output-LoanNameUpdate'!L$2,'Output 90% Downside'!$A$1:$CW$1,0),FALSE)</f>
        <v>1.77E-2</v>
      </c>
      <c r="M61" s="390">
        <f>VLOOKUP($A61,'Output 90% Downside'!$A:$CW,MATCH('Model Output-LoanNameUpdate'!M$2,'Output 90% Downside'!$A$1:$CW$1,0),FALSE)</f>
        <v>1.4800000000000001E-2</v>
      </c>
      <c r="N61" s="390">
        <f>VLOOKUP($A61,'Output 90% Downside'!$A:$CW,MATCH('Model Output-LoanNameUpdate'!N$2,'Output 90% Downside'!$A$1:$CW$1,0),FALSE)</f>
        <v>1.34E-2</v>
      </c>
      <c r="O61" s="390">
        <f>VLOOKUP($A61,'Output 90% Downside'!$A:$CW,MATCH('Model Output-LoanNameUpdate'!O$2,'Output 90% Downside'!$A$1:$CW$1,0),FALSE)</f>
        <v>1.24E-2</v>
      </c>
      <c r="P61" s="390">
        <f>VLOOKUP($A61,'Output 90% Downside'!$A:$CW,MATCH('Model Output-LoanNameUpdate'!P$2,'Output 90% Downside'!$A$1:$CW$1,0),FALSE)</f>
        <v>1.17E-2</v>
      </c>
      <c r="Q61" s="390">
        <f>VLOOKUP($A61,'Output 96% Downside'!$A:$CW,MATCH('Model Output-LoanNameUpdate'!Q$2,'Output 96% Downside'!$A$1:$CW$1,0),FALSE)</f>
        <v>1.84E-2</v>
      </c>
      <c r="R61" s="390">
        <f>VLOOKUP($A61,'Output 96% Downside'!$A:$CW,MATCH('Model Output-LoanNameUpdate'!R$2,'Output 96% Downside'!$A$1:$CW$1,0),FALSE)</f>
        <v>1.5299999999999999E-2</v>
      </c>
      <c r="S61" s="390">
        <f>VLOOKUP($A61,'Output 96% Downside'!$A:$CW,MATCH('Model Output-LoanNameUpdate'!S$2,'Output 96% Downside'!$A$1:$CW$1,0),FALSE)</f>
        <v>1.38E-2</v>
      </c>
      <c r="T61" s="390">
        <f>VLOOKUP($A61,'Output 96% Downside'!$A:$CW,MATCH('Model Output-LoanNameUpdate'!T$2,'Output 96% Downside'!$A$1:$CW$1,0),FALSE)</f>
        <v>1.2800000000000001E-2</v>
      </c>
      <c r="U61" s="390">
        <f>VLOOKUP($A61,'Output 96% Downside'!$A:$CW,MATCH('Model Output-LoanNameUpdate'!U$2,'Output 96% Downside'!$A$1:$CW$1,0),FALSE)</f>
        <v>1.2E-2</v>
      </c>
    </row>
    <row r="62" spans="1:21" x14ac:dyDescent="0.25">
      <c r="A62" s="354" t="s">
        <v>4412</v>
      </c>
      <c r="B62" s="391">
        <f t="shared" si="11"/>
        <v>0.12919999999999998</v>
      </c>
      <c r="C62" s="391">
        <f t="shared" si="12"/>
        <v>0.11155999999999999</v>
      </c>
      <c r="D62" s="391">
        <f t="shared" si="13"/>
        <v>0.10233499999999998</v>
      </c>
      <c r="E62" s="391">
        <f t="shared" si="14"/>
        <v>9.6204999999999985E-2</v>
      </c>
      <c r="F62" s="391">
        <f t="shared" si="15"/>
        <v>9.1724999999999987E-2</v>
      </c>
      <c r="G62" s="390">
        <f>VLOOKUP($A62,'Output Baseline'!$A:$CW,MATCH('Model Output-LoanNameUpdate'!G$2,'Output Baseline'!$A$1:$CW$1,0),FALSE)</f>
        <v>0.1263</v>
      </c>
      <c r="H62" s="390">
        <f>VLOOKUP($A62,'Output Baseline'!$A:$CW,MATCH('Model Output-LoanNameUpdate'!H$2,'Output Baseline'!$A$1:$CW$1,0),FALSE)</f>
        <v>0.109</v>
      </c>
      <c r="I62" s="390">
        <f>VLOOKUP($A62,'Output Baseline'!$A:$CW,MATCH('Model Output-LoanNameUpdate'!I$2,'Output Baseline'!$A$1:$CW$1,0),FALSE)</f>
        <v>9.9900000000000003E-2</v>
      </c>
      <c r="J62" s="390">
        <f>VLOOKUP($A62,'Output Baseline'!$A:$CW,MATCH('Model Output-LoanNameUpdate'!J$2,'Output Baseline'!$A$1:$CW$1,0),FALSE)</f>
        <v>9.3899999999999997E-2</v>
      </c>
      <c r="K62" s="390">
        <f>VLOOKUP($A62,'Output Baseline'!$A:$CW,MATCH('Model Output-LoanNameUpdate'!K$2,'Output Baseline'!$A$1:$CW$1,0),FALSE)</f>
        <v>8.9499999999999996E-2</v>
      </c>
      <c r="L62" s="390">
        <f>VLOOKUP($A62,'Output 90% Downside'!$A:$CW,MATCH('Model Output-LoanNameUpdate'!L$2,'Output 90% Downside'!$A$1:$CW$1,0),FALSE)</f>
        <v>0.13289999999999999</v>
      </c>
      <c r="M62" s="390">
        <f>VLOOKUP($A62,'Output 90% Downside'!$A:$CW,MATCH('Model Output-LoanNameUpdate'!M$2,'Output 90% Downside'!$A$1:$CW$1,0),FALSE)</f>
        <v>0.1152</v>
      </c>
      <c r="N62" s="390">
        <f>VLOOKUP($A62,'Output 90% Downside'!$A:$CW,MATCH('Model Output-LoanNameUpdate'!N$2,'Output 90% Downside'!$A$1:$CW$1,0),FALSE)</f>
        <v>0.106</v>
      </c>
      <c r="O62" s="390">
        <f>VLOOKUP($A62,'Output 90% Downside'!$A:$CW,MATCH('Model Output-LoanNameUpdate'!O$2,'Output 90% Downside'!$A$1:$CW$1,0),FALSE)</f>
        <v>9.98E-2</v>
      </c>
      <c r="P62" s="390">
        <f>VLOOKUP($A62,'Output 90% Downside'!$A:$CW,MATCH('Model Output-LoanNameUpdate'!P$2,'Output 90% Downside'!$A$1:$CW$1,0),FALSE)</f>
        <v>9.5299999999999996E-2</v>
      </c>
      <c r="Q62" s="390">
        <f>VLOOKUP($A62,'Output 96% Downside'!$A:$CW,MATCH('Model Output-LoanNameUpdate'!Q$2,'Output 96% Downside'!$A$1:$CW$1,0),FALSE)</f>
        <v>0.1381</v>
      </c>
      <c r="R62" s="390">
        <f>VLOOKUP($A62,'Output 96% Downside'!$A:$CW,MATCH('Model Output-LoanNameUpdate'!R$2,'Output 96% Downside'!$A$1:$CW$1,0),FALSE)</f>
        <v>0.1168</v>
      </c>
      <c r="S62" s="390">
        <f>VLOOKUP($A62,'Output 96% Downside'!$A:$CW,MATCH('Model Output-LoanNameUpdate'!S$2,'Output 96% Downside'!$A$1:$CW$1,0),FALSE)</f>
        <v>0.10589999999999999</v>
      </c>
      <c r="T62" s="390">
        <f>VLOOKUP($A62,'Output 96% Downside'!$A:$CW,MATCH('Model Output-LoanNameUpdate'!T$2,'Output 96% Downside'!$A$1:$CW$1,0),FALSE)</f>
        <v>9.8699999999999996E-2</v>
      </c>
      <c r="U62" s="390">
        <f>VLOOKUP($A62,'Output 96% Downside'!$A:$CW,MATCH('Model Output-LoanNameUpdate'!U$2,'Output 96% Downside'!$A$1:$CW$1,0),FALSE)</f>
        <v>9.3399999999999997E-2</v>
      </c>
    </row>
    <row r="63" spans="1:21" x14ac:dyDescent="0.25">
      <c r="A63" s="354"/>
      <c r="B63" s="391"/>
      <c r="C63" s="391"/>
      <c r="D63" s="391"/>
      <c r="E63" s="391"/>
      <c r="F63" s="391"/>
      <c r="G63" s="390"/>
      <c r="H63" s="390"/>
      <c r="I63" s="390"/>
      <c r="J63" s="390"/>
      <c r="K63" s="390"/>
      <c r="L63" s="390"/>
      <c r="M63" s="390"/>
      <c r="N63" s="390"/>
      <c r="O63" s="390"/>
      <c r="P63" s="390"/>
      <c r="Q63" s="390"/>
      <c r="R63" s="390"/>
      <c r="S63" s="390"/>
      <c r="T63" s="390"/>
      <c r="U63" s="390"/>
    </row>
    <row r="64" spans="1:21" x14ac:dyDescent="0.25">
      <c r="A64" s="354"/>
      <c r="B64" s="391"/>
      <c r="C64" s="391"/>
      <c r="D64" s="391"/>
      <c r="E64" s="391"/>
      <c r="F64" s="391"/>
      <c r="G64" s="390"/>
      <c r="H64" s="390"/>
      <c r="I64" s="390"/>
      <c r="J64" s="390"/>
      <c r="K64" s="390"/>
      <c r="L64" s="390"/>
      <c r="M64" s="390"/>
      <c r="N64" s="390"/>
      <c r="O64" s="390"/>
      <c r="P64" s="390"/>
      <c r="Q64" s="390"/>
      <c r="R64" s="390"/>
      <c r="S64" s="390"/>
      <c r="T64" s="390"/>
      <c r="U64" s="390"/>
    </row>
    <row r="65" spans="1:21" x14ac:dyDescent="0.25">
      <c r="A65" s="354"/>
      <c r="B65" s="391"/>
      <c r="C65" s="391"/>
      <c r="D65" s="391"/>
      <c r="E65" s="391"/>
      <c r="F65" s="391"/>
      <c r="G65" s="390"/>
      <c r="H65" s="390"/>
      <c r="I65" s="390"/>
      <c r="J65" s="390"/>
      <c r="K65" s="390"/>
      <c r="L65" s="390"/>
      <c r="M65" s="390"/>
      <c r="N65" s="390"/>
      <c r="O65" s="390"/>
      <c r="P65" s="390"/>
      <c r="Q65" s="390"/>
      <c r="R65" s="390"/>
      <c r="S65" s="390"/>
      <c r="T65" s="390"/>
      <c r="U65" s="390"/>
    </row>
    <row r="66" spans="1:21" x14ac:dyDescent="0.25">
      <c r="A66" s="354"/>
      <c r="B66" s="391"/>
      <c r="C66" s="391"/>
      <c r="D66" s="391"/>
      <c r="E66" s="391"/>
      <c r="F66" s="391"/>
      <c r="G66" s="390"/>
      <c r="H66" s="390"/>
      <c r="I66" s="390"/>
      <c r="J66" s="390"/>
      <c r="K66" s="390"/>
      <c r="L66" s="390"/>
      <c r="M66" s="390"/>
      <c r="N66" s="390"/>
      <c r="O66" s="390"/>
      <c r="P66" s="390"/>
      <c r="Q66" s="390"/>
      <c r="R66" s="390"/>
      <c r="S66" s="390"/>
      <c r="T66" s="390"/>
      <c r="U66" s="390"/>
    </row>
    <row r="67" spans="1:21" x14ac:dyDescent="0.25">
      <c r="A67" s="354"/>
      <c r="B67" s="391"/>
      <c r="C67" s="391"/>
      <c r="D67" s="391"/>
      <c r="E67" s="391"/>
      <c r="F67" s="391"/>
      <c r="G67" s="390"/>
      <c r="H67" s="390"/>
      <c r="I67" s="390"/>
      <c r="J67" s="390"/>
      <c r="K67" s="390"/>
      <c r="L67" s="390"/>
      <c r="M67" s="390"/>
      <c r="N67" s="390"/>
      <c r="O67" s="390"/>
      <c r="P67" s="390"/>
      <c r="Q67" s="390"/>
      <c r="R67" s="390"/>
      <c r="S67" s="390"/>
      <c r="T67" s="390"/>
      <c r="U67" s="390"/>
    </row>
    <row r="68" spans="1:21" x14ac:dyDescent="0.25">
      <c r="A68" s="354"/>
      <c r="B68" s="391"/>
      <c r="C68" s="391"/>
      <c r="D68" s="391"/>
      <c r="E68" s="391"/>
      <c r="F68" s="391"/>
      <c r="G68" s="390"/>
      <c r="H68" s="390"/>
      <c r="I68" s="390"/>
      <c r="J68" s="390"/>
      <c r="K68" s="390"/>
      <c r="L68" s="390"/>
      <c r="M68" s="390"/>
      <c r="N68" s="390"/>
      <c r="O68" s="390"/>
      <c r="P68" s="390"/>
      <c r="Q68" s="390"/>
      <c r="R68" s="390"/>
      <c r="S68" s="390"/>
      <c r="T68" s="390"/>
      <c r="U68" s="390"/>
    </row>
    <row r="69" spans="1:21" x14ac:dyDescent="0.25">
      <c r="A69" s="354"/>
      <c r="B69" s="391"/>
      <c r="C69" s="391"/>
      <c r="D69" s="391"/>
      <c r="E69" s="391"/>
      <c r="F69" s="391"/>
      <c r="G69" s="390"/>
      <c r="H69" s="390"/>
      <c r="I69" s="390"/>
      <c r="J69" s="390"/>
      <c r="K69" s="390"/>
      <c r="L69" s="390"/>
      <c r="M69" s="390"/>
      <c r="N69" s="390"/>
      <c r="O69" s="390"/>
      <c r="P69" s="390"/>
      <c r="Q69" s="390"/>
      <c r="R69" s="390"/>
      <c r="S69" s="390"/>
      <c r="T69" s="390"/>
      <c r="U69" s="390"/>
    </row>
    <row r="70" spans="1:21" x14ac:dyDescent="0.25">
      <c r="A70" s="354"/>
      <c r="B70" s="391"/>
      <c r="C70" s="391"/>
      <c r="D70" s="391"/>
      <c r="E70" s="391"/>
      <c r="F70" s="391"/>
      <c r="G70" s="390"/>
      <c r="H70" s="390"/>
      <c r="I70" s="390"/>
      <c r="J70" s="390"/>
      <c r="K70" s="390"/>
      <c r="L70" s="390"/>
      <c r="M70" s="390"/>
      <c r="N70" s="390"/>
      <c r="O70" s="390"/>
      <c r="P70" s="390"/>
      <c r="Q70" s="390"/>
      <c r="R70" s="390"/>
      <c r="S70" s="390"/>
      <c r="T70" s="390"/>
      <c r="U70" s="390"/>
    </row>
    <row r="71" spans="1:21" x14ac:dyDescent="0.25">
      <c r="A71" s="354"/>
      <c r="B71" s="391"/>
      <c r="C71" s="391"/>
      <c r="D71" s="391"/>
      <c r="E71" s="391"/>
      <c r="F71" s="391"/>
      <c r="G71" s="390"/>
      <c r="H71" s="390"/>
      <c r="I71" s="390"/>
      <c r="J71" s="390"/>
      <c r="K71" s="390"/>
      <c r="L71" s="390"/>
      <c r="M71" s="390"/>
      <c r="N71" s="390"/>
      <c r="O71" s="390"/>
      <c r="P71" s="390"/>
      <c r="Q71" s="390"/>
      <c r="R71" s="390"/>
      <c r="S71" s="390"/>
      <c r="T71" s="390"/>
      <c r="U71" s="390"/>
    </row>
    <row r="72" spans="1:21" x14ac:dyDescent="0.25">
      <c r="A72" s="354"/>
      <c r="B72" s="391"/>
      <c r="C72" s="391"/>
      <c r="D72" s="391"/>
      <c r="E72" s="391"/>
      <c r="F72" s="391"/>
      <c r="G72" s="390"/>
      <c r="H72" s="390"/>
      <c r="I72" s="390"/>
      <c r="J72" s="390"/>
      <c r="K72" s="390"/>
      <c r="L72" s="390"/>
      <c r="M72" s="390"/>
      <c r="N72" s="390"/>
      <c r="O72" s="390"/>
      <c r="P72" s="390"/>
      <c r="Q72" s="390"/>
      <c r="R72" s="390"/>
      <c r="S72" s="390"/>
      <c r="T72" s="390"/>
      <c r="U72" s="390"/>
    </row>
    <row r="73" spans="1:21" x14ac:dyDescent="0.25">
      <c r="A73" s="354"/>
      <c r="B73" s="391"/>
      <c r="C73" s="391"/>
      <c r="D73" s="391"/>
      <c r="E73" s="391"/>
      <c r="F73" s="391"/>
      <c r="G73" s="390"/>
      <c r="H73" s="390"/>
      <c r="I73" s="390"/>
      <c r="J73" s="390"/>
      <c r="K73" s="390"/>
      <c r="L73" s="390"/>
      <c r="M73" s="390"/>
      <c r="N73" s="390"/>
      <c r="O73" s="390"/>
      <c r="P73" s="390"/>
      <c r="Q73" s="390"/>
      <c r="R73" s="390"/>
      <c r="S73" s="390"/>
      <c r="T73" s="390"/>
      <c r="U73" s="390"/>
    </row>
    <row r="74" spans="1:21" x14ac:dyDescent="0.25">
      <c r="A74" s="354"/>
      <c r="B74" s="391"/>
      <c r="C74" s="391"/>
      <c r="D74" s="391"/>
      <c r="E74" s="391"/>
      <c r="F74" s="391"/>
      <c r="G74" s="390"/>
      <c r="H74" s="390"/>
      <c r="I74" s="390"/>
      <c r="J74" s="390"/>
      <c r="K74" s="390"/>
      <c r="L74" s="390"/>
      <c r="M74" s="390"/>
      <c r="N74" s="390"/>
      <c r="O74" s="390"/>
      <c r="P74" s="390"/>
      <c r="Q74" s="390"/>
      <c r="R74" s="390"/>
      <c r="S74" s="390"/>
      <c r="T74" s="390"/>
      <c r="U74" s="390"/>
    </row>
    <row r="75" spans="1:21" x14ac:dyDescent="0.25">
      <c r="A75" s="354"/>
      <c r="B75" s="391"/>
      <c r="C75" s="391"/>
      <c r="D75" s="391"/>
      <c r="E75" s="391"/>
      <c r="F75" s="391"/>
      <c r="G75" s="390"/>
      <c r="H75" s="390"/>
      <c r="I75" s="390"/>
      <c r="J75" s="390"/>
      <c r="K75" s="390"/>
      <c r="L75" s="390"/>
      <c r="M75" s="390"/>
      <c r="N75" s="390"/>
      <c r="O75" s="390"/>
      <c r="P75" s="390"/>
      <c r="Q75" s="390"/>
      <c r="R75" s="390"/>
      <c r="S75" s="390"/>
      <c r="T75" s="390"/>
      <c r="U75" s="390"/>
    </row>
    <row r="76" spans="1:21" x14ac:dyDescent="0.25">
      <c r="A76" s="354"/>
      <c r="B76" s="391"/>
      <c r="C76" s="391"/>
      <c r="D76" s="391"/>
      <c r="E76" s="391"/>
      <c r="F76" s="391"/>
      <c r="G76" s="390"/>
      <c r="H76" s="390"/>
      <c r="I76" s="390"/>
      <c r="J76" s="390"/>
      <c r="K76" s="390"/>
      <c r="L76" s="390"/>
      <c r="M76" s="390"/>
      <c r="N76" s="390"/>
      <c r="O76" s="390"/>
      <c r="P76" s="390"/>
      <c r="Q76" s="390"/>
      <c r="R76" s="390"/>
      <c r="S76" s="390"/>
      <c r="T76" s="390"/>
      <c r="U76" s="390"/>
    </row>
    <row r="77" spans="1:21" x14ac:dyDescent="0.25">
      <c r="A77" s="354"/>
      <c r="B77" s="391"/>
      <c r="C77" s="391"/>
      <c r="D77" s="391"/>
      <c r="E77" s="391"/>
      <c r="F77" s="391"/>
      <c r="G77" s="390"/>
      <c r="H77" s="390"/>
      <c r="I77" s="390"/>
      <c r="J77" s="390"/>
      <c r="K77" s="390"/>
      <c r="L77" s="390"/>
      <c r="M77" s="390"/>
      <c r="N77" s="390"/>
      <c r="O77" s="390"/>
      <c r="P77" s="390"/>
      <c r="Q77" s="390"/>
      <c r="R77" s="390"/>
      <c r="S77" s="390"/>
      <c r="T77" s="390"/>
      <c r="U77" s="390"/>
    </row>
    <row r="78" spans="1:21" x14ac:dyDescent="0.25">
      <c r="A78" s="354"/>
      <c r="B78" s="391"/>
      <c r="C78" s="391"/>
      <c r="D78" s="391"/>
      <c r="E78" s="391"/>
      <c r="F78" s="391"/>
      <c r="G78" s="390"/>
      <c r="H78" s="390"/>
      <c r="I78" s="390"/>
      <c r="J78" s="390"/>
      <c r="K78" s="390"/>
      <c r="L78" s="390"/>
      <c r="M78" s="390"/>
      <c r="N78" s="390"/>
      <c r="O78" s="390"/>
      <c r="P78" s="390"/>
      <c r="Q78" s="390"/>
      <c r="R78" s="390"/>
      <c r="S78" s="390"/>
      <c r="T78" s="390"/>
      <c r="U78" s="390"/>
    </row>
    <row r="79" spans="1:21" x14ac:dyDescent="0.25">
      <c r="A79" s="354"/>
      <c r="B79" s="391"/>
      <c r="C79" s="391"/>
      <c r="D79" s="391"/>
      <c r="E79" s="391"/>
      <c r="F79" s="391"/>
      <c r="G79" s="390"/>
      <c r="H79" s="390"/>
      <c r="I79" s="390"/>
      <c r="J79" s="390"/>
      <c r="K79" s="390"/>
      <c r="L79" s="390"/>
      <c r="M79" s="390"/>
      <c r="N79" s="390"/>
      <c r="O79" s="390"/>
      <c r="P79" s="390"/>
      <c r="Q79" s="390"/>
      <c r="R79" s="390"/>
      <c r="S79" s="390"/>
      <c r="T79" s="390"/>
      <c r="U79" s="390"/>
    </row>
    <row r="80" spans="1:21" x14ac:dyDescent="0.25">
      <c r="A80" s="354"/>
      <c r="B80" s="391"/>
      <c r="C80" s="391"/>
      <c r="D80" s="391"/>
      <c r="E80" s="391"/>
      <c r="F80" s="391"/>
      <c r="G80" s="390"/>
      <c r="H80" s="390"/>
      <c r="I80" s="390"/>
      <c r="J80" s="390"/>
      <c r="K80" s="390"/>
      <c r="L80" s="390"/>
      <c r="M80" s="390"/>
      <c r="N80" s="390"/>
      <c r="O80" s="390"/>
      <c r="P80" s="390"/>
      <c r="Q80" s="390"/>
      <c r="R80" s="390"/>
      <c r="S80" s="390"/>
      <c r="T80" s="390"/>
      <c r="U80" s="390"/>
    </row>
    <row r="81" spans="1:21" x14ac:dyDescent="0.25">
      <c r="A81" s="354"/>
      <c r="B81" s="391"/>
      <c r="C81" s="391"/>
      <c r="D81" s="391"/>
      <c r="E81" s="391"/>
      <c r="F81" s="391"/>
      <c r="G81" s="390"/>
      <c r="H81" s="390"/>
      <c r="I81" s="390"/>
      <c r="J81" s="390"/>
      <c r="K81" s="390"/>
      <c r="L81" s="390"/>
      <c r="M81" s="390"/>
      <c r="N81" s="390"/>
      <c r="O81" s="390"/>
      <c r="P81" s="390"/>
      <c r="Q81" s="390"/>
      <c r="R81" s="390"/>
      <c r="S81" s="390"/>
      <c r="T81" s="390"/>
      <c r="U81" s="390"/>
    </row>
    <row r="82" spans="1:21" x14ac:dyDescent="0.25">
      <c r="A82" s="354"/>
      <c r="B82" s="391"/>
      <c r="C82" s="391"/>
      <c r="D82" s="391"/>
      <c r="E82" s="391"/>
      <c r="F82" s="391"/>
      <c r="G82" s="390"/>
      <c r="H82" s="390"/>
      <c r="I82" s="390"/>
      <c r="J82" s="390"/>
      <c r="K82" s="390"/>
      <c r="L82" s="390"/>
      <c r="M82" s="390"/>
      <c r="N82" s="390"/>
      <c r="O82" s="390"/>
      <c r="P82" s="390"/>
      <c r="Q82" s="390"/>
      <c r="R82" s="390"/>
      <c r="S82" s="390"/>
      <c r="T82" s="390"/>
      <c r="U82" s="390"/>
    </row>
    <row r="83" spans="1:21" x14ac:dyDescent="0.25">
      <c r="A83" s="354"/>
      <c r="B83" s="391"/>
      <c r="C83" s="391"/>
      <c r="D83" s="391"/>
      <c r="E83" s="391"/>
      <c r="F83" s="391"/>
      <c r="G83" s="390"/>
      <c r="H83" s="390"/>
      <c r="I83" s="390"/>
      <c r="J83" s="390"/>
      <c r="K83" s="390"/>
      <c r="L83" s="390"/>
      <c r="M83" s="390"/>
      <c r="N83" s="390"/>
      <c r="O83" s="390"/>
      <c r="P83" s="390"/>
      <c r="Q83" s="390"/>
      <c r="R83" s="390"/>
      <c r="S83" s="390"/>
      <c r="T83" s="390"/>
      <c r="U83" s="390"/>
    </row>
    <row r="84" spans="1:21" x14ac:dyDescent="0.25">
      <c r="A84" s="354"/>
      <c r="B84" s="391"/>
      <c r="C84" s="391"/>
      <c r="D84" s="391"/>
      <c r="E84" s="391"/>
      <c r="F84" s="391"/>
      <c r="G84" s="390"/>
      <c r="H84" s="390"/>
      <c r="I84" s="390"/>
      <c r="J84" s="390"/>
      <c r="K84" s="390"/>
      <c r="L84" s="390"/>
      <c r="M84" s="390"/>
      <c r="N84" s="390"/>
      <c r="O84" s="390"/>
      <c r="P84" s="390"/>
      <c r="Q84" s="390"/>
      <c r="R84" s="390"/>
      <c r="S84" s="390"/>
      <c r="T84" s="390"/>
      <c r="U84" s="390"/>
    </row>
    <row r="85" spans="1:21" x14ac:dyDescent="0.25">
      <c r="A85" s="354"/>
      <c r="B85" s="391"/>
      <c r="C85" s="391"/>
      <c r="D85" s="391"/>
      <c r="E85" s="391"/>
      <c r="F85" s="391"/>
      <c r="G85" s="390"/>
      <c r="H85" s="390"/>
      <c r="I85" s="390"/>
      <c r="J85" s="390"/>
      <c r="K85" s="390"/>
      <c r="L85" s="390"/>
      <c r="M85" s="390"/>
      <c r="N85" s="390"/>
      <c r="O85" s="390"/>
      <c r="P85" s="390"/>
      <c r="Q85" s="390"/>
      <c r="R85" s="390"/>
      <c r="S85" s="390"/>
      <c r="T85" s="390"/>
      <c r="U85" s="390"/>
    </row>
    <row r="86" spans="1:21" x14ac:dyDescent="0.25">
      <c r="A86" s="354"/>
      <c r="B86" s="391"/>
      <c r="C86" s="391"/>
      <c r="D86" s="391"/>
      <c r="E86" s="391"/>
      <c r="F86" s="391"/>
      <c r="G86" s="390"/>
      <c r="H86" s="390"/>
      <c r="I86" s="390"/>
      <c r="J86" s="390"/>
      <c r="K86" s="390"/>
      <c r="L86" s="390"/>
      <c r="M86" s="390"/>
      <c r="N86" s="390"/>
      <c r="O86" s="390"/>
      <c r="P86" s="390"/>
      <c r="Q86" s="390"/>
      <c r="R86" s="390"/>
      <c r="S86" s="390"/>
      <c r="T86" s="390"/>
      <c r="U86" s="390"/>
    </row>
    <row r="87" spans="1:21" x14ac:dyDescent="0.25">
      <c r="A87" s="354"/>
      <c r="B87" s="391"/>
      <c r="C87" s="391"/>
      <c r="D87" s="391"/>
      <c r="E87" s="391"/>
      <c r="F87" s="391"/>
      <c r="G87" s="390"/>
      <c r="H87" s="390"/>
      <c r="I87" s="390"/>
      <c r="J87" s="390"/>
      <c r="K87" s="390"/>
      <c r="L87" s="390"/>
      <c r="M87" s="390"/>
      <c r="N87" s="390"/>
      <c r="O87" s="390"/>
      <c r="P87" s="390"/>
      <c r="Q87" s="390"/>
      <c r="R87" s="390"/>
      <c r="S87" s="390"/>
      <c r="T87" s="390"/>
      <c r="U87" s="390"/>
    </row>
    <row r="88" spans="1:21" x14ac:dyDescent="0.25">
      <c r="A88" s="354"/>
      <c r="B88" s="391"/>
      <c r="C88" s="391"/>
      <c r="D88" s="391"/>
      <c r="E88" s="391"/>
      <c r="F88" s="391"/>
      <c r="G88" s="390"/>
      <c r="H88" s="390"/>
      <c r="I88" s="390"/>
      <c r="J88" s="390"/>
      <c r="K88" s="390"/>
      <c r="L88" s="390"/>
      <c r="M88" s="390"/>
      <c r="N88" s="390"/>
      <c r="O88" s="390"/>
      <c r="P88" s="390"/>
      <c r="Q88" s="390"/>
      <c r="R88" s="390"/>
      <c r="S88" s="390"/>
      <c r="T88" s="390"/>
      <c r="U88" s="390"/>
    </row>
    <row r="89" spans="1:21" x14ac:dyDescent="0.25">
      <c r="A89" s="354"/>
      <c r="B89" s="391"/>
      <c r="C89" s="391"/>
      <c r="D89" s="391"/>
      <c r="E89" s="391"/>
      <c r="F89" s="391"/>
      <c r="G89" s="390"/>
      <c r="H89" s="390"/>
      <c r="I89" s="390"/>
      <c r="J89" s="390"/>
      <c r="K89" s="390"/>
      <c r="L89" s="390"/>
      <c r="M89" s="390"/>
      <c r="N89" s="390"/>
      <c r="O89" s="390"/>
      <c r="P89" s="390"/>
      <c r="Q89" s="390"/>
      <c r="R89" s="390"/>
      <c r="S89" s="390"/>
      <c r="T89" s="390"/>
      <c r="U89" s="390"/>
    </row>
    <row r="90" spans="1:21" x14ac:dyDescent="0.25">
      <c r="A90" s="354"/>
      <c r="B90" s="391"/>
      <c r="C90" s="391"/>
      <c r="D90" s="391"/>
      <c r="E90" s="391"/>
      <c r="F90" s="391"/>
      <c r="G90" s="390"/>
      <c r="H90" s="390"/>
      <c r="I90" s="390"/>
      <c r="J90" s="390"/>
      <c r="K90" s="390"/>
      <c r="L90" s="390"/>
      <c r="M90" s="390"/>
      <c r="N90" s="390"/>
      <c r="O90" s="390"/>
      <c r="P90" s="390"/>
      <c r="Q90" s="390"/>
      <c r="R90" s="390"/>
      <c r="S90" s="390"/>
      <c r="T90" s="390"/>
      <c r="U90" s="390"/>
    </row>
    <row r="91" spans="1:21" x14ac:dyDescent="0.25">
      <c r="A91" s="354"/>
      <c r="B91" s="391"/>
      <c r="C91" s="391"/>
      <c r="D91" s="391"/>
      <c r="E91" s="391"/>
      <c r="F91" s="391"/>
      <c r="G91" s="390"/>
      <c r="H91" s="390"/>
      <c r="I91" s="390"/>
      <c r="J91" s="390"/>
      <c r="K91" s="390"/>
      <c r="L91" s="390"/>
      <c r="M91" s="390"/>
      <c r="N91" s="390"/>
      <c r="O91" s="390"/>
      <c r="P91" s="390"/>
      <c r="Q91" s="390"/>
      <c r="R91" s="390"/>
      <c r="S91" s="390"/>
      <c r="T91" s="390"/>
      <c r="U91" s="390"/>
    </row>
    <row r="92" spans="1:21" x14ac:dyDescent="0.25">
      <c r="A92" s="354"/>
      <c r="B92" s="391"/>
      <c r="C92" s="391"/>
      <c r="D92" s="391"/>
      <c r="E92" s="391"/>
      <c r="F92" s="391"/>
      <c r="G92" s="390"/>
      <c r="H92" s="390"/>
      <c r="I92" s="390"/>
      <c r="J92" s="390"/>
      <c r="K92" s="390"/>
      <c r="L92" s="390"/>
      <c r="M92" s="390"/>
      <c r="N92" s="390"/>
      <c r="O92" s="390"/>
      <c r="P92" s="390"/>
      <c r="Q92" s="390"/>
      <c r="R92" s="390"/>
      <c r="S92" s="390"/>
      <c r="T92" s="390"/>
      <c r="U92" s="390"/>
    </row>
    <row r="93" spans="1:21" x14ac:dyDescent="0.25">
      <c r="A93" s="354"/>
      <c r="B93" s="391"/>
      <c r="C93" s="391"/>
      <c r="D93" s="391"/>
      <c r="E93" s="391"/>
      <c r="F93" s="391"/>
      <c r="G93" s="390"/>
      <c r="H93" s="390"/>
      <c r="I93" s="390"/>
      <c r="J93" s="390"/>
      <c r="K93" s="390"/>
      <c r="L93" s="390"/>
      <c r="M93" s="390"/>
      <c r="N93" s="390"/>
      <c r="O93" s="390"/>
      <c r="P93" s="390"/>
      <c r="Q93" s="390"/>
      <c r="R93" s="390"/>
      <c r="S93" s="390"/>
      <c r="T93" s="390"/>
      <c r="U93" s="390"/>
    </row>
    <row r="94" spans="1:21" x14ac:dyDescent="0.25">
      <c r="A94" s="354"/>
      <c r="B94" s="391"/>
      <c r="C94" s="391"/>
      <c r="D94" s="391"/>
      <c r="E94" s="391"/>
      <c r="F94" s="391"/>
      <c r="G94" s="390"/>
      <c r="H94" s="390"/>
      <c r="I94" s="390"/>
      <c r="J94" s="390"/>
      <c r="K94" s="390"/>
      <c r="L94" s="390"/>
      <c r="M94" s="390"/>
      <c r="N94" s="390"/>
      <c r="O94" s="390"/>
      <c r="P94" s="390"/>
      <c r="Q94" s="390"/>
      <c r="R94" s="390"/>
      <c r="S94" s="390"/>
      <c r="T94" s="390"/>
      <c r="U94" s="390"/>
    </row>
    <row r="95" spans="1:21" x14ac:dyDescent="0.25">
      <c r="A95" s="354"/>
      <c r="B95" s="391"/>
      <c r="C95" s="391"/>
      <c r="D95" s="391"/>
      <c r="E95" s="391"/>
      <c r="F95" s="391"/>
      <c r="G95" s="390"/>
      <c r="H95" s="390"/>
      <c r="I95" s="390"/>
      <c r="J95" s="390"/>
      <c r="K95" s="390"/>
      <c r="L95" s="390"/>
      <c r="M95" s="390"/>
      <c r="N95" s="390"/>
      <c r="O95" s="390"/>
      <c r="P95" s="390"/>
      <c r="Q95" s="390"/>
      <c r="R95" s="390"/>
      <c r="S95" s="390"/>
      <c r="T95" s="390"/>
      <c r="U95" s="390"/>
    </row>
    <row r="96" spans="1:21" x14ac:dyDescent="0.25">
      <c r="A96" s="354"/>
      <c r="B96" s="391"/>
      <c r="C96" s="391"/>
      <c r="D96" s="391"/>
      <c r="E96" s="391"/>
      <c r="F96" s="391"/>
      <c r="G96" s="390"/>
      <c r="H96" s="390"/>
      <c r="I96" s="390"/>
      <c r="J96" s="390"/>
      <c r="K96" s="390"/>
      <c r="L96" s="390"/>
      <c r="M96" s="390"/>
      <c r="N96" s="390"/>
      <c r="O96" s="390"/>
      <c r="P96" s="390"/>
      <c r="Q96" s="390"/>
      <c r="R96" s="390"/>
      <c r="S96" s="390"/>
      <c r="T96" s="390"/>
      <c r="U96" s="390"/>
    </row>
    <row r="97" spans="1:21" x14ac:dyDescent="0.25">
      <c r="A97" s="354"/>
      <c r="B97" s="391"/>
      <c r="C97" s="391"/>
      <c r="D97" s="391"/>
      <c r="E97" s="391"/>
      <c r="F97" s="391"/>
      <c r="G97" s="390"/>
      <c r="H97" s="390"/>
      <c r="I97" s="390"/>
      <c r="J97" s="390"/>
      <c r="K97" s="390"/>
      <c r="L97" s="390"/>
      <c r="M97" s="390"/>
      <c r="N97" s="390"/>
      <c r="O97" s="390"/>
      <c r="P97" s="390"/>
      <c r="Q97" s="390"/>
      <c r="R97" s="390"/>
      <c r="S97" s="390"/>
      <c r="T97" s="390"/>
      <c r="U97" s="390"/>
    </row>
  </sheetData>
  <mergeCells count="4">
    <mergeCell ref="G1:K1"/>
    <mergeCell ref="L1:P1"/>
    <mergeCell ref="Q1:U1"/>
    <mergeCell ref="B1:F1"/>
  </mergeCells>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A2EAA-31D8-415A-8B38-A7E767C30621}">
  <sheetPr codeName="Sheet13" filterMode="1"/>
  <dimension ref="A1:CJ120"/>
  <sheetViews>
    <sheetView showGridLines="0" topLeftCell="BS1" zoomScale="80" zoomScaleNormal="80" workbookViewId="0">
      <selection activeCell="BS1" sqref="BS1"/>
    </sheetView>
  </sheetViews>
  <sheetFormatPr defaultColWidth="8.7109375" defaultRowHeight="15" x14ac:dyDescent="0.25"/>
  <cols>
    <col min="1" max="1" width="19.28515625" customWidth="1"/>
    <col min="2" max="3" width="28.140625" customWidth="1"/>
    <col min="4" max="4" width="36.5703125" customWidth="1"/>
    <col min="5" max="5" width="30" customWidth="1"/>
    <col min="6" max="7" width="27.85546875" customWidth="1"/>
    <col min="8" max="8" width="24.7109375" customWidth="1"/>
    <col min="9" max="9" width="23.28515625" customWidth="1"/>
    <col min="10" max="14" width="18.28515625" bestFit="1" customWidth="1"/>
    <col min="15" max="15" width="22.7109375" customWidth="1"/>
    <col min="16" max="16" width="26.140625" bestFit="1" customWidth="1"/>
    <col min="17" max="17" width="20.42578125" bestFit="1" customWidth="1"/>
    <col min="18" max="20" width="15.85546875" bestFit="1" customWidth="1"/>
    <col min="21" max="21" width="19" bestFit="1" customWidth="1"/>
    <col min="22" max="24" width="18.5703125" bestFit="1" customWidth="1"/>
    <col min="25" max="25" width="11.28515625" hidden="1" customWidth="1"/>
    <col min="26" max="26" width="10.85546875" bestFit="1" customWidth="1"/>
    <col min="28" max="28" width="19.28515625" bestFit="1" customWidth="1"/>
    <col min="29" max="36" width="19.28515625" customWidth="1"/>
    <col min="37" max="37" width="26.140625" bestFit="1" customWidth="1"/>
    <col min="38" max="38" width="20.42578125" bestFit="1" customWidth="1"/>
    <col min="39" max="41" width="15.85546875" bestFit="1" customWidth="1"/>
    <col min="42" max="42" width="19" bestFit="1" customWidth="1"/>
    <col min="43" max="45" width="18.5703125" bestFit="1" customWidth="1"/>
    <col min="46" max="46" width="0" hidden="1" customWidth="1"/>
    <col min="47" max="47" width="10.85546875" bestFit="1" customWidth="1"/>
    <col min="49" max="49" width="17.5703125" bestFit="1" customWidth="1"/>
    <col min="50" max="54" width="18.85546875" bestFit="1" customWidth="1"/>
    <col min="55" max="57" width="10.140625" customWidth="1"/>
    <col min="58" max="58" width="26.140625" bestFit="1" customWidth="1"/>
    <col min="59" max="62" width="15.85546875" bestFit="1" customWidth="1"/>
    <col min="63" max="63" width="19" bestFit="1" customWidth="1"/>
    <col min="64" max="66" width="18.5703125" bestFit="1" customWidth="1"/>
    <col min="67" max="67" width="11.28515625" hidden="1" customWidth="1"/>
    <col min="68" max="68" width="10.85546875" bestFit="1" customWidth="1"/>
    <col min="69" max="69" width="10.85546875" customWidth="1"/>
    <col min="70" max="70" width="12" bestFit="1" customWidth="1"/>
    <col min="71" max="71" width="17.85546875" bestFit="1" customWidth="1"/>
    <col min="72" max="72" width="17.85546875" customWidth="1"/>
    <col min="73" max="76" width="20.5703125" bestFit="1" customWidth="1"/>
    <col min="77" max="80" width="21.85546875" bestFit="1" customWidth="1"/>
    <col min="81" max="81" width="20.5703125" hidden="1" customWidth="1"/>
    <col min="82" max="82" width="20.5703125" bestFit="1" customWidth="1"/>
    <col min="84" max="88" width="18.85546875" bestFit="1" customWidth="1"/>
  </cols>
  <sheetData>
    <row r="1" spans="1:88" s="355" customFormat="1" x14ac:dyDescent="0.25">
      <c r="A1" s="467" t="s">
        <v>1721</v>
      </c>
      <c r="B1" s="364" t="s">
        <v>2770</v>
      </c>
      <c r="C1" s="435" t="s">
        <v>174</v>
      </c>
      <c r="D1" s="435" t="s">
        <v>685</v>
      </c>
      <c r="E1" s="436" t="s">
        <v>686</v>
      </c>
      <c r="F1" s="435" t="s">
        <v>1010</v>
      </c>
      <c r="G1" s="437" t="s">
        <v>2737</v>
      </c>
      <c r="H1" s="435" t="s">
        <v>41</v>
      </c>
      <c r="I1" s="435" t="s">
        <v>42</v>
      </c>
      <c r="J1" s="435" t="s">
        <v>43</v>
      </c>
      <c r="K1" s="435" t="s">
        <v>44</v>
      </c>
      <c r="L1" s="435" t="s">
        <v>45</v>
      </c>
      <c r="M1" s="438" t="s">
        <v>1186</v>
      </c>
      <c r="N1" s="438" t="s">
        <v>1187</v>
      </c>
      <c r="O1" s="438" t="s">
        <v>1188</v>
      </c>
      <c r="P1" s="439" t="s">
        <v>2738</v>
      </c>
      <c r="Q1" s="440" t="s">
        <v>2739</v>
      </c>
      <c r="R1" s="440" t="s">
        <v>1007</v>
      </c>
      <c r="S1" s="440" t="s">
        <v>1008</v>
      </c>
      <c r="T1" s="440" t="s">
        <v>1009</v>
      </c>
      <c r="U1" s="440" t="s">
        <v>754</v>
      </c>
      <c r="V1" s="440" t="s">
        <v>755</v>
      </c>
      <c r="W1" s="440" t="s">
        <v>756</v>
      </c>
      <c r="X1" s="440" t="s">
        <v>757</v>
      </c>
      <c r="Y1" s="441" t="s">
        <v>1011</v>
      </c>
      <c r="Z1" s="442" t="s">
        <v>962</v>
      </c>
      <c r="AB1" s="328" t="s">
        <v>2740</v>
      </c>
      <c r="AC1" s="435" t="s">
        <v>41</v>
      </c>
      <c r="AD1" s="435" t="s">
        <v>42</v>
      </c>
      <c r="AE1" s="435" t="s">
        <v>43</v>
      </c>
      <c r="AF1" s="435" t="s">
        <v>44</v>
      </c>
      <c r="AG1" s="435" t="s">
        <v>45</v>
      </c>
      <c r="AH1" s="438" t="s">
        <v>1186</v>
      </c>
      <c r="AI1" s="438" t="s">
        <v>1187</v>
      </c>
      <c r="AJ1" s="438" t="s">
        <v>1188</v>
      </c>
      <c r="AK1" s="439" t="s">
        <v>2738</v>
      </c>
      <c r="AL1" s="440" t="s">
        <v>1006</v>
      </c>
      <c r="AM1" s="440" t="s">
        <v>1007</v>
      </c>
      <c r="AN1" s="440" t="s">
        <v>1008</v>
      </c>
      <c r="AO1" s="440" t="s">
        <v>1009</v>
      </c>
      <c r="AP1" s="440" t="s">
        <v>754</v>
      </c>
      <c r="AQ1" s="440" t="s">
        <v>755</v>
      </c>
      <c r="AR1" s="440" t="s">
        <v>756</v>
      </c>
      <c r="AS1" s="440" t="s">
        <v>757</v>
      </c>
      <c r="AT1" s="441" t="s">
        <v>1011</v>
      </c>
      <c r="AU1" s="442" t="s">
        <v>962</v>
      </c>
      <c r="AW1" s="312" t="s">
        <v>2741</v>
      </c>
      <c r="AX1" s="435" t="s">
        <v>41</v>
      </c>
      <c r="AY1" s="435" t="s">
        <v>42</v>
      </c>
      <c r="AZ1" s="435" t="s">
        <v>43</v>
      </c>
      <c r="BA1" s="435" t="s">
        <v>44</v>
      </c>
      <c r="BB1" s="435" t="s">
        <v>45</v>
      </c>
      <c r="BC1" s="438" t="s">
        <v>1186</v>
      </c>
      <c r="BD1" s="438" t="s">
        <v>1187</v>
      </c>
      <c r="BE1" s="438" t="s">
        <v>1188</v>
      </c>
      <c r="BF1" s="439" t="s">
        <v>2738</v>
      </c>
      <c r="BG1" s="278" t="s">
        <v>1006</v>
      </c>
      <c r="BH1" s="278" t="s">
        <v>1007</v>
      </c>
      <c r="BI1" s="278" t="s">
        <v>1008</v>
      </c>
      <c r="BJ1" s="278" t="s">
        <v>1009</v>
      </c>
      <c r="BK1" s="278" t="s">
        <v>754</v>
      </c>
      <c r="BL1" s="278" t="s">
        <v>755</v>
      </c>
      <c r="BM1" s="278" t="s">
        <v>756</v>
      </c>
      <c r="BN1" s="278" t="s">
        <v>757</v>
      </c>
      <c r="BO1" s="443" t="s">
        <v>1011</v>
      </c>
      <c r="BP1" s="444" t="s">
        <v>962</v>
      </c>
      <c r="BQ1" s="346"/>
      <c r="BT1" s="328" t="s">
        <v>2742</v>
      </c>
      <c r="BU1" s="278" t="s">
        <v>1006</v>
      </c>
      <c r="BV1" s="278" t="s">
        <v>1007</v>
      </c>
      <c r="BW1" s="278" t="s">
        <v>1008</v>
      </c>
      <c r="BX1" s="278" t="s">
        <v>1009</v>
      </c>
      <c r="BY1" s="278" t="s">
        <v>754</v>
      </c>
      <c r="BZ1" s="278" t="s">
        <v>755</v>
      </c>
      <c r="CA1" s="278" t="s">
        <v>756</v>
      </c>
      <c r="CB1" s="278" t="s">
        <v>757</v>
      </c>
      <c r="CC1" s="443" t="s">
        <v>1011</v>
      </c>
      <c r="CD1" s="444" t="s">
        <v>962</v>
      </c>
      <c r="CF1" s="435" t="s">
        <v>41</v>
      </c>
      <c r="CG1" s="435" t="s">
        <v>42</v>
      </c>
      <c r="CH1" s="435" t="s">
        <v>43</v>
      </c>
      <c r="CI1" s="435" t="s">
        <v>44</v>
      </c>
      <c r="CJ1" s="435" t="s">
        <v>45</v>
      </c>
    </row>
    <row r="2" spans="1:88" s="355" customFormat="1" hidden="1" x14ac:dyDescent="0.25">
      <c r="A2" s="400">
        <v>1100000141</v>
      </c>
      <c r="B2" s="455" t="str">
        <f>VLOOKUP(A2,'Loan Book Summary'!C:G,5,FALSE)</f>
        <v>0015800000blLRK</v>
      </c>
      <c r="C2" s="167">
        <f>VLOOKUP(A2,'Ref-Data'!$A:$I,9,0)</f>
        <v>1</v>
      </c>
      <c r="D2" s="445">
        <f>VLOOKUP(A2,'Adjustment Factor'!A:C,3,0)</f>
        <v>1.1523140833641017</v>
      </c>
      <c r="E2" s="446">
        <f>VLOOKUP(A2,'Ref-Data'!A:C,2,FALSE)</f>
        <v>70000</v>
      </c>
      <c r="F2" s="445">
        <f>VLOOKUP(A2,'Ref-Data'!$A:$F,6,FALSE)</f>
        <v>0.52566735112936347</v>
      </c>
      <c r="G2" s="346"/>
      <c r="H2" s="273">
        <f>VLOOKUP($B2, 'Output 96% Downside'!$A:$CW,42,FALSE)</f>
        <v>6.3E-2</v>
      </c>
      <c r="I2" s="273">
        <f>VLOOKUP($B2, 'Output 96% Downside'!$A:$CW,43,FALSE)</f>
        <v>5.4699999999999999E-2</v>
      </c>
      <c r="J2" s="273">
        <f>VLOOKUP($B2, 'Output 96% Downside'!$A:$CW,44,FALSE)</f>
        <v>5.04E-2</v>
      </c>
      <c r="K2" s="273">
        <f>VLOOKUP($B2, 'Output 96% Downside'!$A:$CW,45,FALSE)</f>
        <v>4.7500000000000001E-2</v>
      </c>
      <c r="L2" s="273">
        <f>VLOOKUP($B2, 'Output 96% Downside'!$A:$CW,46,FALSE)</f>
        <v>4.5400000000000003E-2</v>
      </c>
      <c r="M2" s="447">
        <f t="shared" ref="M2:M65" si="0">1-(1-H2)^(1/4)</f>
        <v>1.6136389926731276E-2</v>
      </c>
      <c r="N2" s="447">
        <f>1-(1-M2)*(1-M2)</f>
        <v>3.201239677359502E-2</v>
      </c>
      <c r="O2" s="447">
        <f>1-(1-M2)*(1-M2)*(1-M2)</f>
        <v>4.7632222183498385E-2</v>
      </c>
      <c r="P2" s="346"/>
      <c r="Q2" s="390">
        <f>M2*$D2</f>
        <v>1.8594189367227076E-2</v>
      </c>
      <c r="R2" s="390">
        <f>N2*$D2</f>
        <v>3.6888335644453069E-2</v>
      </c>
      <c r="S2" s="390">
        <f>O2*$D2</f>
        <v>5.4887280443973174E-2</v>
      </c>
      <c r="T2" s="390">
        <f>H2*$D2</f>
        <v>7.259578725193841E-2</v>
      </c>
      <c r="U2" s="390">
        <f>(1-((1-H2)*(1-I2)))*$D2</f>
        <v>0.13165637804927363</v>
      </c>
      <c r="V2" s="390">
        <f>(1-((1-H2)*(1-I2)*(1-J2)))*$D2</f>
        <v>0.18309752639714097</v>
      </c>
      <c r="W2" s="390">
        <f>(1-((1-H2)*(1-I2)*(1-J2)*(1-K2)))*$D2</f>
        <v>0.22913531285307159</v>
      </c>
      <c r="X2" s="390">
        <f>(1-((1-H2)*(1-I2)*(1-J2)*(1-K2)*(1-L2)))*$D2</f>
        <v>0.27104762903427237</v>
      </c>
      <c r="Y2" s="390">
        <f>IF($C2=1,IF($F2&gt;=1,T2,1-(1-T2)^$F2),IF($F2&gt;=1,Z2,1-(1-Z2)^$F2))</f>
        <v>3.8842817305662303E-2</v>
      </c>
      <c r="Z2" s="390">
        <f>IF($F2&lt;=1,T2,IF($F2&lt;=2,U2,IF($F2&lt;=3,V2,IF($F2&lt;=4,W2,X2))))</f>
        <v>7.259578725193841E-2</v>
      </c>
      <c r="AC2" s="273">
        <f>VLOOKUP($B2, 'Output Baseline'!$A:$CW,42,FALSE)</f>
        <v>2.0199999999999999E-2</v>
      </c>
      <c r="AD2" s="273">
        <f>VLOOKUP($B2, 'Output Baseline'!$A:$CW,43,FALSE)</f>
        <v>1.9599999999999999E-2</v>
      </c>
      <c r="AE2" s="273">
        <f>VLOOKUP($B2, 'Output Baseline'!$A:$CW,44,FALSE)</f>
        <v>1.9199999999999998E-2</v>
      </c>
      <c r="AF2" s="273">
        <f>VLOOKUP($B2, 'Output Baseline'!$A:$CW,45,FALSE)</f>
        <v>1.9E-2</v>
      </c>
      <c r="AG2" s="273">
        <f>VLOOKUP($B2, 'Output Baseline'!$A:$CW,46,FALSE)</f>
        <v>1.8800000000000001E-2</v>
      </c>
      <c r="AH2" s="447">
        <f>1-(1-AC2)^(1/4)</f>
        <v>5.0887108629504851E-3</v>
      </c>
      <c r="AI2" s="447">
        <f>1-(1-AH2)*(1-AH2)</f>
        <v>1.0151526747654294E-2</v>
      </c>
      <c r="AJ2" s="447">
        <f>1-(1-AH2)*(1-AH2)*(1-AH2)</f>
        <v>1.5188579426168469E-2</v>
      </c>
      <c r="AK2" s="346"/>
      <c r="AL2" s="390">
        <f>AH2*$D2</f>
        <v>5.863793193545735E-3</v>
      </c>
      <c r="AM2" s="390">
        <f>AI2*$D2</f>
        <v>1.1697747238969419E-2</v>
      </c>
      <c r="AN2" s="390">
        <f>AJ2*$D2</f>
        <v>1.7502013979068174E-2</v>
      </c>
      <c r="AO2" s="390">
        <f>AC2*$D2</f>
        <v>2.3276744483954854E-2</v>
      </c>
      <c r="AP2" s="390">
        <f>(1-((1-AC2)*(1-AD2)))*$D2</f>
        <v>4.5405876326005679E-2</v>
      </c>
      <c r="AQ2" s="390">
        <f>(1-((1-AC2)*(1-AD2)*(1-AE2)))*$D2</f>
        <v>6.6658513901137154E-2</v>
      </c>
      <c r="AR2" s="390">
        <f>(1-((1-AC2)*(1-AD2)*(1-AE2)*(1-AF2)))*$D2</f>
        <v>8.7285969720933526E-2</v>
      </c>
      <c r="AS2" s="390">
        <f>(1-((1-AC2)*(1-AD2)*(1-AE2)*(1-AF2)*(1-AG2)))*$D2</f>
        <v>0.10730849825742507</v>
      </c>
      <c r="AT2" s="390">
        <f>IF($C2=1,IF($F2&gt;=1,AO2,1-(1-AO2)^$F2),IF($F2&gt;=1,AU2,1-(1-AU2)^$F2))</f>
        <v>1.2304155993558719E-2</v>
      </c>
      <c r="AU2" s="390">
        <f>IF($F2&lt;=1,AO2,IF($F2&lt;=2,AP2,IF($F2&lt;=3,AQ2,IF($F2&lt;=4,AR2,AS2))))</f>
        <v>2.3276744483954854E-2</v>
      </c>
      <c r="AX2" s="273">
        <f>VLOOKUP($B2, 'Output 90% Downside'!$A:$CW,42,FALSE)</f>
        <v>2.9899999999999999E-2</v>
      </c>
      <c r="AY2" s="273">
        <f>VLOOKUP($B2, 'Output 90% Downside'!$A:$CW,43,FALSE)</f>
        <v>2.8400000000000002E-2</v>
      </c>
      <c r="AZ2" s="273">
        <f>VLOOKUP($B2, 'Output 90% Downside'!$A:$CW,44,FALSE)</f>
        <v>2.75E-2</v>
      </c>
      <c r="BA2" s="273">
        <f>VLOOKUP($B2, 'Output 90% Downside'!$A:$CW,45,FALSE)</f>
        <v>2.7E-2</v>
      </c>
      <c r="BB2" s="273">
        <f>VLOOKUP($B2, 'Output 90% Downside'!$A:$CW,46,FALSE)</f>
        <v>2.6499999999999999E-2</v>
      </c>
      <c r="BC2" s="447">
        <f>1-(1-AX2)^(1/4)</f>
        <v>7.5603060238376152E-3</v>
      </c>
      <c r="BD2" s="447">
        <f>1-(1-BC2)*(1-BC2)</f>
        <v>1.5063453820501116E-2</v>
      </c>
      <c r="BE2" s="447">
        <f>1-(1-BC2)*(1-BC2)*(1-BC2)</f>
        <v>2.2509875523679779E-2</v>
      </c>
      <c r="BF2" s="346"/>
      <c r="BG2" s="390">
        <f>BC2*$D2</f>
        <v>8.7118471058105374E-3</v>
      </c>
      <c r="BH2" s="390">
        <f>BD2*$D2</f>
        <v>1.7357829981468217E-2</v>
      </c>
      <c r="BI2" s="390">
        <f>BE2*$D2</f>
        <v>2.5938446580709092E-2</v>
      </c>
      <c r="BJ2" s="390">
        <f>AX2*$D2</f>
        <v>3.4454191092586642E-2</v>
      </c>
      <c r="BK2" s="390">
        <f>(1-((1-AX2)*(1-AY2)))*$D2</f>
        <v>6.6201412033097665E-2</v>
      </c>
      <c r="BL2" s="390">
        <f>(1-((1-AX2)*(1-AY2)*(1-AZ2)))*$D2</f>
        <v>9.6069510494700208E-2</v>
      </c>
      <c r="BM2" s="390">
        <f>(1-((1-AX2)*(1-AY2)*(1-AZ2)*(1-BA2)))*$D2</f>
        <v>0.12458811396217405</v>
      </c>
      <c r="BN2" s="390">
        <f>(1-((1-AX2)*(1-AY2)*(1-AZ2)*(1-BA2)*(1-BB2)))*$D2</f>
        <v>0.15182285215132515</v>
      </c>
      <c r="BO2" s="390">
        <f>IF($C2=1,IF($F2&gt;=1,BJ2,1-(1-BJ2)^$F2),IF($F2&gt;=1,BP2,1-(1-BP2)^$F2))</f>
        <v>1.8261999366082859E-2</v>
      </c>
      <c r="BP2" s="390">
        <f>IF($F2&lt;=1,BJ2,IF($F2&lt;=2,BK2,IF($F2&lt;=3,BL2,IF($F2&lt;=4,BM2,BN2))))</f>
        <v>3.4454191092586642E-2</v>
      </c>
      <c r="BQ2" s="347"/>
      <c r="BR2" s="435" t="s">
        <v>721</v>
      </c>
      <c r="BS2" s="448">
        <v>0.6</v>
      </c>
      <c r="BT2" s="449"/>
      <c r="BU2" s="390">
        <f>IFERROR(AL2*$BS$2+BG2*$BS$4+Q2*$BS$3,VLOOKUP(A2,'Updated Ncino PD'!A:K,4,FALSE))</f>
        <v>7.4971318715224833E-3</v>
      </c>
      <c r="BV2" s="390">
        <f>IFERROR(AM2*$BS$2+BH2*$BS$4+R2*$BS$3,VLOOKUP(A2,'Updated Ncino PD'!A:K,5,FALSE))</f>
        <v>1.4938305619118179E-2</v>
      </c>
      <c r="BW2" s="390">
        <f>IFERROR(AN2*$BS$2+BI2*$BS$4+S2*$BS$3,VLOOKUP(A2,'Updated Ncino PD'!A:K,6,FALSE))</f>
        <v>2.2324028712887745E-2</v>
      </c>
      <c r="BX2" s="390">
        <f>IFERROR(AO2*$BS$2+BJ2*$BS$4+T2*$BS$3,VLOOKUP(A2,'Updated Ncino PD'!A:K,7,FALSE))</f>
        <v>2.9654802935375153E-2</v>
      </c>
      <c r="BY2" s="390">
        <f>IFERROR(AP2*$BS$2+BK2*$BS$4+U2*$BS$3,VLOOKUP(A2,'Updated Ncino PD'!A:K,8,FALSE))</f>
        <v>5.6996838909651272E-2</v>
      </c>
      <c r="BZ2" s="390">
        <f>IFERROR(AQ2*$BS$2+BL2*$BS$4+V2*$BS$3,VLOOKUP(A2,'Updated Ncino PD'!A:K,9,FALSE))</f>
        <v>8.2774313333684416E-2</v>
      </c>
      <c r="CA2" s="390">
        <f>IFERROR(AR2*$BS$2+BM2*$BS$4+W2*$BS$3,VLOOKUP(A2,'Updated Ncino PD'!A:K,10,FALSE))</f>
        <v>0.1074341873619746</v>
      </c>
      <c r="CB2" s="390">
        <f>IFERROR(AS2*$BS$2+BN2*$BS$4+X2*$BS$3,VLOOKUP(A2,'Updated Ncino PD'!A:K,11,FALSE))</f>
        <v>0.13107547865913247</v>
      </c>
      <c r="CC2" s="390">
        <f t="shared" ref="CC2:CD17" si="1">AT2*$BS$2+BO2*$BS$4+Y2*$BS$3</f>
        <v>1.5716334239547346E-2</v>
      </c>
      <c r="CD2" s="390">
        <f t="shared" si="1"/>
        <v>2.9654802935375153E-2</v>
      </c>
      <c r="CF2" s="450">
        <f>$BS$2*AC2+$BS$3*H2+$BS$4*AX2</f>
        <v>2.5734999999999997E-2</v>
      </c>
      <c r="CG2" s="450">
        <f t="shared" ref="CG2:CJ17" si="2">$BS$2*AD2+$BS$3*I2+$BS$4*AY2</f>
        <v>2.4434999999999998E-2</v>
      </c>
      <c r="CH2" s="450">
        <f t="shared" si="2"/>
        <v>2.3664999999999999E-2</v>
      </c>
      <c r="CI2" s="450">
        <f t="shared" si="2"/>
        <v>2.3224999999999999E-2</v>
      </c>
      <c r="CJ2" s="450">
        <f t="shared" si="2"/>
        <v>2.2824999999999998E-2</v>
      </c>
    </row>
    <row r="3" spans="1:88" s="355" customFormat="1" hidden="1" x14ac:dyDescent="0.25">
      <c r="A3" s="400">
        <v>1100000145</v>
      </c>
      <c r="B3" s="455" t="str">
        <f>VLOOKUP(A3,'Loan Book Summary'!C:G,5,FALSE)</f>
        <v>0015800000me5DQ</v>
      </c>
      <c r="C3" s="167">
        <f>VLOOKUP(A3,'Ref-Data'!$A:$I,9,0)</f>
        <v>1</v>
      </c>
      <c r="D3" s="445">
        <f>VLOOKUP(A3,'Adjustment Factor'!A:C,3,0)</f>
        <v>0.85</v>
      </c>
      <c r="E3" s="446">
        <f>VLOOKUP(A3,'Ref-Data'!A:C,2,FALSE)</f>
        <v>9722974.0099999998</v>
      </c>
      <c r="F3" s="445">
        <f>VLOOKUP(A3,'Ref-Data'!$A:$F,6,FALSE)</f>
        <v>5.4757015742642023E-2</v>
      </c>
      <c r="G3" s="346"/>
      <c r="H3" s="273">
        <f>VLOOKUP($B3, 'Output 96% Downside'!$A:$CW,42,FALSE)</f>
        <v>0.10349999999999999</v>
      </c>
      <c r="I3" s="273">
        <f>VLOOKUP($B3, 'Output 96% Downside'!$A:$CW,43,FALSE)</f>
        <v>7.6200000000000004E-2</v>
      </c>
      <c r="J3" s="273">
        <f>VLOOKUP($B3, 'Output 96% Downside'!$A:$CW,44,FALSE)</f>
        <v>6.3600000000000004E-2</v>
      </c>
      <c r="K3" s="273">
        <f>VLOOKUP($B3, 'Output 96% Downside'!$A:$CW,45,FALSE)</f>
        <v>5.5899999999999998E-2</v>
      </c>
      <c r="L3" s="273">
        <f>VLOOKUP($B3, 'Output 96% Downside'!$A:$CW,46,FALSE)</f>
        <v>5.0500000000000003E-2</v>
      </c>
      <c r="M3" s="447">
        <f t="shared" si="0"/>
        <v>2.6944585768612694E-2</v>
      </c>
      <c r="N3" s="447">
        <f t="shared" ref="N3:N66" si="3">1-(1-M3)*(1-M3)</f>
        <v>5.3163160834983292E-2</v>
      </c>
      <c r="O3" s="447">
        <f t="shared" ref="O3:O66" si="4">1-(1-M3)*(1-M3)*(1-M3)</f>
        <v>7.8675287256747217E-2</v>
      </c>
      <c r="P3" s="346"/>
      <c r="Q3" s="390">
        <f t="shared" ref="Q3:S66" si="5">M3*$D3</f>
        <v>2.2902897903320788E-2</v>
      </c>
      <c r="R3" s="390">
        <f t="shared" si="5"/>
        <v>4.5188686709735797E-2</v>
      </c>
      <c r="S3" s="390">
        <f t="shared" si="5"/>
        <v>6.6873994168235126E-2</v>
      </c>
      <c r="T3" s="390">
        <f t="shared" ref="T3:T66" si="6">H3*$D3</f>
        <v>8.7974999999999998E-2</v>
      </c>
      <c r="U3" s="390">
        <f t="shared" ref="U3:U66" si="7">(1-((1-H3)*(1-I3)))*$D3</f>
        <v>0.14604130500000004</v>
      </c>
      <c r="V3" s="390">
        <f t="shared" ref="V3:V66" si="8">(1-((1-H3)*(1-I3)*(1-J3)))*$D3</f>
        <v>0.19081307800200004</v>
      </c>
      <c r="W3" s="390">
        <f t="shared" ref="W3:W66" si="9">(1-((1-H3)*(1-I3)*(1-J3)*(1-K3)))*$D3</f>
        <v>0.22766162694168818</v>
      </c>
      <c r="X3" s="390">
        <f t="shared" ref="X3:X66" si="10">(1-((1-H3)*(1-I3)*(1-J3)*(1-K3)*(1-L3)))*$D3</f>
        <v>0.25908971478113296</v>
      </c>
      <c r="Y3" s="390">
        <f t="shared" ref="Y3:Y66" si="11">IF($C3=1,IF($F3&gt;=1,T3,1-(1-T3)^$F3),IF($F3&gt;=1,Z3,1-(1-Z3)^$F3))</f>
        <v>5.0297654844422279E-3</v>
      </c>
      <c r="Z3" s="390">
        <f t="shared" ref="Z3:Z66" si="12">IF($F3&lt;=1,T3,IF($F3&lt;=2,U3,IF($F3&lt;=3,V3,IF($F3&lt;=4,W3,X3))))</f>
        <v>8.7974999999999998E-2</v>
      </c>
      <c r="AC3" s="273">
        <f>VLOOKUP($B3, 'Output Baseline'!$A:$CW,42,FALSE)</f>
        <v>0.11260000000000001</v>
      </c>
      <c r="AD3" s="273">
        <f>VLOOKUP($B3, 'Output Baseline'!$A:$CW,43,FALSE)</f>
        <v>8.8200000000000001E-2</v>
      </c>
      <c r="AE3" s="273">
        <f>VLOOKUP($B3, 'Output Baseline'!$A:$CW,44,FALSE)</f>
        <v>7.6300000000000007E-2</v>
      </c>
      <c r="AF3" s="273">
        <f>VLOOKUP($B3, 'Output Baseline'!$A:$CW,45,FALSE)</f>
        <v>6.8900000000000003E-2</v>
      </c>
      <c r="AG3" s="273">
        <f>VLOOKUP($B3, 'Output Baseline'!$A:$CW,46,FALSE)</f>
        <v>6.3600000000000004E-2</v>
      </c>
      <c r="AH3" s="447">
        <f t="shared" ref="AH3:AH66" si="13">1-(1-AC3)^(1/4)</f>
        <v>2.942331158921041E-2</v>
      </c>
      <c r="AI3" s="447">
        <f t="shared" ref="AI3:AI66" si="14">1-(1-AH3)*(1-AH3)</f>
        <v>5.7980891913545052E-2</v>
      </c>
      <c r="AJ3" s="447">
        <f t="shared" ref="AJ3:AJ66" si="15">1-(1-AH3)*(1-AH3)*(1-AH3)</f>
        <v>8.5698213653762845E-2</v>
      </c>
      <c r="AK3" s="346"/>
      <c r="AL3" s="390">
        <f t="shared" ref="AL3:AN66" si="16">AH3*$D3</f>
        <v>2.5009814850828847E-2</v>
      </c>
      <c r="AM3" s="390">
        <f t="shared" si="16"/>
        <v>4.928375812651329E-2</v>
      </c>
      <c r="AN3" s="390">
        <f t="shared" si="16"/>
        <v>7.284348160569841E-2</v>
      </c>
      <c r="AO3" s="390">
        <f t="shared" ref="AO3:AO66" si="17">AC3*$D3</f>
        <v>9.5710000000000003E-2</v>
      </c>
      <c r="AP3" s="390">
        <f t="shared" ref="AP3:AP66" si="18">(1-((1-AC3)*(1-AD3)))*$D3</f>
        <v>0.1622383780000001</v>
      </c>
      <c r="AQ3" s="390">
        <f t="shared" ref="AQ3:AQ66" si="19">(1-((1-AC3)*(1-AD3)*(1-AE3)))*$D3</f>
        <v>0.21471458975860014</v>
      </c>
      <c r="AR3" s="390">
        <f t="shared" ref="AR3:AR66" si="20">(1-((1-AC3)*(1-AD3)*(1-AE3)*(1-AF3)))*$D3</f>
        <v>0.25848575452423256</v>
      </c>
      <c r="AS3" s="390">
        <f t="shared" ref="AS3:AS66" si="21">(1-((1-AC3)*(1-AD3)*(1-AE3)*(1-AF3)*(1-AG3)))*$D3</f>
        <v>0.29610606053649136</v>
      </c>
      <c r="AT3" s="390">
        <f t="shared" ref="AT3:AT66" si="22">IF($C3=1,IF($F3&gt;=1,AO3,1-(1-AO3)^$F3),IF($F3&gt;=1,AU3,1-(1-AU3)^$F3))</f>
        <v>5.4936932439553221E-3</v>
      </c>
      <c r="AU3" s="390">
        <f t="shared" ref="AU3:AU66" si="23">IF($F3&lt;=1,AO3,IF($F3&lt;=2,AP3,IF($F3&lt;=3,AQ3,IF($F3&lt;=4,AR3,AS3))))</f>
        <v>9.5710000000000003E-2</v>
      </c>
      <c r="AX3" s="273">
        <f>VLOOKUP($B3, 'Output 90% Downside'!$A:$CW,42,FALSE)</f>
        <v>0.11260000000000001</v>
      </c>
      <c r="AY3" s="273">
        <f>VLOOKUP($B3, 'Output 90% Downside'!$A:$CW,43,FALSE)</f>
        <v>8.7999999999999995E-2</v>
      </c>
      <c r="AZ3" s="273">
        <f>VLOOKUP($B3, 'Output 90% Downside'!$A:$CW,44,FALSE)</f>
        <v>7.6100000000000001E-2</v>
      </c>
      <c r="BA3" s="273">
        <f>VLOOKUP($B3, 'Output 90% Downside'!$A:$CW,45,FALSE)</f>
        <v>6.8599999999999994E-2</v>
      </c>
      <c r="BB3" s="273">
        <f>VLOOKUP($B3, 'Output 90% Downside'!$A:$CW,46,FALSE)</f>
        <v>6.3299999999999995E-2</v>
      </c>
      <c r="BC3" s="447">
        <f t="shared" ref="BC3:BC66" si="24">1-(1-AX3)^(1/4)</f>
        <v>2.942331158921041E-2</v>
      </c>
      <c r="BD3" s="447">
        <f t="shared" ref="BD3:BD66" si="25">1-(1-BC3)*(1-BC3)</f>
        <v>5.7980891913545052E-2</v>
      </c>
      <c r="BE3" s="447">
        <f t="shared" ref="BE3:BE66" si="26">1-(1-BC3)*(1-BC3)*(1-BC3)</f>
        <v>8.5698213653762845E-2</v>
      </c>
      <c r="BF3" s="346"/>
      <c r="BG3" s="390">
        <f t="shared" ref="BG3:BI66" si="27">BC3*$D3</f>
        <v>2.5009814850828847E-2</v>
      </c>
      <c r="BH3" s="390">
        <f t="shared" si="27"/>
        <v>4.928375812651329E-2</v>
      </c>
      <c r="BI3" s="390">
        <f t="shared" si="27"/>
        <v>7.284348160569841E-2</v>
      </c>
      <c r="BJ3" s="390">
        <f t="shared" ref="BJ3:BJ66" si="28">AX3*$D3</f>
        <v>9.5710000000000003E-2</v>
      </c>
      <c r="BK3" s="390">
        <f t="shared" ref="BK3:BK66" si="29">(1-((1-AX3)*(1-AY3)))*$D3</f>
        <v>0.16208751999999996</v>
      </c>
      <c r="BL3" s="390">
        <f t="shared" ref="BL3:BL66" si="30">(1-((1-AX3)*(1-AY3)*(1-AZ3)))*$D3</f>
        <v>0.21443765972800002</v>
      </c>
      <c r="BM3" s="390">
        <f t="shared" ref="BM3:BM66" si="31">(1-((1-AX3)*(1-AY3)*(1-AZ3)*(1-BA3)))*$D3</f>
        <v>0.25803723627065922</v>
      </c>
      <c r="BN3" s="390">
        <f t="shared" ref="BN3:BN66" si="32">(1-((1-AX3)*(1-AY3)*(1-AZ3)*(1-BA3)*(1-BB3)))*$D3</f>
        <v>0.2955084792147265</v>
      </c>
      <c r="BO3" s="390">
        <f t="shared" ref="BO3:BO66" si="33">IF($C3=1,IF($F3&gt;=1,BJ3,1-(1-BJ3)^$F3),IF($F3&gt;=1,BP3,1-(1-BP3)^$F3))</f>
        <v>5.4936932439553221E-3</v>
      </c>
      <c r="BP3" s="390">
        <f t="shared" ref="BP3:BP66" si="34">IF($F3&lt;=1,BJ3,IF($F3&lt;=2,BK3,IF($F3&lt;=3,BL3,IF($F3&lt;=4,BM3,BN3))))</f>
        <v>9.5710000000000003E-2</v>
      </c>
      <c r="BQ3" s="347"/>
      <c r="BR3" s="448" t="s">
        <v>2743</v>
      </c>
      <c r="BS3" s="448">
        <v>0.05</v>
      </c>
      <c r="BT3" s="449"/>
      <c r="BU3" s="390">
        <f>IFERROR(AL3*$BS$2+BG3*$BS$4+Q3*$BS$3,VLOOKUP(A3,'Updated Ncino PD'!A:K,4,FALSE))</f>
        <v>2.4904469003453444E-2</v>
      </c>
      <c r="BV3" s="390">
        <f>IFERROR(AM3*$BS$2+BH3*$BS$4+R3*$BS$3,VLOOKUP(A3,'Updated Ncino PD'!A:K,5,FALSE))</f>
        <v>4.9079004555674412E-2</v>
      </c>
      <c r="BW3" s="390">
        <f>IFERROR(AN3*$BS$2+BI3*$BS$4+S3*$BS$3,VLOOKUP(A3,'Updated Ncino PD'!A:K,6,FALSE))</f>
        <v>7.2545007233825232E-2</v>
      </c>
      <c r="BX3" s="390">
        <f>IFERROR(AO3*$BS$2+BJ3*$BS$4+T3*$BS$3,VLOOKUP(A3,'Updated Ncino PD'!A:K,7,FALSE))</f>
        <v>9.5323249999999998E-2</v>
      </c>
      <c r="BY3" s="390">
        <f>IFERROR(AP3*$BS$2+BK3*$BS$4+U3*$BS$3,VLOOKUP(A3,'Updated Ncino PD'!A:K,8,FALSE))</f>
        <v>0.16137572405000003</v>
      </c>
      <c r="BZ3" s="390">
        <f>IFERROR(AQ3*$BS$2+BL3*$BS$4+V3*$BS$3,VLOOKUP(A3,'Updated Ncino PD'!A:K,9,FALSE))</f>
        <v>0.21342258866006009</v>
      </c>
      <c r="CA3" s="390">
        <f>IFERROR(AR3*$BS$2+BM3*$BS$4+W3*$BS$3,VLOOKUP(A3,'Updated Ncino PD'!A:K,10,FALSE))</f>
        <v>0.25678756675635467</v>
      </c>
      <c r="CB3" s="390">
        <f>IFERROR(AS3*$BS$2+BN3*$BS$4+X3*$BS$3,VLOOKUP(A3,'Updated Ncino PD'!A:K,11,FALSE))</f>
        <v>0.29404608978610575</v>
      </c>
      <c r="CC3" s="390">
        <f t="shared" si="1"/>
        <v>5.4704968559796674E-3</v>
      </c>
      <c r="CD3" s="390">
        <f t="shared" si="1"/>
        <v>9.5323249999999998E-2</v>
      </c>
      <c r="CF3" s="450">
        <f t="shared" ref="CF3:CJ65" si="35">$BS$2*AC3+$BS$3*H3+$BS$4*AX3</f>
        <v>0.11214499999999999</v>
      </c>
      <c r="CG3" s="450">
        <f t="shared" si="2"/>
        <v>8.7529999999999997E-2</v>
      </c>
      <c r="CH3" s="450">
        <f t="shared" si="2"/>
        <v>7.5594999999999996E-2</v>
      </c>
      <c r="CI3" s="450">
        <f t="shared" si="2"/>
        <v>6.8144999999999997E-2</v>
      </c>
      <c r="CJ3" s="450">
        <f t="shared" si="2"/>
        <v>6.2839999999999993E-2</v>
      </c>
    </row>
    <row r="4" spans="1:88" s="355" customFormat="1" hidden="1" x14ac:dyDescent="0.25">
      <c r="A4" s="400">
        <v>1100000199</v>
      </c>
      <c r="B4" s="455" t="str">
        <f>VLOOKUP(A4,'Loan Book Summary'!C:G,5,FALSE)</f>
        <v>00158000013gcxO</v>
      </c>
      <c r="C4" s="167">
        <f>VLOOKUP(A4,'Ref-Data'!$A:$I,9,0)</f>
        <v>1</v>
      </c>
      <c r="D4" s="445">
        <f>VLOOKUP(A4,'Adjustment Factor'!A:C,3,0)</f>
        <v>0.87</v>
      </c>
      <c r="E4" s="446">
        <f>VLOOKUP(A4,'Ref-Data'!A:C,2,FALSE)</f>
        <v>552635</v>
      </c>
      <c r="F4" s="445">
        <f>VLOOKUP(A4,'Ref-Data'!$A:$F,6,FALSE)</f>
        <v>0.67351129363449691</v>
      </c>
      <c r="G4" s="346"/>
      <c r="H4" s="273">
        <f>VLOOKUP($B4, 'Output 96% Downside'!$A:$CW,42,FALSE)</f>
        <v>1.2500000000000001E-2</v>
      </c>
      <c r="I4" s="273">
        <f>VLOOKUP($B4, 'Output 96% Downside'!$A:$CW,43,FALSE)</f>
        <v>1.2800000000000001E-2</v>
      </c>
      <c r="J4" s="273">
        <f>VLOOKUP($B4, 'Output 96% Downside'!$A:$CW,44,FALSE)</f>
        <v>1.2999999999999999E-2</v>
      </c>
      <c r="K4" s="273">
        <f>VLOOKUP($B4, 'Output 96% Downside'!$A:$CW,45,FALSE)</f>
        <v>1.32E-2</v>
      </c>
      <c r="L4" s="273">
        <f>VLOOKUP($B4, 'Output 96% Downside'!$A:$CW,46,FALSE)</f>
        <v>1.3299999999999999E-2</v>
      </c>
      <c r="M4" s="447">
        <f t="shared" si="0"/>
        <v>3.1397561756264514E-3</v>
      </c>
      <c r="N4" s="447">
        <f t="shared" si="3"/>
        <v>6.2696542824105528E-3</v>
      </c>
      <c r="O4" s="447">
        <f t="shared" si="4"/>
        <v>9.3897252722847657E-3</v>
      </c>
      <c r="P4" s="346"/>
      <c r="Q4" s="390">
        <f t="shared" si="5"/>
        <v>2.7315878727950126E-3</v>
      </c>
      <c r="R4" s="390">
        <f t="shared" si="5"/>
        <v>5.4545992256971806E-3</v>
      </c>
      <c r="S4" s="390">
        <f t="shared" si="5"/>
        <v>8.1690609868877457E-3</v>
      </c>
      <c r="T4" s="390">
        <f t="shared" si="6"/>
        <v>1.0875000000000001E-2</v>
      </c>
      <c r="U4" s="390">
        <f t="shared" si="7"/>
        <v>2.1871799999999948E-2</v>
      </c>
      <c r="V4" s="390">
        <f t="shared" si="8"/>
        <v>3.2897466600000001E-2</v>
      </c>
      <c r="W4" s="390">
        <f t="shared" si="9"/>
        <v>4.3947220040880003E-2</v>
      </c>
      <c r="X4" s="390">
        <f t="shared" si="10"/>
        <v>5.4933722014336245E-2</v>
      </c>
      <c r="Y4" s="390">
        <f t="shared" si="11"/>
        <v>7.3375011822359726E-3</v>
      </c>
      <c r="Z4" s="390">
        <f t="shared" si="12"/>
        <v>1.0875000000000001E-2</v>
      </c>
      <c r="AC4" s="273">
        <f>VLOOKUP($B4, 'Output Baseline'!$A:$CW,42,FALSE)</f>
        <v>6.7000000000000002E-3</v>
      </c>
      <c r="AD4" s="273">
        <f>VLOOKUP($B4, 'Output Baseline'!$A:$CW,43,FALSE)</f>
        <v>7.4999999999999997E-3</v>
      </c>
      <c r="AE4" s="273">
        <f>VLOOKUP($B4, 'Output Baseline'!$A:$CW,44,FALSE)</f>
        <v>8.0000000000000002E-3</v>
      </c>
      <c r="AF4" s="273">
        <f>VLOOKUP($B4, 'Output Baseline'!$A:$CW,45,FALSE)</f>
        <v>8.3999999999999995E-3</v>
      </c>
      <c r="AG4" s="273">
        <f>VLOOKUP($B4, 'Output Baseline'!$A:$CW,46,FALSE)</f>
        <v>8.6999999999999994E-3</v>
      </c>
      <c r="AH4" s="447">
        <f t="shared" si="13"/>
        <v>1.6792249616227606E-3</v>
      </c>
      <c r="AI4" s="447">
        <f t="shared" si="14"/>
        <v>3.3556301267737565E-3</v>
      </c>
      <c r="AJ4" s="447">
        <f t="shared" si="15"/>
        <v>5.029220230525655E-3</v>
      </c>
      <c r="AK4" s="346"/>
      <c r="AL4" s="390">
        <f t="shared" si="16"/>
        <v>1.4609257166118017E-3</v>
      </c>
      <c r="AM4" s="390">
        <f t="shared" si="16"/>
        <v>2.919398210293168E-3</v>
      </c>
      <c r="AN4" s="390">
        <f t="shared" si="16"/>
        <v>4.37542160055732E-3</v>
      </c>
      <c r="AO4" s="390">
        <f t="shared" si="17"/>
        <v>5.829E-3</v>
      </c>
      <c r="AP4" s="390">
        <f t="shared" si="18"/>
        <v>1.2310282499999966E-2</v>
      </c>
      <c r="AQ4" s="390">
        <f t="shared" si="19"/>
        <v>1.9171800239999988E-2</v>
      </c>
      <c r="AR4" s="390">
        <f t="shared" si="20"/>
        <v>2.6318757117983982E-2</v>
      </c>
      <c r="AS4" s="390">
        <f t="shared" si="21"/>
        <v>3.3658783931057569E-2</v>
      </c>
      <c r="AT4" s="390">
        <f t="shared" si="22"/>
        <v>3.9296426844633858E-3</v>
      </c>
      <c r="AU4" s="390">
        <f t="shared" si="23"/>
        <v>5.829E-3</v>
      </c>
      <c r="AX4" s="273">
        <f>VLOOKUP($B4, 'Output 90% Downside'!$A:$CW,42,FALSE)</f>
        <v>8.3000000000000001E-3</v>
      </c>
      <c r="AY4" s="273">
        <f>VLOOKUP($B4, 'Output 90% Downside'!$A:$CW,43,FALSE)</f>
        <v>9.1000000000000004E-3</v>
      </c>
      <c r="AZ4" s="273">
        <f>VLOOKUP($B4, 'Output 90% Downside'!$A:$CW,44,FALSE)</f>
        <v>9.5999999999999992E-3</v>
      </c>
      <c r="BA4" s="273">
        <f>VLOOKUP($B4, 'Output 90% Downside'!$A:$CW,45,FALSE)</f>
        <v>0.01</v>
      </c>
      <c r="BB4" s="273">
        <f>VLOOKUP($B4, 'Output 90% Downside'!$A:$CW,46,FALSE)</f>
        <v>1.0200000000000001E-2</v>
      </c>
      <c r="BC4" s="447">
        <f t="shared" si="24"/>
        <v>2.0814898866517995E-3</v>
      </c>
      <c r="BD4" s="447">
        <f t="shared" si="25"/>
        <v>4.1586471731553942E-3</v>
      </c>
      <c r="BE4" s="447">
        <f t="shared" si="26"/>
        <v>6.2314808777741426E-3</v>
      </c>
      <c r="BF4" s="346"/>
      <c r="BG4" s="390">
        <f t="shared" si="27"/>
        <v>1.8108962013870654E-3</v>
      </c>
      <c r="BH4" s="390">
        <f t="shared" si="27"/>
        <v>3.6180230406451931E-3</v>
      </c>
      <c r="BI4" s="390">
        <f t="shared" si="27"/>
        <v>5.4213883636635039E-3</v>
      </c>
      <c r="BJ4" s="390">
        <f t="shared" si="28"/>
        <v>7.221E-3</v>
      </c>
      <c r="BK4" s="390">
        <f t="shared" si="29"/>
        <v>1.5072288899999935E-2</v>
      </c>
      <c r="BL4" s="390">
        <f t="shared" si="30"/>
        <v>2.3279594926559954E-2</v>
      </c>
      <c r="BM4" s="390">
        <f t="shared" si="31"/>
        <v>3.1746798977294342E-2</v>
      </c>
      <c r="BN4" s="390">
        <f t="shared" si="32"/>
        <v>4.0296981627725915E-2</v>
      </c>
      <c r="BO4" s="390">
        <f t="shared" si="33"/>
        <v>4.869176377595319E-3</v>
      </c>
      <c r="BP4" s="390">
        <f t="shared" si="34"/>
        <v>7.221E-3</v>
      </c>
      <c r="BQ4" s="347"/>
      <c r="BR4" s="448" t="s">
        <v>2744</v>
      </c>
      <c r="BS4" s="448">
        <v>0.35</v>
      </c>
      <c r="BT4" s="449"/>
      <c r="BU4" s="390">
        <f>IFERROR(AL4*$BS$2+BG4*$BS$4+Q4*$BS$3,VLOOKUP(A4,'Updated Ncino PD'!A:K,4,FALSE))</f>
        <v>1.6469484940923045E-3</v>
      </c>
      <c r="BV4" s="390">
        <f>IFERROR(AM4*$BS$2+BH4*$BS$4+R4*$BS$3,VLOOKUP(A4,'Updated Ncino PD'!A:K,5,FALSE))</f>
        <v>3.2906769516865774E-3</v>
      </c>
      <c r="BW4" s="390">
        <f>IFERROR(AN4*$BS$2+BI4*$BS$4+S4*$BS$3,VLOOKUP(A4,'Updated Ncino PD'!A:K,6,FALSE))</f>
        <v>4.9311919369610059E-3</v>
      </c>
      <c r="BX4" s="390">
        <f>IFERROR(AO4*$BS$2+BJ4*$BS$4+T4*$BS$3,VLOOKUP(A4,'Updated Ncino PD'!A:K,7,FALSE))</f>
        <v>6.5684999999999997E-3</v>
      </c>
      <c r="BY4" s="390">
        <f>IFERROR(AP4*$BS$2+BK4*$BS$4+U4*$BS$3,VLOOKUP(A4,'Updated Ncino PD'!A:K,8,FALSE))</f>
        <v>1.3755060614999952E-2</v>
      </c>
      <c r="BZ4" s="390">
        <f>IFERROR(AQ4*$BS$2+BL4*$BS$4+V4*$BS$3,VLOOKUP(A4,'Updated Ncino PD'!A:K,9,FALSE))</f>
        <v>2.1295811698295978E-2</v>
      </c>
      <c r="CA4" s="390">
        <f>IFERROR(AR4*$BS$2+BM4*$BS$4+W4*$BS$3,VLOOKUP(A4,'Updated Ncino PD'!A:K,10,FALSE))</f>
        <v>2.9099994914887406E-2</v>
      </c>
      <c r="CB4" s="390">
        <f>IFERROR(AS4*$BS$2+BN4*$BS$4+X4*$BS$3,VLOOKUP(A4,'Updated Ncino PD'!A:K,11,FALSE))</f>
        <v>3.7045900029055424E-2</v>
      </c>
      <c r="CC4" s="390">
        <f t="shared" si="1"/>
        <v>4.4288724019481912E-3</v>
      </c>
      <c r="CD4" s="390">
        <f t="shared" si="1"/>
        <v>6.5684999999999997E-3</v>
      </c>
      <c r="CF4" s="450">
        <f t="shared" si="35"/>
        <v>7.5499999999999994E-3</v>
      </c>
      <c r="CG4" s="450">
        <f t="shared" si="2"/>
        <v>8.3249999999999991E-3</v>
      </c>
      <c r="CH4" s="450">
        <f t="shared" si="2"/>
        <v>8.8100000000000001E-3</v>
      </c>
      <c r="CI4" s="450">
        <f t="shared" si="2"/>
        <v>9.1999999999999998E-3</v>
      </c>
      <c r="CJ4" s="450">
        <f t="shared" si="2"/>
        <v>9.4549999999999999E-3</v>
      </c>
    </row>
    <row r="5" spans="1:88" s="355" customFormat="1" hidden="1" x14ac:dyDescent="0.25">
      <c r="A5" s="400">
        <v>1100000198</v>
      </c>
      <c r="B5" s="455" t="str">
        <f>VLOOKUP(A5,'Loan Book Summary'!C:G,5,FALSE)</f>
        <v>00158000013gcxO</v>
      </c>
      <c r="C5" s="167">
        <f>VLOOKUP(A5,'Ref-Data'!$A:$I,9,0)</f>
        <v>1</v>
      </c>
      <c r="D5" s="445">
        <f>VLOOKUP(A5,'Adjustment Factor'!A:C,3,0)</f>
        <v>0.87</v>
      </c>
      <c r="E5" s="446">
        <f>VLOOKUP(A5,'Ref-Data'!A:C,2,FALSE)</f>
        <v>750000</v>
      </c>
      <c r="F5" s="445">
        <f>VLOOKUP(A5,'Ref-Data'!$A:$F,6,FALSE)</f>
        <v>0.67351129363449691</v>
      </c>
      <c r="G5" s="346"/>
      <c r="H5" s="273">
        <f>VLOOKUP($B5, 'Output 96% Downside'!$A:$CW,42,FALSE)</f>
        <v>1.2500000000000001E-2</v>
      </c>
      <c r="I5" s="273">
        <f>VLOOKUP($B5, 'Output 96% Downside'!$A:$CW,43,FALSE)</f>
        <v>1.2800000000000001E-2</v>
      </c>
      <c r="J5" s="273">
        <f>VLOOKUP($B5, 'Output 96% Downside'!$A:$CW,44,FALSE)</f>
        <v>1.2999999999999999E-2</v>
      </c>
      <c r="K5" s="273">
        <f>VLOOKUP($B5, 'Output 96% Downside'!$A:$CW,45,FALSE)</f>
        <v>1.32E-2</v>
      </c>
      <c r="L5" s="273">
        <f>VLOOKUP($B5, 'Output 96% Downside'!$A:$CW,46,FALSE)</f>
        <v>1.3299999999999999E-2</v>
      </c>
      <c r="M5" s="447">
        <f t="shared" si="0"/>
        <v>3.1397561756264514E-3</v>
      </c>
      <c r="N5" s="447">
        <f t="shared" si="3"/>
        <v>6.2696542824105528E-3</v>
      </c>
      <c r="O5" s="447">
        <f t="shared" si="4"/>
        <v>9.3897252722847657E-3</v>
      </c>
      <c r="P5" s="346"/>
      <c r="Q5" s="390">
        <f t="shared" si="5"/>
        <v>2.7315878727950126E-3</v>
      </c>
      <c r="R5" s="390">
        <f t="shared" si="5"/>
        <v>5.4545992256971806E-3</v>
      </c>
      <c r="S5" s="390">
        <f t="shared" si="5"/>
        <v>8.1690609868877457E-3</v>
      </c>
      <c r="T5" s="390">
        <f t="shared" si="6"/>
        <v>1.0875000000000001E-2</v>
      </c>
      <c r="U5" s="390">
        <f t="shared" si="7"/>
        <v>2.1871799999999948E-2</v>
      </c>
      <c r="V5" s="390">
        <f t="shared" si="8"/>
        <v>3.2897466600000001E-2</v>
      </c>
      <c r="W5" s="390">
        <f t="shared" si="9"/>
        <v>4.3947220040880003E-2</v>
      </c>
      <c r="X5" s="390">
        <f t="shared" si="10"/>
        <v>5.4933722014336245E-2</v>
      </c>
      <c r="Y5" s="390">
        <f t="shared" si="11"/>
        <v>7.3375011822359726E-3</v>
      </c>
      <c r="Z5" s="390">
        <f t="shared" si="12"/>
        <v>1.0875000000000001E-2</v>
      </c>
      <c r="AC5" s="273">
        <f>VLOOKUP($B5, 'Output Baseline'!$A:$CW,42,FALSE)</f>
        <v>6.7000000000000002E-3</v>
      </c>
      <c r="AD5" s="273">
        <f>VLOOKUP($B5, 'Output Baseline'!$A:$CW,43,FALSE)</f>
        <v>7.4999999999999997E-3</v>
      </c>
      <c r="AE5" s="273">
        <f>VLOOKUP($B5, 'Output Baseline'!$A:$CW,44,FALSE)</f>
        <v>8.0000000000000002E-3</v>
      </c>
      <c r="AF5" s="273">
        <f>VLOOKUP($B5, 'Output Baseline'!$A:$CW,45,FALSE)</f>
        <v>8.3999999999999995E-3</v>
      </c>
      <c r="AG5" s="273">
        <f>VLOOKUP($B5, 'Output Baseline'!$A:$CW,46,FALSE)</f>
        <v>8.6999999999999994E-3</v>
      </c>
      <c r="AH5" s="447">
        <f t="shared" si="13"/>
        <v>1.6792249616227606E-3</v>
      </c>
      <c r="AI5" s="447">
        <f t="shared" si="14"/>
        <v>3.3556301267737565E-3</v>
      </c>
      <c r="AJ5" s="447">
        <f t="shared" si="15"/>
        <v>5.029220230525655E-3</v>
      </c>
      <c r="AK5" s="346"/>
      <c r="AL5" s="390">
        <f t="shared" si="16"/>
        <v>1.4609257166118017E-3</v>
      </c>
      <c r="AM5" s="390">
        <f t="shared" si="16"/>
        <v>2.919398210293168E-3</v>
      </c>
      <c r="AN5" s="390">
        <f t="shared" si="16"/>
        <v>4.37542160055732E-3</v>
      </c>
      <c r="AO5" s="390">
        <f t="shared" si="17"/>
        <v>5.829E-3</v>
      </c>
      <c r="AP5" s="390">
        <f t="shared" si="18"/>
        <v>1.2310282499999966E-2</v>
      </c>
      <c r="AQ5" s="390">
        <f t="shared" si="19"/>
        <v>1.9171800239999988E-2</v>
      </c>
      <c r="AR5" s="390">
        <f t="shared" si="20"/>
        <v>2.6318757117983982E-2</v>
      </c>
      <c r="AS5" s="390">
        <f t="shared" si="21"/>
        <v>3.3658783931057569E-2</v>
      </c>
      <c r="AT5" s="390">
        <f t="shared" si="22"/>
        <v>3.9296426844633858E-3</v>
      </c>
      <c r="AU5" s="390">
        <f t="shared" si="23"/>
        <v>5.829E-3</v>
      </c>
      <c r="AX5" s="273">
        <f>VLOOKUP($B5, 'Output 90% Downside'!$A:$CW,42,FALSE)</f>
        <v>8.3000000000000001E-3</v>
      </c>
      <c r="AY5" s="273">
        <f>VLOOKUP($B5, 'Output 90% Downside'!$A:$CW,43,FALSE)</f>
        <v>9.1000000000000004E-3</v>
      </c>
      <c r="AZ5" s="273">
        <f>VLOOKUP($B5, 'Output 90% Downside'!$A:$CW,44,FALSE)</f>
        <v>9.5999999999999992E-3</v>
      </c>
      <c r="BA5" s="273">
        <f>VLOOKUP($B5, 'Output 90% Downside'!$A:$CW,45,FALSE)</f>
        <v>0.01</v>
      </c>
      <c r="BB5" s="273">
        <f>VLOOKUP($B5, 'Output 90% Downside'!$A:$CW,46,FALSE)</f>
        <v>1.0200000000000001E-2</v>
      </c>
      <c r="BC5" s="447">
        <f t="shared" si="24"/>
        <v>2.0814898866517995E-3</v>
      </c>
      <c r="BD5" s="447">
        <f t="shared" si="25"/>
        <v>4.1586471731553942E-3</v>
      </c>
      <c r="BE5" s="447">
        <f t="shared" si="26"/>
        <v>6.2314808777741426E-3</v>
      </c>
      <c r="BF5" s="346"/>
      <c r="BG5" s="390">
        <f t="shared" si="27"/>
        <v>1.8108962013870654E-3</v>
      </c>
      <c r="BH5" s="390">
        <f t="shared" si="27"/>
        <v>3.6180230406451931E-3</v>
      </c>
      <c r="BI5" s="390">
        <f t="shared" si="27"/>
        <v>5.4213883636635039E-3</v>
      </c>
      <c r="BJ5" s="390">
        <f t="shared" si="28"/>
        <v>7.221E-3</v>
      </c>
      <c r="BK5" s="390">
        <f t="shared" si="29"/>
        <v>1.5072288899999935E-2</v>
      </c>
      <c r="BL5" s="390">
        <f t="shared" si="30"/>
        <v>2.3279594926559954E-2</v>
      </c>
      <c r="BM5" s="390">
        <f t="shared" si="31"/>
        <v>3.1746798977294342E-2</v>
      </c>
      <c r="BN5" s="390">
        <f t="shared" si="32"/>
        <v>4.0296981627725915E-2</v>
      </c>
      <c r="BO5" s="390">
        <f t="shared" si="33"/>
        <v>4.869176377595319E-3</v>
      </c>
      <c r="BP5" s="390">
        <f t="shared" si="34"/>
        <v>7.221E-3</v>
      </c>
      <c r="BQ5" s="347"/>
      <c r="BU5" s="390">
        <f>IFERROR(AL5*$BS$2+BG5*$BS$4+Q5*$BS$3,VLOOKUP(A5,'Updated Ncino PD'!A:K,4,FALSE))</f>
        <v>1.6469484940923045E-3</v>
      </c>
      <c r="BV5" s="390">
        <f>IFERROR(AM5*$BS$2+BH5*$BS$4+R5*$BS$3,VLOOKUP(A5,'Updated Ncino PD'!A:K,5,FALSE))</f>
        <v>3.2906769516865774E-3</v>
      </c>
      <c r="BW5" s="390">
        <f>IFERROR(AN5*$BS$2+BI5*$BS$4+S5*$BS$3,VLOOKUP(A5,'Updated Ncino PD'!A:K,6,FALSE))</f>
        <v>4.9311919369610059E-3</v>
      </c>
      <c r="BX5" s="390">
        <f>IFERROR(AO5*$BS$2+BJ5*$BS$4+T5*$BS$3,VLOOKUP(A5,'Updated Ncino PD'!A:K,7,FALSE))</f>
        <v>6.5684999999999997E-3</v>
      </c>
      <c r="BY5" s="390">
        <f>IFERROR(AP5*$BS$2+BK5*$BS$4+U5*$BS$3,VLOOKUP(A5,'Updated Ncino PD'!A:K,8,FALSE))</f>
        <v>1.3755060614999952E-2</v>
      </c>
      <c r="BZ5" s="390">
        <f>IFERROR(AQ5*$BS$2+BL5*$BS$4+V5*$BS$3,VLOOKUP(A5,'Updated Ncino PD'!A:K,9,FALSE))</f>
        <v>2.1295811698295978E-2</v>
      </c>
      <c r="CA5" s="390">
        <f>IFERROR(AR5*$BS$2+BM5*$BS$4+W5*$BS$3,VLOOKUP(A5,'Updated Ncino PD'!A:K,10,FALSE))</f>
        <v>2.9099994914887406E-2</v>
      </c>
      <c r="CB5" s="390">
        <f>IFERROR(AS5*$BS$2+BN5*$BS$4+X5*$BS$3,VLOOKUP(A5,'Updated Ncino PD'!A:K,11,FALSE))</f>
        <v>3.7045900029055424E-2</v>
      </c>
      <c r="CC5" s="390">
        <f t="shared" si="1"/>
        <v>4.4288724019481912E-3</v>
      </c>
      <c r="CD5" s="390">
        <f t="shared" si="1"/>
        <v>6.5684999999999997E-3</v>
      </c>
      <c r="CF5" s="450">
        <f t="shared" si="35"/>
        <v>7.5499999999999994E-3</v>
      </c>
      <c r="CG5" s="450">
        <f t="shared" si="2"/>
        <v>8.3249999999999991E-3</v>
      </c>
      <c r="CH5" s="450">
        <f t="shared" si="2"/>
        <v>8.8100000000000001E-3</v>
      </c>
      <c r="CI5" s="450">
        <f t="shared" si="2"/>
        <v>9.1999999999999998E-3</v>
      </c>
      <c r="CJ5" s="450">
        <f t="shared" si="2"/>
        <v>9.4549999999999999E-3</v>
      </c>
    </row>
    <row r="6" spans="1:88" s="355" customFormat="1" hidden="1" x14ac:dyDescent="0.25">
      <c r="A6" s="400">
        <v>1100000205</v>
      </c>
      <c r="B6" s="455" t="str">
        <f>VLOOKUP(A6,'Loan Book Summary'!C:G,5,FALSE)</f>
        <v>0015800000dRt2K</v>
      </c>
      <c r="C6" s="167">
        <f>VLOOKUP(A6,'Ref-Data'!$A:$I,9,0)</f>
        <v>1</v>
      </c>
      <c r="D6" s="445">
        <f>VLOOKUP(A6,'Adjustment Factor'!A:C,3,0)</f>
        <v>0.66190383661082652</v>
      </c>
      <c r="E6" s="446">
        <f>VLOOKUP(A6,'Ref-Data'!A:C,2,FALSE)</f>
        <v>2016664.01</v>
      </c>
      <c r="F6" s="445">
        <f>VLOOKUP(A6,'Ref-Data'!$A:$F,6,FALSE)</f>
        <v>1.2046543463381245</v>
      </c>
      <c r="G6" s="346"/>
      <c r="H6" s="273">
        <f>VLOOKUP($B6, 'Output 96% Downside'!$A:$CW,42,FALSE)</f>
        <v>2.3E-2</v>
      </c>
      <c r="I6" s="273">
        <f>VLOOKUP($B6, 'Output 96% Downside'!$A:$CW,43,FALSE)</f>
        <v>2.0199999999999999E-2</v>
      </c>
      <c r="J6" s="273">
        <f>VLOOKUP($B6, 'Output 96% Downside'!$A:$CW,44,FALSE)</f>
        <v>1.8800000000000001E-2</v>
      </c>
      <c r="K6" s="273">
        <f>VLOOKUP($B6, 'Output 96% Downside'!$A:$CW,45,FALSE)</f>
        <v>1.78E-2</v>
      </c>
      <c r="L6" s="273">
        <f>VLOOKUP($B6, 'Output 96% Downside'!$A:$CW,46,FALSE)</f>
        <v>1.7100000000000001E-2</v>
      </c>
      <c r="M6" s="447">
        <f t="shared" si="0"/>
        <v>5.8002698390401397E-3</v>
      </c>
      <c r="N6" s="447">
        <f t="shared" si="3"/>
        <v>1.1566896547874572E-2</v>
      </c>
      <c r="O6" s="447">
        <f t="shared" si="4"/>
        <v>1.7300075265736736E-2</v>
      </c>
      <c r="P6" s="346"/>
      <c r="Q6" s="390">
        <f t="shared" si="5"/>
        <v>3.8392208598387297E-3</v>
      </c>
      <c r="R6" s="390">
        <f t="shared" si="5"/>
        <v>7.6561732027187043E-3</v>
      </c>
      <c r="S6" s="390">
        <f t="shared" si="5"/>
        <v>1.145098619204721E-2</v>
      </c>
      <c r="T6" s="390">
        <f t="shared" si="6"/>
        <v>1.522378824204901E-2</v>
      </c>
      <c r="U6" s="390">
        <f t="shared" si="7"/>
        <v>2.8286725219098301E-2</v>
      </c>
      <c r="V6" s="390">
        <f t="shared" si="8"/>
        <v>4.019872691326281E-2</v>
      </c>
      <c r="W6" s="390">
        <f t="shared" si="9"/>
        <v>5.1265077865879444E-2</v>
      </c>
      <c r="X6" s="390">
        <f t="shared" si="10"/>
        <v>6.1707000640418057E-2</v>
      </c>
      <c r="Y6" s="390">
        <f t="shared" si="11"/>
        <v>1.522378824204901E-2</v>
      </c>
      <c r="Z6" s="390">
        <f t="shared" si="12"/>
        <v>2.8286725219098301E-2</v>
      </c>
      <c r="AC6" s="273">
        <f>VLOOKUP($B6, 'Output Baseline'!$A:$CW,42,FALSE)</f>
        <v>1.2E-2</v>
      </c>
      <c r="AD6" s="273">
        <f>VLOOKUP($B6, 'Output Baseline'!$A:$CW,43,FALSE)</f>
        <v>1.18E-2</v>
      </c>
      <c r="AE6" s="273">
        <f>VLOOKUP($B6, 'Output Baseline'!$A:$CW,44,FALSE)</f>
        <v>1.17E-2</v>
      </c>
      <c r="AF6" s="273">
        <f>VLOOKUP($B6, 'Output Baseline'!$A:$CW,45,FALSE)</f>
        <v>1.1599999999999999E-2</v>
      </c>
      <c r="AG6" s="273">
        <f>VLOOKUP($B6, 'Output Baseline'!$A:$CW,46,FALSE)</f>
        <v>1.1599999999999999E-2</v>
      </c>
      <c r="AH6" s="447">
        <f t="shared" si="13"/>
        <v>3.0135952867089699E-3</v>
      </c>
      <c r="AI6" s="447">
        <f t="shared" si="14"/>
        <v>6.0181088168658192E-3</v>
      </c>
      <c r="AJ6" s="447">
        <f t="shared" si="15"/>
        <v>9.0135679592093787E-3</v>
      </c>
      <c r="AK6" s="346"/>
      <c r="AL6" s="390">
        <f t="shared" si="16"/>
        <v>1.9947102822649707E-3</v>
      </c>
      <c r="AM6" s="390">
        <f t="shared" si="16"/>
        <v>3.9834093150249274E-3</v>
      </c>
      <c r="AN6" s="390">
        <f t="shared" si="16"/>
        <v>5.9661152137531056E-3</v>
      </c>
      <c r="AO6" s="390">
        <f t="shared" si="17"/>
        <v>7.9428460393299177E-3</v>
      </c>
      <c r="AP6" s="390">
        <f t="shared" si="18"/>
        <v>1.5659585728073629E-2</v>
      </c>
      <c r="AQ6" s="390">
        <f t="shared" si="19"/>
        <v>2.3220643463401858E-2</v>
      </c>
      <c r="AR6" s="390">
        <f t="shared" si="20"/>
        <v>3.0629368503911986E-2</v>
      </c>
      <c r="AS6" s="390">
        <f t="shared" si="21"/>
        <v>3.7952152333952244E-2</v>
      </c>
      <c r="AT6" s="390">
        <f t="shared" si="22"/>
        <v>7.9428460393299177E-3</v>
      </c>
      <c r="AU6" s="390">
        <f t="shared" si="23"/>
        <v>1.5659585728073629E-2</v>
      </c>
      <c r="AX6" s="273">
        <f>VLOOKUP($B6, 'Output 90% Downside'!$A:$CW,42,FALSE)</f>
        <v>1.4999999999999999E-2</v>
      </c>
      <c r="AY6" s="273">
        <f>VLOOKUP($B6, 'Output 90% Downside'!$A:$CW,43,FALSE)</f>
        <v>1.43E-2</v>
      </c>
      <c r="AZ6" s="273">
        <f>VLOOKUP($B6, 'Output 90% Downside'!$A:$CW,44,FALSE)</f>
        <v>1.4E-2</v>
      </c>
      <c r="BA6" s="273">
        <f>VLOOKUP($B6, 'Output 90% Downside'!$A:$CW,45,FALSE)</f>
        <v>1.37E-2</v>
      </c>
      <c r="BB6" s="273">
        <f>VLOOKUP($B6, 'Output 90% Downside'!$A:$CW,46,FALSE)</f>
        <v>1.35E-2</v>
      </c>
      <c r="BC6" s="447">
        <f t="shared" si="24"/>
        <v>3.7712802453643279E-3</v>
      </c>
      <c r="BD6" s="447">
        <f t="shared" si="25"/>
        <v>7.5283379360395752E-3</v>
      </c>
      <c r="BE6" s="447">
        <f t="shared" si="26"/>
        <v>1.1271226709265281E-2</v>
      </c>
      <c r="BF6" s="346"/>
      <c r="BG6" s="390">
        <f t="shared" si="27"/>
        <v>2.4962248633412678E-3</v>
      </c>
      <c r="BH6" s="390">
        <f t="shared" si="27"/>
        <v>4.9830357631674262E-3</v>
      </c>
      <c r="BI6" s="390">
        <f t="shared" si="27"/>
        <v>7.4604682021731103E-3</v>
      </c>
      <c r="BJ6" s="390">
        <f t="shared" si="28"/>
        <v>9.9285575491623972E-3</v>
      </c>
      <c r="BK6" s="390">
        <f t="shared" si="29"/>
        <v>1.9251804039744184E-2</v>
      </c>
      <c r="BL6" s="390">
        <f t="shared" si="30"/>
        <v>2.8248932495739329E-2</v>
      </c>
      <c r="BM6" s="390">
        <f t="shared" si="31"/>
        <v>3.6930004682116081E-2</v>
      </c>
      <c r="BN6" s="390">
        <f t="shared" si="32"/>
        <v>4.5367151413153659E-2</v>
      </c>
      <c r="BO6" s="390">
        <f t="shared" si="33"/>
        <v>9.9285575491623972E-3</v>
      </c>
      <c r="BP6" s="390">
        <f t="shared" si="34"/>
        <v>1.9251804039744184E-2</v>
      </c>
      <c r="BQ6" s="347"/>
      <c r="BU6" s="390">
        <f>IFERROR(AL6*$BS$2+BG6*$BS$4+Q6*$BS$3,VLOOKUP(A6,'Updated Ncino PD'!A:K,4,FALSE))</f>
        <v>2.2624659145203626E-3</v>
      </c>
      <c r="BV6" s="390">
        <f>IFERROR(AM6*$BS$2+BH6*$BS$4+R6*$BS$3,VLOOKUP(A6,'Updated Ncino PD'!A:K,5,FALSE))</f>
        <v>4.5169167662594909E-3</v>
      </c>
      <c r="BW6" s="390">
        <f>IFERROR(AN6*$BS$2+BI6*$BS$4+S6*$BS$3,VLOOKUP(A6,'Updated Ncino PD'!A:K,6,FALSE))</f>
        <v>6.7633823086148117E-3</v>
      </c>
      <c r="BX6" s="390">
        <f>IFERROR(AO6*$BS$2+BJ6*$BS$4+T6*$BS$3,VLOOKUP(A6,'Updated Ncino PD'!A:K,7,FALSE))</f>
        <v>9.0018921779072385E-3</v>
      </c>
      <c r="BY6" s="390">
        <f>IFERROR(AP6*$BS$2+BK6*$BS$4+U6*$BS$3,VLOOKUP(A6,'Updated Ncino PD'!A:K,8,FALSE))</f>
        <v>1.7548219111709559E-2</v>
      </c>
      <c r="BZ6" s="390">
        <f>IFERROR(AQ6*$BS$2+BL6*$BS$4+V6*$BS$3,VLOOKUP(A6,'Updated Ncino PD'!A:K,9,FALSE))</f>
        <v>2.5829448797213023E-2</v>
      </c>
      <c r="CA6" s="390">
        <f>IFERROR(AR6*$BS$2+BM6*$BS$4+W6*$BS$3,VLOOKUP(A6,'Updated Ncino PD'!A:K,10,FALSE))</f>
        <v>3.3866376634381794E-2</v>
      </c>
      <c r="CB6" s="390">
        <f>IFERROR(AS6*$BS$2+BN6*$BS$4+X6*$BS$3,VLOOKUP(A6,'Updated Ncino PD'!A:K,11,FALSE))</f>
        <v>4.1735144426996024E-2</v>
      </c>
      <c r="CC6" s="390">
        <f t="shared" si="1"/>
        <v>9.0018921779072385E-3</v>
      </c>
      <c r="CD6" s="390">
        <f t="shared" si="1"/>
        <v>1.7548219111709559E-2</v>
      </c>
      <c r="CF6" s="450">
        <f t="shared" si="35"/>
        <v>1.3599999999999999E-2</v>
      </c>
      <c r="CG6" s="450">
        <f t="shared" si="2"/>
        <v>1.3094999999999999E-2</v>
      </c>
      <c r="CH6" s="450">
        <f t="shared" si="2"/>
        <v>1.286E-2</v>
      </c>
      <c r="CI6" s="450">
        <f t="shared" si="2"/>
        <v>1.2645E-2</v>
      </c>
      <c r="CJ6" s="450">
        <f t="shared" si="2"/>
        <v>1.2539999999999999E-2</v>
      </c>
    </row>
    <row r="7" spans="1:88" s="355" customFormat="1" hidden="1" x14ac:dyDescent="0.25">
      <c r="A7" s="400">
        <v>1100000168</v>
      </c>
      <c r="B7" s="455" t="str">
        <f>VLOOKUP(A7,'Loan Book Summary'!C:G,5,FALSE)</f>
        <v>0015800001Eo5rw</v>
      </c>
      <c r="C7" s="167">
        <f>VLOOKUP(A7,'Ref-Data'!$A:$I,9,0)</f>
        <v>1</v>
      </c>
      <c r="D7" s="445">
        <f>VLOOKUP(A7,'Adjustment Factor'!A:C,3,0)</f>
        <v>0.71935355830559344</v>
      </c>
      <c r="E7" s="446">
        <f>VLOOKUP(A7,'Ref-Data'!A:C,2,FALSE)</f>
        <v>6474308</v>
      </c>
      <c r="F7" s="445">
        <f>VLOOKUP(A7,'Ref-Data'!$A:$F,6,FALSE)</f>
        <v>2.9158110882956878</v>
      </c>
      <c r="G7" s="346"/>
      <c r="H7" s="273">
        <f>VLOOKUP($B7, 'Output 96% Downside'!$A:$CW,42,FALSE)</f>
        <v>0.10349999999999999</v>
      </c>
      <c r="I7" s="273">
        <f>VLOOKUP($B7, 'Output 96% Downside'!$A:$CW,43,FALSE)</f>
        <v>7.6200000000000004E-2</v>
      </c>
      <c r="J7" s="273">
        <f>VLOOKUP($B7, 'Output 96% Downside'!$A:$CW,44,FALSE)</f>
        <v>6.3600000000000004E-2</v>
      </c>
      <c r="K7" s="273">
        <f>VLOOKUP($B7, 'Output 96% Downside'!$A:$CW,45,FALSE)</f>
        <v>5.5899999999999998E-2</v>
      </c>
      <c r="L7" s="273">
        <f>VLOOKUP($B7, 'Output 96% Downside'!$A:$CW,46,FALSE)</f>
        <v>5.0500000000000003E-2</v>
      </c>
      <c r="M7" s="447">
        <f t="shared" si="0"/>
        <v>2.6944585768612694E-2</v>
      </c>
      <c r="N7" s="447">
        <f t="shared" si="3"/>
        <v>5.3163160834983292E-2</v>
      </c>
      <c r="O7" s="447">
        <f t="shared" si="4"/>
        <v>7.8675287256747217E-2</v>
      </c>
      <c r="P7" s="346"/>
      <c r="Q7" s="390">
        <f t="shared" si="5"/>
        <v>1.9382683649721795E-2</v>
      </c>
      <c r="R7" s="390">
        <f t="shared" si="5"/>
        <v>3.8243108917417792E-2</v>
      </c>
      <c r="S7" s="390">
        <f t="shared" si="5"/>
        <v>5.6595347838855822E-2</v>
      </c>
      <c r="T7" s="390">
        <f t="shared" si="6"/>
        <v>7.4453093284628916E-2</v>
      </c>
      <c r="U7" s="390">
        <f t="shared" si="7"/>
        <v>0.12359450871922646</v>
      </c>
      <c r="V7" s="390">
        <f t="shared" si="8"/>
        <v>0.1614847842729194</v>
      </c>
      <c r="W7" s="390">
        <f t="shared" si="9"/>
        <v>0.19266964874134584</v>
      </c>
      <c r="X7" s="390">
        <f t="shared" si="10"/>
        <v>0.21926718617434035</v>
      </c>
      <c r="Y7" s="390">
        <f t="shared" si="11"/>
        <v>7.4453093284628916E-2</v>
      </c>
      <c r="Z7" s="390">
        <f t="shared" si="12"/>
        <v>0.1614847842729194</v>
      </c>
      <c r="AC7" s="273">
        <f>VLOOKUP($B7, 'Output Baseline'!$A:$CW,42,FALSE)</f>
        <v>0.11260000000000001</v>
      </c>
      <c r="AD7" s="273">
        <f>VLOOKUP($B7, 'Output Baseline'!$A:$CW,43,FALSE)</f>
        <v>8.8200000000000001E-2</v>
      </c>
      <c r="AE7" s="273">
        <f>VLOOKUP($B7, 'Output Baseline'!$A:$CW,44,FALSE)</f>
        <v>7.6300000000000007E-2</v>
      </c>
      <c r="AF7" s="273">
        <f>VLOOKUP($B7, 'Output Baseline'!$A:$CW,45,FALSE)</f>
        <v>6.8900000000000003E-2</v>
      </c>
      <c r="AG7" s="273">
        <f>VLOOKUP($B7, 'Output Baseline'!$A:$CW,46,FALSE)</f>
        <v>6.3600000000000004E-2</v>
      </c>
      <c r="AH7" s="447">
        <f t="shared" si="13"/>
        <v>2.942331158921041E-2</v>
      </c>
      <c r="AI7" s="447">
        <f t="shared" si="14"/>
        <v>5.7980891913545052E-2</v>
      </c>
      <c r="AJ7" s="447">
        <f t="shared" si="15"/>
        <v>8.5698213653762845E-2</v>
      </c>
      <c r="AK7" s="346"/>
      <c r="AL7" s="390">
        <f t="shared" si="16"/>
        <v>2.1165763888832713E-2</v>
      </c>
      <c r="AM7" s="390">
        <f t="shared" si="16"/>
        <v>4.1708760911740639E-2</v>
      </c>
      <c r="AN7" s="390">
        <f t="shared" si="16"/>
        <v>6.1647314932267293E-2</v>
      </c>
      <c r="AO7" s="390">
        <f t="shared" si="17"/>
        <v>8.099921066520982E-2</v>
      </c>
      <c r="AP7" s="390">
        <f t="shared" si="18"/>
        <v>0.13730206412709176</v>
      </c>
      <c r="AQ7" s="390">
        <f t="shared" si="19"/>
        <v>0.18171259313291147</v>
      </c>
      <c r="AR7" s="390">
        <f t="shared" si="20"/>
        <v>0.21875605563330924</v>
      </c>
      <c r="AS7" s="390">
        <f t="shared" si="21"/>
        <v>0.25059405680326652</v>
      </c>
      <c r="AT7" s="390">
        <f t="shared" si="22"/>
        <v>8.099921066520982E-2</v>
      </c>
      <c r="AU7" s="390">
        <f t="shared" si="23"/>
        <v>0.18171259313291147</v>
      </c>
      <c r="AX7" s="273">
        <f>VLOOKUP($B7, 'Output 90% Downside'!$A:$CW,42,FALSE)</f>
        <v>0.11260000000000001</v>
      </c>
      <c r="AY7" s="273">
        <f>VLOOKUP($B7, 'Output 90% Downside'!$A:$CW,43,FALSE)</f>
        <v>8.7999999999999995E-2</v>
      </c>
      <c r="AZ7" s="273">
        <f>VLOOKUP($B7, 'Output 90% Downside'!$A:$CW,44,FALSE)</f>
        <v>7.6100000000000001E-2</v>
      </c>
      <c r="BA7" s="273">
        <f>VLOOKUP($B7, 'Output 90% Downside'!$A:$CW,45,FALSE)</f>
        <v>6.8599999999999994E-2</v>
      </c>
      <c r="BB7" s="273">
        <f>VLOOKUP($B7, 'Output 90% Downside'!$A:$CW,46,FALSE)</f>
        <v>6.3299999999999995E-2</v>
      </c>
      <c r="BC7" s="447">
        <f t="shared" si="24"/>
        <v>2.942331158921041E-2</v>
      </c>
      <c r="BD7" s="447">
        <f t="shared" si="25"/>
        <v>5.7980891913545052E-2</v>
      </c>
      <c r="BE7" s="447">
        <f t="shared" si="26"/>
        <v>8.5698213653762845E-2</v>
      </c>
      <c r="BF7" s="346"/>
      <c r="BG7" s="390">
        <f t="shared" si="27"/>
        <v>2.1165763888832713E-2</v>
      </c>
      <c r="BH7" s="390">
        <f t="shared" si="27"/>
        <v>4.1708760911740639E-2</v>
      </c>
      <c r="BI7" s="390">
        <f t="shared" si="27"/>
        <v>6.1647314932267293E-2</v>
      </c>
      <c r="BJ7" s="390">
        <f t="shared" si="28"/>
        <v>8.099921066520982E-2</v>
      </c>
      <c r="BK7" s="390">
        <f t="shared" si="29"/>
        <v>0.13717439325756353</v>
      </c>
      <c r="BL7" s="390">
        <f t="shared" si="30"/>
        <v>0.18147822771771868</v>
      </c>
      <c r="BM7" s="390">
        <f t="shared" si="31"/>
        <v>0.21837647539604688</v>
      </c>
      <c r="BN7" s="390">
        <f t="shared" si="32"/>
        <v>0.25008832474422121</v>
      </c>
      <c r="BO7" s="390">
        <f t="shared" si="33"/>
        <v>8.099921066520982E-2</v>
      </c>
      <c r="BP7" s="390">
        <f t="shared" si="34"/>
        <v>0.18147822771771868</v>
      </c>
      <c r="BQ7" s="347"/>
      <c r="BU7" s="390">
        <f>IFERROR(AL7*$BS$2+BG7*$BS$4+Q7*$BS$3,VLOOKUP(A7,'Updated Ncino PD'!A:K,4,FALSE))</f>
        <v>2.1076609876877164E-2</v>
      </c>
      <c r="BV7" s="390">
        <f>IFERROR(AM7*$BS$2+BH7*$BS$4+R7*$BS$3,VLOOKUP(A7,'Updated Ncino PD'!A:K,5,FALSE))</f>
        <v>4.153547831202449E-2</v>
      </c>
      <c r="BW7" s="390">
        <f>IFERROR(AN7*$BS$2+BI7*$BS$4+S7*$BS$3,VLOOKUP(A7,'Updated Ncino PD'!A:K,6,FALSE))</f>
        <v>6.1394716577596722E-2</v>
      </c>
      <c r="BX7" s="390">
        <f>IFERROR(AO7*$BS$2+BJ7*$BS$4+T7*$BS$3,VLOOKUP(A7,'Updated Ncino PD'!A:K,7,FALSE))</f>
        <v>8.0671904796180763E-2</v>
      </c>
      <c r="BY7" s="390">
        <f>IFERROR(AP7*$BS$2+BK7*$BS$4+U7*$BS$3,VLOOKUP(A7,'Updated Ncino PD'!A:K,8,FALSE))</f>
        <v>0.1365720015523636</v>
      </c>
      <c r="BZ7" s="390">
        <f>IFERROR(AQ7*$BS$2+BL7*$BS$4+V7*$BS$3,VLOOKUP(A7,'Updated Ncino PD'!A:K,9,FALSE))</f>
        <v>0.18061917479459438</v>
      </c>
      <c r="CA7" s="390">
        <f>IFERROR(AR7*$BS$2+BM7*$BS$4+W7*$BS$3,VLOOKUP(A7,'Updated Ncino PD'!A:K,10,FALSE))</f>
        <v>0.21731888220566925</v>
      </c>
      <c r="CB7" s="390">
        <f>IFERROR(AS7*$BS$2+BN7*$BS$4+X7*$BS$3,VLOOKUP(A7,'Updated Ncino PD'!A:K,11,FALSE))</f>
        <v>0.24885070705115434</v>
      </c>
      <c r="CC7" s="390">
        <f t="shared" si="1"/>
        <v>8.0671904796180763E-2</v>
      </c>
      <c r="CD7" s="390">
        <f t="shared" si="1"/>
        <v>0.18061917479459438</v>
      </c>
      <c r="CF7" s="450">
        <f t="shared" si="35"/>
        <v>0.11214499999999999</v>
      </c>
      <c r="CG7" s="450">
        <f t="shared" si="2"/>
        <v>8.7529999999999997E-2</v>
      </c>
      <c r="CH7" s="450">
        <f t="shared" si="2"/>
        <v>7.5594999999999996E-2</v>
      </c>
      <c r="CI7" s="450">
        <f t="shared" si="2"/>
        <v>6.8144999999999997E-2</v>
      </c>
      <c r="CJ7" s="450">
        <f t="shared" si="2"/>
        <v>6.2839999999999993E-2</v>
      </c>
    </row>
    <row r="8" spans="1:88" s="355" customFormat="1" hidden="1" x14ac:dyDescent="0.25">
      <c r="A8" s="400">
        <v>1100000209</v>
      </c>
      <c r="B8" s="455" t="str">
        <f>VLOOKUP(A8,'Loan Book Summary'!C:G,5,FALSE)</f>
        <v>0015800000z8vOY</v>
      </c>
      <c r="C8" s="167">
        <f>VLOOKUP(A8,'Ref-Data'!$A:$I,9,0)</f>
        <v>1</v>
      </c>
      <c r="D8" s="445">
        <f>VLOOKUP(A8,'Adjustment Factor'!A:C,3,0)</f>
        <v>1.01</v>
      </c>
      <c r="E8" s="446">
        <f>VLOOKUP(A8,'Ref-Data'!A:C,2,FALSE)</f>
        <v>1500000</v>
      </c>
      <c r="F8" s="445">
        <f>VLOOKUP(A8,'Ref-Data'!$A:$F,6,FALSE)</f>
        <v>3.5044490075290895</v>
      </c>
      <c r="G8" s="346"/>
      <c r="H8" s="273">
        <f>VLOOKUP($B8, 'Output 96% Downside'!$A:$CW,42,FALSE)</f>
        <v>1.8800000000000001E-2</v>
      </c>
      <c r="I8" s="273">
        <f>VLOOKUP($B8, 'Output 96% Downside'!$A:$CW,43,FALSE)</f>
        <v>1.49E-2</v>
      </c>
      <c r="J8" s="273">
        <f>VLOOKUP($B8, 'Output 96% Downside'!$A:$CW,44,FALSE)</f>
        <v>1.2999999999999999E-2</v>
      </c>
      <c r="K8" s="273">
        <f>VLOOKUP($B8, 'Output 96% Downside'!$A:$CW,45,FALSE)</f>
        <v>1.18E-2</v>
      </c>
      <c r="L8" s="273">
        <f>VLOOKUP($B8, 'Output 96% Downside'!$A:$CW,46,FALSE)</f>
        <v>1.0999999999999999E-2</v>
      </c>
      <c r="M8" s="447">
        <f t="shared" si="0"/>
        <v>4.7335031444174502E-3</v>
      </c>
      <c r="N8" s="447">
        <f t="shared" si="3"/>
        <v>9.4446002368167026E-3</v>
      </c>
      <c r="O8" s="447">
        <f t="shared" si="4"/>
        <v>1.4133397336315467E-2</v>
      </c>
      <c r="P8" s="346"/>
      <c r="Q8" s="390">
        <f t="shared" si="5"/>
        <v>4.7808381758616247E-3</v>
      </c>
      <c r="R8" s="390">
        <f t="shared" si="5"/>
        <v>9.5390462391848705E-3</v>
      </c>
      <c r="S8" s="390">
        <f t="shared" si="5"/>
        <v>1.4274731309678622E-2</v>
      </c>
      <c r="T8" s="390">
        <f t="shared" si="6"/>
        <v>1.8988000000000001E-2</v>
      </c>
      <c r="U8" s="390">
        <f t="shared" si="7"/>
        <v>3.3754078800000066E-2</v>
      </c>
      <c r="V8" s="390">
        <f t="shared" si="8"/>
        <v>4.6445275775600071E-2</v>
      </c>
      <c r="W8" s="390">
        <f t="shared" si="9"/>
        <v>5.7815221521448065E-2</v>
      </c>
      <c r="X8" s="390">
        <f t="shared" si="10"/>
        <v>6.8289254084712134E-2</v>
      </c>
      <c r="Y8" s="390">
        <f t="shared" si="11"/>
        <v>1.8988000000000001E-2</v>
      </c>
      <c r="Z8" s="390">
        <f t="shared" si="12"/>
        <v>5.7815221521448065E-2</v>
      </c>
      <c r="AC8" s="273">
        <f>VLOOKUP($B8, 'Output Baseline'!$A:$CW,42,FALSE)</f>
        <v>1.8499999999999999E-2</v>
      </c>
      <c r="AD8" s="273">
        <f>VLOOKUP($B8, 'Output Baseline'!$A:$CW,43,FALSE)</f>
        <v>1.47E-2</v>
      </c>
      <c r="AE8" s="273">
        <f>VLOOKUP($B8, 'Output Baseline'!$A:$CW,44,FALSE)</f>
        <v>1.29E-2</v>
      </c>
      <c r="AF8" s="273">
        <f>VLOOKUP($B8, 'Output Baseline'!$A:$CW,45,FALSE)</f>
        <v>1.17E-2</v>
      </c>
      <c r="AG8" s="273">
        <f>VLOOKUP($B8, 'Output Baseline'!$A:$CW,46,FALSE)</f>
        <v>1.09E-2</v>
      </c>
      <c r="AH8" s="447">
        <f t="shared" si="13"/>
        <v>4.6574366642603282E-3</v>
      </c>
      <c r="AI8" s="447">
        <f t="shared" si="14"/>
        <v>9.293181612239021E-3</v>
      </c>
      <c r="AJ8" s="447">
        <f t="shared" si="15"/>
        <v>1.3907335871730875E-2</v>
      </c>
      <c r="AK8" s="346"/>
      <c r="AL8" s="390">
        <f t="shared" si="16"/>
        <v>4.7040110309029314E-3</v>
      </c>
      <c r="AM8" s="390">
        <f t="shared" si="16"/>
        <v>9.3861134283614121E-3</v>
      </c>
      <c r="AN8" s="390">
        <f t="shared" si="16"/>
        <v>1.4046409230448184E-2</v>
      </c>
      <c r="AO8" s="390">
        <f t="shared" si="17"/>
        <v>1.8685E-2</v>
      </c>
      <c r="AP8" s="390">
        <f t="shared" si="18"/>
        <v>3.3257330499999987E-2</v>
      </c>
      <c r="AQ8" s="390">
        <f t="shared" si="19"/>
        <v>4.5857310936550003E-2</v>
      </c>
      <c r="AR8" s="390">
        <f t="shared" si="20"/>
        <v>5.7137780398592415E-2</v>
      </c>
      <c r="AS8" s="390">
        <f t="shared" si="21"/>
        <v>6.7523978592247735E-2</v>
      </c>
      <c r="AT8" s="390">
        <f t="shared" si="22"/>
        <v>1.8685E-2</v>
      </c>
      <c r="AU8" s="390">
        <f t="shared" si="23"/>
        <v>5.7137780398592415E-2</v>
      </c>
      <c r="AX8" s="273">
        <f>VLOOKUP($B8, 'Output 90% Downside'!$A:$CW,42,FALSE)</f>
        <v>1.8800000000000001E-2</v>
      </c>
      <c r="AY8" s="273">
        <f>VLOOKUP($B8, 'Output 90% Downside'!$A:$CW,43,FALSE)</f>
        <v>1.49E-2</v>
      </c>
      <c r="AZ8" s="273">
        <f>VLOOKUP($B8, 'Output 90% Downside'!$A:$CW,44,FALSE)</f>
        <v>1.2999999999999999E-2</v>
      </c>
      <c r="BA8" s="273">
        <f>VLOOKUP($B8, 'Output 90% Downside'!$A:$CW,45,FALSE)</f>
        <v>1.18E-2</v>
      </c>
      <c r="BB8" s="273">
        <f>VLOOKUP($B8, 'Output 90% Downside'!$A:$CW,46,FALSE)</f>
        <v>1.0999999999999999E-2</v>
      </c>
      <c r="BC8" s="447">
        <f t="shared" si="24"/>
        <v>4.7335031444174502E-3</v>
      </c>
      <c r="BD8" s="447">
        <f t="shared" si="25"/>
        <v>9.4446002368167026E-3</v>
      </c>
      <c r="BE8" s="447">
        <f t="shared" si="26"/>
        <v>1.4133397336315467E-2</v>
      </c>
      <c r="BF8" s="346"/>
      <c r="BG8" s="390">
        <f t="shared" si="27"/>
        <v>4.7808381758616247E-3</v>
      </c>
      <c r="BH8" s="390">
        <f t="shared" si="27"/>
        <v>9.5390462391848705E-3</v>
      </c>
      <c r="BI8" s="390">
        <f t="shared" si="27"/>
        <v>1.4274731309678622E-2</v>
      </c>
      <c r="BJ8" s="390">
        <f t="shared" si="28"/>
        <v>1.8988000000000001E-2</v>
      </c>
      <c r="BK8" s="390">
        <f t="shared" si="29"/>
        <v>3.3754078800000066E-2</v>
      </c>
      <c r="BL8" s="390">
        <f t="shared" si="30"/>
        <v>4.6445275775600071E-2</v>
      </c>
      <c r="BM8" s="390">
        <f t="shared" si="31"/>
        <v>5.7815221521448065E-2</v>
      </c>
      <c r="BN8" s="390">
        <f t="shared" si="32"/>
        <v>6.8289254084712134E-2</v>
      </c>
      <c r="BO8" s="390">
        <f t="shared" si="33"/>
        <v>1.8988000000000001E-2</v>
      </c>
      <c r="BP8" s="390">
        <f t="shared" si="34"/>
        <v>5.7815221521448065E-2</v>
      </c>
      <c r="BQ8" s="347"/>
      <c r="BU8" s="390">
        <f>IFERROR(AL8*$BS$2+BG8*$BS$4+Q8*$BS$3,VLOOKUP(A8,'Updated Ncino PD'!A:K,4,FALSE))</f>
        <v>4.7347418888864087E-3</v>
      </c>
      <c r="BV8" s="390">
        <f>IFERROR(AM8*$BS$2+BH8*$BS$4+R8*$BS$3,VLOOKUP(A8,'Updated Ncino PD'!A:K,5,FALSE))</f>
        <v>9.4472865526907968E-3</v>
      </c>
      <c r="BW8" s="390">
        <f>IFERROR(AN8*$BS$2+BI8*$BS$4+S8*$BS$3,VLOOKUP(A8,'Updated Ncino PD'!A:K,6,FALSE))</f>
        <v>1.4137738062140359E-2</v>
      </c>
      <c r="BX8" s="390">
        <f>IFERROR(AO8*$BS$2+BJ8*$BS$4+T8*$BS$3,VLOOKUP(A8,'Updated Ncino PD'!A:K,7,FALSE))</f>
        <v>1.8806199999999999E-2</v>
      </c>
      <c r="BY8" s="390">
        <f>IFERROR(AP8*$BS$2+BK8*$BS$4+U8*$BS$3,VLOOKUP(A8,'Updated Ncino PD'!A:K,8,FALSE))</f>
        <v>3.3456029820000018E-2</v>
      </c>
      <c r="BZ8" s="390">
        <f>IFERROR(AQ8*$BS$2+BL8*$BS$4+V8*$BS$3,VLOOKUP(A8,'Updated Ncino PD'!A:K,9,FALSE))</f>
        <v>4.6092496872170027E-2</v>
      </c>
      <c r="CA8" s="390">
        <f>IFERROR(AR8*$BS$2+BM8*$BS$4+W8*$BS$3,VLOOKUP(A8,'Updated Ncino PD'!A:K,10,FALSE))</f>
        <v>5.7408756847734672E-2</v>
      </c>
      <c r="CB8" s="390">
        <f>IFERROR(AS8*$BS$2+BN8*$BS$4+X8*$BS$3,VLOOKUP(A8,'Updated Ncino PD'!A:K,11,FALSE))</f>
        <v>6.7830088789233495E-2</v>
      </c>
      <c r="CC8" s="390">
        <f t="shared" si="1"/>
        <v>1.8806199999999999E-2</v>
      </c>
      <c r="CD8" s="390">
        <f t="shared" si="1"/>
        <v>5.7408756847734672E-2</v>
      </c>
      <c r="CF8" s="450">
        <f t="shared" si="35"/>
        <v>1.8619999999999998E-2</v>
      </c>
      <c r="CG8" s="450">
        <f t="shared" si="2"/>
        <v>1.4780000000000001E-2</v>
      </c>
      <c r="CH8" s="450">
        <f t="shared" si="2"/>
        <v>1.294E-2</v>
      </c>
      <c r="CI8" s="450">
        <f t="shared" si="2"/>
        <v>1.174E-2</v>
      </c>
      <c r="CJ8" s="450">
        <f t="shared" si="2"/>
        <v>1.094E-2</v>
      </c>
    </row>
    <row r="9" spans="1:88" s="355" customFormat="1" hidden="1" x14ac:dyDescent="0.25">
      <c r="A9" s="400">
        <v>1100000175</v>
      </c>
      <c r="B9" s="455" t="str">
        <f>VLOOKUP(A9,'Loan Book Summary'!C:G,5,FALSE)</f>
        <v>0015800001Enl9O</v>
      </c>
      <c r="C9" s="167">
        <f>VLOOKUP(A9,'Ref-Data'!$A:$I,9,0)</f>
        <v>1</v>
      </c>
      <c r="D9" s="445">
        <f>VLOOKUP(A9,'Adjustment Factor'!A:C,3,0)</f>
        <v>1.1951755713707852</v>
      </c>
      <c r="E9" s="446">
        <f>VLOOKUP(A9,'Ref-Data'!A:C,2,FALSE)</f>
        <v>20011058.510000002</v>
      </c>
      <c r="F9" s="445">
        <f>VLOOKUP(A9,'Ref-Data'!$A:$F,6,FALSE)</f>
        <v>1.0212183436002737</v>
      </c>
      <c r="G9" s="346"/>
      <c r="H9" s="273">
        <f>VLOOKUP($B9, 'Output 96% Downside'!$A:$CW,42,FALSE)</f>
        <v>0.115</v>
      </c>
      <c r="I9" s="273">
        <f>VLOOKUP($B9, 'Output 96% Downside'!$A:$CW,43,FALSE)</f>
        <v>0.1036</v>
      </c>
      <c r="J9" s="273">
        <f>VLOOKUP($B9, 'Output 96% Downside'!$A:$CW,44,FALSE)</f>
        <v>9.74E-2</v>
      </c>
      <c r="K9" s="273">
        <f>VLOOKUP($B9, 'Output 96% Downside'!$A:$CW,45,FALSE)</f>
        <v>9.3200000000000005E-2</v>
      </c>
      <c r="L9" s="273">
        <f>VLOOKUP($B9, 'Output 96% Downside'!$A:$CW,46,FALSE)</f>
        <v>0.09</v>
      </c>
      <c r="M9" s="447">
        <f t="shared" si="0"/>
        <v>3.0080216661532932E-2</v>
      </c>
      <c r="N9" s="447">
        <f t="shared" si="3"/>
        <v>5.9255613888661074E-2</v>
      </c>
      <c r="O9" s="447">
        <f t="shared" si="4"/>
        <v>8.7553408846010927E-2</v>
      </c>
      <c r="P9" s="346"/>
      <c r="Q9" s="390">
        <f t="shared" si="5"/>
        <v>3.5951140135404638E-2</v>
      </c>
      <c r="R9" s="390">
        <f t="shared" si="5"/>
        <v>7.0820862186307135E-2</v>
      </c>
      <c r="S9" s="390">
        <f t="shared" si="5"/>
        <v>0.10464169544299107</v>
      </c>
      <c r="T9" s="390">
        <f t="shared" si="6"/>
        <v>0.1374451907076403</v>
      </c>
      <c r="U9" s="390">
        <f t="shared" si="7"/>
        <v>0.24702605814434217</v>
      </c>
      <c r="V9" s="390">
        <f t="shared" si="8"/>
        <v>0.3393758207325977</v>
      </c>
      <c r="W9" s="390">
        <f t="shared" si="9"/>
        <v>0.41913635749207673</v>
      </c>
      <c r="X9" s="390">
        <f t="shared" si="10"/>
        <v>0.4889798867411605</v>
      </c>
      <c r="Y9" s="390">
        <f t="shared" si="11"/>
        <v>0.1374451907076403</v>
      </c>
      <c r="Z9" s="390">
        <f t="shared" si="12"/>
        <v>0.24702605814434217</v>
      </c>
      <c r="AC9" s="273">
        <f>VLOOKUP($B9, 'Output Baseline'!$A:$CW,42,FALSE)</f>
        <v>0.1176</v>
      </c>
      <c r="AD9" s="273">
        <f>VLOOKUP($B9, 'Output Baseline'!$A:$CW,43,FALSE)</f>
        <v>0.109</v>
      </c>
      <c r="AE9" s="273">
        <f>VLOOKUP($B9, 'Output Baseline'!$A:$CW,44,FALSE)</f>
        <v>0.1043</v>
      </c>
      <c r="AF9" s="273">
        <f>VLOOKUP($B9, 'Output Baseline'!$A:$CW,45,FALSE)</f>
        <v>0.10100000000000001</v>
      </c>
      <c r="AG9" s="273">
        <f>VLOOKUP($B9, 'Output Baseline'!$A:$CW,46,FALSE)</f>
        <v>9.8599999999999993E-2</v>
      </c>
      <c r="AH9" s="447">
        <f t="shared" si="13"/>
        <v>3.0793373286485348E-2</v>
      </c>
      <c r="AI9" s="447">
        <f t="shared" si="14"/>
        <v>6.0638514734609905E-2</v>
      </c>
      <c r="AJ9" s="447">
        <f t="shared" si="15"/>
        <v>8.9564623601334326E-2</v>
      </c>
      <c r="AK9" s="346"/>
      <c r="AL9" s="390">
        <f t="shared" si="16"/>
        <v>3.6803487512109004E-2</v>
      </c>
      <c r="AM9" s="390">
        <f t="shared" si="16"/>
        <v>7.2473671495013173E-2</v>
      </c>
      <c r="AN9" s="390">
        <f t="shared" si="16"/>
        <v>0.10704545018733407</v>
      </c>
      <c r="AO9" s="390">
        <f t="shared" si="17"/>
        <v>0.14055264719320434</v>
      </c>
      <c r="AP9" s="390">
        <f t="shared" si="18"/>
        <v>0.2555065459285607</v>
      </c>
      <c r="AQ9" s="390">
        <f t="shared" si="19"/>
        <v>0.35351402528218479</v>
      </c>
      <c r="AR9" s="390">
        <f t="shared" si="20"/>
        <v>0.43852184143713341</v>
      </c>
      <c r="AS9" s="390">
        <f t="shared" si="21"/>
        <v>0.51312789920859148</v>
      </c>
      <c r="AT9" s="390">
        <f t="shared" si="22"/>
        <v>0.14055264719320434</v>
      </c>
      <c r="AU9" s="390">
        <f t="shared" si="23"/>
        <v>0.2555065459285607</v>
      </c>
      <c r="AX9" s="273">
        <f>VLOOKUP($B9, 'Output 90% Downside'!$A:$CW,42,FALSE)</f>
        <v>0.1193</v>
      </c>
      <c r="AY9" s="273">
        <f>VLOOKUP($B9, 'Output 90% Downside'!$A:$CW,43,FALSE)</f>
        <v>0.1105</v>
      </c>
      <c r="AZ9" s="273">
        <f>VLOOKUP($B9, 'Output 90% Downside'!$A:$CW,44,FALSE)</f>
        <v>0.1057</v>
      </c>
      <c r="BA9" s="273">
        <f>VLOOKUP($B9, 'Output 90% Downside'!$A:$CW,45,FALSE)</f>
        <v>0.1023</v>
      </c>
      <c r="BB9" s="273">
        <f>VLOOKUP($B9, 'Output 90% Downside'!$A:$CW,46,FALSE)</f>
        <v>9.98E-2</v>
      </c>
      <c r="BC9" s="447">
        <f t="shared" si="24"/>
        <v>3.1260520546658288E-2</v>
      </c>
      <c r="BD9" s="447">
        <f t="shared" si="25"/>
        <v>6.1543820948468553E-2</v>
      </c>
      <c r="BE9" s="447">
        <f t="shared" si="26"/>
        <v>9.0880449615847403E-2</v>
      </c>
      <c r="BF9" s="346"/>
      <c r="BG9" s="390">
        <f t="shared" si="27"/>
        <v>3.7361810505700491E-2</v>
      </c>
      <c r="BH9" s="390">
        <f t="shared" si="27"/>
        <v>7.3555671366427197E-2</v>
      </c>
      <c r="BI9" s="390">
        <f t="shared" si="27"/>
        <v>0.10861809329605428</v>
      </c>
      <c r="BJ9" s="390">
        <f t="shared" si="28"/>
        <v>0.14258444566453468</v>
      </c>
      <c r="BK9" s="390">
        <f t="shared" si="29"/>
        <v>0.25889576505507539</v>
      </c>
      <c r="BL9" s="390">
        <f t="shared" si="30"/>
        <v>0.35786054058264588</v>
      </c>
      <c r="BM9" s="390">
        <f t="shared" si="31"/>
        <v>0.44351786823227257</v>
      </c>
      <c r="BN9" s="390">
        <f t="shared" si="32"/>
        <v>0.51853330700549616</v>
      </c>
      <c r="BO9" s="390">
        <f t="shared" si="33"/>
        <v>0.14258444566453468</v>
      </c>
      <c r="BP9" s="390">
        <f t="shared" si="34"/>
        <v>0.25889576505507539</v>
      </c>
      <c r="BQ9" s="347"/>
      <c r="BU9" s="390">
        <f>IFERROR(AL9*$BS$2+BG9*$BS$4+Q9*$BS$3,VLOOKUP(A9,'Updated Ncino PD'!A:K,4,FALSE))</f>
        <v>3.6956283191030809E-2</v>
      </c>
      <c r="BV9" s="390">
        <f>IFERROR(AM9*$BS$2+BH9*$BS$4+R9*$BS$3,VLOOKUP(A9,'Updated Ncino PD'!A:K,5,FALSE))</f>
        <v>7.2769730984572775E-2</v>
      </c>
      <c r="BW9" s="390">
        <f>IFERROR(AN9*$BS$2+BI9*$BS$4+S9*$BS$3,VLOOKUP(A9,'Updated Ncino PD'!A:K,6,FALSE))</f>
        <v>0.10747568753816898</v>
      </c>
      <c r="BX9" s="390">
        <f>IFERROR(AO9*$BS$2+BJ9*$BS$4+T9*$BS$3,VLOOKUP(A9,'Updated Ncino PD'!A:K,7,FALSE))</f>
        <v>0.14110840383389175</v>
      </c>
      <c r="BY9" s="390">
        <f>IFERROR(AP9*$BS$2+BK9*$BS$4+U9*$BS$3,VLOOKUP(A9,'Updated Ncino PD'!A:K,8,FALSE))</f>
        <v>0.25626874823362988</v>
      </c>
      <c r="BZ9" s="390">
        <f>IFERROR(AQ9*$BS$2+BL9*$BS$4+V9*$BS$3,VLOOKUP(A9,'Updated Ncino PD'!A:K,9,FALSE))</f>
        <v>0.35432839540986683</v>
      </c>
      <c r="CA9" s="390">
        <f>IFERROR(AR9*$BS$2+BM9*$BS$4+W9*$BS$3,VLOOKUP(A9,'Updated Ncino PD'!A:K,10,FALSE))</f>
        <v>0.43930117661817925</v>
      </c>
      <c r="CB9" s="390">
        <f>IFERROR(AS9*$BS$2+BN9*$BS$4+X9*$BS$3,VLOOKUP(A9,'Updated Ncino PD'!A:K,11,FALSE))</f>
        <v>0.51381239131413659</v>
      </c>
      <c r="CC9" s="390">
        <f t="shared" si="1"/>
        <v>0.14110840383389175</v>
      </c>
      <c r="CD9" s="390">
        <f t="shared" si="1"/>
        <v>0.25626874823362988</v>
      </c>
      <c r="CF9" s="450">
        <f t="shared" si="35"/>
        <v>0.118065</v>
      </c>
      <c r="CG9" s="450">
        <f t="shared" si="2"/>
        <v>0.109255</v>
      </c>
      <c r="CH9" s="450">
        <f t="shared" si="2"/>
        <v>0.104445</v>
      </c>
      <c r="CI9" s="450">
        <f t="shared" si="2"/>
        <v>0.10106499999999999</v>
      </c>
      <c r="CJ9" s="450">
        <f t="shared" si="2"/>
        <v>9.8589999999999983E-2</v>
      </c>
    </row>
    <row r="10" spans="1:88" s="355" customFormat="1" hidden="1" x14ac:dyDescent="0.25">
      <c r="A10" s="400">
        <v>1100000144</v>
      </c>
      <c r="B10" s="455" t="str">
        <f>VLOOKUP(A10,'Loan Book Summary'!C:G,5,FALSE)</f>
        <v>0015800001Pfprh</v>
      </c>
      <c r="C10" s="167">
        <f>VLOOKUP(A10,'Ref-Data'!$A:$I,9,0)</f>
        <v>1</v>
      </c>
      <c r="D10" s="445">
        <f>VLOOKUP(A10,'Adjustment Factor'!A:C,3,0)</f>
        <v>0.66</v>
      </c>
      <c r="E10" s="446">
        <f>VLOOKUP(A10,'Ref-Data'!A:C,2,FALSE)</f>
        <v>4468749.95</v>
      </c>
      <c r="F10" s="445">
        <f>VLOOKUP(A10,'Ref-Data'!$A:$F,6,FALSE)</f>
        <v>2.3025325119780971</v>
      </c>
      <c r="G10" s="346"/>
      <c r="H10" s="273">
        <f>VLOOKUP($B10, 'Output 96% Downside'!$A:$CW,42,FALSE)</f>
        <v>6.4999999999999997E-3</v>
      </c>
      <c r="I10" s="273">
        <f>VLOOKUP($B10, 'Output 96% Downside'!$A:$CW,43,FALSE)</f>
        <v>6.4000000000000003E-3</v>
      </c>
      <c r="J10" s="273">
        <f>VLOOKUP($B10, 'Output 96% Downside'!$A:$CW,44,FALSE)</f>
        <v>6.3E-3</v>
      </c>
      <c r="K10" s="273">
        <f>VLOOKUP($B10, 'Output 96% Downside'!$A:$CW,45,FALSE)</f>
        <v>6.3E-3</v>
      </c>
      <c r="L10" s="273">
        <f>VLOOKUP($B10, 'Output 96% Downside'!$A:$CW,46,FALSE)</f>
        <v>6.3E-3</v>
      </c>
      <c r="M10" s="447">
        <f t="shared" si="0"/>
        <v>1.6289760234977635E-3</v>
      </c>
      <c r="N10" s="447">
        <f t="shared" si="3"/>
        <v>3.255298484110436E-3</v>
      </c>
      <c r="O10" s="447">
        <f t="shared" si="4"/>
        <v>4.8789717044283032E-3</v>
      </c>
      <c r="P10" s="346"/>
      <c r="Q10" s="390">
        <f t="shared" si="5"/>
        <v>1.0751241755085239E-3</v>
      </c>
      <c r="R10" s="390">
        <f t="shared" si="5"/>
        <v>2.148496999512888E-3</v>
      </c>
      <c r="S10" s="390">
        <f t="shared" si="5"/>
        <v>3.2201213249226802E-3</v>
      </c>
      <c r="T10" s="390">
        <f t="shared" si="6"/>
        <v>4.2900000000000004E-3</v>
      </c>
      <c r="U10" s="390">
        <f t="shared" si="7"/>
        <v>8.4865439999999587E-3</v>
      </c>
      <c r="V10" s="390">
        <f t="shared" si="8"/>
        <v>1.2591078772799949E-2</v>
      </c>
      <c r="W10" s="390">
        <f t="shared" si="9"/>
        <v>1.6669754976531281E-2</v>
      </c>
      <c r="X10" s="390">
        <f t="shared" si="10"/>
        <v>2.07227355201791E-2</v>
      </c>
      <c r="Y10" s="390">
        <f t="shared" si="11"/>
        <v>4.2900000000000004E-3</v>
      </c>
      <c r="Z10" s="390">
        <f t="shared" si="12"/>
        <v>1.2591078772799949E-2</v>
      </c>
      <c r="AC10" s="273">
        <f>VLOOKUP($B10, 'Output Baseline'!$A:$CW,42,FALSE)</f>
        <v>4.7999999999999996E-3</v>
      </c>
      <c r="AD10" s="273">
        <f>VLOOKUP($B10, 'Output Baseline'!$A:$CW,43,FALSE)</f>
        <v>4.7999999999999996E-3</v>
      </c>
      <c r="AE10" s="273">
        <f>VLOOKUP($B10, 'Output Baseline'!$A:$CW,44,FALSE)</f>
        <v>4.7999999999999996E-3</v>
      </c>
      <c r="AF10" s="273">
        <f>VLOOKUP($B10, 'Output Baseline'!$A:$CW,45,FALSE)</f>
        <v>4.7999999999999996E-3</v>
      </c>
      <c r="AG10" s="273">
        <f>VLOOKUP($B10, 'Output Baseline'!$A:$CW,46,FALSE)</f>
        <v>4.7999999999999996E-3</v>
      </c>
      <c r="AH10" s="447">
        <f t="shared" si="13"/>
        <v>1.2021660680305857E-3</v>
      </c>
      <c r="AI10" s="447">
        <f t="shared" si="14"/>
        <v>2.4028869328059921E-3</v>
      </c>
      <c r="AJ10" s="447">
        <f t="shared" si="15"/>
        <v>3.6021643317006857E-3</v>
      </c>
      <c r="AK10" s="346"/>
      <c r="AL10" s="390">
        <f t="shared" si="16"/>
        <v>7.9342960490018659E-4</v>
      </c>
      <c r="AM10" s="390">
        <f t="shared" si="16"/>
        <v>1.5859053756519549E-3</v>
      </c>
      <c r="AN10" s="390">
        <f t="shared" si="16"/>
        <v>2.3774284589224526E-3</v>
      </c>
      <c r="AO10" s="390">
        <f t="shared" si="17"/>
        <v>3.1679999999999998E-3</v>
      </c>
      <c r="AP10" s="390">
        <f t="shared" si="18"/>
        <v>6.3207936000000521E-3</v>
      </c>
      <c r="AQ10" s="390">
        <f t="shared" si="19"/>
        <v>9.4584537907201061E-3</v>
      </c>
      <c r="AR10" s="390">
        <f t="shared" si="20"/>
        <v>1.2581053212524654E-2</v>
      </c>
      <c r="AS10" s="390">
        <f t="shared" si="21"/>
        <v>1.5688664157104525E-2</v>
      </c>
      <c r="AT10" s="390">
        <f t="shared" si="22"/>
        <v>3.1679999999999998E-3</v>
      </c>
      <c r="AU10" s="390">
        <f t="shared" si="23"/>
        <v>9.4584537907201061E-3</v>
      </c>
      <c r="AX10" s="273">
        <f>VLOOKUP($B10, 'Output 90% Downside'!$A:$CW,42,FALSE)</f>
        <v>5.5999999999999999E-3</v>
      </c>
      <c r="AY10" s="273">
        <f>VLOOKUP($B10, 'Output 90% Downside'!$A:$CW,43,FALSE)</f>
        <v>5.4999999999999997E-3</v>
      </c>
      <c r="AZ10" s="273">
        <f>VLOOKUP($B10, 'Output 90% Downside'!$A:$CW,44,FALSE)</f>
        <v>5.4999999999999997E-3</v>
      </c>
      <c r="BA10" s="273">
        <f>VLOOKUP($B10, 'Output 90% Downside'!$A:$CW,45,FALSE)</f>
        <v>5.4999999999999997E-3</v>
      </c>
      <c r="BB10" s="273">
        <f>VLOOKUP($B10, 'Output 90% Downside'!$A:$CW,46,FALSE)</f>
        <v>5.4000000000000003E-3</v>
      </c>
      <c r="BC10" s="447">
        <f t="shared" si="24"/>
        <v>1.4029496411314124E-3</v>
      </c>
      <c r="BD10" s="447">
        <f t="shared" si="25"/>
        <v>2.8039310145673291E-3</v>
      </c>
      <c r="BE10" s="447">
        <f t="shared" si="26"/>
        <v>4.2029468816880966E-3</v>
      </c>
      <c r="BF10" s="346"/>
      <c r="BG10" s="390">
        <f t="shared" si="27"/>
        <v>9.259467631467322E-4</v>
      </c>
      <c r="BH10" s="390">
        <f t="shared" si="27"/>
        <v>1.8505944696144373E-3</v>
      </c>
      <c r="BI10" s="390">
        <f t="shared" si="27"/>
        <v>2.7739449419141439E-3</v>
      </c>
      <c r="BJ10" s="390">
        <f t="shared" si="28"/>
        <v>3.6960000000000001E-3</v>
      </c>
      <c r="BK10" s="390">
        <f t="shared" si="29"/>
        <v>7.3056720000000009E-3</v>
      </c>
      <c r="BL10" s="390">
        <f t="shared" si="30"/>
        <v>1.0895490803999982E-2</v>
      </c>
      <c r="BM10" s="390">
        <f t="shared" si="31"/>
        <v>1.4465565604577939E-2</v>
      </c>
      <c r="BN10" s="390">
        <f t="shared" si="32"/>
        <v>1.7951451550313177E-2</v>
      </c>
      <c r="BO10" s="390">
        <f t="shared" si="33"/>
        <v>3.6960000000000001E-3</v>
      </c>
      <c r="BP10" s="390">
        <f t="shared" si="34"/>
        <v>1.0895490803999982E-2</v>
      </c>
      <c r="BQ10" s="347"/>
      <c r="BU10" s="390">
        <f>IFERROR(AL10*$BS$2+BG10*$BS$4+Q10*$BS$3,VLOOKUP(A10,'Updated Ncino PD'!A:K,4,FALSE))</f>
        <v>8.5389533881689427E-4</v>
      </c>
      <c r="BV10" s="390">
        <f>IFERROR(AM10*$BS$2+BH10*$BS$4+R10*$BS$3,VLOOKUP(A10,'Updated Ncino PD'!A:K,5,FALSE))</f>
        <v>1.7066761397318702E-3</v>
      </c>
      <c r="BW10" s="390">
        <f>IFERROR(AN10*$BS$2+BI10*$BS$4+S10*$BS$3,VLOOKUP(A10,'Updated Ncino PD'!A:K,6,FALSE))</f>
        <v>2.5583438712695554E-3</v>
      </c>
      <c r="BX10" s="390">
        <f>IFERROR(AO10*$BS$2+BJ10*$BS$4+T10*$BS$3,VLOOKUP(A10,'Updated Ncino PD'!A:K,7,FALSE))</f>
        <v>3.4088999999999999E-3</v>
      </c>
      <c r="BY10" s="390">
        <f>IFERROR(AP10*$BS$2+BK10*$BS$4+U10*$BS$3,VLOOKUP(A10,'Updated Ncino PD'!A:K,8,FALSE))</f>
        <v>6.7737885600000283E-3</v>
      </c>
      <c r="BZ10" s="390">
        <f>IFERROR(AQ10*$BS$2+BL10*$BS$4+V10*$BS$3,VLOOKUP(A10,'Updated Ncino PD'!A:K,9,FALSE))</f>
        <v>1.0118047994472055E-2</v>
      </c>
      <c r="CA10" s="390">
        <f>IFERROR(AR10*$BS$2+BM10*$BS$4+W10*$BS$3,VLOOKUP(A10,'Updated Ncino PD'!A:K,10,FALSE))</f>
        <v>1.3445067637943635E-2</v>
      </c>
      <c r="CB10" s="390">
        <f>IFERROR(AS10*$BS$2+BN10*$BS$4+X10*$BS$3,VLOOKUP(A10,'Updated Ncino PD'!A:K,11,FALSE))</f>
        <v>1.6732343312881284E-2</v>
      </c>
      <c r="CC10" s="390">
        <f t="shared" si="1"/>
        <v>3.4088999999999999E-3</v>
      </c>
      <c r="CD10" s="390">
        <f t="shared" si="1"/>
        <v>1.0118047994472055E-2</v>
      </c>
      <c r="CF10" s="450">
        <f t="shared" si="35"/>
        <v>5.1649999999999995E-3</v>
      </c>
      <c r="CG10" s="450">
        <f t="shared" si="2"/>
        <v>5.1249999999999993E-3</v>
      </c>
      <c r="CH10" s="450">
        <f t="shared" si="2"/>
        <v>5.1199999999999996E-3</v>
      </c>
      <c r="CI10" s="450">
        <f t="shared" si="2"/>
        <v>5.1199999999999996E-3</v>
      </c>
      <c r="CJ10" s="450">
        <f t="shared" si="2"/>
        <v>5.0850000000000001E-3</v>
      </c>
    </row>
    <row r="11" spans="1:88" s="355" customFormat="1" hidden="1" x14ac:dyDescent="0.25">
      <c r="A11" s="400">
        <v>1100000143</v>
      </c>
      <c r="B11" s="455" t="str">
        <f>VLOOKUP(A11,'Loan Book Summary'!C:G,5,FALSE)</f>
        <v>0015800000YDm0R</v>
      </c>
      <c r="C11" s="167">
        <f>VLOOKUP(A11,'Ref-Data'!$A:$I,9,0)</f>
        <v>1</v>
      </c>
      <c r="D11" s="445">
        <f>VLOOKUP(A11,'Adjustment Factor'!A:C,3,0)</f>
        <v>1.36</v>
      </c>
      <c r="E11" s="446">
        <f>VLOOKUP(A11,'Ref-Data'!A:C,2,FALSE)</f>
        <v>206110.05</v>
      </c>
      <c r="F11" s="445">
        <f>VLOOKUP(A11,'Ref-Data'!$A:$F,6,FALSE)</f>
        <v>0.63244353182751545</v>
      </c>
      <c r="G11" s="346"/>
      <c r="H11" s="273">
        <f>VLOOKUP($B11, 'Output 96% Downside'!$A:$CW,42,FALSE)</f>
        <v>0.13109999999999999</v>
      </c>
      <c r="I11" s="273">
        <f>VLOOKUP($B11, 'Output 96% Downside'!$A:$CW,43,FALSE)</f>
        <v>0.1158</v>
      </c>
      <c r="J11" s="273">
        <f>VLOOKUP($B11, 'Output 96% Downside'!$A:$CW,44,FALSE)</f>
        <v>0.1077</v>
      </c>
      <c r="K11" s="273">
        <f>VLOOKUP($B11, 'Output 96% Downside'!$A:$CW,45,FALSE)</f>
        <v>0.1022</v>
      </c>
      <c r="L11" s="273">
        <f>VLOOKUP($B11, 'Output 96% Downside'!$A:$CW,46,FALSE)</f>
        <v>9.8199999999999996E-2</v>
      </c>
      <c r="M11" s="447">
        <f t="shared" si="0"/>
        <v>3.4521850630778839E-2</v>
      </c>
      <c r="N11" s="447">
        <f t="shared" si="3"/>
        <v>6.7851943090583844E-2</v>
      </c>
      <c r="O11" s="447">
        <f t="shared" si="4"/>
        <v>0.10003141907698143</v>
      </c>
      <c r="P11" s="346"/>
      <c r="Q11" s="390">
        <f t="shared" si="5"/>
        <v>4.6949716857859224E-2</v>
      </c>
      <c r="R11" s="390">
        <f t="shared" si="5"/>
        <v>9.227864260319403E-2</v>
      </c>
      <c r="S11" s="390">
        <f t="shared" si="5"/>
        <v>0.13604272994469477</v>
      </c>
      <c r="T11" s="390">
        <f t="shared" si="6"/>
        <v>0.17829600000000001</v>
      </c>
      <c r="U11" s="390">
        <f t="shared" si="7"/>
        <v>0.31513732319999999</v>
      </c>
      <c r="V11" s="390">
        <f t="shared" si="8"/>
        <v>0.42766903349136004</v>
      </c>
      <c r="W11" s="390">
        <f t="shared" si="9"/>
        <v>0.522953258268543</v>
      </c>
      <c r="X11" s="390">
        <f t="shared" si="10"/>
        <v>0.60515124830657208</v>
      </c>
      <c r="Y11" s="390">
        <f t="shared" si="11"/>
        <v>0.11679339740093575</v>
      </c>
      <c r="Z11" s="390">
        <f t="shared" si="12"/>
        <v>0.17829600000000001</v>
      </c>
      <c r="AC11" s="273">
        <f>VLOOKUP($B11, 'Output Baseline'!$A:$CW,42,FALSE)</f>
        <v>1.6299999999999999E-2</v>
      </c>
      <c r="AD11" s="273">
        <f>VLOOKUP($B11, 'Output Baseline'!$A:$CW,43,FALSE)</f>
        <v>1.7100000000000001E-2</v>
      </c>
      <c r="AE11" s="273">
        <f>VLOOKUP($B11, 'Output Baseline'!$A:$CW,44,FALSE)</f>
        <v>1.7500000000000002E-2</v>
      </c>
      <c r="AF11" s="273">
        <f>VLOOKUP($B11, 'Output Baseline'!$A:$CW,45,FALSE)</f>
        <v>1.7899999999999999E-2</v>
      </c>
      <c r="AG11" s="273">
        <f>VLOOKUP($B11, 'Output Baseline'!$A:$CW,46,FALSE)</f>
        <v>1.8200000000000001E-2</v>
      </c>
      <c r="AH11" s="447">
        <f t="shared" si="13"/>
        <v>4.1001479621596282E-3</v>
      </c>
      <c r="AI11" s="447">
        <f t="shared" si="14"/>
        <v>8.1834847110076048E-3</v>
      </c>
      <c r="AJ11" s="447">
        <f t="shared" si="15"/>
        <v>1.2250079175005979E-2</v>
      </c>
      <c r="AK11" s="346"/>
      <c r="AL11" s="390">
        <f t="shared" si="16"/>
        <v>5.5762012285370949E-3</v>
      </c>
      <c r="AM11" s="390">
        <f t="shared" si="16"/>
        <v>1.1129539206970343E-2</v>
      </c>
      <c r="AN11" s="390">
        <f t="shared" si="16"/>
        <v>1.6660107678008133E-2</v>
      </c>
      <c r="AO11" s="390">
        <f t="shared" si="17"/>
        <v>2.2168E-2</v>
      </c>
      <c r="AP11" s="390">
        <f t="shared" si="18"/>
        <v>4.5044927199999973E-2</v>
      </c>
      <c r="AQ11" s="390">
        <f t="shared" si="19"/>
        <v>6.8056640973999966E-2</v>
      </c>
      <c r="AR11" s="390">
        <f t="shared" si="20"/>
        <v>9.1182427100565455E-2</v>
      </c>
      <c r="AS11" s="390">
        <f t="shared" si="21"/>
        <v>0.11427490692733518</v>
      </c>
      <c r="AT11" s="390">
        <f t="shared" si="22"/>
        <v>1.4077710548459632E-2</v>
      </c>
      <c r="AU11" s="390">
        <f t="shared" si="23"/>
        <v>2.2168E-2</v>
      </c>
      <c r="AX11" s="273">
        <f>VLOOKUP($B11, 'Output 90% Downside'!$A:$CW,42,FALSE)</f>
        <v>9.5100000000000004E-2</v>
      </c>
      <c r="AY11" s="273">
        <f>VLOOKUP($B11, 'Output 90% Downside'!$A:$CW,43,FALSE)</f>
        <v>8.3199999999999996E-2</v>
      </c>
      <c r="AZ11" s="273">
        <f>VLOOKUP($B11, 'Output 90% Downside'!$A:$CW,44,FALSE)</f>
        <v>7.6799999999999993E-2</v>
      </c>
      <c r="BA11" s="273">
        <f>VLOOKUP($B11, 'Output 90% Downside'!$A:$CW,45,FALSE)</f>
        <v>7.2599999999999998E-2</v>
      </c>
      <c r="BB11" s="273">
        <f>VLOOKUP($B11, 'Output 90% Downside'!$A:$CW,46,FALSE)</f>
        <v>6.9500000000000006E-2</v>
      </c>
      <c r="BC11" s="447">
        <f t="shared" si="24"/>
        <v>2.4673224382249392E-2</v>
      </c>
      <c r="BD11" s="447">
        <f t="shared" si="25"/>
        <v>4.8737680763081936E-2</v>
      </c>
      <c r="BE11" s="447">
        <f t="shared" si="26"/>
        <v>7.2208389411993368E-2</v>
      </c>
      <c r="BF11" s="346"/>
      <c r="BG11" s="390">
        <f t="shared" si="27"/>
        <v>3.3555585159859173E-2</v>
      </c>
      <c r="BH11" s="390">
        <f t="shared" si="27"/>
        <v>6.6283245837791438E-2</v>
      </c>
      <c r="BI11" s="390">
        <f t="shared" si="27"/>
        <v>9.8203409600310987E-2</v>
      </c>
      <c r="BJ11" s="390">
        <f t="shared" si="28"/>
        <v>0.12933600000000001</v>
      </c>
      <c r="BK11" s="390">
        <f t="shared" si="29"/>
        <v>0.23172724479999993</v>
      </c>
      <c r="BL11" s="390">
        <f t="shared" si="30"/>
        <v>0.31837859239935989</v>
      </c>
      <c r="BM11" s="390">
        <f t="shared" si="31"/>
        <v>0.39400030659116636</v>
      </c>
      <c r="BN11" s="390">
        <f t="shared" si="32"/>
        <v>0.46113728528308023</v>
      </c>
      <c r="BO11" s="390">
        <f t="shared" si="33"/>
        <v>8.386622764839835E-2</v>
      </c>
      <c r="BP11" s="390">
        <f t="shared" si="34"/>
        <v>0.12933600000000001</v>
      </c>
      <c r="BQ11" s="347"/>
      <c r="BU11" s="390">
        <f>IFERROR(AL11*$BS$2+BG11*$BS$4+Q11*$BS$3,VLOOKUP(A11,'Updated Ncino PD'!A:K,4,FALSE))</f>
        <v>1.7437661385965929E-2</v>
      </c>
      <c r="BV11" s="390">
        <f>IFERROR(AM11*$BS$2+BH11*$BS$4+R11*$BS$3,VLOOKUP(A11,'Updated Ncino PD'!A:K,5,FALSE))</f>
        <v>3.4490791697568905E-2</v>
      </c>
      <c r="BW11" s="390">
        <f>IFERROR(AN11*$BS$2+BI11*$BS$4+S11*$BS$3,VLOOKUP(A11,'Updated Ncino PD'!A:K,6,FALSE))</f>
        <v>5.1169394464148463E-2</v>
      </c>
      <c r="BX11" s="390">
        <f>IFERROR(AO11*$BS$2+BJ11*$BS$4+T11*$BS$3,VLOOKUP(A11,'Updated Ncino PD'!A:K,7,FALSE))</f>
        <v>6.7483199999999993E-2</v>
      </c>
      <c r="BY11" s="390">
        <f>IFERROR(AP11*$BS$2+BK11*$BS$4+U11*$BS$3,VLOOKUP(A11,'Updated Ncino PD'!A:K,8,FALSE))</f>
        <v>0.12388835815999993</v>
      </c>
      <c r="BZ11" s="390">
        <f>IFERROR(AQ11*$BS$2+BL11*$BS$4+V11*$BS$3,VLOOKUP(A11,'Updated Ncino PD'!A:K,9,FALSE))</f>
        <v>0.17364994359874394</v>
      </c>
      <c r="CA11" s="390">
        <f>IFERROR(AR11*$BS$2+BM11*$BS$4+W11*$BS$3,VLOOKUP(A11,'Updated Ncino PD'!A:K,10,FALSE))</f>
        <v>0.21875722648067464</v>
      </c>
      <c r="CB11" s="390">
        <f>IFERROR(AS11*$BS$2+BN11*$BS$4+X11*$BS$3,VLOOKUP(A11,'Updated Ncino PD'!A:K,11,FALSE))</f>
        <v>0.26022055642080777</v>
      </c>
      <c r="CC11" s="390">
        <f t="shared" si="1"/>
        <v>4.3639475876061991E-2</v>
      </c>
      <c r="CD11" s="390">
        <f t="shared" si="1"/>
        <v>6.7483199999999993E-2</v>
      </c>
      <c r="CF11" s="450">
        <f t="shared" si="35"/>
        <v>4.9619999999999997E-2</v>
      </c>
      <c r="CG11" s="450">
        <f t="shared" si="2"/>
        <v>4.5170000000000002E-2</v>
      </c>
      <c r="CH11" s="450">
        <f t="shared" si="2"/>
        <v>4.2764999999999997E-2</v>
      </c>
      <c r="CI11" s="450">
        <f t="shared" si="2"/>
        <v>4.1259999999999998E-2</v>
      </c>
      <c r="CJ11" s="450">
        <f t="shared" si="2"/>
        <v>4.0154999999999996E-2</v>
      </c>
    </row>
    <row r="12" spans="1:88" s="355" customFormat="1" hidden="1" x14ac:dyDescent="0.25">
      <c r="A12" s="400">
        <v>1100000153</v>
      </c>
      <c r="B12" s="455" t="str">
        <f>VLOOKUP(A12,'Loan Book Summary'!C:G,5,FALSE)</f>
        <v>0015800001b11sC</v>
      </c>
      <c r="C12" s="167">
        <f>VLOOKUP(A12,'Ref-Data'!$A:$I,9,0)</f>
        <v>1</v>
      </c>
      <c r="D12" s="445">
        <f>VLOOKUP(A12,'Adjustment Factor'!A:C,3,0)</f>
        <v>0.85</v>
      </c>
      <c r="E12" s="446">
        <f>VLOOKUP(A12,'Ref-Data'!A:C,2,FALSE)</f>
        <v>40245859.899999999</v>
      </c>
      <c r="F12" s="445">
        <f>VLOOKUP(A12,'Ref-Data'!$A:$F,6,FALSE)</f>
        <v>1.4045174537987679</v>
      </c>
      <c r="G12" s="346"/>
      <c r="H12" s="273">
        <f>VLOOKUP($B12, 'Output 96% Downside'!$A:$CW,42,FALSE)</f>
        <v>0.10349999999999999</v>
      </c>
      <c r="I12" s="273">
        <f>VLOOKUP($B12, 'Output 96% Downside'!$A:$CW,43,FALSE)</f>
        <v>7.6200000000000004E-2</v>
      </c>
      <c r="J12" s="273">
        <f>VLOOKUP($B12, 'Output 96% Downside'!$A:$CW,44,FALSE)</f>
        <v>6.3600000000000004E-2</v>
      </c>
      <c r="K12" s="273">
        <f>VLOOKUP($B12, 'Output 96% Downside'!$A:$CW,45,FALSE)</f>
        <v>5.5899999999999998E-2</v>
      </c>
      <c r="L12" s="273">
        <f>VLOOKUP($B12, 'Output 96% Downside'!$A:$CW,46,FALSE)</f>
        <v>5.0500000000000003E-2</v>
      </c>
      <c r="M12" s="447">
        <f t="shared" si="0"/>
        <v>2.6944585768612694E-2</v>
      </c>
      <c r="N12" s="447">
        <f t="shared" si="3"/>
        <v>5.3163160834983292E-2</v>
      </c>
      <c r="O12" s="447">
        <f t="shared" si="4"/>
        <v>7.8675287256747217E-2</v>
      </c>
      <c r="P12" s="346"/>
      <c r="Q12" s="390">
        <f t="shared" si="5"/>
        <v>2.2902897903320788E-2</v>
      </c>
      <c r="R12" s="390">
        <f t="shared" si="5"/>
        <v>4.5188686709735797E-2</v>
      </c>
      <c r="S12" s="390">
        <f t="shared" si="5"/>
        <v>6.6873994168235126E-2</v>
      </c>
      <c r="T12" s="390">
        <f t="shared" si="6"/>
        <v>8.7974999999999998E-2</v>
      </c>
      <c r="U12" s="390">
        <f t="shared" si="7"/>
        <v>0.14604130500000004</v>
      </c>
      <c r="V12" s="390">
        <f t="shared" si="8"/>
        <v>0.19081307800200004</v>
      </c>
      <c r="W12" s="390">
        <f t="shared" si="9"/>
        <v>0.22766162694168818</v>
      </c>
      <c r="X12" s="390">
        <f t="shared" si="10"/>
        <v>0.25908971478113296</v>
      </c>
      <c r="Y12" s="390">
        <f t="shared" si="11"/>
        <v>8.7974999999999998E-2</v>
      </c>
      <c r="Z12" s="390">
        <f t="shared" si="12"/>
        <v>0.14604130500000004</v>
      </c>
      <c r="AC12" s="273">
        <f>VLOOKUP($B12, 'Output Baseline'!$A:$CW,42,FALSE)</f>
        <v>0.11260000000000001</v>
      </c>
      <c r="AD12" s="273">
        <f>VLOOKUP($B12, 'Output Baseline'!$A:$CW,43,FALSE)</f>
        <v>8.8200000000000001E-2</v>
      </c>
      <c r="AE12" s="273">
        <f>VLOOKUP($B12, 'Output Baseline'!$A:$CW,44,FALSE)</f>
        <v>7.6300000000000007E-2</v>
      </c>
      <c r="AF12" s="273">
        <f>VLOOKUP($B12, 'Output Baseline'!$A:$CW,45,FALSE)</f>
        <v>6.8900000000000003E-2</v>
      </c>
      <c r="AG12" s="273">
        <f>VLOOKUP($B12, 'Output Baseline'!$A:$CW,46,FALSE)</f>
        <v>6.3600000000000004E-2</v>
      </c>
      <c r="AH12" s="447">
        <f t="shared" si="13"/>
        <v>2.942331158921041E-2</v>
      </c>
      <c r="AI12" s="447">
        <f t="shared" si="14"/>
        <v>5.7980891913545052E-2</v>
      </c>
      <c r="AJ12" s="447">
        <f t="shared" si="15"/>
        <v>8.5698213653762845E-2</v>
      </c>
      <c r="AK12" s="346"/>
      <c r="AL12" s="390">
        <f t="shared" si="16"/>
        <v>2.5009814850828847E-2</v>
      </c>
      <c r="AM12" s="390">
        <f t="shared" si="16"/>
        <v>4.928375812651329E-2</v>
      </c>
      <c r="AN12" s="390">
        <f t="shared" si="16"/>
        <v>7.284348160569841E-2</v>
      </c>
      <c r="AO12" s="390">
        <f t="shared" si="17"/>
        <v>9.5710000000000003E-2</v>
      </c>
      <c r="AP12" s="390">
        <f t="shared" si="18"/>
        <v>0.1622383780000001</v>
      </c>
      <c r="AQ12" s="390">
        <f t="shared" si="19"/>
        <v>0.21471458975860014</v>
      </c>
      <c r="AR12" s="390">
        <f t="shared" si="20"/>
        <v>0.25848575452423256</v>
      </c>
      <c r="AS12" s="390">
        <f t="shared" si="21"/>
        <v>0.29610606053649136</v>
      </c>
      <c r="AT12" s="390">
        <f t="shared" si="22"/>
        <v>9.5710000000000003E-2</v>
      </c>
      <c r="AU12" s="390">
        <f t="shared" si="23"/>
        <v>0.1622383780000001</v>
      </c>
      <c r="AX12" s="273">
        <f>VLOOKUP($B12, 'Output 90% Downside'!$A:$CW,42,FALSE)</f>
        <v>0.11260000000000001</v>
      </c>
      <c r="AY12" s="273">
        <f>VLOOKUP($B12, 'Output 90% Downside'!$A:$CW,43,FALSE)</f>
        <v>8.7999999999999995E-2</v>
      </c>
      <c r="AZ12" s="273">
        <f>VLOOKUP($B12, 'Output 90% Downside'!$A:$CW,44,FALSE)</f>
        <v>7.6100000000000001E-2</v>
      </c>
      <c r="BA12" s="273">
        <f>VLOOKUP($B12, 'Output 90% Downside'!$A:$CW,45,FALSE)</f>
        <v>6.8599999999999994E-2</v>
      </c>
      <c r="BB12" s="273">
        <f>VLOOKUP($B12, 'Output 90% Downside'!$A:$CW,46,FALSE)</f>
        <v>6.3299999999999995E-2</v>
      </c>
      <c r="BC12" s="447">
        <f t="shared" si="24"/>
        <v>2.942331158921041E-2</v>
      </c>
      <c r="BD12" s="447">
        <f t="shared" si="25"/>
        <v>5.7980891913545052E-2</v>
      </c>
      <c r="BE12" s="447">
        <f t="shared" si="26"/>
        <v>8.5698213653762845E-2</v>
      </c>
      <c r="BF12" s="346"/>
      <c r="BG12" s="390">
        <f t="shared" si="27"/>
        <v>2.5009814850828847E-2</v>
      </c>
      <c r="BH12" s="390">
        <f t="shared" si="27"/>
        <v>4.928375812651329E-2</v>
      </c>
      <c r="BI12" s="390">
        <f t="shared" si="27"/>
        <v>7.284348160569841E-2</v>
      </c>
      <c r="BJ12" s="390">
        <f t="shared" si="28"/>
        <v>9.5710000000000003E-2</v>
      </c>
      <c r="BK12" s="390">
        <f t="shared" si="29"/>
        <v>0.16208751999999996</v>
      </c>
      <c r="BL12" s="390">
        <f t="shared" si="30"/>
        <v>0.21443765972800002</v>
      </c>
      <c r="BM12" s="390">
        <f t="shared" si="31"/>
        <v>0.25803723627065922</v>
      </c>
      <c r="BN12" s="390">
        <f t="shared" si="32"/>
        <v>0.2955084792147265</v>
      </c>
      <c r="BO12" s="390">
        <f t="shared" si="33"/>
        <v>9.5710000000000003E-2</v>
      </c>
      <c r="BP12" s="390">
        <f t="shared" si="34"/>
        <v>0.16208751999999996</v>
      </c>
      <c r="BQ12" s="347"/>
      <c r="BU12" s="390">
        <f>IFERROR(AL12*$BS$2+BG12*$BS$4+Q12*$BS$3,VLOOKUP(A12,'Updated Ncino PD'!A:K,4,FALSE))</f>
        <v>2.4904469003453444E-2</v>
      </c>
      <c r="BV12" s="390">
        <f>IFERROR(AM12*$BS$2+BH12*$BS$4+R12*$BS$3,VLOOKUP(A12,'Updated Ncino PD'!A:K,5,FALSE))</f>
        <v>4.9079004555674412E-2</v>
      </c>
      <c r="BW12" s="390">
        <f>IFERROR(AN12*$BS$2+BI12*$BS$4+S12*$BS$3,VLOOKUP(A12,'Updated Ncino PD'!A:K,6,FALSE))</f>
        <v>7.2545007233825232E-2</v>
      </c>
      <c r="BX12" s="390">
        <f>IFERROR(AO12*$BS$2+BJ12*$BS$4+T12*$BS$3,VLOOKUP(A12,'Updated Ncino PD'!A:K,7,FALSE))</f>
        <v>9.5323249999999998E-2</v>
      </c>
      <c r="BY12" s="390">
        <f>IFERROR(AP12*$BS$2+BK12*$BS$4+U12*$BS$3,VLOOKUP(A12,'Updated Ncino PD'!A:K,8,FALSE))</f>
        <v>0.16137572405000003</v>
      </c>
      <c r="BZ12" s="390">
        <f>IFERROR(AQ12*$BS$2+BL12*$BS$4+V12*$BS$3,VLOOKUP(A12,'Updated Ncino PD'!A:K,9,FALSE))</f>
        <v>0.21342258866006009</v>
      </c>
      <c r="CA12" s="390">
        <f>IFERROR(AR12*$BS$2+BM12*$BS$4+W12*$BS$3,VLOOKUP(A12,'Updated Ncino PD'!A:K,10,FALSE))</f>
        <v>0.25678756675635467</v>
      </c>
      <c r="CB12" s="390">
        <f>IFERROR(AS12*$BS$2+BN12*$BS$4+X12*$BS$3,VLOOKUP(A12,'Updated Ncino PD'!A:K,11,FALSE))</f>
        <v>0.29404608978610575</v>
      </c>
      <c r="CC12" s="390">
        <f t="shared" si="1"/>
        <v>9.5323249999999998E-2</v>
      </c>
      <c r="CD12" s="390">
        <f t="shared" si="1"/>
        <v>0.16137572405000003</v>
      </c>
      <c r="CF12" s="450">
        <f t="shared" si="35"/>
        <v>0.11214499999999999</v>
      </c>
      <c r="CG12" s="450">
        <f t="shared" si="2"/>
        <v>8.7529999999999997E-2</v>
      </c>
      <c r="CH12" s="450">
        <f t="shared" si="2"/>
        <v>7.5594999999999996E-2</v>
      </c>
      <c r="CI12" s="450">
        <f t="shared" si="2"/>
        <v>6.8144999999999997E-2</v>
      </c>
      <c r="CJ12" s="450">
        <f t="shared" si="2"/>
        <v>6.2839999999999993E-2</v>
      </c>
    </row>
    <row r="13" spans="1:88" s="355" customFormat="1" hidden="1" x14ac:dyDescent="0.25">
      <c r="A13" s="400">
        <v>1100000151</v>
      </c>
      <c r="B13" s="455" t="str">
        <f>VLOOKUP(A13,'Loan Book Summary'!C:G,5,FALSE)</f>
        <v>0015800001fH29a</v>
      </c>
      <c r="C13" s="167">
        <f>VLOOKUP(A13,'Ref-Data'!$A:$I,9,0)</f>
        <v>1</v>
      </c>
      <c r="D13" s="445">
        <f>VLOOKUP(A13,'Adjustment Factor'!A:C,3,0)</f>
        <v>1.1828351624093423</v>
      </c>
      <c r="E13" s="446">
        <f>VLOOKUP(A13,'Ref-Data'!A:C,2,FALSE)</f>
        <v>16818750</v>
      </c>
      <c r="F13" s="445">
        <f>VLOOKUP(A13,'Ref-Data'!$A:$F,6,FALSE)</f>
        <v>2.0588637919233403</v>
      </c>
      <c r="G13" s="346"/>
      <c r="H13" s="273">
        <f>VLOOKUP($B13, 'Output 96% Downside'!$A:$CW,42,FALSE)</f>
        <v>3.3E-3</v>
      </c>
      <c r="I13" s="273">
        <f>VLOOKUP($B13, 'Output 96% Downside'!$A:$CW,43,FALSE)</f>
        <v>3.0000000000000001E-3</v>
      </c>
      <c r="J13" s="273">
        <f>VLOOKUP($B13, 'Output 96% Downside'!$A:$CW,44,FALSE)</f>
        <v>2.8E-3</v>
      </c>
      <c r="K13" s="273">
        <f>VLOOKUP($B13, 'Output 96% Downside'!$A:$CW,45,FALSE)</f>
        <v>2.7000000000000001E-3</v>
      </c>
      <c r="L13" s="273">
        <f>VLOOKUP($B13, 'Output 96% Downside'!$A:$CW,46,FALSE)</f>
        <v>2.5999999999999999E-3</v>
      </c>
      <c r="M13" s="447">
        <f t="shared" si="0"/>
        <v>8.2602290727451511E-4</v>
      </c>
      <c r="N13" s="447">
        <f t="shared" si="3"/>
        <v>1.6513635007057159E-3</v>
      </c>
      <c r="O13" s="447">
        <f t="shared" si="4"/>
        <v>2.4760223439004303E-3</v>
      </c>
      <c r="P13" s="346"/>
      <c r="Q13" s="390">
        <f t="shared" si="5"/>
        <v>9.7704893967988805E-4</v>
      </c>
      <c r="R13" s="390">
        <f t="shared" si="5"/>
        <v>1.9532908145541055E-3</v>
      </c>
      <c r="S13" s="390">
        <f t="shared" si="5"/>
        <v>2.9287262912766256E-3</v>
      </c>
      <c r="T13" s="390">
        <f t="shared" si="6"/>
        <v>3.9033560359508293E-3</v>
      </c>
      <c r="U13" s="390">
        <f t="shared" si="7"/>
        <v>7.4401514550709626E-3</v>
      </c>
      <c r="V13" s="390">
        <f t="shared" si="8"/>
        <v>1.073125748574299E-2</v>
      </c>
      <c r="W13" s="390">
        <f t="shared" si="9"/>
        <v>1.38959380290367E-2</v>
      </c>
      <c r="X13" s="390">
        <f t="shared" si="10"/>
        <v>1.69351800124256E-2</v>
      </c>
      <c r="Y13" s="390">
        <f t="shared" si="11"/>
        <v>3.9033560359508293E-3</v>
      </c>
      <c r="Z13" s="390">
        <f t="shared" si="12"/>
        <v>1.073125748574299E-2</v>
      </c>
      <c r="AC13" s="273">
        <f>VLOOKUP($B13, 'Output Baseline'!$A:$CW,42,FALSE)</f>
        <v>2.2000000000000001E-3</v>
      </c>
      <c r="AD13" s="273">
        <f>VLOOKUP($B13, 'Output Baseline'!$A:$CW,43,FALSE)</f>
        <v>2.0999999999999999E-3</v>
      </c>
      <c r="AE13" s="273">
        <f>VLOOKUP($B13, 'Output Baseline'!$A:$CW,44,FALSE)</f>
        <v>2E-3</v>
      </c>
      <c r="AF13" s="273">
        <f>VLOOKUP($B13, 'Output Baseline'!$A:$CW,45,FALSE)</f>
        <v>2E-3</v>
      </c>
      <c r="AG13" s="273">
        <f>VLOOKUP($B13, 'Output Baseline'!$A:$CW,46,FALSE)</f>
        <v>2E-3</v>
      </c>
      <c r="AH13" s="447">
        <f t="shared" si="13"/>
        <v>5.5045433319467207E-4</v>
      </c>
      <c r="AI13" s="447">
        <f t="shared" si="14"/>
        <v>1.1006056664164543E-3</v>
      </c>
      <c r="AJ13" s="447">
        <f t="shared" si="15"/>
        <v>1.6504541664529304E-3</v>
      </c>
      <c r="AK13" s="346"/>
      <c r="AL13" s="390">
        <f t="shared" si="16"/>
        <v>6.5109674060324614E-4</v>
      </c>
      <c r="AM13" s="390">
        <f t="shared" si="16"/>
        <v>1.3018350821843491E-3</v>
      </c>
      <c r="AN13" s="390">
        <f t="shared" si="16"/>
        <v>1.9522152220255275E-3</v>
      </c>
      <c r="AO13" s="390">
        <f t="shared" si="17"/>
        <v>2.6022373573005532E-3</v>
      </c>
      <c r="AP13" s="390">
        <f t="shared" si="18"/>
        <v>5.0807264999097931E-3</v>
      </c>
      <c r="AQ13" s="390">
        <f t="shared" si="19"/>
        <v>7.4362353717286151E-3</v>
      </c>
      <c r="AR13" s="390">
        <f t="shared" si="20"/>
        <v>9.7870332258039074E-3</v>
      </c>
      <c r="AS13" s="390">
        <f t="shared" si="21"/>
        <v>1.2133129484170989E-2</v>
      </c>
      <c r="AT13" s="390">
        <f t="shared" si="22"/>
        <v>2.6022373573005532E-3</v>
      </c>
      <c r="AU13" s="390">
        <f t="shared" si="23"/>
        <v>7.4362353717286151E-3</v>
      </c>
      <c r="AX13" s="273">
        <f>VLOOKUP($B13, 'Output 90% Downside'!$A:$CW,42,FALSE)</f>
        <v>2.5999999999999999E-3</v>
      </c>
      <c r="AY13" s="273">
        <f>VLOOKUP($B13, 'Output 90% Downside'!$A:$CW,43,FALSE)</f>
        <v>2.3999999999999998E-3</v>
      </c>
      <c r="AZ13" s="273">
        <f>VLOOKUP($B13, 'Output 90% Downside'!$A:$CW,44,FALSE)</f>
        <v>2.3E-3</v>
      </c>
      <c r="BA13" s="273">
        <f>VLOOKUP($B13, 'Output 90% Downside'!$A:$CW,45,FALSE)</f>
        <v>2.3E-3</v>
      </c>
      <c r="BB13" s="273">
        <f>VLOOKUP($B13, 'Output 90% Downside'!$A:$CW,46,FALSE)</f>
        <v>2.2000000000000001E-3</v>
      </c>
      <c r="BC13" s="447">
        <f t="shared" si="24"/>
        <v>6.5063471290893737E-4</v>
      </c>
      <c r="BD13" s="447">
        <f t="shared" si="25"/>
        <v>1.3008461002882443E-3</v>
      </c>
      <c r="BE13" s="447">
        <f t="shared" si="26"/>
        <v>1.950634437568155E-3</v>
      </c>
      <c r="BF13" s="346"/>
      <c r="BG13" s="390">
        <f t="shared" si="27"/>
        <v>7.695936163127987E-4</v>
      </c>
      <c r="BH13" s="390">
        <f t="shared" si="27"/>
        <v>1.5386865083040051E-3</v>
      </c>
      <c r="BI13" s="390">
        <f t="shared" si="27"/>
        <v>2.3072790017621848E-3</v>
      </c>
      <c r="BJ13" s="390">
        <f t="shared" si="28"/>
        <v>3.0753714222642899E-3</v>
      </c>
      <c r="BK13" s="390">
        <f t="shared" si="29"/>
        <v>5.9067949206332276E-3</v>
      </c>
      <c r="BL13" s="390">
        <f t="shared" si="30"/>
        <v>8.6137301658571978E-3</v>
      </c>
      <c r="BM13" s="390">
        <f t="shared" si="31"/>
        <v>1.1314439460017195E-2</v>
      </c>
      <c r="BN13" s="390">
        <f t="shared" si="32"/>
        <v>1.3891785050505711E-2</v>
      </c>
      <c r="BO13" s="390">
        <f t="shared" si="33"/>
        <v>3.0753714222642899E-3</v>
      </c>
      <c r="BP13" s="390">
        <f t="shared" si="34"/>
        <v>8.6137301658571978E-3</v>
      </c>
      <c r="BQ13" s="347"/>
      <c r="BU13" s="390">
        <f>IFERROR(AL13*$BS$2+BG13*$BS$4+Q13*$BS$3,VLOOKUP(A13,'Updated Ncino PD'!A:K,4,FALSE))</f>
        <v>7.0886825705542152E-4</v>
      </c>
      <c r="BV13" s="390">
        <f>IFERROR(AM13*$BS$2+BH13*$BS$4+R13*$BS$3,VLOOKUP(A13,'Updated Ncino PD'!A:K,5,FALSE))</f>
        <v>1.4173058679447165E-3</v>
      </c>
      <c r="BW13" s="390">
        <f>IFERROR(AN13*$BS$2+BI13*$BS$4+S13*$BS$3,VLOOKUP(A13,'Updated Ncino PD'!A:K,6,FALSE))</f>
        <v>2.1253130983959123E-3</v>
      </c>
      <c r="BX13" s="390">
        <f>IFERROR(AO13*$BS$2+BJ13*$BS$4+T13*$BS$3,VLOOKUP(A13,'Updated Ncino PD'!A:K,7,FALSE))</f>
        <v>2.8328902139703746E-3</v>
      </c>
      <c r="BY13" s="390">
        <f>IFERROR(AP13*$BS$2+BK13*$BS$4+U13*$BS$3,VLOOKUP(A13,'Updated Ncino PD'!A:K,8,FALSE))</f>
        <v>5.4878216949210534E-3</v>
      </c>
      <c r="BZ13" s="390">
        <f>IFERROR(AQ13*$BS$2+BL13*$BS$4+V13*$BS$3,VLOOKUP(A13,'Updated Ncino PD'!A:K,9,FALSE))</f>
        <v>8.0131096553743373E-3</v>
      </c>
      <c r="CA13" s="390">
        <f>IFERROR(AR13*$BS$2+BM13*$BS$4+W13*$BS$3,VLOOKUP(A13,'Updated Ncino PD'!A:K,10,FALSE))</f>
        <v>1.0527070647940198E-2</v>
      </c>
      <c r="CB13" s="390">
        <f>IFERROR(AS13*$BS$2+BN13*$BS$4+X13*$BS$3,VLOOKUP(A13,'Updated Ncino PD'!A:K,11,FALSE))</f>
        <v>1.298876145880087E-2</v>
      </c>
      <c r="CC13" s="390">
        <f t="shared" si="1"/>
        <v>2.8328902139703746E-3</v>
      </c>
      <c r="CD13" s="390">
        <f t="shared" si="1"/>
        <v>8.0131096553743373E-3</v>
      </c>
      <c r="CF13" s="450">
        <f t="shared" si="35"/>
        <v>2.395E-3</v>
      </c>
      <c r="CG13" s="450">
        <f t="shared" si="2"/>
        <v>2.2499999999999998E-3</v>
      </c>
      <c r="CH13" s="450">
        <f t="shared" si="2"/>
        <v>2.1449999999999998E-3</v>
      </c>
      <c r="CI13" s="450">
        <f t="shared" si="2"/>
        <v>2.1399999999999995E-3</v>
      </c>
      <c r="CJ13" s="450">
        <f t="shared" si="2"/>
        <v>2.0999999999999999E-3</v>
      </c>
    </row>
    <row r="14" spans="1:88" s="355" customFormat="1" hidden="1" x14ac:dyDescent="0.25">
      <c r="A14" s="400">
        <v>1100000186</v>
      </c>
      <c r="B14" s="455" t="str">
        <f>VLOOKUP(A14,'Loan Book Summary'!C:G,5,FALSE)</f>
        <v>0014I00001i941O</v>
      </c>
      <c r="C14" s="167">
        <f>VLOOKUP(A14,'Ref-Data'!$A:$I,9,0)</f>
        <v>1</v>
      </c>
      <c r="D14" s="445">
        <f>VLOOKUP(A14,'Adjustment Factor'!A:C,3,0)</f>
        <v>1.37</v>
      </c>
      <c r="E14" s="446">
        <f>VLOOKUP(A14,'Ref-Data'!A:C,2,FALSE)</f>
        <v>172500</v>
      </c>
      <c r="F14" s="445">
        <f>VLOOKUP(A14,'Ref-Data'!$A:$F,6,FALSE)</f>
        <v>1.8562628336755647</v>
      </c>
      <c r="G14" s="346"/>
      <c r="H14" s="273">
        <f>VLOOKUP($B14, 'Output 96% Downside'!$A:$CW,42,FALSE)</f>
        <v>1.4E-3</v>
      </c>
      <c r="I14" s="273">
        <f>VLOOKUP($B14, 'Output 96% Downside'!$A:$CW,43,FALSE)</f>
        <v>1.5E-3</v>
      </c>
      <c r="J14" s="273">
        <f>VLOOKUP($B14, 'Output 96% Downside'!$A:$CW,44,FALSE)</f>
        <v>1.6000000000000001E-3</v>
      </c>
      <c r="K14" s="273">
        <f>VLOOKUP($B14, 'Output 96% Downside'!$A:$CW,45,FALSE)</f>
        <v>1.6999999999999999E-3</v>
      </c>
      <c r="L14" s="273">
        <f>VLOOKUP($B14, 'Output 96% Downside'!$A:$CW,46,FALSE)</f>
        <v>1.6999999999999999E-3</v>
      </c>
      <c r="M14" s="447">
        <f t="shared" si="0"/>
        <v>3.5018390020702395E-4</v>
      </c>
      <c r="N14" s="447">
        <f t="shared" si="3"/>
        <v>7.0024517165012679E-4</v>
      </c>
      <c r="O14" s="447">
        <f t="shared" si="4"/>
        <v>1.0501838572718469E-3</v>
      </c>
      <c r="P14" s="346"/>
      <c r="Q14" s="390">
        <f t="shared" si="5"/>
        <v>4.7975194328362286E-4</v>
      </c>
      <c r="R14" s="390">
        <f t="shared" si="5"/>
        <v>9.5933588516067378E-4</v>
      </c>
      <c r="S14" s="390">
        <f t="shared" si="5"/>
        <v>1.4387518844624304E-3</v>
      </c>
      <c r="T14" s="390">
        <f t="shared" si="6"/>
        <v>1.9180000000000002E-3</v>
      </c>
      <c r="U14" s="390">
        <f t="shared" si="7"/>
        <v>3.9701229999998602E-3</v>
      </c>
      <c r="V14" s="390">
        <f t="shared" si="8"/>
        <v>6.1557708031998474E-3</v>
      </c>
      <c r="W14" s="390">
        <f t="shared" si="9"/>
        <v>8.4743059928344289E-3</v>
      </c>
      <c r="X14" s="390">
        <f t="shared" si="10"/>
        <v>1.0788899672646643E-2</v>
      </c>
      <c r="Y14" s="390">
        <f t="shared" si="11"/>
        <v>1.9180000000000002E-3</v>
      </c>
      <c r="Z14" s="390">
        <f t="shared" si="12"/>
        <v>3.9701229999998602E-3</v>
      </c>
      <c r="AC14" s="273">
        <f>VLOOKUP($B14, 'Output Baseline'!$A:$CW,42,FALSE)</f>
        <v>1.4E-3</v>
      </c>
      <c r="AD14" s="273">
        <f>VLOOKUP($B14, 'Output Baseline'!$A:$CW,43,FALSE)</f>
        <v>1.6000000000000001E-3</v>
      </c>
      <c r="AE14" s="273">
        <f>VLOOKUP($B14, 'Output Baseline'!$A:$CW,44,FALSE)</f>
        <v>1.6000000000000001E-3</v>
      </c>
      <c r="AF14" s="273">
        <f>VLOOKUP($B14, 'Output Baseline'!$A:$CW,45,FALSE)</f>
        <v>1.6999999999999999E-3</v>
      </c>
      <c r="AG14" s="273">
        <f>VLOOKUP($B14, 'Output Baseline'!$A:$CW,46,FALSE)</f>
        <v>1.6999999999999999E-3</v>
      </c>
      <c r="AH14" s="447">
        <f t="shared" si="13"/>
        <v>3.5018390020702395E-4</v>
      </c>
      <c r="AI14" s="447">
        <f t="shared" si="14"/>
        <v>7.0024517165012679E-4</v>
      </c>
      <c r="AJ14" s="447">
        <f t="shared" si="15"/>
        <v>1.0501838572718469E-3</v>
      </c>
      <c r="AK14" s="346"/>
      <c r="AL14" s="390">
        <f t="shared" si="16"/>
        <v>4.7975194328362286E-4</v>
      </c>
      <c r="AM14" s="390">
        <f t="shared" si="16"/>
        <v>9.5933588516067378E-4</v>
      </c>
      <c r="AN14" s="390">
        <f t="shared" si="16"/>
        <v>1.4387518844624304E-3</v>
      </c>
      <c r="AO14" s="390">
        <f t="shared" si="17"/>
        <v>1.9180000000000002E-3</v>
      </c>
      <c r="AP14" s="390">
        <f t="shared" si="18"/>
        <v>4.1069311999999457E-3</v>
      </c>
      <c r="AQ14" s="390">
        <f t="shared" si="19"/>
        <v>6.2923601100799524E-3</v>
      </c>
      <c r="AR14" s="390">
        <f t="shared" si="20"/>
        <v>8.6106630978929344E-3</v>
      </c>
      <c r="AS14" s="390">
        <f t="shared" si="21"/>
        <v>1.0925024970626616E-2</v>
      </c>
      <c r="AT14" s="390">
        <f t="shared" si="22"/>
        <v>1.9180000000000002E-3</v>
      </c>
      <c r="AU14" s="390">
        <f t="shared" si="23"/>
        <v>4.1069311999999457E-3</v>
      </c>
      <c r="AX14" s="273">
        <f>VLOOKUP($B14, 'Output 90% Downside'!$A:$CW,42,FALSE)</f>
        <v>1.4E-3</v>
      </c>
      <c r="AY14" s="273">
        <f>VLOOKUP($B14, 'Output 90% Downside'!$A:$CW,43,FALSE)</f>
        <v>1.5E-3</v>
      </c>
      <c r="AZ14" s="273">
        <f>VLOOKUP($B14, 'Output 90% Downside'!$A:$CW,44,FALSE)</f>
        <v>1.6000000000000001E-3</v>
      </c>
      <c r="BA14" s="273">
        <f>VLOOKUP($B14, 'Output 90% Downside'!$A:$CW,45,FALSE)</f>
        <v>1.6999999999999999E-3</v>
      </c>
      <c r="BB14" s="273">
        <f>VLOOKUP($B14, 'Output 90% Downside'!$A:$CW,46,FALSE)</f>
        <v>1.6999999999999999E-3</v>
      </c>
      <c r="BC14" s="447">
        <f t="shared" si="24"/>
        <v>3.5018390020702395E-4</v>
      </c>
      <c r="BD14" s="447">
        <f t="shared" si="25"/>
        <v>7.0024517165012679E-4</v>
      </c>
      <c r="BE14" s="447">
        <f t="shared" si="26"/>
        <v>1.0501838572718469E-3</v>
      </c>
      <c r="BF14" s="346"/>
      <c r="BG14" s="390">
        <f t="shared" si="27"/>
        <v>4.7975194328362286E-4</v>
      </c>
      <c r="BH14" s="390">
        <f t="shared" si="27"/>
        <v>9.5933588516067378E-4</v>
      </c>
      <c r="BI14" s="390">
        <f t="shared" si="27"/>
        <v>1.4387518844624304E-3</v>
      </c>
      <c r="BJ14" s="390">
        <f t="shared" si="28"/>
        <v>1.9180000000000002E-3</v>
      </c>
      <c r="BK14" s="390">
        <f t="shared" si="29"/>
        <v>3.9701229999998602E-3</v>
      </c>
      <c r="BL14" s="390">
        <f t="shared" si="30"/>
        <v>6.1557708031998474E-3</v>
      </c>
      <c r="BM14" s="390">
        <f t="shared" si="31"/>
        <v>8.4743059928344289E-3</v>
      </c>
      <c r="BN14" s="390">
        <f t="shared" si="32"/>
        <v>1.0788899672646643E-2</v>
      </c>
      <c r="BO14" s="390">
        <f t="shared" si="33"/>
        <v>1.9180000000000002E-3</v>
      </c>
      <c r="BP14" s="390">
        <f t="shared" si="34"/>
        <v>3.9701229999998602E-3</v>
      </c>
      <c r="BQ14" s="347"/>
      <c r="BU14" s="390">
        <f>IFERROR(AL14*$BS$2+BG14*$BS$4+Q14*$BS$3,VLOOKUP(A14,'Updated Ncino PD'!A:K,4,FALSE))</f>
        <v>4.7975194328362286E-4</v>
      </c>
      <c r="BV14" s="390">
        <f>IFERROR(AM14*$BS$2+BH14*$BS$4+R14*$BS$3,VLOOKUP(A14,'Updated Ncino PD'!A:K,5,FALSE))</f>
        <v>9.5933588516067378E-4</v>
      </c>
      <c r="BW14" s="390">
        <f>IFERROR(AN14*$BS$2+BI14*$BS$4+S14*$BS$3,VLOOKUP(A14,'Updated Ncino PD'!A:K,6,FALSE))</f>
        <v>1.4387518844624302E-3</v>
      </c>
      <c r="BX14" s="390">
        <f>IFERROR(AO14*$BS$2+BJ14*$BS$4+T14*$BS$3,VLOOKUP(A14,'Updated Ncino PD'!A:K,7,FALSE))</f>
        <v>1.9180000000000002E-3</v>
      </c>
      <c r="BY14" s="390">
        <f>IFERROR(AP14*$BS$2+BK14*$BS$4+U14*$BS$3,VLOOKUP(A14,'Updated Ncino PD'!A:K,8,FALSE))</f>
        <v>4.0522079199999108E-3</v>
      </c>
      <c r="BZ14" s="390">
        <f>IFERROR(AQ14*$BS$2+BL14*$BS$4+V14*$BS$3,VLOOKUP(A14,'Updated Ncino PD'!A:K,9,FALSE))</f>
        <v>6.2377243873279102E-3</v>
      </c>
      <c r="CA14" s="390">
        <f>IFERROR(AR14*$BS$2+BM14*$BS$4+W14*$BS$3,VLOOKUP(A14,'Updated Ncino PD'!A:K,10,FALSE))</f>
        <v>8.5561202558695308E-3</v>
      </c>
      <c r="CB14" s="390">
        <f>IFERROR(AS14*$BS$2+BN14*$BS$4+X14*$BS$3,VLOOKUP(A14,'Updated Ncino PD'!A:K,11,FALSE))</f>
        <v>1.0870574851434625E-2</v>
      </c>
      <c r="CC14" s="390">
        <f t="shared" si="1"/>
        <v>1.9180000000000002E-3</v>
      </c>
      <c r="CD14" s="390">
        <f t="shared" si="1"/>
        <v>4.0522079199999108E-3</v>
      </c>
      <c r="CF14" s="450">
        <f t="shared" si="35"/>
        <v>1.3999999999999998E-3</v>
      </c>
      <c r="CG14" s="450">
        <f t="shared" si="2"/>
        <v>1.5600000000000002E-3</v>
      </c>
      <c r="CH14" s="450">
        <f t="shared" si="2"/>
        <v>1.6000000000000001E-3</v>
      </c>
      <c r="CI14" s="450">
        <f t="shared" si="2"/>
        <v>1.6999999999999997E-3</v>
      </c>
      <c r="CJ14" s="450">
        <f t="shared" si="2"/>
        <v>1.6999999999999997E-3</v>
      </c>
    </row>
    <row r="15" spans="1:88" s="355" customFormat="1" hidden="1" x14ac:dyDescent="0.25">
      <c r="A15" s="400">
        <v>1100000187</v>
      </c>
      <c r="B15" s="455" t="str">
        <f>VLOOKUP(A15,'Loan Book Summary'!C:G,5,FALSE)</f>
        <v>0014I00001i941O</v>
      </c>
      <c r="C15" s="167">
        <f>VLOOKUP(A15,'Ref-Data'!$A:$I,9,0)</f>
        <v>1</v>
      </c>
      <c r="D15" s="445">
        <f>VLOOKUP(A15,'Adjustment Factor'!A:C,3,0)</f>
        <v>1.37</v>
      </c>
      <c r="E15" s="446">
        <f>VLOOKUP(A15,'Ref-Data'!A:C,2,FALSE)</f>
        <v>100000</v>
      </c>
      <c r="F15" s="445">
        <f>VLOOKUP(A15,'Ref-Data'!$A:$F,6,FALSE)</f>
        <v>1.8562628336755647</v>
      </c>
      <c r="G15" s="346"/>
      <c r="H15" s="273">
        <f>VLOOKUP($B15, 'Output 96% Downside'!$A:$CW,42,FALSE)</f>
        <v>1.4E-3</v>
      </c>
      <c r="I15" s="273">
        <f>VLOOKUP($B15, 'Output 96% Downside'!$A:$CW,43,FALSE)</f>
        <v>1.5E-3</v>
      </c>
      <c r="J15" s="273">
        <f>VLOOKUP($B15, 'Output 96% Downside'!$A:$CW,44,FALSE)</f>
        <v>1.6000000000000001E-3</v>
      </c>
      <c r="K15" s="273">
        <f>VLOOKUP($B15, 'Output 96% Downside'!$A:$CW,45,FALSE)</f>
        <v>1.6999999999999999E-3</v>
      </c>
      <c r="L15" s="273">
        <f>VLOOKUP($B15, 'Output 96% Downside'!$A:$CW,46,FALSE)</f>
        <v>1.6999999999999999E-3</v>
      </c>
      <c r="M15" s="447">
        <f t="shared" si="0"/>
        <v>3.5018390020702395E-4</v>
      </c>
      <c r="N15" s="447">
        <f t="shared" si="3"/>
        <v>7.0024517165012679E-4</v>
      </c>
      <c r="O15" s="447">
        <f t="shared" si="4"/>
        <v>1.0501838572718469E-3</v>
      </c>
      <c r="P15" s="346"/>
      <c r="Q15" s="390">
        <f t="shared" si="5"/>
        <v>4.7975194328362286E-4</v>
      </c>
      <c r="R15" s="390">
        <f t="shared" si="5"/>
        <v>9.5933588516067378E-4</v>
      </c>
      <c r="S15" s="390">
        <f t="shared" si="5"/>
        <v>1.4387518844624304E-3</v>
      </c>
      <c r="T15" s="390">
        <f t="shared" si="6"/>
        <v>1.9180000000000002E-3</v>
      </c>
      <c r="U15" s="390">
        <f t="shared" si="7"/>
        <v>3.9701229999998602E-3</v>
      </c>
      <c r="V15" s="390">
        <f t="shared" si="8"/>
        <v>6.1557708031998474E-3</v>
      </c>
      <c r="W15" s="390">
        <f t="shared" si="9"/>
        <v>8.4743059928344289E-3</v>
      </c>
      <c r="X15" s="390">
        <f t="shared" si="10"/>
        <v>1.0788899672646643E-2</v>
      </c>
      <c r="Y15" s="390">
        <f t="shared" si="11"/>
        <v>1.9180000000000002E-3</v>
      </c>
      <c r="Z15" s="390">
        <f t="shared" si="12"/>
        <v>3.9701229999998602E-3</v>
      </c>
      <c r="AC15" s="273">
        <f>VLOOKUP($B15, 'Output Baseline'!$A:$CW,42,FALSE)</f>
        <v>1.4E-3</v>
      </c>
      <c r="AD15" s="273">
        <f>VLOOKUP($B15, 'Output Baseline'!$A:$CW,43,FALSE)</f>
        <v>1.6000000000000001E-3</v>
      </c>
      <c r="AE15" s="273">
        <f>VLOOKUP($B15, 'Output Baseline'!$A:$CW,44,FALSE)</f>
        <v>1.6000000000000001E-3</v>
      </c>
      <c r="AF15" s="273">
        <f>VLOOKUP($B15, 'Output Baseline'!$A:$CW,45,FALSE)</f>
        <v>1.6999999999999999E-3</v>
      </c>
      <c r="AG15" s="273">
        <f>VLOOKUP($B15, 'Output Baseline'!$A:$CW,46,FALSE)</f>
        <v>1.6999999999999999E-3</v>
      </c>
      <c r="AH15" s="447">
        <f t="shared" si="13"/>
        <v>3.5018390020702395E-4</v>
      </c>
      <c r="AI15" s="447">
        <f t="shared" si="14"/>
        <v>7.0024517165012679E-4</v>
      </c>
      <c r="AJ15" s="447">
        <f t="shared" si="15"/>
        <v>1.0501838572718469E-3</v>
      </c>
      <c r="AK15" s="346"/>
      <c r="AL15" s="390">
        <f t="shared" si="16"/>
        <v>4.7975194328362286E-4</v>
      </c>
      <c r="AM15" s="390">
        <f t="shared" si="16"/>
        <v>9.5933588516067378E-4</v>
      </c>
      <c r="AN15" s="390">
        <f t="shared" si="16"/>
        <v>1.4387518844624304E-3</v>
      </c>
      <c r="AO15" s="390">
        <f t="shared" si="17"/>
        <v>1.9180000000000002E-3</v>
      </c>
      <c r="AP15" s="390">
        <f t="shared" si="18"/>
        <v>4.1069311999999457E-3</v>
      </c>
      <c r="AQ15" s="390">
        <f t="shared" si="19"/>
        <v>6.2923601100799524E-3</v>
      </c>
      <c r="AR15" s="390">
        <f t="shared" si="20"/>
        <v>8.6106630978929344E-3</v>
      </c>
      <c r="AS15" s="390">
        <f t="shared" si="21"/>
        <v>1.0925024970626616E-2</v>
      </c>
      <c r="AT15" s="390">
        <f t="shared" si="22"/>
        <v>1.9180000000000002E-3</v>
      </c>
      <c r="AU15" s="390">
        <f t="shared" si="23"/>
        <v>4.1069311999999457E-3</v>
      </c>
      <c r="AX15" s="273">
        <f>VLOOKUP($B15, 'Output 90% Downside'!$A:$CW,42,FALSE)</f>
        <v>1.4E-3</v>
      </c>
      <c r="AY15" s="273">
        <f>VLOOKUP($B15, 'Output 90% Downside'!$A:$CW,43,FALSE)</f>
        <v>1.5E-3</v>
      </c>
      <c r="AZ15" s="273">
        <f>VLOOKUP($B15, 'Output 90% Downside'!$A:$CW,44,FALSE)</f>
        <v>1.6000000000000001E-3</v>
      </c>
      <c r="BA15" s="273">
        <f>VLOOKUP($B15, 'Output 90% Downside'!$A:$CW,45,FALSE)</f>
        <v>1.6999999999999999E-3</v>
      </c>
      <c r="BB15" s="273">
        <f>VLOOKUP($B15, 'Output 90% Downside'!$A:$CW,46,FALSE)</f>
        <v>1.6999999999999999E-3</v>
      </c>
      <c r="BC15" s="447">
        <f t="shared" si="24"/>
        <v>3.5018390020702395E-4</v>
      </c>
      <c r="BD15" s="447">
        <f t="shared" si="25"/>
        <v>7.0024517165012679E-4</v>
      </c>
      <c r="BE15" s="447">
        <f t="shared" si="26"/>
        <v>1.0501838572718469E-3</v>
      </c>
      <c r="BF15" s="346"/>
      <c r="BG15" s="390">
        <f t="shared" si="27"/>
        <v>4.7975194328362286E-4</v>
      </c>
      <c r="BH15" s="390">
        <f t="shared" si="27"/>
        <v>9.5933588516067378E-4</v>
      </c>
      <c r="BI15" s="390">
        <f t="shared" si="27"/>
        <v>1.4387518844624304E-3</v>
      </c>
      <c r="BJ15" s="390">
        <f t="shared" si="28"/>
        <v>1.9180000000000002E-3</v>
      </c>
      <c r="BK15" s="390">
        <f t="shared" si="29"/>
        <v>3.9701229999998602E-3</v>
      </c>
      <c r="BL15" s="390">
        <f t="shared" si="30"/>
        <v>6.1557708031998474E-3</v>
      </c>
      <c r="BM15" s="390">
        <f t="shared" si="31"/>
        <v>8.4743059928344289E-3</v>
      </c>
      <c r="BN15" s="390">
        <f t="shared" si="32"/>
        <v>1.0788899672646643E-2</v>
      </c>
      <c r="BO15" s="390">
        <f t="shared" si="33"/>
        <v>1.9180000000000002E-3</v>
      </c>
      <c r="BP15" s="390">
        <f t="shared" si="34"/>
        <v>3.9701229999998602E-3</v>
      </c>
      <c r="BQ15" s="347"/>
      <c r="BU15" s="390">
        <f>IFERROR(AL15*$BS$2+BG15*$BS$4+Q15*$BS$3,VLOOKUP(A15,'Updated Ncino PD'!A:K,4,FALSE))</f>
        <v>4.7975194328362286E-4</v>
      </c>
      <c r="BV15" s="390">
        <f>IFERROR(AM15*$BS$2+BH15*$BS$4+R15*$BS$3,VLOOKUP(A15,'Updated Ncino PD'!A:K,5,FALSE))</f>
        <v>9.5933588516067378E-4</v>
      </c>
      <c r="BW15" s="390">
        <f>IFERROR(AN15*$BS$2+BI15*$BS$4+S15*$BS$3,VLOOKUP(A15,'Updated Ncino PD'!A:K,6,FALSE))</f>
        <v>1.4387518844624302E-3</v>
      </c>
      <c r="BX15" s="390">
        <f>IFERROR(AO15*$BS$2+BJ15*$BS$4+T15*$BS$3,VLOOKUP(A15,'Updated Ncino PD'!A:K,7,FALSE))</f>
        <v>1.9180000000000002E-3</v>
      </c>
      <c r="BY15" s="390">
        <f>IFERROR(AP15*$BS$2+BK15*$BS$4+U15*$BS$3,VLOOKUP(A15,'Updated Ncino PD'!A:K,8,FALSE))</f>
        <v>4.0522079199999108E-3</v>
      </c>
      <c r="BZ15" s="390">
        <f>IFERROR(AQ15*$BS$2+BL15*$BS$4+V15*$BS$3,VLOOKUP(A15,'Updated Ncino PD'!A:K,9,FALSE))</f>
        <v>6.2377243873279102E-3</v>
      </c>
      <c r="CA15" s="390">
        <f>IFERROR(AR15*$BS$2+BM15*$BS$4+W15*$BS$3,VLOOKUP(A15,'Updated Ncino PD'!A:K,10,FALSE))</f>
        <v>8.5561202558695308E-3</v>
      </c>
      <c r="CB15" s="390">
        <f>IFERROR(AS15*$BS$2+BN15*$BS$4+X15*$BS$3,VLOOKUP(A15,'Updated Ncino PD'!A:K,11,FALSE))</f>
        <v>1.0870574851434625E-2</v>
      </c>
      <c r="CC15" s="390">
        <f t="shared" si="1"/>
        <v>1.9180000000000002E-3</v>
      </c>
      <c r="CD15" s="390">
        <f t="shared" si="1"/>
        <v>4.0522079199999108E-3</v>
      </c>
      <c r="CF15" s="450">
        <f t="shared" si="35"/>
        <v>1.3999999999999998E-3</v>
      </c>
      <c r="CG15" s="450">
        <f t="shared" si="2"/>
        <v>1.5600000000000002E-3</v>
      </c>
      <c r="CH15" s="450">
        <f t="shared" si="2"/>
        <v>1.6000000000000001E-3</v>
      </c>
      <c r="CI15" s="450">
        <f t="shared" si="2"/>
        <v>1.6999999999999997E-3</v>
      </c>
      <c r="CJ15" s="450">
        <f t="shared" si="2"/>
        <v>1.6999999999999997E-3</v>
      </c>
    </row>
    <row r="16" spans="1:88" s="355" customFormat="1" hidden="1" x14ac:dyDescent="0.25">
      <c r="A16" s="400">
        <v>1100000171</v>
      </c>
      <c r="B16" s="455" t="str">
        <f>VLOOKUP(A16,'Loan Book Summary'!C:G,5,FALSE)</f>
        <v>0014I00001lzk4N</v>
      </c>
      <c r="C16" s="167">
        <f>VLOOKUP(A16,'Ref-Data'!$A:$I,9,0)</f>
        <v>1</v>
      </c>
      <c r="D16" s="445">
        <f>VLOOKUP(A16,'Adjustment Factor'!A:C,3,0)</f>
        <v>0.65</v>
      </c>
      <c r="E16" s="446">
        <f>VLOOKUP(A16,'Ref-Data'!A:C,2,FALSE)</f>
        <v>4965593</v>
      </c>
      <c r="F16" s="445">
        <f>VLOOKUP(A16,'Ref-Data'!$A:$F,6,FALSE)</f>
        <v>0.34223134839151265</v>
      </c>
      <c r="G16" s="346"/>
      <c r="H16" s="273">
        <f>VLOOKUP($B16, 'Output 96% Downside'!$A:$CW,42,FALSE)</f>
        <v>3.9100000000000003E-2</v>
      </c>
      <c r="I16" s="273">
        <f>VLOOKUP($B16, 'Output 96% Downside'!$A:$CW,43,FALSE)</f>
        <v>3.2800000000000003E-2</v>
      </c>
      <c r="J16" s="273">
        <f>VLOOKUP($B16, 'Output 96% Downside'!$A:$CW,44,FALSE)</f>
        <v>2.9499999999999998E-2</v>
      </c>
      <c r="K16" s="273">
        <f>VLOOKUP($B16, 'Output 96% Downside'!$A:$CW,45,FALSE)</f>
        <v>2.7400000000000001E-2</v>
      </c>
      <c r="L16" s="273">
        <f>VLOOKUP($B16, 'Output 96% Downside'!$A:$CW,46,FALSE)</f>
        <v>2.5899999999999999E-2</v>
      </c>
      <c r="M16" s="447">
        <f t="shared" si="0"/>
        <v>9.9216854981222236E-3</v>
      </c>
      <c r="N16" s="447">
        <f t="shared" si="3"/>
        <v>1.9744931153120815E-2</v>
      </c>
      <c r="O16" s="447">
        <f t="shared" si="4"/>
        <v>2.9470713654159653E-2</v>
      </c>
      <c r="P16" s="346"/>
      <c r="Q16" s="390">
        <f t="shared" si="5"/>
        <v>6.4490955737794451E-3</v>
      </c>
      <c r="R16" s="390">
        <f t="shared" si="5"/>
        <v>1.2834205249528529E-2</v>
      </c>
      <c r="S16" s="390">
        <f t="shared" si="5"/>
        <v>1.9155963875203776E-2</v>
      </c>
      <c r="T16" s="390">
        <f t="shared" si="6"/>
        <v>2.5415000000000004E-2</v>
      </c>
      <c r="U16" s="390">
        <f t="shared" si="7"/>
        <v>4.5901388000000064E-2</v>
      </c>
      <c r="V16" s="390">
        <f t="shared" si="8"/>
        <v>6.3722297054000038E-2</v>
      </c>
      <c r="W16" s="390">
        <f t="shared" si="9"/>
        <v>7.9786306114720457E-2</v>
      </c>
      <c r="X16" s="390">
        <f t="shared" si="10"/>
        <v>9.4554840786349237E-2</v>
      </c>
      <c r="Y16" s="390">
        <f t="shared" si="11"/>
        <v>8.7715497823301902E-3</v>
      </c>
      <c r="Z16" s="390">
        <f t="shared" si="12"/>
        <v>2.5415000000000004E-2</v>
      </c>
      <c r="AC16" s="273">
        <f>VLOOKUP($B16, 'Output Baseline'!$A:$CW,42,FALSE)</f>
        <v>1.2E-2</v>
      </c>
      <c r="AD16" s="273">
        <f>VLOOKUP($B16, 'Output Baseline'!$A:$CW,43,FALSE)</f>
        <v>1.17E-2</v>
      </c>
      <c r="AE16" s="273">
        <f>VLOOKUP($B16, 'Output Baseline'!$A:$CW,44,FALSE)</f>
        <v>1.15E-2</v>
      </c>
      <c r="AF16" s="273">
        <f>VLOOKUP($B16, 'Output Baseline'!$A:$CW,45,FALSE)</f>
        <v>1.1299999999999999E-2</v>
      </c>
      <c r="AG16" s="273">
        <f>VLOOKUP($B16, 'Output Baseline'!$A:$CW,46,FALSE)</f>
        <v>1.12E-2</v>
      </c>
      <c r="AH16" s="447">
        <f t="shared" si="13"/>
        <v>3.0135952867089699E-3</v>
      </c>
      <c r="AI16" s="447">
        <f t="shared" si="14"/>
        <v>6.0181088168658192E-3</v>
      </c>
      <c r="AJ16" s="447">
        <f t="shared" si="15"/>
        <v>9.0135679592093787E-3</v>
      </c>
      <c r="AK16" s="346"/>
      <c r="AL16" s="390">
        <f t="shared" si="16"/>
        <v>1.9588369363608307E-3</v>
      </c>
      <c r="AM16" s="390">
        <f t="shared" si="16"/>
        <v>3.9117707309627827E-3</v>
      </c>
      <c r="AN16" s="390">
        <f t="shared" si="16"/>
        <v>5.8588191734860965E-3</v>
      </c>
      <c r="AO16" s="390">
        <f t="shared" si="17"/>
        <v>7.8000000000000005E-3</v>
      </c>
      <c r="AP16" s="390">
        <f t="shared" si="18"/>
        <v>1.531374000000001E-2</v>
      </c>
      <c r="AQ16" s="390">
        <f t="shared" si="19"/>
        <v>2.2612631989999975E-2</v>
      </c>
      <c r="AR16" s="390">
        <f t="shared" si="20"/>
        <v>2.9702109248512937E-2</v>
      </c>
      <c r="AS16" s="390">
        <f t="shared" si="21"/>
        <v>3.6649445624929562E-2</v>
      </c>
      <c r="AT16" s="390">
        <f t="shared" si="22"/>
        <v>2.6762820041315027E-3</v>
      </c>
      <c r="AU16" s="390">
        <f t="shared" si="23"/>
        <v>7.8000000000000005E-3</v>
      </c>
      <c r="AX16" s="273">
        <f>VLOOKUP($B16, 'Output 90% Downside'!$A:$CW,42,FALSE)</f>
        <v>2.76E-2</v>
      </c>
      <c r="AY16" s="273">
        <f>VLOOKUP($B16, 'Output 90% Downside'!$A:$CW,43,FALSE)</f>
        <v>2.4199999999999999E-2</v>
      </c>
      <c r="AZ16" s="273">
        <f>VLOOKUP($B16, 'Output 90% Downside'!$A:$CW,44,FALSE)</f>
        <v>2.24E-2</v>
      </c>
      <c r="BA16" s="273">
        <f>VLOOKUP($B16, 'Output 90% Downside'!$A:$CW,45,FALSE)</f>
        <v>2.12E-2</v>
      </c>
      <c r="BB16" s="273">
        <f>VLOOKUP($B16, 'Output 90% Downside'!$A:$CW,46,FALSE)</f>
        <v>2.0299999999999999E-2</v>
      </c>
      <c r="BC16" s="447">
        <f t="shared" si="24"/>
        <v>6.9725870603147833E-3</v>
      </c>
      <c r="BD16" s="447">
        <f t="shared" si="25"/>
        <v>1.3896557150315902E-2</v>
      </c>
      <c r="BE16" s="447">
        <f t="shared" si="26"/>
        <v>2.077224925606147E-2</v>
      </c>
      <c r="BF16" s="346"/>
      <c r="BG16" s="390">
        <f t="shared" si="27"/>
        <v>4.5321815892046093E-3</v>
      </c>
      <c r="BH16" s="390">
        <f t="shared" si="27"/>
        <v>9.0327621477053373E-3</v>
      </c>
      <c r="BI16" s="390">
        <f t="shared" si="27"/>
        <v>1.3501962016439956E-2</v>
      </c>
      <c r="BJ16" s="390">
        <f t="shared" si="28"/>
        <v>1.7940000000000001E-2</v>
      </c>
      <c r="BK16" s="390">
        <f t="shared" si="29"/>
        <v>3.3235851999999948E-2</v>
      </c>
      <c r="BL16" s="390">
        <f t="shared" si="30"/>
        <v>4.7051368915199898E-2</v>
      </c>
      <c r="BM16" s="390">
        <f t="shared" si="31"/>
        <v>5.9833879894197639E-2</v>
      </c>
      <c r="BN16" s="390">
        <f t="shared" si="32"/>
        <v>7.1814252132345421E-2</v>
      </c>
      <c r="BO16" s="390">
        <f t="shared" si="33"/>
        <v>6.1762187962378645E-3</v>
      </c>
      <c r="BP16" s="390">
        <f t="shared" si="34"/>
        <v>1.7940000000000001E-2</v>
      </c>
      <c r="BQ16" s="347"/>
      <c r="BU16" s="390">
        <f>IFERROR(AL16*$BS$2+BG16*$BS$4+Q16*$BS$3,VLOOKUP(A16,'Updated Ncino PD'!A:K,4,FALSE))</f>
        <v>3.0840204967270838E-3</v>
      </c>
      <c r="BV16" s="390">
        <f>IFERROR(AM16*$BS$2+BH16*$BS$4+R16*$BS$3,VLOOKUP(A16,'Updated Ncino PD'!A:K,5,FALSE))</f>
        <v>6.1502394527509635E-3</v>
      </c>
      <c r="BW16" s="390">
        <f>IFERROR(AN16*$BS$2+BI16*$BS$4+S16*$BS$3,VLOOKUP(A16,'Updated Ncino PD'!A:K,6,FALSE))</f>
        <v>9.1987764036058316E-3</v>
      </c>
      <c r="BX16" s="390">
        <f>IFERROR(AO16*$BS$2+BJ16*$BS$4+T16*$BS$3,VLOOKUP(A16,'Updated Ncino PD'!A:K,7,FALSE))</f>
        <v>1.2229750000000001E-2</v>
      </c>
      <c r="BY16" s="390">
        <f>IFERROR(AP16*$BS$2+BK16*$BS$4+U16*$BS$3,VLOOKUP(A16,'Updated Ncino PD'!A:K,8,FALSE))</f>
        <v>2.3115861599999989E-2</v>
      </c>
      <c r="BZ16" s="390">
        <f>IFERROR(AQ16*$BS$2+BL16*$BS$4+V16*$BS$3,VLOOKUP(A16,'Updated Ncino PD'!A:K,9,FALSE))</f>
        <v>3.3221673167019954E-2</v>
      </c>
      <c r="CA16" s="390">
        <f>IFERROR(AR16*$BS$2+BM16*$BS$4+W16*$BS$3,VLOOKUP(A16,'Updated Ncino PD'!A:K,10,FALSE))</f>
        <v>4.2752438817812953E-2</v>
      </c>
      <c r="CB16" s="390">
        <f>IFERROR(AS16*$BS$2+BN16*$BS$4+X16*$BS$3,VLOOKUP(A16,'Updated Ncino PD'!A:K,11,FALSE))</f>
        <v>5.1852397660596086E-2</v>
      </c>
      <c r="CC16" s="390">
        <f t="shared" si="1"/>
        <v>4.2060232702786637E-3</v>
      </c>
      <c r="CD16" s="390">
        <f t="shared" si="1"/>
        <v>1.2229750000000001E-2</v>
      </c>
      <c r="CF16" s="450">
        <f t="shared" si="35"/>
        <v>1.8814999999999998E-2</v>
      </c>
      <c r="CG16" s="450">
        <f t="shared" si="2"/>
        <v>1.7129999999999999E-2</v>
      </c>
      <c r="CH16" s="450">
        <f t="shared" si="2"/>
        <v>1.6215E-2</v>
      </c>
      <c r="CI16" s="450">
        <f t="shared" si="2"/>
        <v>1.5569999999999999E-2</v>
      </c>
      <c r="CJ16" s="450">
        <f t="shared" si="2"/>
        <v>1.5119999999999998E-2</v>
      </c>
    </row>
    <row r="17" spans="1:88" s="355" customFormat="1" hidden="1" x14ac:dyDescent="0.25">
      <c r="A17" s="400">
        <v>1100000223</v>
      </c>
      <c r="B17" s="455" t="str">
        <f>VLOOKUP(A17,'Loan Book Summary'!C:G,5,FALSE)</f>
        <v>0014I00001lGVkG</v>
      </c>
      <c r="C17" s="167">
        <f>VLOOKUP(A17,'Ref-Data'!$A:$I,9,0)</f>
        <v>1</v>
      </c>
      <c r="D17" s="445">
        <f>VLOOKUP(A17,'Adjustment Factor'!A:C,3,0)</f>
        <v>1.1951755713707852</v>
      </c>
      <c r="E17" s="446">
        <f>VLOOKUP(A17,'Ref-Data'!A:C,2,FALSE)</f>
        <v>25500000</v>
      </c>
      <c r="F17" s="445">
        <f>VLOOKUP(A17,'Ref-Data'!$A:$F,6,FALSE)</f>
        <v>2.1437371663244353</v>
      </c>
      <c r="G17" s="346"/>
      <c r="H17" s="273">
        <f>VLOOKUP($B17, 'Output 96% Downside'!$A:$CW,42,FALSE)</f>
        <v>1.8700000000000001E-2</v>
      </c>
      <c r="I17" s="273">
        <f>VLOOKUP($B17, 'Output 96% Downside'!$A:$CW,43,FALSE)</f>
        <v>1.67E-2</v>
      </c>
      <c r="J17" s="273">
        <f>VLOOKUP($B17, 'Output 96% Downside'!$A:$CW,44,FALSE)</f>
        <v>1.5599999999999999E-2</v>
      </c>
      <c r="K17" s="273">
        <f>VLOOKUP($B17, 'Output 96% Downside'!$A:$CW,45,FALSE)</f>
        <v>1.4800000000000001E-2</v>
      </c>
      <c r="L17" s="273">
        <f>VLOOKUP($B17, 'Output 96% Downside'!$A:$CW,46,FALSE)</f>
        <v>1.43E-2</v>
      </c>
      <c r="M17" s="447">
        <f t="shared" si="0"/>
        <v>4.7081457131721294E-3</v>
      </c>
      <c r="N17" s="447">
        <f t="shared" si="3"/>
        <v>9.3941247902877834E-3</v>
      </c>
      <c r="O17" s="447">
        <f t="shared" si="4"/>
        <v>1.4058041595099491E-2</v>
      </c>
      <c r="P17" s="346"/>
      <c r="Q17" s="390">
        <f t="shared" si="5"/>
        <v>5.6270607428374128E-3</v>
      </c>
      <c r="R17" s="390">
        <f t="shared" si="5"/>
        <v>1.122762846376066E-2</v>
      </c>
      <c r="S17" s="390">
        <f t="shared" si="5"/>
        <v>1.6801827895777298E-2</v>
      </c>
      <c r="T17" s="390">
        <f t="shared" si="6"/>
        <v>2.2349783184633685E-2</v>
      </c>
      <c r="U17" s="390">
        <f t="shared" si="7"/>
        <v>4.1935973847342538E-2</v>
      </c>
      <c r="V17" s="390">
        <f t="shared" si="8"/>
        <v>5.9926511568708193E-2</v>
      </c>
      <c r="W17" s="390">
        <f t="shared" si="9"/>
        <v>7.6728197653779015E-2</v>
      </c>
      <c r="X17" s="390">
        <f t="shared" si="10"/>
        <v>9.2721995097932136E-2</v>
      </c>
      <c r="Y17" s="390">
        <f t="shared" si="11"/>
        <v>2.2349783184633685E-2</v>
      </c>
      <c r="Z17" s="390">
        <f t="shared" si="12"/>
        <v>5.9926511568708193E-2</v>
      </c>
      <c r="AC17" s="273">
        <f>VLOOKUP($B17, 'Output Baseline'!$A:$CW,42,FALSE)</f>
        <v>1.03E-2</v>
      </c>
      <c r="AD17" s="273">
        <f>VLOOKUP($B17, 'Output Baseline'!$A:$CW,43,FALSE)</f>
        <v>9.9000000000000008E-3</v>
      </c>
      <c r="AE17" s="273">
        <f>VLOOKUP($B17, 'Output Baseline'!$A:$CW,44,FALSE)</f>
        <v>9.5999999999999992E-3</v>
      </c>
      <c r="AF17" s="273">
        <f>VLOOKUP($B17, 'Output Baseline'!$A:$CW,45,FALSE)</f>
        <v>9.4000000000000004E-3</v>
      </c>
      <c r="AG17" s="273">
        <f>VLOOKUP($B17, 'Output Baseline'!$A:$CW,46,FALSE)</f>
        <v>9.2999999999999992E-3</v>
      </c>
      <c r="AH17" s="447">
        <f t="shared" si="13"/>
        <v>2.5850061224685916E-3</v>
      </c>
      <c r="AI17" s="447">
        <f t="shared" si="14"/>
        <v>5.163329988283949E-3</v>
      </c>
      <c r="AJ17" s="447">
        <f t="shared" si="15"/>
        <v>7.7349888711204517E-3</v>
      </c>
      <c r="AK17" s="346"/>
      <c r="AL17" s="390">
        <f t="shared" si="16"/>
        <v>3.0895361694183768E-3</v>
      </c>
      <c r="AM17" s="390">
        <f t="shared" si="16"/>
        <v>6.1710858689231788E-3</v>
      </c>
      <c r="AN17" s="390">
        <f t="shared" si="16"/>
        <v>9.244669743588051E-3</v>
      </c>
      <c r="AO17" s="390">
        <f t="shared" si="17"/>
        <v>1.2310308385119088E-2</v>
      </c>
      <c r="AP17" s="390">
        <f t="shared" si="18"/>
        <v>2.402067448867717E-2</v>
      </c>
      <c r="AQ17" s="390">
        <f t="shared" si="19"/>
        <v>3.5263761498745404E-2</v>
      </c>
      <c r="AR17" s="390">
        <f t="shared" si="20"/>
        <v>4.6166932511542511E-2</v>
      </c>
      <c r="AS17" s="390">
        <f t="shared" si="21"/>
        <v>5.685271285293348E-2</v>
      </c>
      <c r="AT17" s="390">
        <f t="shared" si="22"/>
        <v>1.2310308385119088E-2</v>
      </c>
      <c r="AU17" s="390">
        <f t="shared" si="23"/>
        <v>3.5263761498745404E-2</v>
      </c>
      <c r="AX17" s="273">
        <f>VLOOKUP($B17, 'Output 90% Downside'!$A:$CW,42,FALSE)</f>
        <v>1.6400000000000001E-2</v>
      </c>
      <c r="AY17" s="273">
        <f>VLOOKUP($B17, 'Output 90% Downside'!$A:$CW,43,FALSE)</f>
        <v>1.49E-2</v>
      </c>
      <c r="AZ17" s="273">
        <f>VLOOKUP($B17, 'Output 90% Downside'!$A:$CW,44,FALSE)</f>
        <v>1.4E-2</v>
      </c>
      <c r="BA17" s="273">
        <f>VLOOKUP($B17, 'Output 90% Downside'!$A:$CW,45,FALSE)</f>
        <v>1.34E-2</v>
      </c>
      <c r="BB17" s="273">
        <f>VLOOKUP($B17, 'Output 90% Downside'!$A:$CW,46,FALSE)</f>
        <v>1.2999999999999999E-2</v>
      </c>
      <c r="BC17" s="447">
        <f t="shared" si="24"/>
        <v>4.1254589771887451E-3</v>
      </c>
      <c r="BD17" s="447">
        <f t="shared" si="25"/>
        <v>8.2338985426050337E-3</v>
      </c>
      <c r="BE17" s="447">
        <f t="shared" si="26"/>
        <v>1.2325388909133927E-2</v>
      </c>
      <c r="BF17" s="346"/>
      <c r="BG17" s="390">
        <f t="shared" si="27"/>
        <v>4.9306477902282941E-3</v>
      </c>
      <c r="BH17" s="390">
        <f t="shared" si="27"/>
        <v>9.8409543952670472E-3</v>
      </c>
      <c r="BI17" s="390">
        <f t="shared" si="27"/>
        <v>1.4731003731841281E-2</v>
      </c>
      <c r="BJ17" s="390">
        <f t="shared" si="28"/>
        <v>1.960087937048088E-2</v>
      </c>
      <c r="BK17" s="390">
        <f t="shared" si="29"/>
        <v>3.7116942281285342E-2</v>
      </c>
      <c r="BL17" s="390">
        <f t="shared" si="30"/>
        <v>5.3329763088538359E-2</v>
      </c>
      <c r="BM17" s="390">
        <f t="shared" si="31"/>
        <v>6.8630496919520459E-2</v>
      </c>
      <c r="BN17" s="390">
        <f t="shared" si="32"/>
        <v>8.3275582887386859E-2</v>
      </c>
      <c r="BO17" s="390">
        <f t="shared" si="33"/>
        <v>1.960087937048088E-2</v>
      </c>
      <c r="BP17" s="390">
        <f t="shared" si="34"/>
        <v>5.3329763088538359E-2</v>
      </c>
      <c r="BQ17" s="347"/>
      <c r="BU17" s="390">
        <f>IFERROR(AL17*$BS$2+BG17*$BS$4+Q17*$BS$3,VLOOKUP(A17,'Updated Ncino PD'!A:K,4,FALSE))</f>
        <v>3.8608014653727994E-3</v>
      </c>
      <c r="BV17" s="390">
        <f>IFERROR(AM17*$BS$2+BH17*$BS$4+R17*$BS$3,VLOOKUP(A17,'Updated Ncino PD'!A:K,5,FALSE))</f>
        <v>7.7083669828854062E-3</v>
      </c>
      <c r="BW17" s="390">
        <f>IFERROR(AN17*$BS$2+BI17*$BS$4+S17*$BS$3,VLOOKUP(A17,'Updated Ncino PD'!A:K,6,FALSE))</f>
        <v>1.1542744547086143E-2</v>
      </c>
      <c r="BX17" s="390">
        <f>IFERROR(AO17*$BS$2+BJ17*$BS$4+T17*$BS$3,VLOOKUP(A17,'Updated Ncino PD'!A:K,7,FALSE))</f>
        <v>1.5363981969971444E-2</v>
      </c>
      <c r="BY17" s="390">
        <f>IFERROR(AP17*$BS$2+BK17*$BS$4+U17*$BS$3,VLOOKUP(A17,'Updated Ncino PD'!A:K,8,FALSE))</f>
        <v>2.9500133184023294E-2</v>
      </c>
      <c r="BZ17" s="390">
        <f>IFERROR(AQ17*$BS$2+BL17*$BS$4+V17*$BS$3,VLOOKUP(A17,'Updated Ncino PD'!A:K,9,FALSE))</f>
        <v>4.2819999558671079E-2</v>
      </c>
      <c r="CA17" s="390">
        <f>IFERROR(AR17*$BS$2+BM17*$BS$4+W17*$BS$3,VLOOKUP(A17,'Updated Ncino PD'!A:K,10,FALSE))</f>
        <v>5.5557243311446611E-2</v>
      </c>
      <c r="CB17" s="390">
        <f>IFERROR(AS17*$BS$2+BN17*$BS$4+X17*$BS$3,VLOOKUP(A17,'Updated Ncino PD'!A:K,11,FALSE))</f>
        <v>6.7894181477242091E-2</v>
      </c>
      <c r="CC17" s="390">
        <f t="shared" si="1"/>
        <v>1.5363981969971444E-2</v>
      </c>
      <c r="CD17" s="390">
        <f t="shared" si="1"/>
        <v>4.2819999558671079E-2</v>
      </c>
      <c r="CF17" s="450">
        <f t="shared" si="35"/>
        <v>1.2855E-2</v>
      </c>
      <c r="CG17" s="450">
        <f t="shared" si="2"/>
        <v>1.1990000000000001E-2</v>
      </c>
      <c r="CH17" s="450">
        <f t="shared" si="2"/>
        <v>1.1439999999999999E-2</v>
      </c>
      <c r="CI17" s="450">
        <f t="shared" si="2"/>
        <v>1.107E-2</v>
      </c>
      <c r="CJ17" s="450">
        <f t="shared" si="2"/>
        <v>1.0844999999999999E-2</v>
      </c>
    </row>
    <row r="18" spans="1:88" s="355" customFormat="1" hidden="1" x14ac:dyDescent="0.25">
      <c r="A18" s="400">
        <v>1100000185</v>
      </c>
      <c r="B18" s="455" t="str">
        <f>VLOOKUP(A18,'Loan Book Summary'!C:G,5,FALSE)</f>
        <v>0014I00001oIXfG</v>
      </c>
      <c r="C18" s="167">
        <f>VLOOKUP(A18,'Ref-Data'!$A:$I,9,0)</f>
        <v>2</v>
      </c>
      <c r="D18" s="445">
        <f>VLOOKUP(A18,'Adjustment Factor'!A:C,3,0)</f>
        <v>1.0605674153852402</v>
      </c>
      <c r="E18" s="446">
        <f>VLOOKUP(A18,'Ref-Data'!A:C,2,FALSE)</f>
        <v>17000000</v>
      </c>
      <c r="F18" s="445">
        <f>VLOOKUP(A18,'Ref-Data'!$A:$F,6,FALSE)</f>
        <v>0.33401779603011633</v>
      </c>
      <c r="G18" s="346"/>
      <c r="H18" s="273">
        <f>VLOOKUP($B18, 'Output 96% Downside'!$A:$CW,42,FALSE)</f>
        <v>9.4899999999999998E-2</v>
      </c>
      <c r="I18" s="273">
        <f>VLOOKUP($B18, 'Output 96% Downside'!$A:$CW,43,FALSE)</f>
        <v>7.0099999999999996E-2</v>
      </c>
      <c r="J18" s="273">
        <f>VLOOKUP($B18, 'Output 96% Downside'!$A:$CW,44,FALSE)</f>
        <v>5.8599999999999999E-2</v>
      </c>
      <c r="K18" s="273">
        <f>VLOOKUP($B18, 'Output 96% Downside'!$A:$CW,45,FALSE)</f>
        <v>5.16E-2</v>
      </c>
      <c r="L18" s="273">
        <f>VLOOKUP($B18, 'Output 96% Downside'!$A:$CW,46,FALSE)</f>
        <v>4.6699999999999998E-2</v>
      </c>
      <c r="M18" s="447">
        <f t="shared" si="0"/>
        <v>2.4619337436237676E-2</v>
      </c>
      <c r="N18" s="447">
        <f t="shared" si="3"/>
        <v>4.8632563096676074E-2</v>
      </c>
      <c r="O18" s="447">
        <f t="shared" si="4"/>
        <v>7.2054599051647572E-2</v>
      </c>
      <c r="P18" s="346"/>
      <c r="Q18" s="390">
        <f t="shared" si="5"/>
        <v>2.6110467073247681E-2</v>
      </c>
      <c r="R18" s="390">
        <f t="shared" si="5"/>
        <v>5.1578111747001359E-2</v>
      </c>
      <c r="S18" s="390">
        <f t="shared" si="5"/>
        <v>7.6418759882825649E-2</v>
      </c>
      <c r="T18" s="390">
        <f t="shared" si="6"/>
        <v>0.1006478477200593</v>
      </c>
      <c r="U18" s="390">
        <f t="shared" si="7"/>
        <v>0.16793820941338852</v>
      </c>
      <c r="V18" s="390">
        <f t="shared" si="8"/>
        <v>0.22024628088333895</v>
      </c>
      <c r="W18" s="390">
        <f t="shared" si="9"/>
        <v>0.26360685142363699</v>
      </c>
      <c r="X18" s="390">
        <f t="shared" si="10"/>
        <v>0.30082490976064385</v>
      </c>
      <c r="Y18" s="390">
        <f t="shared" si="11"/>
        <v>3.4812417095539838E-2</v>
      </c>
      <c r="Z18" s="390">
        <f t="shared" si="12"/>
        <v>0.1006478477200593</v>
      </c>
      <c r="AC18" s="273">
        <f>VLOOKUP($B18, 'Output Baseline'!$A:$CW,42,FALSE)</f>
        <v>9.7199999999999995E-2</v>
      </c>
      <c r="AD18" s="273">
        <f>VLOOKUP($B18, 'Output Baseline'!$A:$CW,43,FALSE)</f>
        <v>7.3400000000000007E-2</v>
      </c>
      <c r="AE18" s="273">
        <f>VLOOKUP($B18, 'Output Baseline'!$A:$CW,44,FALSE)</f>
        <v>6.2300000000000001E-2</v>
      </c>
      <c r="AF18" s="273">
        <f>VLOOKUP($B18, 'Output Baseline'!$A:$CW,45,FALSE)</f>
        <v>5.5300000000000002E-2</v>
      </c>
      <c r="AG18" s="273">
        <f>VLOOKUP($B18, 'Output Baseline'!$A:$CW,46,FALSE)</f>
        <v>5.0500000000000003E-2</v>
      </c>
      <c r="AH18" s="447">
        <f t="shared" si="13"/>
        <v>2.5239577322932027E-2</v>
      </c>
      <c r="AI18" s="447">
        <f t="shared" si="14"/>
        <v>4.9842118382423806E-2</v>
      </c>
      <c r="AJ18" s="447">
        <f t="shared" si="15"/>
        <v>7.3823701704503919E-2</v>
      </c>
      <c r="AK18" s="346"/>
      <c r="AL18" s="390">
        <f t="shared" si="16"/>
        <v>2.6768273286797942E-2</v>
      </c>
      <c r="AM18" s="390">
        <f t="shared" si="16"/>
        <v>5.2860926670172385E-2</v>
      </c>
      <c r="AN18" s="390">
        <f t="shared" si="16"/>
        <v>7.8295012510916681E-2</v>
      </c>
      <c r="AO18" s="390">
        <f t="shared" si="17"/>
        <v>0.10308715277544535</v>
      </c>
      <c r="AP18" s="390">
        <f t="shared" si="18"/>
        <v>0.17336620405100422</v>
      </c>
      <c r="AQ18" s="390">
        <f t="shared" si="19"/>
        <v>0.22863883951712707</v>
      </c>
      <c r="AR18" s="390">
        <f t="shared" si="20"/>
        <v>0.27464448976263373</v>
      </c>
      <c r="AS18" s="390">
        <f t="shared" si="21"/>
        <v>0.3143335975065753</v>
      </c>
      <c r="AT18" s="390">
        <f t="shared" si="22"/>
        <v>3.5687623174009642E-2</v>
      </c>
      <c r="AU18" s="390">
        <f t="shared" si="23"/>
        <v>0.10308715277544535</v>
      </c>
      <c r="AX18" s="273">
        <f>VLOOKUP($B18, 'Output 90% Downside'!$A:$CW,42,FALSE)</f>
        <v>0.104</v>
      </c>
      <c r="AY18" s="273">
        <f>VLOOKUP($B18, 'Output 90% Downside'!$A:$CW,43,FALSE)</f>
        <v>8.1900000000000001E-2</v>
      </c>
      <c r="AZ18" s="273">
        <f>VLOOKUP($B18, 'Output 90% Downside'!$A:$CW,44,FALSE)</f>
        <v>7.1099999999999997E-2</v>
      </c>
      <c r="BA18" s="273">
        <f>VLOOKUP($B18, 'Output 90% Downside'!$A:$CW,45,FALSE)</f>
        <v>6.4299999999999996E-2</v>
      </c>
      <c r="BB18" s="273">
        <f>VLOOKUP($B18, 'Output 90% Downside'!$A:$CW,46,FALSE)</f>
        <v>5.9499999999999997E-2</v>
      </c>
      <c r="BC18" s="447">
        <f t="shared" si="24"/>
        <v>2.7080288360885052E-2</v>
      </c>
      <c r="BD18" s="447">
        <f t="shared" si="25"/>
        <v>5.342723470406141E-2</v>
      </c>
      <c r="BE18" s="447">
        <f t="shared" si="26"/>
        <v>7.9060698142835784E-2</v>
      </c>
      <c r="BF18" s="346"/>
      <c r="BG18" s="390">
        <f t="shared" si="27"/>
        <v>2.8720471434790864E-2</v>
      </c>
      <c r="BH18" s="390">
        <f t="shared" si="27"/>
        <v>5.6663184221267024E-2</v>
      </c>
      <c r="BI18" s="390">
        <f t="shared" si="27"/>
        <v>8.3849200287900008E-2</v>
      </c>
      <c r="BJ18" s="390">
        <f t="shared" si="28"/>
        <v>0.11029901120006498</v>
      </c>
      <c r="BK18" s="390">
        <f t="shared" si="29"/>
        <v>0.18812599350283077</v>
      </c>
      <c r="BL18" s="390">
        <f t="shared" si="30"/>
        <v>0.25015657859867008</v>
      </c>
      <c r="BM18" s="390">
        <f t="shared" si="31"/>
        <v>0.30226599540404653</v>
      </c>
      <c r="BN18" s="390">
        <f t="shared" si="32"/>
        <v>0.34738492989292752</v>
      </c>
      <c r="BO18" s="390">
        <f t="shared" si="33"/>
        <v>3.8284496531627243E-2</v>
      </c>
      <c r="BP18" s="390">
        <f t="shared" si="34"/>
        <v>0.11029901120006498</v>
      </c>
      <c r="BQ18" s="347"/>
      <c r="BU18" s="390">
        <f>IFERROR(AL18*$BS$2+BG18*$BS$4+Q18*$BS$3,VLOOKUP(A18,'Updated Ncino PD'!A:K,4,FALSE))</f>
        <v>2.7418652327917951E-2</v>
      </c>
      <c r="BV18" s="390">
        <f>IFERROR(AM18*$BS$2+BH18*$BS$4+R18*$BS$3,VLOOKUP(A18,'Updated Ncino PD'!A:K,5,FALSE))</f>
        <v>5.4127576066896957E-2</v>
      </c>
      <c r="BW18" s="390">
        <f>IFERROR(AN18*$BS$2+BI18*$BS$4+S18*$BS$3,VLOOKUP(A18,'Updated Ncino PD'!A:K,6,FALSE))</f>
        <v>8.0145165601456278E-2</v>
      </c>
      <c r="BX18" s="390">
        <f>IFERROR(AO18*$BS$2+BJ18*$BS$4+T18*$BS$3,VLOOKUP(A18,'Updated Ncino PD'!A:K,7,FALSE))</f>
        <v>0.10548933797129291</v>
      </c>
      <c r="BY18" s="390">
        <f>IFERROR(AP18*$BS$2+BK18*$BS$4+U18*$BS$3,VLOOKUP(A18,'Updated Ncino PD'!A:K,8,FALSE))</f>
        <v>0.17826073062726272</v>
      </c>
      <c r="BZ18" s="390">
        <f>IFERROR(AQ18*$BS$2+BL18*$BS$4+V18*$BS$3,VLOOKUP(A18,'Updated Ncino PD'!A:K,9,FALSE))</f>
        <v>0.23575042026397772</v>
      </c>
      <c r="CA18" s="390">
        <f>IFERROR(AR18*$BS$2+BM18*$BS$4+W18*$BS$3,VLOOKUP(A18,'Updated Ncino PD'!A:K,10,FALSE))</f>
        <v>0.28376013482017837</v>
      </c>
      <c r="CB18" s="390">
        <f>IFERROR(AS18*$BS$2+BN18*$BS$4+X18*$BS$3,VLOOKUP(A18,'Updated Ncino PD'!A:K,11,FALSE))</f>
        <v>0.32522612945450202</v>
      </c>
      <c r="CC18" s="390">
        <f t="shared" ref="CC18:CD42" si="36">AT18*$BS$2+BO18*$BS$4+Y18*$BS$3</f>
        <v>3.6552768545252308E-2</v>
      </c>
      <c r="CD18" s="390">
        <f t="shared" si="36"/>
        <v>0.10548933797129291</v>
      </c>
      <c r="CF18" s="450">
        <f t="shared" si="35"/>
        <v>9.9464999999999998E-2</v>
      </c>
      <c r="CG18" s="450">
        <f t="shared" si="35"/>
        <v>7.621E-2</v>
      </c>
      <c r="CH18" s="450">
        <f t="shared" si="35"/>
        <v>6.5195000000000003E-2</v>
      </c>
      <c r="CI18" s="450">
        <f t="shared" si="35"/>
        <v>5.8264999999999997E-2</v>
      </c>
      <c r="CJ18" s="450">
        <f t="shared" si="35"/>
        <v>5.3459999999999994E-2</v>
      </c>
    </row>
    <row r="19" spans="1:88" s="355" customFormat="1" hidden="1" x14ac:dyDescent="0.25">
      <c r="A19" s="400">
        <v>1100000152</v>
      </c>
      <c r="B19" s="455" t="str">
        <f>VLOOKUP(A19,'Loan Book Summary'!C:G,5,FALSE)</f>
        <v>0015800001fH29a</v>
      </c>
      <c r="C19" s="167">
        <f>VLOOKUP(A19,'Ref-Data'!$A:$I,9,0)</f>
        <v>1</v>
      </c>
      <c r="D19" s="445">
        <f>VLOOKUP(A19,'Adjustment Factor'!A:C,3,0)</f>
        <v>1.1828351624093423</v>
      </c>
      <c r="E19" s="446">
        <f>VLOOKUP(A19,'Ref-Data'!A:C,2,FALSE)</f>
        <v>8561038</v>
      </c>
      <c r="F19" s="445">
        <f>VLOOKUP(A19,'Ref-Data'!$A:$F,6,FALSE)</f>
        <v>2.1464750171115674</v>
      </c>
      <c r="G19" s="346"/>
      <c r="H19" s="273">
        <f>VLOOKUP($B19, 'Output 96% Downside'!$A:$CW,42,FALSE)</f>
        <v>3.3E-3</v>
      </c>
      <c r="I19" s="273">
        <f>VLOOKUP($B19, 'Output 96% Downside'!$A:$CW,43,FALSE)</f>
        <v>3.0000000000000001E-3</v>
      </c>
      <c r="J19" s="273">
        <f>VLOOKUP($B19, 'Output 96% Downside'!$A:$CW,44,FALSE)</f>
        <v>2.8E-3</v>
      </c>
      <c r="K19" s="273">
        <f>VLOOKUP($B19, 'Output 96% Downside'!$A:$CW,45,FALSE)</f>
        <v>2.7000000000000001E-3</v>
      </c>
      <c r="L19" s="273">
        <f>VLOOKUP($B19, 'Output 96% Downside'!$A:$CW,46,FALSE)</f>
        <v>2.5999999999999999E-3</v>
      </c>
      <c r="M19" s="447">
        <f t="shared" si="0"/>
        <v>8.2602290727451511E-4</v>
      </c>
      <c r="N19" s="447">
        <f t="shared" si="3"/>
        <v>1.6513635007057159E-3</v>
      </c>
      <c r="O19" s="447">
        <f t="shared" si="4"/>
        <v>2.4760223439004303E-3</v>
      </c>
      <c r="P19" s="346"/>
      <c r="Q19" s="390">
        <f t="shared" si="5"/>
        <v>9.7704893967988805E-4</v>
      </c>
      <c r="R19" s="390">
        <f t="shared" si="5"/>
        <v>1.9532908145541055E-3</v>
      </c>
      <c r="S19" s="390">
        <f t="shared" si="5"/>
        <v>2.9287262912766256E-3</v>
      </c>
      <c r="T19" s="390">
        <f t="shared" si="6"/>
        <v>3.9033560359508293E-3</v>
      </c>
      <c r="U19" s="390">
        <f t="shared" si="7"/>
        <v>7.4401514550709626E-3</v>
      </c>
      <c r="V19" s="390">
        <f t="shared" si="8"/>
        <v>1.073125748574299E-2</v>
      </c>
      <c r="W19" s="390">
        <f t="shared" si="9"/>
        <v>1.38959380290367E-2</v>
      </c>
      <c r="X19" s="390">
        <f t="shared" si="10"/>
        <v>1.69351800124256E-2</v>
      </c>
      <c r="Y19" s="390">
        <f t="shared" si="11"/>
        <v>3.9033560359508293E-3</v>
      </c>
      <c r="Z19" s="390">
        <f t="shared" si="12"/>
        <v>1.073125748574299E-2</v>
      </c>
      <c r="AC19" s="273">
        <f>VLOOKUP($B19, 'Output Baseline'!$A:$CW,42,FALSE)</f>
        <v>2.2000000000000001E-3</v>
      </c>
      <c r="AD19" s="273">
        <f>VLOOKUP($B19, 'Output Baseline'!$A:$CW,43,FALSE)</f>
        <v>2.0999999999999999E-3</v>
      </c>
      <c r="AE19" s="273">
        <f>VLOOKUP($B19, 'Output Baseline'!$A:$CW,44,FALSE)</f>
        <v>2E-3</v>
      </c>
      <c r="AF19" s="273">
        <f>VLOOKUP($B19, 'Output Baseline'!$A:$CW,45,FALSE)</f>
        <v>2E-3</v>
      </c>
      <c r="AG19" s="273">
        <f>VLOOKUP($B19, 'Output Baseline'!$A:$CW,46,FALSE)</f>
        <v>2E-3</v>
      </c>
      <c r="AH19" s="447">
        <f t="shared" si="13"/>
        <v>5.5045433319467207E-4</v>
      </c>
      <c r="AI19" s="447">
        <f t="shared" si="14"/>
        <v>1.1006056664164543E-3</v>
      </c>
      <c r="AJ19" s="447">
        <f t="shared" si="15"/>
        <v>1.6504541664529304E-3</v>
      </c>
      <c r="AK19" s="346"/>
      <c r="AL19" s="390">
        <f t="shared" si="16"/>
        <v>6.5109674060324614E-4</v>
      </c>
      <c r="AM19" s="390">
        <f t="shared" si="16"/>
        <v>1.3018350821843491E-3</v>
      </c>
      <c r="AN19" s="390">
        <f t="shared" si="16"/>
        <v>1.9522152220255275E-3</v>
      </c>
      <c r="AO19" s="390">
        <f t="shared" si="17"/>
        <v>2.6022373573005532E-3</v>
      </c>
      <c r="AP19" s="390">
        <f t="shared" si="18"/>
        <v>5.0807264999097931E-3</v>
      </c>
      <c r="AQ19" s="390">
        <f t="shared" si="19"/>
        <v>7.4362353717286151E-3</v>
      </c>
      <c r="AR19" s="390">
        <f t="shared" si="20"/>
        <v>9.7870332258039074E-3</v>
      </c>
      <c r="AS19" s="390">
        <f t="shared" si="21"/>
        <v>1.2133129484170989E-2</v>
      </c>
      <c r="AT19" s="390">
        <f t="shared" si="22"/>
        <v>2.6022373573005532E-3</v>
      </c>
      <c r="AU19" s="390">
        <f t="shared" si="23"/>
        <v>7.4362353717286151E-3</v>
      </c>
      <c r="AX19" s="273">
        <f>VLOOKUP($B19, 'Output 90% Downside'!$A:$CW,42,FALSE)</f>
        <v>2.5999999999999999E-3</v>
      </c>
      <c r="AY19" s="273">
        <f>VLOOKUP($B19, 'Output 90% Downside'!$A:$CW,43,FALSE)</f>
        <v>2.3999999999999998E-3</v>
      </c>
      <c r="AZ19" s="273">
        <f>VLOOKUP($B19, 'Output 90% Downside'!$A:$CW,44,FALSE)</f>
        <v>2.3E-3</v>
      </c>
      <c r="BA19" s="273">
        <f>VLOOKUP($B19, 'Output 90% Downside'!$A:$CW,45,FALSE)</f>
        <v>2.3E-3</v>
      </c>
      <c r="BB19" s="273">
        <f>VLOOKUP($B19, 'Output 90% Downside'!$A:$CW,46,FALSE)</f>
        <v>2.2000000000000001E-3</v>
      </c>
      <c r="BC19" s="447">
        <f t="shared" si="24"/>
        <v>6.5063471290893737E-4</v>
      </c>
      <c r="BD19" s="447">
        <f t="shared" si="25"/>
        <v>1.3008461002882443E-3</v>
      </c>
      <c r="BE19" s="447">
        <f t="shared" si="26"/>
        <v>1.950634437568155E-3</v>
      </c>
      <c r="BF19" s="346"/>
      <c r="BG19" s="390">
        <f t="shared" si="27"/>
        <v>7.695936163127987E-4</v>
      </c>
      <c r="BH19" s="390">
        <f t="shared" si="27"/>
        <v>1.5386865083040051E-3</v>
      </c>
      <c r="BI19" s="390">
        <f t="shared" si="27"/>
        <v>2.3072790017621848E-3</v>
      </c>
      <c r="BJ19" s="390">
        <f t="shared" si="28"/>
        <v>3.0753714222642899E-3</v>
      </c>
      <c r="BK19" s="390">
        <f t="shared" si="29"/>
        <v>5.9067949206332276E-3</v>
      </c>
      <c r="BL19" s="390">
        <f t="shared" si="30"/>
        <v>8.6137301658571978E-3</v>
      </c>
      <c r="BM19" s="390">
        <f t="shared" si="31"/>
        <v>1.1314439460017195E-2</v>
      </c>
      <c r="BN19" s="390">
        <f t="shared" si="32"/>
        <v>1.3891785050505711E-2</v>
      </c>
      <c r="BO19" s="390">
        <f t="shared" si="33"/>
        <v>3.0753714222642899E-3</v>
      </c>
      <c r="BP19" s="390">
        <f t="shared" si="34"/>
        <v>8.6137301658571978E-3</v>
      </c>
      <c r="BQ19" s="347"/>
      <c r="BU19" s="390">
        <f>IFERROR(AL19*$BS$2+BG19*$BS$4+Q19*$BS$3,VLOOKUP(A19,'Updated Ncino PD'!A:K,4,FALSE))</f>
        <v>7.0886825705542152E-4</v>
      </c>
      <c r="BV19" s="390">
        <f>IFERROR(AM19*$BS$2+BH19*$BS$4+R19*$BS$3,VLOOKUP(A19,'Updated Ncino PD'!A:K,5,FALSE))</f>
        <v>1.4173058679447165E-3</v>
      </c>
      <c r="BW19" s="390">
        <f>IFERROR(AN19*$BS$2+BI19*$BS$4+S19*$BS$3,VLOOKUP(A19,'Updated Ncino PD'!A:K,6,FALSE))</f>
        <v>2.1253130983959123E-3</v>
      </c>
      <c r="BX19" s="390">
        <f>IFERROR(AO19*$BS$2+BJ19*$BS$4+T19*$BS$3,VLOOKUP(A19,'Updated Ncino PD'!A:K,7,FALSE))</f>
        <v>2.8328902139703746E-3</v>
      </c>
      <c r="BY19" s="390">
        <f>IFERROR(AP19*$BS$2+BK19*$BS$4+U19*$BS$3,VLOOKUP(A19,'Updated Ncino PD'!A:K,8,FALSE))</f>
        <v>5.4878216949210534E-3</v>
      </c>
      <c r="BZ19" s="390">
        <f>IFERROR(AQ19*$BS$2+BL19*$BS$4+V19*$BS$3,VLOOKUP(A19,'Updated Ncino PD'!A:K,9,FALSE))</f>
        <v>8.0131096553743373E-3</v>
      </c>
      <c r="CA19" s="390">
        <f>IFERROR(AR19*$BS$2+BM19*$BS$4+W19*$BS$3,VLOOKUP(A19,'Updated Ncino PD'!A:K,10,FALSE))</f>
        <v>1.0527070647940198E-2</v>
      </c>
      <c r="CB19" s="390">
        <f>IFERROR(AS19*$BS$2+BN19*$BS$4+X19*$BS$3,VLOOKUP(A19,'Updated Ncino PD'!A:K,11,FALSE))</f>
        <v>1.298876145880087E-2</v>
      </c>
      <c r="CC19" s="390">
        <f t="shared" si="36"/>
        <v>2.8328902139703746E-3</v>
      </c>
      <c r="CD19" s="390">
        <f t="shared" si="36"/>
        <v>8.0131096553743373E-3</v>
      </c>
      <c r="CF19" s="450">
        <f t="shared" si="35"/>
        <v>2.395E-3</v>
      </c>
      <c r="CG19" s="450">
        <f t="shared" si="35"/>
        <v>2.2499999999999998E-3</v>
      </c>
      <c r="CH19" s="450">
        <f t="shared" si="35"/>
        <v>2.1449999999999998E-3</v>
      </c>
      <c r="CI19" s="450">
        <f t="shared" si="35"/>
        <v>2.1399999999999995E-3</v>
      </c>
      <c r="CJ19" s="450">
        <f t="shared" si="35"/>
        <v>2.0999999999999999E-3</v>
      </c>
    </row>
    <row r="20" spans="1:88" s="355" customFormat="1" hidden="1" x14ac:dyDescent="0.25">
      <c r="A20" s="400">
        <v>1100000002</v>
      </c>
      <c r="B20" s="455" t="str">
        <f>VLOOKUP(A20,'Loan Book Summary'!C:G,5,FALSE)</f>
        <v>0014I00001jTjtP</v>
      </c>
      <c r="C20" s="167">
        <f>VLOOKUP(A20,'Ref-Data'!$A:$I,9,0)</f>
        <v>1</v>
      </c>
      <c r="D20" s="445">
        <f>VLOOKUP(A20,'Adjustment Factor'!A:C,3,0)</f>
        <v>1.1951755713707852</v>
      </c>
      <c r="E20" s="446">
        <f>VLOOKUP(A20,'Ref-Data'!A:C,2,FALSE)</f>
        <v>1713309.8</v>
      </c>
      <c r="F20" s="445">
        <f>VLOOKUP(A20,'Ref-Data'!$A:$F,6,FALSE)</f>
        <v>2.6529774127310062</v>
      </c>
      <c r="G20" s="346"/>
      <c r="H20" s="273">
        <f>VLOOKUP($B20, 'Output 96% Downside'!$A:$CW,42,FALSE)</f>
        <v>1.1599999999999999E-2</v>
      </c>
      <c r="I20" s="273">
        <f>VLOOKUP($B20, 'Output 96% Downside'!$A:$CW,43,FALSE)</f>
        <v>1.04E-2</v>
      </c>
      <c r="J20" s="273">
        <f>VLOOKUP($B20, 'Output 96% Downside'!$A:$CW,44,FALSE)</f>
        <v>9.7000000000000003E-3</v>
      </c>
      <c r="K20" s="273">
        <f>VLOOKUP($B20, 'Output 96% Downside'!$A:$CW,45,FALSE)</f>
        <v>9.2999999999999992E-3</v>
      </c>
      <c r="L20" s="273">
        <f>VLOOKUP($B20, 'Output 96% Downside'!$A:$CW,46,FALSE)</f>
        <v>8.8999999999999999E-3</v>
      </c>
      <c r="M20" s="447">
        <f t="shared" si="0"/>
        <v>2.9127010482354887E-3</v>
      </c>
      <c r="N20" s="447">
        <f t="shared" si="3"/>
        <v>5.8169182690746002E-3</v>
      </c>
      <c r="O20" s="447">
        <f t="shared" si="4"/>
        <v>8.7126763733702539E-3</v>
      </c>
      <c r="P20" s="346"/>
      <c r="Q20" s="390">
        <f t="shared" si="5"/>
        <v>3.4811891395571354E-3</v>
      </c>
      <c r="R20" s="390">
        <f t="shared" si="5"/>
        <v>6.9522386158583941E-3</v>
      </c>
      <c r="S20" s="390">
        <f t="shared" si="5"/>
        <v>1.0413177962711535E-2</v>
      </c>
      <c r="T20" s="390">
        <f t="shared" si="6"/>
        <v>1.3864036627901108E-2</v>
      </c>
      <c r="U20" s="390">
        <f t="shared" si="7"/>
        <v>2.6149676589227122E-2</v>
      </c>
      <c r="V20" s="390">
        <f t="shared" si="8"/>
        <v>3.7489227768608316E-2</v>
      </c>
      <c r="W20" s="390">
        <f t="shared" si="9"/>
        <v>4.8255710764108478E-2</v>
      </c>
      <c r="X20" s="390">
        <f t="shared" si="10"/>
        <v>5.8463297523507977E-2</v>
      </c>
      <c r="Y20" s="390">
        <f t="shared" si="11"/>
        <v>1.3864036627901108E-2</v>
      </c>
      <c r="Z20" s="390">
        <f t="shared" si="12"/>
        <v>3.7489227768608316E-2</v>
      </c>
      <c r="AC20" s="273">
        <f>VLOOKUP($B20, 'Output Baseline'!$A:$CW,42,FALSE)</f>
        <v>5.8999999999999999E-3</v>
      </c>
      <c r="AD20" s="273">
        <f>VLOOKUP($B20, 'Output Baseline'!$A:$CW,43,FALSE)</f>
        <v>5.7999999999999996E-3</v>
      </c>
      <c r="AE20" s="273">
        <f>VLOOKUP($B20, 'Output Baseline'!$A:$CW,44,FALSE)</f>
        <v>5.7000000000000002E-3</v>
      </c>
      <c r="AF20" s="273">
        <f>VLOOKUP($B20, 'Output Baseline'!$A:$CW,45,FALSE)</f>
        <v>5.5999999999999999E-3</v>
      </c>
      <c r="AG20" s="273">
        <f>VLOOKUP($B20, 'Output Baseline'!$A:$CW,46,FALSE)</f>
        <v>5.4999999999999997E-3</v>
      </c>
      <c r="AH20" s="447">
        <f t="shared" si="13"/>
        <v>1.4782747149250097E-3</v>
      </c>
      <c r="AI20" s="447">
        <f t="shared" si="14"/>
        <v>2.9543641337171911E-3</v>
      </c>
      <c r="AJ20" s="447">
        <f t="shared" si="15"/>
        <v>4.4282714868446593E-3</v>
      </c>
      <c r="AK20" s="346"/>
      <c r="AL20" s="390">
        <f t="shared" si="16"/>
        <v>1.7667978270534831E-3</v>
      </c>
      <c r="AM20" s="390">
        <f t="shared" si="16"/>
        <v>3.5309838415527989E-3</v>
      </c>
      <c r="AN20" s="390">
        <f t="shared" si="16"/>
        <v>5.2925619044745225E-3</v>
      </c>
      <c r="AO20" s="390">
        <f t="shared" si="17"/>
        <v>7.0515358710876328E-3</v>
      </c>
      <c r="AP20" s="390">
        <f t="shared" si="18"/>
        <v>1.3942655276985962E-2</v>
      </c>
      <c r="AQ20" s="390">
        <f t="shared" si="19"/>
        <v>2.0675682898720696E-2</v>
      </c>
      <c r="AR20" s="390">
        <f t="shared" si="20"/>
        <v>2.7252882274164354E-2</v>
      </c>
      <c r="AS20" s="390">
        <f t="shared" si="21"/>
        <v>3.367645706419576E-2</v>
      </c>
      <c r="AT20" s="390">
        <f t="shared" si="22"/>
        <v>7.0515358710876328E-3</v>
      </c>
      <c r="AU20" s="390">
        <f t="shared" si="23"/>
        <v>2.0675682898720696E-2</v>
      </c>
      <c r="AX20" s="273">
        <f>VLOOKUP($B20, 'Output 90% Downside'!$A:$CW,42,FALSE)</f>
        <v>9.7999999999999997E-3</v>
      </c>
      <c r="AY20" s="273">
        <f>VLOOKUP($B20, 'Output 90% Downside'!$A:$CW,43,FALSE)</f>
        <v>8.8999999999999999E-3</v>
      </c>
      <c r="AZ20" s="273">
        <f>VLOOKUP($B20, 'Output 90% Downside'!$A:$CW,44,FALSE)</f>
        <v>8.3999999999999995E-3</v>
      </c>
      <c r="BA20" s="273">
        <f>VLOOKUP($B20, 'Output 90% Downside'!$A:$CW,45,FALSE)</f>
        <v>8.0999999999999996E-3</v>
      </c>
      <c r="BB20" s="273">
        <f>VLOOKUP($B20, 'Output 90% Downside'!$A:$CW,46,FALSE)</f>
        <v>7.7999999999999996E-3</v>
      </c>
      <c r="BC20" s="447">
        <f t="shared" si="24"/>
        <v>2.4590555707951767E-3</v>
      </c>
      <c r="BD20" s="447">
        <f t="shared" si="25"/>
        <v>4.9120641872900661E-3</v>
      </c>
      <c r="BE20" s="447">
        <f t="shared" si="26"/>
        <v>7.3590407192813956E-3</v>
      </c>
      <c r="BF20" s="346"/>
      <c r="BG20" s="390">
        <f t="shared" si="27"/>
        <v>2.9390031468576375E-3</v>
      </c>
      <c r="BH20" s="390">
        <f t="shared" si="27"/>
        <v>5.8707791216543763E-3</v>
      </c>
      <c r="BI20" s="390">
        <f t="shared" si="27"/>
        <v>8.7953456964080159E-3</v>
      </c>
      <c r="BJ20" s="390">
        <f t="shared" si="28"/>
        <v>1.1712720599433695E-2</v>
      </c>
      <c r="BK20" s="390">
        <f t="shared" si="29"/>
        <v>2.2245539971298717E-2</v>
      </c>
      <c r="BL20" s="390">
        <f t="shared" si="30"/>
        <v>3.2098152235054377E-2</v>
      </c>
      <c r="BM20" s="390">
        <f t="shared" si="31"/>
        <v>4.1519079330053756E-2</v>
      </c>
      <c r="BN20" s="390">
        <f t="shared" si="32"/>
        <v>5.0517599967971512E-2</v>
      </c>
      <c r="BO20" s="390">
        <f t="shared" si="33"/>
        <v>1.1712720599433695E-2</v>
      </c>
      <c r="BP20" s="390">
        <f t="shared" si="34"/>
        <v>3.2098152235054377E-2</v>
      </c>
      <c r="BQ20" s="347"/>
      <c r="BU20" s="390">
        <f>IFERROR(AL20*$BS$2+BG20*$BS$4+Q20*$BS$3,VLOOKUP(A20,'Updated Ncino PD'!A:K,4,FALSE))</f>
        <v>2.2627892546101197E-3</v>
      </c>
      <c r="BV20" s="390">
        <f>IFERROR(AM20*$BS$2+BH20*$BS$4+R20*$BS$3,VLOOKUP(A20,'Updated Ncino PD'!A:K,5,FALSE))</f>
        <v>4.5209749283036307E-3</v>
      </c>
      <c r="BW20" s="390">
        <f>IFERROR(AN20*$BS$2+BI20*$BS$4+S20*$BS$3,VLOOKUP(A20,'Updated Ncino PD'!A:K,6,FALSE))</f>
        <v>6.7745670345630959E-3</v>
      </c>
      <c r="BX20" s="390">
        <f>IFERROR(AO20*$BS$2+BJ20*$BS$4+T20*$BS$3,VLOOKUP(A20,'Updated Ncino PD'!A:K,7,FALSE))</f>
        <v>9.0235755638494296E-3</v>
      </c>
      <c r="BY20" s="390">
        <f>IFERROR(AP20*$BS$2+BK20*$BS$4+U20*$BS$3,VLOOKUP(A20,'Updated Ncino PD'!A:K,8,FALSE))</f>
        <v>1.7459015985607482E-2</v>
      </c>
      <c r="BZ20" s="390">
        <f>IFERROR(AQ20*$BS$2+BL20*$BS$4+V20*$BS$3,VLOOKUP(A20,'Updated Ncino PD'!A:K,9,FALSE))</f>
        <v>2.5514224409931865E-2</v>
      </c>
      <c r="CA20" s="390">
        <f>IFERROR(AR20*$BS$2+BM20*$BS$4+W20*$BS$3,VLOOKUP(A20,'Updated Ncino PD'!A:K,10,FALSE))</f>
        <v>3.3296192668222847E-2</v>
      </c>
      <c r="CB20" s="390">
        <f>IFERROR(AS20*$BS$2+BN20*$BS$4+X20*$BS$3,VLOOKUP(A20,'Updated Ncino PD'!A:K,11,FALSE))</f>
        <v>4.081019910348288E-2</v>
      </c>
      <c r="CC20" s="390">
        <f t="shared" si="36"/>
        <v>9.0235755638494296E-3</v>
      </c>
      <c r="CD20" s="390">
        <f t="shared" si="36"/>
        <v>2.5514224409931865E-2</v>
      </c>
      <c r="CF20" s="450">
        <f t="shared" si="35"/>
        <v>7.5499999999999994E-3</v>
      </c>
      <c r="CG20" s="450">
        <f t="shared" si="35"/>
        <v>7.1149999999999989E-3</v>
      </c>
      <c r="CH20" s="450">
        <f t="shared" si="35"/>
        <v>6.8449999999999995E-3</v>
      </c>
      <c r="CI20" s="450">
        <f t="shared" si="35"/>
        <v>6.6599999999999993E-3</v>
      </c>
      <c r="CJ20" s="450">
        <f t="shared" si="35"/>
        <v>6.4749999999999999E-3</v>
      </c>
    </row>
    <row r="21" spans="1:88" s="355" customFormat="1" hidden="1" x14ac:dyDescent="0.25">
      <c r="A21" s="400">
        <v>1100000202</v>
      </c>
      <c r="B21" s="455" t="str">
        <f>VLOOKUP(A21,'Loan Book Summary'!C:G,5,FALSE)</f>
        <v>0015800001VjgTF</v>
      </c>
      <c r="C21" s="167">
        <f>VLOOKUP(A21,'Ref-Data'!$A:$I,9,0)</f>
        <v>1</v>
      </c>
      <c r="D21" s="445">
        <f>VLOOKUP(A21,'Adjustment Factor'!A:C,3,0)</f>
        <v>0.79</v>
      </c>
      <c r="E21" s="446">
        <f>VLOOKUP(A21,'Ref-Data'!A:C,2,FALSE)</f>
        <v>1875502.42</v>
      </c>
      <c r="F21" s="445">
        <f>VLOOKUP(A21,'Ref-Data'!$A:$F,6,FALSE)</f>
        <v>2.5681040383299112</v>
      </c>
      <c r="G21" s="346"/>
      <c r="H21" s="273">
        <f>VLOOKUP($B21, 'Output 96% Downside'!$A:$CW,42,FALSE)</f>
        <v>3.2599999999999997E-2</v>
      </c>
      <c r="I21" s="273">
        <f>VLOOKUP($B21, 'Output 96% Downside'!$A:$CW,43,FALSE)</f>
        <v>2.9899999999999999E-2</v>
      </c>
      <c r="J21" s="273">
        <f>VLOOKUP($B21, 'Output 96% Downside'!$A:$CW,44,FALSE)</f>
        <v>2.8500000000000001E-2</v>
      </c>
      <c r="K21" s="273">
        <f>VLOOKUP($B21, 'Output 96% Downside'!$A:$CW,45,FALSE)</f>
        <v>2.75E-2</v>
      </c>
      <c r="L21" s="273">
        <f>VLOOKUP($B21, 'Output 96% Downside'!$A:$CW,46,FALSE)</f>
        <v>2.6700000000000002E-2</v>
      </c>
      <c r="M21" s="447">
        <f t="shared" si="0"/>
        <v>8.251571982620054E-3</v>
      </c>
      <c r="N21" s="447">
        <f t="shared" si="3"/>
        <v>1.6435055525055753E-2</v>
      </c>
      <c r="O21" s="447">
        <f t="shared" si="4"/>
        <v>2.4551012463972399E-2</v>
      </c>
      <c r="P21" s="346"/>
      <c r="Q21" s="390">
        <f t="shared" si="5"/>
        <v>6.518741866269843E-3</v>
      </c>
      <c r="R21" s="390">
        <f t="shared" si="5"/>
        <v>1.2983693864794045E-2</v>
      </c>
      <c r="S21" s="390">
        <f t="shared" si="5"/>
        <v>1.9395299846538195E-2</v>
      </c>
      <c r="T21" s="390">
        <f t="shared" si="6"/>
        <v>2.5753999999999999E-2</v>
      </c>
      <c r="U21" s="390">
        <f t="shared" si="7"/>
        <v>4.8604955400000024E-2</v>
      </c>
      <c r="V21" s="390">
        <f t="shared" si="8"/>
        <v>6.9734714171099985E-2</v>
      </c>
      <c r="W21" s="390">
        <f t="shared" si="9"/>
        <v>8.9542009531394684E-2</v>
      </c>
      <c r="X21" s="390">
        <f t="shared" si="10"/>
        <v>0.10824423787690639</v>
      </c>
      <c r="Y21" s="390">
        <f t="shared" si="11"/>
        <v>2.5753999999999999E-2</v>
      </c>
      <c r="Z21" s="390">
        <f t="shared" si="12"/>
        <v>6.9734714171099985E-2</v>
      </c>
      <c r="AC21" s="273">
        <f>VLOOKUP($B21, 'Output Baseline'!$A:$CW,42,FALSE)</f>
        <v>1.2699999999999999E-2</v>
      </c>
      <c r="AD21" s="273">
        <f>VLOOKUP($B21, 'Output Baseline'!$A:$CW,43,FALSE)</f>
        <v>1.2999999999999999E-2</v>
      </c>
      <c r="AE21" s="273">
        <f>VLOOKUP($B21, 'Output Baseline'!$A:$CW,44,FALSE)</f>
        <v>1.3100000000000001E-2</v>
      </c>
      <c r="AF21" s="273">
        <f>VLOOKUP($B21, 'Output Baseline'!$A:$CW,45,FALSE)</f>
        <v>1.32E-2</v>
      </c>
      <c r="AG21" s="273">
        <f>VLOOKUP($B21, 'Output Baseline'!$A:$CW,46,FALSE)</f>
        <v>1.3299999999999999E-2</v>
      </c>
      <c r="AH21" s="447">
        <f t="shared" si="13"/>
        <v>3.1902339459390916E-3</v>
      </c>
      <c r="AI21" s="447">
        <f t="shared" si="14"/>
        <v>6.3702902992484045E-3</v>
      </c>
      <c r="AJ21" s="447">
        <f t="shared" si="15"/>
        <v>9.5402015288293951E-3</v>
      </c>
      <c r="AK21" s="346"/>
      <c r="AL21" s="390">
        <f t="shared" si="16"/>
        <v>2.5202848172918824E-3</v>
      </c>
      <c r="AM21" s="390">
        <f t="shared" si="16"/>
        <v>5.0325293364062397E-3</v>
      </c>
      <c r="AN21" s="390">
        <f t="shared" si="16"/>
        <v>7.5367592077752229E-3</v>
      </c>
      <c r="AO21" s="390">
        <f t="shared" si="17"/>
        <v>1.0033E-2</v>
      </c>
      <c r="AP21" s="390">
        <f t="shared" si="18"/>
        <v>2.0172571000000021E-2</v>
      </c>
      <c r="AQ21" s="390">
        <f t="shared" si="19"/>
        <v>3.0257310319899981E-2</v>
      </c>
      <c r="AR21" s="390">
        <f t="shared" si="20"/>
        <v>4.0285913823677265E-2</v>
      </c>
      <c r="AS21" s="390">
        <f t="shared" si="21"/>
        <v>5.025711116982233E-2</v>
      </c>
      <c r="AT21" s="390">
        <f t="shared" si="22"/>
        <v>1.0033E-2</v>
      </c>
      <c r="AU21" s="390">
        <f t="shared" si="23"/>
        <v>3.0257310319899981E-2</v>
      </c>
      <c r="AX21" s="273">
        <f>VLOOKUP($B21, 'Output 90% Downside'!$A:$CW,42,FALSE)</f>
        <v>2.6800000000000001E-2</v>
      </c>
      <c r="AY21" s="273">
        <f>VLOOKUP($B21, 'Output 90% Downside'!$A:$CW,43,FALSE)</f>
        <v>2.53E-2</v>
      </c>
      <c r="AZ21" s="273">
        <f>VLOOKUP($B21, 'Output 90% Downside'!$A:$CW,44,FALSE)</f>
        <v>2.4500000000000001E-2</v>
      </c>
      <c r="BA21" s="273">
        <f>VLOOKUP($B21, 'Output 90% Downside'!$A:$CW,45,FALSE)</f>
        <v>2.3900000000000001E-2</v>
      </c>
      <c r="BB21" s="273">
        <f>VLOOKUP($B21, 'Output 90% Downside'!$A:$CW,46,FALSE)</f>
        <v>2.35E-2</v>
      </c>
      <c r="BC21" s="447">
        <f t="shared" si="24"/>
        <v>6.7684074642602177E-3</v>
      </c>
      <c r="BD21" s="447">
        <f t="shared" si="25"/>
        <v>1.3491003588918193E-2</v>
      </c>
      <c r="BE21" s="447">
        <f t="shared" si="26"/>
        <v>2.0168098443786864E-2</v>
      </c>
      <c r="BF21" s="346"/>
      <c r="BG21" s="390">
        <f t="shared" si="27"/>
        <v>5.3470418967655718E-3</v>
      </c>
      <c r="BH21" s="390">
        <f t="shared" si="27"/>
        <v>1.0657892835245373E-2</v>
      </c>
      <c r="BI21" s="390">
        <f t="shared" si="27"/>
        <v>1.5932797770591624E-2</v>
      </c>
      <c r="BJ21" s="390">
        <f t="shared" si="28"/>
        <v>2.1172000000000003E-2</v>
      </c>
      <c r="BK21" s="390">
        <f t="shared" si="29"/>
        <v>4.0623348399999995E-2</v>
      </c>
      <c r="BL21" s="390">
        <f t="shared" si="30"/>
        <v>5.8983076364199999E-2</v>
      </c>
      <c r="BM21" s="390">
        <f t="shared" si="31"/>
        <v>7.6454380839095615E-2</v>
      </c>
      <c r="BN21" s="390">
        <f t="shared" si="32"/>
        <v>9.3222702889376841E-2</v>
      </c>
      <c r="BO21" s="390">
        <f t="shared" si="33"/>
        <v>2.1172000000000003E-2</v>
      </c>
      <c r="BP21" s="390">
        <f t="shared" si="34"/>
        <v>5.8983076364199999E-2</v>
      </c>
      <c r="BQ21" s="347"/>
      <c r="BU21" s="390">
        <f>IFERROR(AL21*$BS$2+BG21*$BS$4+Q21*$BS$3,VLOOKUP(A21,'Updated Ncino PD'!A:K,4,FALSE))</f>
        <v>3.7095726475565717E-3</v>
      </c>
      <c r="BV21" s="390">
        <f>IFERROR(AM21*$BS$2+BH21*$BS$4+R21*$BS$3,VLOOKUP(A21,'Updated Ncino PD'!A:K,5,FALSE))</f>
        <v>7.3989647874193269E-3</v>
      </c>
      <c r="BW21" s="390">
        <f>IFERROR(AN21*$BS$2+BI21*$BS$4+S21*$BS$3,VLOOKUP(A21,'Updated Ncino PD'!A:K,6,FALSE))</f>
        <v>1.1068299736699112E-2</v>
      </c>
      <c r="BX21" s="390">
        <f>IFERROR(AO21*$BS$2+BJ21*$BS$4+T21*$BS$3,VLOOKUP(A21,'Updated Ncino PD'!A:K,7,FALSE))</f>
        <v>1.47177E-2</v>
      </c>
      <c r="BY21" s="390">
        <f>IFERROR(AP21*$BS$2+BK21*$BS$4+U21*$BS$3,VLOOKUP(A21,'Updated Ncino PD'!A:K,8,FALSE))</f>
        <v>2.8751962310000011E-2</v>
      </c>
      <c r="BZ21" s="390">
        <f>IFERROR(AQ21*$BS$2+BL21*$BS$4+V21*$BS$3,VLOOKUP(A21,'Updated Ncino PD'!A:K,9,FALSE))</f>
        <v>4.2285198627964982E-2</v>
      </c>
      <c r="CA21" s="390">
        <f>IFERROR(AR21*$BS$2+BM21*$BS$4+W21*$BS$3,VLOOKUP(A21,'Updated Ncino PD'!A:K,10,FALSE))</f>
        <v>5.5407682064459556E-2</v>
      </c>
      <c r="CB21" s="390">
        <f>IFERROR(AS21*$BS$2+BN21*$BS$4+X21*$BS$3,VLOOKUP(A21,'Updated Ncino PD'!A:K,11,FALSE))</f>
        <v>6.8194424607020604E-2</v>
      </c>
      <c r="CC21" s="390">
        <f t="shared" si="36"/>
        <v>1.47177E-2</v>
      </c>
      <c r="CD21" s="390">
        <f t="shared" si="36"/>
        <v>4.2285198627964982E-2</v>
      </c>
      <c r="CF21" s="450">
        <f t="shared" si="35"/>
        <v>1.8630000000000001E-2</v>
      </c>
      <c r="CG21" s="450">
        <f t="shared" si="35"/>
        <v>1.8149999999999999E-2</v>
      </c>
      <c r="CH21" s="450">
        <f t="shared" si="35"/>
        <v>1.7860000000000001E-2</v>
      </c>
      <c r="CI21" s="450">
        <f t="shared" si="35"/>
        <v>1.7659999999999999E-2</v>
      </c>
      <c r="CJ21" s="450">
        <f t="shared" si="35"/>
        <v>1.754E-2</v>
      </c>
    </row>
    <row r="22" spans="1:88" s="355" customFormat="1" hidden="1" x14ac:dyDescent="0.25">
      <c r="A22" s="400">
        <v>1100000203</v>
      </c>
      <c r="B22" s="455" t="str">
        <f>VLOOKUP(A22,'Loan Book Summary'!C:G,5,FALSE)</f>
        <v>0014I00001pussv</v>
      </c>
      <c r="C22" s="167">
        <f>VLOOKUP(A22,'Ref-Data'!$A:$I,9,0)</f>
        <v>1</v>
      </c>
      <c r="D22" s="445">
        <f>VLOOKUP(A22,'Adjustment Factor'!A:C,3,0)</f>
        <v>1.89</v>
      </c>
      <c r="E22" s="446">
        <f>VLOOKUP(A22,'Ref-Data'!A:C,2,FALSE)</f>
        <v>420249.57</v>
      </c>
      <c r="F22" s="445">
        <f>VLOOKUP(A22,'Ref-Data'!$A:$F,6,FALSE)</f>
        <v>2.3655030800821355</v>
      </c>
      <c r="G22" s="346"/>
      <c r="H22" s="273">
        <f>VLOOKUP($B22, 'Output 96% Downside'!$A:$CW,42,FALSE)</f>
        <v>1.9E-3</v>
      </c>
      <c r="I22" s="273">
        <f>VLOOKUP($B22, 'Output 96% Downside'!$A:$CW,43,FALSE)</f>
        <v>2.0999999999999999E-3</v>
      </c>
      <c r="J22" s="273">
        <f>VLOOKUP($B22, 'Output 96% Downside'!$A:$CW,44,FALSE)</f>
        <v>2.3E-3</v>
      </c>
      <c r="K22" s="273">
        <f>VLOOKUP($B22, 'Output 96% Downside'!$A:$CW,45,FALSE)</f>
        <v>2.3999999999999998E-3</v>
      </c>
      <c r="L22" s="273">
        <f>VLOOKUP($B22, 'Output 96% Downside'!$A:$CW,46,FALSE)</f>
        <v>2.5000000000000001E-3</v>
      </c>
      <c r="M22" s="447">
        <f t="shared" si="0"/>
        <v>4.7533881309225201E-4</v>
      </c>
      <c r="N22" s="447">
        <f t="shared" si="3"/>
        <v>9.504516791972728E-4</v>
      </c>
      <c r="O22" s="447">
        <f t="shared" si="4"/>
        <v>1.4253387057164835E-3</v>
      </c>
      <c r="P22" s="346"/>
      <c r="Q22" s="390">
        <f t="shared" si="5"/>
        <v>8.9839035674435627E-4</v>
      </c>
      <c r="R22" s="390">
        <f t="shared" si="5"/>
        <v>1.7963536736828455E-3</v>
      </c>
      <c r="S22" s="390">
        <f t="shared" si="5"/>
        <v>2.6938901538041534E-3</v>
      </c>
      <c r="T22" s="390">
        <f t="shared" si="6"/>
        <v>3.591E-3</v>
      </c>
      <c r="U22" s="390">
        <f t="shared" si="7"/>
        <v>7.5524589000000942E-3</v>
      </c>
      <c r="V22" s="390">
        <f t="shared" si="8"/>
        <v>1.1882088244530046E-2</v>
      </c>
      <c r="W22" s="390">
        <f t="shared" si="9"/>
        <v>1.638957123274306E-2</v>
      </c>
      <c r="X22" s="390">
        <f t="shared" si="10"/>
        <v>2.1073597304661063E-2</v>
      </c>
      <c r="Y22" s="390">
        <f t="shared" si="11"/>
        <v>3.591E-3</v>
      </c>
      <c r="Z22" s="390">
        <f t="shared" si="12"/>
        <v>1.1882088244530046E-2</v>
      </c>
      <c r="AC22" s="273">
        <f>VLOOKUP($B22, 'Output Baseline'!$A:$CW,42,FALSE)</f>
        <v>1.8E-3</v>
      </c>
      <c r="AD22" s="273">
        <f>VLOOKUP($B22, 'Output Baseline'!$A:$CW,43,FALSE)</f>
        <v>2E-3</v>
      </c>
      <c r="AE22" s="273">
        <f>VLOOKUP($B22, 'Output Baseline'!$A:$CW,44,FALSE)</f>
        <v>2.0999999999999999E-3</v>
      </c>
      <c r="AF22" s="273">
        <f>VLOOKUP($B22, 'Output Baseline'!$A:$CW,45,FALSE)</f>
        <v>2.3E-3</v>
      </c>
      <c r="AG22" s="273">
        <f>VLOOKUP($B22, 'Output Baseline'!$A:$CW,46,FALSE)</f>
        <v>2.3E-3</v>
      </c>
      <c r="AH22" s="447">
        <f t="shared" si="13"/>
        <v>4.5030406933277423E-4</v>
      </c>
      <c r="AI22" s="447">
        <f t="shared" si="14"/>
        <v>9.0040536491065026E-4</v>
      </c>
      <c r="AJ22" s="447">
        <f t="shared" si="15"/>
        <v>1.3503039780435877E-3</v>
      </c>
      <c r="AK22" s="346"/>
      <c r="AL22" s="390">
        <f t="shared" si="16"/>
        <v>8.5107469103894325E-4</v>
      </c>
      <c r="AM22" s="390">
        <f t="shared" si="16"/>
        <v>1.7017661396811288E-3</v>
      </c>
      <c r="AN22" s="390">
        <f t="shared" si="16"/>
        <v>2.5520745185023804E-3</v>
      </c>
      <c r="AO22" s="390">
        <f t="shared" si="17"/>
        <v>3.4019999999999996E-3</v>
      </c>
      <c r="AP22" s="390">
        <f t="shared" si="18"/>
        <v>7.1751960000000625E-3</v>
      </c>
      <c r="AQ22" s="390">
        <f t="shared" si="19"/>
        <v>1.1129128088400143E-2</v>
      </c>
      <c r="AR22" s="390">
        <f t="shared" si="20"/>
        <v>1.5450531093796778E-2</v>
      </c>
      <c r="AS22" s="390">
        <f t="shared" si="21"/>
        <v>1.9761994872281047E-2</v>
      </c>
      <c r="AT22" s="390">
        <f t="shared" si="22"/>
        <v>3.4019999999999996E-3</v>
      </c>
      <c r="AU22" s="390">
        <f t="shared" si="23"/>
        <v>1.1129128088400143E-2</v>
      </c>
      <c r="AX22" s="273">
        <f>VLOOKUP($B22, 'Output 90% Downside'!$A:$CW,42,FALSE)</f>
        <v>1.8E-3</v>
      </c>
      <c r="AY22" s="273">
        <f>VLOOKUP($B22, 'Output 90% Downside'!$A:$CW,43,FALSE)</f>
        <v>2E-3</v>
      </c>
      <c r="AZ22" s="273">
        <f>VLOOKUP($B22, 'Output 90% Downside'!$A:$CW,44,FALSE)</f>
        <v>2.2000000000000001E-3</v>
      </c>
      <c r="BA22" s="273">
        <f>VLOOKUP($B22, 'Output 90% Downside'!$A:$CW,45,FALSE)</f>
        <v>2.3E-3</v>
      </c>
      <c r="BB22" s="273">
        <f>VLOOKUP($B22, 'Output 90% Downside'!$A:$CW,46,FALSE)</f>
        <v>2.3999999999999998E-3</v>
      </c>
      <c r="BC22" s="447">
        <f t="shared" si="24"/>
        <v>4.5030406933277423E-4</v>
      </c>
      <c r="BD22" s="447">
        <f t="shared" si="25"/>
        <v>9.0040536491065026E-4</v>
      </c>
      <c r="BE22" s="447">
        <f t="shared" si="26"/>
        <v>1.3503039780435877E-3</v>
      </c>
      <c r="BF22" s="346"/>
      <c r="BG22" s="390">
        <f t="shared" si="27"/>
        <v>8.5107469103894325E-4</v>
      </c>
      <c r="BH22" s="390">
        <f t="shared" si="27"/>
        <v>1.7017661396811288E-3</v>
      </c>
      <c r="BI22" s="390">
        <f t="shared" si="27"/>
        <v>2.5520745185023804E-3</v>
      </c>
      <c r="BJ22" s="390">
        <f t="shared" si="28"/>
        <v>3.4019999999999996E-3</v>
      </c>
      <c r="BK22" s="390">
        <f t="shared" si="29"/>
        <v>7.1751960000000625E-3</v>
      </c>
      <c r="BL22" s="390">
        <f t="shared" si="30"/>
        <v>1.1317410568799927E-2</v>
      </c>
      <c r="BM22" s="390">
        <f t="shared" si="31"/>
        <v>1.5638380524491725E-2</v>
      </c>
      <c r="BN22" s="390">
        <f t="shared" si="32"/>
        <v>2.0136848411232838E-2</v>
      </c>
      <c r="BO22" s="390">
        <f t="shared" si="33"/>
        <v>3.4019999999999996E-3</v>
      </c>
      <c r="BP22" s="390">
        <f t="shared" si="34"/>
        <v>1.1317410568799927E-2</v>
      </c>
      <c r="BQ22" s="347"/>
      <c r="BU22" s="390">
        <f>IFERROR(AL22*$BS$2+BG22*$BS$4+Q22*$BS$3,VLOOKUP(A22,'Updated Ncino PD'!A:K,4,FALSE))</f>
        <v>8.5344047432421382E-4</v>
      </c>
      <c r="BV22" s="390">
        <f>IFERROR(AM22*$BS$2+BH22*$BS$4+R22*$BS$3,VLOOKUP(A22,'Updated Ncino PD'!A:K,5,FALSE))</f>
        <v>1.7064955163812146E-3</v>
      </c>
      <c r="BW22" s="390">
        <f>IFERROR(AN22*$BS$2+BI22*$BS$4+S22*$BS$3,VLOOKUP(A22,'Updated Ncino PD'!A:K,6,FALSE))</f>
        <v>2.5591653002674693E-3</v>
      </c>
      <c r="BX22" s="390">
        <f>IFERROR(AO22*$BS$2+BJ22*$BS$4+T22*$BS$3,VLOOKUP(A22,'Updated Ncino PD'!A:K,7,FALSE))</f>
        <v>3.4114499999999995E-3</v>
      </c>
      <c r="BY22" s="390">
        <f>IFERROR(AP22*$BS$2+BK22*$BS$4+U22*$BS$3,VLOOKUP(A22,'Updated Ncino PD'!A:K,8,FALSE))</f>
        <v>7.1940591450000632E-3</v>
      </c>
      <c r="BZ22" s="390">
        <f>IFERROR(AQ22*$BS$2+BL22*$BS$4+V22*$BS$3,VLOOKUP(A22,'Updated Ncino PD'!A:K,9,FALSE))</f>
        <v>1.1232674964346562E-2</v>
      </c>
      <c r="CA22" s="390">
        <f>IFERROR(AR22*$BS$2+BM22*$BS$4+W22*$BS$3,VLOOKUP(A22,'Updated Ncino PD'!A:K,10,FALSE))</f>
        <v>1.5563230401487323E-2</v>
      </c>
      <c r="CB22" s="390">
        <f>IFERROR(AS22*$BS$2+BN22*$BS$4+X22*$BS$3,VLOOKUP(A22,'Updated Ncino PD'!A:K,11,FALSE))</f>
        <v>1.9958773732533176E-2</v>
      </c>
      <c r="CC22" s="390">
        <f t="shared" si="36"/>
        <v>3.4114499999999995E-3</v>
      </c>
      <c r="CD22" s="390">
        <f t="shared" si="36"/>
        <v>1.1232674964346562E-2</v>
      </c>
      <c r="CF22" s="450">
        <f t="shared" si="35"/>
        <v>1.805E-3</v>
      </c>
      <c r="CG22" s="450">
        <f t="shared" si="35"/>
        <v>2.0049999999999998E-3</v>
      </c>
      <c r="CH22" s="450">
        <f t="shared" si="35"/>
        <v>2.1449999999999998E-3</v>
      </c>
      <c r="CI22" s="450">
        <f t="shared" si="35"/>
        <v>2.3049999999999998E-3</v>
      </c>
      <c r="CJ22" s="450">
        <f t="shared" si="35"/>
        <v>2.3449999999999999E-3</v>
      </c>
    </row>
    <row r="23" spans="1:88" s="355" customFormat="1" hidden="1" x14ac:dyDescent="0.25">
      <c r="A23" s="400">
        <v>1100000184</v>
      </c>
      <c r="B23" s="455" t="str">
        <f>VLOOKUP(A23,'Loan Book Summary'!C:G,5,FALSE)</f>
        <v>0014I00001tNfla</v>
      </c>
      <c r="C23" s="167">
        <f>VLOOKUP(A23,'Ref-Data'!$A:$I,9,0)</f>
        <v>1</v>
      </c>
      <c r="D23" s="445">
        <f>VLOOKUP(A23,'Adjustment Factor'!A:C,3,0)</f>
        <v>0.76</v>
      </c>
      <c r="E23" s="446">
        <f>VLOOKUP(A23,'Ref-Data'!A:C,2,FALSE)</f>
        <v>5250000</v>
      </c>
      <c r="F23" s="445">
        <f>VLOOKUP(A23,'Ref-Data'!$A:$F,6,FALSE)</f>
        <v>2.516084873374401</v>
      </c>
      <c r="G23" s="346"/>
      <c r="H23" s="273">
        <f>VLOOKUP($B23, 'Output 96% Downside'!$A:$CW,42,FALSE)</f>
        <v>6.7900000000000002E-2</v>
      </c>
      <c r="I23" s="273">
        <f>VLOOKUP($B23, 'Output 96% Downside'!$A:$CW,43,FALSE)</f>
        <v>5.0200000000000002E-2</v>
      </c>
      <c r="J23" s="273">
        <f>VLOOKUP($B23, 'Output 96% Downside'!$A:$CW,44,FALSE)</f>
        <v>4.2099999999999999E-2</v>
      </c>
      <c r="K23" s="273">
        <f>VLOOKUP($B23, 'Output 96% Downside'!$A:$CW,45,FALSE)</f>
        <v>3.7100000000000001E-2</v>
      </c>
      <c r="L23" s="273">
        <f>VLOOKUP($B23, 'Output 96% Downside'!$A:$CW,46,FALSE)</f>
        <v>3.3599999999999998E-2</v>
      </c>
      <c r="M23" s="447">
        <f t="shared" si="0"/>
        <v>1.7425187872707637E-2</v>
      </c>
      <c r="N23" s="447">
        <f t="shared" si="3"/>
        <v>3.4546738573016156E-2</v>
      </c>
      <c r="O23" s="447">
        <f t="shared" si="4"/>
        <v>5.1369943035699639E-2</v>
      </c>
      <c r="P23" s="346"/>
      <c r="Q23" s="390">
        <f t="shared" si="5"/>
        <v>1.3243142783257804E-2</v>
      </c>
      <c r="R23" s="390">
        <f t="shared" si="5"/>
        <v>2.6255521315492279E-2</v>
      </c>
      <c r="S23" s="390">
        <f t="shared" si="5"/>
        <v>3.9041156707131729E-2</v>
      </c>
      <c r="T23" s="390">
        <f t="shared" si="6"/>
        <v>5.1604000000000004E-2</v>
      </c>
      <c r="U23" s="390">
        <f t="shared" si="7"/>
        <v>8.7165479199999993E-2</v>
      </c>
      <c r="V23" s="390">
        <f t="shared" si="8"/>
        <v>0.11549181252567998</v>
      </c>
      <c r="W23" s="390">
        <f t="shared" si="9"/>
        <v>0.13940306628097723</v>
      </c>
      <c r="X23" s="390">
        <f t="shared" si="10"/>
        <v>0.1602551232539364</v>
      </c>
      <c r="Y23" s="390">
        <f t="shared" si="11"/>
        <v>5.1604000000000004E-2</v>
      </c>
      <c r="Z23" s="390">
        <f t="shared" si="12"/>
        <v>0.11549181252567998</v>
      </c>
      <c r="AC23" s="273">
        <f>VLOOKUP($B23, 'Output Baseline'!$A:$CW,42,FALSE)</f>
        <v>5.5599999999999997E-2</v>
      </c>
      <c r="AD23" s="273">
        <f>VLOOKUP($B23, 'Output Baseline'!$A:$CW,43,FALSE)</f>
        <v>4.2799999999999998E-2</v>
      </c>
      <c r="AE23" s="273">
        <f>VLOOKUP($B23, 'Output Baseline'!$A:$CW,44,FALSE)</f>
        <v>3.6700000000000003E-2</v>
      </c>
      <c r="AF23" s="273">
        <f>VLOOKUP($B23, 'Output Baseline'!$A:$CW,45,FALSE)</f>
        <v>3.2800000000000003E-2</v>
      </c>
      <c r="AG23" s="273">
        <f>VLOOKUP($B23, 'Output Baseline'!$A:$CW,46,FALSE)</f>
        <v>3.0200000000000001E-2</v>
      </c>
      <c r="AH23" s="447">
        <f t="shared" si="13"/>
        <v>1.4199589642757693E-2</v>
      </c>
      <c r="AI23" s="447">
        <f t="shared" si="14"/>
        <v>2.8197550939492722E-2</v>
      </c>
      <c r="AJ23" s="447">
        <f t="shared" si="15"/>
        <v>4.1996746929978901E-2</v>
      </c>
      <c r="AK23" s="346"/>
      <c r="AL23" s="390">
        <f t="shared" si="16"/>
        <v>1.0791688128495847E-2</v>
      </c>
      <c r="AM23" s="390">
        <f t="shared" si="16"/>
        <v>2.1430138714014467E-2</v>
      </c>
      <c r="AN23" s="390">
        <f t="shared" si="16"/>
        <v>3.1917527666783962E-2</v>
      </c>
      <c r="AO23" s="390">
        <f t="shared" si="17"/>
        <v>4.2255999999999995E-2</v>
      </c>
      <c r="AP23" s="390">
        <f t="shared" si="18"/>
        <v>7.2975443199999948E-2</v>
      </c>
      <c r="AQ23" s="390">
        <f t="shared" si="19"/>
        <v>9.8189244434559966E-2</v>
      </c>
      <c r="AR23" s="390">
        <f t="shared" si="20"/>
        <v>0.11989663721710646</v>
      </c>
      <c r="AS23" s="390">
        <f t="shared" si="21"/>
        <v>0.1392277587731498</v>
      </c>
      <c r="AT23" s="390">
        <f t="shared" si="22"/>
        <v>4.2255999999999995E-2</v>
      </c>
      <c r="AU23" s="390">
        <f t="shared" si="23"/>
        <v>9.8189244434559966E-2</v>
      </c>
      <c r="AX23" s="273">
        <f>VLOOKUP($B23, 'Output 90% Downside'!$A:$CW,42,FALSE)</f>
        <v>6.2E-2</v>
      </c>
      <c r="AY23" s="273">
        <f>VLOOKUP($B23, 'Output 90% Downside'!$A:$CW,43,FALSE)</f>
        <v>4.6800000000000001E-2</v>
      </c>
      <c r="AZ23" s="273">
        <f>VLOOKUP($B23, 'Output 90% Downside'!$A:$CW,44,FALSE)</f>
        <v>3.9600000000000003E-2</v>
      </c>
      <c r="BA23" s="273">
        <f>VLOOKUP($B23, 'Output 90% Downside'!$A:$CW,45,FALSE)</f>
        <v>3.5200000000000002E-2</v>
      </c>
      <c r="BB23" s="273">
        <f>VLOOKUP($B23, 'Output 90% Downside'!$A:$CW,46,FALSE)</f>
        <v>3.2099999999999997E-2</v>
      </c>
      <c r="BC23" s="447">
        <f t="shared" si="24"/>
        <v>1.5873991287568834E-2</v>
      </c>
      <c r="BD23" s="447">
        <f t="shared" si="25"/>
        <v>3.1495998975739847E-2</v>
      </c>
      <c r="BE23" s="447">
        <f t="shared" si="26"/>
        <v>4.6870023049974563E-2</v>
      </c>
      <c r="BF23" s="346"/>
      <c r="BG23" s="390">
        <f t="shared" si="27"/>
        <v>1.2064233378552313E-2</v>
      </c>
      <c r="BH23" s="390">
        <f t="shared" si="27"/>
        <v>2.3936959221562283E-2</v>
      </c>
      <c r="BI23" s="390">
        <f t="shared" si="27"/>
        <v>3.5621217517980669E-2</v>
      </c>
      <c r="BJ23" s="390">
        <f t="shared" si="28"/>
        <v>4.7120000000000002E-2</v>
      </c>
      <c r="BK23" s="390">
        <f t="shared" si="29"/>
        <v>8.0482784000000043E-2</v>
      </c>
      <c r="BL23" s="390">
        <f t="shared" si="30"/>
        <v>0.10739166575360004</v>
      </c>
      <c r="BM23" s="390">
        <f t="shared" si="31"/>
        <v>0.13036347911907337</v>
      </c>
      <c r="BN23" s="390">
        <f t="shared" si="32"/>
        <v>0.15057481143935109</v>
      </c>
      <c r="BO23" s="390">
        <f t="shared" si="33"/>
        <v>4.7120000000000002E-2</v>
      </c>
      <c r="BP23" s="390">
        <f t="shared" si="34"/>
        <v>0.10739166575360004</v>
      </c>
      <c r="BQ23" s="347"/>
      <c r="BU23" s="390">
        <f>IFERROR(AL23*$BS$2+BG23*$BS$4+Q23*$BS$3,VLOOKUP(A23,'Updated Ncino PD'!A:K,4,FALSE))</f>
        <v>1.1359651698753706E-2</v>
      </c>
      <c r="BV23" s="390">
        <f>IFERROR(AM23*$BS$2+BH23*$BS$4+R23*$BS$3,VLOOKUP(A23,'Updated Ncino PD'!A:K,5,FALSE))</f>
        <v>2.254879502173009E-2</v>
      </c>
      <c r="BW23" s="390">
        <f>IFERROR(AN23*$BS$2+BI23*$BS$4+S23*$BS$3,VLOOKUP(A23,'Updated Ncino PD'!A:K,6,FALSE))</f>
        <v>3.3570000566720201E-2</v>
      </c>
      <c r="BX23" s="390">
        <f>IFERROR(AO23*$BS$2+BJ23*$BS$4+T23*$BS$3,VLOOKUP(A23,'Updated Ncino PD'!A:K,7,FALSE))</f>
        <v>4.4425799999999994E-2</v>
      </c>
      <c r="BY23" s="390">
        <f>IFERROR(AP23*$BS$2+BK23*$BS$4+U23*$BS$3,VLOOKUP(A23,'Updated Ncino PD'!A:K,8,FALSE))</f>
        <v>7.6312514279999979E-2</v>
      </c>
      <c r="BZ23" s="390">
        <f>IFERROR(AQ23*$BS$2+BL23*$BS$4+V23*$BS$3,VLOOKUP(A23,'Updated Ncino PD'!A:K,9,FALSE))</f>
        <v>0.10227522030077998</v>
      </c>
      <c r="CA23" s="390">
        <f>IFERROR(AR23*$BS$2+BM23*$BS$4+W23*$BS$3,VLOOKUP(A23,'Updated Ncino PD'!A:K,10,FALSE))</f>
        <v>0.12453535333598841</v>
      </c>
      <c r="CB23" s="390">
        <f>IFERROR(AS23*$BS$2+BN23*$BS$4+X23*$BS$3,VLOOKUP(A23,'Updated Ncino PD'!A:K,11,FALSE))</f>
        <v>0.14425059543035956</v>
      </c>
      <c r="CC23" s="390">
        <f t="shared" si="36"/>
        <v>4.4425799999999994E-2</v>
      </c>
      <c r="CD23" s="390">
        <f t="shared" si="36"/>
        <v>0.10227522030077998</v>
      </c>
      <c r="CF23" s="450">
        <f t="shared" si="35"/>
        <v>5.8454999999999993E-2</v>
      </c>
      <c r="CG23" s="450">
        <f t="shared" si="35"/>
        <v>4.4569999999999999E-2</v>
      </c>
      <c r="CH23" s="450">
        <f t="shared" si="35"/>
        <v>3.7985000000000005E-2</v>
      </c>
      <c r="CI23" s="450">
        <f t="shared" si="35"/>
        <v>3.3854999999999996E-2</v>
      </c>
      <c r="CJ23" s="450">
        <f t="shared" si="35"/>
        <v>3.1035E-2</v>
      </c>
    </row>
    <row r="24" spans="1:88" s="355" customFormat="1" hidden="1" x14ac:dyDescent="0.25">
      <c r="A24" s="400">
        <v>1100000182</v>
      </c>
      <c r="B24" s="455" t="str">
        <f>VLOOKUP(A24,'Loan Book Summary'!C:G,5,FALSE)</f>
        <v>0014I00001tNfla</v>
      </c>
      <c r="C24" s="167">
        <f>VLOOKUP(A24,'Ref-Data'!$A:$I,9,0)</f>
        <v>1</v>
      </c>
      <c r="D24" s="445">
        <f>VLOOKUP(A24,'Adjustment Factor'!A:C,3,0)</f>
        <v>0.76</v>
      </c>
      <c r="E24" s="446">
        <f>VLOOKUP(A24,'Ref-Data'!A:C,2,FALSE)</f>
        <v>1000000</v>
      </c>
      <c r="F24" s="445">
        <f>VLOOKUP(A24,'Ref-Data'!$A:$F,6,FALSE)</f>
        <v>2.516084873374401</v>
      </c>
      <c r="G24" s="346"/>
      <c r="H24" s="273">
        <f>VLOOKUP($B24, 'Output 96% Downside'!$A:$CW,42,FALSE)</f>
        <v>6.7900000000000002E-2</v>
      </c>
      <c r="I24" s="273">
        <f>VLOOKUP($B24, 'Output 96% Downside'!$A:$CW,43,FALSE)</f>
        <v>5.0200000000000002E-2</v>
      </c>
      <c r="J24" s="273">
        <f>VLOOKUP($B24, 'Output 96% Downside'!$A:$CW,44,FALSE)</f>
        <v>4.2099999999999999E-2</v>
      </c>
      <c r="K24" s="273">
        <f>VLOOKUP($B24, 'Output 96% Downside'!$A:$CW,45,FALSE)</f>
        <v>3.7100000000000001E-2</v>
      </c>
      <c r="L24" s="273">
        <f>VLOOKUP($B24, 'Output 96% Downside'!$A:$CW,46,FALSE)</f>
        <v>3.3599999999999998E-2</v>
      </c>
      <c r="M24" s="447">
        <f t="shared" si="0"/>
        <v>1.7425187872707637E-2</v>
      </c>
      <c r="N24" s="447">
        <f t="shared" si="3"/>
        <v>3.4546738573016156E-2</v>
      </c>
      <c r="O24" s="447">
        <f t="shared" si="4"/>
        <v>5.1369943035699639E-2</v>
      </c>
      <c r="P24" s="346"/>
      <c r="Q24" s="390">
        <f t="shared" si="5"/>
        <v>1.3243142783257804E-2</v>
      </c>
      <c r="R24" s="390">
        <f t="shared" si="5"/>
        <v>2.6255521315492279E-2</v>
      </c>
      <c r="S24" s="390">
        <f t="shared" si="5"/>
        <v>3.9041156707131729E-2</v>
      </c>
      <c r="T24" s="390">
        <f t="shared" si="6"/>
        <v>5.1604000000000004E-2</v>
      </c>
      <c r="U24" s="390">
        <f t="shared" si="7"/>
        <v>8.7165479199999993E-2</v>
      </c>
      <c r="V24" s="390">
        <f t="shared" si="8"/>
        <v>0.11549181252567998</v>
      </c>
      <c r="W24" s="390">
        <f t="shared" si="9"/>
        <v>0.13940306628097723</v>
      </c>
      <c r="X24" s="390">
        <f t="shared" si="10"/>
        <v>0.1602551232539364</v>
      </c>
      <c r="Y24" s="390">
        <f t="shared" si="11"/>
        <v>5.1604000000000004E-2</v>
      </c>
      <c r="Z24" s="390">
        <f t="shared" si="12"/>
        <v>0.11549181252567998</v>
      </c>
      <c r="AC24" s="273">
        <f>VLOOKUP($B24, 'Output Baseline'!$A:$CW,42,FALSE)</f>
        <v>5.5599999999999997E-2</v>
      </c>
      <c r="AD24" s="273">
        <f>VLOOKUP($B24, 'Output Baseline'!$A:$CW,43,FALSE)</f>
        <v>4.2799999999999998E-2</v>
      </c>
      <c r="AE24" s="273">
        <f>VLOOKUP($B24, 'Output Baseline'!$A:$CW,44,FALSE)</f>
        <v>3.6700000000000003E-2</v>
      </c>
      <c r="AF24" s="273">
        <f>VLOOKUP($B24, 'Output Baseline'!$A:$CW,45,FALSE)</f>
        <v>3.2800000000000003E-2</v>
      </c>
      <c r="AG24" s="273">
        <f>VLOOKUP($B24, 'Output Baseline'!$A:$CW,46,FALSE)</f>
        <v>3.0200000000000001E-2</v>
      </c>
      <c r="AH24" s="447">
        <f t="shared" si="13"/>
        <v>1.4199589642757693E-2</v>
      </c>
      <c r="AI24" s="447">
        <f t="shared" si="14"/>
        <v>2.8197550939492722E-2</v>
      </c>
      <c r="AJ24" s="447">
        <f t="shared" si="15"/>
        <v>4.1996746929978901E-2</v>
      </c>
      <c r="AK24" s="346"/>
      <c r="AL24" s="390">
        <f t="shared" si="16"/>
        <v>1.0791688128495847E-2</v>
      </c>
      <c r="AM24" s="390">
        <f t="shared" si="16"/>
        <v>2.1430138714014467E-2</v>
      </c>
      <c r="AN24" s="390">
        <f t="shared" si="16"/>
        <v>3.1917527666783962E-2</v>
      </c>
      <c r="AO24" s="390">
        <f t="shared" si="17"/>
        <v>4.2255999999999995E-2</v>
      </c>
      <c r="AP24" s="390">
        <f t="shared" si="18"/>
        <v>7.2975443199999948E-2</v>
      </c>
      <c r="AQ24" s="390">
        <f t="shared" si="19"/>
        <v>9.8189244434559966E-2</v>
      </c>
      <c r="AR24" s="390">
        <f t="shared" si="20"/>
        <v>0.11989663721710646</v>
      </c>
      <c r="AS24" s="390">
        <f t="shared" si="21"/>
        <v>0.1392277587731498</v>
      </c>
      <c r="AT24" s="390">
        <f t="shared" si="22"/>
        <v>4.2255999999999995E-2</v>
      </c>
      <c r="AU24" s="390">
        <f t="shared" si="23"/>
        <v>9.8189244434559966E-2</v>
      </c>
      <c r="AX24" s="273">
        <f>VLOOKUP($B24, 'Output 90% Downside'!$A:$CW,42,FALSE)</f>
        <v>6.2E-2</v>
      </c>
      <c r="AY24" s="273">
        <f>VLOOKUP($B24, 'Output 90% Downside'!$A:$CW,43,FALSE)</f>
        <v>4.6800000000000001E-2</v>
      </c>
      <c r="AZ24" s="273">
        <f>VLOOKUP($B24, 'Output 90% Downside'!$A:$CW,44,FALSE)</f>
        <v>3.9600000000000003E-2</v>
      </c>
      <c r="BA24" s="273">
        <f>VLOOKUP($B24, 'Output 90% Downside'!$A:$CW,45,FALSE)</f>
        <v>3.5200000000000002E-2</v>
      </c>
      <c r="BB24" s="273">
        <f>VLOOKUP($B24, 'Output 90% Downside'!$A:$CW,46,FALSE)</f>
        <v>3.2099999999999997E-2</v>
      </c>
      <c r="BC24" s="447">
        <f t="shared" si="24"/>
        <v>1.5873991287568834E-2</v>
      </c>
      <c r="BD24" s="447">
        <f t="shared" si="25"/>
        <v>3.1495998975739847E-2</v>
      </c>
      <c r="BE24" s="447">
        <f t="shared" si="26"/>
        <v>4.6870023049974563E-2</v>
      </c>
      <c r="BF24" s="346"/>
      <c r="BG24" s="390">
        <f t="shared" si="27"/>
        <v>1.2064233378552313E-2</v>
      </c>
      <c r="BH24" s="390">
        <f t="shared" si="27"/>
        <v>2.3936959221562283E-2</v>
      </c>
      <c r="BI24" s="390">
        <f t="shared" si="27"/>
        <v>3.5621217517980669E-2</v>
      </c>
      <c r="BJ24" s="390">
        <f t="shared" si="28"/>
        <v>4.7120000000000002E-2</v>
      </c>
      <c r="BK24" s="390">
        <f t="shared" si="29"/>
        <v>8.0482784000000043E-2</v>
      </c>
      <c r="BL24" s="390">
        <f t="shared" si="30"/>
        <v>0.10739166575360004</v>
      </c>
      <c r="BM24" s="390">
        <f t="shared" si="31"/>
        <v>0.13036347911907337</v>
      </c>
      <c r="BN24" s="390">
        <f t="shared" si="32"/>
        <v>0.15057481143935109</v>
      </c>
      <c r="BO24" s="390">
        <f t="shared" si="33"/>
        <v>4.7120000000000002E-2</v>
      </c>
      <c r="BP24" s="390">
        <f t="shared" si="34"/>
        <v>0.10739166575360004</v>
      </c>
      <c r="BQ24" s="347"/>
      <c r="BU24" s="390">
        <f>IFERROR(AL24*$BS$2+BG24*$BS$4+Q24*$BS$3,VLOOKUP(A24,'Updated Ncino PD'!A:K,4,FALSE))</f>
        <v>1.1359651698753706E-2</v>
      </c>
      <c r="BV24" s="390">
        <f>IFERROR(AM24*$BS$2+BH24*$BS$4+R24*$BS$3,VLOOKUP(A24,'Updated Ncino PD'!A:K,5,FALSE))</f>
        <v>2.254879502173009E-2</v>
      </c>
      <c r="BW24" s="390">
        <f>IFERROR(AN24*$BS$2+BI24*$BS$4+S24*$BS$3,VLOOKUP(A24,'Updated Ncino PD'!A:K,6,FALSE))</f>
        <v>3.3570000566720201E-2</v>
      </c>
      <c r="BX24" s="390">
        <f>IFERROR(AO24*$BS$2+BJ24*$BS$4+T24*$BS$3,VLOOKUP(A24,'Updated Ncino PD'!A:K,7,FALSE))</f>
        <v>4.4425799999999994E-2</v>
      </c>
      <c r="BY24" s="390">
        <f>IFERROR(AP24*$BS$2+BK24*$BS$4+U24*$BS$3,VLOOKUP(A24,'Updated Ncino PD'!A:K,8,FALSE))</f>
        <v>7.6312514279999979E-2</v>
      </c>
      <c r="BZ24" s="390">
        <f>IFERROR(AQ24*$BS$2+BL24*$BS$4+V24*$BS$3,VLOOKUP(A24,'Updated Ncino PD'!A:K,9,FALSE))</f>
        <v>0.10227522030077998</v>
      </c>
      <c r="CA24" s="390">
        <f>IFERROR(AR24*$BS$2+BM24*$BS$4+W24*$BS$3,VLOOKUP(A24,'Updated Ncino PD'!A:K,10,FALSE))</f>
        <v>0.12453535333598841</v>
      </c>
      <c r="CB24" s="390">
        <f>IFERROR(AS24*$BS$2+BN24*$BS$4+X24*$BS$3,VLOOKUP(A24,'Updated Ncino PD'!A:K,11,FALSE))</f>
        <v>0.14425059543035956</v>
      </c>
      <c r="CC24" s="390">
        <f t="shared" si="36"/>
        <v>4.4425799999999994E-2</v>
      </c>
      <c r="CD24" s="390">
        <f t="shared" si="36"/>
        <v>0.10227522030077998</v>
      </c>
      <c r="CF24" s="450">
        <f t="shared" si="35"/>
        <v>5.8454999999999993E-2</v>
      </c>
      <c r="CG24" s="450">
        <f t="shared" si="35"/>
        <v>4.4569999999999999E-2</v>
      </c>
      <c r="CH24" s="450">
        <f t="shared" si="35"/>
        <v>3.7985000000000005E-2</v>
      </c>
      <c r="CI24" s="450">
        <f t="shared" si="35"/>
        <v>3.3854999999999996E-2</v>
      </c>
      <c r="CJ24" s="450">
        <f t="shared" si="35"/>
        <v>3.1035E-2</v>
      </c>
    </row>
    <row r="25" spans="1:88" s="355" customFormat="1" hidden="1" x14ac:dyDescent="0.25">
      <c r="A25" s="400">
        <v>1100000130</v>
      </c>
      <c r="B25" s="455" t="str">
        <f>VLOOKUP(A25,'Loan Book Summary'!C:G,5,FALSE)</f>
        <v>0014I00001oqqTN</v>
      </c>
      <c r="C25" s="167">
        <f>VLOOKUP(A25,'Ref-Data'!$A:$I,9,0)</f>
        <v>1</v>
      </c>
      <c r="D25" s="445">
        <f>VLOOKUP(A25,'Adjustment Factor'!A:C,3,0)</f>
        <v>2.6166702291271653</v>
      </c>
      <c r="E25" s="446">
        <f>VLOOKUP(A25,'Ref-Data'!A:C,2,FALSE)</f>
        <v>2306250</v>
      </c>
      <c r="F25" s="445">
        <f>VLOOKUP(A25,'Ref-Data'!$A:$F,6,FALSE)</f>
        <v>5.4757015742642023E-2</v>
      </c>
      <c r="G25" s="346"/>
      <c r="H25" s="273">
        <f>VLOOKUP($B25, 'Output 96% Downside'!$A:$CW,42,FALSE)</f>
        <v>2.3E-3</v>
      </c>
      <c r="I25" s="273">
        <f>VLOOKUP($B25, 'Output 96% Downside'!$A:$CW,43,FALSE)</f>
        <v>2.3999999999999998E-3</v>
      </c>
      <c r="J25" s="273">
        <f>VLOOKUP($B25, 'Output 96% Downside'!$A:$CW,44,FALSE)</f>
        <v>2.3999999999999998E-3</v>
      </c>
      <c r="K25" s="273">
        <f>VLOOKUP($B25, 'Output 96% Downside'!$A:$CW,45,FALSE)</f>
        <v>2.3999999999999998E-3</v>
      </c>
      <c r="L25" s="273">
        <f>VLOOKUP($B25, 'Output 96% Downside'!$A:$CW,46,FALSE)</f>
        <v>2.3999999999999998E-3</v>
      </c>
      <c r="M25" s="447">
        <f t="shared" si="0"/>
        <v>5.7549660393674262E-4</v>
      </c>
      <c r="N25" s="447">
        <f t="shared" si="3"/>
        <v>1.1506620115323551E-3</v>
      </c>
      <c r="O25" s="447">
        <f t="shared" si="4"/>
        <v>1.7254964133891493E-3</v>
      </c>
      <c r="P25" s="346"/>
      <c r="Q25" s="390">
        <f t="shared" si="5"/>
        <v>1.5058848304850619E-3</v>
      </c>
      <c r="R25" s="390">
        <f t="shared" si="5"/>
        <v>3.0109030293642928E-3</v>
      </c>
      <c r="S25" s="390">
        <f t="shared" si="5"/>
        <v>4.5150550953810872E-3</v>
      </c>
      <c r="T25" s="390">
        <f t="shared" si="6"/>
        <v>6.01834152699248E-3</v>
      </c>
      <c r="U25" s="390">
        <f t="shared" si="7"/>
        <v>1.2283906057232752E-2</v>
      </c>
      <c r="V25" s="390">
        <f t="shared" si="8"/>
        <v>1.8534433232600407E-2</v>
      </c>
      <c r="W25" s="390">
        <f t="shared" si="9"/>
        <v>2.4769959142747117E-2</v>
      </c>
      <c r="X25" s="390">
        <f t="shared" si="10"/>
        <v>3.0990519790709742E-2</v>
      </c>
      <c r="Y25" s="390">
        <f t="shared" si="11"/>
        <v>3.3048745699848503E-4</v>
      </c>
      <c r="Z25" s="390">
        <f t="shared" si="12"/>
        <v>6.01834152699248E-3</v>
      </c>
      <c r="AC25" s="273">
        <f>VLOOKUP($B25, 'Output Baseline'!$A:$CW,42,FALSE)</f>
        <v>2.0999999999999999E-3</v>
      </c>
      <c r="AD25" s="273">
        <f>VLOOKUP($B25, 'Output Baseline'!$A:$CW,43,FALSE)</f>
        <v>2.2000000000000001E-3</v>
      </c>
      <c r="AE25" s="273">
        <f>VLOOKUP($B25, 'Output Baseline'!$A:$CW,44,FALSE)</f>
        <v>2.3E-3</v>
      </c>
      <c r="AF25" s="273">
        <f>VLOOKUP($B25, 'Output Baseline'!$A:$CW,45,FALSE)</f>
        <v>2.3E-3</v>
      </c>
      <c r="AG25" s="273">
        <f>VLOOKUP($B25, 'Output Baseline'!$A:$CW,46,FALSE)</f>
        <v>2.3E-3</v>
      </c>
      <c r="AH25" s="447">
        <f t="shared" si="13"/>
        <v>5.2541394469329816E-4</v>
      </c>
      <c r="AI25" s="447">
        <f t="shared" si="14"/>
        <v>1.0505518295733651E-3</v>
      </c>
      <c r="AJ25" s="447">
        <f t="shared" si="15"/>
        <v>1.575413799685732E-3</v>
      </c>
      <c r="AK25" s="346"/>
      <c r="AL25" s="390">
        <f t="shared" si="16"/>
        <v>1.3748350270472202E-3</v>
      </c>
      <c r="AM25" s="390">
        <f t="shared" si="16"/>
        <v>2.7489476965997001E-3</v>
      </c>
      <c r="AN25" s="390">
        <f t="shared" si="16"/>
        <v>4.1223383881937624E-3</v>
      </c>
      <c r="AO25" s="390">
        <f t="shared" si="17"/>
        <v>5.4950074811670468E-3</v>
      </c>
      <c r="AP25" s="390">
        <f t="shared" si="18"/>
        <v>1.1239592968788138E-2</v>
      </c>
      <c r="AQ25" s="390">
        <f t="shared" si="19"/>
        <v>1.7232083431952355E-2</v>
      </c>
      <c r="AR25" s="390">
        <f t="shared" si="20"/>
        <v>2.3210791167051374E-2</v>
      </c>
      <c r="AS25" s="390">
        <f t="shared" si="21"/>
        <v>2.9175747874359434E-2</v>
      </c>
      <c r="AT25" s="390">
        <f t="shared" si="22"/>
        <v>3.0167443625339629E-4</v>
      </c>
      <c r="AU25" s="390">
        <f t="shared" si="23"/>
        <v>5.4950074811670468E-3</v>
      </c>
      <c r="AX25" s="273">
        <f>VLOOKUP($B25, 'Output 90% Downside'!$A:$CW,42,FALSE)</f>
        <v>2.0999999999999999E-3</v>
      </c>
      <c r="AY25" s="273">
        <f>VLOOKUP($B25, 'Output 90% Downside'!$A:$CW,43,FALSE)</f>
        <v>2.2000000000000001E-3</v>
      </c>
      <c r="AZ25" s="273">
        <f>VLOOKUP($B25, 'Output 90% Downside'!$A:$CW,44,FALSE)</f>
        <v>2.3E-3</v>
      </c>
      <c r="BA25" s="273">
        <f>VLOOKUP($B25, 'Output 90% Downside'!$A:$CW,45,FALSE)</f>
        <v>2.3E-3</v>
      </c>
      <c r="BB25" s="273">
        <f>VLOOKUP($B25, 'Output 90% Downside'!$A:$CW,46,FALSE)</f>
        <v>2.3999999999999998E-3</v>
      </c>
      <c r="BC25" s="447">
        <f t="shared" si="24"/>
        <v>5.2541394469329816E-4</v>
      </c>
      <c r="BD25" s="447">
        <f t="shared" si="25"/>
        <v>1.0505518295733651E-3</v>
      </c>
      <c r="BE25" s="447">
        <f t="shared" si="26"/>
        <v>1.575413799685732E-3</v>
      </c>
      <c r="BF25" s="346"/>
      <c r="BG25" s="390">
        <f t="shared" si="27"/>
        <v>1.3748350270472202E-3</v>
      </c>
      <c r="BH25" s="390">
        <f t="shared" si="27"/>
        <v>2.7489476965997001E-3</v>
      </c>
      <c r="BI25" s="390">
        <f t="shared" si="27"/>
        <v>4.1223383881937624E-3</v>
      </c>
      <c r="BJ25" s="390">
        <f t="shared" si="28"/>
        <v>5.4950074811670468E-3</v>
      </c>
      <c r="BK25" s="390">
        <f t="shared" si="29"/>
        <v>1.1239592968788138E-2</v>
      </c>
      <c r="BL25" s="390">
        <f t="shared" si="30"/>
        <v>1.7232083431952355E-2</v>
      </c>
      <c r="BM25" s="390">
        <f t="shared" si="31"/>
        <v>2.3210791167051374E-2</v>
      </c>
      <c r="BN25" s="390">
        <f t="shared" si="32"/>
        <v>2.9435093818155674E-2</v>
      </c>
      <c r="BO25" s="390">
        <f t="shared" si="33"/>
        <v>3.0167443625339629E-4</v>
      </c>
      <c r="BP25" s="390">
        <f t="shared" si="34"/>
        <v>5.4950074811670468E-3</v>
      </c>
      <c r="BQ25" s="347"/>
      <c r="BU25" s="390">
        <f>IFERROR(AL25*$BS$2+BG25*$BS$4+Q25*$BS$3,VLOOKUP(A25,'Updated Ncino PD'!A:K,4,FALSE))</f>
        <v>1.3813875172191124E-3</v>
      </c>
      <c r="BV25" s="390">
        <f>IFERROR(AM25*$BS$2+BH25*$BS$4+R25*$BS$3,VLOOKUP(A25,'Updated Ncino PD'!A:K,5,FALSE))</f>
        <v>2.7620454632379297E-3</v>
      </c>
      <c r="BW25" s="390">
        <f>IFERROR(AN25*$BS$2+BI25*$BS$4+S25*$BS$3,VLOOKUP(A25,'Updated Ncino PD'!A:K,6,FALSE))</f>
        <v>4.1419742235531288E-3</v>
      </c>
      <c r="BX25" s="390">
        <f>IFERROR(AO25*$BS$2+BJ25*$BS$4+T25*$BS$3,VLOOKUP(A25,'Updated Ncino PD'!A:K,7,FALSE))</f>
        <v>5.5211741834583182E-3</v>
      </c>
      <c r="BY25" s="390">
        <f>IFERROR(AP25*$BS$2+BK25*$BS$4+U25*$BS$3,VLOOKUP(A25,'Updated Ncino PD'!A:K,8,FALSE))</f>
        <v>1.1291808623210369E-2</v>
      </c>
      <c r="BZ25" s="390">
        <f>IFERROR(AQ25*$BS$2+BL25*$BS$4+V25*$BS$3,VLOOKUP(A25,'Updated Ncino PD'!A:K,9,FALSE))</f>
        <v>1.7297200921984755E-2</v>
      </c>
      <c r="CA25" s="390">
        <f>IFERROR(AR25*$BS$2+BM25*$BS$4+W25*$BS$3,VLOOKUP(A25,'Updated Ncino PD'!A:K,10,FALSE))</f>
        <v>2.3288749565836164E-2</v>
      </c>
      <c r="CB25" s="390">
        <f>IFERROR(AS25*$BS$2+BN25*$BS$4+X25*$BS$3,VLOOKUP(A25,'Updated Ncino PD'!A:K,11,FALSE))</f>
        <v>2.9357257550505632E-2</v>
      </c>
      <c r="CC25" s="390">
        <f t="shared" si="36"/>
        <v>3.0311508729065069E-4</v>
      </c>
      <c r="CD25" s="390">
        <f t="shared" si="36"/>
        <v>5.5211741834583182E-3</v>
      </c>
      <c r="CF25" s="450">
        <f t="shared" si="35"/>
        <v>2.1099999999999999E-3</v>
      </c>
      <c r="CG25" s="450">
        <f t="shared" si="35"/>
        <v>2.2099999999999997E-3</v>
      </c>
      <c r="CH25" s="450">
        <f t="shared" si="35"/>
        <v>2.3049999999999998E-3</v>
      </c>
      <c r="CI25" s="450">
        <f t="shared" si="35"/>
        <v>2.3049999999999998E-3</v>
      </c>
      <c r="CJ25" s="450">
        <f t="shared" si="35"/>
        <v>2.3400000000000001E-3</v>
      </c>
    </row>
    <row r="26" spans="1:88" s="355" customFormat="1" hidden="1" x14ac:dyDescent="0.25">
      <c r="A26" s="400">
        <v>1100000190</v>
      </c>
      <c r="B26" s="455" t="str">
        <f>VLOOKUP(A26,'Loan Book Summary'!C:G,5,FALSE)</f>
        <v>0014I00001wCsHB</v>
      </c>
      <c r="C26" s="167">
        <f>VLOOKUP(A26,'Ref-Data'!$A:$I,9,0)</f>
        <v>1</v>
      </c>
      <c r="D26" s="445">
        <f>VLOOKUP(A26,'Adjustment Factor'!A:C,3,0)</f>
        <v>0.97415395776533398</v>
      </c>
      <c r="E26" s="446">
        <f>VLOOKUP(A26,'Ref-Data'!A:C,2,FALSE)</f>
        <v>16000000</v>
      </c>
      <c r="F26" s="445">
        <f>VLOOKUP(A26,'Ref-Data'!$A:$F,6,FALSE)</f>
        <v>0.75564681724845995</v>
      </c>
      <c r="G26" s="346"/>
      <c r="H26" s="273">
        <f>VLOOKUP($B26, 'Output 96% Downside'!$A:$CW,42,FALSE)</f>
        <v>2.41E-2</v>
      </c>
      <c r="I26" s="273">
        <f>VLOOKUP($B26, 'Output 96% Downside'!$A:$CW,43,FALSE)</f>
        <v>1.9099999999999999E-2</v>
      </c>
      <c r="J26" s="273">
        <f>VLOOKUP($B26, 'Output 96% Downside'!$A:$CW,44,FALSE)</f>
        <v>1.67E-2</v>
      </c>
      <c r="K26" s="273">
        <f>VLOOKUP($B26, 'Output 96% Downside'!$A:$CW,45,FALSE)</f>
        <v>1.5100000000000001E-2</v>
      </c>
      <c r="L26" s="273">
        <f>VLOOKUP($B26, 'Output 96% Downside'!$A:$CW,46,FALSE)</f>
        <v>1.4E-2</v>
      </c>
      <c r="M26" s="447">
        <f t="shared" si="0"/>
        <v>6.0802293438438904E-3</v>
      </c>
      <c r="N26" s="447">
        <f t="shared" si="3"/>
        <v>1.2123489498814033E-2</v>
      </c>
      <c r="O26" s="447">
        <f t="shared" si="4"/>
        <v>1.8130005246057457E-2</v>
      </c>
      <c r="P26" s="346"/>
      <c r="Q26" s="390">
        <f t="shared" si="5"/>
        <v>5.9230794794264451E-3</v>
      </c>
      <c r="R26" s="390">
        <f t="shared" si="5"/>
        <v>1.1810145277196156E-2</v>
      </c>
      <c r="S26" s="390">
        <f t="shared" si="5"/>
        <v>1.766141636475314E-2</v>
      </c>
      <c r="T26" s="390">
        <f t="shared" si="6"/>
        <v>2.3477110382144548E-2</v>
      </c>
      <c r="U26" s="390">
        <f t="shared" si="7"/>
        <v>4.1635038167163463E-2</v>
      </c>
      <c r="V26" s="390">
        <f t="shared" si="8"/>
        <v>5.7208104124452944E-2</v>
      </c>
      <c r="W26" s="390">
        <f t="shared" si="9"/>
        <v>7.1053986514430262E-2</v>
      </c>
      <c r="X26" s="390">
        <f t="shared" si="10"/>
        <v>8.3697386111942912E-2</v>
      </c>
      <c r="Y26" s="390">
        <f t="shared" si="11"/>
        <v>1.7791791635242027E-2</v>
      </c>
      <c r="Z26" s="390">
        <f t="shared" si="12"/>
        <v>2.3477110382144548E-2</v>
      </c>
      <c r="AC26" s="273">
        <f>VLOOKUP($B26, 'Output Baseline'!$A:$CW,42,FALSE)</f>
        <v>1.6199999999999999E-2</v>
      </c>
      <c r="AD26" s="273">
        <f>VLOOKUP($B26, 'Output Baseline'!$A:$CW,43,FALSE)</f>
        <v>1.3599999999999999E-2</v>
      </c>
      <c r="AE26" s="273">
        <f>VLOOKUP($B26, 'Output Baseline'!$A:$CW,44,FALSE)</f>
        <v>1.2200000000000001E-2</v>
      </c>
      <c r="AF26" s="273">
        <f>VLOOKUP($B26, 'Output Baseline'!$A:$CW,45,FALSE)</f>
        <v>1.1299999999999999E-2</v>
      </c>
      <c r="AG26" s="273">
        <f>VLOOKUP($B26, 'Output Baseline'!$A:$CW,46,FALSE)</f>
        <v>1.0699999999999999E-2</v>
      </c>
      <c r="AH26" s="447">
        <f t="shared" si="13"/>
        <v>4.0748388768385713E-3</v>
      </c>
      <c r="AI26" s="447">
        <f t="shared" si="14"/>
        <v>8.1330734418049166E-3</v>
      </c>
      <c r="AJ26" s="447">
        <f t="shared" si="15"/>
        <v>1.2174771354794611E-2</v>
      </c>
      <c r="AK26" s="346"/>
      <c r="AL26" s="390">
        <f t="shared" si="16"/>
        <v>3.9695204191283421E-3</v>
      </c>
      <c r="AM26" s="390">
        <f t="shared" si="16"/>
        <v>7.9228656821303863E-3</v>
      </c>
      <c r="AN26" s="390">
        <f t="shared" si="16"/>
        <v>1.1860101700161187E-2</v>
      </c>
      <c r="AO26" s="390">
        <f t="shared" si="17"/>
        <v>1.578129411579841E-2</v>
      </c>
      <c r="AP26" s="390">
        <f t="shared" si="18"/>
        <v>2.8815162341431982E-2</v>
      </c>
      <c r="AQ26" s="390">
        <f t="shared" si="19"/>
        <v>4.0348295645603577E-2</v>
      </c>
      <c r="AR26" s="390">
        <f t="shared" si="20"/>
        <v>5.0900299627556551E-2</v>
      </c>
      <c r="AS26" s="390">
        <f t="shared" si="21"/>
        <v>6.0779113769630827E-2</v>
      </c>
      <c r="AT26" s="390">
        <f t="shared" si="22"/>
        <v>1.194822933637496E-2</v>
      </c>
      <c r="AU26" s="390">
        <f t="shared" si="23"/>
        <v>1.578129411579841E-2</v>
      </c>
      <c r="AX26" s="273">
        <f>VLOOKUP($B26, 'Output 90% Downside'!$A:$CW,42,FALSE)</f>
        <v>2.18E-2</v>
      </c>
      <c r="AY26" s="273">
        <f>VLOOKUP($B26, 'Output 90% Downside'!$A:$CW,43,FALSE)</f>
        <v>1.7399999999999999E-2</v>
      </c>
      <c r="AZ26" s="273">
        <f>VLOOKUP($B26, 'Output 90% Downside'!$A:$CW,44,FALSE)</f>
        <v>1.52E-2</v>
      </c>
      <c r="BA26" s="273">
        <f>VLOOKUP($B26, 'Output 90% Downside'!$A:$CW,45,FALSE)</f>
        <v>1.38E-2</v>
      </c>
      <c r="BB26" s="273">
        <f>VLOOKUP($B26, 'Output 90% Downside'!$A:$CW,46,FALSE)</f>
        <v>1.29E-2</v>
      </c>
      <c r="BC26" s="447">
        <f t="shared" si="24"/>
        <v>5.4951289580097429E-3</v>
      </c>
      <c r="BD26" s="447">
        <f t="shared" si="25"/>
        <v>1.0960061473754279E-2</v>
      </c>
      <c r="BE26" s="447">
        <f t="shared" si="26"/>
        <v>1.6394963480578006E-2</v>
      </c>
      <c r="BF26" s="346"/>
      <c r="BG26" s="390">
        <f t="shared" si="27"/>
        <v>5.3531016228760865E-3</v>
      </c>
      <c r="BH26" s="390">
        <f t="shared" si="27"/>
        <v>1.067678726200909E-2</v>
      </c>
      <c r="BI26" s="390">
        <f t="shared" si="27"/>
        <v>1.597121856202318E-2</v>
      </c>
      <c r="BJ26" s="390">
        <f t="shared" si="28"/>
        <v>2.123655627928428E-2</v>
      </c>
      <c r="BK26" s="390">
        <f t="shared" si="29"/>
        <v>3.7817319065141596E-2</v>
      </c>
      <c r="BL26" s="390">
        <f t="shared" si="30"/>
        <v>5.2049635973384509E-2</v>
      </c>
      <c r="BM26" s="390">
        <f t="shared" si="31"/>
        <v>6.4774675614113403E-2</v>
      </c>
      <c r="BN26" s="390">
        <f t="shared" si="32"/>
        <v>7.6505668353864145E-2</v>
      </c>
      <c r="BO26" s="390">
        <f t="shared" si="33"/>
        <v>1.6089343932524147E-2</v>
      </c>
      <c r="BP26" s="390">
        <f t="shared" si="34"/>
        <v>2.123655627928428E-2</v>
      </c>
      <c r="BQ26" s="347"/>
      <c r="BU26" s="390">
        <f>IFERROR(AL26*$BS$2+BG26*$BS$4+Q26*$BS$3,VLOOKUP(A26,'Updated Ncino PD'!A:K,4,FALSE))</f>
        <v>4.5514517934549577E-3</v>
      </c>
      <c r="BV26" s="390">
        <f>IFERROR(AM26*$BS$2+BH26*$BS$4+R26*$BS$3,VLOOKUP(A26,'Updated Ncino PD'!A:K,5,FALSE))</f>
        <v>9.0811022148412201E-3</v>
      </c>
      <c r="BW26" s="390">
        <f>IFERROR(AN26*$BS$2+BI26*$BS$4+S26*$BS$3,VLOOKUP(A26,'Updated Ncino PD'!A:K,6,FALSE))</f>
        <v>1.3589058335042481E-2</v>
      </c>
      <c r="BX26" s="390">
        <f>IFERROR(AO26*$BS$2+BJ26*$BS$4+T26*$BS$3,VLOOKUP(A26,'Updated Ncino PD'!A:K,7,FALSE))</f>
        <v>1.8075426686335772E-2</v>
      </c>
      <c r="BY26" s="390">
        <f>IFERROR(AP26*$BS$2+BK26*$BS$4+U26*$BS$3,VLOOKUP(A26,'Updated Ncino PD'!A:K,8,FALSE))</f>
        <v>3.2606910986016917E-2</v>
      </c>
      <c r="BZ26" s="390">
        <f>IFERROR(AQ26*$BS$2+BL26*$BS$4+V26*$BS$3,VLOOKUP(A26,'Updated Ncino PD'!A:K,9,FALSE))</f>
        <v>4.5286755184269369E-2</v>
      </c>
      <c r="CA26" s="390">
        <f>IFERROR(AR26*$BS$2+BM26*$BS$4+W26*$BS$3,VLOOKUP(A26,'Updated Ncino PD'!A:K,10,FALSE))</f>
        <v>5.6764015567195125E-2</v>
      </c>
      <c r="CB26" s="390">
        <f>IFERROR(AS26*$BS$2+BN26*$BS$4+X26*$BS$3,VLOOKUP(A26,'Updated Ncino PD'!A:K,11,FALSE))</f>
        <v>6.74293214912281E-2</v>
      </c>
      <c r="CC26" s="390">
        <f t="shared" si="36"/>
        <v>1.3689797559970528E-2</v>
      </c>
      <c r="CD26" s="390">
        <f t="shared" si="36"/>
        <v>1.8075426686335772E-2</v>
      </c>
      <c r="CF26" s="450">
        <f t="shared" si="35"/>
        <v>1.8554999999999999E-2</v>
      </c>
      <c r="CG26" s="450">
        <f t="shared" si="35"/>
        <v>1.5204999999999996E-2</v>
      </c>
      <c r="CH26" s="450">
        <f t="shared" si="35"/>
        <v>1.3475000000000001E-2</v>
      </c>
      <c r="CI26" s="450">
        <f t="shared" si="35"/>
        <v>1.2364999999999999E-2</v>
      </c>
      <c r="CJ26" s="450">
        <f t="shared" si="35"/>
        <v>1.1635E-2</v>
      </c>
    </row>
    <row r="27" spans="1:88" s="355" customFormat="1" hidden="1" x14ac:dyDescent="0.25">
      <c r="A27" s="400">
        <v>1100000191</v>
      </c>
      <c r="B27" s="455" t="str">
        <f>VLOOKUP(A27,'Loan Book Summary'!C:G,5,FALSE)</f>
        <v>0014I00001wCsHB</v>
      </c>
      <c r="C27" s="167">
        <f>VLOOKUP(A27,'Ref-Data'!$A:$I,9,0)</f>
        <v>1</v>
      </c>
      <c r="D27" s="445">
        <f>VLOOKUP(A27,'Adjustment Factor'!A:C,3,0)</f>
        <v>0.97415395776533398</v>
      </c>
      <c r="E27" s="446">
        <f>VLOOKUP(A27,'Ref-Data'!A:C,2,FALSE)</f>
        <v>3950000</v>
      </c>
      <c r="F27" s="445">
        <f>VLOOKUP(A27,'Ref-Data'!$A:$F,6,FALSE)</f>
        <v>0.75564681724845995</v>
      </c>
      <c r="G27" s="346"/>
      <c r="H27" s="273">
        <f>VLOOKUP($B27, 'Output 96% Downside'!$A:$CW,42,FALSE)</f>
        <v>2.41E-2</v>
      </c>
      <c r="I27" s="273">
        <f>VLOOKUP($B27, 'Output 96% Downside'!$A:$CW,43,FALSE)</f>
        <v>1.9099999999999999E-2</v>
      </c>
      <c r="J27" s="273">
        <f>VLOOKUP($B27, 'Output 96% Downside'!$A:$CW,44,FALSE)</f>
        <v>1.67E-2</v>
      </c>
      <c r="K27" s="273">
        <f>VLOOKUP($B27, 'Output 96% Downside'!$A:$CW,45,FALSE)</f>
        <v>1.5100000000000001E-2</v>
      </c>
      <c r="L27" s="273">
        <f>VLOOKUP($B27, 'Output 96% Downside'!$A:$CW,46,FALSE)</f>
        <v>1.4E-2</v>
      </c>
      <c r="M27" s="447">
        <f t="shared" si="0"/>
        <v>6.0802293438438904E-3</v>
      </c>
      <c r="N27" s="447">
        <f t="shared" si="3"/>
        <v>1.2123489498814033E-2</v>
      </c>
      <c r="O27" s="447">
        <f t="shared" si="4"/>
        <v>1.8130005246057457E-2</v>
      </c>
      <c r="P27" s="346"/>
      <c r="Q27" s="390">
        <f t="shared" si="5"/>
        <v>5.9230794794264451E-3</v>
      </c>
      <c r="R27" s="390">
        <f t="shared" si="5"/>
        <v>1.1810145277196156E-2</v>
      </c>
      <c r="S27" s="390">
        <f t="shared" si="5"/>
        <v>1.766141636475314E-2</v>
      </c>
      <c r="T27" s="390">
        <f t="shared" si="6"/>
        <v>2.3477110382144548E-2</v>
      </c>
      <c r="U27" s="390">
        <f t="shared" si="7"/>
        <v>4.1635038167163463E-2</v>
      </c>
      <c r="V27" s="390">
        <f t="shared" si="8"/>
        <v>5.7208104124452944E-2</v>
      </c>
      <c r="W27" s="390">
        <f t="shared" si="9"/>
        <v>7.1053986514430262E-2</v>
      </c>
      <c r="X27" s="390">
        <f t="shared" si="10"/>
        <v>8.3697386111942912E-2</v>
      </c>
      <c r="Y27" s="390">
        <f t="shared" si="11"/>
        <v>1.7791791635242027E-2</v>
      </c>
      <c r="Z27" s="390">
        <f t="shared" si="12"/>
        <v>2.3477110382144548E-2</v>
      </c>
      <c r="AC27" s="273">
        <f>VLOOKUP($B27, 'Output Baseline'!$A:$CW,42,FALSE)</f>
        <v>1.6199999999999999E-2</v>
      </c>
      <c r="AD27" s="273">
        <f>VLOOKUP($B27, 'Output Baseline'!$A:$CW,43,FALSE)</f>
        <v>1.3599999999999999E-2</v>
      </c>
      <c r="AE27" s="273">
        <f>VLOOKUP($B27, 'Output Baseline'!$A:$CW,44,FALSE)</f>
        <v>1.2200000000000001E-2</v>
      </c>
      <c r="AF27" s="273">
        <f>VLOOKUP($B27, 'Output Baseline'!$A:$CW,45,FALSE)</f>
        <v>1.1299999999999999E-2</v>
      </c>
      <c r="AG27" s="273">
        <f>VLOOKUP($B27, 'Output Baseline'!$A:$CW,46,FALSE)</f>
        <v>1.0699999999999999E-2</v>
      </c>
      <c r="AH27" s="447">
        <f t="shared" si="13"/>
        <v>4.0748388768385713E-3</v>
      </c>
      <c r="AI27" s="447">
        <f t="shared" si="14"/>
        <v>8.1330734418049166E-3</v>
      </c>
      <c r="AJ27" s="447">
        <f t="shared" si="15"/>
        <v>1.2174771354794611E-2</v>
      </c>
      <c r="AK27" s="346"/>
      <c r="AL27" s="390">
        <f t="shared" si="16"/>
        <v>3.9695204191283421E-3</v>
      </c>
      <c r="AM27" s="390">
        <f t="shared" si="16"/>
        <v>7.9228656821303863E-3</v>
      </c>
      <c r="AN27" s="390">
        <f t="shared" si="16"/>
        <v>1.1860101700161187E-2</v>
      </c>
      <c r="AO27" s="390">
        <f t="shared" si="17"/>
        <v>1.578129411579841E-2</v>
      </c>
      <c r="AP27" s="390">
        <f t="shared" si="18"/>
        <v>2.8815162341431982E-2</v>
      </c>
      <c r="AQ27" s="390">
        <f t="shared" si="19"/>
        <v>4.0348295645603577E-2</v>
      </c>
      <c r="AR27" s="390">
        <f t="shared" si="20"/>
        <v>5.0900299627556551E-2</v>
      </c>
      <c r="AS27" s="390">
        <f t="shared" si="21"/>
        <v>6.0779113769630827E-2</v>
      </c>
      <c r="AT27" s="390">
        <f t="shared" si="22"/>
        <v>1.194822933637496E-2</v>
      </c>
      <c r="AU27" s="390">
        <f t="shared" si="23"/>
        <v>1.578129411579841E-2</v>
      </c>
      <c r="AX27" s="273">
        <f>VLOOKUP($B27, 'Output 90% Downside'!$A:$CW,42,FALSE)</f>
        <v>2.18E-2</v>
      </c>
      <c r="AY27" s="273">
        <f>VLOOKUP($B27, 'Output 90% Downside'!$A:$CW,43,FALSE)</f>
        <v>1.7399999999999999E-2</v>
      </c>
      <c r="AZ27" s="273">
        <f>VLOOKUP($B27, 'Output 90% Downside'!$A:$CW,44,FALSE)</f>
        <v>1.52E-2</v>
      </c>
      <c r="BA27" s="273">
        <f>VLOOKUP($B27, 'Output 90% Downside'!$A:$CW,45,FALSE)</f>
        <v>1.38E-2</v>
      </c>
      <c r="BB27" s="273">
        <f>VLOOKUP($B27, 'Output 90% Downside'!$A:$CW,46,FALSE)</f>
        <v>1.29E-2</v>
      </c>
      <c r="BC27" s="447">
        <f t="shared" si="24"/>
        <v>5.4951289580097429E-3</v>
      </c>
      <c r="BD27" s="447">
        <f t="shared" si="25"/>
        <v>1.0960061473754279E-2</v>
      </c>
      <c r="BE27" s="447">
        <f t="shared" si="26"/>
        <v>1.6394963480578006E-2</v>
      </c>
      <c r="BF27" s="346"/>
      <c r="BG27" s="390">
        <f t="shared" si="27"/>
        <v>5.3531016228760865E-3</v>
      </c>
      <c r="BH27" s="390">
        <f t="shared" si="27"/>
        <v>1.067678726200909E-2</v>
      </c>
      <c r="BI27" s="390">
        <f t="shared" si="27"/>
        <v>1.597121856202318E-2</v>
      </c>
      <c r="BJ27" s="390">
        <f t="shared" si="28"/>
        <v>2.123655627928428E-2</v>
      </c>
      <c r="BK27" s="390">
        <f t="shared" si="29"/>
        <v>3.7817319065141596E-2</v>
      </c>
      <c r="BL27" s="390">
        <f t="shared" si="30"/>
        <v>5.2049635973384509E-2</v>
      </c>
      <c r="BM27" s="390">
        <f t="shared" si="31"/>
        <v>6.4774675614113403E-2</v>
      </c>
      <c r="BN27" s="390">
        <f t="shared" si="32"/>
        <v>7.6505668353864145E-2</v>
      </c>
      <c r="BO27" s="390">
        <f t="shared" si="33"/>
        <v>1.6089343932524147E-2</v>
      </c>
      <c r="BP27" s="390">
        <f t="shared" si="34"/>
        <v>2.123655627928428E-2</v>
      </c>
      <c r="BQ27" s="347"/>
      <c r="BU27" s="390">
        <f>IFERROR(AL27*$BS$2+BG27*$BS$4+Q27*$BS$3,VLOOKUP(A27,'Updated Ncino PD'!A:K,4,FALSE))</f>
        <v>4.5514517934549577E-3</v>
      </c>
      <c r="BV27" s="390">
        <f>IFERROR(AM27*$BS$2+BH27*$BS$4+R27*$BS$3,VLOOKUP(A27,'Updated Ncino PD'!A:K,5,FALSE))</f>
        <v>9.0811022148412201E-3</v>
      </c>
      <c r="BW27" s="390">
        <f>IFERROR(AN27*$BS$2+BI27*$BS$4+S27*$BS$3,VLOOKUP(A27,'Updated Ncino PD'!A:K,6,FALSE))</f>
        <v>1.3589058335042481E-2</v>
      </c>
      <c r="BX27" s="390">
        <f>IFERROR(AO27*$BS$2+BJ27*$BS$4+T27*$BS$3,VLOOKUP(A27,'Updated Ncino PD'!A:K,7,FALSE))</f>
        <v>1.8075426686335772E-2</v>
      </c>
      <c r="BY27" s="390">
        <f>IFERROR(AP27*$BS$2+BK27*$BS$4+U27*$BS$3,VLOOKUP(A27,'Updated Ncino PD'!A:K,8,FALSE))</f>
        <v>3.2606910986016917E-2</v>
      </c>
      <c r="BZ27" s="390">
        <f>IFERROR(AQ27*$BS$2+BL27*$BS$4+V27*$BS$3,VLOOKUP(A27,'Updated Ncino PD'!A:K,9,FALSE))</f>
        <v>4.5286755184269369E-2</v>
      </c>
      <c r="CA27" s="390">
        <f>IFERROR(AR27*$BS$2+BM27*$BS$4+W27*$BS$3,VLOOKUP(A27,'Updated Ncino PD'!A:K,10,FALSE))</f>
        <v>5.6764015567195125E-2</v>
      </c>
      <c r="CB27" s="390">
        <f>IFERROR(AS27*$BS$2+BN27*$BS$4+X27*$BS$3,VLOOKUP(A27,'Updated Ncino PD'!A:K,11,FALSE))</f>
        <v>6.74293214912281E-2</v>
      </c>
      <c r="CC27" s="390">
        <f t="shared" si="36"/>
        <v>1.3689797559970528E-2</v>
      </c>
      <c r="CD27" s="390">
        <f t="shared" si="36"/>
        <v>1.8075426686335772E-2</v>
      </c>
      <c r="CF27" s="450">
        <f t="shared" si="35"/>
        <v>1.8554999999999999E-2</v>
      </c>
      <c r="CG27" s="450">
        <f t="shared" si="35"/>
        <v>1.5204999999999996E-2</v>
      </c>
      <c r="CH27" s="450">
        <f t="shared" si="35"/>
        <v>1.3475000000000001E-2</v>
      </c>
      <c r="CI27" s="450">
        <f t="shared" si="35"/>
        <v>1.2364999999999999E-2</v>
      </c>
      <c r="CJ27" s="450">
        <f t="shared" si="35"/>
        <v>1.1635E-2</v>
      </c>
    </row>
    <row r="28" spans="1:88" s="355" customFormat="1" hidden="1" x14ac:dyDescent="0.25">
      <c r="A28" s="400">
        <v>1100000004</v>
      </c>
      <c r="B28" s="455" t="str">
        <f>VLOOKUP(A28,'Loan Book Summary'!C:G,5,FALSE)</f>
        <v>0014I00001rYqrM</v>
      </c>
      <c r="C28" s="167">
        <f>VLOOKUP(A28,'Ref-Data'!$A:$I,9,0)</f>
        <v>1</v>
      </c>
      <c r="D28" s="445">
        <f>VLOOKUP(A28,'Adjustment Factor'!A:C,3,0)</f>
        <v>0.58871431438411448</v>
      </c>
      <c r="E28" s="446">
        <f>VLOOKUP(A28,'Ref-Data'!A:C,2,FALSE)</f>
        <v>1254060</v>
      </c>
      <c r="F28" s="445">
        <f>VLOOKUP(A28,'Ref-Data'!$A:$F,6,FALSE)</f>
        <v>3.3347022587268995</v>
      </c>
      <c r="G28" s="346"/>
      <c r="H28" s="273">
        <f>VLOOKUP($B28, 'Output 96% Downside'!$A:$CW,42,FALSE)</f>
        <v>5.0000000000000001E-3</v>
      </c>
      <c r="I28" s="273">
        <f>VLOOKUP($B28, 'Output 96% Downside'!$A:$CW,43,FALSE)</f>
        <v>5.7999999999999996E-3</v>
      </c>
      <c r="J28" s="273">
        <f>VLOOKUP($B28, 'Output 96% Downside'!$A:$CW,44,FALSE)</f>
        <v>6.4000000000000003E-3</v>
      </c>
      <c r="K28" s="273">
        <f>VLOOKUP($B28, 'Output 96% Downside'!$A:$CW,45,FALSE)</f>
        <v>6.7999999999999996E-3</v>
      </c>
      <c r="L28" s="273">
        <f>VLOOKUP($B28, 'Output 96% Downside'!$A:$CW,46,FALSE)</f>
        <v>7.1000000000000004E-3</v>
      </c>
      <c r="M28" s="447">
        <f t="shared" si="0"/>
        <v>1.2523506095245551E-3</v>
      </c>
      <c r="N28" s="447">
        <f t="shared" si="3"/>
        <v>2.5031328369999883E-3</v>
      </c>
      <c r="O28" s="447">
        <f t="shared" si="4"/>
        <v>3.7523486465903533E-3</v>
      </c>
      <c r="P28" s="346"/>
      <c r="Q28" s="390">
        <f t="shared" si="5"/>
        <v>7.3727673045477634E-4</v>
      </c>
      <c r="R28" s="390">
        <f t="shared" si="5"/>
        <v>1.4736301319468114E-3</v>
      </c>
      <c r="S28" s="390">
        <f t="shared" si="5"/>
        <v>2.2090613608075995E-3</v>
      </c>
      <c r="T28" s="390">
        <f t="shared" si="6"/>
        <v>2.9435715719205724E-3</v>
      </c>
      <c r="U28" s="390">
        <f t="shared" si="7"/>
        <v>6.3410418802313474E-3</v>
      </c>
      <c r="V28" s="390">
        <f t="shared" si="8"/>
        <v>1.0068230824256178E-2</v>
      </c>
      <c r="W28" s="390">
        <f t="shared" si="9"/>
        <v>1.4003024192463204E-2</v>
      </c>
      <c r="X28" s="390">
        <f t="shared" si="10"/>
        <v>1.8083474352823911E-2</v>
      </c>
      <c r="Y28" s="390">
        <f t="shared" si="11"/>
        <v>2.9435715719205724E-3</v>
      </c>
      <c r="Z28" s="390">
        <f t="shared" si="12"/>
        <v>1.4003024192463204E-2</v>
      </c>
      <c r="AC28" s="273">
        <f>VLOOKUP($B28, 'Output Baseline'!$A:$CW,42,FALSE)</f>
        <v>4.0000000000000001E-3</v>
      </c>
      <c r="AD28" s="273">
        <f>VLOOKUP($B28, 'Output Baseline'!$A:$CW,43,FALSE)</f>
        <v>4.5999999999999999E-3</v>
      </c>
      <c r="AE28" s="273">
        <f>VLOOKUP($B28, 'Output Baseline'!$A:$CW,44,FALSE)</f>
        <v>5.0000000000000001E-3</v>
      </c>
      <c r="AF28" s="273">
        <f>VLOOKUP($B28, 'Output Baseline'!$A:$CW,45,FALSE)</f>
        <v>5.1999999999999998E-3</v>
      </c>
      <c r="AG28" s="273">
        <f>VLOOKUP($B28, 'Output Baseline'!$A:$CW,46,FALSE)</f>
        <v>5.4999999999999997E-3</v>
      </c>
      <c r="AH28" s="447">
        <f t="shared" si="13"/>
        <v>1.0015035096540004E-3</v>
      </c>
      <c r="AI28" s="447">
        <f t="shared" si="14"/>
        <v>2.0020040100281467E-3</v>
      </c>
      <c r="AJ28" s="447">
        <f t="shared" si="15"/>
        <v>3.001502505639797E-3</v>
      </c>
      <c r="AK28" s="346"/>
      <c r="AL28" s="390">
        <f t="shared" si="16"/>
        <v>5.8959945203923916E-4</v>
      </c>
      <c r="AM28" s="390">
        <f t="shared" si="16"/>
        <v>1.1786084181579681E-3</v>
      </c>
      <c r="AN28" s="390">
        <f t="shared" si="16"/>
        <v>1.7670274897299348E-3</v>
      </c>
      <c r="AO28" s="390">
        <f t="shared" si="17"/>
        <v>2.354857257536458E-3</v>
      </c>
      <c r="AP28" s="390">
        <f t="shared" si="18"/>
        <v>5.0521107603187631E-3</v>
      </c>
      <c r="AQ28" s="390">
        <f t="shared" si="19"/>
        <v>7.9704217784377727E-3</v>
      </c>
      <c r="AR28" s="390">
        <f t="shared" si="20"/>
        <v>1.0990290019987303E-2</v>
      </c>
      <c r="AS28" s="390">
        <f t="shared" si="21"/>
        <v>1.4167772153989976E-2</v>
      </c>
      <c r="AT28" s="390">
        <f t="shared" si="22"/>
        <v>2.354857257536458E-3</v>
      </c>
      <c r="AU28" s="390">
        <f t="shared" si="23"/>
        <v>1.0990290019987303E-2</v>
      </c>
      <c r="AX28" s="273">
        <f>VLOOKUP($B28, 'Output 90% Downside'!$A:$CW,42,FALSE)</f>
        <v>5.0000000000000001E-3</v>
      </c>
      <c r="AY28" s="273">
        <f>VLOOKUP($B28, 'Output 90% Downside'!$A:$CW,43,FALSE)</f>
        <v>5.7999999999999996E-3</v>
      </c>
      <c r="AZ28" s="273">
        <f>VLOOKUP($B28, 'Output 90% Downside'!$A:$CW,44,FALSE)</f>
        <v>6.4000000000000003E-3</v>
      </c>
      <c r="BA28" s="273">
        <f>VLOOKUP($B28, 'Output 90% Downside'!$A:$CW,45,FALSE)</f>
        <v>6.7999999999999996E-3</v>
      </c>
      <c r="BB28" s="273">
        <f>VLOOKUP($B28, 'Output 90% Downside'!$A:$CW,46,FALSE)</f>
        <v>7.1000000000000004E-3</v>
      </c>
      <c r="BC28" s="447">
        <f t="shared" si="24"/>
        <v>1.2523506095245551E-3</v>
      </c>
      <c r="BD28" s="447">
        <f t="shared" si="25"/>
        <v>2.5031328369999883E-3</v>
      </c>
      <c r="BE28" s="447">
        <f t="shared" si="26"/>
        <v>3.7523486465903533E-3</v>
      </c>
      <c r="BF28" s="346"/>
      <c r="BG28" s="390">
        <f t="shared" si="27"/>
        <v>7.3727673045477634E-4</v>
      </c>
      <c r="BH28" s="390">
        <f t="shared" si="27"/>
        <v>1.4736301319468114E-3</v>
      </c>
      <c r="BI28" s="390">
        <f t="shared" si="27"/>
        <v>2.2090613608075995E-3</v>
      </c>
      <c r="BJ28" s="390">
        <f t="shared" si="28"/>
        <v>2.9435715719205724E-3</v>
      </c>
      <c r="BK28" s="390">
        <f t="shared" si="29"/>
        <v>6.3410418802313474E-3</v>
      </c>
      <c r="BL28" s="390">
        <f t="shared" si="30"/>
        <v>1.0068230824256178E-2</v>
      </c>
      <c r="BM28" s="390">
        <f t="shared" si="31"/>
        <v>1.4003024192463204E-2</v>
      </c>
      <c r="BN28" s="390">
        <f t="shared" si="32"/>
        <v>1.8083474352823911E-2</v>
      </c>
      <c r="BO28" s="390">
        <f t="shared" si="33"/>
        <v>2.9435715719205724E-3</v>
      </c>
      <c r="BP28" s="390">
        <f t="shared" si="34"/>
        <v>1.4003024192463204E-2</v>
      </c>
      <c r="BQ28" s="347"/>
      <c r="BU28" s="390">
        <f>IFERROR(AL28*$BS$2+BG28*$BS$4+Q28*$BS$3,VLOOKUP(A28,'Updated Ncino PD'!A:K,4,FALSE))</f>
        <v>6.4867036340545401E-4</v>
      </c>
      <c r="BV28" s="390">
        <f>IFERROR(AM28*$BS$2+BH28*$BS$4+R28*$BS$3,VLOOKUP(A28,'Updated Ncino PD'!A:K,5,FALSE))</f>
        <v>1.2966171036735055E-3</v>
      </c>
      <c r="BW28" s="390">
        <f>IFERROR(AN28*$BS$2+BI28*$BS$4+S28*$BS$3,VLOOKUP(A28,'Updated Ncino PD'!A:K,6,FALSE))</f>
        <v>1.9438410381610006E-3</v>
      </c>
      <c r="BX28" s="390">
        <f>IFERROR(AO28*$BS$2+BJ28*$BS$4+T28*$BS$3,VLOOKUP(A28,'Updated Ncino PD'!A:K,7,FALSE))</f>
        <v>2.5903429832901037E-3</v>
      </c>
      <c r="BY28" s="390">
        <f>IFERROR(AP28*$BS$2+BK28*$BS$4+U28*$BS$3,VLOOKUP(A28,'Updated Ncino PD'!A:K,8,FALSE))</f>
        <v>5.5676832082837968E-3</v>
      </c>
      <c r="BZ28" s="390">
        <f>IFERROR(AQ28*$BS$2+BL28*$BS$4+V28*$BS$3,VLOOKUP(A28,'Updated Ncino PD'!A:K,9,FALSE))</f>
        <v>8.8095453967651349E-3</v>
      </c>
      <c r="CA28" s="390">
        <f>IFERROR(AR28*$BS$2+BM28*$BS$4+W28*$BS$3,VLOOKUP(A28,'Updated Ncino PD'!A:K,10,FALSE))</f>
        <v>1.2195383688977662E-2</v>
      </c>
      <c r="CB28" s="390">
        <f>IFERROR(AS28*$BS$2+BN28*$BS$4+X28*$BS$3,VLOOKUP(A28,'Updated Ncino PD'!A:K,11,FALSE))</f>
        <v>1.5734053033523546E-2</v>
      </c>
      <c r="CC28" s="390">
        <f t="shared" si="36"/>
        <v>2.5903429832901037E-3</v>
      </c>
      <c r="CD28" s="390">
        <f t="shared" si="36"/>
        <v>1.2195383688977662E-2</v>
      </c>
      <c r="CF28" s="450">
        <f t="shared" si="35"/>
        <v>4.3999999999999994E-3</v>
      </c>
      <c r="CG28" s="450">
        <f t="shared" si="35"/>
        <v>5.0799999999999994E-3</v>
      </c>
      <c r="CH28" s="450">
        <f t="shared" si="35"/>
        <v>5.5599999999999998E-3</v>
      </c>
      <c r="CI28" s="450">
        <f t="shared" si="35"/>
        <v>5.8399999999999997E-3</v>
      </c>
      <c r="CJ28" s="450">
        <f t="shared" si="35"/>
        <v>6.1399999999999996E-3</v>
      </c>
    </row>
    <row r="29" spans="1:88" s="355" customFormat="1" hidden="1" x14ac:dyDescent="0.25">
      <c r="A29" s="400">
        <v>1100000005</v>
      </c>
      <c r="B29" s="455" t="str">
        <f>VLOOKUP(A29,'Loan Book Summary'!C:G,5,FALSE)</f>
        <v>0014I00001or3M2</v>
      </c>
      <c r="C29" s="167">
        <f>VLOOKUP(A29,'Ref-Data'!$A:$I,9,0)</f>
        <v>1</v>
      </c>
      <c r="D29" s="445">
        <f>VLOOKUP(A29,'Adjustment Factor'!A:C,3,0)</f>
        <v>1.1661702555310061</v>
      </c>
      <c r="E29" s="446">
        <f>VLOOKUP(A29,'Ref-Data'!A:C,2,FALSE)</f>
        <v>2107734</v>
      </c>
      <c r="F29" s="445">
        <f>VLOOKUP(A29,'Ref-Data'!$A:$F,6,FALSE)</f>
        <v>4.470910335386721</v>
      </c>
      <c r="G29" s="346"/>
      <c r="H29" s="273">
        <f>VLOOKUP($B29, 'Output 96% Downside'!$A:$CW,42,FALSE)</f>
        <v>7.4999999999999997E-3</v>
      </c>
      <c r="I29" s="273">
        <f>VLOOKUP($B29, 'Output 96% Downside'!$A:$CW,43,FALSE)</f>
        <v>7.0000000000000001E-3</v>
      </c>
      <c r="J29" s="273">
        <f>VLOOKUP($B29, 'Output 96% Downside'!$A:$CW,44,FALSE)</f>
        <v>6.7000000000000002E-3</v>
      </c>
      <c r="K29" s="273">
        <f>VLOOKUP($B29, 'Output 96% Downside'!$A:$CW,45,FALSE)</f>
        <v>6.4999999999999997E-3</v>
      </c>
      <c r="L29" s="273">
        <f>VLOOKUP($B29, 'Output 96% Downside'!$A:$CW,46,FALSE)</f>
        <v>6.4000000000000003E-3</v>
      </c>
      <c r="M29" s="447">
        <f t="shared" si="0"/>
        <v>1.8802966284235945E-3</v>
      </c>
      <c r="N29" s="447">
        <f t="shared" si="3"/>
        <v>3.7570577414363093E-3</v>
      </c>
      <c r="O29" s="447">
        <f t="shared" si="4"/>
        <v>5.6302899868558853E-3</v>
      </c>
      <c r="P29" s="346"/>
      <c r="Q29" s="390">
        <f t="shared" si="5"/>
        <v>2.1927459996428323E-3</v>
      </c>
      <c r="R29" s="390">
        <f t="shared" si="5"/>
        <v>4.3813689863755256E-3</v>
      </c>
      <c r="S29" s="390">
        <f t="shared" si="5"/>
        <v>6.5658767126853925E-3</v>
      </c>
      <c r="T29" s="390">
        <f t="shared" si="6"/>
        <v>8.7462769164825451E-3</v>
      </c>
      <c r="U29" s="390">
        <f t="shared" si="7"/>
        <v>1.6848244766784148E-2</v>
      </c>
      <c r="V29" s="390">
        <f t="shared" si="8"/>
        <v>2.4548702238904509E-2</v>
      </c>
      <c r="W29" s="390">
        <f t="shared" si="9"/>
        <v>3.1969242335303169E-2</v>
      </c>
      <c r="X29" s="390">
        <f t="shared" si="10"/>
        <v>3.9228128819755681E-2</v>
      </c>
      <c r="Y29" s="390">
        <f t="shared" si="11"/>
        <v>8.7462769164825451E-3</v>
      </c>
      <c r="Z29" s="390">
        <f t="shared" si="12"/>
        <v>3.9228128819755681E-2</v>
      </c>
      <c r="AC29" s="273">
        <f>VLOOKUP($B29, 'Output Baseline'!$A:$CW,42,FALSE)</f>
        <v>6.7000000000000002E-3</v>
      </c>
      <c r="AD29" s="273">
        <f>VLOOKUP($B29, 'Output Baseline'!$A:$CW,43,FALSE)</f>
        <v>6.6E-3</v>
      </c>
      <c r="AE29" s="273">
        <f>VLOOKUP($B29, 'Output Baseline'!$A:$CW,44,FALSE)</f>
        <v>6.4999999999999997E-3</v>
      </c>
      <c r="AF29" s="273">
        <f>VLOOKUP($B29, 'Output Baseline'!$A:$CW,45,FALSE)</f>
        <v>6.4000000000000003E-3</v>
      </c>
      <c r="AG29" s="273">
        <f>VLOOKUP($B29, 'Output Baseline'!$A:$CW,46,FALSE)</f>
        <v>6.4000000000000003E-3</v>
      </c>
      <c r="AH29" s="447">
        <f t="shared" si="13"/>
        <v>1.6792249616227606E-3</v>
      </c>
      <c r="AI29" s="447">
        <f t="shared" si="14"/>
        <v>3.3556301267737565E-3</v>
      </c>
      <c r="AJ29" s="447">
        <f t="shared" si="15"/>
        <v>5.029220230525655E-3</v>
      </c>
      <c r="AK29" s="346"/>
      <c r="AL29" s="390">
        <f t="shared" si="16"/>
        <v>1.9582622025896587E-3</v>
      </c>
      <c r="AM29" s="390">
        <f t="shared" si="16"/>
        <v>3.9132360424072934E-3</v>
      </c>
      <c r="AN29" s="390">
        <f t="shared" si="16"/>
        <v>5.8649270413538082E-3</v>
      </c>
      <c r="AO29" s="390">
        <f t="shared" si="17"/>
        <v>7.8133407120577411E-3</v>
      </c>
      <c r="AP29" s="390">
        <f t="shared" si="18"/>
        <v>1.5458496349862858E-2</v>
      </c>
      <c r="AQ29" s="390">
        <f t="shared" si="19"/>
        <v>2.2938122784540174E-2</v>
      </c>
      <c r="AR29" s="390">
        <f t="shared" si="20"/>
        <v>3.025480843411749E-2</v>
      </c>
      <c r="AS29" s="390">
        <f t="shared" si="21"/>
        <v>3.7524667295537509E-2</v>
      </c>
      <c r="AT29" s="390">
        <f t="shared" si="22"/>
        <v>7.8133407120577411E-3</v>
      </c>
      <c r="AU29" s="390">
        <f t="shared" si="23"/>
        <v>3.7524667295537509E-2</v>
      </c>
      <c r="AX29" s="273">
        <f>VLOOKUP($B29, 'Output 90% Downside'!$A:$CW,42,FALSE)</f>
        <v>7.4999999999999997E-3</v>
      </c>
      <c r="AY29" s="273">
        <f>VLOOKUP($B29, 'Output 90% Downside'!$A:$CW,43,FALSE)</f>
        <v>7.1999999999999998E-3</v>
      </c>
      <c r="AZ29" s="273">
        <f>VLOOKUP($B29, 'Output 90% Downside'!$A:$CW,44,FALSE)</f>
        <v>7.0000000000000001E-3</v>
      </c>
      <c r="BA29" s="273">
        <f>VLOOKUP($B29, 'Output 90% Downside'!$A:$CW,45,FALSE)</f>
        <v>6.8999999999999999E-3</v>
      </c>
      <c r="BB29" s="273">
        <f>VLOOKUP($B29, 'Output 90% Downside'!$A:$CW,46,FALSE)</f>
        <v>6.7999999999999996E-3</v>
      </c>
      <c r="BC29" s="447">
        <f t="shared" si="24"/>
        <v>1.8802966284235945E-3</v>
      </c>
      <c r="BD29" s="447">
        <f t="shared" si="25"/>
        <v>3.7570577414363093E-3</v>
      </c>
      <c r="BE29" s="447">
        <f t="shared" si="26"/>
        <v>5.6302899868558853E-3</v>
      </c>
      <c r="BF29" s="346"/>
      <c r="BG29" s="390">
        <f t="shared" si="27"/>
        <v>2.1927459996428323E-3</v>
      </c>
      <c r="BH29" s="390">
        <f t="shared" si="27"/>
        <v>4.3813689863755256E-3</v>
      </c>
      <c r="BI29" s="390">
        <f t="shared" si="27"/>
        <v>6.5658767126853925E-3</v>
      </c>
      <c r="BJ29" s="390">
        <f t="shared" si="28"/>
        <v>8.7462769164825451E-3</v>
      </c>
      <c r="BK29" s="390">
        <f t="shared" si="29"/>
        <v>1.7079729562507043E-2</v>
      </c>
      <c r="BL29" s="390">
        <f t="shared" si="30"/>
        <v>2.5123363244286483E-2</v>
      </c>
      <c r="BM29" s="390">
        <f t="shared" si="31"/>
        <v>3.2996586801064903E-2</v>
      </c>
      <c r="BN29" s="390">
        <f t="shared" si="32"/>
        <v>4.0702167748428497E-2</v>
      </c>
      <c r="BO29" s="390">
        <f t="shared" si="33"/>
        <v>8.7462769164825451E-3</v>
      </c>
      <c r="BP29" s="390">
        <f t="shared" si="34"/>
        <v>4.0702167748428497E-2</v>
      </c>
      <c r="BQ29" s="347"/>
      <c r="BU29" s="390">
        <f>IFERROR(AL29*$BS$2+BG29*$BS$4+Q29*$BS$3,VLOOKUP(A29,'Updated Ncino PD'!A:K,4,FALSE))</f>
        <v>2.0520557214109281E-3</v>
      </c>
      <c r="BV29" s="390">
        <f>IFERROR(AM29*$BS$2+BH29*$BS$4+R29*$BS$3,VLOOKUP(A29,'Updated Ncino PD'!A:K,5,FALSE))</f>
        <v>4.1004892199945856E-3</v>
      </c>
      <c r="BW29" s="390">
        <f>IFERROR(AN29*$BS$2+BI29*$BS$4+S29*$BS$3,VLOOKUP(A29,'Updated Ncino PD'!A:K,6,FALSE))</f>
        <v>6.1453069098864411E-3</v>
      </c>
      <c r="BX29" s="390">
        <f>IFERROR(AO29*$BS$2+BJ29*$BS$4+T29*$BS$3,VLOOKUP(A29,'Updated Ncino PD'!A:K,7,FALSE))</f>
        <v>8.1865151938276624E-3</v>
      </c>
      <c r="BY29" s="390">
        <f>IFERROR(AP29*$BS$2+BK29*$BS$4+U29*$BS$3,VLOOKUP(A29,'Updated Ncino PD'!A:K,8,FALSE))</f>
        <v>1.6095415395134385E-2</v>
      </c>
      <c r="BZ29" s="390">
        <f>IFERROR(AQ29*$BS$2+BL29*$BS$4+V29*$BS$3,VLOOKUP(A29,'Updated Ncino PD'!A:K,9,FALSE))</f>
        <v>2.3783485918169599E-2</v>
      </c>
      <c r="CA29" s="390">
        <f>IFERROR(AR29*$BS$2+BM29*$BS$4+W29*$BS$3,VLOOKUP(A29,'Updated Ncino PD'!A:K,10,FALSE))</f>
        <v>3.1300152557608367E-2</v>
      </c>
      <c r="CB29" s="390">
        <f>IFERROR(AS29*$BS$2+BN29*$BS$4+X29*$BS$3,VLOOKUP(A29,'Updated Ncino PD'!A:K,11,FALSE))</f>
        <v>3.8721965530260263E-2</v>
      </c>
      <c r="CC29" s="390">
        <f t="shared" si="36"/>
        <v>8.1865151938276624E-3</v>
      </c>
      <c r="CD29" s="390">
        <f t="shared" si="36"/>
        <v>3.8721965530260263E-2</v>
      </c>
      <c r="CF29" s="450">
        <f t="shared" si="35"/>
        <v>7.0200000000000002E-3</v>
      </c>
      <c r="CG29" s="450">
        <f t="shared" si="35"/>
        <v>6.8299999999999993E-3</v>
      </c>
      <c r="CH29" s="450">
        <f t="shared" si="35"/>
        <v>6.685E-3</v>
      </c>
      <c r="CI29" s="450">
        <f t="shared" si="35"/>
        <v>6.5799999999999999E-3</v>
      </c>
      <c r="CJ29" s="450">
        <f t="shared" si="35"/>
        <v>6.5400000000000007E-3</v>
      </c>
    </row>
    <row r="30" spans="1:88" s="355" customFormat="1" hidden="1" x14ac:dyDescent="0.25">
      <c r="A30" s="400">
        <v>1200000152</v>
      </c>
      <c r="B30" s="455" t="str">
        <f>VLOOKUP(A30,'Loan Book Summary'!C:G,5,FALSE)</f>
        <v>0015800000z8vOY</v>
      </c>
      <c r="C30" s="167">
        <f>VLOOKUP(A30,'Ref-Data'!$A:$I,9,0)</f>
        <v>1</v>
      </c>
      <c r="D30" s="445">
        <f>VLOOKUP(A30,'Adjustment Factor'!A:C,3,0)</f>
        <v>1.01</v>
      </c>
      <c r="E30" s="446">
        <f>VLOOKUP(A30,'Ref-Data'!A:C,2,FALSE)</f>
        <v>3500000</v>
      </c>
      <c r="F30" s="445">
        <f>VLOOKUP(A30,'Ref-Data'!$A:$F,6,FALSE)</f>
        <v>0.99657768651608492</v>
      </c>
      <c r="G30" s="346"/>
      <c r="H30" s="273">
        <f>VLOOKUP($B30, 'Output 96% Downside'!$A:$CW,42,FALSE)</f>
        <v>1.8800000000000001E-2</v>
      </c>
      <c r="I30" s="273">
        <f>VLOOKUP($B30, 'Output 96% Downside'!$A:$CW,43,FALSE)</f>
        <v>1.49E-2</v>
      </c>
      <c r="J30" s="273">
        <f>VLOOKUP($B30, 'Output 96% Downside'!$A:$CW,44,FALSE)</f>
        <v>1.2999999999999999E-2</v>
      </c>
      <c r="K30" s="273">
        <f>VLOOKUP($B30, 'Output 96% Downside'!$A:$CW,45,FALSE)</f>
        <v>1.18E-2</v>
      </c>
      <c r="L30" s="273">
        <f>VLOOKUP($B30, 'Output 96% Downside'!$A:$CW,46,FALSE)</f>
        <v>1.0999999999999999E-2</v>
      </c>
      <c r="M30" s="447">
        <f t="shared" si="0"/>
        <v>4.7335031444174502E-3</v>
      </c>
      <c r="N30" s="447">
        <f t="shared" si="3"/>
        <v>9.4446002368167026E-3</v>
      </c>
      <c r="O30" s="447">
        <f t="shared" si="4"/>
        <v>1.4133397336315467E-2</v>
      </c>
      <c r="P30" s="346"/>
      <c r="Q30" s="390">
        <f t="shared" si="5"/>
        <v>4.7808381758616247E-3</v>
      </c>
      <c r="R30" s="390">
        <f t="shared" si="5"/>
        <v>9.5390462391848705E-3</v>
      </c>
      <c r="S30" s="390">
        <f t="shared" si="5"/>
        <v>1.4274731309678622E-2</v>
      </c>
      <c r="T30" s="390">
        <f t="shared" si="6"/>
        <v>1.8988000000000001E-2</v>
      </c>
      <c r="U30" s="390">
        <f t="shared" si="7"/>
        <v>3.3754078800000066E-2</v>
      </c>
      <c r="V30" s="390">
        <f t="shared" si="8"/>
        <v>4.6445275775600071E-2</v>
      </c>
      <c r="W30" s="390">
        <f t="shared" si="9"/>
        <v>5.7815221521448065E-2</v>
      </c>
      <c r="X30" s="390">
        <f t="shared" si="10"/>
        <v>6.8289254084712134E-2</v>
      </c>
      <c r="Y30" s="390">
        <f t="shared" si="11"/>
        <v>1.8923635890108037E-2</v>
      </c>
      <c r="Z30" s="390">
        <f t="shared" si="12"/>
        <v>1.8988000000000001E-2</v>
      </c>
      <c r="AC30" s="273">
        <f>VLOOKUP($B30, 'Output Baseline'!$A:$CW,42,FALSE)</f>
        <v>1.8499999999999999E-2</v>
      </c>
      <c r="AD30" s="273">
        <f>VLOOKUP($B30, 'Output Baseline'!$A:$CW,43,FALSE)</f>
        <v>1.47E-2</v>
      </c>
      <c r="AE30" s="273">
        <f>VLOOKUP($B30, 'Output Baseline'!$A:$CW,44,FALSE)</f>
        <v>1.29E-2</v>
      </c>
      <c r="AF30" s="273">
        <f>VLOOKUP($B30, 'Output Baseline'!$A:$CW,45,FALSE)</f>
        <v>1.17E-2</v>
      </c>
      <c r="AG30" s="273">
        <f>VLOOKUP($B30, 'Output Baseline'!$A:$CW,46,FALSE)</f>
        <v>1.09E-2</v>
      </c>
      <c r="AH30" s="447">
        <f t="shared" si="13"/>
        <v>4.6574366642603282E-3</v>
      </c>
      <c r="AI30" s="447">
        <f t="shared" si="14"/>
        <v>9.293181612239021E-3</v>
      </c>
      <c r="AJ30" s="447">
        <f t="shared" si="15"/>
        <v>1.3907335871730875E-2</v>
      </c>
      <c r="AK30" s="346"/>
      <c r="AL30" s="390">
        <f t="shared" si="16"/>
        <v>4.7040110309029314E-3</v>
      </c>
      <c r="AM30" s="390">
        <f t="shared" si="16"/>
        <v>9.3861134283614121E-3</v>
      </c>
      <c r="AN30" s="390">
        <f t="shared" si="16"/>
        <v>1.4046409230448184E-2</v>
      </c>
      <c r="AO30" s="390">
        <f t="shared" si="17"/>
        <v>1.8685E-2</v>
      </c>
      <c r="AP30" s="390">
        <f t="shared" si="18"/>
        <v>3.3257330499999987E-2</v>
      </c>
      <c r="AQ30" s="390">
        <f t="shared" si="19"/>
        <v>4.5857310936550003E-2</v>
      </c>
      <c r="AR30" s="390">
        <f t="shared" si="20"/>
        <v>5.7137780398592415E-2</v>
      </c>
      <c r="AS30" s="390">
        <f t="shared" si="21"/>
        <v>6.7523978592247735E-2</v>
      </c>
      <c r="AT30" s="390">
        <f t="shared" si="22"/>
        <v>1.8621653198911847E-2</v>
      </c>
      <c r="AU30" s="390">
        <f t="shared" si="23"/>
        <v>1.8685E-2</v>
      </c>
      <c r="AX30" s="273">
        <f>VLOOKUP($B30, 'Output 90% Downside'!$A:$CW,42,FALSE)</f>
        <v>1.8800000000000001E-2</v>
      </c>
      <c r="AY30" s="273">
        <f>VLOOKUP($B30, 'Output 90% Downside'!$A:$CW,43,FALSE)</f>
        <v>1.49E-2</v>
      </c>
      <c r="AZ30" s="273">
        <f>VLOOKUP($B30, 'Output 90% Downside'!$A:$CW,44,FALSE)</f>
        <v>1.2999999999999999E-2</v>
      </c>
      <c r="BA30" s="273">
        <f>VLOOKUP($B30, 'Output 90% Downside'!$A:$CW,45,FALSE)</f>
        <v>1.18E-2</v>
      </c>
      <c r="BB30" s="273">
        <f>VLOOKUP($B30, 'Output 90% Downside'!$A:$CW,46,FALSE)</f>
        <v>1.0999999999999999E-2</v>
      </c>
      <c r="BC30" s="447">
        <f t="shared" si="24"/>
        <v>4.7335031444174502E-3</v>
      </c>
      <c r="BD30" s="447">
        <f t="shared" si="25"/>
        <v>9.4446002368167026E-3</v>
      </c>
      <c r="BE30" s="447">
        <f t="shared" si="26"/>
        <v>1.4133397336315467E-2</v>
      </c>
      <c r="BF30" s="346"/>
      <c r="BG30" s="390">
        <f t="shared" si="27"/>
        <v>4.7808381758616247E-3</v>
      </c>
      <c r="BH30" s="390">
        <f t="shared" si="27"/>
        <v>9.5390462391848705E-3</v>
      </c>
      <c r="BI30" s="390">
        <f t="shared" si="27"/>
        <v>1.4274731309678622E-2</v>
      </c>
      <c r="BJ30" s="390">
        <f t="shared" si="28"/>
        <v>1.8988000000000001E-2</v>
      </c>
      <c r="BK30" s="390">
        <f t="shared" si="29"/>
        <v>3.3754078800000066E-2</v>
      </c>
      <c r="BL30" s="390">
        <f t="shared" si="30"/>
        <v>4.6445275775600071E-2</v>
      </c>
      <c r="BM30" s="390">
        <f t="shared" si="31"/>
        <v>5.7815221521448065E-2</v>
      </c>
      <c r="BN30" s="390">
        <f t="shared" si="32"/>
        <v>6.8289254084712134E-2</v>
      </c>
      <c r="BO30" s="390">
        <f t="shared" si="33"/>
        <v>1.8923635890108037E-2</v>
      </c>
      <c r="BP30" s="390">
        <f t="shared" si="34"/>
        <v>1.8988000000000001E-2</v>
      </c>
      <c r="BQ30" s="347"/>
      <c r="BU30" s="390">
        <f>IFERROR(AL30*$BS$2+BG30*$BS$4+Q30*$BS$3,VLOOKUP(A30,'Updated Ncino PD'!A:K,4,FALSE))</f>
        <v>4.7347418888864087E-3</v>
      </c>
      <c r="BV30" s="390">
        <f>IFERROR(AM30*$BS$2+BH30*$BS$4+R30*$BS$3,VLOOKUP(A30,'Updated Ncino PD'!A:K,5,FALSE))</f>
        <v>9.4472865526907968E-3</v>
      </c>
      <c r="BW30" s="390">
        <f>IFERROR(AN30*$BS$2+BI30*$BS$4+S30*$BS$3,VLOOKUP(A30,'Updated Ncino PD'!A:K,6,FALSE))</f>
        <v>1.4137738062140359E-2</v>
      </c>
      <c r="BX30" s="390">
        <f>IFERROR(AO30*$BS$2+BJ30*$BS$4+T30*$BS$3,VLOOKUP(A30,'Updated Ncino PD'!A:K,7,FALSE))</f>
        <v>1.8806199999999999E-2</v>
      </c>
      <c r="BY30" s="390">
        <f>IFERROR(AP30*$BS$2+BK30*$BS$4+U30*$BS$3,VLOOKUP(A30,'Updated Ncino PD'!A:K,8,FALSE))</f>
        <v>3.3456029820000018E-2</v>
      </c>
      <c r="BZ30" s="390">
        <f>IFERROR(AQ30*$BS$2+BL30*$BS$4+V30*$BS$3,VLOOKUP(A30,'Updated Ncino PD'!A:K,9,FALSE))</f>
        <v>4.6092496872170027E-2</v>
      </c>
      <c r="CA30" s="390">
        <f>IFERROR(AR30*$BS$2+BM30*$BS$4+W30*$BS$3,VLOOKUP(A30,'Updated Ncino PD'!A:K,10,FALSE))</f>
        <v>5.7408756847734672E-2</v>
      </c>
      <c r="CB30" s="390">
        <f>IFERROR(AS30*$BS$2+BN30*$BS$4+X30*$BS$3,VLOOKUP(A30,'Updated Ncino PD'!A:K,11,FALSE))</f>
        <v>6.7830088789233495E-2</v>
      </c>
      <c r="CC30" s="390">
        <f t="shared" si="36"/>
        <v>1.8742446275390325E-2</v>
      </c>
      <c r="CD30" s="390">
        <f t="shared" si="36"/>
        <v>1.8806199999999999E-2</v>
      </c>
      <c r="CF30" s="450">
        <f t="shared" si="35"/>
        <v>1.8619999999999998E-2</v>
      </c>
      <c r="CG30" s="450">
        <f t="shared" si="35"/>
        <v>1.4780000000000001E-2</v>
      </c>
      <c r="CH30" s="450">
        <f t="shared" si="35"/>
        <v>1.294E-2</v>
      </c>
      <c r="CI30" s="450">
        <f t="shared" si="35"/>
        <v>1.174E-2</v>
      </c>
      <c r="CJ30" s="450">
        <f t="shared" si="35"/>
        <v>1.094E-2</v>
      </c>
    </row>
    <row r="31" spans="1:88" s="355" customFormat="1" hidden="1" x14ac:dyDescent="0.25">
      <c r="A31" s="400">
        <v>1200000128</v>
      </c>
      <c r="B31" s="455" t="str">
        <f>VLOOKUP(A31,'Loan Book Summary'!C:G,5,FALSE)</f>
        <v>0015800000QSQGI</v>
      </c>
      <c r="C31" s="167">
        <f>VLOOKUP(A31,'Ref-Data'!$A:$I,9,0)</f>
        <v>1</v>
      </c>
      <c r="D31" s="445">
        <f>VLOOKUP(A31,'Adjustment Factor'!A:C,3,0)</f>
        <v>0.67840752834901008</v>
      </c>
      <c r="E31" s="446">
        <f>VLOOKUP(A31,'Ref-Data'!A:C,2,FALSE)</f>
        <v>1027839.57</v>
      </c>
      <c r="F31" s="445">
        <f>VLOOKUP(A31,'Ref-Data'!$A:$F,6,FALSE)</f>
        <v>1.9548254620123204</v>
      </c>
      <c r="G31" s="346"/>
      <c r="H31" s="273">
        <f>VLOOKUP($B31, 'Output 96% Downside'!$A:$CW,42,FALSE)</f>
        <v>2.0500000000000001E-2</v>
      </c>
      <c r="I31" s="273">
        <f>VLOOKUP($B31, 'Output 96% Downside'!$A:$CW,43,FALSE)</f>
        <v>1.9199999999999998E-2</v>
      </c>
      <c r="J31" s="273">
        <f>VLOOKUP($B31, 'Output 96% Downside'!$A:$CW,44,FALSE)</f>
        <v>1.84E-2</v>
      </c>
      <c r="K31" s="273">
        <f>VLOOKUP($B31, 'Output 96% Downside'!$A:$CW,45,FALSE)</f>
        <v>1.7899999999999999E-2</v>
      </c>
      <c r="L31" s="273">
        <f>VLOOKUP($B31, 'Output 96% Downside'!$A:$CW,46,FALSE)</f>
        <v>1.7500000000000002E-2</v>
      </c>
      <c r="M31" s="447">
        <f t="shared" si="0"/>
        <v>5.1648763210500048E-3</v>
      </c>
      <c r="N31" s="447">
        <f t="shared" si="3"/>
        <v>1.0303076694688218E-2</v>
      </c>
      <c r="O31" s="447">
        <f t="shared" si="4"/>
        <v>1.5414738898883895E-2</v>
      </c>
      <c r="P31" s="346"/>
      <c r="Q31" s="390">
        <f t="shared" si="5"/>
        <v>3.5038909791918621E-3</v>
      </c>
      <c r="R31" s="390">
        <f t="shared" si="5"/>
        <v>6.9896847948337226E-3</v>
      </c>
      <c r="S31" s="390">
        <f t="shared" si="5"/>
        <v>1.0457474916537165E-2</v>
      </c>
      <c r="T31" s="390">
        <f t="shared" si="6"/>
        <v>1.3907354331154708E-2</v>
      </c>
      <c r="U31" s="390">
        <f t="shared" si="7"/>
        <v>2.6665757672297504E-2</v>
      </c>
      <c r="V31" s="390">
        <f t="shared" si="8"/>
        <v>3.8657806252748964E-2</v>
      </c>
      <c r="W31" s="390">
        <f t="shared" si="9"/>
        <v>5.0109326278272082E-2</v>
      </c>
      <c r="X31" s="390">
        <f t="shared" si="10"/>
        <v>6.1104544814509984E-2</v>
      </c>
      <c r="Y31" s="390">
        <f t="shared" si="11"/>
        <v>1.3907354331154708E-2</v>
      </c>
      <c r="Z31" s="390">
        <f t="shared" si="12"/>
        <v>2.6665757672297504E-2</v>
      </c>
      <c r="AC31" s="273">
        <f>VLOOKUP($B31, 'Output Baseline'!$A:$CW,42,FALSE)</f>
        <v>1.12E-2</v>
      </c>
      <c r="AD31" s="273">
        <f>VLOOKUP($B31, 'Output Baseline'!$A:$CW,43,FALSE)</f>
        <v>1.14E-2</v>
      </c>
      <c r="AE31" s="273">
        <f>VLOOKUP($B31, 'Output Baseline'!$A:$CW,44,FALSE)</f>
        <v>1.15E-2</v>
      </c>
      <c r="AF31" s="273">
        <f>VLOOKUP($B31, 'Output Baseline'!$A:$CW,45,FALSE)</f>
        <v>1.1599999999999999E-2</v>
      </c>
      <c r="AG31" s="273">
        <f>VLOOKUP($B31, 'Output Baseline'!$A:$CW,46,FALSE)</f>
        <v>1.17E-2</v>
      </c>
      <c r="AH31" s="447">
        <f t="shared" si="13"/>
        <v>2.8118374286203451E-3</v>
      </c>
      <c r="AI31" s="447">
        <f t="shared" si="14"/>
        <v>5.615768427515655E-3</v>
      </c>
      <c r="AJ31" s="447">
        <f t="shared" si="15"/>
        <v>8.4118152282810499E-3</v>
      </c>
      <c r="AK31" s="346"/>
      <c r="AL31" s="390">
        <f t="shared" si="16"/>
        <v>1.9075716800695643E-3</v>
      </c>
      <c r="AM31" s="390">
        <f t="shared" si="16"/>
        <v>3.8097795786913025E-3</v>
      </c>
      <c r="AN31" s="390">
        <f t="shared" si="16"/>
        <v>5.7066387779467114E-3</v>
      </c>
      <c r="AO31" s="390">
        <f t="shared" si="17"/>
        <v>7.5981643175089125E-3</v>
      </c>
      <c r="AP31" s="390">
        <f t="shared" si="18"/>
        <v>1.524539106746802E-2</v>
      </c>
      <c r="AQ31" s="390">
        <f t="shared" si="19"/>
        <v>2.2871755646205756E-2</v>
      </c>
      <c r="AR31" s="390">
        <f t="shared" si="20"/>
        <v>3.0475970609558308E-2</v>
      </c>
      <c r="AS31" s="390">
        <f t="shared" si="21"/>
        <v>3.8056769835109916E-2</v>
      </c>
      <c r="AT31" s="390">
        <f t="shared" si="22"/>
        <v>7.5981643175089125E-3</v>
      </c>
      <c r="AU31" s="390">
        <f t="shared" si="23"/>
        <v>1.524539106746802E-2</v>
      </c>
      <c r="AX31" s="273">
        <f>VLOOKUP($B31, 'Output 90% Downside'!$A:$CW,42,FALSE)</f>
        <v>1.43E-2</v>
      </c>
      <c r="AY31" s="273">
        <f>VLOOKUP($B31, 'Output 90% Downside'!$A:$CW,43,FALSE)</f>
        <v>1.4E-2</v>
      </c>
      <c r="AZ31" s="273">
        <f>VLOOKUP($B31, 'Output 90% Downside'!$A:$CW,44,FALSE)</f>
        <v>1.3899999999999999E-2</v>
      </c>
      <c r="BA31" s="273">
        <f>VLOOKUP($B31, 'Output 90% Downside'!$A:$CW,45,FALSE)</f>
        <v>1.38E-2</v>
      </c>
      <c r="BB31" s="273">
        <f>VLOOKUP($B31, 'Output 90% Downside'!$A:$CW,46,FALSE)</f>
        <v>1.38E-2</v>
      </c>
      <c r="BC31" s="447">
        <f t="shared" si="24"/>
        <v>3.5943324443148406E-3</v>
      </c>
      <c r="BD31" s="447">
        <f t="shared" si="25"/>
        <v>7.1757456629094607E-3</v>
      </c>
      <c r="BE31" s="447">
        <f t="shared" si="26"/>
        <v>1.0744286091775912E-2</v>
      </c>
      <c r="BF31" s="346"/>
      <c r="BG31" s="390">
        <f t="shared" si="27"/>
        <v>2.4384221896122868E-3</v>
      </c>
      <c r="BH31" s="390">
        <f t="shared" si="27"/>
        <v>4.8680798792355359E-3</v>
      </c>
      <c r="BI31" s="390">
        <f t="shared" si="27"/>
        <v>7.2890045713963417E-3</v>
      </c>
      <c r="BJ31" s="390">
        <f t="shared" si="28"/>
        <v>9.7012276553908438E-3</v>
      </c>
      <c r="BK31" s="390">
        <f t="shared" si="29"/>
        <v>1.906311586510152E-2</v>
      </c>
      <c r="BL31" s="390">
        <f t="shared" si="30"/>
        <v>2.822800319862789E-2</v>
      </c>
      <c r="BM31" s="390">
        <f t="shared" si="31"/>
        <v>3.7200480645703173E-2</v>
      </c>
      <c r="BN31" s="390">
        <f t="shared" si="32"/>
        <v>4.6049137904008809E-2</v>
      </c>
      <c r="BO31" s="390">
        <f t="shared" si="33"/>
        <v>9.7012276553908438E-3</v>
      </c>
      <c r="BP31" s="390">
        <f t="shared" si="34"/>
        <v>1.906311586510152E-2</v>
      </c>
      <c r="BQ31" s="347"/>
      <c r="BU31" s="390">
        <f>IFERROR(AL31*$BS$2+BG31*$BS$4+Q31*$BS$3,VLOOKUP(A31,'Updated Ncino PD'!A:K,4,FALSE))</f>
        <v>2.1731853233656322E-3</v>
      </c>
      <c r="BV31" s="390">
        <f>IFERROR(AM31*$BS$2+BH31*$BS$4+R31*$BS$3,VLOOKUP(A31,'Updated Ncino PD'!A:K,5,FALSE))</f>
        <v>4.3391799446889047E-3</v>
      </c>
      <c r="BW31" s="390">
        <f>IFERROR(AN31*$BS$2+BI31*$BS$4+S31*$BS$3,VLOOKUP(A31,'Updated Ncino PD'!A:K,6,FALSE))</f>
        <v>6.4980086125836049E-3</v>
      </c>
      <c r="BX31" s="390">
        <f>IFERROR(AO31*$BS$2+BJ31*$BS$4+T31*$BS$3,VLOOKUP(A31,'Updated Ncino PD'!A:K,7,FALSE))</f>
        <v>8.649695986449879E-3</v>
      </c>
      <c r="BY31" s="390">
        <f>IFERROR(AP31*$BS$2+BK31*$BS$4+U31*$BS$3,VLOOKUP(A31,'Updated Ncino PD'!A:K,8,FALSE))</f>
        <v>1.7152613076881217E-2</v>
      </c>
      <c r="BZ31" s="390">
        <f>IFERROR(AQ31*$BS$2+BL31*$BS$4+V31*$BS$3,VLOOKUP(A31,'Updated Ncino PD'!A:K,9,FALSE))</f>
        <v>2.5535744819880659E-2</v>
      </c>
      <c r="CA31" s="390">
        <f>IFERROR(AR31*$BS$2+BM31*$BS$4+W31*$BS$3,VLOOKUP(A31,'Updated Ncino PD'!A:K,10,FALSE))</f>
        <v>3.3811216905644696E-2</v>
      </c>
      <c r="CB31" s="390">
        <f>IFERROR(AS31*$BS$2+BN31*$BS$4+X31*$BS$3,VLOOKUP(A31,'Updated Ncino PD'!A:K,11,FALSE))</f>
        <v>4.2006487408194529E-2</v>
      </c>
      <c r="CC31" s="390">
        <f t="shared" si="36"/>
        <v>8.649695986449879E-3</v>
      </c>
      <c r="CD31" s="390">
        <f t="shared" si="36"/>
        <v>1.7152613076881217E-2</v>
      </c>
      <c r="CF31" s="450">
        <f t="shared" si="35"/>
        <v>1.2749999999999999E-2</v>
      </c>
      <c r="CG31" s="450">
        <f t="shared" si="35"/>
        <v>1.2699999999999999E-2</v>
      </c>
      <c r="CH31" s="450">
        <f t="shared" si="35"/>
        <v>1.2685E-2</v>
      </c>
      <c r="CI31" s="450">
        <f t="shared" si="35"/>
        <v>1.2684999999999998E-2</v>
      </c>
      <c r="CJ31" s="450">
        <f t="shared" si="35"/>
        <v>1.2725E-2</v>
      </c>
    </row>
    <row r="32" spans="1:88" s="355" customFormat="1" hidden="1" x14ac:dyDescent="0.25">
      <c r="A32" s="400">
        <v>1200000130</v>
      </c>
      <c r="B32" s="455" t="str">
        <f>VLOOKUP(A32,'Loan Book Summary'!C:G,5,FALSE)</f>
        <v>0015800000QSQGI</v>
      </c>
      <c r="C32" s="167">
        <f>VLOOKUP(A32,'Ref-Data'!$A:$I,9,0)</f>
        <v>1</v>
      </c>
      <c r="D32" s="445">
        <f>VLOOKUP(A32,'Adjustment Factor'!A:C,3,0)</f>
        <v>0.67840752834901008</v>
      </c>
      <c r="E32" s="446">
        <f>VLOOKUP(A32,'Ref-Data'!A:C,2,FALSE)</f>
        <v>1974999.96</v>
      </c>
      <c r="F32" s="445">
        <f>VLOOKUP(A32,'Ref-Data'!$A:$F,6,FALSE)</f>
        <v>1.9548254620123204</v>
      </c>
      <c r="G32" s="346"/>
      <c r="H32" s="273">
        <f>VLOOKUP($B32, 'Output 96% Downside'!$A:$CW,42,FALSE)</f>
        <v>2.0500000000000001E-2</v>
      </c>
      <c r="I32" s="273">
        <f>VLOOKUP($B32, 'Output 96% Downside'!$A:$CW,43,FALSE)</f>
        <v>1.9199999999999998E-2</v>
      </c>
      <c r="J32" s="273">
        <f>VLOOKUP($B32, 'Output 96% Downside'!$A:$CW,44,FALSE)</f>
        <v>1.84E-2</v>
      </c>
      <c r="K32" s="273">
        <f>VLOOKUP($B32, 'Output 96% Downside'!$A:$CW,45,FALSE)</f>
        <v>1.7899999999999999E-2</v>
      </c>
      <c r="L32" s="273">
        <f>VLOOKUP($B32, 'Output 96% Downside'!$A:$CW,46,FALSE)</f>
        <v>1.7500000000000002E-2</v>
      </c>
      <c r="M32" s="447">
        <f t="shared" si="0"/>
        <v>5.1648763210500048E-3</v>
      </c>
      <c r="N32" s="447">
        <f t="shared" si="3"/>
        <v>1.0303076694688218E-2</v>
      </c>
      <c r="O32" s="447">
        <f t="shared" si="4"/>
        <v>1.5414738898883895E-2</v>
      </c>
      <c r="P32" s="346"/>
      <c r="Q32" s="390">
        <f t="shared" si="5"/>
        <v>3.5038909791918621E-3</v>
      </c>
      <c r="R32" s="390">
        <f t="shared" si="5"/>
        <v>6.9896847948337226E-3</v>
      </c>
      <c r="S32" s="390">
        <f t="shared" si="5"/>
        <v>1.0457474916537165E-2</v>
      </c>
      <c r="T32" s="390">
        <f t="shared" si="6"/>
        <v>1.3907354331154708E-2</v>
      </c>
      <c r="U32" s="390">
        <f t="shared" si="7"/>
        <v>2.6665757672297504E-2</v>
      </c>
      <c r="V32" s="390">
        <f t="shared" si="8"/>
        <v>3.8657806252748964E-2</v>
      </c>
      <c r="W32" s="390">
        <f t="shared" si="9"/>
        <v>5.0109326278272082E-2</v>
      </c>
      <c r="X32" s="390">
        <f t="shared" si="10"/>
        <v>6.1104544814509984E-2</v>
      </c>
      <c r="Y32" s="390">
        <f t="shared" si="11"/>
        <v>1.3907354331154708E-2</v>
      </c>
      <c r="Z32" s="390">
        <f t="shared" si="12"/>
        <v>2.6665757672297504E-2</v>
      </c>
      <c r="AC32" s="273">
        <f>VLOOKUP($B32, 'Output Baseline'!$A:$CW,42,FALSE)</f>
        <v>1.12E-2</v>
      </c>
      <c r="AD32" s="273">
        <f>VLOOKUP($B32, 'Output Baseline'!$A:$CW,43,FALSE)</f>
        <v>1.14E-2</v>
      </c>
      <c r="AE32" s="273">
        <f>VLOOKUP($B32, 'Output Baseline'!$A:$CW,44,FALSE)</f>
        <v>1.15E-2</v>
      </c>
      <c r="AF32" s="273">
        <f>VLOOKUP($B32, 'Output Baseline'!$A:$CW,45,FALSE)</f>
        <v>1.1599999999999999E-2</v>
      </c>
      <c r="AG32" s="273">
        <f>VLOOKUP($B32, 'Output Baseline'!$A:$CW,46,FALSE)</f>
        <v>1.17E-2</v>
      </c>
      <c r="AH32" s="447">
        <f t="shared" si="13"/>
        <v>2.8118374286203451E-3</v>
      </c>
      <c r="AI32" s="447">
        <f t="shared" si="14"/>
        <v>5.615768427515655E-3</v>
      </c>
      <c r="AJ32" s="447">
        <f t="shared" si="15"/>
        <v>8.4118152282810499E-3</v>
      </c>
      <c r="AK32" s="346"/>
      <c r="AL32" s="390">
        <f t="shared" si="16"/>
        <v>1.9075716800695643E-3</v>
      </c>
      <c r="AM32" s="390">
        <f t="shared" si="16"/>
        <v>3.8097795786913025E-3</v>
      </c>
      <c r="AN32" s="390">
        <f t="shared" si="16"/>
        <v>5.7066387779467114E-3</v>
      </c>
      <c r="AO32" s="390">
        <f t="shared" si="17"/>
        <v>7.5981643175089125E-3</v>
      </c>
      <c r="AP32" s="390">
        <f t="shared" si="18"/>
        <v>1.524539106746802E-2</v>
      </c>
      <c r="AQ32" s="390">
        <f t="shared" si="19"/>
        <v>2.2871755646205756E-2</v>
      </c>
      <c r="AR32" s="390">
        <f t="shared" si="20"/>
        <v>3.0475970609558308E-2</v>
      </c>
      <c r="AS32" s="390">
        <f t="shared" si="21"/>
        <v>3.8056769835109916E-2</v>
      </c>
      <c r="AT32" s="390">
        <f t="shared" si="22"/>
        <v>7.5981643175089125E-3</v>
      </c>
      <c r="AU32" s="390">
        <f t="shared" si="23"/>
        <v>1.524539106746802E-2</v>
      </c>
      <c r="AX32" s="273">
        <f>VLOOKUP($B32, 'Output 90% Downside'!$A:$CW,42,FALSE)</f>
        <v>1.43E-2</v>
      </c>
      <c r="AY32" s="273">
        <f>VLOOKUP($B32, 'Output 90% Downside'!$A:$CW,43,FALSE)</f>
        <v>1.4E-2</v>
      </c>
      <c r="AZ32" s="273">
        <f>VLOOKUP($B32, 'Output 90% Downside'!$A:$CW,44,FALSE)</f>
        <v>1.3899999999999999E-2</v>
      </c>
      <c r="BA32" s="273">
        <f>VLOOKUP($B32, 'Output 90% Downside'!$A:$CW,45,FALSE)</f>
        <v>1.38E-2</v>
      </c>
      <c r="BB32" s="273">
        <f>VLOOKUP($B32, 'Output 90% Downside'!$A:$CW,46,FALSE)</f>
        <v>1.38E-2</v>
      </c>
      <c r="BC32" s="447">
        <f t="shared" si="24"/>
        <v>3.5943324443148406E-3</v>
      </c>
      <c r="BD32" s="447">
        <f t="shared" si="25"/>
        <v>7.1757456629094607E-3</v>
      </c>
      <c r="BE32" s="447">
        <f t="shared" si="26"/>
        <v>1.0744286091775912E-2</v>
      </c>
      <c r="BF32" s="346"/>
      <c r="BG32" s="390">
        <f t="shared" si="27"/>
        <v>2.4384221896122868E-3</v>
      </c>
      <c r="BH32" s="390">
        <f t="shared" si="27"/>
        <v>4.8680798792355359E-3</v>
      </c>
      <c r="BI32" s="390">
        <f t="shared" si="27"/>
        <v>7.2890045713963417E-3</v>
      </c>
      <c r="BJ32" s="390">
        <f t="shared" si="28"/>
        <v>9.7012276553908438E-3</v>
      </c>
      <c r="BK32" s="390">
        <f t="shared" si="29"/>
        <v>1.906311586510152E-2</v>
      </c>
      <c r="BL32" s="390">
        <f t="shared" si="30"/>
        <v>2.822800319862789E-2</v>
      </c>
      <c r="BM32" s="390">
        <f t="shared" si="31"/>
        <v>3.7200480645703173E-2</v>
      </c>
      <c r="BN32" s="390">
        <f t="shared" si="32"/>
        <v>4.6049137904008809E-2</v>
      </c>
      <c r="BO32" s="390">
        <f t="shared" si="33"/>
        <v>9.7012276553908438E-3</v>
      </c>
      <c r="BP32" s="390">
        <f t="shared" si="34"/>
        <v>1.906311586510152E-2</v>
      </c>
      <c r="BQ32" s="347"/>
      <c r="BU32" s="390">
        <f>IFERROR(AL32*$BS$2+BG32*$BS$4+Q32*$BS$3,VLOOKUP(A32,'Updated Ncino PD'!A:K,4,FALSE))</f>
        <v>2.1731853233656322E-3</v>
      </c>
      <c r="BV32" s="390">
        <f>IFERROR(AM32*$BS$2+BH32*$BS$4+R32*$BS$3,VLOOKUP(A32,'Updated Ncino PD'!A:K,5,FALSE))</f>
        <v>4.3391799446889047E-3</v>
      </c>
      <c r="BW32" s="390">
        <f>IFERROR(AN32*$BS$2+BI32*$BS$4+S32*$BS$3,VLOOKUP(A32,'Updated Ncino PD'!A:K,6,FALSE))</f>
        <v>6.4980086125836049E-3</v>
      </c>
      <c r="BX32" s="390">
        <f>IFERROR(AO32*$BS$2+BJ32*$BS$4+T32*$BS$3,VLOOKUP(A32,'Updated Ncino PD'!A:K,7,FALSE))</f>
        <v>8.649695986449879E-3</v>
      </c>
      <c r="BY32" s="390">
        <f>IFERROR(AP32*$BS$2+BK32*$BS$4+U32*$BS$3,VLOOKUP(A32,'Updated Ncino PD'!A:K,8,FALSE))</f>
        <v>1.7152613076881217E-2</v>
      </c>
      <c r="BZ32" s="390">
        <f>IFERROR(AQ32*$BS$2+BL32*$BS$4+V32*$BS$3,VLOOKUP(A32,'Updated Ncino PD'!A:K,9,FALSE))</f>
        <v>2.5535744819880659E-2</v>
      </c>
      <c r="CA32" s="390">
        <f>IFERROR(AR32*$BS$2+BM32*$BS$4+W32*$BS$3,VLOOKUP(A32,'Updated Ncino PD'!A:K,10,FALSE))</f>
        <v>3.3811216905644696E-2</v>
      </c>
      <c r="CB32" s="390">
        <f>IFERROR(AS32*$BS$2+BN32*$BS$4+X32*$BS$3,VLOOKUP(A32,'Updated Ncino PD'!A:K,11,FALSE))</f>
        <v>4.2006487408194529E-2</v>
      </c>
      <c r="CC32" s="390">
        <f t="shared" si="36"/>
        <v>8.649695986449879E-3</v>
      </c>
      <c r="CD32" s="390">
        <f t="shared" si="36"/>
        <v>1.7152613076881217E-2</v>
      </c>
      <c r="CF32" s="450">
        <f t="shared" si="35"/>
        <v>1.2749999999999999E-2</v>
      </c>
      <c r="CG32" s="450">
        <f t="shared" si="35"/>
        <v>1.2699999999999999E-2</v>
      </c>
      <c r="CH32" s="450">
        <f t="shared" si="35"/>
        <v>1.2685E-2</v>
      </c>
      <c r="CI32" s="450">
        <f t="shared" si="35"/>
        <v>1.2684999999999998E-2</v>
      </c>
      <c r="CJ32" s="450">
        <f t="shared" si="35"/>
        <v>1.2725E-2</v>
      </c>
    </row>
    <row r="33" spans="1:88" s="355" customFormat="1" hidden="1" x14ac:dyDescent="0.25">
      <c r="A33" s="400">
        <v>1200000001</v>
      </c>
      <c r="B33" s="455" t="str">
        <f>VLOOKUP(A33,'Loan Book Summary'!C:G,5,FALSE)</f>
        <v>0014I00001pussv</v>
      </c>
      <c r="C33" s="167">
        <f>VLOOKUP(A33,'Ref-Data'!$A:$I,9,0)</f>
        <v>1</v>
      </c>
      <c r="D33" s="445">
        <f>VLOOKUP(A33,'Adjustment Factor'!A:C,3,0)</f>
        <v>1.89</v>
      </c>
      <c r="E33" s="446">
        <f>VLOOKUP(A33,'Ref-Data'!A:C,2,FALSE)</f>
        <v>529567.98</v>
      </c>
      <c r="F33" s="445">
        <f>VLOOKUP(A33,'Ref-Data'!$A:$F,6,FALSE)</f>
        <v>2.3655030800821355</v>
      </c>
      <c r="G33" s="346"/>
      <c r="H33" s="273">
        <f>VLOOKUP($B33, 'Output 96% Downside'!$A:$CW,42,FALSE)</f>
        <v>1.9E-3</v>
      </c>
      <c r="I33" s="273">
        <f>VLOOKUP($B33, 'Output 96% Downside'!$A:$CW,43,FALSE)</f>
        <v>2.0999999999999999E-3</v>
      </c>
      <c r="J33" s="273">
        <f>VLOOKUP($B33, 'Output 96% Downside'!$A:$CW,44,FALSE)</f>
        <v>2.3E-3</v>
      </c>
      <c r="K33" s="273">
        <f>VLOOKUP($B33, 'Output 96% Downside'!$A:$CW,45,FALSE)</f>
        <v>2.3999999999999998E-3</v>
      </c>
      <c r="L33" s="273">
        <f>VLOOKUP($B33, 'Output 96% Downside'!$A:$CW,46,FALSE)</f>
        <v>2.5000000000000001E-3</v>
      </c>
      <c r="M33" s="447">
        <f t="shared" si="0"/>
        <v>4.7533881309225201E-4</v>
      </c>
      <c r="N33" s="447">
        <f t="shared" si="3"/>
        <v>9.504516791972728E-4</v>
      </c>
      <c r="O33" s="447">
        <f t="shared" si="4"/>
        <v>1.4253387057164835E-3</v>
      </c>
      <c r="P33" s="346"/>
      <c r="Q33" s="390">
        <f t="shared" si="5"/>
        <v>8.9839035674435627E-4</v>
      </c>
      <c r="R33" s="390">
        <f t="shared" si="5"/>
        <v>1.7963536736828455E-3</v>
      </c>
      <c r="S33" s="390">
        <f t="shared" si="5"/>
        <v>2.6938901538041534E-3</v>
      </c>
      <c r="T33" s="390">
        <f t="shared" si="6"/>
        <v>3.591E-3</v>
      </c>
      <c r="U33" s="390">
        <f t="shared" si="7"/>
        <v>7.5524589000000942E-3</v>
      </c>
      <c r="V33" s="390">
        <f t="shared" si="8"/>
        <v>1.1882088244530046E-2</v>
      </c>
      <c r="W33" s="390">
        <f t="shared" si="9"/>
        <v>1.638957123274306E-2</v>
      </c>
      <c r="X33" s="390">
        <f t="shared" si="10"/>
        <v>2.1073597304661063E-2</v>
      </c>
      <c r="Y33" s="390">
        <f t="shared" si="11"/>
        <v>3.591E-3</v>
      </c>
      <c r="Z33" s="390">
        <f t="shared" si="12"/>
        <v>1.1882088244530046E-2</v>
      </c>
      <c r="AC33" s="273">
        <f>VLOOKUP($B33, 'Output Baseline'!$A:$CW,42,FALSE)</f>
        <v>1.8E-3</v>
      </c>
      <c r="AD33" s="273">
        <f>VLOOKUP($B33, 'Output Baseline'!$A:$CW,43,FALSE)</f>
        <v>2E-3</v>
      </c>
      <c r="AE33" s="273">
        <f>VLOOKUP($B33, 'Output Baseline'!$A:$CW,44,FALSE)</f>
        <v>2.0999999999999999E-3</v>
      </c>
      <c r="AF33" s="273">
        <f>VLOOKUP($B33, 'Output Baseline'!$A:$CW,45,FALSE)</f>
        <v>2.3E-3</v>
      </c>
      <c r="AG33" s="273">
        <f>VLOOKUP($B33, 'Output Baseline'!$A:$CW,46,FALSE)</f>
        <v>2.3E-3</v>
      </c>
      <c r="AH33" s="447">
        <f t="shared" si="13"/>
        <v>4.5030406933277423E-4</v>
      </c>
      <c r="AI33" s="447">
        <f t="shared" si="14"/>
        <v>9.0040536491065026E-4</v>
      </c>
      <c r="AJ33" s="447">
        <f t="shared" si="15"/>
        <v>1.3503039780435877E-3</v>
      </c>
      <c r="AK33" s="346"/>
      <c r="AL33" s="390">
        <f t="shared" si="16"/>
        <v>8.5107469103894325E-4</v>
      </c>
      <c r="AM33" s="390">
        <f t="shared" si="16"/>
        <v>1.7017661396811288E-3</v>
      </c>
      <c r="AN33" s="390">
        <f t="shared" si="16"/>
        <v>2.5520745185023804E-3</v>
      </c>
      <c r="AO33" s="390">
        <f t="shared" si="17"/>
        <v>3.4019999999999996E-3</v>
      </c>
      <c r="AP33" s="390">
        <f t="shared" si="18"/>
        <v>7.1751960000000625E-3</v>
      </c>
      <c r="AQ33" s="390">
        <f t="shared" si="19"/>
        <v>1.1129128088400143E-2</v>
      </c>
      <c r="AR33" s="390">
        <f t="shared" si="20"/>
        <v>1.5450531093796778E-2</v>
      </c>
      <c r="AS33" s="390">
        <f t="shared" si="21"/>
        <v>1.9761994872281047E-2</v>
      </c>
      <c r="AT33" s="390">
        <f t="shared" si="22"/>
        <v>3.4019999999999996E-3</v>
      </c>
      <c r="AU33" s="390">
        <f t="shared" si="23"/>
        <v>1.1129128088400143E-2</v>
      </c>
      <c r="AX33" s="273">
        <f>VLOOKUP($B33, 'Output 90% Downside'!$A:$CW,42,FALSE)</f>
        <v>1.8E-3</v>
      </c>
      <c r="AY33" s="273">
        <f>VLOOKUP($B33, 'Output 90% Downside'!$A:$CW,43,FALSE)</f>
        <v>2E-3</v>
      </c>
      <c r="AZ33" s="273">
        <f>VLOOKUP($B33, 'Output 90% Downside'!$A:$CW,44,FALSE)</f>
        <v>2.2000000000000001E-3</v>
      </c>
      <c r="BA33" s="273">
        <f>VLOOKUP($B33, 'Output 90% Downside'!$A:$CW,45,FALSE)</f>
        <v>2.3E-3</v>
      </c>
      <c r="BB33" s="273">
        <f>VLOOKUP($B33, 'Output 90% Downside'!$A:$CW,46,FALSE)</f>
        <v>2.3999999999999998E-3</v>
      </c>
      <c r="BC33" s="447">
        <f t="shared" si="24"/>
        <v>4.5030406933277423E-4</v>
      </c>
      <c r="BD33" s="447">
        <f t="shared" si="25"/>
        <v>9.0040536491065026E-4</v>
      </c>
      <c r="BE33" s="447">
        <f t="shared" si="26"/>
        <v>1.3503039780435877E-3</v>
      </c>
      <c r="BF33" s="346"/>
      <c r="BG33" s="390">
        <f t="shared" si="27"/>
        <v>8.5107469103894325E-4</v>
      </c>
      <c r="BH33" s="390">
        <f t="shared" si="27"/>
        <v>1.7017661396811288E-3</v>
      </c>
      <c r="BI33" s="390">
        <f t="shared" si="27"/>
        <v>2.5520745185023804E-3</v>
      </c>
      <c r="BJ33" s="390">
        <f t="shared" si="28"/>
        <v>3.4019999999999996E-3</v>
      </c>
      <c r="BK33" s="390">
        <f t="shared" si="29"/>
        <v>7.1751960000000625E-3</v>
      </c>
      <c r="BL33" s="390">
        <f t="shared" si="30"/>
        <v>1.1317410568799927E-2</v>
      </c>
      <c r="BM33" s="390">
        <f t="shared" si="31"/>
        <v>1.5638380524491725E-2</v>
      </c>
      <c r="BN33" s="390">
        <f t="shared" si="32"/>
        <v>2.0136848411232838E-2</v>
      </c>
      <c r="BO33" s="390">
        <f t="shared" si="33"/>
        <v>3.4019999999999996E-3</v>
      </c>
      <c r="BP33" s="390">
        <f t="shared" si="34"/>
        <v>1.1317410568799927E-2</v>
      </c>
      <c r="BQ33" s="347"/>
      <c r="BU33" s="390">
        <f>IFERROR(AL33*$BS$2+BG33*$BS$4+Q33*$BS$3,VLOOKUP(A33,'Updated Ncino PD'!A:K,4,FALSE))</f>
        <v>8.5344047432421382E-4</v>
      </c>
      <c r="BV33" s="390">
        <f>IFERROR(AM33*$BS$2+BH33*$BS$4+R33*$BS$3,VLOOKUP(A33,'Updated Ncino PD'!A:K,5,FALSE))</f>
        <v>1.7064955163812146E-3</v>
      </c>
      <c r="BW33" s="390">
        <f>IFERROR(AN33*$BS$2+BI33*$BS$4+S33*$BS$3,VLOOKUP(A33,'Updated Ncino PD'!A:K,6,FALSE))</f>
        <v>2.5591653002674693E-3</v>
      </c>
      <c r="BX33" s="390">
        <f>IFERROR(AO33*$BS$2+BJ33*$BS$4+T33*$BS$3,VLOOKUP(A33,'Updated Ncino PD'!A:K,7,FALSE))</f>
        <v>3.4114499999999995E-3</v>
      </c>
      <c r="BY33" s="390">
        <f>IFERROR(AP33*$BS$2+BK33*$BS$4+U33*$BS$3,VLOOKUP(A33,'Updated Ncino PD'!A:K,8,FALSE))</f>
        <v>7.1940591450000632E-3</v>
      </c>
      <c r="BZ33" s="390">
        <f>IFERROR(AQ33*$BS$2+BL33*$BS$4+V33*$BS$3,VLOOKUP(A33,'Updated Ncino PD'!A:K,9,FALSE))</f>
        <v>1.1232674964346562E-2</v>
      </c>
      <c r="CA33" s="390">
        <f>IFERROR(AR33*$BS$2+BM33*$BS$4+W33*$BS$3,VLOOKUP(A33,'Updated Ncino PD'!A:K,10,FALSE))</f>
        <v>1.5563230401487323E-2</v>
      </c>
      <c r="CB33" s="390">
        <f>IFERROR(AS33*$BS$2+BN33*$BS$4+X33*$BS$3,VLOOKUP(A33,'Updated Ncino PD'!A:K,11,FALSE))</f>
        <v>1.9958773732533176E-2</v>
      </c>
      <c r="CC33" s="390">
        <f t="shared" si="36"/>
        <v>3.4114499999999995E-3</v>
      </c>
      <c r="CD33" s="390">
        <f t="shared" si="36"/>
        <v>1.1232674964346562E-2</v>
      </c>
      <c r="CF33" s="450">
        <f t="shared" si="35"/>
        <v>1.805E-3</v>
      </c>
      <c r="CG33" s="450">
        <f t="shared" si="35"/>
        <v>2.0049999999999998E-3</v>
      </c>
      <c r="CH33" s="450">
        <f t="shared" si="35"/>
        <v>2.1449999999999998E-3</v>
      </c>
      <c r="CI33" s="450">
        <f t="shared" si="35"/>
        <v>2.3049999999999998E-3</v>
      </c>
      <c r="CJ33" s="450">
        <f t="shared" si="35"/>
        <v>2.3449999999999999E-3</v>
      </c>
    </row>
    <row r="34" spans="1:88" s="355" customFormat="1" hidden="1" x14ac:dyDescent="0.25">
      <c r="A34" s="400">
        <v>1200000131</v>
      </c>
      <c r="B34" s="455" t="str">
        <f>VLOOKUP(A34,'Loan Book Summary'!C:G,5,FALSE)</f>
        <v>0014I00001lzk4N</v>
      </c>
      <c r="C34" s="167">
        <f>VLOOKUP(A34,'Ref-Data'!$A:$I,9,0)</f>
        <v>1</v>
      </c>
      <c r="D34" s="445">
        <f>VLOOKUP(A34,'Adjustment Factor'!A:C,3,0)</f>
        <v>0.65</v>
      </c>
      <c r="E34" s="446">
        <f>VLOOKUP(A34,'Ref-Data'!A:C,2,FALSE)</f>
        <v>4262424.9000000004</v>
      </c>
      <c r="F34" s="445">
        <f>VLOOKUP(A34,'Ref-Data'!$A:$F,6,FALSE)</f>
        <v>4.0027378507871321</v>
      </c>
      <c r="G34" s="346"/>
      <c r="H34" s="273">
        <f>VLOOKUP($B34, 'Output 96% Downside'!$A:$CW,42,FALSE)</f>
        <v>3.9100000000000003E-2</v>
      </c>
      <c r="I34" s="273">
        <f>VLOOKUP($B34, 'Output 96% Downside'!$A:$CW,43,FALSE)</f>
        <v>3.2800000000000003E-2</v>
      </c>
      <c r="J34" s="273">
        <f>VLOOKUP($B34, 'Output 96% Downside'!$A:$CW,44,FALSE)</f>
        <v>2.9499999999999998E-2</v>
      </c>
      <c r="K34" s="273">
        <f>VLOOKUP($B34, 'Output 96% Downside'!$A:$CW,45,FALSE)</f>
        <v>2.7400000000000001E-2</v>
      </c>
      <c r="L34" s="273">
        <f>VLOOKUP($B34, 'Output 96% Downside'!$A:$CW,46,FALSE)</f>
        <v>2.5899999999999999E-2</v>
      </c>
      <c r="M34" s="447">
        <f t="shared" si="0"/>
        <v>9.9216854981222236E-3</v>
      </c>
      <c r="N34" s="447">
        <f t="shared" si="3"/>
        <v>1.9744931153120815E-2</v>
      </c>
      <c r="O34" s="447">
        <f t="shared" si="4"/>
        <v>2.9470713654159653E-2</v>
      </c>
      <c r="P34" s="346"/>
      <c r="Q34" s="390">
        <f t="shared" si="5"/>
        <v>6.4490955737794451E-3</v>
      </c>
      <c r="R34" s="390">
        <f t="shared" si="5"/>
        <v>1.2834205249528529E-2</v>
      </c>
      <c r="S34" s="390">
        <f t="shared" si="5"/>
        <v>1.9155963875203776E-2</v>
      </c>
      <c r="T34" s="390">
        <f t="shared" si="6"/>
        <v>2.5415000000000004E-2</v>
      </c>
      <c r="U34" s="390">
        <f t="shared" si="7"/>
        <v>4.5901388000000064E-2</v>
      </c>
      <c r="V34" s="390">
        <f t="shared" si="8"/>
        <v>6.3722297054000038E-2</v>
      </c>
      <c r="W34" s="390">
        <f t="shared" si="9"/>
        <v>7.9786306114720457E-2</v>
      </c>
      <c r="X34" s="390">
        <f t="shared" si="10"/>
        <v>9.4554840786349237E-2</v>
      </c>
      <c r="Y34" s="390">
        <f t="shared" si="11"/>
        <v>2.5415000000000004E-2</v>
      </c>
      <c r="Z34" s="390">
        <f t="shared" si="12"/>
        <v>9.4554840786349237E-2</v>
      </c>
      <c r="AC34" s="273">
        <f>VLOOKUP($B34, 'Output Baseline'!$A:$CW,42,FALSE)</f>
        <v>1.2E-2</v>
      </c>
      <c r="AD34" s="273">
        <f>VLOOKUP($B34, 'Output Baseline'!$A:$CW,43,FALSE)</f>
        <v>1.17E-2</v>
      </c>
      <c r="AE34" s="273">
        <f>VLOOKUP($B34, 'Output Baseline'!$A:$CW,44,FALSE)</f>
        <v>1.15E-2</v>
      </c>
      <c r="AF34" s="273">
        <f>VLOOKUP($B34, 'Output Baseline'!$A:$CW,45,FALSE)</f>
        <v>1.1299999999999999E-2</v>
      </c>
      <c r="AG34" s="273">
        <f>VLOOKUP($B34, 'Output Baseline'!$A:$CW,46,FALSE)</f>
        <v>1.12E-2</v>
      </c>
      <c r="AH34" s="447">
        <f t="shared" si="13"/>
        <v>3.0135952867089699E-3</v>
      </c>
      <c r="AI34" s="447">
        <f t="shared" si="14"/>
        <v>6.0181088168658192E-3</v>
      </c>
      <c r="AJ34" s="447">
        <f t="shared" si="15"/>
        <v>9.0135679592093787E-3</v>
      </c>
      <c r="AK34" s="346"/>
      <c r="AL34" s="390">
        <f t="shared" si="16"/>
        <v>1.9588369363608307E-3</v>
      </c>
      <c r="AM34" s="390">
        <f t="shared" si="16"/>
        <v>3.9117707309627827E-3</v>
      </c>
      <c r="AN34" s="390">
        <f t="shared" si="16"/>
        <v>5.8588191734860965E-3</v>
      </c>
      <c r="AO34" s="390">
        <f t="shared" si="17"/>
        <v>7.8000000000000005E-3</v>
      </c>
      <c r="AP34" s="390">
        <f t="shared" si="18"/>
        <v>1.531374000000001E-2</v>
      </c>
      <c r="AQ34" s="390">
        <f t="shared" si="19"/>
        <v>2.2612631989999975E-2</v>
      </c>
      <c r="AR34" s="390">
        <f t="shared" si="20"/>
        <v>2.9702109248512937E-2</v>
      </c>
      <c r="AS34" s="390">
        <f t="shared" si="21"/>
        <v>3.6649445624929562E-2</v>
      </c>
      <c r="AT34" s="390">
        <f t="shared" si="22"/>
        <v>7.8000000000000005E-3</v>
      </c>
      <c r="AU34" s="390">
        <f t="shared" si="23"/>
        <v>3.6649445624929562E-2</v>
      </c>
      <c r="AX34" s="273">
        <f>VLOOKUP($B34, 'Output 90% Downside'!$A:$CW,42,FALSE)</f>
        <v>2.76E-2</v>
      </c>
      <c r="AY34" s="273">
        <f>VLOOKUP($B34, 'Output 90% Downside'!$A:$CW,43,FALSE)</f>
        <v>2.4199999999999999E-2</v>
      </c>
      <c r="AZ34" s="273">
        <f>VLOOKUP($B34, 'Output 90% Downside'!$A:$CW,44,FALSE)</f>
        <v>2.24E-2</v>
      </c>
      <c r="BA34" s="273">
        <f>VLOOKUP($B34, 'Output 90% Downside'!$A:$CW,45,FALSE)</f>
        <v>2.12E-2</v>
      </c>
      <c r="BB34" s="273">
        <f>VLOOKUP($B34, 'Output 90% Downside'!$A:$CW,46,FALSE)</f>
        <v>2.0299999999999999E-2</v>
      </c>
      <c r="BC34" s="447">
        <f t="shared" si="24"/>
        <v>6.9725870603147833E-3</v>
      </c>
      <c r="BD34" s="447">
        <f t="shared" si="25"/>
        <v>1.3896557150315902E-2</v>
      </c>
      <c r="BE34" s="447">
        <f t="shared" si="26"/>
        <v>2.077224925606147E-2</v>
      </c>
      <c r="BF34" s="346"/>
      <c r="BG34" s="390">
        <f t="shared" si="27"/>
        <v>4.5321815892046093E-3</v>
      </c>
      <c r="BH34" s="390">
        <f t="shared" si="27"/>
        <v>9.0327621477053373E-3</v>
      </c>
      <c r="BI34" s="390">
        <f t="shared" si="27"/>
        <v>1.3501962016439956E-2</v>
      </c>
      <c r="BJ34" s="390">
        <f t="shared" si="28"/>
        <v>1.7940000000000001E-2</v>
      </c>
      <c r="BK34" s="390">
        <f t="shared" si="29"/>
        <v>3.3235851999999948E-2</v>
      </c>
      <c r="BL34" s="390">
        <f t="shared" si="30"/>
        <v>4.7051368915199898E-2</v>
      </c>
      <c r="BM34" s="390">
        <f t="shared" si="31"/>
        <v>5.9833879894197639E-2</v>
      </c>
      <c r="BN34" s="390">
        <f t="shared" si="32"/>
        <v>7.1814252132345421E-2</v>
      </c>
      <c r="BO34" s="390">
        <f t="shared" si="33"/>
        <v>1.7940000000000001E-2</v>
      </c>
      <c r="BP34" s="390">
        <f t="shared" si="34"/>
        <v>7.1814252132345421E-2</v>
      </c>
      <c r="BQ34" s="347"/>
      <c r="BU34" s="390">
        <f>IFERROR(AL34*$BS$2+BG34*$BS$4+Q34*$BS$3,VLOOKUP(A34,'Updated Ncino PD'!A:K,4,FALSE))</f>
        <v>3.0840204967270838E-3</v>
      </c>
      <c r="BV34" s="390">
        <f>IFERROR(AM34*$BS$2+BH34*$BS$4+R34*$BS$3,VLOOKUP(A34,'Updated Ncino PD'!A:K,5,FALSE))</f>
        <v>6.1502394527509635E-3</v>
      </c>
      <c r="BW34" s="390">
        <f>IFERROR(AN34*$BS$2+BI34*$BS$4+S34*$BS$3,VLOOKUP(A34,'Updated Ncino PD'!A:K,6,FALSE))</f>
        <v>9.1987764036058316E-3</v>
      </c>
      <c r="BX34" s="390">
        <f>IFERROR(AO34*$BS$2+BJ34*$BS$4+T34*$BS$3,VLOOKUP(A34,'Updated Ncino PD'!A:K,7,FALSE))</f>
        <v>1.2229750000000001E-2</v>
      </c>
      <c r="BY34" s="390">
        <f>IFERROR(AP34*$BS$2+BK34*$BS$4+U34*$BS$3,VLOOKUP(A34,'Updated Ncino PD'!A:K,8,FALSE))</f>
        <v>2.3115861599999989E-2</v>
      </c>
      <c r="BZ34" s="390">
        <f>IFERROR(AQ34*$BS$2+BL34*$BS$4+V34*$BS$3,VLOOKUP(A34,'Updated Ncino PD'!A:K,9,FALSE))</f>
        <v>3.3221673167019954E-2</v>
      </c>
      <c r="CA34" s="390">
        <f>IFERROR(AR34*$BS$2+BM34*$BS$4+W34*$BS$3,VLOOKUP(A34,'Updated Ncino PD'!A:K,10,FALSE))</f>
        <v>4.2752438817812953E-2</v>
      </c>
      <c r="CB34" s="390">
        <f>IFERROR(AS34*$BS$2+BN34*$BS$4+X34*$BS$3,VLOOKUP(A34,'Updated Ncino PD'!A:K,11,FALSE))</f>
        <v>5.1852397660596086E-2</v>
      </c>
      <c r="CC34" s="390">
        <f t="shared" si="36"/>
        <v>1.2229750000000001E-2</v>
      </c>
      <c r="CD34" s="390">
        <f t="shared" si="36"/>
        <v>5.1852397660596086E-2</v>
      </c>
      <c r="CF34" s="450">
        <f t="shared" si="35"/>
        <v>1.8814999999999998E-2</v>
      </c>
      <c r="CG34" s="450">
        <f t="shared" si="35"/>
        <v>1.7129999999999999E-2</v>
      </c>
      <c r="CH34" s="450">
        <f t="shared" si="35"/>
        <v>1.6215E-2</v>
      </c>
      <c r="CI34" s="450">
        <f t="shared" si="35"/>
        <v>1.5569999999999999E-2</v>
      </c>
      <c r="CJ34" s="450">
        <f t="shared" si="35"/>
        <v>1.5119999999999998E-2</v>
      </c>
    </row>
    <row r="35" spans="1:88" s="355" customFormat="1" hidden="1" x14ac:dyDescent="0.25">
      <c r="A35" s="400">
        <v>1200000149</v>
      </c>
      <c r="B35" s="455" t="str">
        <f>VLOOKUP(A35,'Loan Book Summary'!C:G,5,FALSE)</f>
        <v>0015800000dRt2K</v>
      </c>
      <c r="C35" s="167">
        <f>VLOOKUP(A35,'Ref-Data'!$A:$I,9,0)</f>
        <v>1</v>
      </c>
      <c r="D35" s="445">
        <f>VLOOKUP(A35,'Adjustment Factor'!A:C,3,0)</f>
        <v>0.66190383661082652</v>
      </c>
      <c r="E35" s="446">
        <f>VLOOKUP(A35,'Ref-Data'!A:C,2,FALSE)</f>
        <v>998648</v>
      </c>
      <c r="F35" s="445">
        <f>VLOOKUP(A35,'Ref-Data'!$A:$F,6,FALSE)</f>
        <v>4.046543463381246</v>
      </c>
      <c r="G35" s="346"/>
      <c r="H35" s="273">
        <f>VLOOKUP($B35, 'Output 96% Downside'!$A:$CW,42,FALSE)</f>
        <v>2.3E-2</v>
      </c>
      <c r="I35" s="273">
        <f>VLOOKUP($B35, 'Output 96% Downside'!$A:$CW,43,FALSE)</f>
        <v>2.0199999999999999E-2</v>
      </c>
      <c r="J35" s="273">
        <f>VLOOKUP($B35, 'Output 96% Downside'!$A:$CW,44,FALSE)</f>
        <v>1.8800000000000001E-2</v>
      </c>
      <c r="K35" s="273">
        <f>VLOOKUP($B35, 'Output 96% Downside'!$A:$CW,45,FALSE)</f>
        <v>1.78E-2</v>
      </c>
      <c r="L35" s="273">
        <f>VLOOKUP($B35, 'Output 96% Downside'!$A:$CW,46,FALSE)</f>
        <v>1.7100000000000001E-2</v>
      </c>
      <c r="M35" s="447">
        <f t="shared" si="0"/>
        <v>5.8002698390401397E-3</v>
      </c>
      <c r="N35" s="447">
        <f t="shared" si="3"/>
        <v>1.1566896547874572E-2</v>
      </c>
      <c r="O35" s="447">
        <f t="shared" si="4"/>
        <v>1.7300075265736736E-2</v>
      </c>
      <c r="P35" s="346"/>
      <c r="Q35" s="390">
        <f t="shared" si="5"/>
        <v>3.8392208598387297E-3</v>
      </c>
      <c r="R35" s="390">
        <f t="shared" si="5"/>
        <v>7.6561732027187043E-3</v>
      </c>
      <c r="S35" s="390">
        <f t="shared" si="5"/>
        <v>1.145098619204721E-2</v>
      </c>
      <c r="T35" s="390">
        <f t="shared" si="6"/>
        <v>1.522378824204901E-2</v>
      </c>
      <c r="U35" s="390">
        <f t="shared" si="7"/>
        <v>2.8286725219098301E-2</v>
      </c>
      <c r="V35" s="390">
        <f t="shared" si="8"/>
        <v>4.019872691326281E-2</v>
      </c>
      <c r="W35" s="390">
        <f t="shared" si="9"/>
        <v>5.1265077865879444E-2</v>
      </c>
      <c r="X35" s="390">
        <f t="shared" si="10"/>
        <v>6.1707000640418057E-2</v>
      </c>
      <c r="Y35" s="390">
        <f t="shared" si="11"/>
        <v>1.522378824204901E-2</v>
      </c>
      <c r="Z35" s="390">
        <f t="shared" si="12"/>
        <v>6.1707000640418057E-2</v>
      </c>
      <c r="AC35" s="273">
        <f>VLOOKUP($B35, 'Output Baseline'!$A:$CW,42,FALSE)</f>
        <v>1.2E-2</v>
      </c>
      <c r="AD35" s="273">
        <f>VLOOKUP($B35, 'Output Baseline'!$A:$CW,43,FALSE)</f>
        <v>1.18E-2</v>
      </c>
      <c r="AE35" s="273">
        <f>VLOOKUP($B35, 'Output Baseline'!$A:$CW,44,FALSE)</f>
        <v>1.17E-2</v>
      </c>
      <c r="AF35" s="273">
        <f>VLOOKUP($B35, 'Output Baseline'!$A:$CW,45,FALSE)</f>
        <v>1.1599999999999999E-2</v>
      </c>
      <c r="AG35" s="273">
        <f>VLOOKUP($B35, 'Output Baseline'!$A:$CW,46,FALSE)</f>
        <v>1.1599999999999999E-2</v>
      </c>
      <c r="AH35" s="447">
        <f t="shared" si="13"/>
        <v>3.0135952867089699E-3</v>
      </c>
      <c r="AI35" s="447">
        <f t="shared" si="14"/>
        <v>6.0181088168658192E-3</v>
      </c>
      <c r="AJ35" s="447">
        <f t="shared" si="15"/>
        <v>9.0135679592093787E-3</v>
      </c>
      <c r="AK35" s="346"/>
      <c r="AL35" s="390">
        <f t="shared" si="16"/>
        <v>1.9947102822649707E-3</v>
      </c>
      <c r="AM35" s="390">
        <f t="shared" si="16"/>
        <v>3.9834093150249274E-3</v>
      </c>
      <c r="AN35" s="390">
        <f t="shared" si="16"/>
        <v>5.9661152137531056E-3</v>
      </c>
      <c r="AO35" s="390">
        <f t="shared" si="17"/>
        <v>7.9428460393299177E-3</v>
      </c>
      <c r="AP35" s="390">
        <f t="shared" si="18"/>
        <v>1.5659585728073629E-2</v>
      </c>
      <c r="AQ35" s="390">
        <f t="shared" si="19"/>
        <v>2.3220643463401858E-2</v>
      </c>
      <c r="AR35" s="390">
        <f t="shared" si="20"/>
        <v>3.0629368503911986E-2</v>
      </c>
      <c r="AS35" s="390">
        <f t="shared" si="21"/>
        <v>3.7952152333952244E-2</v>
      </c>
      <c r="AT35" s="390">
        <f t="shared" si="22"/>
        <v>7.9428460393299177E-3</v>
      </c>
      <c r="AU35" s="390">
        <f t="shared" si="23"/>
        <v>3.7952152333952244E-2</v>
      </c>
      <c r="AX35" s="273">
        <f>VLOOKUP($B35, 'Output 90% Downside'!$A:$CW,42,FALSE)</f>
        <v>1.4999999999999999E-2</v>
      </c>
      <c r="AY35" s="273">
        <f>VLOOKUP($B35, 'Output 90% Downside'!$A:$CW,43,FALSE)</f>
        <v>1.43E-2</v>
      </c>
      <c r="AZ35" s="273">
        <f>VLOOKUP($B35, 'Output 90% Downside'!$A:$CW,44,FALSE)</f>
        <v>1.4E-2</v>
      </c>
      <c r="BA35" s="273">
        <f>VLOOKUP($B35, 'Output 90% Downside'!$A:$CW,45,FALSE)</f>
        <v>1.37E-2</v>
      </c>
      <c r="BB35" s="273">
        <f>VLOOKUP($B35, 'Output 90% Downside'!$A:$CW,46,FALSE)</f>
        <v>1.35E-2</v>
      </c>
      <c r="BC35" s="447">
        <f t="shared" si="24"/>
        <v>3.7712802453643279E-3</v>
      </c>
      <c r="BD35" s="447">
        <f t="shared" si="25"/>
        <v>7.5283379360395752E-3</v>
      </c>
      <c r="BE35" s="447">
        <f t="shared" si="26"/>
        <v>1.1271226709265281E-2</v>
      </c>
      <c r="BF35" s="346"/>
      <c r="BG35" s="390">
        <f t="shared" si="27"/>
        <v>2.4962248633412678E-3</v>
      </c>
      <c r="BH35" s="390">
        <f t="shared" si="27"/>
        <v>4.9830357631674262E-3</v>
      </c>
      <c r="BI35" s="390">
        <f t="shared" si="27"/>
        <v>7.4604682021731103E-3</v>
      </c>
      <c r="BJ35" s="390">
        <f t="shared" si="28"/>
        <v>9.9285575491623972E-3</v>
      </c>
      <c r="BK35" s="390">
        <f t="shared" si="29"/>
        <v>1.9251804039744184E-2</v>
      </c>
      <c r="BL35" s="390">
        <f t="shared" si="30"/>
        <v>2.8248932495739329E-2</v>
      </c>
      <c r="BM35" s="390">
        <f t="shared" si="31"/>
        <v>3.6930004682116081E-2</v>
      </c>
      <c r="BN35" s="390">
        <f t="shared" si="32"/>
        <v>4.5367151413153659E-2</v>
      </c>
      <c r="BO35" s="390">
        <f t="shared" si="33"/>
        <v>9.9285575491623972E-3</v>
      </c>
      <c r="BP35" s="390">
        <f t="shared" si="34"/>
        <v>4.5367151413153659E-2</v>
      </c>
      <c r="BQ35" s="347"/>
      <c r="BU35" s="390">
        <f>IFERROR(AL35*$BS$2+BG35*$BS$4+Q35*$BS$3,VLOOKUP(A35,'Updated Ncino PD'!A:K,4,FALSE))</f>
        <v>2.2624659145203626E-3</v>
      </c>
      <c r="BV35" s="390">
        <f>IFERROR(AM35*$BS$2+BH35*$BS$4+R35*$BS$3,VLOOKUP(A35,'Updated Ncino PD'!A:K,5,FALSE))</f>
        <v>4.5169167662594909E-3</v>
      </c>
      <c r="BW35" s="390">
        <f>IFERROR(AN35*$BS$2+BI35*$BS$4+S35*$BS$3,VLOOKUP(A35,'Updated Ncino PD'!A:K,6,FALSE))</f>
        <v>6.7633823086148117E-3</v>
      </c>
      <c r="BX35" s="390">
        <f>IFERROR(AO35*$BS$2+BJ35*$BS$4+T35*$BS$3,VLOOKUP(A35,'Updated Ncino PD'!A:K,7,FALSE))</f>
        <v>9.0018921779072385E-3</v>
      </c>
      <c r="BY35" s="390">
        <f>IFERROR(AP35*$BS$2+BK35*$BS$4+U35*$BS$3,VLOOKUP(A35,'Updated Ncino PD'!A:K,8,FALSE))</f>
        <v>1.7548219111709559E-2</v>
      </c>
      <c r="BZ35" s="390">
        <f>IFERROR(AQ35*$BS$2+BL35*$BS$4+V35*$BS$3,VLOOKUP(A35,'Updated Ncino PD'!A:K,9,FALSE))</f>
        <v>2.5829448797213023E-2</v>
      </c>
      <c r="CA35" s="390">
        <f>IFERROR(AR35*$BS$2+BM35*$BS$4+W35*$BS$3,VLOOKUP(A35,'Updated Ncino PD'!A:K,10,FALSE))</f>
        <v>3.3866376634381794E-2</v>
      </c>
      <c r="CB35" s="390">
        <f>IFERROR(AS35*$BS$2+BN35*$BS$4+X35*$BS$3,VLOOKUP(A35,'Updated Ncino PD'!A:K,11,FALSE))</f>
        <v>4.1735144426996024E-2</v>
      </c>
      <c r="CC35" s="390">
        <f t="shared" si="36"/>
        <v>9.0018921779072385E-3</v>
      </c>
      <c r="CD35" s="390">
        <f t="shared" si="36"/>
        <v>4.1735144426996024E-2</v>
      </c>
      <c r="CF35" s="450">
        <f t="shared" si="35"/>
        <v>1.3599999999999999E-2</v>
      </c>
      <c r="CG35" s="450">
        <f t="shared" si="35"/>
        <v>1.3094999999999999E-2</v>
      </c>
      <c r="CH35" s="450">
        <f t="shared" si="35"/>
        <v>1.286E-2</v>
      </c>
      <c r="CI35" s="450">
        <f t="shared" si="35"/>
        <v>1.2645E-2</v>
      </c>
      <c r="CJ35" s="450">
        <f t="shared" si="35"/>
        <v>1.2539999999999999E-2</v>
      </c>
    </row>
    <row r="36" spans="1:88" s="355" customFormat="1" hidden="1" x14ac:dyDescent="0.25">
      <c r="A36" s="400">
        <v>1200000148</v>
      </c>
      <c r="B36" s="455" t="str">
        <f>VLOOKUP(A36,'Loan Book Summary'!C:G,5,FALSE)</f>
        <v>0015800000dRt2K</v>
      </c>
      <c r="C36" s="167">
        <f>VLOOKUP(A36,'Ref-Data'!$A:$I,9,0)</f>
        <v>1</v>
      </c>
      <c r="D36" s="445">
        <f>VLOOKUP(A36,'Adjustment Factor'!A:C,3,0)</f>
        <v>0.66190383661082652</v>
      </c>
      <c r="E36" s="446">
        <f>VLOOKUP(A36,'Ref-Data'!A:C,2,FALSE)</f>
        <v>2000000</v>
      </c>
      <c r="F36" s="445">
        <f>VLOOKUP(A36,'Ref-Data'!$A:$F,6,FALSE)</f>
        <v>4.046543463381246</v>
      </c>
      <c r="G36" s="346"/>
      <c r="H36" s="273">
        <f>VLOOKUP($B36, 'Output 96% Downside'!$A:$CW,42,FALSE)</f>
        <v>2.3E-2</v>
      </c>
      <c r="I36" s="273">
        <f>VLOOKUP($B36, 'Output 96% Downside'!$A:$CW,43,FALSE)</f>
        <v>2.0199999999999999E-2</v>
      </c>
      <c r="J36" s="273">
        <f>VLOOKUP($B36, 'Output 96% Downside'!$A:$CW,44,FALSE)</f>
        <v>1.8800000000000001E-2</v>
      </c>
      <c r="K36" s="273">
        <f>VLOOKUP($B36, 'Output 96% Downside'!$A:$CW,45,FALSE)</f>
        <v>1.78E-2</v>
      </c>
      <c r="L36" s="273">
        <f>VLOOKUP($B36, 'Output 96% Downside'!$A:$CW,46,FALSE)</f>
        <v>1.7100000000000001E-2</v>
      </c>
      <c r="M36" s="447">
        <f t="shared" si="0"/>
        <v>5.8002698390401397E-3</v>
      </c>
      <c r="N36" s="447">
        <f t="shared" si="3"/>
        <v>1.1566896547874572E-2</v>
      </c>
      <c r="O36" s="447">
        <f t="shared" si="4"/>
        <v>1.7300075265736736E-2</v>
      </c>
      <c r="P36" s="346"/>
      <c r="Q36" s="390">
        <f t="shared" si="5"/>
        <v>3.8392208598387297E-3</v>
      </c>
      <c r="R36" s="390">
        <f t="shared" si="5"/>
        <v>7.6561732027187043E-3</v>
      </c>
      <c r="S36" s="390">
        <f t="shared" si="5"/>
        <v>1.145098619204721E-2</v>
      </c>
      <c r="T36" s="390">
        <f t="shared" si="6"/>
        <v>1.522378824204901E-2</v>
      </c>
      <c r="U36" s="390">
        <f t="shared" si="7"/>
        <v>2.8286725219098301E-2</v>
      </c>
      <c r="V36" s="390">
        <f t="shared" si="8"/>
        <v>4.019872691326281E-2</v>
      </c>
      <c r="W36" s="390">
        <f t="shared" si="9"/>
        <v>5.1265077865879444E-2</v>
      </c>
      <c r="X36" s="390">
        <f t="shared" si="10"/>
        <v>6.1707000640418057E-2</v>
      </c>
      <c r="Y36" s="390">
        <f t="shared" si="11"/>
        <v>1.522378824204901E-2</v>
      </c>
      <c r="Z36" s="390">
        <f t="shared" si="12"/>
        <v>6.1707000640418057E-2</v>
      </c>
      <c r="AC36" s="273">
        <f>VLOOKUP($B36, 'Output Baseline'!$A:$CW,42,FALSE)</f>
        <v>1.2E-2</v>
      </c>
      <c r="AD36" s="273">
        <f>VLOOKUP($B36, 'Output Baseline'!$A:$CW,43,FALSE)</f>
        <v>1.18E-2</v>
      </c>
      <c r="AE36" s="273">
        <f>VLOOKUP($B36, 'Output Baseline'!$A:$CW,44,FALSE)</f>
        <v>1.17E-2</v>
      </c>
      <c r="AF36" s="273">
        <f>VLOOKUP($B36, 'Output Baseline'!$A:$CW,45,FALSE)</f>
        <v>1.1599999999999999E-2</v>
      </c>
      <c r="AG36" s="273">
        <f>VLOOKUP($B36, 'Output Baseline'!$A:$CW,46,FALSE)</f>
        <v>1.1599999999999999E-2</v>
      </c>
      <c r="AH36" s="447">
        <f t="shared" si="13"/>
        <v>3.0135952867089699E-3</v>
      </c>
      <c r="AI36" s="447">
        <f t="shared" si="14"/>
        <v>6.0181088168658192E-3</v>
      </c>
      <c r="AJ36" s="447">
        <f t="shared" si="15"/>
        <v>9.0135679592093787E-3</v>
      </c>
      <c r="AK36" s="346"/>
      <c r="AL36" s="390">
        <f t="shared" si="16"/>
        <v>1.9947102822649707E-3</v>
      </c>
      <c r="AM36" s="390">
        <f t="shared" si="16"/>
        <v>3.9834093150249274E-3</v>
      </c>
      <c r="AN36" s="390">
        <f t="shared" si="16"/>
        <v>5.9661152137531056E-3</v>
      </c>
      <c r="AO36" s="390">
        <f t="shared" si="17"/>
        <v>7.9428460393299177E-3</v>
      </c>
      <c r="AP36" s="390">
        <f t="shared" si="18"/>
        <v>1.5659585728073629E-2</v>
      </c>
      <c r="AQ36" s="390">
        <f t="shared" si="19"/>
        <v>2.3220643463401858E-2</v>
      </c>
      <c r="AR36" s="390">
        <f t="shared" si="20"/>
        <v>3.0629368503911986E-2</v>
      </c>
      <c r="AS36" s="390">
        <f t="shared" si="21"/>
        <v>3.7952152333952244E-2</v>
      </c>
      <c r="AT36" s="390">
        <f t="shared" si="22"/>
        <v>7.9428460393299177E-3</v>
      </c>
      <c r="AU36" s="390">
        <f t="shared" si="23"/>
        <v>3.7952152333952244E-2</v>
      </c>
      <c r="AX36" s="273">
        <f>VLOOKUP($B36, 'Output 90% Downside'!$A:$CW,42,FALSE)</f>
        <v>1.4999999999999999E-2</v>
      </c>
      <c r="AY36" s="273">
        <f>VLOOKUP($B36, 'Output 90% Downside'!$A:$CW,43,FALSE)</f>
        <v>1.43E-2</v>
      </c>
      <c r="AZ36" s="273">
        <f>VLOOKUP($B36, 'Output 90% Downside'!$A:$CW,44,FALSE)</f>
        <v>1.4E-2</v>
      </c>
      <c r="BA36" s="273">
        <f>VLOOKUP($B36, 'Output 90% Downside'!$A:$CW,45,FALSE)</f>
        <v>1.37E-2</v>
      </c>
      <c r="BB36" s="273">
        <f>VLOOKUP($B36, 'Output 90% Downside'!$A:$CW,46,FALSE)</f>
        <v>1.35E-2</v>
      </c>
      <c r="BC36" s="447">
        <f t="shared" si="24"/>
        <v>3.7712802453643279E-3</v>
      </c>
      <c r="BD36" s="447">
        <f t="shared" si="25"/>
        <v>7.5283379360395752E-3</v>
      </c>
      <c r="BE36" s="447">
        <f t="shared" si="26"/>
        <v>1.1271226709265281E-2</v>
      </c>
      <c r="BF36" s="346"/>
      <c r="BG36" s="390">
        <f t="shared" si="27"/>
        <v>2.4962248633412678E-3</v>
      </c>
      <c r="BH36" s="390">
        <f t="shared" si="27"/>
        <v>4.9830357631674262E-3</v>
      </c>
      <c r="BI36" s="390">
        <f t="shared" si="27"/>
        <v>7.4604682021731103E-3</v>
      </c>
      <c r="BJ36" s="390">
        <f t="shared" si="28"/>
        <v>9.9285575491623972E-3</v>
      </c>
      <c r="BK36" s="390">
        <f t="shared" si="29"/>
        <v>1.9251804039744184E-2</v>
      </c>
      <c r="BL36" s="390">
        <f t="shared" si="30"/>
        <v>2.8248932495739329E-2</v>
      </c>
      <c r="BM36" s="390">
        <f t="shared" si="31"/>
        <v>3.6930004682116081E-2</v>
      </c>
      <c r="BN36" s="390">
        <f t="shared" si="32"/>
        <v>4.5367151413153659E-2</v>
      </c>
      <c r="BO36" s="390">
        <f t="shared" si="33"/>
        <v>9.9285575491623972E-3</v>
      </c>
      <c r="BP36" s="390">
        <f t="shared" si="34"/>
        <v>4.5367151413153659E-2</v>
      </c>
      <c r="BQ36" s="347"/>
      <c r="BU36" s="390">
        <f>IFERROR(AL36*$BS$2+BG36*$BS$4+Q36*$BS$3,VLOOKUP(A36,'Updated Ncino PD'!A:K,4,FALSE))</f>
        <v>2.2624659145203626E-3</v>
      </c>
      <c r="BV36" s="390">
        <f>IFERROR(AM36*$BS$2+BH36*$BS$4+R36*$BS$3,VLOOKUP(A36,'Updated Ncino PD'!A:K,5,FALSE))</f>
        <v>4.5169167662594909E-3</v>
      </c>
      <c r="BW36" s="390">
        <f>IFERROR(AN36*$BS$2+BI36*$BS$4+S36*$BS$3,VLOOKUP(A36,'Updated Ncino PD'!A:K,6,FALSE))</f>
        <v>6.7633823086148117E-3</v>
      </c>
      <c r="BX36" s="390">
        <f>IFERROR(AO36*$BS$2+BJ36*$BS$4+T36*$BS$3,VLOOKUP(A36,'Updated Ncino PD'!A:K,7,FALSE))</f>
        <v>9.0018921779072385E-3</v>
      </c>
      <c r="BY36" s="390">
        <f>IFERROR(AP36*$BS$2+BK36*$BS$4+U36*$BS$3,VLOOKUP(A36,'Updated Ncino PD'!A:K,8,FALSE))</f>
        <v>1.7548219111709559E-2</v>
      </c>
      <c r="BZ36" s="390">
        <f>IFERROR(AQ36*$BS$2+BL36*$BS$4+V36*$BS$3,VLOOKUP(A36,'Updated Ncino PD'!A:K,9,FALSE))</f>
        <v>2.5829448797213023E-2</v>
      </c>
      <c r="CA36" s="390">
        <f>IFERROR(AR36*$BS$2+BM36*$BS$4+W36*$BS$3,VLOOKUP(A36,'Updated Ncino PD'!A:K,10,FALSE))</f>
        <v>3.3866376634381794E-2</v>
      </c>
      <c r="CB36" s="390">
        <f>IFERROR(AS36*$BS$2+BN36*$BS$4+X36*$BS$3,VLOOKUP(A36,'Updated Ncino PD'!A:K,11,FALSE))</f>
        <v>4.1735144426996024E-2</v>
      </c>
      <c r="CC36" s="390">
        <f t="shared" si="36"/>
        <v>9.0018921779072385E-3</v>
      </c>
      <c r="CD36" s="390">
        <f t="shared" si="36"/>
        <v>4.1735144426996024E-2</v>
      </c>
      <c r="CF36" s="450">
        <f t="shared" si="35"/>
        <v>1.3599999999999999E-2</v>
      </c>
      <c r="CG36" s="450">
        <f t="shared" si="35"/>
        <v>1.3094999999999999E-2</v>
      </c>
      <c r="CH36" s="450">
        <f t="shared" si="35"/>
        <v>1.286E-2</v>
      </c>
      <c r="CI36" s="450">
        <f t="shared" si="35"/>
        <v>1.2645E-2</v>
      </c>
      <c r="CJ36" s="450">
        <f t="shared" si="35"/>
        <v>1.2539999999999999E-2</v>
      </c>
    </row>
    <row r="37" spans="1:88" s="355" customFormat="1" hidden="1" x14ac:dyDescent="0.25">
      <c r="A37" s="400">
        <v>1200000125</v>
      </c>
      <c r="B37" s="455" t="str">
        <f>VLOOKUP(A37,'Loan Book Summary'!C:G,5,FALSE)</f>
        <v>00158000010bEcS</v>
      </c>
      <c r="C37" s="167">
        <f>VLOOKUP(A37,'Ref-Data'!$A:$I,9,0)</f>
        <v>1</v>
      </c>
      <c r="D37" s="445">
        <f>VLOOKUP(A37,'Adjustment Factor'!A:C,3,0)</f>
        <v>2.1329919239718182</v>
      </c>
      <c r="E37" s="446">
        <f>VLOOKUP(A37,'Ref-Data'!A:C,2,FALSE)</f>
        <v>980000</v>
      </c>
      <c r="F37" s="445">
        <f>VLOOKUP(A37,'Ref-Data'!$A:$F,6,FALSE)</f>
        <v>3.0061601642710474</v>
      </c>
      <c r="G37" s="346"/>
      <c r="H37" s="273">
        <f>VLOOKUP($B37, 'Output 96% Downside'!$A:$CW,42,FALSE)</f>
        <v>1.4E-2</v>
      </c>
      <c r="I37" s="273">
        <f>VLOOKUP($B37, 'Output 96% Downside'!$A:$CW,43,FALSE)</f>
        <v>1.2800000000000001E-2</v>
      </c>
      <c r="J37" s="273">
        <f>VLOOKUP($B37, 'Output 96% Downside'!$A:$CW,44,FALSE)</f>
        <v>1.21E-2</v>
      </c>
      <c r="K37" s="273">
        <f>VLOOKUP($B37, 'Output 96% Downside'!$A:$CW,45,FALSE)</f>
        <v>1.17E-2</v>
      </c>
      <c r="L37" s="273">
        <f>VLOOKUP($B37, 'Output 96% Downside'!$A:$CW,46,FALSE)</f>
        <v>1.1299999999999999E-2</v>
      </c>
      <c r="M37" s="447">
        <f t="shared" si="0"/>
        <v>3.5185265221873152E-3</v>
      </c>
      <c r="N37" s="447">
        <f t="shared" si="3"/>
        <v>7.0246730154872594E-3</v>
      </c>
      <c r="O37" s="447">
        <f t="shared" si="4"/>
        <v>1.0518483039359872E-2</v>
      </c>
      <c r="P37" s="346"/>
      <c r="Q37" s="390">
        <f t="shared" si="5"/>
        <v>7.5049886561061917E-3</v>
      </c>
      <c r="R37" s="390">
        <f t="shared" si="5"/>
        <v>1.4983570810577084E-2</v>
      </c>
      <c r="S37" s="390">
        <f t="shared" si="5"/>
        <v>2.2435839375389149E-2</v>
      </c>
      <c r="T37" s="390">
        <f t="shared" si="6"/>
        <v>2.9861886935605455E-2</v>
      </c>
      <c r="U37" s="390">
        <f t="shared" si="7"/>
        <v>5.6781951409668976E-2</v>
      </c>
      <c r="V37" s="390">
        <f t="shared" si="8"/>
        <v>8.1904092077671076E-2</v>
      </c>
      <c r="W37" s="390">
        <f t="shared" si="9"/>
        <v>0.10590181971083258</v>
      </c>
      <c r="X37" s="390">
        <f t="shared" si="10"/>
        <v>0.12880793788898179</v>
      </c>
      <c r="Y37" s="390">
        <f t="shared" si="11"/>
        <v>2.9861886935605455E-2</v>
      </c>
      <c r="Z37" s="390">
        <f t="shared" si="12"/>
        <v>0.10590181971083258</v>
      </c>
      <c r="AC37" s="273">
        <f>VLOOKUP($B37, 'Output Baseline'!$A:$CW,42,FALSE)</f>
        <v>5.7999999999999996E-3</v>
      </c>
      <c r="AD37" s="273">
        <f>VLOOKUP($B37, 'Output Baseline'!$A:$CW,43,FALSE)</f>
        <v>5.7999999999999996E-3</v>
      </c>
      <c r="AE37" s="273">
        <f>VLOOKUP($B37, 'Output Baseline'!$A:$CW,44,FALSE)</f>
        <v>5.7999999999999996E-3</v>
      </c>
      <c r="AF37" s="273">
        <f>VLOOKUP($B37, 'Output Baseline'!$A:$CW,45,FALSE)</f>
        <v>5.8999999999999999E-3</v>
      </c>
      <c r="AG37" s="273">
        <f>VLOOKUP($B37, 'Output Baseline'!$A:$CW,46,FALSE)</f>
        <v>5.8999999999999999E-3</v>
      </c>
      <c r="AH37" s="447">
        <f t="shared" si="13"/>
        <v>1.4531644629207641E-3</v>
      </c>
      <c r="AI37" s="447">
        <f t="shared" si="14"/>
        <v>2.9042172388852316E-3</v>
      </c>
      <c r="AJ37" s="447">
        <f t="shared" si="15"/>
        <v>4.3531613965218652E-3</v>
      </c>
      <c r="AK37" s="346"/>
      <c r="AL37" s="390">
        <f t="shared" si="16"/>
        <v>3.0995880636128345E-3</v>
      </c>
      <c r="AM37" s="390">
        <f t="shared" si="16"/>
        <v>6.194671916001932E-3</v>
      </c>
      <c r="AN37" s="390">
        <f t="shared" si="16"/>
        <v>9.285258102527021E-3</v>
      </c>
      <c r="AO37" s="390">
        <f t="shared" si="17"/>
        <v>1.2371353159036544E-2</v>
      </c>
      <c r="AP37" s="390">
        <f t="shared" si="18"/>
        <v>2.4670952469750911E-2</v>
      </c>
      <c r="AQ37" s="390">
        <f t="shared" si="19"/>
        <v>3.6899214104462959E-2</v>
      </c>
      <c r="AR37" s="390">
        <f t="shared" si="20"/>
        <v>4.9266161092680283E-2</v>
      </c>
      <c r="AS37" s="390">
        <f t="shared" si="21"/>
        <v>6.1560143093667266E-2</v>
      </c>
      <c r="AT37" s="390">
        <f t="shared" si="22"/>
        <v>1.2371353159036544E-2</v>
      </c>
      <c r="AU37" s="390">
        <f t="shared" si="23"/>
        <v>4.9266161092680283E-2</v>
      </c>
      <c r="AX37" s="273">
        <f>VLOOKUP($B37, 'Output 90% Downside'!$A:$CW,42,FALSE)</f>
        <v>0.01</v>
      </c>
      <c r="AY37" s="273">
        <f>VLOOKUP($B37, 'Output 90% Downside'!$A:$CW,43,FALSE)</f>
        <v>9.4999999999999998E-3</v>
      </c>
      <c r="AZ37" s="273">
        <f>VLOOKUP($B37, 'Output 90% Downside'!$A:$CW,44,FALSE)</f>
        <v>9.2999999999999992E-3</v>
      </c>
      <c r="BA37" s="273">
        <f>VLOOKUP($B37, 'Output 90% Downside'!$A:$CW,45,FALSE)</f>
        <v>9.1000000000000004E-3</v>
      </c>
      <c r="BB37" s="273">
        <f>VLOOKUP($B37, 'Output 90% Downside'!$A:$CW,46,FALSE)</f>
        <v>8.9999999999999993E-3</v>
      </c>
      <c r="BC37" s="447">
        <f t="shared" si="24"/>
        <v>2.509430066318874E-3</v>
      </c>
      <c r="BD37" s="447">
        <f t="shared" si="25"/>
        <v>5.0125628933800348E-3</v>
      </c>
      <c r="BE37" s="447">
        <f t="shared" si="26"/>
        <v>7.5094142836649169E-3</v>
      </c>
      <c r="BF37" s="346"/>
      <c r="BG37" s="390">
        <f t="shared" si="27"/>
        <v>5.3525940652302227E-3</v>
      </c>
      <c r="BH37" s="390">
        <f t="shared" si="27"/>
        <v>1.0691756169980424E-2</v>
      </c>
      <c r="BI37" s="390">
        <f t="shared" si="27"/>
        <v>1.6017520020815884E-2</v>
      </c>
      <c r="BJ37" s="390">
        <f t="shared" si="28"/>
        <v>2.1329919239718182E-2</v>
      </c>
      <c r="BK37" s="390">
        <f t="shared" si="29"/>
        <v>4.1390708284673144E-2</v>
      </c>
      <c r="BL37" s="390">
        <f t="shared" si="30"/>
        <v>6.084259959056347E-2</v>
      </c>
      <c r="BM37" s="390">
        <f t="shared" si="31"/>
        <v>7.9699158442432791E-2</v>
      </c>
      <c r="BN37" s="390">
        <f t="shared" si="32"/>
        <v>9.8178793332197242E-2</v>
      </c>
      <c r="BO37" s="390">
        <f t="shared" si="33"/>
        <v>2.1329919239718182E-2</v>
      </c>
      <c r="BP37" s="390">
        <f t="shared" si="34"/>
        <v>7.9699158442432791E-2</v>
      </c>
      <c r="BQ37" s="347"/>
      <c r="BU37" s="390">
        <f>IFERROR(AL37*$BS$2+BG37*$BS$4+Q37*$BS$3,VLOOKUP(A37,'Updated Ncino PD'!A:K,4,FALSE))</f>
        <v>4.1084101938035876E-3</v>
      </c>
      <c r="BV37" s="390">
        <f>IFERROR(AM37*$BS$2+BH37*$BS$4+R37*$BS$3,VLOOKUP(A37,'Updated Ncino PD'!A:K,5,FALSE))</f>
        <v>8.2080963496231618E-3</v>
      </c>
      <c r="BW37" s="390">
        <f>IFERROR(AN37*$BS$2+BI37*$BS$4+S37*$BS$3,VLOOKUP(A37,'Updated Ncino PD'!A:K,6,FALSE))</f>
        <v>1.2299078837571229E-2</v>
      </c>
      <c r="BX37" s="390">
        <f>IFERROR(AO37*$BS$2+BJ37*$BS$4+T37*$BS$3,VLOOKUP(A37,'Updated Ncino PD'!A:K,7,FALSE))</f>
        <v>1.6381377976103562E-2</v>
      </c>
      <c r="BY37" s="390">
        <f>IFERROR(AP37*$BS$2+BK37*$BS$4+U37*$BS$3,VLOOKUP(A37,'Updated Ncino PD'!A:K,8,FALSE))</f>
        <v>3.2128416951969593E-2</v>
      </c>
      <c r="BZ37" s="390">
        <f>IFERROR(AQ37*$BS$2+BL37*$BS$4+V37*$BS$3,VLOOKUP(A37,'Updated Ncino PD'!A:K,9,FALSE))</f>
        <v>4.7529642923258543E-2</v>
      </c>
      <c r="CA37" s="390">
        <f>IFERROR(AR37*$BS$2+BM37*$BS$4+W37*$BS$3,VLOOKUP(A37,'Updated Ncino PD'!A:K,10,FALSE))</f>
        <v>6.274949309600128E-2</v>
      </c>
      <c r="CB37" s="390">
        <f>IFERROR(AS37*$BS$2+BN37*$BS$4+X37*$BS$3,VLOOKUP(A37,'Updated Ncino PD'!A:K,11,FALSE))</f>
        <v>7.7739060416918471E-2</v>
      </c>
      <c r="CC37" s="390">
        <f t="shared" si="36"/>
        <v>1.6381377976103562E-2</v>
      </c>
      <c r="CD37" s="390">
        <f t="shared" si="36"/>
        <v>6.274949309600128E-2</v>
      </c>
      <c r="CF37" s="450">
        <f t="shared" si="35"/>
        <v>7.6799999999999993E-3</v>
      </c>
      <c r="CG37" s="450">
        <f t="shared" si="35"/>
        <v>7.4449999999999994E-3</v>
      </c>
      <c r="CH37" s="450">
        <f t="shared" si="35"/>
        <v>7.3399999999999993E-3</v>
      </c>
      <c r="CI37" s="450">
        <f t="shared" si="35"/>
        <v>7.3100000000000005E-3</v>
      </c>
      <c r="CJ37" s="450">
        <f t="shared" si="35"/>
        <v>7.2549999999999993E-3</v>
      </c>
    </row>
    <row r="38" spans="1:88" s="355" customFormat="1" hidden="1" x14ac:dyDescent="0.25">
      <c r="A38" s="400">
        <v>1200000124</v>
      </c>
      <c r="B38" s="455" t="str">
        <f>VLOOKUP(A38,'Loan Book Summary'!C:G,5,FALSE)</f>
        <v>00158000010bEcS</v>
      </c>
      <c r="C38" s="167">
        <f>VLOOKUP(A38,'Ref-Data'!$A:$I,9,0)</f>
        <v>1</v>
      </c>
      <c r="D38" s="445">
        <f>VLOOKUP(A38,'Adjustment Factor'!A:C,3,0)</f>
        <v>2.1329919239718182</v>
      </c>
      <c r="E38" s="446">
        <f>VLOOKUP(A38,'Ref-Data'!A:C,2,FALSE)</f>
        <v>750000</v>
      </c>
      <c r="F38" s="445">
        <f>VLOOKUP(A38,'Ref-Data'!$A:$F,6,FALSE)</f>
        <v>3.0061601642710474</v>
      </c>
      <c r="G38" s="346"/>
      <c r="H38" s="273">
        <f>VLOOKUP($B38, 'Output 96% Downside'!$A:$CW,42,FALSE)</f>
        <v>1.4E-2</v>
      </c>
      <c r="I38" s="273">
        <f>VLOOKUP($B38, 'Output 96% Downside'!$A:$CW,43,FALSE)</f>
        <v>1.2800000000000001E-2</v>
      </c>
      <c r="J38" s="273">
        <f>VLOOKUP($B38, 'Output 96% Downside'!$A:$CW,44,FALSE)</f>
        <v>1.21E-2</v>
      </c>
      <c r="K38" s="273">
        <f>VLOOKUP($B38, 'Output 96% Downside'!$A:$CW,45,FALSE)</f>
        <v>1.17E-2</v>
      </c>
      <c r="L38" s="273">
        <f>VLOOKUP($B38, 'Output 96% Downside'!$A:$CW,46,FALSE)</f>
        <v>1.1299999999999999E-2</v>
      </c>
      <c r="M38" s="447">
        <f t="shared" si="0"/>
        <v>3.5185265221873152E-3</v>
      </c>
      <c r="N38" s="447">
        <f t="shared" si="3"/>
        <v>7.0246730154872594E-3</v>
      </c>
      <c r="O38" s="447">
        <f t="shared" si="4"/>
        <v>1.0518483039359872E-2</v>
      </c>
      <c r="P38" s="346"/>
      <c r="Q38" s="390">
        <f t="shared" si="5"/>
        <v>7.5049886561061917E-3</v>
      </c>
      <c r="R38" s="390">
        <f t="shared" si="5"/>
        <v>1.4983570810577084E-2</v>
      </c>
      <c r="S38" s="390">
        <f t="shared" si="5"/>
        <v>2.2435839375389149E-2</v>
      </c>
      <c r="T38" s="390">
        <f t="shared" si="6"/>
        <v>2.9861886935605455E-2</v>
      </c>
      <c r="U38" s="390">
        <f t="shared" si="7"/>
        <v>5.6781951409668976E-2</v>
      </c>
      <c r="V38" s="390">
        <f t="shared" si="8"/>
        <v>8.1904092077671076E-2</v>
      </c>
      <c r="W38" s="390">
        <f t="shared" si="9"/>
        <v>0.10590181971083258</v>
      </c>
      <c r="X38" s="390">
        <f t="shared" si="10"/>
        <v>0.12880793788898179</v>
      </c>
      <c r="Y38" s="390">
        <f t="shared" si="11"/>
        <v>2.9861886935605455E-2</v>
      </c>
      <c r="Z38" s="390">
        <f t="shared" si="12"/>
        <v>0.10590181971083258</v>
      </c>
      <c r="AC38" s="273">
        <f>VLOOKUP($B38, 'Output Baseline'!$A:$CW,42,FALSE)</f>
        <v>5.7999999999999996E-3</v>
      </c>
      <c r="AD38" s="273">
        <f>VLOOKUP($B38, 'Output Baseline'!$A:$CW,43,FALSE)</f>
        <v>5.7999999999999996E-3</v>
      </c>
      <c r="AE38" s="273">
        <f>VLOOKUP($B38, 'Output Baseline'!$A:$CW,44,FALSE)</f>
        <v>5.7999999999999996E-3</v>
      </c>
      <c r="AF38" s="273">
        <f>VLOOKUP($B38, 'Output Baseline'!$A:$CW,45,FALSE)</f>
        <v>5.8999999999999999E-3</v>
      </c>
      <c r="AG38" s="273">
        <f>VLOOKUP($B38, 'Output Baseline'!$A:$CW,46,FALSE)</f>
        <v>5.8999999999999999E-3</v>
      </c>
      <c r="AH38" s="447">
        <f t="shared" si="13"/>
        <v>1.4531644629207641E-3</v>
      </c>
      <c r="AI38" s="447">
        <f t="shared" si="14"/>
        <v>2.9042172388852316E-3</v>
      </c>
      <c r="AJ38" s="447">
        <f t="shared" si="15"/>
        <v>4.3531613965218652E-3</v>
      </c>
      <c r="AK38" s="346"/>
      <c r="AL38" s="390">
        <f t="shared" si="16"/>
        <v>3.0995880636128345E-3</v>
      </c>
      <c r="AM38" s="390">
        <f t="shared" si="16"/>
        <v>6.194671916001932E-3</v>
      </c>
      <c r="AN38" s="390">
        <f t="shared" si="16"/>
        <v>9.285258102527021E-3</v>
      </c>
      <c r="AO38" s="390">
        <f t="shared" si="17"/>
        <v>1.2371353159036544E-2</v>
      </c>
      <c r="AP38" s="390">
        <f t="shared" si="18"/>
        <v>2.4670952469750911E-2</v>
      </c>
      <c r="AQ38" s="390">
        <f t="shared" si="19"/>
        <v>3.6899214104462959E-2</v>
      </c>
      <c r="AR38" s="390">
        <f t="shared" si="20"/>
        <v>4.9266161092680283E-2</v>
      </c>
      <c r="AS38" s="390">
        <f t="shared" si="21"/>
        <v>6.1560143093667266E-2</v>
      </c>
      <c r="AT38" s="390">
        <f t="shared" si="22"/>
        <v>1.2371353159036544E-2</v>
      </c>
      <c r="AU38" s="390">
        <f t="shared" si="23"/>
        <v>4.9266161092680283E-2</v>
      </c>
      <c r="AX38" s="273">
        <f>VLOOKUP($B38, 'Output 90% Downside'!$A:$CW,42,FALSE)</f>
        <v>0.01</v>
      </c>
      <c r="AY38" s="273">
        <f>VLOOKUP($B38, 'Output 90% Downside'!$A:$CW,43,FALSE)</f>
        <v>9.4999999999999998E-3</v>
      </c>
      <c r="AZ38" s="273">
        <f>VLOOKUP($B38, 'Output 90% Downside'!$A:$CW,44,FALSE)</f>
        <v>9.2999999999999992E-3</v>
      </c>
      <c r="BA38" s="273">
        <f>VLOOKUP($B38, 'Output 90% Downside'!$A:$CW,45,FALSE)</f>
        <v>9.1000000000000004E-3</v>
      </c>
      <c r="BB38" s="273">
        <f>VLOOKUP($B38, 'Output 90% Downside'!$A:$CW,46,FALSE)</f>
        <v>8.9999999999999993E-3</v>
      </c>
      <c r="BC38" s="447">
        <f t="shared" si="24"/>
        <v>2.509430066318874E-3</v>
      </c>
      <c r="BD38" s="447">
        <f t="shared" si="25"/>
        <v>5.0125628933800348E-3</v>
      </c>
      <c r="BE38" s="447">
        <f t="shared" si="26"/>
        <v>7.5094142836649169E-3</v>
      </c>
      <c r="BF38" s="346"/>
      <c r="BG38" s="390">
        <f t="shared" si="27"/>
        <v>5.3525940652302227E-3</v>
      </c>
      <c r="BH38" s="390">
        <f t="shared" si="27"/>
        <v>1.0691756169980424E-2</v>
      </c>
      <c r="BI38" s="390">
        <f t="shared" si="27"/>
        <v>1.6017520020815884E-2</v>
      </c>
      <c r="BJ38" s="390">
        <f t="shared" si="28"/>
        <v>2.1329919239718182E-2</v>
      </c>
      <c r="BK38" s="390">
        <f t="shared" si="29"/>
        <v>4.1390708284673144E-2</v>
      </c>
      <c r="BL38" s="390">
        <f t="shared" si="30"/>
        <v>6.084259959056347E-2</v>
      </c>
      <c r="BM38" s="390">
        <f t="shared" si="31"/>
        <v>7.9699158442432791E-2</v>
      </c>
      <c r="BN38" s="390">
        <f t="shared" si="32"/>
        <v>9.8178793332197242E-2</v>
      </c>
      <c r="BO38" s="390">
        <f t="shared" si="33"/>
        <v>2.1329919239718182E-2</v>
      </c>
      <c r="BP38" s="390">
        <f t="shared" si="34"/>
        <v>7.9699158442432791E-2</v>
      </c>
      <c r="BQ38" s="347"/>
      <c r="BU38" s="390">
        <f>IFERROR(AL38*$BS$2+BG38*$BS$4+Q38*$BS$3,VLOOKUP(A38,'Updated Ncino PD'!A:K,4,FALSE))</f>
        <v>4.1084101938035876E-3</v>
      </c>
      <c r="BV38" s="390">
        <f>IFERROR(AM38*$BS$2+BH38*$BS$4+R38*$BS$3,VLOOKUP(A38,'Updated Ncino PD'!A:K,5,FALSE))</f>
        <v>8.2080963496231618E-3</v>
      </c>
      <c r="BW38" s="390">
        <f>IFERROR(AN38*$BS$2+BI38*$BS$4+S38*$BS$3,VLOOKUP(A38,'Updated Ncino PD'!A:K,6,FALSE))</f>
        <v>1.2299078837571229E-2</v>
      </c>
      <c r="BX38" s="390">
        <f>IFERROR(AO38*$BS$2+BJ38*$BS$4+T38*$BS$3,VLOOKUP(A38,'Updated Ncino PD'!A:K,7,FALSE))</f>
        <v>1.6381377976103562E-2</v>
      </c>
      <c r="BY38" s="390">
        <f>IFERROR(AP38*$BS$2+BK38*$BS$4+U38*$BS$3,VLOOKUP(A38,'Updated Ncino PD'!A:K,8,FALSE))</f>
        <v>3.2128416951969593E-2</v>
      </c>
      <c r="BZ38" s="390">
        <f>IFERROR(AQ38*$BS$2+BL38*$BS$4+V38*$BS$3,VLOOKUP(A38,'Updated Ncino PD'!A:K,9,FALSE))</f>
        <v>4.7529642923258543E-2</v>
      </c>
      <c r="CA38" s="390">
        <f>IFERROR(AR38*$BS$2+BM38*$BS$4+W38*$BS$3,VLOOKUP(A38,'Updated Ncino PD'!A:K,10,FALSE))</f>
        <v>6.274949309600128E-2</v>
      </c>
      <c r="CB38" s="390">
        <f>IFERROR(AS38*$BS$2+BN38*$BS$4+X38*$BS$3,VLOOKUP(A38,'Updated Ncino PD'!A:K,11,FALSE))</f>
        <v>7.7739060416918471E-2</v>
      </c>
      <c r="CC38" s="390">
        <f t="shared" si="36"/>
        <v>1.6381377976103562E-2</v>
      </c>
      <c r="CD38" s="390">
        <f t="shared" si="36"/>
        <v>6.274949309600128E-2</v>
      </c>
      <c r="CF38" s="450">
        <f t="shared" si="35"/>
        <v>7.6799999999999993E-3</v>
      </c>
      <c r="CG38" s="450">
        <f t="shared" si="35"/>
        <v>7.4449999999999994E-3</v>
      </c>
      <c r="CH38" s="450">
        <f t="shared" si="35"/>
        <v>7.3399999999999993E-3</v>
      </c>
      <c r="CI38" s="450">
        <f t="shared" si="35"/>
        <v>7.3100000000000005E-3</v>
      </c>
      <c r="CJ38" s="450">
        <f t="shared" si="35"/>
        <v>7.2549999999999993E-3</v>
      </c>
    </row>
    <row r="39" spans="1:88" s="355" customFormat="1" hidden="1" x14ac:dyDescent="0.25">
      <c r="A39" s="400">
        <v>1200000127</v>
      </c>
      <c r="B39" s="455" t="str">
        <f>VLOOKUP(A39,'Loan Book Summary'!C:G,5,FALSE)</f>
        <v>00158000010bEcS</v>
      </c>
      <c r="C39" s="167">
        <f>VLOOKUP(A39,'Ref-Data'!$A:$I,9,0)</f>
        <v>1</v>
      </c>
      <c r="D39" s="445">
        <f>VLOOKUP(A39,'Adjustment Factor'!A:C,3,0)</f>
        <v>2.1329919239718182</v>
      </c>
      <c r="E39" s="446">
        <f>VLOOKUP(A39,'Ref-Data'!A:C,2,FALSE)</f>
        <v>902500</v>
      </c>
      <c r="F39" s="445">
        <f>VLOOKUP(A39,'Ref-Data'!$A:$F,6,FALSE)</f>
        <v>3.0061601642710474</v>
      </c>
      <c r="G39" s="346"/>
      <c r="H39" s="273">
        <f>VLOOKUP($B39, 'Output 96% Downside'!$A:$CW,42,FALSE)</f>
        <v>1.4E-2</v>
      </c>
      <c r="I39" s="273">
        <f>VLOOKUP($B39, 'Output 96% Downside'!$A:$CW,43,FALSE)</f>
        <v>1.2800000000000001E-2</v>
      </c>
      <c r="J39" s="273">
        <f>VLOOKUP($B39, 'Output 96% Downside'!$A:$CW,44,FALSE)</f>
        <v>1.21E-2</v>
      </c>
      <c r="K39" s="273">
        <f>VLOOKUP($B39, 'Output 96% Downside'!$A:$CW,45,FALSE)</f>
        <v>1.17E-2</v>
      </c>
      <c r="L39" s="273">
        <f>VLOOKUP($B39, 'Output 96% Downside'!$A:$CW,46,FALSE)</f>
        <v>1.1299999999999999E-2</v>
      </c>
      <c r="M39" s="447">
        <f t="shared" si="0"/>
        <v>3.5185265221873152E-3</v>
      </c>
      <c r="N39" s="447">
        <f t="shared" si="3"/>
        <v>7.0246730154872594E-3</v>
      </c>
      <c r="O39" s="447">
        <f t="shared" si="4"/>
        <v>1.0518483039359872E-2</v>
      </c>
      <c r="P39" s="346"/>
      <c r="Q39" s="390">
        <f t="shared" si="5"/>
        <v>7.5049886561061917E-3</v>
      </c>
      <c r="R39" s="390">
        <f t="shared" si="5"/>
        <v>1.4983570810577084E-2</v>
      </c>
      <c r="S39" s="390">
        <f t="shared" si="5"/>
        <v>2.2435839375389149E-2</v>
      </c>
      <c r="T39" s="390">
        <f t="shared" si="6"/>
        <v>2.9861886935605455E-2</v>
      </c>
      <c r="U39" s="390">
        <f t="shared" si="7"/>
        <v>5.6781951409668976E-2</v>
      </c>
      <c r="V39" s="390">
        <f t="shared" si="8"/>
        <v>8.1904092077671076E-2</v>
      </c>
      <c r="W39" s="390">
        <f t="shared" si="9"/>
        <v>0.10590181971083258</v>
      </c>
      <c r="X39" s="390">
        <f t="shared" si="10"/>
        <v>0.12880793788898179</v>
      </c>
      <c r="Y39" s="390">
        <f t="shared" si="11"/>
        <v>2.9861886935605455E-2</v>
      </c>
      <c r="Z39" s="390">
        <f t="shared" si="12"/>
        <v>0.10590181971083258</v>
      </c>
      <c r="AC39" s="273">
        <f>VLOOKUP($B39, 'Output Baseline'!$A:$CW,42,FALSE)</f>
        <v>5.7999999999999996E-3</v>
      </c>
      <c r="AD39" s="273">
        <f>VLOOKUP($B39, 'Output Baseline'!$A:$CW,43,FALSE)</f>
        <v>5.7999999999999996E-3</v>
      </c>
      <c r="AE39" s="273">
        <f>VLOOKUP($B39, 'Output Baseline'!$A:$CW,44,FALSE)</f>
        <v>5.7999999999999996E-3</v>
      </c>
      <c r="AF39" s="273">
        <f>VLOOKUP($B39, 'Output Baseline'!$A:$CW,45,FALSE)</f>
        <v>5.8999999999999999E-3</v>
      </c>
      <c r="AG39" s="273">
        <f>VLOOKUP($B39, 'Output Baseline'!$A:$CW,46,FALSE)</f>
        <v>5.8999999999999999E-3</v>
      </c>
      <c r="AH39" s="447">
        <f t="shared" si="13"/>
        <v>1.4531644629207641E-3</v>
      </c>
      <c r="AI39" s="447">
        <f t="shared" si="14"/>
        <v>2.9042172388852316E-3</v>
      </c>
      <c r="AJ39" s="447">
        <f t="shared" si="15"/>
        <v>4.3531613965218652E-3</v>
      </c>
      <c r="AK39" s="346"/>
      <c r="AL39" s="390">
        <f t="shared" si="16"/>
        <v>3.0995880636128345E-3</v>
      </c>
      <c r="AM39" s="390">
        <f t="shared" si="16"/>
        <v>6.194671916001932E-3</v>
      </c>
      <c r="AN39" s="390">
        <f t="shared" si="16"/>
        <v>9.285258102527021E-3</v>
      </c>
      <c r="AO39" s="390">
        <f t="shared" si="17"/>
        <v>1.2371353159036544E-2</v>
      </c>
      <c r="AP39" s="390">
        <f t="shared" si="18"/>
        <v>2.4670952469750911E-2</v>
      </c>
      <c r="AQ39" s="390">
        <f t="shared" si="19"/>
        <v>3.6899214104462959E-2</v>
      </c>
      <c r="AR39" s="390">
        <f t="shared" si="20"/>
        <v>4.9266161092680283E-2</v>
      </c>
      <c r="AS39" s="390">
        <f t="shared" si="21"/>
        <v>6.1560143093667266E-2</v>
      </c>
      <c r="AT39" s="390">
        <f t="shared" si="22"/>
        <v>1.2371353159036544E-2</v>
      </c>
      <c r="AU39" s="390">
        <f t="shared" si="23"/>
        <v>4.9266161092680283E-2</v>
      </c>
      <c r="AX39" s="273">
        <f>VLOOKUP($B39, 'Output 90% Downside'!$A:$CW,42,FALSE)</f>
        <v>0.01</v>
      </c>
      <c r="AY39" s="273">
        <f>VLOOKUP($B39, 'Output 90% Downside'!$A:$CW,43,FALSE)</f>
        <v>9.4999999999999998E-3</v>
      </c>
      <c r="AZ39" s="273">
        <f>VLOOKUP($B39, 'Output 90% Downside'!$A:$CW,44,FALSE)</f>
        <v>9.2999999999999992E-3</v>
      </c>
      <c r="BA39" s="273">
        <f>VLOOKUP($B39, 'Output 90% Downside'!$A:$CW,45,FALSE)</f>
        <v>9.1000000000000004E-3</v>
      </c>
      <c r="BB39" s="273">
        <f>VLOOKUP($B39, 'Output 90% Downside'!$A:$CW,46,FALSE)</f>
        <v>8.9999999999999993E-3</v>
      </c>
      <c r="BC39" s="447">
        <f t="shared" si="24"/>
        <v>2.509430066318874E-3</v>
      </c>
      <c r="BD39" s="447">
        <f t="shared" si="25"/>
        <v>5.0125628933800348E-3</v>
      </c>
      <c r="BE39" s="447">
        <f t="shared" si="26"/>
        <v>7.5094142836649169E-3</v>
      </c>
      <c r="BF39" s="346"/>
      <c r="BG39" s="390">
        <f t="shared" si="27"/>
        <v>5.3525940652302227E-3</v>
      </c>
      <c r="BH39" s="390">
        <f t="shared" si="27"/>
        <v>1.0691756169980424E-2</v>
      </c>
      <c r="BI39" s="390">
        <f t="shared" si="27"/>
        <v>1.6017520020815884E-2</v>
      </c>
      <c r="BJ39" s="390">
        <f t="shared" si="28"/>
        <v>2.1329919239718182E-2</v>
      </c>
      <c r="BK39" s="390">
        <f t="shared" si="29"/>
        <v>4.1390708284673144E-2</v>
      </c>
      <c r="BL39" s="390">
        <f t="shared" si="30"/>
        <v>6.084259959056347E-2</v>
      </c>
      <c r="BM39" s="390">
        <f t="shared" si="31"/>
        <v>7.9699158442432791E-2</v>
      </c>
      <c r="BN39" s="390">
        <f t="shared" si="32"/>
        <v>9.8178793332197242E-2</v>
      </c>
      <c r="BO39" s="390">
        <f t="shared" si="33"/>
        <v>2.1329919239718182E-2</v>
      </c>
      <c r="BP39" s="390">
        <f t="shared" si="34"/>
        <v>7.9699158442432791E-2</v>
      </c>
      <c r="BQ39" s="347"/>
      <c r="BU39" s="390">
        <f>IFERROR(AL39*$BS$2+BG39*$BS$4+Q39*$BS$3,VLOOKUP(A39,'Updated Ncino PD'!A:K,4,FALSE))</f>
        <v>4.1084101938035876E-3</v>
      </c>
      <c r="BV39" s="390">
        <f>IFERROR(AM39*$BS$2+BH39*$BS$4+R39*$BS$3,VLOOKUP(A39,'Updated Ncino PD'!A:K,5,FALSE))</f>
        <v>8.2080963496231618E-3</v>
      </c>
      <c r="BW39" s="390">
        <f>IFERROR(AN39*$BS$2+BI39*$BS$4+S39*$BS$3,VLOOKUP(A39,'Updated Ncino PD'!A:K,6,FALSE))</f>
        <v>1.2299078837571229E-2</v>
      </c>
      <c r="BX39" s="390">
        <f>IFERROR(AO39*$BS$2+BJ39*$BS$4+T39*$BS$3,VLOOKUP(A39,'Updated Ncino PD'!A:K,7,FALSE))</f>
        <v>1.6381377976103562E-2</v>
      </c>
      <c r="BY39" s="390">
        <f>IFERROR(AP39*$BS$2+BK39*$BS$4+U39*$BS$3,VLOOKUP(A39,'Updated Ncino PD'!A:K,8,FALSE))</f>
        <v>3.2128416951969593E-2</v>
      </c>
      <c r="BZ39" s="390">
        <f>IFERROR(AQ39*$BS$2+BL39*$BS$4+V39*$BS$3,VLOOKUP(A39,'Updated Ncino PD'!A:K,9,FALSE))</f>
        <v>4.7529642923258543E-2</v>
      </c>
      <c r="CA39" s="390">
        <f>IFERROR(AR39*$BS$2+BM39*$BS$4+W39*$BS$3,VLOOKUP(A39,'Updated Ncino PD'!A:K,10,FALSE))</f>
        <v>6.274949309600128E-2</v>
      </c>
      <c r="CB39" s="390">
        <f>IFERROR(AS39*$BS$2+BN39*$BS$4+X39*$BS$3,VLOOKUP(A39,'Updated Ncino PD'!A:K,11,FALSE))</f>
        <v>7.7739060416918471E-2</v>
      </c>
      <c r="CC39" s="390">
        <f t="shared" si="36"/>
        <v>1.6381377976103562E-2</v>
      </c>
      <c r="CD39" s="390">
        <f t="shared" si="36"/>
        <v>6.274949309600128E-2</v>
      </c>
      <c r="CF39" s="450">
        <f t="shared" si="35"/>
        <v>7.6799999999999993E-3</v>
      </c>
      <c r="CG39" s="450">
        <f t="shared" si="35"/>
        <v>7.4449999999999994E-3</v>
      </c>
      <c r="CH39" s="450">
        <f t="shared" si="35"/>
        <v>7.3399999999999993E-3</v>
      </c>
      <c r="CI39" s="450">
        <f t="shared" si="35"/>
        <v>7.3100000000000005E-3</v>
      </c>
      <c r="CJ39" s="450">
        <f t="shared" si="35"/>
        <v>7.2549999999999993E-3</v>
      </c>
    </row>
    <row r="40" spans="1:88" s="355" customFormat="1" hidden="1" x14ac:dyDescent="0.25">
      <c r="A40" s="400">
        <v>1200000132</v>
      </c>
      <c r="B40" s="455" t="str">
        <f>VLOOKUP(A40,'Loan Book Summary'!C:G,5,FALSE)</f>
        <v>0015800001Enl9O</v>
      </c>
      <c r="C40" s="167">
        <f>VLOOKUP(A40,'Ref-Data'!$A:$I,9,0)</f>
        <v>1</v>
      </c>
      <c r="D40" s="445">
        <f>VLOOKUP(A40,'Adjustment Factor'!A:C,3,0)</f>
        <v>1.1951755713707852</v>
      </c>
      <c r="E40" s="446">
        <f>VLOOKUP(A40,'Ref-Data'!A:C,2,FALSE)</f>
        <v>3634267.09</v>
      </c>
      <c r="F40" s="445">
        <f>VLOOKUP(A40,'Ref-Data'!$A:$F,6,FALSE)</f>
        <v>4.0793976728268309</v>
      </c>
      <c r="G40" s="346"/>
      <c r="H40" s="273">
        <f>VLOOKUP($B40, 'Output 96% Downside'!$A:$CW,42,FALSE)</f>
        <v>0.115</v>
      </c>
      <c r="I40" s="273">
        <f>VLOOKUP($B40, 'Output 96% Downside'!$A:$CW,43,FALSE)</f>
        <v>0.1036</v>
      </c>
      <c r="J40" s="273">
        <f>VLOOKUP($B40, 'Output 96% Downside'!$A:$CW,44,FALSE)</f>
        <v>9.74E-2</v>
      </c>
      <c r="K40" s="273">
        <f>VLOOKUP($B40, 'Output 96% Downside'!$A:$CW,45,FALSE)</f>
        <v>9.3200000000000005E-2</v>
      </c>
      <c r="L40" s="273">
        <f>VLOOKUP($B40, 'Output 96% Downside'!$A:$CW,46,FALSE)</f>
        <v>0.09</v>
      </c>
      <c r="M40" s="447">
        <f t="shared" si="0"/>
        <v>3.0080216661532932E-2</v>
      </c>
      <c r="N40" s="447">
        <f t="shared" si="3"/>
        <v>5.9255613888661074E-2</v>
      </c>
      <c r="O40" s="447">
        <f t="shared" si="4"/>
        <v>8.7553408846010927E-2</v>
      </c>
      <c r="P40" s="346"/>
      <c r="Q40" s="390">
        <f t="shared" si="5"/>
        <v>3.5951140135404638E-2</v>
      </c>
      <c r="R40" s="390">
        <f t="shared" si="5"/>
        <v>7.0820862186307135E-2</v>
      </c>
      <c r="S40" s="390">
        <f t="shared" si="5"/>
        <v>0.10464169544299107</v>
      </c>
      <c r="T40" s="390">
        <f t="shared" si="6"/>
        <v>0.1374451907076403</v>
      </c>
      <c r="U40" s="390">
        <f t="shared" si="7"/>
        <v>0.24702605814434217</v>
      </c>
      <c r="V40" s="390">
        <f t="shared" si="8"/>
        <v>0.3393758207325977</v>
      </c>
      <c r="W40" s="390">
        <f t="shared" si="9"/>
        <v>0.41913635749207673</v>
      </c>
      <c r="X40" s="390">
        <f t="shared" si="10"/>
        <v>0.4889798867411605</v>
      </c>
      <c r="Y40" s="390">
        <f t="shared" si="11"/>
        <v>0.1374451907076403</v>
      </c>
      <c r="Z40" s="390">
        <f t="shared" si="12"/>
        <v>0.4889798867411605</v>
      </c>
      <c r="AC40" s="273">
        <f>VLOOKUP($B40, 'Output Baseline'!$A:$CW,42,FALSE)</f>
        <v>0.1176</v>
      </c>
      <c r="AD40" s="273">
        <f>VLOOKUP($B40, 'Output Baseline'!$A:$CW,43,FALSE)</f>
        <v>0.109</v>
      </c>
      <c r="AE40" s="273">
        <f>VLOOKUP($B40, 'Output Baseline'!$A:$CW,44,FALSE)</f>
        <v>0.1043</v>
      </c>
      <c r="AF40" s="273">
        <f>VLOOKUP($B40, 'Output Baseline'!$A:$CW,45,FALSE)</f>
        <v>0.10100000000000001</v>
      </c>
      <c r="AG40" s="273">
        <f>VLOOKUP($B40, 'Output Baseline'!$A:$CW,46,FALSE)</f>
        <v>9.8599999999999993E-2</v>
      </c>
      <c r="AH40" s="447">
        <f t="shared" si="13"/>
        <v>3.0793373286485348E-2</v>
      </c>
      <c r="AI40" s="447">
        <f t="shared" si="14"/>
        <v>6.0638514734609905E-2</v>
      </c>
      <c r="AJ40" s="447">
        <f t="shared" si="15"/>
        <v>8.9564623601334326E-2</v>
      </c>
      <c r="AK40" s="346"/>
      <c r="AL40" s="390">
        <f t="shared" si="16"/>
        <v>3.6803487512109004E-2</v>
      </c>
      <c r="AM40" s="390">
        <f t="shared" si="16"/>
        <v>7.2473671495013173E-2</v>
      </c>
      <c r="AN40" s="390">
        <f t="shared" si="16"/>
        <v>0.10704545018733407</v>
      </c>
      <c r="AO40" s="390">
        <f t="shared" si="17"/>
        <v>0.14055264719320434</v>
      </c>
      <c r="AP40" s="390">
        <f t="shared" si="18"/>
        <v>0.2555065459285607</v>
      </c>
      <c r="AQ40" s="390">
        <f t="shared" si="19"/>
        <v>0.35351402528218479</v>
      </c>
      <c r="AR40" s="390">
        <f t="shared" si="20"/>
        <v>0.43852184143713341</v>
      </c>
      <c r="AS40" s="390">
        <f t="shared" si="21"/>
        <v>0.51312789920859148</v>
      </c>
      <c r="AT40" s="390">
        <f t="shared" si="22"/>
        <v>0.14055264719320434</v>
      </c>
      <c r="AU40" s="390">
        <f t="shared" si="23"/>
        <v>0.51312789920859148</v>
      </c>
      <c r="AX40" s="273">
        <f>VLOOKUP($B40, 'Output 90% Downside'!$A:$CW,42,FALSE)</f>
        <v>0.1193</v>
      </c>
      <c r="AY40" s="273">
        <f>VLOOKUP($B40, 'Output 90% Downside'!$A:$CW,43,FALSE)</f>
        <v>0.1105</v>
      </c>
      <c r="AZ40" s="273">
        <f>VLOOKUP($B40, 'Output 90% Downside'!$A:$CW,44,FALSE)</f>
        <v>0.1057</v>
      </c>
      <c r="BA40" s="273">
        <f>VLOOKUP($B40, 'Output 90% Downside'!$A:$CW,45,FALSE)</f>
        <v>0.1023</v>
      </c>
      <c r="BB40" s="273">
        <f>VLOOKUP($B40, 'Output 90% Downside'!$A:$CW,46,FALSE)</f>
        <v>9.98E-2</v>
      </c>
      <c r="BC40" s="447">
        <f t="shared" si="24"/>
        <v>3.1260520546658288E-2</v>
      </c>
      <c r="BD40" s="447">
        <f t="shared" si="25"/>
        <v>6.1543820948468553E-2</v>
      </c>
      <c r="BE40" s="447">
        <f t="shared" si="26"/>
        <v>9.0880449615847403E-2</v>
      </c>
      <c r="BF40" s="346"/>
      <c r="BG40" s="390">
        <f t="shared" si="27"/>
        <v>3.7361810505700491E-2</v>
      </c>
      <c r="BH40" s="390">
        <f t="shared" si="27"/>
        <v>7.3555671366427197E-2</v>
      </c>
      <c r="BI40" s="390">
        <f t="shared" si="27"/>
        <v>0.10861809329605428</v>
      </c>
      <c r="BJ40" s="390">
        <f t="shared" si="28"/>
        <v>0.14258444566453468</v>
      </c>
      <c r="BK40" s="390">
        <f t="shared" si="29"/>
        <v>0.25889576505507539</v>
      </c>
      <c r="BL40" s="390">
        <f t="shared" si="30"/>
        <v>0.35786054058264588</v>
      </c>
      <c r="BM40" s="390">
        <f t="shared" si="31"/>
        <v>0.44351786823227257</v>
      </c>
      <c r="BN40" s="390">
        <f t="shared" si="32"/>
        <v>0.51853330700549616</v>
      </c>
      <c r="BO40" s="390">
        <f t="shared" si="33"/>
        <v>0.14258444566453468</v>
      </c>
      <c r="BP40" s="390">
        <f t="shared" si="34"/>
        <v>0.51853330700549616</v>
      </c>
      <c r="BQ40" s="347"/>
      <c r="BU40" s="390">
        <f>IFERROR(AL40*$BS$2+BG40*$BS$4+Q40*$BS$3,VLOOKUP(A40,'Updated Ncino PD'!A:K,4,FALSE))</f>
        <v>3.6956283191030809E-2</v>
      </c>
      <c r="BV40" s="390">
        <f>IFERROR(AM40*$BS$2+BH40*$BS$4+R40*$BS$3,VLOOKUP(A40,'Updated Ncino PD'!A:K,5,FALSE))</f>
        <v>7.2769730984572775E-2</v>
      </c>
      <c r="BW40" s="390">
        <f>IFERROR(AN40*$BS$2+BI40*$BS$4+S40*$BS$3,VLOOKUP(A40,'Updated Ncino PD'!A:K,6,FALSE))</f>
        <v>0.10747568753816898</v>
      </c>
      <c r="BX40" s="390">
        <f>IFERROR(AO40*$BS$2+BJ40*$BS$4+T40*$BS$3,VLOOKUP(A40,'Updated Ncino PD'!A:K,7,FALSE))</f>
        <v>0.14110840383389175</v>
      </c>
      <c r="BY40" s="390">
        <f>IFERROR(AP40*$BS$2+BK40*$BS$4+U40*$BS$3,VLOOKUP(A40,'Updated Ncino PD'!A:K,8,FALSE))</f>
        <v>0.25626874823362988</v>
      </c>
      <c r="BZ40" s="390">
        <f>IFERROR(AQ40*$BS$2+BL40*$BS$4+V40*$BS$3,VLOOKUP(A40,'Updated Ncino PD'!A:K,9,FALSE))</f>
        <v>0.35432839540986683</v>
      </c>
      <c r="CA40" s="390">
        <f>IFERROR(AR40*$BS$2+BM40*$BS$4+W40*$BS$3,VLOOKUP(A40,'Updated Ncino PD'!A:K,10,FALSE))</f>
        <v>0.43930117661817925</v>
      </c>
      <c r="CB40" s="390">
        <f>IFERROR(AS40*$BS$2+BN40*$BS$4+X40*$BS$3,VLOOKUP(A40,'Updated Ncino PD'!A:K,11,FALSE))</f>
        <v>0.51381239131413659</v>
      </c>
      <c r="CC40" s="390">
        <f t="shared" si="36"/>
        <v>0.14110840383389175</v>
      </c>
      <c r="CD40" s="390">
        <f t="shared" si="36"/>
        <v>0.51381239131413659</v>
      </c>
      <c r="CF40" s="450">
        <f t="shared" si="35"/>
        <v>0.118065</v>
      </c>
      <c r="CG40" s="450">
        <f t="shared" si="35"/>
        <v>0.109255</v>
      </c>
      <c r="CH40" s="450">
        <f t="shared" si="35"/>
        <v>0.104445</v>
      </c>
      <c r="CI40" s="450">
        <f t="shared" si="35"/>
        <v>0.10106499999999999</v>
      </c>
      <c r="CJ40" s="450">
        <f t="shared" si="35"/>
        <v>9.8589999999999983E-2</v>
      </c>
    </row>
    <row r="41" spans="1:88" s="355" customFormat="1" hidden="1" x14ac:dyDescent="0.25">
      <c r="A41" s="400">
        <v>1200000133</v>
      </c>
      <c r="B41" s="455" t="str">
        <f>VLOOKUP(A41,'Loan Book Summary'!C:G,5,FALSE)</f>
        <v>0015800001fFIlI</v>
      </c>
      <c r="C41" s="167">
        <f>VLOOKUP(A41,'Ref-Data'!$A:$I,9,0)</f>
        <v>1</v>
      </c>
      <c r="D41" s="445">
        <f>VLOOKUP(A41,'Adjustment Factor'!A:C,3,0)</f>
        <v>1.8425777267619361</v>
      </c>
      <c r="E41" s="446">
        <f>VLOOKUP(A41,'Ref-Data'!A:C,2,FALSE)</f>
        <v>500000</v>
      </c>
      <c r="F41" s="445">
        <f>VLOOKUP(A41,'Ref-Data'!$A:$F,6,FALSE)</f>
        <v>4.0821355236139629</v>
      </c>
      <c r="G41" s="346"/>
      <c r="H41" s="273">
        <f>VLOOKUP($B41, 'Output 96% Downside'!$A:$CW,42,FALSE)</f>
        <v>8.9999999999999993E-3</v>
      </c>
      <c r="I41" s="273">
        <f>VLOOKUP($B41, 'Output 96% Downside'!$A:$CW,43,FALSE)</f>
        <v>9.2999999999999992E-3</v>
      </c>
      <c r="J41" s="273">
        <f>VLOOKUP($B41, 'Output 96% Downside'!$A:$CW,44,FALSE)</f>
        <v>9.4999999999999998E-3</v>
      </c>
      <c r="K41" s="273">
        <f>VLOOKUP($B41, 'Output 96% Downside'!$A:$CW,45,FALSE)</f>
        <v>9.5999999999999992E-3</v>
      </c>
      <c r="L41" s="273">
        <f>VLOOKUP($B41, 'Output 96% Downside'!$A:$CW,46,FALSE)</f>
        <v>9.7000000000000003E-3</v>
      </c>
      <c r="M41" s="447">
        <f t="shared" si="0"/>
        <v>2.2576338655427852E-3</v>
      </c>
      <c r="N41" s="447">
        <f t="shared" si="3"/>
        <v>4.5101708204147162E-3</v>
      </c>
      <c r="O41" s="447">
        <f t="shared" si="4"/>
        <v>6.757622371573957E-3</v>
      </c>
      <c r="P41" s="346"/>
      <c r="Q41" s="390">
        <f t="shared" si="5"/>
        <v>4.1598658758325874E-3</v>
      </c>
      <c r="R41" s="390">
        <f t="shared" si="5"/>
        <v>8.3103402975877646E-3</v>
      </c>
      <c r="S41" s="390">
        <f t="shared" si="5"/>
        <v>1.2451444467730345E-2</v>
      </c>
      <c r="T41" s="390">
        <f t="shared" si="6"/>
        <v>1.6583199540857425E-2</v>
      </c>
      <c r="U41" s="390">
        <f t="shared" si="7"/>
        <v>3.3564948644013388E-2</v>
      </c>
      <c r="V41" s="390">
        <f t="shared" si="8"/>
        <v>5.0750570036133633E-2</v>
      </c>
      <c r="W41" s="390">
        <f t="shared" si="9"/>
        <v>6.7952110740701427E-2</v>
      </c>
      <c r="X41" s="390">
        <f t="shared" si="10"/>
        <v>8.516597921610751E-2</v>
      </c>
      <c r="Y41" s="390">
        <f t="shared" si="11"/>
        <v>1.6583199540857425E-2</v>
      </c>
      <c r="Z41" s="390">
        <f t="shared" si="12"/>
        <v>8.516597921610751E-2</v>
      </c>
      <c r="AC41" s="273">
        <f>VLOOKUP($B41, 'Output Baseline'!$A:$CW,42,FALSE)</f>
        <v>2.8E-3</v>
      </c>
      <c r="AD41" s="273">
        <f>VLOOKUP($B41, 'Output Baseline'!$A:$CW,43,FALSE)</f>
        <v>3.3E-3</v>
      </c>
      <c r="AE41" s="273">
        <f>VLOOKUP($B41, 'Output Baseline'!$A:$CW,44,FALSE)</f>
        <v>3.7000000000000002E-3</v>
      </c>
      <c r="AF41" s="273">
        <f>VLOOKUP($B41, 'Output Baseline'!$A:$CW,45,FALSE)</f>
        <v>3.8999999999999998E-3</v>
      </c>
      <c r="AG41" s="273">
        <f>VLOOKUP($B41, 'Output Baseline'!$A:$CW,46,FALSE)</f>
        <v>4.1000000000000003E-3</v>
      </c>
      <c r="AH41" s="447">
        <f t="shared" si="13"/>
        <v>7.007362028158548E-4</v>
      </c>
      <c r="AI41" s="447">
        <f t="shared" si="14"/>
        <v>1.4009813744058075E-3</v>
      </c>
      <c r="AJ41" s="447">
        <f t="shared" si="15"/>
        <v>2.1007358588531755E-3</v>
      </c>
      <c r="AK41" s="346"/>
      <c r="AL41" s="390">
        <f t="shared" si="16"/>
        <v>1.2911609196442288E-3</v>
      </c>
      <c r="AM41" s="390">
        <f t="shared" si="16"/>
        <v>2.5814170760884657E-3</v>
      </c>
      <c r="AN41" s="390">
        <f t="shared" si="16"/>
        <v>3.8707691033329676E-3</v>
      </c>
      <c r="AO41" s="390">
        <f t="shared" si="17"/>
        <v>5.1592176349334207E-3</v>
      </c>
      <c r="AP41" s="390">
        <f t="shared" si="18"/>
        <v>1.122269871505248E-2</v>
      </c>
      <c r="AQ41" s="390">
        <f t="shared" si="19"/>
        <v>1.7998712318826094E-2</v>
      </c>
      <c r="AR41" s="390">
        <f t="shared" si="20"/>
        <v>2.5114570475154162E-2</v>
      </c>
      <c r="AS41" s="390">
        <f t="shared" si="21"/>
        <v>3.2566169415929852E-2</v>
      </c>
      <c r="AT41" s="390">
        <f t="shared" si="22"/>
        <v>5.1592176349334207E-3</v>
      </c>
      <c r="AU41" s="390">
        <f t="shared" si="23"/>
        <v>3.2566169415929852E-2</v>
      </c>
      <c r="AX41" s="273">
        <f>VLOOKUP($B41, 'Output 90% Downside'!$A:$CW,42,FALSE)</f>
        <v>5.8999999999999999E-3</v>
      </c>
      <c r="AY41" s="273">
        <f>VLOOKUP($B41, 'Output 90% Downside'!$A:$CW,43,FALSE)</f>
        <v>6.4000000000000003E-3</v>
      </c>
      <c r="AZ41" s="273">
        <f>VLOOKUP($B41, 'Output 90% Downside'!$A:$CW,44,FALSE)</f>
        <v>6.7000000000000002E-3</v>
      </c>
      <c r="BA41" s="273">
        <f>VLOOKUP($B41, 'Output 90% Downside'!$A:$CW,45,FALSE)</f>
        <v>6.8999999999999999E-3</v>
      </c>
      <c r="BB41" s="273">
        <f>VLOOKUP($B41, 'Output 90% Downside'!$A:$CW,46,FALSE)</f>
        <v>7.1000000000000004E-3</v>
      </c>
      <c r="BC41" s="447">
        <f t="shared" si="24"/>
        <v>1.4782747149250097E-3</v>
      </c>
      <c r="BD41" s="447">
        <f t="shared" si="25"/>
        <v>2.9543641337171911E-3</v>
      </c>
      <c r="BE41" s="447">
        <f t="shared" si="26"/>
        <v>4.4282714868446593E-3</v>
      </c>
      <c r="BF41" s="346"/>
      <c r="BG41" s="390">
        <f t="shared" si="27"/>
        <v>2.7238360637561734E-3</v>
      </c>
      <c r="BH41" s="390">
        <f t="shared" si="27"/>
        <v>5.4436455495316186E-3</v>
      </c>
      <c r="BI41" s="390">
        <f t="shared" si="27"/>
        <v>8.1594344097149305E-3</v>
      </c>
      <c r="BJ41" s="390">
        <f t="shared" si="28"/>
        <v>1.0871208587895424E-2</v>
      </c>
      <c r="BK41" s="390">
        <f t="shared" si="29"/>
        <v>2.2594130304209245E-2</v>
      </c>
      <c r="BL41" s="390">
        <f t="shared" si="30"/>
        <v>3.4788020400476162E-2</v>
      </c>
      <c r="BM41" s="390">
        <f t="shared" si="31"/>
        <v>4.7261769374370356E-2</v>
      </c>
      <c r="BN41" s="390">
        <f t="shared" si="32"/>
        <v>6.000851267182198E-2</v>
      </c>
      <c r="BO41" s="390">
        <f t="shared" si="33"/>
        <v>1.0871208587895424E-2</v>
      </c>
      <c r="BP41" s="390">
        <f t="shared" si="34"/>
        <v>6.000851267182198E-2</v>
      </c>
      <c r="BQ41" s="347"/>
      <c r="BU41" s="390">
        <f>IFERROR(AL41*$BS$2+BG41*$BS$4+Q41*$BS$3,VLOOKUP(A41,'Updated Ncino PD'!A:K,4,FALSE))</f>
        <v>1.9360324678928272E-3</v>
      </c>
      <c r="BV41" s="390">
        <f>IFERROR(AM41*$BS$2+BH41*$BS$4+R41*$BS$3,VLOOKUP(A41,'Updated Ncino PD'!A:K,5,FALSE))</f>
        <v>3.8696432028685339E-3</v>
      </c>
      <c r="BW41" s="390">
        <f>IFERROR(AN41*$BS$2+BI41*$BS$4+S41*$BS$3,VLOOKUP(A41,'Updated Ncino PD'!A:K,6,FALSE))</f>
        <v>5.8008357287865232E-3</v>
      </c>
      <c r="BX41" s="390">
        <f>IFERROR(AO41*$BS$2+BJ41*$BS$4+T41*$BS$3,VLOOKUP(A41,'Updated Ncino PD'!A:K,7,FALSE))</f>
        <v>7.7296135637663216E-3</v>
      </c>
      <c r="BY41" s="390">
        <f>IFERROR(AP41*$BS$2+BK41*$BS$4+U41*$BS$3,VLOOKUP(A41,'Updated Ncino PD'!A:K,8,FALSE))</f>
        <v>1.6319812267705392E-2</v>
      </c>
      <c r="BZ41" s="390">
        <f>IFERROR(AQ41*$BS$2+BL41*$BS$4+V41*$BS$3,VLOOKUP(A41,'Updated Ncino PD'!A:K,9,FALSE))</f>
        <v>2.5512563033268994E-2</v>
      </c>
      <c r="CA41" s="390">
        <f>IFERROR(AR41*$BS$2+BM41*$BS$4+W41*$BS$3,VLOOKUP(A41,'Updated Ncino PD'!A:K,10,FALSE))</f>
        <v>3.5007967103157192E-2</v>
      </c>
      <c r="CB41" s="390">
        <f>IFERROR(AS41*$BS$2+BN41*$BS$4+X41*$BS$3,VLOOKUP(A41,'Updated Ncino PD'!A:K,11,FALSE))</f>
        <v>4.4800980045500975E-2</v>
      </c>
      <c r="CC41" s="390">
        <f t="shared" si="36"/>
        <v>7.7296135637663216E-3</v>
      </c>
      <c r="CD41" s="390">
        <f t="shared" si="36"/>
        <v>4.4800980045500975E-2</v>
      </c>
      <c r="CF41" s="450">
        <f t="shared" si="35"/>
        <v>4.1949999999999999E-3</v>
      </c>
      <c r="CG41" s="450">
        <f t="shared" si="35"/>
        <v>4.6849999999999999E-3</v>
      </c>
      <c r="CH41" s="450">
        <f t="shared" si="35"/>
        <v>5.0400000000000002E-3</v>
      </c>
      <c r="CI41" s="450">
        <f t="shared" si="35"/>
        <v>5.2349999999999992E-3</v>
      </c>
      <c r="CJ41" s="450">
        <f t="shared" si="35"/>
        <v>5.4299999999999999E-3</v>
      </c>
    </row>
    <row r="42" spans="1:88" s="355" customFormat="1" hidden="1" x14ac:dyDescent="0.25">
      <c r="A42" s="400">
        <v>1200000134</v>
      </c>
      <c r="B42" s="455" t="str">
        <f>VLOOKUP(A42,'Loan Book Summary'!C:G,5,FALSE)</f>
        <v>0015800001fFIlI</v>
      </c>
      <c r="C42" s="167">
        <f>VLOOKUP(A42,'Ref-Data'!$A:$I,9,0)</f>
        <v>1</v>
      </c>
      <c r="D42" s="445">
        <f>VLOOKUP(A42,'Adjustment Factor'!A:C,3,0)</f>
        <v>1.8425777267619361</v>
      </c>
      <c r="E42" s="446">
        <f>VLOOKUP(A42,'Ref-Data'!A:C,2,FALSE)</f>
        <v>487998.51</v>
      </c>
      <c r="F42" s="445">
        <f>VLOOKUP(A42,'Ref-Data'!$A:$F,6,FALSE)</f>
        <v>4.0821355236139629</v>
      </c>
      <c r="G42" s="346"/>
      <c r="H42" s="273">
        <f>VLOOKUP($B42, 'Output 96% Downside'!$A:$CW,42,FALSE)</f>
        <v>8.9999999999999993E-3</v>
      </c>
      <c r="I42" s="273">
        <f>VLOOKUP($B42, 'Output 96% Downside'!$A:$CW,43,FALSE)</f>
        <v>9.2999999999999992E-3</v>
      </c>
      <c r="J42" s="273">
        <f>VLOOKUP($B42, 'Output 96% Downside'!$A:$CW,44,FALSE)</f>
        <v>9.4999999999999998E-3</v>
      </c>
      <c r="K42" s="273">
        <f>VLOOKUP($B42, 'Output 96% Downside'!$A:$CW,45,FALSE)</f>
        <v>9.5999999999999992E-3</v>
      </c>
      <c r="L42" s="273">
        <f>VLOOKUP($B42, 'Output 96% Downside'!$A:$CW,46,FALSE)</f>
        <v>9.7000000000000003E-3</v>
      </c>
      <c r="M42" s="447">
        <f t="shared" si="0"/>
        <v>2.2576338655427852E-3</v>
      </c>
      <c r="N42" s="447">
        <f t="shared" si="3"/>
        <v>4.5101708204147162E-3</v>
      </c>
      <c r="O42" s="447">
        <f t="shared" si="4"/>
        <v>6.757622371573957E-3</v>
      </c>
      <c r="P42" s="346"/>
      <c r="Q42" s="390">
        <f t="shared" si="5"/>
        <v>4.1598658758325874E-3</v>
      </c>
      <c r="R42" s="390">
        <f t="shared" si="5"/>
        <v>8.3103402975877646E-3</v>
      </c>
      <c r="S42" s="390">
        <f t="shared" si="5"/>
        <v>1.2451444467730345E-2</v>
      </c>
      <c r="T42" s="390">
        <f t="shared" si="6"/>
        <v>1.6583199540857425E-2</v>
      </c>
      <c r="U42" s="390">
        <f t="shared" si="7"/>
        <v>3.3564948644013388E-2</v>
      </c>
      <c r="V42" s="390">
        <f t="shared" si="8"/>
        <v>5.0750570036133633E-2</v>
      </c>
      <c r="W42" s="390">
        <f t="shared" si="9"/>
        <v>6.7952110740701427E-2</v>
      </c>
      <c r="X42" s="390">
        <f t="shared" si="10"/>
        <v>8.516597921610751E-2</v>
      </c>
      <c r="Y42" s="390">
        <f t="shared" si="11"/>
        <v>1.6583199540857425E-2</v>
      </c>
      <c r="Z42" s="390">
        <f t="shared" si="12"/>
        <v>8.516597921610751E-2</v>
      </c>
      <c r="AC42" s="273">
        <f>VLOOKUP($B42, 'Output Baseline'!$A:$CW,42,FALSE)</f>
        <v>2.8E-3</v>
      </c>
      <c r="AD42" s="273">
        <f>VLOOKUP($B42, 'Output Baseline'!$A:$CW,43,FALSE)</f>
        <v>3.3E-3</v>
      </c>
      <c r="AE42" s="273">
        <f>VLOOKUP($B42, 'Output Baseline'!$A:$CW,44,FALSE)</f>
        <v>3.7000000000000002E-3</v>
      </c>
      <c r="AF42" s="273">
        <f>VLOOKUP($B42, 'Output Baseline'!$A:$CW,45,FALSE)</f>
        <v>3.8999999999999998E-3</v>
      </c>
      <c r="AG42" s="273">
        <f>VLOOKUP($B42, 'Output Baseline'!$A:$CW,46,FALSE)</f>
        <v>4.1000000000000003E-3</v>
      </c>
      <c r="AH42" s="447">
        <f t="shared" si="13"/>
        <v>7.007362028158548E-4</v>
      </c>
      <c r="AI42" s="447">
        <f t="shared" si="14"/>
        <v>1.4009813744058075E-3</v>
      </c>
      <c r="AJ42" s="447">
        <f t="shared" si="15"/>
        <v>2.1007358588531755E-3</v>
      </c>
      <c r="AK42" s="346"/>
      <c r="AL42" s="390">
        <f t="shared" si="16"/>
        <v>1.2911609196442288E-3</v>
      </c>
      <c r="AM42" s="390">
        <f t="shared" si="16"/>
        <v>2.5814170760884657E-3</v>
      </c>
      <c r="AN42" s="390">
        <f t="shared" si="16"/>
        <v>3.8707691033329676E-3</v>
      </c>
      <c r="AO42" s="390">
        <f t="shared" si="17"/>
        <v>5.1592176349334207E-3</v>
      </c>
      <c r="AP42" s="390">
        <f t="shared" si="18"/>
        <v>1.122269871505248E-2</v>
      </c>
      <c r="AQ42" s="390">
        <f t="shared" si="19"/>
        <v>1.7998712318826094E-2</v>
      </c>
      <c r="AR42" s="390">
        <f t="shared" si="20"/>
        <v>2.5114570475154162E-2</v>
      </c>
      <c r="AS42" s="390">
        <f t="shared" si="21"/>
        <v>3.2566169415929852E-2</v>
      </c>
      <c r="AT42" s="390">
        <f t="shared" si="22"/>
        <v>5.1592176349334207E-3</v>
      </c>
      <c r="AU42" s="390">
        <f t="shared" si="23"/>
        <v>3.2566169415929852E-2</v>
      </c>
      <c r="AX42" s="273">
        <f>VLOOKUP($B42, 'Output 90% Downside'!$A:$CW,42,FALSE)</f>
        <v>5.8999999999999999E-3</v>
      </c>
      <c r="AY42" s="273">
        <f>VLOOKUP($B42, 'Output 90% Downside'!$A:$CW,43,FALSE)</f>
        <v>6.4000000000000003E-3</v>
      </c>
      <c r="AZ42" s="273">
        <f>VLOOKUP($B42, 'Output 90% Downside'!$A:$CW,44,FALSE)</f>
        <v>6.7000000000000002E-3</v>
      </c>
      <c r="BA42" s="273">
        <f>VLOOKUP($B42, 'Output 90% Downside'!$A:$CW,45,FALSE)</f>
        <v>6.8999999999999999E-3</v>
      </c>
      <c r="BB42" s="273">
        <f>VLOOKUP($B42, 'Output 90% Downside'!$A:$CW,46,FALSE)</f>
        <v>7.1000000000000004E-3</v>
      </c>
      <c r="BC42" s="447">
        <f t="shared" si="24"/>
        <v>1.4782747149250097E-3</v>
      </c>
      <c r="BD42" s="447">
        <f t="shared" si="25"/>
        <v>2.9543641337171911E-3</v>
      </c>
      <c r="BE42" s="447">
        <f t="shared" si="26"/>
        <v>4.4282714868446593E-3</v>
      </c>
      <c r="BF42" s="346"/>
      <c r="BG42" s="390">
        <f t="shared" si="27"/>
        <v>2.7238360637561734E-3</v>
      </c>
      <c r="BH42" s="390">
        <f t="shared" si="27"/>
        <v>5.4436455495316186E-3</v>
      </c>
      <c r="BI42" s="390">
        <f t="shared" si="27"/>
        <v>8.1594344097149305E-3</v>
      </c>
      <c r="BJ42" s="390">
        <f t="shared" si="28"/>
        <v>1.0871208587895424E-2</v>
      </c>
      <c r="BK42" s="390">
        <f t="shared" si="29"/>
        <v>2.2594130304209245E-2</v>
      </c>
      <c r="BL42" s="390">
        <f t="shared" si="30"/>
        <v>3.4788020400476162E-2</v>
      </c>
      <c r="BM42" s="390">
        <f t="shared" si="31"/>
        <v>4.7261769374370356E-2</v>
      </c>
      <c r="BN42" s="390">
        <f t="shared" si="32"/>
        <v>6.000851267182198E-2</v>
      </c>
      <c r="BO42" s="390">
        <f t="shared" si="33"/>
        <v>1.0871208587895424E-2</v>
      </c>
      <c r="BP42" s="390">
        <f t="shared" si="34"/>
        <v>6.000851267182198E-2</v>
      </c>
      <c r="BQ42" s="347"/>
      <c r="BU42" s="390">
        <f>IFERROR(AL42*$BS$2+BG42*$BS$4+Q42*$BS$3,VLOOKUP(A42,'Updated Ncino PD'!A:K,4,FALSE))</f>
        <v>1.9360324678928272E-3</v>
      </c>
      <c r="BV42" s="390">
        <f>IFERROR(AM42*$BS$2+BH42*$BS$4+R42*$BS$3,VLOOKUP(A42,'Updated Ncino PD'!A:K,5,FALSE))</f>
        <v>3.8696432028685339E-3</v>
      </c>
      <c r="BW42" s="390">
        <f>IFERROR(AN42*$BS$2+BI42*$BS$4+S42*$BS$3,VLOOKUP(A42,'Updated Ncino PD'!A:K,6,FALSE))</f>
        <v>5.8008357287865232E-3</v>
      </c>
      <c r="BX42" s="390">
        <f>IFERROR(AO42*$BS$2+BJ42*$BS$4+T42*$BS$3,VLOOKUP(A42,'Updated Ncino PD'!A:K,7,FALSE))</f>
        <v>7.7296135637663216E-3</v>
      </c>
      <c r="BY42" s="390">
        <f>IFERROR(AP42*$BS$2+BK42*$BS$4+U42*$BS$3,VLOOKUP(A42,'Updated Ncino PD'!A:K,8,FALSE))</f>
        <v>1.6319812267705392E-2</v>
      </c>
      <c r="BZ42" s="390">
        <f>IFERROR(AQ42*$BS$2+BL42*$BS$4+V42*$BS$3,VLOOKUP(A42,'Updated Ncino PD'!A:K,9,FALSE))</f>
        <v>2.5512563033268994E-2</v>
      </c>
      <c r="CA42" s="390">
        <f>IFERROR(AR42*$BS$2+BM42*$BS$4+W42*$BS$3,VLOOKUP(A42,'Updated Ncino PD'!A:K,10,FALSE))</f>
        <v>3.5007967103157192E-2</v>
      </c>
      <c r="CB42" s="390">
        <f>IFERROR(AS42*$BS$2+BN42*$BS$4+X42*$BS$3,VLOOKUP(A42,'Updated Ncino PD'!A:K,11,FALSE))</f>
        <v>4.4800980045500975E-2</v>
      </c>
      <c r="CC42" s="390">
        <f t="shared" si="36"/>
        <v>7.7296135637663216E-3</v>
      </c>
      <c r="CD42" s="390">
        <f t="shared" si="36"/>
        <v>4.4800980045500975E-2</v>
      </c>
      <c r="CF42" s="450">
        <f t="shared" si="35"/>
        <v>4.1949999999999999E-3</v>
      </c>
      <c r="CG42" s="450">
        <f t="shared" si="35"/>
        <v>4.6849999999999999E-3</v>
      </c>
      <c r="CH42" s="450">
        <f t="shared" si="35"/>
        <v>5.0400000000000002E-3</v>
      </c>
      <c r="CI42" s="450">
        <f t="shared" si="35"/>
        <v>5.2349999999999992E-3</v>
      </c>
      <c r="CJ42" s="450">
        <f t="shared" si="35"/>
        <v>5.4299999999999999E-3</v>
      </c>
    </row>
    <row r="43" spans="1:88" s="355" customFormat="1" hidden="1" x14ac:dyDescent="0.25">
      <c r="A43" s="400">
        <v>1200000157</v>
      </c>
      <c r="B43" s="455" t="str">
        <f>VLOOKUP(A43,'Loan Book Summary'!C:G,5,FALSE)</f>
        <v>0014I00001zbcqS</v>
      </c>
      <c r="C43" s="167">
        <f>VLOOKUP(A43,'Ref-Data'!$A:$I,9,0)</f>
        <v>1</v>
      </c>
      <c r="D43" s="445">
        <f>VLOOKUP(A43,'Adjustment Factor'!A:C,3,0)</f>
        <v>0.85</v>
      </c>
      <c r="E43" s="446">
        <f>VLOOKUP(A43,'Ref-Data'!A:C,2,FALSE)</f>
        <v>1882882.88</v>
      </c>
      <c r="F43" s="445">
        <f>VLOOKUP(A43,'Ref-Data'!$A:$F,6,FALSE)</f>
        <v>3.1676933607118412</v>
      </c>
      <c r="G43" s="346"/>
      <c r="H43" s="273">
        <f>VLOOKUP($B43, 'Output 96% Downside'!$A:$CW,42,FALSE)</f>
        <v>3.9399999999999998E-2</v>
      </c>
      <c r="I43" s="273">
        <f>VLOOKUP($B43, 'Output 96% Downside'!$A:$CW,43,FALSE)</f>
        <v>3.2899999999999999E-2</v>
      </c>
      <c r="J43" s="273">
        <f>VLOOKUP($B43, 'Output 96% Downside'!$A:$CW,44,FALSE)</f>
        <v>2.9600000000000001E-2</v>
      </c>
      <c r="K43" s="273">
        <f>VLOOKUP($B43, 'Output 96% Downside'!$A:$CW,45,FALSE)</f>
        <v>2.7400000000000001E-2</v>
      </c>
      <c r="L43" s="273">
        <f>VLOOKUP($B43, 'Output 96% Downside'!$A:$CW,46,FALSE)</f>
        <v>2.58E-2</v>
      </c>
      <c r="M43" s="447">
        <f t="shared" si="0"/>
        <v>9.9989719679745015E-3</v>
      </c>
      <c r="N43" s="447">
        <f t="shared" si="3"/>
        <v>1.9897964495532716E-2</v>
      </c>
      <c r="O43" s="447">
        <f t="shared" si="4"/>
        <v>2.9697977274296683E-2</v>
      </c>
      <c r="P43" s="346"/>
      <c r="Q43" s="390">
        <f t="shared" si="5"/>
        <v>8.4991261727783256E-3</v>
      </c>
      <c r="R43" s="390">
        <f t="shared" si="5"/>
        <v>1.6913269821202809E-2</v>
      </c>
      <c r="S43" s="390">
        <f t="shared" si="5"/>
        <v>2.5243280683152181E-2</v>
      </c>
      <c r="T43" s="390">
        <f t="shared" si="6"/>
        <v>3.3489999999999999E-2</v>
      </c>
      <c r="U43" s="390">
        <f t="shared" si="7"/>
        <v>6.0353178999999986E-2</v>
      </c>
      <c r="V43" s="390">
        <f t="shared" si="8"/>
        <v>8.372672490159995E-2</v>
      </c>
      <c r="W43" s="390">
        <f t="shared" si="9"/>
        <v>0.10472261263929609</v>
      </c>
      <c r="X43" s="390">
        <f t="shared" si="10"/>
        <v>0.12395076923320225</v>
      </c>
      <c r="Y43" s="390">
        <f t="shared" si="11"/>
        <v>3.3489999999999999E-2</v>
      </c>
      <c r="Z43" s="390">
        <f t="shared" si="12"/>
        <v>0.10472261263929609</v>
      </c>
      <c r="AC43" s="273">
        <f>VLOOKUP($B43, 'Output Baseline'!$A:$CW,42,FALSE)</f>
        <v>5.7999999999999996E-3</v>
      </c>
      <c r="AD43" s="273">
        <f>VLOOKUP($B43, 'Output Baseline'!$A:$CW,43,FALSE)</f>
        <v>6.1999999999999998E-3</v>
      </c>
      <c r="AE43" s="273">
        <f>VLOOKUP($B43, 'Output Baseline'!$A:$CW,44,FALSE)</f>
        <v>6.4999999999999997E-3</v>
      </c>
      <c r="AF43" s="273">
        <f>VLOOKUP($B43, 'Output Baseline'!$A:$CW,45,FALSE)</f>
        <v>6.6E-3</v>
      </c>
      <c r="AG43" s="273">
        <f>VLOOKUP($B43, 'Output Baseline'!$A:$CW,46,FALSE)</f>
        <v>6.7999999999999996E-3</v>
      </c>
      <c r="AH43" s="447">
        <f t="shared" si="13"/>
        <v>1.4531644629207641E-3</v>
      </c>
      <c r="AI43" s="447">
        <f t="shared" si="14"/>
        <v>2.9042172388852316E-3</v>
      </c>
      <c r="AJ43" s="447">
        <f t="shared" si="15"/>
        <v>4.3531613965218652E-3</v>
      </c>
      <c r="AK43" s="346"/>
      <c r="AL43" s="390">
        <f t="shared" si="16"/>
        <v>1.2351897934826494E-3</v>
      </c>
      <c r="AM43" s="390">
        <f t="shared" si="16"/>
        <v>2.468584653052447E-3</v>
      </c>
      <c r="AN43" s="390">
        <f t="shared" si="16"/>
        <v>3.7001871870435852E-3</v>
      </c>
      <c r="AO43" s="390">
        <f t="shared" si="17"/>
        <v>4.9299999999999995E-3</v>
      </c>
      <c r="AP43" s="390">
        <f t="shared" si="18"/>
        <v>1.0169434000000055E-2</v>
      </c>
      <c r="AQ43" s="390">
        <f t="shared" si="19"/>
        <v>1.5628332679000011E-2</v>
      </c>
      <c r="AR43" s="390">
        <f t="shared" si="20"/>
        <v>2.1135185683318691E-2</v>
      </c>
      <c r="AS43" s="390">
        <f t="shared" si="21"/>
        <v>2.677146642067213E-2</v>
      </c>
      <c r="AT43" s="390">
        <f t="shared" si="22"/>
        <v>4.9299999999999995E-3</v>
      </c>
      <c r="AU43" s="390">
        <f t="shared" si="23"/>
        <v>2.1135185683318691E-2</v>
      </c>
      <c r="AX43" s="273">
        <f>VLOOKUP($B43, 'Output 90% Downside'!$A:$CW,42,FALSE)</f>
        <v>2.01E-2</v>
      </c>
      <c r="AY43" s="273">
        <f>VLOOKUP($B43, 'Output 90% Downside'!$A:$CW,43,FALSE)</f>
        <v>1.7999999999999999E-2</v>
      </c>
      <c r="AZ43" s="273">
        <f>VLOOKUP($B43, 'Output 90% Downside'!$A:$CW,44,FALSE)</f>
        <v>1.6899999999999998E-2</v>
      </c>
      <c r="BA43" s="273">
        <f>VLOOKUP($B43, 'Output 90% Downside'!$A:$CW,45,FALSE)</f>
        <v>1.61E-2</v>
      </c>
      <c r="BB43" s="273">
        <f>VLOOKUP($B43, 'Output 90% Downside'!$A:$CW,46,FALSE)</f>
        <v>1.5599999999999999E-2</v>
      </c>
      <c r="BC43" s="447">
        <f t="shared" si="24"/>
        <v>5.0633262637197474E-3</v>
      </c>
      <c r="BD43" s="447">
        <f t="shared" si="25"/>
        <v>1.0101015254586621E-2</v>
      </c>
      <c r="BE43" s="447">
        <f t="shared" si="26"/>
        <v>1.5113196782477578E-2</v>
      </c>
      <c r="BF43" s="346"/>
      <c r="BG43" s="390">
        <f t="shared" si="27"/>
        <v>4.3038273241617847E-3</v>
      </c>
      <c r="BH43" s="390">
        <f t="shared" si="27"/>
        <v>8.5858629663986274E-3</v>
      </c>
      <c r="BI43" s="390">
        <f t="shared" si="27"/>
        <v>1.2846217265105941E-2</v>
      </c>
      <c r="BJ43" s="390">
        <f t="shared" si="28"/>
        <v>1.7084999999999999E-2</v>
      </c>
      <c r="BK43" s="390">
        <f t="shared" si="29"/>
        <v>3.2077470000000045E-2</v>
      </c>
      <c r="BL43" s="390">
        <f t="shared" si="30"/>
        <v>4.5900360757000068E-2</v>
      </c>
      <c r="BM43" s="390">
        <f t="shared" si="31"/>
        <v>5.8846364948812326E-2</v>
      </c>
      <c r="BN43" s="390">
        <f t="shared" si="32"/>
        <v>7.118836165561078E-2</v>
      </c>
      <c r="BO43" s="390">
        <f t="shared" si="33"/>
        <v>1.7084999999999999E-2</v>
      </c>
      <c r="BP43" s="390">
        <f t="shared" si="34"/>
        <v>5.8846364948812326E-2</v>
      </c>
      <c r="BQ43" s="347"/>
      <c r="BU43" s="390">
        <f>IFERROR(AL43*$BS$2+BG43*$BS$4+Q43*$BS$3,VLOOKUP(A43,'Updated Ncino PD'!A:K,4,FALSE))</f>
        <v>2.6724097481851308E-3</v>
      </c>
      <c r="BV43" s="390">
        <f>IFERROR(AM43*$BS$2+BH43*$BS$4+R43*$BS$3,VLOOKUP(A43,'Updated Ncino PD'!A:K,5,FALSE))</f>
        <v>5.331866321131128E-3</v>
      </c>
      <c r="BW43" s="390">
        <f>IFERROR(AN43*$BS$2+BI43*$BS$4+S43*$BS$3,VLOOKUP(A43,'Updated Ncino PD'!A:K,6,FALSE))</f>
        <v>7.9784523891708384E-3</v>
      </c>
      <c r="BX43" s="390">
        <f>IFERROR(AO43*$BS$2+BJ43*$BS$4+T43*$BS$3,VLOOKUP(A43,'Updated Ncino PD'!A:K,7,FALSE))</f>
        <v>1.061225E-2</v>
      </c>
      <c r="BY43" s="390">
        <f>IFERROR(AP43*$BS$2+BK43*$BS$4+U43*$BS$3,VLOOKUP(A43,'Updated Ncino PD'!A:K,8,FALSE))</f>
        <v>2.0346433850000047E-2</v>
      </c>
      <c r="BZ43" s="390">
        <f>IFERROR(AQ43*$BS$2+BL43*$BS$4+V43*$BS$3,VLOOKUP(A43,'Updated Ncino PD'!A:K,9,FALSE))</f>
        <v>2.9628462117430025E-2</v>
      </c>
      <c r="CA43" s="390">
        <f>IFERROR(AR43*$BS$2+BM43*$BS$4+W43*$BS$3,VLOOKUP(A43,'Updated Ncino PD'!A:K,10,FALSE))</f>
        <v>3.8513469774040333E-2</v>
      </c>
      <c r="CB43" s="390">
        <f>IFERROR(AS43*$BS$2+BN43*$BS$4+X43*$BS$3,VLOOKUP(A43,'Updated Ncino PD'!A:K,11,FALSE))</f>
        <v>4.7176344893527164E-2</v>
      </c>
      <c r="CC43" s="390">
        <f t="shared" ref="CC43:CD71" si="37">AT43*$BS$2+BO43*$BS$4+Y43*$BS$3</f>
        <v>1.061225E-2</v>
      </c>
      <c r="CD43" s="390">
        <f t="shared" si="37"/>
        <v>3.8513469774040333E-2</v>
      </c>
      <c r="CF43" s="450">
        <f t="shared" si="35"/>
        <v>1.2485E-2</v>
      </c>
      <c r="CG43" s="450">
        <f t="shared" si="35"/>
        <v>1.1664999999999998E-2</v>
      </c>
      <c r="CH43" s="450">
        <f t="shared" si="35"/>
        <v>1.1294999999999999E-2</v>
      </c>
      <c r="CI43" s="450">
        <f t="shared" si="35"/>
        <v>1.0964999999999999E-2</v>
      </c>
      <c r="CJ43" s="450">
        <f t="shared" si="35"/>
        <v>1.0829999999999999E-2</v>
      </c>
    </row>
    <row r="44" spans="1:88" s="355" customFormat="1" hidden="1" x14ac:dyDescent="0.25">
      <c r="A44" s="400">
        <v>1200000002</v>
      </c>
      <c r="B44" s="455" t="str">
        <f>VLOOKUP(A44,'Loan Book Summary'!C:G,5,FALSE)</f>
        <v>0014I00001zbxX3</v>
      </c>
      <c r="C44" s="167">
        <f>VLOOKUP(A44,'Ref-Data'!$A:$I,9,0)</f>
        <v>1</v>
      </c>
      <c r="D44" s="445">
        <f>VLOOKUP(A44,'Adjustment Factor'!A:C,3,0)</f>
        <v>0.85</v>
      </c>
      <c r="E44" s="446">
        <f>VLOOKUP(A44,'Ref-Data'!A:C,2,FALSE)</f>
        <v>15000000</v>
      </c>
      <c r="F44" s="445">
        <f>VLOOKUP(A44,'Ref-Data'!$A:$F,6,FALSE)</f>
        <v>1.1663244353182751</v>
      </c>
      <c r="G44" s="346"/>
      <c r="H44" s="273">
        <f>VLOOKUP($B44, 'Output 96% Downside'!$A:$CW,42,FALSE)</f>
        <v>8.3000000000000001E-3</v>
      </c>
      <c r="I44" s="273">
        <f>VLOOKUP($B44, 'Output 96% Downside'!$A:$CW,43,FALSE)</f>
        <v>7.1000000000000004E-3</v>
      </c>
      <c r="J44" s="273">
        <f>VLOOKUP($B44, 'Output 96% Downside'!$A:$CW,44,FALSE)</f>
        <v>6.4999999999999997E-3</v>
      </c>
      <c r="K44" s="273">
        <f>VLOOKUP($B44, 'Output 96% Downside'!$A:$CW,45,FALSE)</f>
        <v>6.1000000000000004E-3</v>
      </c>
      <c r="L44" s="273">
        <f>VLOOKUP($B44, 'Output 96% Downside'!$A:$CW,46,FALSE)</f>
        <v>5.7999999999999996E-3</v>
      </c>
      <c r="M44" s="447">
        <f t="shared" si="0"/>
        <v>2.0814898866517995E-3</v>
      </c>
      <c r="N44" s="447">
        <f t="shared" si="3"/>
        <v>4.1586471731553942E-3</v>
      </c>
      <c r="O44" s="447">
        <f t="shared" si="4"/>
        <v>6.2314808777741426E-3</v>
      </c>
      <c r="P44" s="346"/>
      <c r="Q44" s="390">
        <f t="shared" si="5"/>
        <v>1.7692664036540295E-3</v>
      </c>
      <c r="R44" s="390">
        <f t="shared" si="5"/>
        <v>3.5348500971820848E-3</v>
      </c>
      <c r="S44" s="390">
        <f t="shared" si="5"/>
        <v>5.2967587461080212E-3</v>
      </c>
      <c r="T44" s="390">
        <f t="shared" si="6"/>
        <v>7.0549999999999996E-3</v>
      </c>
      <c r="U44" s="390">
        <f t="shared" si="7"/>
        <v>1.3039909499999962E-2</v>
      </c>
      <c r="V44" s="390">
        <f t="shared" si="8"/>
        <v>1.8480150088249925E-2</v>
      </c>
      <c r="W44" s="390">
        <f t="shared" si="9"/>
        <v>2.3552421172711623E-2</v>
      </c>
      <c r="X44" s="390">
        <f t="shared" si="10"/>
        <v>2.8345817129909939E-2</v>
      </c>
      <c r="Y44" s="390">
        <f t="shared" si="11"/>
        <v>7.0549999999999996E-3</v>
      </c>
      <c r="Z44" s="390">
        <f t="shared" si="12"/>
        <v>1.3039909499999962E-2</v>
      </c>
      <c r="AC44" s="273">
        <f>VLOOKUP($B44, 'Output Baseline'!$A:$CW,42,FALSE)</f>
        <v>4.1999999999999997E-3</v>
      </c>
      <c r="AD44" s="273">
        <f>VLOOKUP($B44, 'Output Baseline'!$A:$CW,43,FALSE)</f>
        <v>3.7000000000000002E-3</v>
      </c>
      <c r="AE44" s="273">
        <f>VLOOKUP($B44, 'Output Baseline'!$A:$CW,44,FALSE)</f>
        <v>3.3999999999999998E-3</v>
      </c>
      <c r="AF44" s="273">
        <f>VLOOKUP($B44, 'Output Baseline'!$A:$CW,45,FALSE)</f>
        <v>3.2000000000000002E-3</v>
      </c>
      <c r="AG44" s="273">
        <f>VLOOKUP($B44, 'Output Baseline'!$A:$CW,46,FALSE)</f>
        <v>3.0999999999999999E-3</v>
      </c>
      <c r="AH44" s="447">
        <f t="shared" si="13"/>
        <v>1.0516578134237564E-3</v>
      </c>
      <c r="AI44" s="447">
        <f t="shared" si="14"/>
        <v>2.1022096426910331E-3</v>
      </c>
      <c r="AJ44" s="447">
        <f t="shared" si="15"/>
        <v>3.151656650918544E-3</v>
      </c>
      <c r="AK44" s="346"/>
      <c r="AL44" s="390">
        <f t="shared" si="16"/>
        <v>8.9390914141019293E-4</v>
      </c>
      <c r="AM44" s="390">
        <f t="shared" si="16"/>
        <v>1.7868781962873781E-3</v>
      </c>
      <c r="AN44" s="390">
        <f t="shared" si="16"/>
        <v>2.6789081532807625E-3</v>
      </c>
      <c r="AO44" s="390">
        <f t="shared" si="17"/>
        <v>3.5699999999999998E-3</v>
      </c>
      <c r="AP44" s="390">
        <f t="shared" si="18"/>
        <v>6.7017909999999847E-3</v>
      </c>
      <c r="AQ44" s="390">
        <f t="shared" si="19"/>
        <v>9.5690049105999035E-3</v>
      </c>
      <c r="AR44" s="390">
        <f t="shared" si="20"/>
        <v>1.2258384094885926E-2</v>
      </c>
      <c r="AS44" s="390">
        <f t="shared" si="21"/>
        <v>1.4855383104191733E-2</v>
      </c>
      <c r="AT44" s="390">
        <f t="shared" si="22"/>
        <v>3.5699999999999998E-3</v>
      </c>
      <c r="AU44" s="390">
        <f t="shared" si="23"/>
        <v>6.7017909999999847E-3</v>
      </c>
      <c r="AX44" s="273">
        <f>VLOOKUP($B44, 'Output 90% Downside'!$A:$CW,42,FALSE)</f>
        <v>6.4999999999999997E-3</v>
      </c>
      <c r="AY44" s="273">
        <f>VLOOKUP($B44, 'Output 90% Downside'!$A:$CW,43,FALSE)</f>
        <v>5.5999999999999999E-3</v>
      </c>
      <c r="AZ44" s="273">
        <f>VLOOKUP($B44, 'Output 90% Downside'!$A:$CW,44,FALSE)</f>
        <v>5.1999999999999998E-3</v>
      </c>
      <c r="BA44" s="273">
        <f>VLOOKUP($B44, 'Output 90% Downside'!$A:$CW,45,FALSE)</f>
        <v>4.8999999999999998E-3</v>
      </c>
      <c r="BB44" s="273">
        <f>VLOOKUP($B44, 'Output 90% Downside'!$A:$CW,46,FALSE)</f>
        <v>4.7000000000000002E-3</v>
      </c>
      <c r="BC44" s="447">
        <f t="shared" si="24"/>
        <v>1.6289760234977635E-3</v>
      </c>
      <c r="BD44" s="447">
        <f t="shared" si="25"/>
        <v>3.255298484110436E-3</v>
      </c>
      <c r="BE44" s="447">
        <f t="shared" si="26"/>
        <v>4.8789717044283032E-3</v>
      </c>
      <c r="BF44" s="346"/>
      <c r="BG44" s="390">
        <f t="shared" si="27"/>
        <v>1.384629619973099E-3</v>
      </c>
      <c r="BH44" s="390">
        <f t="shared" si="27"/>
        <v>2.7670037114938704E-3</v>
      </c>
      <c r="BI44" s="390">
        <f t="shared" si="27"/>
        <v>4.1471259487640575E-3</v>
      </c>
      <c r="BJ44" s="390">
        <f t="shared" si="28"/>
        <v>5.5249999999999995E-3</v>
      </c>
      <c r="BK44" s="390">
        <f t="shared" si="29"/>
        <v>1.0254059999999959E-2</v>
      </c>
      <c r="BL44" s="390">
        <f t="shared" si="30"/>
        <v>1.4620738887999979E-2</v>
      </c>
      <c r="BM44" s="390">
        <f t="shared" si="31"/>
        <v>1.8714097267448753E-2</v>
      </c>
      <c r="BN44" s="390">
        <f t="shared" si="32"/>
        <v>2.2621141010291734E-2</v>
      </c>
      <c r="BO44" s="390">
        <f t="shared" si="33"/>
        <v>5.5249999999999995E-3</v>
      </c>
      <c r="BP44" s="390">
        <f t="shared" si="34"/>
        <v>1.0254059999999959E-2</v>
      </c>
      <c r="BQ44" s="347"/>
      <c r="BU44" s="390">
        <f>IFERROR(AL44*$BS$2+BG44*$BS$4+Q44*$BS$3,VLOOKUP(A44,'Updated Ncino PD'!A:K,4,FALSE))</f>
        <v>1.1094291720194019E-3</v>
      </c>
      <c r="BV44" s="390">
        <f>IFERROR(AM44*$BS$2+BH44*$BS$4+R44*$BS$3,VLOOKUP(A44,'Updated Ncino PD'!A:K,5,FALSE))</f>
        <v>2.2173207216543856E-3</v>
      </c>
      <c r="BW44" s="390">
        <f>IFERROR(AN44*$BS$2+BI44*$BS$4+S44*$BS$3,VLOOKUP(A44,'Updated Ncino PD'!A:K,6,FALSE))</f>
        <v>3.3236769113412787E-3</v>
      </c>
      <c r="BX44" s="390">
        <f>IFERROR(AO44*$BS$2+BJ44*$BS$4+T44*$BS$3,VLOOKUP(A44,'Updated Ncino PD'!A:K,7,FALSE))</f>
        <v>4.4284999999999993E-3</v>
      </c>
      <c r="BY44" s="390">
        <f>IFERROR(AP44*$BS$2+BK44*$BS$4+U44*$BS$3,VLOOKUP(A44,'Updated Ncino PD'!A:K,8,FALSE))</f>
        <v>8.2619910749999748E-3</v>
      </c>
      <c r="BZ44" s="390">
        <f>IFERROR(AQ44*$BS$2+BL44*$BS$4+V44*$BS$3,VLOOKUP(A44,'Updated Ncino PD'!A:K,9,FALSE))</f>
        <v>1.178266906157243E-2</v>
      </c>
      <c r="CA44" s="390">
        <f>IFERROR(AR44*$BS$2+BM44*$BS$4+W44*$BS$3,VLOOKUP(A44,'Updated Ncino PD'!A:K,10,FALSE))</f>
        <v>1.5082585559174201E-2</v>
      </c>
      <c r="CB44" s="390">
        <f>IFERROR(AS44*$BS$2+BN44*$BS$4+X44*$BS$3,VLOOKUP(A44,'Updated Ncino PD'!A:K,11,FALSE))</f>
        <v>1.8247920072612642E-2</v>
      </c>
      <c r="CC44" s="390">
        <f t="shared" si="37"/>
        <v>4.4284999999999993E-3</v>
      </c>
      <c r="CD44" s="390">
        <f t="shared" si="37"/>
        <v>8.2619910749999748E-3</v>
      </c>
      <c r="CF44" s="450">
        <f t="shared" si="35"/>
        <v>5.2099999999999994E-3</v>
      </c>
      <c r="CG44" s="450">
        <f t="shared" si="35"/>
        <v>4.535E-3</v>
      </c>
      <c r="CH44" s="450">
        <f t="shared" si="35"/>
        <v>4.1849999999999995E-3</v>
      </c>
      <c r="CI44" s="450">
        <f t="shared" si="35"/>
        <v>3.9399999999999999E-3</v>
      </c>
      <c r="CJ44" s="450">
        <f t="shared" si="35"/>
        <v>3.7949999999999998E-3</v>
      </c>
    </row>
    <row r="45" spans="1:88" s="355" customFormat="1" hidden="1" x14ac:dyDescent="0.25">
      <c r="A45" s="400">
        <v>1100000225</v>
      </c>
      <c r="B45" s="455" t="str">
        <f>VLOOKUP(A45,'Loan Book Summary'!C:G,5,FALSE)</f>
        <v>0014I00001zbxX3</v>
      </c>
      <c r="C45" s="167">
        <f>VLOOKUP(A45,'Ref-Data'!$A:$I,9,0)</f>
        <v>1</v>
      </c>
      <c r="D45" s="445">
        <f>VLOOKUP(A45,'Adjustment Factor'!A:C,3,0)</f>
        <v>0.85</v>
      </c>
      <c r="E45" s="446">
        <f>VLOOKUP(A45,'Ref-Data'!A:C,2,FALSE)</f>
        <v>15000000</v>
      </c>
      <c r="F45" s="445">
        <f>VLOOKUP(A45,'Ref-Data'!$A:$F,6,FALSE)</f>
        <v>1.1663244353182751</v>
      </c>
      <c r="G45" s="346"/>
      <c r="H45" s="273">
        <f>VLOOKUP($B45, 'Output 96% Downside'!$A:$CW,42,FALSE)</f>
        <v>8.3000000000000001E-3</v>
      </c>
      <c r="I45" s="273">
        <f>VLOOKUP($B45, 'Output 96% Downside'!$A:$CW,43,FALSE)</f>
        <v>7.1000000000000004E-3</v>
      </c>
      <c r="J45" s="273">
        <f>VLOOKUP($B45, 'Output 96% Downside'!$A:$CW,44,FALSE)</f>
        <v>6.4999999999999997E-3</v>
      </c>
      <c r="K45" s="273">
        <f>VLOOKUP($B45, 'Output 96% Downside'!$A:$CW,45,FALSE)</f>
        <v>6.1000000000000004E-3</v>
      </c>
      <c r="L45" s="273">
        <f>VLOOKUP($B45, 'Output 96% Downside'!$A:$CW,46,FALSE)</f>
        <v>5.7999999999999996E-3</v>
      </c>
      <c r="M45" s="447">
        <f t="shared" si="0"/>
        <v>2.0814898866517995E-3</v>
      </c>
      <c r="N45" s="447">
        <f t="shared" si="3"/>
        <v>4.1586471731553942E-3</v>
      </c>
      <c r="O45" s="447">
        <f t="shared" si="4"/>
        <v>6.2314808777741426E-3</v>
      </c>
      <c r="P45" s="346"/>
      <c r="Q45" s="390">
        <f t="shared" si="5"/>
        <v>1.7692664036540295E-3</v>
      </c>
      <c r="R45" s="390">
        <f t="shared" si="5"/>
        <v>3.5348500971820848E-3</v>
      </c>
      <c r="S45" s="390">
        <f t="shared" si="5"/>
        <v>5.2967587461080212E-3</v>
      </c>
      <c r="T45" s="390">
        <f t="shared" si="6"/>
        <v>7.0549999999999996E-3</v>
      </c>
      <c r="U45" s="390">
        <f t="shared" si="7"/>
        <v>1.3039909499999962E-2</v>
      </c>
      <c r="V45" s="390">
        <f t="shared" si="8"/>
        <v>1.8480150088249925E-2</v>
      </c>
      <c r="W45" s="390">
        <f t="shared" si="9"/>
        <v>2.3552421172711623E-2</v>
      </c>
      <c r="X45" s="390">
        <f t="shared" si="10"/>
        <v>2.8345817129909939E-2</v>
      </c>
      <c r="Y45" s="390">
        <f t="shared" si="11"/>
        <v>7.0549999999999996E-3</v>
      </c>
      <c r="Z45" s="390">
        <f t="shared" si="12"/>
        <v>1.3039909499999962E-2</v>
      </c>
      <c r="AC45" s="273">
        <f>VLOOKUP($B45, 'Output Baseline'!$A:$CW,42,FALSE)</f>
        <v>4.1999999999999997E-3</v>
      </c>
      <c r="AD45" s="273">
        <f>VLOOKUP($B45, 'Output Baseline'!$A:$CW,43,FALSE)</f>
        <v>3.7000000000000002E-3</v>
      </c>
      <c r="AE45" s="273">
        <f>VLOOKUP($B45, 'Output Baseline'!$A:$CW,44,FALSE)</f>
        <v>3.3999999999999998E-3</v>
      </c>
      <c r="AF45" s="273">
        <f>VLOOKUP($B45, 'Output Baseline'!$A:$CW,45,FALSE)</f>
        <v>3.2000000000000002E-3</v>
      </c>
      <c r="AG45" s="273">
        <f>VLOOKUP($B45, 'Output Baseline'!$A:$CW,46,FALSE)</f>
        <v>3.0999999999999999E-3</v>
      </c>
      <c r="AH45" s="447">
        <f t="shared" si="13"/>
        <v>1.0516578134237564E-3</v>
      </c>
      <c r="AI45" s="447">
        <f t="shared" si="14"/>
        <v>2.1022096426910331E-3</v>
      </c>
      <c r="AJ45" s="447">
        <f t="shared" si="15"/>
        <v>3.151656650918544E-3</v>
      </c>
      <c r="AK45" s="346"/>
      <c r="AL45" s="390">
        <f t="shared" si="16"/>
        <v>8.9390914141019293E-4</v>
      </c>
      <c r="AM45" s="390">
        <f t="shared" si="16"/>
        <v>1.7868781962873781E-3</v>
      </c>
      <c r="AN45" s="390">
        <f t="shared" si="16"/>
        <v>2.6789081532807625E-3</v>
      </c>
      <c r="AO45" s="390">
        <f t="shared" si="17"/>
        <v>3.5699999999999998E-3</v>
      </c>
      <c r="AP45" s="390">
        <f t="shared" si="18"/>
        <v>6.7017909999999847E-3</v>
      </c>
      <c r="AQ45" s="390">
        <f t="shared" si="19"/>
        <v>9.5690049105999035E-3</v>
      </c>
      <c r="AR45" s="390">
        <f t="shared" si="20"/>
        <v>1.2258384094885926E-2</v>
      </c>
      <c r="AS45" s="390">
        <f t="shared" si="21"/>
        <v>1.4855383104191733E-2</v>
      </c>
      <c r="AT45" s="390">
        <f t="shared" si="22"/>
        <v>3.5699999999999998E-3</v>
      </c>
      <c r="AU45" s="390">
        <f t="shared" si="23"/>
        <v>6.7017909999999847E-3</v>
      </c>
      <c r="AX45" s="273">
        <f>VLOOKUP($B45, 'Output 90% Downside'!$A:$CW,42,FALSE)</f>
        <v>6.4999999999999997E-3</v>
      </c>
      <c r="AY45" s="273">
        <f>VLOOKUP($B45, 'Output 90% Downside'!$A:$CW,43,FALSE)</f>
        <v>5.5999999999999999E-3</v>
      </c>
      <c r="AZ45" s="273">
        <f>VLOOKUP($B45, 'Output 90% Downside'!$A:$CW,44,FALSE)</f>
        <v>5.1999999999999998E-3</v>
      </c>
      <c r="BA45" s="273">
        <f>VLOOKUP($B45, 'Output 90% Downside'!$A:$CW,45,FALSE)</f>
        <v>4.8999999999999998E-3</v>
      </c>
      <c r="BB45" s="273">
        <f>VLOOKUP($B45, 'Output 90% Downside'!$A:$CW,46,FALSE)</f>
        <v>4.7000000000000002E-3</v>
      </c>
      <c r="BC45" s="447">
        <f t="shared" si="24"/>
        <v>1.6289760234977635E-3</v>
      </c>
      <c r="BD45" s="447">
        <f t="shared" si="25"/>
        <v>3.255298484110436E-3</v>
      </c>
      <c r="BE45" s="447">
        <f t="shared" si="26"/>
        <v>4.8789717044283032E-3</v>
      </c>
      <c r="BF45" s="346"/>
      <c r="BG45" s="390">
        <f t="shared" si="27"/>
        <v>1.384629619973099E-3</v>
      </c>
      <c r="BH45" s="390">
        <f t="shared" si="27"/>
        <v>2.7670037114938704E-3</v>
      </c>
      <c r="BI45" s="390">
        <f t="shared" si="27"/>
        <v>4.1471259487640575E-3</v>
      </c>
      <c r="BJ45" s="390">
        <f t="shared" si="28"/>
        <v>5.5249999999999995E-3</v>
      </c>
      <c r="BK45" s="390">
        <f t="shared" si="29"/>
        <v>1.0254059999999959E-2</v>
      </c>
      <c r="BL45" s="390">
        <f t="shared" si="30"/>
        <v>1.4620738887999979E-2</v>
      </c>
      <c r="BM45" s="390">
        <f t="shared" si="31"/>
        <v>1.8714097267448753E-2</v>
      </c>
      <c r="BN45" s="390">
        <f t="shared" si="32"/>
        <v>2.2621141010291734E-2</v>
      </c>
      <c r="BO45" s="390">
        <f t="shared" si="33"/>
        <v>5.5249999999999995E-3</v>
      </c>
      <c r="BP45" s="390">
        <f t="shared" si="34"/>
        <v>1.0254059999999959E-2</v>
      </c>
      <c r="BQ45" s="347"/>
      <c r="BU45" s="390">
        <f>IFERROR(AL45*$BS$2+BG45*$BS$4+Q45*$BS$3,VLOOKUP(A45,'Updated Ncino PD'!A:K,4,FALSE))</f>
        <v>1.1094291720194019E-3</v>
      </c>
      <c r="BV45" s="390">
        <f>IFERROR(AM45*$BS$2+BH45*$BS$4+R45*$BS$3,VLOOKUP(A45,'Updated Ncino PD'!A:K,5,FALSE))</f>
        <v>2.2173207216543856E-3</v>
      </c>
      <c r="BW45" s="390">
        <f>IFERROR(AN45*$BS$2+BI45*$BS$4+S45*$BS$3,VLOOKUP(A45,'Updated Ncino PD'!A:K,6,FALSE))</f>
        <v>3.3236769113412787E-3</v>
      </c>
      <c r="BX45" s="390">
        <f>IFERROR(AO45*$BS$2+BJ45*$BS$4+T45*$BS$3,VLOOKUP(A45,'Updated Ncino PD'!A:K,7,FALSE))</f>
        <v>4.4284999999999993E-3</v>
      </c>
      <c r="BY45" s="390">
        <f>IFERROR(AP45*$BS$2+BK45*$BS$4+U45*$BS$3,VLOOKUP(A45,'Updated Ncino PD'!A:K,8,FALSE))</f>
        <v>8.2619910749999748E-3</v>
      </c>
      <c r="BZ45" s="390">
        <f>IFERROR(AQ45*$BS$2+BL45*$BS$4+V45*$BS$3,VLOOKUP(A45,'Updated Ncino PD'!A:K,9,FALSE))</f>
        <v>1.178266906157243E-2</v>
      </c>
      <c r="CA45" s="390">
        <f>IFERROR(AR45*$BS$2+BM45*$BS$4+W45*$BS$3,VLOOKUP(A45,'Updated Ncino PD'!A:K,10,FALSE))</f>
        <v>1.5082585559174201E-2</v>
      </c>
      <c r="CB45" s="390">
        <f>IFERROR(AS45*$BS$2+BN45*$BS$4+X45*$BS$3,VLOOKUP(A45,'Updated Ncino PD'!A:K,11,FALSE))</f>
        <v>1.8247920072612642E-2</v>
      </c>
      <c r="CC45" s="390">
        <f t="shared" si="37"/>
        <v>4.4284999999999993E-3</v>
      </c>
      <c r="CD45" s="390">
        <f t="shared" si="37"/>
        <v>8.2619910749999748E-3</v>
      </c>
      <c r="CF45" s="450">
        <f t="shared" si="35"/>
        <v>5.2099999999999994E-3</v>
      </c>
      <c r="CG45" s="450">
        <f t="shared" si="35"/>
        <v>4.535E-3</v>
      </c>
      <c r="CH45" s="450">
        <f t="shared" si="35"/>
        <v>4.1849999999999995E-3</v>
      </c>
      <c r="CI45" s="450">
        <f t="shared" si="35"/>
        <v>3.9399999999999999E-3</v>
      </c>
      <c r="CJ45" s="450">
        <f t="shared" si="35"/>
        <v>3.7949999999999998E-3</v>
      </c>
    </row>
    <row r="46" spans="1:88" s="355" customFormat="1" hidden="1" x14ac:dyDescent="0.25">
      <c r="A46" s="400">
        <v>1100000111</v>
      </c>
      <c r="B46" s="455" t="str">
        <f>VLOOKUP(A46,'Loan Book Summary'!C:G,5,FALSE)</f>
        <v>0014I000023fvfX</v>
      </c>
      <c r="C46" s="167">
        <f>VLOOKUP(A46,'Ref-Data'!$A:$I,9,0)</f>
        <v>1</v>
      </c>
      <c r="D46" s="445">
        <f>VLOOKUP(A46,'Adjustment Factor'!A:C,3,0)</f>
        <v>0.85</v>
      </c>
      <c r="E46" s="446">
        <f>VLOOKUP(A46,'Ref-Data'!A:C,2,FALSE)</f>
        <v>1000000</v>
      </c>
      <c r="F46" s="445">
        <f>VLOOKUP(A46,'Ref-Data'!$A:$F,6,FALSE)</f>
        <v>1.3963039014373717</v>
      </c>
      <c r="G46" s="346"/>
      <c r="H46" s="273">
        <f>VLOOKUP($B46, 'Output 96% Downside'!$A:$CW,42,FALSE)</f>
        <v>4.5999999999999999E-3</v>
      </c>
      <c r="I46" s="273">
        <f>VLOOKUP($B46, 'Output 96% Downside'!$A:$CW,43,FALSE)</f>
        <v>5.4999999999999997E-3</v>
      </c>
      <c r="J46" s="273">
        <f>VLOOKUP($B46, 'Output 96% Downside'!$A:$CW,44,FALSE)</f>
        <v>6.0000000000000001E-3</v>
      </c>
      <c r="K46" s="273">
        <f>VLOOKUP($B46, 'Output 96% Downside'!$A:$CW,45,FALSE)</f>
        <v>6.4999999999999997E-3</v>
      </c>
      <c r="L46" s="273">
        <f>VLOOKUP($B46, 'Output 96% Downside'!$A:$CW,46,FALSE)</f>
        <v>6.7999999999999996E-3</v>
      </c>
      <c r="M46" s="447">
        <f t="shared" si="0"/>
        <v>1.1519890899549523E-3</v>
      </c>
      <c r="N46" s="447">
        <f t="shared" si="3"/>
        <v>2.3026511010465489E-3</v>
      </c>
      <c r="O46" s="447">
        <f t="shared" si="4"/>
        <v>3.4519875620551144E-3</v>
      </c>
      <c r="P46" s="346"/>
      <c r="Q46" s="390">
        <f t="shared" si="5"/>
        <v>9.7919072646170937E-4</v>
      </c>
      <c r="R46" s="390">
        <f t="shared" si="5"/>
        <v>1.9572534358895666E-3</v>
      </c>
      <c r="S46" s="390">
        <f t="shared" si="5"/>
        <v>2.9341894277468473E-3</v>
      </c>
      <c r="T46" s="390">
        <f t="shared" si="6"/>
        <v>3.9099999999999994E-3</v>
      </c>
      <c r="U46" s="390">
        <f t="shared" si="7"/>
        <v>8.5634949999999922E-3</v>
      </c>
      <c r="V46" s="390">
        <f t="shared" si="8"/>
        <v>1.3612114030000039E-2</v>
      </c>
      <c r="W46" s="390">
        <f t="shared" si="9"/>
        <v>1.9048635288805019E-2</v>
      </c>
      <c r="X46" s="390">
        <f t="shared" si="10"/>
        <v>2.4699104568841196E-2</v>
      </c>
      <c r="Y46" s="390">
        <f t="shared" si="11"/>
        <v>3.9099999999999994E-3</v>
      </c>
      <c r="Z46" s="390">
        <f t="shared" si="12"/>
        <v>8.5634949999999922E-3</v>
      </c>
      <c r="AC46" s="273">
        <f>VLOOKUP($B46, 'Output Baseline'!$A:$CW,42,FALSE)</f>
        <v>3.5000000000000001E-3</v>
      </c>
      <c r="AD46" s="273">
        <f>VLOOKUP($B46, 'Output Baseline'!$A:$CW,43,FALSE)</f>
        <v>4.3E-3</v>
      </c>
      <c r="AE46" s="273">
        <f>VLOOKUP($B46, 'Output Baseline'!$A:$CW,44,FALSE)</f>
        <v>4.7999999999999996E-3</v>
      </c>
      <c r="AF46" s="273">
        <f>VLOOKUP($B46, 'Output Baseline'!$A:$CW,45,FALSE)</f>
        <v>5.1999999999999998E-3</v>
      </c>
      <c r="AG46" s="273">
        <f>VLOOKUP($B46, 'Output Baseline'!$A:$CW,46,FALSE)</f>
        <v>5.4999999999999997E-3</v>
      </c>
      <c r="AH46" s="447">
        <f t="shared" si="13"/>
        <v>8.7615078788338963E-4</v>
      </c>
      <c r="AI46" s="447">
        <f t="shared" si="14"/>
        <v>1.7515339355637094E-3</v>
      </c>
      <c r="AJ46" s="447">
        <f t="shared" si="15"/>
        <v>2.6261501156094047E-3</v>
      </c>
      <c r="AK46" s="346"/>
      <c r="AL46" s="390">
        <f t="shared" si="16"/>
        <v>7.4472816970088112E-4</v>
      </c>
      <c r="AM46" s="390">
        <f t="shared" si="16"/>
        <v>1.4888038452291529E-3</v>
      </c>
      <c r="AN46" s="390">
        <f t="shared" si="16"/>
        <v>2.232227598267994E-3</v>
      </c>
      <c r="AO46" s="390">
        <f t="shared" si="17"/>
        <v>2.9749999999999998E-3</v>
      </c>
      <c r="AP46" s="390">
        <f t="shared" si="18"/>
        <v>6.6172074999999164E-3</v>
      </c>
      <c r="AQ46" s="390">
        <f t="shared" si="19"/>
        <v>1.066544490399997E-2</v>
      </c>
      <c r="AR46" s="390">
        <f t="shared" si="20"/>
        <v>1.5029984590499141E-2</v>
      </c>
      <c r="AS46" s="390">
        <f t="shared" si="21"/>
        <v>1.9622319675251392E-2</v>
      </c>
      <c r="AT46" s="390">
        <f t="shared" si="22"/>
        <v>2.9749999999999998E-3</v>
      </c>
      <c r="AU46" s="390">
        <f t="shared" si="23"/>
        <v>6.6172074999999164E-3</v>
      </c>
      <c r="AX46" s="273">
        <f>VLOOKUP($B46, 'Output 90% Downside'!$A:$CW,42,FALSE)</f>
        <v>4.5999999999999999E-3</v>
      </c>
      <c r="AY46" s="273">
        <f>VLOOKUP($B46, 'Output 90% Downside'!$A:$CW,43,FALSE)</f>
        <v>5.4999999999999997E-3</v>
      </c>
      <c r="AZ46" s="273">
        <f>VLOOKUP($B46, 'Output 90% Downside'!$A:$CW,44,FALSE)</f>
        <v>6.0000000000000001E-3</v>
      </c>
      <c r="BA46" s="273">
        <f>VLOOKUP($B46, 'Output 90% Downside'!$A:$CW,45,FALSE)</f>
        <v>6.4999999999999997E-3</v>
      </c>
      <c r="BB46" s="273">
        <f>VLOOKUP($B46, 'Output 90% Downside'!$A:$CW,46,FALSE)</f>
        <v>6.7999999999999996E-3</v>
      </c>
      <c r="BC46" s="447">
        <f t="shared" si="24"/>
        <v>1.1519890899549523E-3</v>
      </c>
      <c r="BD46" s="447">
        <f t="shared" si="25"/>
        <v>2.3026511010465489E-3</v>
      </c>
      <c r="BE46" s="447">
        <f t="shared" si="26"/>
        <v>3.4519875620551144E-3</v>
      </c>
      <c r="BF46" s="346"/>
      <c r="BG46" s="390">
        <f t="shared" si="27"/>
        <v>9.7919072646170937E-4</v>
      </c>
      <c r="BH46" s="390">
        <f t="shared" si="27"/>
        <v>1.9572534358895666E-3</v>
      </c>
      <c r="BI46" s="390">
        <f t="shared" si="27"/>
        <v>2.9341894277468473E-3</v>
      </c>
      <c r="BJ46" s="390">
        <f t="shared" si="28"/>
        <v>3.9099999999999994E-3</v>
      </c>
      <c r="BK46" s="390">
        <f t="shared" si="29"/>
        <v>8.5634949999999922E-3</v>
      </c>
      <c r="BL46" s="390">
        <f t="shared" si="30"/>
        <v>1.3612114030000039E-2</v>
      </c>
      <c r="BM46" s="390">
        <f t="shared" si="31"/>
        <v>1.9048635288805019E-2</v>
      </c>
      <c r="BN46" s="390">
        <f t="shared" si="32"/>
        <v>2.4699104568841196E-2</v>
      </c>
      <c r="BO46" s="390">
        <f t="shared" si="33"/>
        <v>3.9099999999999994E-3</v>
      </c>
      <c r="BP46" s="390">
        <f t="shared" si="34"/>
        <v>8.5634949999999922E-3</v>
      </c>
      <c r="BQ46" s="347"/>
      <c r="BU46" s="390">
        <f>IFERROR(AL46*$BS$2+BG46*$BS$4+Q46*$BS$3,VLOOKUP(A46,'Updated Ncino PD'!A:K,4,FALSE))</f>
        <v>8.3851319240521235E-4</v>
      </c>
      <c r="BV46" s="390">
        <f>IFERROR(AM46*$BS$2+BH46*$BS$4+R46*$BS$3,VLOOKUP(A46,'Updated Ncino PD'!A:K,5,FALSE))</f>
        <v>1.6761836814933183E-3</v>
      </c>
      <c r="BW46" s="390">
        <f>IFERROR(AN46*$BS$2+BI46*$BS$4+S46*$BS$3,VLOOKUP(A46,'Updated Ncino PD'!A:K,6,FALSE))</f>
        <v>2.5130123300595355E-3</v>
      </c>
      <c r="BX46" s="390">
        <f>IFERROR(AO46*$BS$2+BJ46*$BS$4+T46*$BS$3,VLOOKUP(A46,'Updated Ncino PD'!A:K,7,FALSE))</f>
        <v>3.3489999999999991E-3</v>
      </c>
      <c r="BY46" s="390">
        <f>IFERROR(AP46*$BS$2+BK46*$BS$4+U46*$BS$3,VLOOKUP(A46,'Updated Ncino PD'!A:K,8,FALSE))</f>
        <v>7.3957224999999464E-3</v>
      </c>
      <c r="BZ46" s="390">
        <f>IFERROR(AQ46*$BS$2+BL46*$BS$4+V46*$BS$3,VLOOKUP(A46,'Updated Ncino PD'!A:K,9,FALSE))</f>
        <v>1.1844112554399995E-2</v>
      </c>
      <c r="CA46" s="390">
        <f>IFERROR(AR46*$BS$2+BM46*$BS$4+W46*$BS$3,VLOOKUP(A46,'Updated Ncino PD'!A:K,10,FALSE))</f>
        <v>1.663744486982149E-2</v>
      </c>
      <c r="CB46" s="390">
        <f>IFERROR(AS46*$BS$2+BN46*$BS$4+X46*$BS$3,VLOOKUP(A46,'Updated Ncino PD'!A:K,11,FALSE))</f>
        <v>2.1653033632687314E-2</v>
      </c>
      <c r="CC46" s="390">
        <f t="shared" si="37"/>
        <v>3.3489999999999991E-3</v>
      </c>
      <c r="CD46" s="390">
        <f t="shared" si="37"/>
        <v>7.3957224999999464E-3</v>
      </c>
      <c r="CF46" s="450">
        <f t="shared" si="35"/>
        <v>3.9399999999999999E-3</v>
      </c>
      <c r="CG46" s="450">
        <f t="shared" si="35"/>
        <v>4.7799999999999995E-3</v>
      </c>
      <c r="CH46" s="450">
        <f t="shared" si="35"/>
        <v>5.28E-3</v>
      </c>
      <c r="CI46" s="450">
        <f t="shared" si="35"/>
        <v>5.7199999999999994E-3</v>
      </c>
      <c r="CJ46" s="450">
        <f t="shared" si="35"/>
        <v>6.0199999999999993E-3</v>
      </c>
    </row>
    <row r="47" spans="1:88" s="355" customFormat="1" hidden="1" x14ac:dyDescent="0.25">
      <c r="A47" s="400">
        <v>1100000110</v>
      </c>
      <c r="B47" s="455" t="str">
        <f>VLOOKUP(A47,'Loan Book Summary'!C:G,5,FALSE)</f>
        <v>0014I000023fvfX</v>
      </c>
      <c r="C47" s="167">
        <f>VLOOKUP(A47,'Ref-Data'!$A:$I,9,0)</f>
        <v>1</v>
      </c>
      <c r="D47" s="445">
        <f>VLOOKUP(A47,'Adjustment Factor'!A:C,3,0)</f>
        <v>0.85</v>
      </c>
      <c r="E47" s="446">
        <f>VLOOKUP(A47,'Ref-Data'!A:C,2,FALSE)</f>
        <v>340000</v>
      </c>
      <c r="F47" s="445">
        <f>VLOOKUP(A47,'Ref-Data'!$A:$F,6,FALSE)</f>
        <v>1.3963039014373717</v>
      </c>
      <c r="G47" s="346"/>
      <c r="H47" s="273">
        <f>VLOOKUP($B47, 'Output 96% Downside'!$A:$CW,42,FALSE)</f>
        <v>4.5999999999999999E-3</v>
      </c>
      <c r="I47" s="273">
        <f>VLOOKUP($B47, 'Output 96% Downside'!$A:$CW,43,FALSE)</f>
        <v>5.4999999999999997E-3</v>
      </c>
      <c r="J47" s="273">
        <f>VLOOKUP($B47, 'Output 96% Downside'!$A:$CW,44,FALSE)</f>
        <v>6.0000000000000001E-3</v>
      </c>
      <c r="K47" s="273">
        <f>VLOOKUP($B47, 'Output 96% Downside'!$A:$CW,45,FALSE)</f>
        <v>6.4999999999999997E-3</v>
      </c>
      <c r="L47" s="273">
        <f>VLOOKUP($B47, 'Output 96% Downside'!$A:$CW,46,FALSE)</f>
        <v>6.7999999999999996E-3</v>
      </c>
      <c r="M47" s="447">
        <f t="shared" si="0"/>
        <v>1.1519890899549523E-3</v>
      </c>
      <c r="N47" s="447">
        <f t="shared" si="3"/>
        <v>2.3026511010465489E-3</v>
      </c>
      <c r="O47" s="447">
        <f t="shared" si="4"/>
        <v>3.4519875620551144E-3</v>
      </c>
      <c r="P47" s="346"/>
      <c r="Q47" s="390">
        <f t="shared" si="5"/>
        <v>9.7919072646170937E-4</v>
      </c>
      <c r="R47" s="390">
        <f t="shared" si="5"/>
        <v>1.9572534358895666E-3</v>
      </c>
      <c r="S47" s="390">
        <f t="shared" si="5"/>
        <v>2.9341894277468473E-3</v>
      </c>
      <c r="T47" s="390">
        <f t="shared" si="6"/>
        <v>3.9099999999999994E-3</v>
      </c>
      <c r="U47" s="390">
        <f t="shared" si="7"/>
        <v>8.5634949999999922E-3</v>
      </c>
      <c r="V47" s="390">
        <f t="shared" si="8"/>
        <v>1.3612114030000039E-2</v>
      </c>
      <c r="W47" s="390">
        <f t="shared" si="9"/>
        <v>1.9048635288805019E-2</v>
      </c>
      <c r="X47" s="390">
        <f t="shared" si="10"/>
        <v>2.4699104568841196E-2</v>
      </c>
      <c r="Y47" s="390">
        <f t="shared" si="11"/>
        <v>3.9099999999999994E-3</v>
      </c>
      <c r="Z47" s="390">
        <f t="shared" si="12"/>
        <v>8.5634949999999922E-3</v>
      </c>
      <c r="AC47" s="273">
        <f>VLOOKUP($B47, 'Output Baseline'!$A:$CW,42,FALSE)</f>
        <v>3.5000000000000001E-3</v>
      </c>
      <c r="AD47" s="273">
        <f>VLOOKUP($B47, 'Output Baseline'!$A:$CW,43,FALSE)</f>
        <v>4.3E-3</v>
      </c>
      <c r="AE47" s="273">
        <f>VLOOKUP($B47, 'Output Baseline'!$A:$CW,44,FALSE)</f>
        <v>4.7999999999999996E-3</v>
      </c>
      <c r="AF47" s="273">
        <f>VLOOKUP($B47, 'Output Baseline'!$A:$CW,45,FALSE)</f>
        <v>5.1999999999999998E-3</v>
      </c>
      <c r="AG47" s="273">
        <f>VLOOKUP($B47, 'Output Baseline'!$A:$CW,46,FALSE)</f>
        <v>5.4999999999999997E-3</v>
      </c>
      <c r="AH47" s="447">
        <f t="shared" si="13"/>
        <v>8.7615078788338963E-4</v>
      </c>
      <c r="AI47" s="447">
        <f t="shared" si="14"/>
        <v>1.7515339355637094E-3</v>
      </c>
      <c r="AJ47" s="447">
        <f t="shared" si="15"/>
        <v>2.6261501156094047E-3</v>
      </c>
      <c r="AK47" s="346"/>
      <c r="AL47" s="390">
        <f t="shared" si="16"/>
        <v>7.4472816970088112E-4</v>
      </c>
      <c r="AM47" s="390">
        <f t="shared" si="16"/>
        <v>1.4888038452291529E-3</v>
      </c>
      <c r="AN47" s="390">
        <f t="shared" si="16"/>
        <v>2.232227598267994E-3</v>
      </c>
      <c r="AO47" s="390">
        <f t="shared" si="17"/>
        <v>2.9749999999999998E-3</v>
      </c>
      <c r="AP47" s="390">
        <f t="shared" si="18"/>
        <v>6.6172074999999164E-3</v>
      </c>
      <c r="AQ47" s="390">
        <f t="shared" si="19"/>
        <v>1.066544490399997E-2</v>
      </c>
      <c r="AR47" s="390">
        <f t="shared" si="20"/>
        <v>1.5029984590499141E-2</v>
      </c>
      <c r="AS47" s="390">
        <f t="shared" si="21"/>
        <v>1.9622319675251392E-2</v>
      </c>
      <c r="AT47" s="390">
        <f t="shared" si="22"/>
        <v>2.9749999999999998E-3</v>
      </c>
      <c r="AU47" s="390">
        <f t="shared" si="23"/>
        <v>6.6172074999999164E-3</v>
      </c>
      <c r="AX47" s="273">
        <f>VLOOKUP($B47, 'Output 90% Downside'!$A:$CW,42,FALSE)</f>
        <v>4.5999999999999999E-3</v>
      </c>
      <c r="AY47" s="273">
        <f>VLOOKUP($B47, 'Output 90% Downside'!$A:$CW,43,FALSE)</f>
        <v>5.4999999999999997E-3</v>
      </c>
      <c r="AZ47" s="273">
        <f>VLOOKUP($B47, 'Output 90% Downside'!$A:$CW,44,FALSE)</f>
        <v>6.0000000000000001E-3</v>
      </c>
      <c r="BA47" s="273">
        <f>VLOOKUP($B47, 'Output 90% Downside'!$A:$CW,45,FALSE)</f>
        <v>6.4999999999999997E-3</v>
      </c>
      <c r="BB47" s="273">
        <f>VLOOKUP($B47, 'Output 90% Downside'!$A:$CW,46,FALSE)</f>
        <v>6.7999999999999996E-3</v>
      </c>
      <c r="BC47" s="447">
        <f t="shared" si="24"/>
        <v>1.1519890899549523E-3</v>
      </c>
      <c r="BD47" s="447">
        <f t="shared" si="25"/>
        <v>2.3026511010465489E-3</v>
      </c>
      <c r="BE47" s="447">
        <f t="shared" si="26"/>
        <v>3.4519875620551144E-3</v>
      </c>
      <c r="BF47" s="346"/>
      <c r="BG47" s="390">
        <f t="shared" si="27"/>
        <v>9.7919072646170937E-4</v>
      </c>
      <c r="BH47" s="390">
        <f t="shared" si="27"/>
        <v>1.9572534358895666E-3</v>
      </c>
      <c r="BI47" s="390">
        <f t="shared" si="27"/>
        <v>2.9341894277468473E-3</v>
      </c>
      <c r="BJ47" s="390">
        <f t="shared" si="28"/>
        <v>3.9099999999999994E-3</v>
      </c>
      <c r="BK47" s="390">
        <f t="shared" si="29"/>
        <v>8.5634949999999922E-3</v>
      </c>
      <c r="BL47" s="390">
        <f t="shared" si="30"/>
        <v>1.3612114030000039E-2</v>
      </c>
      <c r="BM47" s="390">
        <f t="shared" si="31"/>
        <v>1.9048635288805019E-2</v>
      </c>
      <c r="BN47" s="390">
        <f t="shared" si="32"/>
        <v>2.4699104568841196E-2</v>
      </c>
      <c r="BO47" s="390">
        <f t="shared" si="33"/>
        <v>3.9099999999999994E-3</v>
      </c>
      <c r="BP47" s="390">
        <f t="shared" si="34"/>
        <v>8.5634949999999922E-3</v>
      </c>
      <c r="BQ47" s="347"/>
      <c r="BU47" s="390">
        <f>IFERROR(AL47*$BS$2+BG47*$BS$4+Q47*$BS$3,VLOOKUP(A47,'Updated Ncino PD'!A:K,4,FALSE))</f>
        <v>8.3851319240521235E-4</v>
      </c>
      <c r="BV47" s="390">
        <f>IFERROR(AM47*$BS$2+BH47*$BS$4+R47*$BS$3,VLOOKUP(A47,'Updated Ncino PD'!A:K,5,FALSE))</f>
        <v>1.6761836814933183E-3</v>
      </c>
      <c r="BW47" s="390">
        <f>IFERROR(AN47*$BS$2+BI47*$BS$4+S47*$BS$3,VLOOKUP(A47,'Updated Ncino PD'!A:K,6,FALSE))</f>
        <v>2.5130123300595355E-3</v>
      </c>
      <c r="BX47" s="390">
        <f>IFERROR(AO47*$BS$2+BJ47*$BS$4+T47*$BS$3,VLOOKUP(A47,'Updated Ncino PD'!A:K,7,FALSE))</f>
        <v>3.3489999999999991E-3</v>
      </c>
      <c r="BY47" s="390">
        <f>IFERROR(AP47*$BS$2+BK47*$BS$4+U47*$BS$3,VLOOKUP(A47,'Updated Ncino PD'!A:K,8,FALSE))</f>
        <v>7.3957224999999464E-3</v>
      </c>
      <c r="BZ47" s="390">
        <f>IFERROR(AQ47*$BS$2+BL47*$BS$4+V47*$BS$3,VLOOKUP(A47,'Updated Ncino PD'!A:K,9,FALSE))</f>
        <v>1.1844112554399995E-2</v>
      </c>
      <c r="CA47" s="390">
        <f>IFERROR(AR47*$BS$2+BM47*$BS$4+W47*$BS$3,VLOOKUP(A47,'Updated Ncino PD'!A:K,10,FALSE))</f>
        <v>1.663744486982149E-2</v>
      </c>
      <c r="CB47" s="390">
        <f>IFERROR(AS47*$BS$2+BN47*$BS$4+X47*$BS$3,VLOOKUP(A47,'Updated Ncino PD'!A:K,11,FALSE))</f>
        <v>2.1653033632687314E-2</v>
      </c>
      <c r="CC47" s="390">
        <f t="shared" si="37"/>
        <v>3.3489999999999991E-3</v>
      </c>
      <c r="CD47" s="390">
        <f t="shared" si="37"/>
        <v>7.3957224999999464E-3</v>
      </c>
      <c r="CF47" s="450">
        <f t="shared" si="35"/>
        <v>3.9399999999999999E-3</v>
      </c>
      <c r="CG47" s="450">
        <f t="shared" si="35"/>
        <v>4.7799999999999995E-3</v>
      </c>
      <c r="CH47" s="450">
        <f t="shared" si="35"/>
        <v>5.28E-3</v>
      </c>
      <c r="CI47" s="450">
        <f t="shared" si="35"/>
        <v>5.7199999999999994E-3</v>
      </c>
      <c r="CJ47" s="450">
        <f t="shared" si="35"/>
        <v>6.0199999999999993E-3</v>
      </c>
    </row>
    <row r="48" spans="1:88" s="355" customFormat="1" hidden="1" x14ac:dyDescent="0.25">
      <c r="A48" s="400">
        <v>1200000147</v>
      </c>
      <c r="B48" s="455" t="str">
        <f>VLOOKUP(A48,'Loan Book Summary'!C:G,5,FALSE)</f>
        <v>0015800001VjgTF</v>
      </c>
      <c r="C48" s="167">
        <f>VLOOKUP(A48,'Ref-Data'!$A:$I,9,0)</f>
        <v>1</v>
      </c>
      <c r="D48" s="445">
        <f>VLOOKUP(A48,'Adjustment Factor'!A:C,3,0)</f>
        <v>0.79</v>
      </c>
      <c r="E48" s="446">
        <f>VLOOKUP(A48,'Ref-Data'!A:C,2,FALSE)</f>
        <v>4762825.24</v>
      </c>
      <c r="F48" s="445">
        <f>VLOOKUP(A48,'Ref-Data'!$A:$F,6,FALSE)</f>
        <v>4.4161533196440796</v>
      </c>
      <c r="G48" s="346"/>
      <c r="H48" s="273">
        <f>VLOOKUP($B48, 'Output 96% Downside'!$A:$CW,42,FALSE)</f>
        <v>3.2599999999999997E-2</v>
      </c>
      <c r="I48" s="273">
        <f>VLOOKUP($B48, 'Output 96% Downside'!$A:$CW,43,FALSE)</f>
        <v>2.9899999999999999E-2</v>
      </c>
      <c r="J48" s="273">
        <f>VLOOKUP($B48, 'Output 96% Downside'!$A:$CW,44,FALSE)</f>
        <v>2.8500000000000001E-2</v>
      </c>
      <c r="K48" s="273">
        <f>VLOOKUP($B48, 'Output 96% Downside'!$A:$CW,45,FALSE)</f>
        <v>2.75E-2</v>
      </c>
      <c r="L48" s="273">
        <f>VLOOKUP($B48, 'Output 96% Downside'!$A:$CW,46,FALSE)</f>
        <v>2.6700000000000002E-2</v>
      </c>
      <c r="M48" s="447">
        <f t="shared" si="0"/>
        <v>8.251571982620054E-3</v>
      </c>
      <c r="N48" s="447">
        <f t="shared" si="3"/>
        <v>1.6435055525055753E-2</v>
      </c>
      <c r="O48" s="447">
        <f t="shared" si="4"/>
        <v>2.4551012463972399E-2</v>
      </c>
      <c r="P48" s="346"/>
      <c r="Q48" s="390">
        <f t="shared" si="5"/>
        <v>6.518741866269843E-3</v>
      </c>
      <c r="R48" s="390">
        <f t="shared" si="5"/>
        <v>1.2983693864794045E-2</v>
      </c>
      <c r="S48" s="390">
        <f t="shared" si="5"/>
        <v>1.9395299846538195E-2</v>
      </c>
      <c r="T48" s="390">
        <f t="shared" si="6"/>
        <v>2.5753999999999999E-2</v>
      </c>
      <c r="U48" s="390">
        <f t="shared" si="7"/>
        <v>4.8604955400000024E-2</v>
      </c>
      <c r="V48" s="390">
        <f t="shared" si="8"/>
        <v>6.9734714171099985E-2</v>
      </c>
      <c r="W48" s="390">
        <f t="shared" si="9"/>
        <v>8.9542009531394684E-2</v>
      </c>
      <c r="X48" s="390">
        <f t="shared" si="10"/>
        <v>0.10824423787690639</v>
      </c>
      <c r="Y48" s="390">
        <f t="shared" si="11"/>
        <v>2.5753999999999999E-2</v>
      </c>
      <c r="Z48" s="390">
        <f t="shared" si="12"/>
        <v>0.10824423787690639</v>
      </c>
      <c r="AC48" s="273">
        <f>VLOOKUP($B48, 'Output Baseline'!$A:$CW,42,FALSE)</f>
        <v>1.2699999999999999E-2</v>
      </c>
      <c r="AD48" s="273">
        <f>VLOOKUP($B48, 'Output Baseline'!$A:$CW,43,FALSE)</f>
        <v>1.2999999999999999E-2</v>
      </c>
      <c r="AE48" s="273">
        <f>VLOOKUP($B48, 'Output Baseline'!$A:$CW,44,FALSE)</f>
        <v>1.3100000000000001E-2</v>
      </c>
      <c r="AF48" s="273">
        <f>VLOOKUP($B48, 'Output Baseline'!$A:$CW,45,FALSE)</f>
        <v>1.32E-2</v>
      </c>
      <c r="AG48" s="273">
        <f>VLOOKUP($B48, 'Output Baseline'!$A:$CW,46,FALSE)</f>
        <v>1.3299999999999999E-2</v>
      </c>
      <c r="AH48" s="447">
        <f t="shared" si="13"/>
        <v>3.1902339459390916E-3</v>
      </c>
      <c r="AI48" s="447">
        <f t="shared" si="14"/>
        <v>6.3702902992484045E-3</v>
      </c>
      <c r="AJ48" s="447">
        <f t="shared" si="15"/>
        <v>9.5402015288293951E-3</v>
      </c>
      <c r="AK48" s="346"/>
      <c r="AL48" s="390">
        <f t="shared" si="16"/>
        <v>2.5202848172918824E-3</v>
      </c>
      <c r="AM48" s="390">
        <f t="shared" si="16"/>
        <v>5.0325293364062397E-3</v>
      </c>
      <c r="AN48" s="390">
        <f t="shared" si="16"/>
        <v>7.5367592077752229E-3</v>
      </c>
      <c r="AO48" s="390">
        <f t="shared" si="17"/>
        <v>1.0033E-2</v>
      </c>
      <c r="AP48" s="390">
        <f t="shared" si="18"/>
        <v>2.0172571000000021E-2</v>
      </c>
      <c r="AQ48" s="390">
        <f t="shared" si="19"/>
        <v>3.0257310319899981E-2</v>
      </c>
      <c r="AR48" s="390">
        <f t="shared" si="20"/>
        <v>4.0285913823677265E-2</v>
      </c>
      <c r="AS48" s="390">
        <f t="shared" si="21"/>
        <v>5.025711116982233E-2</v>
      </c>
      <c r="AT48" s="390">
        <f t="shared" si="22"/>
        <v>1.0033E-2</v>
      </c>
      <c r="AU48" s="390">
        <f t="shared" si="23"/>
        <v>5.025711116982233E-2</v>
      </c>
      <c r="AX48" s="273">
        <f>VLOOKUP($B48, 'Output 90% Downside'!$A:$CW,42,FALSE)</f>
        <v>2.6800000000000001E-2</v>
      </c>
      <c r="AY48" s="273">
        <f>VLOOKUP($B48, 'Output 90% Downside'!$A:$CW,43,FALSE)</f>
        <v>2.53E-2</v>
      </c>
      <c r="AZ48" s="273">
        <f>VLOOKUP($B48, 'Output 90% Downside'!$A:$CW,44,FALSE)</f>
        <v>2.4500000000000001E-2</v>
      </c>
      <c r="BA48" s="273">
        <f>VLOOKUP($B48, 'Output 90% Downside'!$A:$CW,45,FALSE)</f>
        <v>2.3900000000000001E-2</v>
      </c>
      <c r="BB48" s="273">
        <f>VLOOKUP($B48, 'Output 90% Downside'!$A:$CW,46,FALSE)</f>
        <v>2.35E-2</v>
      </c>
      <c r="BC48" s="447">
        <f t="shared" si="24"/>
        <v>6.7684074642602177E-3</v>
      </c>
      <c r="BD48" s="447">
        <f t="shared" si="25"/>
        <v>1.3491003588918193E-2</v>
      </c>
      <c r="BE48" s="447">
        <f t="shared" si="26"/>
        <v>2.0168098443786864E-2</v>
      </c>
      <c r="BF48" s="346"/>
      <c r="BG48" s="390">
        <f t="shared" si="27"/>
        <v>5.3470418967655718E-3</v>
      </c>
      <c r="BH48" s="390">
        <f t="shared" si="27"/>
        <v>1.0657892835245373E-2</v>
      </c>
      <c r="BI48" s="390">
        <f t="shared" si="27"/>
        <v>1.5932797770591624E-2</v>
      </c>
      <c r="BJ48" s="390">
        <f t="shared" si="28"/>
        <v>2.1172000000000003E-2</v>
      </c>
      <c r="BK48" s="390">
        <f t="shared" si="29"/>
        <v>4.0623348399999995E-2</v>
      </c>
      <c r="BL48" s="390">
        <f t="shared" si="30"/>
        <v>5.8983076364199999E-2</v>
      </c>
      <c r="BM48" s="390">
        <f t="shared" si="31"/>
        <v>7.6454380839095615E-2</v>
      </c>
      <c r="BN48" s="390">
        <f t="shared" si="32"/>
        <v>9.3222702889376841E-2</v>
      </c>
      <c r="BO48" s="390">
        <f t="shared" si="33"/>
        <v>2.1172000000000003E-2</v>
      </c>
      <c r="BP48" s="390">
        <f t="shared" si="34"/>
        <v>9.3222702889376841E-2</v>
      </c>
      <c r="BQ48" s="347"/>
      <c r="BU48" s="390">
        <f>IFERROR(AL48*$BS$2+BG48*$BS$4+Q48*$BS$3,VLOOKUP(A48,'Updated Ncino PD'!A:K,4,FALSE))</f>
        <v>3.7095726475565717E-3</v>
      </c>
      <c r="BV48" s="390">
        <f>IFERROR(AM48*$BS$2+BH48*$BS$4+R48*$BS$3,VLOOKUP(A48,'Updated Ncino PD'!A:K,5,FALSE))</f>
        <v>7.3989647874193269E-3</v>
      </c>
      <c r="BW48" s="390">
        <f>IFERROR(AN48*$BS$2+BI48*$BS$4+S48*$BS$3,VLOOKUP(A48,'Updated Ncino PD'!A:K,6,FALSE))</f>
        <v>1.1068299736699112E-2</v>
      </c>
      <c r="BX48" s="390">
        <f>IFERROR(AO48*$BS$2+BJ48*$BS$4+T48*$BS$3,VLOOKUP(A48,'Updated Ncino PD'!A:K,7,FALSE))</f>
        <v>1.47177E-2</v>
      </c>
      <c r="BY48" s="390">
        <f>IFERROR(AP48*$BS$2+BK48*$BS$4+U48*$BS$3,VLOOKUP(A48,'Updated Ncino PD'!A:K,8,FALSE))</f>
        <v>2.8751962310000011E-2</v>
      </c>
      <c r="BZ48" s="390">
        <f>IFERROR(AQ48*$BS$2+BL48*$BS$4+V48*$BS$3,VLOOKUP(A48,'Updated Ncino PD'!A:K,9,FALSE))</f>
        <v>4.2285198627964982E-2</v>
      </c>
      <c r="CA48" s="390">
        <f>IFERROR(AR48*$BS$2+BM48*$BS$4+W48*$BS$3,VLOOKUP(A48,'Updated Ncino PD'!A:K,10,FALSE))</f>
        <v>5.5407682064459556E-2</v>
      </c>
      <c r="CB48" s="390">
        <f>IFERROR(AS48*$BS$2+BN48*$BS$4+X48*$BS$3,VLOOKUP(A48,'Updated Ncino PD'!A:K,11,FALSE))</f>
        <v>6.8194424607020604E-2</v>
      </c>
      <c r="CC48" s="390">
        <f t="shared" si="37"/>
        <v>1.47177E-2</v>
      </c>
      <c r="CD48" s="390">
        <f t="shared" si="37"/>
        <v>6.8194424607020604E-2</v>
      </c>
      <c r="CF48" s="450">
        <f t="shared" si="35"/>
        <v>1.8630000000000001E-2</v>
      </c>
      <c r="CG48" s="450">
        <f t="shared" si="35"/>
        <v>1.8149999999999999E-2</v>
      </c>
      <c r="CH48" s="450">
        <f t="shared" si="35"/>
        <v>1.7860000000000001E-2</v>
      </c>
      <c r="CI48" s="450">
        <f t="shared" si="35"/>
        <v>1.7659999999999999E-2</v>
      </c>
      <c r="CJ48" s="450">
        <f t="shared" si="35"/>
        <v>1.754E-2</v>
      </c>
    </row>
    <row r="49" spans="1:88" s="355" customFormat="1" hidden="1" x14ac:dyDescent="0.25">
      <c r="A49" s="400">
        <v>1200000146</v>
      </c>
      <c r="B49" s="455" t="str">
        <f>VLOOKUP(A49,'Loan Book Summary'!C:G,5,FALSE)</f>
        <v>00158000013gcxO</v>
      </c>
      <c r="C49" s="167">
        <f>VLOOKUP(A49,'Ref-Data'!$A:$I,9,0)</f>
        <v>1</v>
      </c>
      <c r="D49" s="445">
        <f>VLOOKUP(A49,'Adjustment Factor'!A:C,3,0)</f>
        <v>0.87</v>
      </c>
      <c r="E49" s="446">
        <f>VLOOKUP(A49,'Ref-Data'!A:C,2,FALSE)</f>
        <v>2100000</v>
      </c>
      <c r="F49" s="445">
        <f>VLOOKUP(A49,'Ref-Data'!$A:$F,6,FALSE)</f>
        <v>0.67351129363449691</v>
      </c>
      <c r="G49" s="346"/>
      <c r="H49" s="273">
        <f>VLOOKUP($B49, 'Output 96% Downside'!$A:$CW,42,FALSE)</f>
        <v>1.2500000000000001E-2</v>
      </c>
      <c r="I49" s="273">
        <f>VLOOKUP($B49, 'Output 96% Downside'!$A:$CW,43,FALSE)</f>
        <v>1.2800000000000001E-2</v>
      </c>
      <c r="J49" s="273">
        <f>VLOOKUP($B49, 'Output 96% Downside'!$A:$CW,44,FALSE)</f>
        <v>1.2999999999999999E-2</v>
      </c>
      <c r="K49" s="273">
        <f>VLOOKUP($B49, 'Output 96% Downside'!$A:$CW,45,FALSE)</f>
        <v>1.32E-2</v>
      </c>
      <c r="L49" s="273">
        <f>VLOOKUP($B49, 'Output 96% Downside'!$A:$CW,46,FALSE)</f>
        <v>1.3299999999999999E-2</v>
      </c>
      <c r="M49" s="447">
        <f t="shared" si="0"/>
        <v>3.1397561756264514E-3</v>
      </c>
      <c r="N49" s="447">
        <f t="shared" si="3"/>
        <v>6.2696542824105528E-3</v>
      </c>
      <c r="O49" s="447">
        <f t="shared" si="4"/>
        <v>9.3897252722847657E-3</v>
      </c>
      <c r="P49" s="346"/>
      <c r="Q49" s="390">
        <f t="shared" si="5"/>
        <v>2.7315878727950126E-3</v>
      </c>
      <c r="R49" s="390">
        <f t="shared" si="5"/>
        <v>5.4545992256971806E-3</v>
      </c>
      <c r="S49" s="390">
        <f t="shared" si="5"/>
        <v>8.1690609868877457E-3</v>
      </c>
      <c r="T49" s="390">
        <f t="shared" si="6"/>
        <v>1.0875000000000001E-2</v>
      </c>
      <c r="U49" s="390">
        <f t="shared" si="7"/>
        <v>2.1871799999999948E-2</v>
      </c>
      <c r="V49" s="390">
        <f t="shared" si="8"/>
        <v>3.2897466600000001E-2</v>
      </c>
      <c r="W49" s="390">
        <f t="shared" si="9"/>
        <v>4.3947220040880003E-2</v>
      </c>
      <c r="X49" s="390">
        <f t="shared" si="10"/>
        <v>5.4933722014336245E-2</v>
      </c>
      <c r="Y49" s="390">
        <f t="shared" si="11"/>
        <v>7.3375011822359726E-3</v>
      </c>
      <c r="Z49" s="390">
        <f t="shared" si="12"/>
        <v>1.0875000000000001E-2</v>
      </c>
      <c r="AC49" s="273">
        <f>VLOOKUP($B49, 'Output Baseline'!$A:$CW,42,FALSE)</f>
        <v>6.7000000000000002E-3</v>
      </c>
      <c r="AD49" s="273">
        <f>VLOOKUP($B49, 'Output Baseline'!$A:$CW,43,FALSE)</f>
        <v>7.4999999999999997E-3</v>
      </c>
      <c r="AE49" s="273">
        <f>VLOOKUP($B49, 'Output Baseline'!$A:$CW,44,FALSE)</f>
        <v>8.0000000000000002E-3</v>
      </c>
      <c r="AF49" s="273">
        <f>VLOOKUP($B49, 'Output Baseline'!$A:$CW,45,FALSE)</f>
        <v>8.3999999999999995E-3</v>
      </c>
      <c r="AG49" s="273">
        <f>VLOOKUP($B49, 'Output Baseline'!$A:$CW,46,FALSE)</f>
        <v>8.6999999999999994E-3</v>
      </c>
      <c r="AH49" s="447">
        <f t="shared" si="13"/>
        <v>1.6792249616227606E-3</v>
      </c>
      <c r="AI49" s="447">
        <f t="shared" si="14"/>
        <v>3.3556301267737565E-3</v>
      </c>
      <c r="AJ49" s="447">
        <f t="shared" si="15"/>
        <v>5.029220230525655E-3</v>
      </c>
      <c r="AK49" s="346"/>
      <c r="AL49" s="390">
        <f t="shared" si="16"/>
        <v>1.4609257166118017E-3</v>
      </c>
      <c r="AM49" s="390">
        <f t="shared" si="16"/>
        <v>2.919398210293168E-3</v>
      </c>
      <c r="AN49" s="390">
        <f t="shared" si="16"/>
        <v>4.37542160055732E-3</v>
      </c>
      <c r="AO49" s="390">
        <f t="shared" si="17"/>
        <v>5.829E-3</v>
      </c>
      <c r="AP49" s="390">
        <f t="shared" si="18"/>
        <v>1.2310282499999966E-2</v>
      </c>
      <c r="AQ49" s="390">
        <f t="shared" si="19"/>
        <v>1.9171800239999988E-2</v>
      </c>
      <c r="AR49" s="390">
        <f t="shared" si="20"/>
        <v>2.6318757117983982E-2</v>
      </c>
      <c r="AS49" s="390">
        <f t="shared" si="21"/>
        <v>3.3658783931057569E-2</v>
      </c>
      <c r="AT49" s="390">
        <f t="shared" si="22"/>
        <v>3.9296426844633858E-3</v>
      </c>
      <c r="AU49" s="390">
        <f t="shared" si="23"/>
        <v>5.829E-3</v>
      </c>
      <c r="AX49" s="273">
        <f>VLOOKUP($B49, 'Output 90% Downside'!$A:$CW,42,FALSE)</f>
        <v>8.3000000000000001E-3</v>
      </c>
      <c r="AY49" s="273">
        <f>VLOOKUP($B49, 'Output 90% Downside'!$A:$CW,43,FALSE)</f>
        <v>9.1000000000000004E-3</v>
      </c>
      <c r="AZ49" s="273">
        <f>VLOOKUP($B49, 'Output 90% Downside'!$A:$CW,44,FALSE)</f>
        <v>9.5999999999999992E-3</v>
      </c>
      <c r="BA49" s="273">
        <f>VLOOKUP($B49, 'Output 90% Downside'!$A:$CW,45,FALSE)</f>
        <v>0.01</v>
      </c>
      <c r="BB49" s="273">
        <f>VLOOKUP($B49, 'Output 90% Downside'!$A:$CW,46,FALSE)</f>
        <v>1.0200000000000001E-2</v>
      </c>
      <c r="BC49" s="447">
        <f t="shared" si="24"/>
        <v>2.0814898866517995E-3</v>
      </c>
      <c r="BD49" s="447">
        <f t="shared" si="25"/>
        <v>4.1586471731553942E-3</v>
      </c>
      <c r="BE49" s="447">
        <f t="shared" si="26"/>
        <v>6.2314808777741426E-3</v>
      </c>
      <c r="BF49" s="346"/>
      <c r="BG49" s="390">
        <f t="shared" si="27"/>
        <v>1.8108962013870654E-3</v>
      </c>
      <c r="BH49" s="390">
        <f t="shared" si="27"/>
        <v>3.6180230406451931E-3</v>
      </c>
      <c r="BI49" s="390">
        <f t="shared" si="27"/>
        <v>5.4213883636635039E-3</v>
      </c>
      <c r="BJ49" s="390">
        <f t="shared" si="28"/>
        <v>7.221E-3</v>
      </c>
      <c r="BK49" s="390">
        <f t="shared" si="29"/>
        <v>1.5072288899999935E-2</v>
      </c>
      <c r="BL49" s="390">
        <f t="shared" si="30"/>
        <v>2.3279594926559954E-2</v>
      </c>
      <c r="BM49" s="390">
        <f t="shared" si="31"/>
        <v>3.1746798977294342E-2</v>
      </c>
      <c r="BN49" s="390">
        <f t="shared" si="32"/>
        <v>4.0296981627725915E-2</v>
      </c>
      <c r="BO49" s="390">
        <f t="shared" si="33"/>
        <v>4.869176377595319E-3</v>
      </c>
      <c r="BP49" s="390">
        <f t="shared" si="34"/>
        <v>7.221E-3</v>
      </c>
      <c r="BQ49" s="347"/>
      <c r="BU49" s="390">
        <f>IFERROR(AL49*$BS$2+BG49*$BS$4+Q49*$BS$3,VLOOKUP(A49,'Updated Ncino PD'!A:K,4,FALSE))</f>
        <v>1.6469484940923045E-3</v>
      </c>
      <c r="BV49" s="390">
        <f>IFERROR(AM49*$BS$2+BH49*$BS$4+R49*$BS$3,VLOOKUP(A49,'Updated Ncino PD'!A:K,5,FALSE))</f>
        <v>3.2906769516865774E-3</v>
      </c>
      <c r="BW49" s="390">
        <f>IFERROR(AN49*$BS$2+BI49*$BS$4+S49*$BS$3,VLOOKUP(A49,'Updated Ncino PD'!A:K,6,FALSE))</f>
        <v>4.9311919369610059E-3</v>
      </c>
      <c r="BX49" s="390">
        <f>IFERROR(AO49*$BS$2+BJ49*$BS$4+T49*$BS$3,VLOOKUP(A49,'Updated Ncino PD'!A:K,7,FALSE))</f>
        <v>6.5684999999999997E-3</v>
      </c>
      <c r="BY49" s="390">
        <f>IFERROR(AP49*$BS$2+BK49*$BS$4+U49*$BS$3,VLOOKUP(A49,'Updated Ncino PD'!A:K,8,FALSE))</f>
        <v>1.3755060614999952E-2</v>
      </c>
      <c r="BZ49" s="390">
        <f>IFERROR(AQ49*$BS$2+BL49*$BS$4+V49*$BS$3,VLOOKUP(A49,'Updated Ncino PD'!A:K,9,FALSE))</f>
        <v>2.1295811698295978E-2</v>
      </c>
      <c r="CA49" s="390">
        <f>IFERROR(AR49*$BS$2+BM49*$BS$4+W49*$BS$3,VLOOKUP(A49,'Updated Ncino PD'!A:K,10,FALSE))</f>
        <v>2.9099994914887406E-2</v>
      </c>
      <c r="CB49" s="390">
        <f>IFERROR(AS49*$BS$2+BN49*$BS$4+X49*$BS$3,VLOOKUP(A49,'Updated Ncino PD'!A:K,11,FALSE))</f>
        <v>3.7045900029055424E-2</v>
      </c>
      <c r="CC49" s="390">
        <f t="shared" si="37"/>
        <v>4.4288724019481912E-3</v>
      </c>
      <c r="CD49" s="390">
        <f t="shared" si="37"/>
        <v>6.5684999999999997E-3</v>
      </c>
      <c r="CF49" s="450">
        <f t="shared" si="35"/>
        <v>7.5499999999999994E-3</v>
      </c>
      <c r="CG49" s="450">
        <f t="shared" si="35"/>
        <v>8.3249999999999991E-3</v>
      </c>
      <c r="CH49" s="450">
        <f t="shared" si="35"/>
        <v>8.8100000000000001E-3</v>
      </c>
      <c r="CI49" s="450">
        <f t="shared" si="35"/>
        <v>9.1999999999999998E-3</v>
      </c>
      <c r="CJ49" s="450">
        <f t="shared" si="35"/>
        <v>9.4549999999999999E-3</v>
      </c>
    </row>
    <row r="50" spans="1:88" s="355" customFormat="1" hidden="1" x14ac:dyDescent="0.25">
      <c r="A50" s="400">
        <v>1200000116</v>
      </c>
      <c r="B50" s="455" t="str">
        <f>VLOOKUP(A50,'Loan Book Summary'!C:G,5,FALSE)</f>
        <v>0015800000bzlGg</v>
      </c>
      <c r="C50" s="167">
        <f>VLOOKUP(A50,'Ref-Data'!$A:$I,9,0)</f>
        <v>1</v>
      </c>
      <c r="D50" s="445">
        <f>VLOOKUP(A50,'Adjustment Factor'!A:C,3,0)</f>
        <v>0.85</v>
      </c>
      <c r="E50" s="446">
        <f>VLOOKUP(A50,'Ref-Data'!A:C,2,FALSE)</f>
        <v>405001</v>
      </c>
      <c r="F50" s="445">
        <f>VLOOKUP(A50,'Ref-Data'!$A:$F,6,FALSE)</f>
        <v>3.2224503764544834</v>
      </c>
      <c r="G50" s="346"/>
      <c r="H50" s="273">
        <f>VLOOKUP($B50, 'Output 96% Downside'!$A:$CW,42,FALSE)</f>
        <v>7.1999999999999998E-3</v>
      </c>
      <c r="I50" s="273">
        <f>VLOOKUP($B50, 'Output 96% Downside'!$A:$CW,43,FALSE)</f>
        <v>8.2000000000000007E-3</v>
      </c>
      <c r="J50" s="273">
        <f>VLOOKUP($B50, 'Output 96% Downside'!$A:$CW,44,FALSE)</f>
        <v>8.8000000000000005E-3</v>
      </c>
      <c r="K50" s="273">
        <f>VLOOKUP($B50, 'Output 96% Downside'!$A:$CW,45,FALSE)</f>
        <v>9.2999999999999992E-3</v>
      </c>
      <c r="L50" s="273">
        <f>VLOOKUP($B50, 'Output 96% Downside'!$A:$CW,46,FALSE)</f>
        <v>9.5999999999999992E-3</v>
      </c>
      <c r="M50" s="447">
        <f t="shared" si="0"/>
        <v>1.8048805135881807E-3</v>
      </c>
      <c r="N50" s="447">
        <f t="shared" si="3"/>
        <v>3.6065034335079904E-3</v>
      </c>
      <c r="O50" s="447">
        <f t="shared" si="4"/>
        <v>5.4048746393268177E-3</v>
      </c>
      <c r="P50" s="346"/>
      <c r="Q50" s="390">
        <f t="shared" si="5"/>
        <v>1.5341484365499535E-3</v>
      </c>
      <c r="R50" s="390">
        <f t="shared" si="5"/>
        <v>3.0655279184817917E-3</v>
      </c>
      <c r="S50" s="390">
        <f t="shared" si="5"/>
        <v>4.5941434434277947E-3</v>
      </c>
      <c r="T50" s="390">
        <f t="shared" si="6"/>
        <v>6.1199999999999996E-3</v>
      </c>
      <c r="U50" s="390">
        <f t="shared" si="7"/>
        <v>1.3039815999999965E-2</v>
      </c>
      <c r="V50" s="390">
        <f t="shared" si="8"/>
        <v>2.0405065619200018E-2</v>
      </c>
      <c r="W50" s="390">
        <f t="shared" si="9"/>
        <v>2.8120298508941426E-2</v>
      </c>
      <c r="X50" s="390">
        <f t="shared" si="10"/>
        <v>3.601034364325565E-2</v>
      </c>
      <c r="Y50" s="390">
        <f t="shared" si="11"/>
        <v>6.1199999999999996E-3</v>
      </c>
      <c r="Z50" s="390">
        <f t="shared" si="12"/>
        <v>2.8120298508941426E-2</v>
      </c>
      <c r="AC50" s="273">
        <f>VLOOKUP($B50, 'Output Baseline'!$A:$CW,42,FALSE)</f>
        <v>5.5999999999999999E-3</v>
      </c>
      <c r="AD50" s="273">
        <f>VLOOKUP($B50, 'Output Baseline'!$A:$CW,43,FALSE)</f>
        <v>6.4999999999999997E-3</v>
      </c>
      <c r="AE50" s="273">
        <f>VLOOKUP($B50, 'Output Baseline'!$A:$CW,44,FALSE)</f>
        <v>7.1000000000000004E-3</v>
      </c>
      <c r="AF50" s="273">
        <f>VLOOKUP($B50, 'Output Baseline'!$A:$CW,45,FALSE)</f>
        <v>7.6E-3</v>
      </c>
      <c r="AG50" s="273">
        <f>VLOOKUP($B50, 'Output Baseline'!$A:$CW,46,FALSE)</f>
        <v>8.0000000000000002E-3</v>
      </c>
      <c r="AH50" s="447">
        <f t="shared" si="13"/>
        <v>1.4029496411314124E-3</v>
      </c>
      <c r="AI50" s="447">
        <f t="shared" si="14"/>
        <v>2.8039310145673291E-3</v>
      </c>
      <c r="AJ50" s="447">
        <f t="shared" si="15"/>
        <v>4.2029468816880966E-3</v>
      </c>
      <c r="AK50" s="346"/>
      <c r="AL50" s="390">
        <f t="shared" si="16"/>
        <v>1.1925071949617004E-3</v>
      </c>
      <c r="AM50" s="390">
        <f t="shared" si="16"/>
        <v>2.3833413623822295E-3</v>
      </c>
      <c r="AN50" s="390">
        <f t="shared" si="16"/>
        <v>3.572504849434882E-3</v>
      </c>
      <c r="AO50" s="390">
        <f t="shared" si="17"/>
        <v>4.7599999999999995E-3</v>
      </c>
      <c r="AP50" s="390">
        <f t="shared" si="18"/>
        <v>1.0254059999999959E-2</v>
      </c>
      <c r="AQ50" s="390">
        <f t="shared" si="19"/>
        <v>1.6216256173999993E-2</v>
      </c>
      <c r="AR50" s="390">
        <f t="shared" si="20"/>
        <v>2.2553012627077613E-2</v>
      </c>
      <c r="AS50" s="390">
        <f t="shared" si="21"/>
        <v>2.9172588526060965E-2</v>
      </c>
      <c r="AT50" s="390">
        <f t="shared" si="22"/>
        <v>4.7599999999999995E-3</v>
      </c>
      <c r="AU50" s="390">
        <f t="shared" si="23"/>
        <v>2.2553012627077613E-2</v>
      </c>
      <c r="AX50" s="273">
        <f>VLOOKUP($B50, 'Output 90% Downside'!$A:$CW,42,FALSE)</f>
        <v>6.7999999999999996E-3</v>
      </c>
      <c r="AY50" s="273">
        <f>VLOOKUP($B50, 'Output 90% Downside'!$A:$CW,43,FALSE)</f>
        <v>7.7000000000000002E-3</v>
      </c>
      <c r="AZ50" s="273">
        <f>VLOOKUP($B50, 'Output 90% Downside'!$A:$CW,44,FALSE)</f>
        <v>8.3000000000000001E-3</v>
      </c>
      <c r="BA50" s="273">
        <f>VLOOKUP($B50, 'Output 90% Downside'!$A:$CW,45,FALSE)</f>
        <v>8.8000000000000005E-3</v>
      </c>
      <c r="BB50" s="273">
        <f>VLOOKUP($B50, 'Output 90% Downside'!$A:$CW,46,FALSE)</f>
        <v>9.1999999999999998E-3</v>
      </c>
      <c r="BC50" s="447">
        <f t="shared" si="24"/>
        <v>1.7043522763011687E-3</v>
      </c>
      <c r="BD50" s="447">
        <f t="shared" si="25"/>
        <v>3.4057997359205894E-3</v>
      </c>
      <c r="BE50" s="447">
        <f t="shared" si="26"/>
        <v>5.1043473296892294E-3</v>
      </c>
      <c r="BF50" s="346"/>
      <c r="BG50" s="390">
        <f t="shared" si="27"/>
        <v>1.4486994348559934E-3</v>
      </c>
      <c r="BH50" s="390">
        <f t="shared" si="27"/>
        <v>2.8949297755325007E-3</v>
      </c>
      <c r="BI50" s="390">
        <f t="shared" si="27"/>
        <v>4.3386952302358452E-3</v>
      </c>
      <c r="BJ50" s="390">
        <f t="shared" si="28"/>
        <v>5.7799999999999995E-3</v>
      </c>
      <c r="BK50" s="390">
        <f t="shared" si="29"/>
        <v>1.2280494000000081E-2</v>
      </c>
      <c r="BL50" s="390">
        <f t="shared" si="30"/>
        <v>1.9233565899800093E-2</v>
      </c>
      <c r="BM50" s="390">
        <f t="shared" si="31"/>
        <v>2.6544310519881837E-2</v>
      </c>
      <c r="BN50" s="390">
        <f t="shared" si="32"/>
        <v>3.4120102863098897E-2</v>
      </c>
      <c r="BO50" s="390">
        <f t="shared" si="33"/>
        <v>5.7799999999999995E-3</v>
      </c>
      <c r="BP50" s="390">
        <f t="shared" si="34"/>
        <v>2.6544310519881837E-2</v>
      </c>
      <c r="BQ50" s="347"/>
      <c r="BU50" s="390">
        <f>IFERROR(AL50*$BS$2+BG50*$BS$4+Q50*$BS$3,VLOOKUP(A50,'Updated Ncino PD'!A:K,4,FALSE))</f>
        <v>1.2992565410041156E-3</v>
      </c>
      <c r="BV50" s="390">
        <f>IFERROR(AM50*$BS$2+BH50*$BS$4+R50*$BS$3,VLOOKUP(A50,'Updated Ncino PD'!A:K,5,FALSE))</f>
        <v>2.5965066347898025E-3</v>
      </c>
      <c r="BW50" s="390">
        <f>IFERROR(AN50*$BS$2+BI50*$BS$4+S50*$BS$3,VLOOKUP(A50,'Updated Ncino PD'!A:K,6,FALSE))</f>
        <v>3.8917534124148644E-3</v>
      </c>
      <c r="BX50" s="390">
        <f>IFERROR(AO50*$BS$2+BJ50*$BS$4+T50*$BS$3,VLOOKUP(A50,'Updated Ncino PD'!A:K,7,FALSE))</f>
        <v>5.1849999999999995E-3</v>
      </c>
      <c r="BY50" s="390">
        <f>IFERROR(AP50*$BS$2+BK50*$BS$4+U50*$BS$3,VLOOKUP(A50,'Updated Ncino PD'!A:K,8,FALSE))</f>
        <v>1.1102599700000002E-2</v>
      </c>
      <c r="BZ50" s="390">
        <f>IFERROR(AQ50*$BS$2+BL50*$BS$4+V50*$BS$3,VLOOKUP(A50,'Updated Ncino PD'!A:K,9,FALSE))</f>
        <v>1.7481755050290027E-2</v>
      </c>
      <c r="CA50" s="390">
        <f>IFERROR(AR50*$BS$2+BM50*$BS$4+W50*$BS$3,VLOOKUP(A50,'Updated Ncino PD'!A:K,10,FALSE))</f>
        <v>2.422833118365228E-2</v>
      </c>
      <c r="CB50" s="390">
        <f>IFERROR(AS50*$BS$2+BN50*$BS$4+X50*$BS$3,VLOOKUP(A50,'Updated Ncino PD'!A:K,11,FALSE))</f>
        <v>3.1246106299883974E-2</v>
      </c>
      <c r="CC50" s="390">
        <f t="shared" si="37"/>
        <v>5.1849999999999995E-3</v>
      </c>
      <c r="CD50" s="390">
        <f t="shared" si="37"/>
        <v>2.422833118365228E-2</v>
      </c>
      <c r="CF50" s="450">
        <f t="shared" si="35"/>
        <v>6.0999999999999995E-3</v>
      </c>
      <c r="CG50" s="450">
        <f t="shared" si="35"/>
        <v>7.0049999999999991E-3</v>
      </c>
      <c r="CH50" s="450">
        <f t="shared" si="35"/>
        <v>7.6050000000000006E-3</v>
      </c>
      <c r="CI50" s="450">
        <f t="shared" si="35"/>
        <v>8.1049999999999994E-3</v>
      </c>
      <c r="CJ50" s="450">
        <f t="shared" si="35"/>
        <v>8.5000000000000006E-3</v>
      </c>
    </row>
    <row r="51" spans="1:88" s="355" customFormat="1" hidden="1" x14ac:dyDescent="0.25">
      <c r="A51" s="400">
        <v>1200000105</v>
      </c>
      <c r="B51" s="455" t="str">
        <f>VLOOKUP(A51,'Loan Book Summary'!C:G,5,FALSE)</f>
        <v>0014I00001opmrL</v>
      </c>
      <c r="C51" s="167">
        <f>VLOOKUP(A51,'Ref-Data'!$A:$I,9,0)</f>
        <v>1</v>
      </c>
      <c r="D51" s="445">
        <f>VLOOKUP(A51,'Adjustment Factor'!A:C,3,0)</f>
        <v>0.85</v>
      </c>
      <c r="E51" s="446">
        <f>VLOOKUP(A51,'Ref-Data'!A:C,2,FALSE)</f>
        <v>1713000.72</v>
      </c>
      <c r="F51" s="445">
        <f>VLOOKUP(A51,'Ref-Data'!$A:$F,6,FALSE)</f>
        <v>3.6276522929500343</v>
      </c>
      <c r="G51" s="346"/>
      <c r="H51" s="273">
        <f>VLOOKUP($B51, 'Output 96% Downside'!$A:$CW,42,FALSE)</f>
        <v>9.1999999999999998E-3</v>
      </c>
      <c r="I51" s="273">
        <f>VLOOKUP($B51, 'Output 96% Downside'!$A:$CW,43,FALSE)</f>
        <v>9.2999999999999992E-3</v>
      </c>
      <c r="J51" s="273">
        <f>VLOOKUP($B51, 'Output 96% Downside'!$A:$CW,44,FALSE)</f>
        <v>9.2999999999999992E-3</v>
      </c>
      <c r="K51" s="273">
        <f>VLOOKUP($B51, 'Output 96% Downside'!$A:$CW,45,FALSE)</f>
        <v>9.4000000000000004E-3</v>
      </c>
      <c r="L51" s="273">
        <f>VLOOKUP($B51, 'Output 96% Downside'!$A:$CW,46,FALSE)</f>
        <v>9.4000000000000004E-3</v>
      </c>
      <c r="M51" s="447">
        <f t="shared" si="0"/>
        <v>2.3079778557191233E-3</v>
      </c>
      <c r="N51" s="447">
        <f t="shared" si="3"/>
        <v>4.6106289496558039E-3</v>
      </c>
      <c r="O51" s="447">
        <f t="shared" si="4"/>
        <v>6.9079655758581548E-3</v>
      </c>
      <c r="P51" s="346"/>
      <c r="Q51" s="390">
        <f t="shared" si="5"/>
        <v>1.9617811773612547E-3</v>
      </c>
      <c r="R51" s="390">
        <f t="shared" si="5"/>
        <v>3.9190346072074328E-3</v>
      </c>
      <c r="S51" s="390">
        <f t="shared" si="5"/>
        <v>5.8717707394794318E-3</v>
      </c>
      <c r="T51" s="390">
        <f t="shared" si="6"/>
        <v>7.8199999999999988E-3</v>
      </c>
      <c r="U51" s="390">
        <f t="shared" si="7"/>
        <v>1.5652273999999931E-2</v>
      </c>
      <c r="V51" s="390">
        <f t="shared" si="8"/>
        <v>2.3411707851799874E-2</v>
      </c>
      <c r="W51" s="390">
        <f t="shared" si="9"/>
        <v>3.1181637797992878E-2</v>
      </c>
      <c r="X51" s="390">
        <f t="shared" si="10"/>
        <v>3.8878530402691742E-2</v>
      </c>
      <c r="Y51" s="390">
        <f t="shared" si="11"/>
        <v>7.8199999999999988E-3</v>
      </c>
      <c r="Z51" s="390">
        <f t="shared" si="12"/>
        <v>3.1181637797992878E-2</v>
      </c>
      <c r="AC51" s="273">
        <f>VLOOKUP($B51, 'Output Baseline'!$A:$CW,42,FALSE)</f>
        <v>6.7999999999999996E-3</v>
      </c>
      <c r="AD51" s="273">
        <f>VLOOKUP($B51, 'Output Baseline'!$A:$CW,43,FALSE)</f>
        <v>6.8999999999999999E-3</v>
      </c>
      <c r="AE51" s="273">
        <f>VLOOKUP($B51, 'Output Baseline'!$A:$CW,44,FALSE)</f>
        <v>7.0000000000000001E-3</v>
      </c>
      <c r="AF51" s="273">
        <f>VLOOKUP($B51, 'Output Baseline'!$A:$CW,45,FALSE)</f>
        <v>7.1000000000000004E-3</v>
      </c>
      <c r="AG51" s="273">
        <f>VLOOKUP($B51, 'Output Baseline'!$A:$CW,46,FALSE)</f>
        <v>7.1999999999999998E-3</v>
      </c>
      <c r="AH51" s="447">
        <f t="shared" si="13"/>
        <v>1.7043522763011687E-3</v>
      </c>
      <c r="AI51" s="447">
        <f t="shared" si="14"/>
        <v>3.4057997359205894E-3</v>
      </c>
      <c r="AJ51" s="447">
        <f t="shared" si="15"/>
        <v>5.1043473296892294E-3</v>
      </c>
      <c r="AK51" s="346"/>
      <c r="AL51" s="390">
        <f t="shared" si="16"/>
        <v>1.4486994348559934E-3</v>
      </c>
      <c r="AM51" s="390">
        <f t="shared" si="16"/>
        <v>2.8949297755325007E-3</v>
      </c>
      <c r="AN51" s="390">
        <f t="shared" si="16"/>
        <v>4.3386952302358452E-3</v>
      </c>
      <c r="AO51" s="390">
        <f t="shared" si="17"/>
        <v>5.7799999999999995E-3</v>
      </c>
      <c r="AP51" s="390">
        <f t="shared" si="18"/>
        <v>1.1605118000000081E-2</v>
      </c>
      <c r="AQ51" s="390">
        <f t="shared" si="19"/>
        <v>1.7473882174000126E-2</v>
      </c>
      <c r="AR51" s="390">
        <f t="shared" si="20"/>
        <v>2.3384817610564695E-2</v>
      </c>
      <c r="AS51" s="390">
        <f t="shared" si="21"/>
        <v>2.9336446923768654E-2</v>
      </c>
      <c r="AT51" s="390">
        <f t="shared" si="22"/>
        <v>5.7799999999999995E-3</v>
      </c>
      <c r="AU51" s="390">
        <f t="shared" si="23"/>
        <v>2.3384817610564695E-2</v>
      </c>
      <c r="AX51" s="273">
        <f>VLOOKUP($B51, 'Output 90% Downside'!$A:$CW,42,FALSE)</f>
        <v>8.3000000000000001E-3</v>
      </c>
      <c r="AY51" s="273">
        <f>VLOOKUP($B51, 'Output 90% Downside'!$A:$CW,43,FALSE)</f>
        <v>8.5000000000000006E-3</v>
      </c>
      <c r="AZ51" s="273">
        <f>VLOOKUP($B51, 'Output 90% Downside'!$A:$CW,44,FALSE)</f>
        <v>8.6E-3</v>
      </c>
      <c r="BA51" s="273">
        <f>VLOOKUP($B51, 'Output 90% Downside'!$A:$CW,45,FALSE)</f>
        <v>8.6999999999999994E-3</v>
      </c>
      <c r="BB51" s="273">
        <f>VLOOKUP($B51, 'Output 90% Downside'!$A:$CW,46,FALSE)</f>
        <v>8.6999999999999994E-3</v>
      </c>
      <c r="BC51" s="447">
        <f t="shared" si="24"/>
        <v>2.0814898866517995E-3</v>
      </c>
      <c r="BD51" s="447">
        <f t="shared" si="25"/>
        <v>4.1586471731553942E-3</v>
      </c>
      <c r="BE51" s="447">
        <f t="shared" si="26"/>
        <v>6.2314808777741426E-3</v>
      </c>
      <c r="BF51" s="346"/>
      <c r="BG51" s="390">
        <f t="shared" si="27"/>
        <v>1.7692664036540295E-3</v>
      </c>
      <c r="BH51" s="390">
        <f t="shared" si="27"/>
        <v>3.5348500971820848E-3</v>
      </c>
      <c r="BI51" s="390">
        <f t="shared" si="27"/>
        <v>5.2967587461080212E-3</v>
      </c>
      <c r="BJ51" s="390">
        <f t="shared" si="28"/>
        <v>7.0549999999999996E-3</v>
      </c>
      <c r="BK51" s="390">
        <f t="shared" si="29"/>
        <v>1.4220032499999934E-2</v>
      </c>
      <c r="BL51" s="390">
        <f t="shared" si="30"/>
        <v>2.1407740220499991E-2</v>
      </c>
      <c r="BM51" s="390">
        <f t="shared" si="31"/>
        <v>2.8616492880581705E-2</v>
      </c>
      <c r="BN51" s="390">
        <f t="shared" si="32"/>
        <v>3.5762529392520649E-2</v>
      </c>
      <c r="BO51" s="390">
        <f t="shared" si="33"/>
        <v>7.0549999999999996E-3</v>
      </c>
      <c r="BP51" s="390">
        <f t="shared" si="34"/>
        <v>2.8616492880581705E-2</v>
      </c>
      <c r="BQ51" s="347"/>
      <c r="BU51" s="390">
        <f>IFERROR(AL51*$BS$2+BG51*$BS$4+Q51*$BS$3,VLOOKUP(A51,'Updated Ncino PD'!A:K,4,FALSE))</f>
        <v>1.5865519610605691E-3</v>
      </c>
      <c r="BV51" s="390">
        <f>IFERROR(AM51*$BS$2+BH51*$BS$4+R51*$BS$3,VLOOKUP(A51,'Updated Ncino PD'!A:K,5,FALSE))</f>
        <v>3.1701071296936019E-3</v>
      </c>
      <c r="BW51" s="390">
        <f>IFERROR(AN51*$BS$2+BI51*$BS$4+S51*$BS$3,VLOOKUP(A51,'Updated Ncino PD'!A:K,6,FALSE))</f>
        <v>4.7506712362532857E-3</v>
      </c>
      <c r="BX51" s="390">
        <f>IFERROR(AO51*$BS$2+BJ51*$BS$4+T51*$BS$3,VLOOKUP(A51,'Updated Ncino PD'!A:K,7,FALSE))</f>
        <v>6.3282499999999997E-3</v>
      </c>
      <c r="BY51" s="390">
        <f>IFERROR(AP51*$BS$2+BK51*$BS$4+U51*$BS$3,VLOOKUP(A51,'Updated Ncino PD'!A:K,8,FALSE))</f>
        <v>1.2722695875000021E-2</v>
      </c>
      <c r="BZ51" s="390">
        <f>IFERROR(AQ51*$BS$2+BL51*$BS$4+V51*$BS$3,VLOOKUP(A51,'Updated Ncino PD'!A:K,9,FALSE))</f>
        <v>1.9147623774165064E-2</v>
      </c>
      <c r="CA51" s="390">
        <f>IFERROR(AR51*$BS$2+BM51*$BS$4+W51*$BS$3,VLOOKUP(A51,'Updated Ncino PD'!A:K,10,FALSE))</f>
        <v>2.5605744964442057E-2</v>
      </c>
      <c r="CB51" s="390">
        <f>IFERROR(AS51*$BS$2+BN51*$BS$4+X51*$BS$3,VLOOKUP(A51,'Updated Ncino PD'!A:K,11,FALSE))</f>
        <v>3.2062679961778001E-2</v>
      </c>
      <c r="CC51" s="390">
        <f t="shared" si="37"/>
        <v>6.3282499999999997E-3</v>
      </c>
      <c r="CD51" s="390">
        <f t="shared" si="37"/>
        <v>2.5605744964442057E-2</v>
      </c>
      <c r="CF51" s="450">
        <f t="shared" si="35"/>
        <v>7.4450000000000002E-3</v>
      </c>
      <c r="CG51" s="450">
        <f t="shared" si="35"/>
        <v>7.5799999999999999E-3</v>
      </c>
      <c r="CH51" s="450">
        <f t="shared" si="35"/>
        <v>7.6749999999999995E-3</v>
      </c>
      <c r="CI51" s="450">
        <f t="shared" si="35"/>
        <v>7.7749999999999989E-3</v>
      </c>
      <c r="CJ51" s="450">
        <f t="shared" si="35"/>
        <v>7.835E-3</v>
      </c>
    </row>
    <row r="52" spans="1:88" s="355" customFormat="1" hidden="1" x14ac:dyDescent="0.25">
      <c r="A52" s="400">
        <v>1200000106</v>
      </c>
      <c r="B52" s="455" t="str">
        <f>VLOOKUP(A52,'Loan Book Summary'!C:G,5,FALSE)</f>
        <v>0014I00001r6hl4</v>
      </c>
      <c r="C52" s="167">
        <f>VLOOKUP(A52,'Ref-Data'!$A:$I,9,0)</f>
        <v>1</v>
      </c>
      <c r="D52" s="445">
        <f>VLOOKUP(A52,'Adjustment Factor'!A:C,3,0)</f>
        <v>1.08</v>
      </c>
      <c r="E52" s="446">
        <f>VLOOKUP(A52,'Ref-Data'!A:C,2,FALSE)</f>
        <v>4156853.67</v>
      </c>
      <c r="F52" s="445">
        <f>VLOOKUP(A52,'Ref-Data'!$A:$F,6,FALSE)</f>
        <v>3.378507871321013</v>
      </c>
      <c r="G52" s="346"/>
      <c r="H52" s="273">
        <f>VLOOKUP($B52, 'Output 96% Downside'!$A:$CW,42,FALSE)</f>
        <v>8.48E-2</v>
      </c>
      <c r="I52" s="273">
        <f>VLOOKUP($B52, 'Output 96% Downside'!$A:$CW,43,FALSE)</f>
        <v>6.4699999999999994E-2</v>
      </c>
      <c r="J52" s="273">
        <f>VLOOKUP($B52, 'Output 96% Downside'!$A:$CW,44,FALSE)</f>
        <v>5.5100000000000003E-2</v>
      </c>
      <c r="K52" s="273">
        <f>VLOOKUP($B52, 'Output 96% Downside'!$A:$CW,45,FALSE)</f>
        <v>4.9200000000000001E-2</v>
      </c>
      <c r="L52" s="273">
        <f>VLOOKUP($B52, 'Output 96% Downside'!$A:$CW,46,FALSE)</f>
        <v>4.4999999999999998E-2</v>
      </c>
      <c r="M52" s="447">
        <f t="shared" si="0"/>
        <v>2.1909585238607976E-2</v>
      </c>
      <c r="N52" s="447">
        <f t="shared" si="3"/>
        <v>4.3339140551888145E-2</v>
      </c>
      <c r="O52" s="447">
        <f t="shared" si="4"/>
        <v>6.4299183196406484E-2</v>
      </c>
      <c r="P52" s="346"/>
      <c r="Q52" s="390">
        <f t="shared" si="5"/>
        <v>2.3662352057696616E-2</v>
      </c>
      <c r="R52" s="390">
        <f t="shared" si="5"/>
        <v>4.6806271796039196E-2</v>
      </c>
      <c r="S52" s="390">
        <f t="shared" si="5"/>
        <v>6.9443117852119013E-2</v>
      </c>
      <c r="T52" s="390">
        <f t="shared" si="6"/>
        <v>9.1584000000000013E-2</v>
      </c>
      <c r="U52" s="390">
        <f t="shared" si="7"/>
        <v>0.15553451519999995</v>
      </c>
      <c r="V52" s="390">
        <f t="shared" si="8"/>
        <v>0.20647256341247996</v>
      </c>
      <c r="W52" s="390">
        <f t="shared" si="9"/>
        <v>0.2494501132925859</v>
      </c>
      <c r="X52" s="390">
        <f t="shared" si="10"/>
        <v>0.28682485819441961</v>
      </c>
      <c r="Y52" s="390">
        <f t="shared" si="11"/>
        <v>9.1584000000000013E-2</v>
      </c>
      <c r="Z52" s="390">
        <f t="shared" si="12"/>
        <v>0.2494501132925859</v>
      </c>
      <c r="AC52" s="273">
        <f>VLOOKUP($B52, 'Output Baseline'!$A:$CW,42,FALSE)</f>
        <v>6.59E-2</v>
      </c>
      <c r="AD52" s="273">
        <f>VLOOKUP($B52, 'Output Baseline'!$A:$CW,43,FALSE)</f>
        <v>5.2999999999999999E-2</v>
      </c>
      <c r="AE52" s="273">
        <f>VLOOKUP($B52, 'Output Baseline'!$A:$CW,44,FALSE)</f>
        <v>4.6699999999999998E-2</v>
      </c>
      <c r="AF52" s="273">
        <f>VLOOKUP($B52, 'Output Baseline'!$A:$CW,45,FALSE)</f>
        <v>4.2599999999999999E-2</v>
      </c>
      <c r="AG52" s="273">
        <f>VLOOKUP($B52, 'Output Baseline'!$A:$CW,46,FALSE)</f>
        <v>3.9699999999999999E-2</v>
      </c>
      <c r="AH52" s="447">
        <f t="shared" si="13"/>
        <v>1.6898535589444208E-2</v>
      </c>
      <c r="AI52" s="447">
        <f t="shared" si="14"/>
        <v>3.3511510673820744E-2</v>
      </c>
      <c r="AJ52" s="447">
        <f t="shared" si="15"/>
        <v>4.9843750807487375E-2</v>
      </c>
      <c r="AK52" s="346"/>
      <c r="AL52" s="390">
        <f t="shared" si="16"/>
        <v>1.8250418436599747E-2</v>
      </c>
      <c r="AM52" s="390">
        <f t="shared" si="16"/>
        <v>3.6192431527726408E-2</v>
      </c>
      <c r="AN52" s="390">
        <f t="shared" si="16"/>
        <v>5.3831250872086366E-2</v>
      </c>
      <c r="AO52" s="390">
        <f t="shared" si="17"/>
        <v>7.1171999999999999E-2</v>
      </c>
      <c r="AP52" s="390">
        <f t="shared" si="18"/>
        <v>0.12463988399999999</v>
      </c>
      <c r="AQ52" s="390">
        <f t="shared" si="19"/>
        <v>0.16925520141719996</v>
      </c>
      <c r="AR52" s="390">
        <f t="shared" si="20"/>
        <v>0.20805292983682722</v>
      </c>
      <c r="AS52" s="390">
        <f t="shared" si="21"/>
        <v>0.2426692285223051</v>
      </c>
      <c r="AT52" s="390">
        <f t="shared" si="22"/>
        <v>7.1171999999999999E-2</v>
      </c>
      <c r="AU52" s="390">
        <f t="shared" si="23"/>
        <v>0.20805292983682722</v>
      </c>
      <c r="AX52" s="273">
        <f>VLOOKUP($B52, 'Output 90% Downside'!$A:$CW,42,FALSE)</f>
        <v>8.2000000000000003E-2</v>
      </c>
      <c r="AY52" s="273">
        <f>VLOOKUP($B52, 'Output 90% Downside'!$A:$CW,43,FALSE)</f>
        <v>6.2899999999999998E-2</v>
      </c>
      <c r="AZ52" s="273">
        <f>VLOOKUP($B52, 'Output 90% Downside'!$A:$CW,44,FALSE)</f>
        <v>5.3800000000000001E-2</v>
      </c>
      <c r="BA52" s="273">
        <f>VLOOKUP($B52, 'Output 90% Downside'!$A:$CW,45,FALSE)</f>
        <v>4.82E-2</v>
      </c>
      <c r="BB52" s="273">
        <f>VLOOKUP($B52, 'Output 90% Downside'!$A:$CW,46,FALSE)</f>
        <v>4.4200000000000003E-2</v>
      </c>
      <c r="BC52" s="447">
        <f t="shared" si="24"/>
        <v>2.1162339629150373E-2</v>
      </c>
      <c r="BD52" s="447">
        <f t="shared" si="25"/>
        <v>4.187683463972125E-2</v>
      </c>
      <c r="BE52" s="447">
        <f t="shared" si="26"/>
        <v>6.2152962471632045E-2</v>
      </c>
      <c r="BF52" s="346"/>
      <c r="BG52" s="390">
        <f t="shared" si="27"/>
        <v>2.2855326799482403E-2</v>
      </c>
      <c r="BH52" s="390">
        <f t="shared" si="27"/>
        <v>4.5226981410898953E-2</v>
      </c>
      <c r="BI52" s="390">
        <f t="shared" si="27"/>
        <v>6.7125199469362615E-2</v>
      </c>
      <c r="BJ52" s="390">
        <f t="shared" si="28"/>
        <v>8.8560000000000014E-2</v>
      </c>
      <c r="BK52" s="390">
        <f t="shared" si="29"/>
        <v>0.15092157599999992</v>
      </c>
      <c r="BL52" s="390">
        <f t="shared" si="30"/>
        <v>0.20090599521119984</v>
      </c>
      <c r="BM52" s="390">
        <f t="shared" si="31"/>
        <v>0.24327832624202006</v>
      </c>
      <c r="BN52" s="390">
        <f t="shared" si="32"/>
        <v>0.28026142422212286</v>
      </c>
      <c r="BO52" s="390">
        <f t="shared" si="33"/>
        <v>8.8560000000000014E-2</v>
      </c>
      <c r="BP52" s="390">
        <f t="shared" si="34"/>
        <v>0.24327832624202006</v>
      </c>
      <c r="BQ52" s="347"/>
      <c r="BU52" s="390">
        <f>IFERROR(AL52*$BS$2+BG52*$BS$4+Q52*$BS$3,VLOOKUP(A52,'Updated Ncino PD'!A:K,4,FALSE))</f>
        <v>2.0132733044663516E-2</v>
      </c>
      <c r="BV52" s="390">
        <f>IFERROR(AM52*$BS$2+BH52*$BS$4+R52*$BS$3,VLOOKUP(A52,'Updated Ncino PD'!A:K,5,FALSE))</f>
        <v>3.9885216000252438E-2</v>
      </c>
      <c r="BW52" s="390">
        <f>IFERROR(AN52*$BS$2+BI52*$BS$4+S52*$BS$3,VLOOKUP(A52,'Updated Ncino PD'!A:K,6,FALSE))</f>
        <v>5.9264726230134679E-2</v>
      </c>
      <c r="BX52" s="390">
        <f>IFERROR(AO52*$BS$2+BJ52*$BS$4+T52*$BS$3,VLOOKUP(A52,'Updated Ncino PD'!A:K,7,FALSE))</f>
        <v>7.8278399999999998E-2</v>
      </c>
      <c r="BY52" s="390">
        <f>IFERROR(AP52*$BS$2+BK52*$BS$4+U52*$BS$3,VLOOKUP(A52,'Updated Ncino PD'!A:K,8,FALSE))</f>
        <v>0.13538320775999996</v>
      </c>
      <c r="BZ52" s="390">
        <f>IFERROR(AQ52*$BS$2+BL52*$BS$4+V52*$BS$3,VLOOKUP(A52,'Updated Ncino PD'!A:K,9,FALSE))</f>
        <v>0.18219384734486391</v>
      </c>
      <c r="CA52" s="390">
        <f>IFERROR(AR52*$BS$2+BM52*$BS$4+W52*$BS$3,VLOOKUP(A52,'Updated Ncino PD'!A:K,10,FALSE))</f>
        <v>0.22245167775143262</v>
      </c>
      <c r="CB52" s="390">
        <f>IFERROR(AS52*$BS$2+BN52*$BS$4+X52*$BS$3,VLOOKUP(A52,'Updated Ncino PD'!A:K,11,FALSE))</f>
        <v>0.25803427850084704</v>
      </c>
      <c r="CC52" s="390">
        <f t="shared" si="37"/>
        <v>7.8278399999999998E-2</v>
      </c>
      <c r="CD52" s="390">
        <f t="shared" si="37"/>
        <v>0.22245167775143262</v>
      </c>
      <c r="CF52" s="450">
        <f t="shared" si="35"/>
        <v>7.2480000000000003E-2</v>
      </c>
      <c r="CG52" s="450">
        <f t="shared" si="35"/>
        <v>5.704999999999999E-2</v>
      </c>
      <c r="CH52" s="450">
        <f t="shared" si="35"/>
        <v>4.9604999999999996E-2</v>
      </c>
      <c r="CI52" s="450">
        <f t="shared" si="35"/>
        <v>4.4889999999999999E-2</v>
      </c>
      <c r="CJ52" s="450">
        <f t="shared" si="35"/>
        <v>4.1539999999999994E-2</v>
      </c>
    </row>
    <row r="53" spans="1:88" s="355" customFormat="1" hidden="1" x14ac:dyDescent="0.25">
      <c r="A53" s="400">
        <v>1200000135</v>
      </c>
      <c r="B53" s="455" t="str">
        <f>VLOOKUP(A53,'Loan Book Summary'!C:G,5,FALSE)</f>
        <v>0014I00001oIXfG</v>
      </c>
      <c r="C53" s="167">
        <f>VLOOKUP(A53,'Ref-Data'!$A:$I,9,0)</f>
        <v>2</v>
      </c>
      <c r="D53" s="445">
        <f>VLOOKUP(A53,'Adjustment Factor'!A:C,3,0)</f>
        <v>1.0605674153852402</v>
      </c>
      <c r="E53" s="446">
        <f>VLOOKUP(A53,'Ref-Data'!A:C,2,FALSE)</f>
        <v>5000000</v>
      </c>
      <c r="F53" s="445">
        <f>VLOOKUP(A53,'Ref-Data'!$A:$F,6,FALSE)</f>
        <v>0.33401779603011633</v>
      </c>
      <c r="G53" s="346"/>
      <c r="H53" s="273">
        <f>VLOOKUP($B53, 'Output 96% Downside'!$A:$CW,42,FALSE)</f>
        <v>9.4899999999999998E-2</v>
      </c>
      <c r="I53" s="273">
        <f>VLOOKUP($B53, 'Output 96% Downside'!$A:$CW,43,FALSE)</f>
        <v>7.0099999999999996E-2</v>
      </c>
      <c r="J53" s="273">
        <f>VLOOKUP($B53, 'Output 96% Downside'!$A:$CW,44,FALSE)</f>
        <v>5.8599999999999999E-2</v>
      </c>
      <c r="K53" s="273">
        <f>VLOOKUP($B53, 'Output 96% Downside'!$A:$CW,45,FALSE)</f>
        <v>5.16E-2</v>
      </c>
      <c r="L53" s="273">
        <f>VLOOKUP($B53, 'Output 96% Downside'!$A:$CW,46,FALSE)</f>
        <v>4.6699999999999998E-2</v>
      </c>
      <c r="M53" s="447">
        <f t="shared" si="0"/>
        <v>2.4619337436237676E-2</v>
      </c>
      <c r="N53" s="447">
        <f t="shared" si="3"/>
        <v>4.8632563096676074E-2</v>
      </c>
      <c r="O53" s="447">
        <f t="shared" si="4"/>
        <v>7.2054599051647572E-2</v>
      </c>
      <c r="P53" s="346"/>
      <c r="Q53" s="390">
        <f t="shared" si="5"/>
        <v>2.6110467073247681E-2</v>
      </c>
      <c r="R53" s="390">
        <f t="shared" si="5"/>
        <v>5.1578111747001359E-2</v>
      </c>
      <c r="S53" s="390">
        <f t="shared" si="5"/>
        <v>7.6418759882825649E-2</v>
      </c>
      <c r="T53" s="390">
        <f t="shared" si="6"/>
        <v>0.1006478477200593</v>
      </c>
      <c r="U53" s="390">
        <f t="shared" si="7"/>
        <v>0.16793820941338852</v>
      </c>
      <c r="V53" s="390">
        <f t="shared" si="8"/>
        <v>0.22024628088333895</v>
      </c>
      <c r="W53" s="390">
        <f t="shared" si="9"/>
        <v>0.26360685142363699</v>
      </c>
      <c r="X53" s="390">
        <f t="shared" si="10"/>
        <v>0.30082490976064385</v>
      </c>
      <c r="Y53" s="390">
        <f t="shared" si="11"/>
        <v>3.4812417095539838E-2</v>
      </c>
      <c r="Z53" s="390">
        <f t="shared" si="12"/>
        <v>0.1006478477200593</v>
      </c>
      <c r="AC53" s="273">
        <f>VLOOKUP($B53, 'Output Baseline'!$A:$CW,42,FALSE)</f>
        <v>9.7199999999999995E-2</v>
      </c>
      <c r="AD53" s="273">
        <f>VLOOKUP($B53, 'Output Baseline'!$A:$CW,43,FALSE)</f>
        <v>7.3400000000000007E-2</v>
      </c>
      <c r="AE53" s="273">
        <f>VLOOKUP($B53, 'Output Baseline'!$A:$CW,44,FALSE)</f>
        <v>6.2300000000000001E-2</v>
      </c>
      <c r="AF53" s="273">
        <f>VLOOKUP($B53, 'Output Baseline'!$A:$CW,45,FALSE)</f>
        <v>5.5300000000000002E-2</v>
      </c>
      <c r="AG53" s="273">
        <f>VLOOKUP($B53, 'Output Baseline'!$A:$CW,46,FALSE)</f>
        <v>5.0500000000000003E-2</v>
      </c>
      <c r="AH53" s="447">
        <f t="shared" si="13"/>
        <v>2.5239577322932027E-2</v>
      </c>
      <c r="AI53" s="447">
        <f t="shared" si="14"/>
        <v>4.9842118382423806E-2</v>
      </c>
      <c r="AJ53" s="447">
        <f t="shared" si="15"/>
        <v>7.3823701704503919E-2</v>
      </c>
      <c r="AK53" s="346"/>
      <c r="AL53" s="390">
        <f t="shared" si="16"/>
        <v>2.6768273286797942E-2</v>
      </c>
      <c r="AM53" s="390">
        <f t="shared" si="16"/>
        <v>5.2860926670172385E-2</v>
      </c>
      <c r="AN53" s="390">
        <f t="shared" si="16"/>
        <v>7.8295012510916681E-2</v>
      </c>
      <c r="AO53" s="390">
        <f t="shared" si="17"/>
        <v>0.10308715277544535</v>
      </c>
      <c r="AP53" s="390">
        <f t="shared" si="18"/>
        <v>0.17336620405100422</v>
      </c>
      <c r="AQ53" s="390">
        <f t="shared" si="19"/>
        <v>0.22863883951712707</v>
      </c>
      <c r="AR53" s="390">
        <f t="shared" si="20"/>
        <v>0.27464448976263373</v>
      </c>
      <c r="AS53" s="390">
        <f t="shared" si="21"/>
        <v>0.3143335975065753</v>
      </c>
      <c r="AT53" s="390">
        <f t="shared" si="22"/>
        <v>3.5687623174009642E-2</v>
      </c>
      <c r="AU53" s="390">
        <f t="shared" si="23"/>
        <v>0.10308715277544535</v>
      </c>
      <c r="AX53" s="273">
        <f>VLOOKUP($B53, 'Output 90% Downside'!$A:$CW,42,FALSE)</f>
        <v>0.104</v>
      </c>
      <c r="AY53" s="273">
        <f>VLOOKUP($B53, 'Output 90% Downside'!$A:$CW,43,FALSE)</f>
        <v>8.1900000000000001E-2</v>
      </c>
      <c r="AZ53" s="273">
        <f>VLOOKUP($B53, 'Output 90% Downside'!$A:$CW,44,FALSE)</f>
        <v>7.1099999999999997E-2</v>
      </c>
      <c r="BA53" s="273">
        <f>VLOOKUP($B53, 'Output 90% Downside'!$A:$CW,45,FALSE)</f>
        <v>6.4299999999999996E-2</v>
      </c>
      <c r="BB53" s="273">
        <f>VLOOKUP($B53, 'Output 90% Downside'!$A:$CW,46,FALSE)</f>
        <v>5.9499999999999997E-2</v>
      </c>
      <c r="BC53" s="447">
        <f t="shared" si="24"/>
        <v>2.7080288360885052E-2</v>
      </c>
      <c r="BD53" s="447">
        <f t="shared" si="25"/>
        <v>5.342723470406141E-2</v>
      </c>
      <c r="BE53" s="447">
        <f t="shared" si="26"/>
        <v>7.9060698142835784E-2</v>
      </c>
      <c r="BF53" s="346"/>
      <c r="BG53" s="390">
        <f t="shared" si="27"/>
        <v>2.8720471434790864E-2</v>
      </c>
      <c r="BH53" s="390">
        <f t="shared" si="27"/>
        <v>5.6663184221267024E-2</v>
      </c>
      <c r="BI53" s="390">
        <f t="shared" si="27"/>
        <v>8.3849200287900008E-2</v>
      </c>
      <c r="BJ53" s="390">
        <f t="shared" si="28"/>
        <v>0.11029901120006498</v>
      </c>
      <c r="BK53" s="390">
        <f t="shared" si="29"/>
        <v>0.18812599350283077</v>
      </c>
      <c r="BL53" s="390">
        <f t="shared" si="30"/>
        <v>0.25015657859867008</v>
      </c>
      <c r="BM53" s="390">
        <f t="shared" si="31"/>
        <v>0.30226599540404653</v>
      </c>
      <c r="BN53" s="390">
        <f t="shared" si="32"/>
        <v>0.34738492989292752</v>
      </c>
      <c r="BO53" s="390">
        <f t="shared" si="33"/>
        <v>3.8284496531627243E-2</v>
      </c>
      <c r="BP53" s="390">
        <f t="shared" si="34"/>
        <v>0.11029901120006498</v>
      </c>
      <c r="BQ53" s="347"/>
      <c r="BU53" s="390">
        <f>IFERROR(AL53*$BS$2+BG53*$BS$4+Q53*$BS$3,VLOOKUP(A53,'Updated Ncino PD'!A:K,4,FALSE))</f>
        <v>2.7418652327917951E-2</v>
      </c>
      <c r="BV53" s="390">
        <f>IFERROR(AM53*$BS$2+BH53*$BS$4+R53*$BS$3,VLOOKUP(A53,'Updated Ncino PD'!A:K,5,FALSE))</f>
        <v>5.4127576066896957E-2</v>
      </c>
      <c r="BW53" s="390">
        <f>IFERROR(AN53*$BS$2+BI53*$BS$4+S53*$BS$3,VLOOKUP(A53,'Updated Ncino PD'!A:K,6,FALSE))</f>
        <v>8.0145165601456278E-2</v>
      </c>
      <c r="BX53" s="390">
        <f>IFERROR(AO53*$BS$2+BJ53*$BS$4+T53*$BS$3,VLOOKUP(A53,'Updated Ncino PD'!A:K,7,FALSE))</f>
        <v>0.10548933797129291</v>
      </c>
      <c r="BY53" s="390">
        <f>IFERROR(AP53*$BS$2+BK53*$BS$4+U53*$BS$3,VLOOKUP(A53,'Updated Ncino PD'!A:K,8,FALSE))</f>
        <v>0.17826073062726272</v>
      </c>
      <c r="BZ53" s="390">
        <f>IFERROR(AQ53*$BS$2+BL53*$BS$4+V53*$BS$3,VLOOKUP(A53,'Updated Ncino PD'!A:K,9,FALSE))</f>
        <v>0.23575042026397772</v>
      </c>
      <c r="CA53" s="390">
        <f>IFERROR(AR53*$BS$2+BM53*$BS$4+W53*$BS$3,VLOOKUP(A53,'Updated Ncino PD'!A:K,10,FALSE))</f>
        <v>0.28376013482017837</v>
      </c>
      <c r="CB53" s="390">
        <f>IFERROR(AS53*$BS$2+BN53*$BS$4+X53*$BS$3,VLOOKUP(A53,'Updated Ncino PD'!A:K,11,FALSE))</f>
        <v>0.32522612945450202</v>
      </c>
      <c r="CC53" s="390">
        <f t="shared" si="37"/>
        <v>3.6552768545252308E-2</v>
      </c>
      <c r="CD53" s="390">
        <f t="shared" si="37"/>
        <v>0.10548933797129291</v>
      </c>
      <c r="CF53" s="450">
        <f t="shared" si="35"/>
        <v>9.9464999999999998E-2</v>
      </c>
      <c r="CG53" s="450">
        <f t="shared" si="35"/>
        <v>7.621E-2</v>
      </c>
      <c r="CH53" s="450">
        <f t="shared" si="35"/>
        <v>6.5195000000000003E-2</v>
      </c>
      <c r="CI53" s="450">
        <f t="shared" si="35"/>
        <v>5.8264999999999997E-2</v>
      </c>
      <c r="CJ53" s="450">
        <f t="shared" si="35"/>
        <v>5.3459999999999994E-2</v>
      </c>
    </row>
    <row r="54" spans="1:88" s="355" customFormat="1" hidden="1" x14ac:dyDescent="0.25">
      <c r="A54" s="400">
        <v>1100000119</v>
      </c>
      <c r="B54" s="455" t="str">
        <f>VLOOKUP(A54,'Loan Book Summary'!C:G,5,FALSE)</f>
        <v>0014I000026umUx</v>
      </c>
      <c r="C54" s="167">
        <f>VLOOKUP(A54,'Ref-Data'!$A:$I,9,0)</f>
        <v>1</v>
      </c>
      <c r="D54" s="445">
        <f>VLOOKUP(A54,'Adjustment Factor'!A:C,3,0)</f>
        <v>1.3625045444878234</v>
      </c>
      <c r="E54" s="446">
        <f>VLOOKUP(A54,'Ref-Data'!A:C,2,FALSE)</f>
        <v>2999999.95</v>
      </c>
      <c r="F54" s="445">
        <f>VLOOKUP(A54,'Ref-Data'!$A:$F,6,FALSE)</f>
        <v>3.7207392197125255</v>
      </c>
      <c r="G54" s="346"/>
      <c r="H54" s="273">
        <f>VLOOKUP($B54, 'Output 96% Downside'!$A:$CW,42,FALSE)</f>
        <v>2.3599999999999999E-2</v>
      </c>
      <c r="I54" s="273">
        <f>VLOOKUP($B54, 'Output 96% Downside'!$A:$CW,43,FALSE)</f>
        <v>2.0500000000000001E-2</v>
      </c>
      <c r="J54" s="273">
        <f>VLOOKUP($B54, 'Output 96% Downside'!$A:$CW,44,FALSE)</f>
        <v>1.8800000000000001E-2</v>
      </c>
      <c r="K54" s="273">
        <f>VLOOKUP($B54, 'Output 96% Downside'!$A:$CW,45,FALSE)</f>
        <v>1.77E-2</v>
      </c>
      <c r="L54" s="273">
        <f>VLOOKUP($B54, 'Output 96% Downside'!$A:$CW,46,FALSE)</f>
        <v>1.6899999999999998E-2</v>
      </c>
      <c r="M54" s="447">
        <f t="shared" si="0"/>
        <v>5.9529456998275165E-3</v>
      </c>
      <c r="N54" s="447">
        <f t="shared" si="3"/>
        <v>1.1870453837149908E-2</v>
      </c>
      <c r="O54" s="447">
        <f t="shared" si="4"/>
        <v>1.7752735369852557E-2</v>
      </c>
      <c r="P54" s="346"/>
      <c r="Q54" s="390">
        <f t="shared" si="5"/>
        <v>8.1109155691042375E-3</v>
      </c>
      <c r="R54" s="390">
        <f t="shared" si="5"/>
        <v>1.6173547298249671E-2</v>
      </c>
      <c r="S54" s="390">
        <f t="shared" si="5"/>
        <v>2.4188182618513829E-2</v>
      </c>
      <c r="T54" s="390">
        <f t="shared" si="6"/>
        <v>3.2155107249912634E-2</v>
      </c>
      <c r="U54" s="390">
        <f t="shared" si="7"/>
        <v>5.9427270713289647E-2</v>
      </c>
      <c r="V54" s="390">
        <f t="shared" si="8"/>
        <v>8.3925123460250953E-2</v>
      </c>
      <c r="W54" s="390">
        <f t="shared" si="9"/>
        <v>0.10655597921243902</v>
      </c>
      <c r="X54" s="390">
        <f t="shared" si="10"/>
        <v>0.12778150996559312</v>
      </c>
      <c r="Y54" s="390">
        <f t="shared" si="11"/>
        <v>3.2155107249912634E-2</v>
      </c>
      <c r="Z54" s="390">
        <f t="shared" si="12"/>
        <v>0.10655597921243902</v>
      </c>
      <c r="AC54" s="273">
        <f>VLOOKUP($B54, 'Output Baseline'!$A:$CW,42,FALSE)</f>
        <v>1.5800000000000002E-2</v>
      </c>
      <c r="AD54" s="273">
        <f>VLOOKUP($B54, 'Output Baseline'!$A:$CW,43,FALSE)</f>
        <v>1.44E-2</v>
      </c>
      <c r="AE54" s="273">
        <f>VLOOKUP($B54, 'Output Baseline'!$A:$CW,44,FALSE)</f>
        <v>1.37E-2</v>
      </c>
      <c r="AF54" s="273">
        <f>VLOOKUP($B54, 'Output Baseline'!$A:$CW,45,FALSE)</f>
        <v>1.32E-2</v>
      </c>
      <c r="AG54" s="273">
        <f>VLOOKUP($B54, 'Output Baseline'!$A:$CW,46,FALSE)</f>
        <v>1.2800000000000001E-2</v>
      </c>
      <c r="AH54" s="447">
        <f t="shared" si="13"/>
        <v>3.9736218257707678E-3</v>
      </c>
      <c r="AI54" s="447">
        <f t="shared" si="14"/>
        <v>7.9314539811272677E-3</v>
      </c>
      <c r="AJ54" s="447">
        <f t="shared" si="15"/>
        <v>1.1873559208248508E-2</v>
      </c>
      <c r="AK54" s="346"/>
      <c r="AL54" s="390">
        <f t="shared" si="16"/>
        <v>5.4140777956886736E-3</v>
      </c>
      <c r="AM54" s="390">
        <f t="shared" si="16"/>
        <v>1.0806642093681942E-2</v>
      </c>
      <c r="AN54" s="390">
        <f t="shared" si="16"/>
        <v>1.6177778380483836E-2</v>
      </c>
      <c r="AO54" s="390">
        <f t="shared" si="17"/>
        <v>2.1527571802907611E-2</v>
      </c>
      <c r="AP54" s="390">
        <f t="shared" si="18"/>
        <v>4.0837640209570356E-2</v>
      </c>
      <c r="AQ54" s="390">
        <f t="shared" si="19"/>
        <v>5.8944476798182439E-2</v>
      </c>
      <c r="AR54" s="390">
        <f t="shared" si="20"/>
        <v>7.6151469691685653E-2</v>
      </c>
      <c r="AS54" s="390">
        <f t="shared" si="21"/>
        <v>9.2616789049076262E-2</v>
      </c>
      <c r="AT54" s="390">
        <f t="shared" si="22"/>
        <v>2.1527571802907611E-2</v>
      </c>
      <c r="AU54" s="390">
        <f t="shared" si="23"/>
        <v>7.6151469691685653E-2</v>
      </c>
      <c r="AX54" s="273">
        <f>VLOOKUP($B54, 'Output 90% Downside'!$A:$CW,42,FALSE)</f>
        <v>2.3599999999999999E-2</v>
      </c>
      <c r="AY54" s="273">
        <f>VLOOKUP($B54, 'Output 90% Downside'!$A:$CW,43,FALSE)</f>
        <v>2.0500000000000001E-2</v>
      </c>
      <c r="AZ54" s="273">
        <f>VLOOKUP($B54, 'Output 90% Downside'!$A:$CW,44,FALSE)</f>
        <v>1.8800000000000001E-2</v>
      </c>
      <c r="BA54" s="273">
        <f>VLOOKUP($B54, 'Output 90% Downside'!$A:$CW,45,FALSE)</f>
        <v>1.77E-2</v>
      </c>
      <c r="BB54" s="273">
        <f>VLOOKUP($B54, 'Output 90% Downside'!$A:$CW,46,FALSE)</f>
        <v>1.6899999999999998E-2</v>
      </c>
      <c r="BC54" s="447">
        <f t="shared" si="24"/>
        <v>5.9529456998275165E-3</v>
      </c>
      <c r="BD54" s="447">
        <f t="shared" si="25"/>
        <v>1.1870453837149908E-2</v>
      </c>
      <c r="BE54" s="447">
        <f t="shared" si="26"/>
        <v>1.7752735369852557E-2</v>
      </c>
      <c r="BF54" s="346"/>
      <c r="BG54" s="390">
        <f t="shared" si="27"/>
        <v>8.1109155691042375E-3</v>
      </c>
      <c r="BH54" s="390">
        <f t="shared" si="27"/>
        <v>1.6173547298249671E-2</v>
      </c>
      <c r="BI54" s="390">
        <f t="shared" si="27"/>
        <v>2.4188182618513829E-2</v>
      </c>
      <c r="BJ54" s="390">
        <f t="shared" si="28"/>
        <v>3.2155107249912634E-2</v>
      </c>
      <c r="BK54" s="390">
        <f t="shared" si="29"/>
        <v>5.9427270713289647E-2</v>
      </c>
      <c r="BL54" s="390">
        <f t="shared" si="30"/>
        <v>8.3925123460250953E-2</v>
      </c>
      <c r="BM54" s="390">
        <f t="shared" si="31"/>
        <v>0.10655597921243902</v>
      </c>
      <c r="BN54" s="390">
        <f t="shared" si="32"/>
        <v>0.12778150996559312</v>
      </c>
      <c r="BO54" s="390">
        <f t="shared" si="33"/>
        <v>3.2155107249912634E-2</v>
      </c>
      <c r="BP54" s="390">
        <f t="shared" si="34"/>
        <v>0.10655597921243902</v>
      </c>
      <c r="BQ54" s="347"/>
      <c r="BU54" s="390">
        <f>IFERROR(AL54*$BS$2+BG54*$BS$4+Q54*$BS$3,VLOOKUP(A54,'Updated Ncino PD'!A:K,4,FALSE))</f>
        <v>6.4928129050548988E-3</v>
      </c>
      <c r="BV54" s="390">
        <f>IFERROR(AM54*$BS$2+BH54*$BS$4+R54*$BS$3,VLOOKUP(A54,'Updated Ncino PD'!A:K,5,FALSE))</f>
        <v>1.2953404175509033E-2</v>
      </c>
      <c r="BW54" s="390">
        <f>IFERROR(AN54*$BS$2+BI54*$BS$4+S54*$BS$3,VLOOKUP(A54,'Updated Ncino PD'!A:K,6,FALSE))</f>
        <v>1.9381940075695835E-2</v>
      </c>
      <c r="BX54" s="390">
        <f>IFERROR(AO54*$BS$2+BJ54*$BS$4+T54*$BS$3,VLOOKUP(A54,'Updated Ncino PD'!A:K,7,FALSE))</f>
        <v>2.5778585981709623E-2</v>
      </c>
      <c r="BY54" s="390">
        <f>IFERROR(AP54*$BS$2+BK54*$BS$4+U54*$BS$3,VLOOKUP(A54,'Updated Ncino PD'!A:K,8,FALSE))</f>
        <v>4.8273492411058071E-2</v>
      </c>
      <c r="BZ54" s="390">
        <f>IFERROR(AQ54*$BS$2+BL54*$BS$4+V54*$BS$3,VLOOKUP(A54,'Updated Ncino PD'!A:K,9,FALSE))</f>
        <v>6.8936735463009838E-2</v>
      </c>
      <c r="CA54" s="390">
        <f>IFERROR(AR54*$BS$2+BM54*$BS$4+W54*$BS$3,VLOOKUP(A54,'Updated Ncino PD'!A:K,10,FALSE))</f>
        <v>8.8313273499986994E-2</v>
      </c>
      <c r="CB54" s="390">
        <f>IFERROR(AS54*$BS$2+BN54*$BS$4+X54*$BS$3,VLOOKUP(A54,'Updated Ncino PD'!A:K,11,FALSE))</f>
        <v>0.10668267741568301</v>
      </c>
      <c r="CC54" s="390">
        <f t="shared" si="37"/>
        <v>2.5778585981709623E-2</v>
      </c>
      <c r="CD54" s="390">
        <f t="shared" si="37"/>
        <v>8.8313273499986994E-2</v>
      </c>
      <c r="CF54" s="450">
        <f t="shared" si="35"/>
        <v>1.8919999999999999E-2</v>
      </c>
      <c r="CG54" s="450">
        <f t="shared" si="35"/>
        <v>1.6840000000000001E-2</v>
      </c>
      <c r="CH54" s="450">
        <f t="shared" si="35"/>
        <v>1.5740000000000001E-2</v>
      </c>
      <c r="CI54" s="450">
        <f t="shared" si="35"/>
        <v>1.4999999999999999E-2</v>
      </c>
      <c r="CJ54" s="450">
        <f t="shared" si="35"/>
        <v>1.4439999999999998E-2</v>
      </c>
    </row>
    <row r="55" spans="1:88" s="355" customFormat="1" hidden="1" x14ac:dyDescent="0.25">
      <c r="A55" s="400">
        <v>1200000111</v>
      </c>
      <c r="B55" s="455" t="str">
        <f>VLOOKUP(A55,'Loan Book Summary'!C:G,5,FALSE)</f>
        <v>0015800001RC0fT</v>
      </c>
      <c r="C55" s="167">
        <f>VLOOKUP(A55,'Ref-Data'!$A:$I,9,0)</f>
        <v>1</v>
      </c>
      <c r="D55" s="445">
        <f>VLOOKUP(A55,'Adjustment Factor'!A:C,3,0)</f>
        <v>2.23</v>
      </c>
      <c r="E55" s="446">
        <f>VLOOKUP(A55,'Ref-Data'!A:C,2,FALSE)</f>
        <v>266666.56</v>
      </c>
      <c r="F55" s="445">
        <f>VLOOKUP(A55,'Ref-Data'!$A:$F,6,FALSE)</f>
        <v>0.7885010266940452</v>
      </c>
      <c r="G55" s="346"/>
      <c r="H55" s="273">
        <f>VLOOKUP($B55, 'Output 96% Downside'!$A:$CW,42,FALSE)</f>
        <v>2.3E-3</v>
      </c>
      <c r="I55" s="273">
        <f>VLOOKUP($B55, 'Output 96% Downside'!$A:$CW,43,FALSE)</f>
        <v>2.8E-3</v>
      </c>
      <c r="J55" s="273">
        <f>VLOOKUP($B55, 'Output 96% Downside'!$A:$CW,44,FALSE)</f>
        <v>3.0999999999999999E-3</v>
      </c>
      <c r="K55" s="273">
        <f>VLOOKUP($B55, 'Output 96% Downside'!$A:$CW,45,FALSE)</f>
        <v>3.3999999999999998E-3</v>
      </c>
      <c r="L55" s="273">
        <f>VLOOKUP($B55, 'Output 96% Downside'!$A:$CW,46,FALSE)</f>
        <v>3.5999999999999999E-3</v>
      </c>
      <c r="M55" s="447">
        <f t="shared" si="0"/>
        <v>5.7549660393674262E-4</v>
      </c>
      <c r="N55" s="447">
        <f t="shared" si="3"/>
        <v>1.1506620115323551E-3</v>
      </c>
      <c r="O55" s="447">
        <f t="shared" si="4"/>
        <v>1.7254964133891493E-3</v>
      </c>
      <c r="P55" s="346"/>
      <c r="Q55" s="390">
        <f t="shared" si="5"/>
        <v>1.2833574267789361E-3</v>
      </c>
      <c r="R55" s="390">
        <f t="shared" si="5"/>
        <v>2.565976285717152E-3</v>
      </c>
      <c r="S55" s="390">
        <f t="shared" si="5"/>
        <v>3.8478570018578026E-3</v>
      </c>
      <c r="T55" s="390">
        <f t="shared" si="6"/>
        <v>5.1289999999999999E-3</v>
      </c>
      <c r="U55" s="390">
        <f t="shared" si="7"/>
        <v>1.1358638799999869E-2</v>
      </c>
      <c r="V55" s="390">
        <f t="shared" si="8"/>
        <v>1.8236427019719736E-2</v>
      </c>
      <c r="W55" s="390">
        <f t="shared" si="9"/>
        <v>2.5756423167852503E-2</v>
      </c>
      <c r="X55" s="390">
        <f t="shared" si="10"/>
        <v>3.3691700044448228E-2</v>
      </c>
      <c r="Y55" s="390">
        <f t="shared" si="11"/>
        <v>4.0464198641070315E-3</v>
      </c>
      <c r="Z55" s="390">
        <f t="shared" si="12"/>
        <v>5.1289999999999999E-3</v>
      </c>
      <c r="AC55" s="273">
        <f>VLOOKUP($B55, 'Output Baseline'!$A:$CW,42,FALSE)</f>
        <v>2E-3</v>
      </c>
      <c r="AD55" s="273">
        <f>VLOOKUP($B55, 'Output Baseline'!$A:$CW,43,FALSE)</f>
        <v>2.5000000000000001E-3</v>
      </c>
      <c r="AE55" s="273">
        <f>VLOOKUP($B55, 'Output Baseline'!$A:$CW,44,FALSE)</f>
        <v>2.8E-3</v>
      </c>
      <c r="AF55" s="273">
        <f>VLOOKUP($B55, 'Output Baseline'!$A:$CW,45,FALSE)</f>
        <v>3.0000000000000001E-3</v>
      </c>
      <c r="AG55" s="273">
        <f>VLOOKUP($B55, 'Output Baseline'!$A:$CW,46,FALSE)</f>
        <v>3.2000000000000002E-3</v>
      </c>
      <c r="AH55" s="447">
        <f t="shared" si="13"/>
        <v>5.0037543810244056E-4</v>
      </c>
      <c r="AI55" s="447">
        <f t="shared" si="14"/>
        <v>1.0005005006258338E-3</v>
      </c>
      <c r="AJ55" s="447">
        <f t="shared" si="15"/>
        <v>1.5003753128519648E-3</v>
      </c>
      <c r="AK55" s="346"/>
      <c r="AL55" s="390">
        <f t="shared" si="16"/>
        <v>1.1158372269684425E-3</v>
      </c>
      <c r="AM55" s="390">
        <f t="shared" si="16"/>
        <v>2.2311161163956093E-3</v>
      </c>
      <c r="AN55" s="390">
        <f t="shared" si="16"/>
        <v>3.3458369476598816E-3</v>
      </c>
      <c r="AO55" s="390">
        <f t="shared" si="17"/>
        <v>4.4600000000000004E-3</v>
      </c>
      <c r="AP55" s="390">
        <f t="shared" si="18"/>
        <v>1.0023849999999812E-2</v>
      </c>
      <c r="AQ55" s="390">
        <f t="shared" si="19"/>
        <v>1.6239783219999908E-2</v>
      </c>
      <c r="AR55" s="390">
        <f t="shared" si="20"/>
        <v>2.2881063870339804E-2</v>
      </c>
      <c r="AS55" s="390">
        <f t="shared" si="21"/>
        <v>2.9943844465954623E-2</v>
      </c>
      <c r="AT55" s="390">
        <f t="shared" si="22"/>
        <v>3.5183762065944535E-3</v>
      </c>
      <c r="AU55" s="390">
        <f t="shared" si="23"/>
        <v>4.4600000000000004E-3</v>
      </c>
      <c r="AX55" s="273">
        <f>VLOOKUP($B55, 'Output 90% Downside'!$A:$CW,42,FALSE)</f>
        <v>2.2000000000000001E-3</v>
      </c>
      <c r="AY55" s="273">
        <f>VLOOKUP($B55, 'Output 90% Downside'!$A:$CW,43,FALSE)</f>
        <v>2.7000000000000001E-3</v>
      </c>
      <c r="AZ55" s="273">
        <f>VLOOKUP($B55, 'Output 90% Downside'!$A:$CW,44,FALSE)</f>
        <v>3.0000000000000001E-3</v>
      </c>
      <c r="BA55" s="273">
        <f>VLOOKUP($B55, 'Output 90% Downside'!$A:$CW,45,FALSE)</f>
        <v>3.2000000000000002E-3</v>
      </c>
      <c r="BB55" s="273">
        <f>VLOOKUP($B55, 'Output 90% Downside'!$A:$CW,46,FALSE)</f>
        <v>3.3999999999999998E-3</v>
      </c>
      <c r="BC55" s="447">
        <f t="shared" si="24"/>
        <v>5.5045433319467207E-4</v>
      </c>
      <c r="BD55" s="447">
        <f t="shared" si="25"/>
        <v>1.1006056664164543E-3</v>
      </c>
      <c r="BE55" s="447">
        <f t="shared" si="26"/>
        <v>1.6504541664529304E-3</v>
      </c>
      <c r="BF55" s="346"/>
      <c r="BG55" s="390">
        <f t="shared" si="27"/>
        <v>1.2275131630241187E-3</v>
      </c>
      <c r="BH55" s="390">
        <f t="shared" si="27"/>
        <v>2.4543506361086932E-3</v>
      </c>
      <c r="BI55" s="390">
        <f t="shared" si="27"/>
        <v>3.6805127911900349E-3</v>
      </c>
      <c r="BJ55" s="390">
        <f t="shared" si="28"/>
        <v>4.9060000000000006E-3</v>
      </c>
      <c r="BK55" s="390">
        <f t="shared" si="29"/>
        <v>1.0913753800000075E-2</v>
      </c>
      <c r="BL55" s="390">
        <f t="shared" si="30"/>
        <v>1.7571012538600075E-2</v>
      </c>
      <c r="BM55" s="390">
        <f t="shared" si="31"/>
        <v>2.4650785298476512E-2</v>
      </c>
      <c r="BN55" s="390">
        <f t="shared" si="32"/>
        <v>3.2148972628461607E-2</v>
      </c>
      <c r="BO55" s="390">
        <f t="shared" si="33"/>
        <v>3.8703969696333163E-3</v>
      </c>
      <c r="BP55" s="390">
        <f t="shared" si="34"/>
        <v>4.9060000000000006E-3</v>
      </c>
      <c r="BQ55" s="347"/>
      <c r="BU55" s="390">
        <f>IFERROR(AL55*$BS$2+BG55*$BS$4+Q55*$BS$3,VLOOKUP(A55,'Updated Ncino PD'!A:K,4,FALSE))</f>
        <v>1.1632998145784538E-3</v>
      </c>
      <c r="BV55" s="390">
        <f>IFERROR(AM55*$BS$2+BH55*$BS$4+R55*$BS$3,VLOOKUP(A55,'Updated Ncino PD'!A:K,5,FALSE))</f>
        <v>2.325991206761266E-3</v>
      </c>
      <c r="BW55" s="390">
        <f>IFERROR(AN55*$BS$2+BI55*$BS$4+S55*$BS$3,VLOOKUP(A55,'Updated Ncino PD'!A:K,6,FALSE))</f>
        <v>3.4880744956053314E-3</v>
      </c>
      <c r="BX55" s="390">
        <f>IFERROR(AO55*$BS$2+BJ55*$BS$4+T55*$BS$3,VLOOKUP(A55,'Updated Ncino PD'!A:K,7,FALSE))</f>
        <v>4.6495500000000006E-3</v>
      </c>
      <c r="BY55" s="390">
        <f>IFERROR(AP55*$BS$2+BK55*$BS$4+U55*$BS$3,VLOOKUP(A55,'Updated Ncino PD'!A:K,8,FALSE))</f>
        <v>1.0402055769999906E-2</v>
      </c>
      <c r="BZ55" s="390">
        <f>IFERROR(AQ55*$BS$2+BL55*$BS$4+V55*$BS$3,VLOOKUP(A55,'Updated Ncino PD'!A:K,9,FALSE))</f>
        <v>1.6805545671495958E-2</v>
      </c>
      <c r="CA55" s="390">
        <f>IFERROR(AR55*$BS$2+BM55*$BS$4+W55*$BS$3,VLOOKUP(A55,'Updated Ncino PD'!A:K,10,FALSE))</f>
        <v>2.3644234335063283E-2</v>
      </c>
      <c r="CB55" s="390">
        <f>IFERROR(AS55*$BS$2+BN55*$BS$4+X55*$BS$3,VLOOKUP(A55,'Updated Ncino PD'!A:K,11,FALSE))</f>
        <v>3.0903032101756746E-2</v>
      </c>
      <c r="CC55" s="390">
        <f t="shared" si="37"/>
        <v>3.6679856565336841E-3</v>
      </c>
      <c r="CD55" s="390">
        <f t="shared" si="37"/>
        <v>4.6495500000000006E-3</v>
      </c>
      <c r="CF55" s="450">
        <f t="shared" si="35"/>
        <v>2.085E-3</v>
      </c>
      <c r="CG55" s="450">
        <f t="shared" si="35"/>
        <v>2.5850000000000001E-3</v>
      </c>
      <c r="CH55" s="450">
        <f t="shared" si="35"/>
        <v>2.8849999999999995E-3</v>
      </c>
      <c r="CI55" s="450">
        <f t="shared" si="35"/>
        <v>3.0899999999999999E-3</v>
      </c>
      <c r="CJ55" s="450">
        <f t="shared" si="35"/>
        <v>3.2899999999999995E-3</v>
      </c>
    </row>
    <row r="56" spans="1:88" s="355" customFormat="1" hidden="1" x14ac:dyDescent="0.25">
      <c r="A56" s="400">
        <v>1200000112</v>
      </c>
      <c r="B56" s="455" t="str">
        <f>VLOOKUP(A56,'Loan Book Summary'!C:G,5,FALSE)</f>
        <v>0015800001RC0fT</v>
      </c>
      <c r="C56" s="167">
        <f>VLOOKUP(A56,'Ref-Data'!$A:$I,9,0)</f>
        <v>1</v>
      </c>
      <c r="D56" s="445">
        <f>VLOOKUP(A56,'Adjustment Factor'!A:C,3,0)</f>
        <v>2.23</v>
      </c>
      <c r="E56" s="446">
        <f>VLOOKUP(A56,'Ref-Data'!A:C,2,FALSE)</f>
        <v>300000</v>
      </c>
      <c r="F56" s="445">
        <f>VLOOKUP(A56,'Ref-Data'!$A:$F,6,FALSE)</f>
        <v>0.72553045859000687</v>
      </c>
      <c r="G56" s="346"/>
      <c r="H56" s="273">
        <f>VLOOKUP($B56, 'Output 96% Downside'!$A:$CW,42,FALSE)</f>
        <v>2.3E-3</v>
      </c>
      <c r="I56" s="273">
        <f>VLOOKUP($B56, 'Output 96% Downside'!$A:$CW,43,FALSE)</f>
        <v>2.8E-3</v>
      </c>
      <c r="J56" s="273">
        <f>VLOOKUP($B56, 'Output 96% Downside'!$A:$CW,44,FALSE)</f>
        <v>3.0999999999999999E-3</v>
      </c>
      <c r="K56" s="273">
        <f>VLOOKUP($B56, 'Output 96% Downside'!$A:$CW,45,FALSE)</f>
        <v>3.3999999999999998E-3</v>
      </c>
      <c r="L56" s="273">
        <f>VLOOKUP($B56, 'Output 96% Downside'!$A:$CW,46,FALSE)</f>
        <v>3.5999999999999999E-3</v>
      </c>
      <c r="M56" s="447">
        <f t="shared" si="0"/>
        <v>5.7549660393674262E-4</v>
      </c>
      <c r="N56" s="447">
        <f t="shared" si="3"/>
        <v>1.1506620115323551E-3</v>
      </c>
      <c r="O56" s="447">
        <f t="shared" si="4"/>
        <v>1.7254964133891493E-3</v>
      </c>
      <c r="P56" s="346"/>
      <c r="Q56" s="390">
        <f t="shared" si="5"/>
        <v>1.2833574267789361E-3</v>
      </c>
      <c r="R56" s="390">
        <f t="shared" si="5"/>
        <v>2.565976285717152E-3</v>
      </c>
      <c r="S56" s="390">
        <f t="shared" si="5"/>
        <v>3.8478570018578026E-3</v>
      </c>
      <c r="T56" s="390">
        <f t="shared" si="6"/>
        <v>5.1289999999999999E-3</v>
      </c>
      <c r="U56" s="390">
        <f t="shared" si="7"/>
        <v>1.1358638799999869E-2</v>
      </c>
      <c r="V56" s="390">
        <f t="shared" si="8"/>
        <v>1.8236427019719736E-2</v>
      </c>
      <c r="W56" s="390">
        <f t="shared" si="9"/>
        <v>2.5756423167852503E-2</v>
      </c>
      <c r="X56" s="390">
        <f t="shared" si="10"/>
        <v>3.3691700044448228E-2</v>
      </c>
      <c r="Y56" s="390">
        <f t="shared" si="11"/>
        <v>3.7238707458410181E-3</v>
      </c>
      <c r="Z56" s="390">
        <f t="shared" si="12"/>
        <v>5.1289999999999999E-3</v>
      </c>
      <c r="AC56" s="273">
        <f>VLOOKUP($B56, 'Output Baseline'!$A:$CW,42,FALSE)</f>
        <v>2E-3</v>
      </c>
      <c r="AD56" s="273">
        <f>VLOOKUP($B56, 'Output Baseline'!$A:$CW,43,FALSE)</f>
        <v>2.5000000000000001E-3</v>
      </c>
      <c r="AE56" s="273">
        <f>VLOOKUP($B56, 'Output Baseline'!$A:$CW,44,FALSE)</f>
        <v>2.8E-3</v>
      </c>
      <c r="AF56" s="273">
        <f>VLOOKUP($B56, 'Output Baseline'!$A:$CW,45,FALSE)</f>
        <v>3.0000000000000001E-3</v>
      </c>
      <c r="AG56" s="273">
        <f>VLOOKUP($B56, 'Output Baseline'!$A:$CW,46,FALSE)</f>
        <v>3.2000000000000002E-3</v>
      </c>
      <c r="AH56" s="447">
        <f t="shared" si="13"/>
        <v>5.0037543810244056E-4</v>
      </c>
      <c r="AI56" s="447">
        <f t="shared" si="14"/>
        <v>1.0005005006258338E-3</v>
      </c>
      <c r="AJ56" s="447">
        <f t="shared" si="15"/>
        <v>1.5003753128519648E-3</v>
      </c>
      <c r="AK56" s="346"/>
      <c r="AL56" s="390">
        <f t="shared" si="16"/>
        <v>1.1158372269684425E-3</v>
      </c>
      <c r="AM56" s="390">
        <f t="shared" si="16"/>
        <v>2.2311161163956093E-3</v>
      </c>
      <c r="AN56" s="390">
        <f t="shared" si="16"/>
        <v>3.3458369476598816E-3</v>
      </c>
      <c r="AO56" s="390">
        <f t="shared" si="17"/>
        <v>4.4600000000000004E-3</v>
      </c>
      <c r="AP56" s="390">
        <f t="shared" si="18"/>
        <v>1.0023849999999812E-2</v>
      </c>
      <c r="AQ56" s="390">
        <f t="shared" si="19"/>
        <v>1.6239783219999908E-2</v>
      </c>
      <c r="AR56" s="390">
        <f t="shared" si="20"/>
        <v>2.2881063870339804E-2</v>
      </c>
      <c r="AS56" s="390">
        <f t="shared" si="21"/>
        <v>2.9943844465954623E-2</v>
      </c>
      <c r="AT56" s="390">
        <f t="shared" si="22"/>
        <v>3.2378501744094734E-3</v>
      </c>
      <c r="AU56" s="390">
        <f t="shared" si="23"/>
        <v>4.4600000000000004E-3</v>
      </c>
      <c r="AX56" s="273">
        <f>VLOOKUP($B56, 'Output 90% Downside'!$A:$CW,42,FALSE)</f>
        <v>2.2000000000000001E-3</v>
      </c>
      <c r="AY56" s="273">
        <f>VLOOKUP($B56, 'Output 90% Downside'!$A:$CW,43,FALSE)</f>
        <v>2.7000000000000001E-3</v>
      </c>
      <c r="AZ56" s="273">
        <f>VLOOKUP($B56, 'Output 90% Downside'!$A:$CW,44,FALSE)</f>
        <v>3.0000000000000001E-3</v>
      </c>
      <c r="BA56" s="273">
        <f>VLOOKUP($B56, 'Output 90% Downside'!$A:$CW,45,FALSE)</f>
        <v>3.2000000000000002E-3</v>
      </c>
      <c r="BB56" s="273">
        <f>VLOOKUP($B56, 'Output 90% Downside'!$A:$CW,46,FALSE)</f>
        <v>3.3999999999999998E-3</v>
      </c>
      <c r="BC56" s="447">
        <f t="shared" si="24"/>
        <v>5.5045433319467207E-4</v>
      </c>
      <c r="BD56" s="447">
        <f t="shared" si="25"/>
        <v>1.1006056664164543E-3</v>
      </c>
      <c r="BE56" s="447">
        <f t="shared" si="26"/>
        <v>1.6504541664529304E-3</v>
      </c>
      <c r="BF56" s="346"/>
      <c r="BG56" s="390">
        <f t="shared" si="27"/>
        <v>1.2275131630241187E-3</v>
      </c>
      <c r="BH56" s="390">
        <f t="shared" si="27"/>
        <v>2.4543506361086932E-3</v>
      </c>
      <c r="BI56" s="390">
        <f t="shared" si="27"/>
        <v>3.6805127911900349E-3</v>
      </c>
      <c r="BJ56" s="390">
        <f t="shared" si="28"/>
        <v>4.9060000000000006E-3</v>
      </c>
      <c r="BK56" s="390">
        <f t="shared" si="29"/>
        <v>1.0913753800000075E-2</v>
      </c>
      <c r="BL56" s="390">
        <f t="shared" si="30"/>
        <v>1.7571012538600075E-2</v>
      </c>
      <c r="BM56" s="390">
        <f t="shared" si="31"/>
        <v>2.4650785298476512E-2</v>
      </c>
      <c r="BN56" s="390">
        <f t="shared" si="32"/>
        <v>3.2148972628461607E-2</v>
      </c>
      <c r="BO56" s="390">
        <f t="shared" si="33"/>
        <v>3.5618539245454439E-3</v>
      </c>
      <c r="BP56" s="390">
        <f t="shared" si="34"/>
        <v>4.9060000000000006E-3</v>
      </c>
      <c r="BQ56" s="347"/>
      <c r="BU56" s="390">
        <f>IFERROR(AL56*$BS$2+BG56*$BS$4+Q56*$BS$3,VLOOKUP(A56,'Updated Ncino PD'!A:K,4,FALSE))</f>
        <v>1.1632998145784538E-3</v>
      </c>
      <c r="BV56" s="390">
        <f>IFERROR(AM56*$BS$2+BH56*$BS$4+R56*$BS$3,VLOOKUP(A56,'Updated Ncino PD'!A:K,5,FALSE))</f>
        <v>2.325991206761266E-3</v>
      </c>
      <c r="BW56" s="390">
        <f>IFERROR(AN56*$BS$2+BI56*$BS$4+S56*$BS$3,VLOOKUP(A56,'Updated Ncino PD'!A:K,6,FALSE))</f>
        <v>3.4880744956053314E-3</v>
      </c>
      <c r="BX56" s="390">
        <f>IFERROR(AO56*$BS$2+BJ56*$BS$4+T56*$BS$3,VLOOKUP(A56,'Updated Ncino PD'!A:K,7,FALSE))</f>
        <v>4.6495500000000006E-3</v>
      </c>
      <c r="BY56" s="390">
        <f>IFERROR(AP56*$BS$2+BK56*$BS$4+U56*$BS$3,VLOOKUP(A56,'Updated Ncino PD'!A:K,8,FALSE))</f>
        <v>1.0402055769999906E-2</v>
      </c>
      <c r="BZ56" s="390">
        <f>IFERROR(AQ56*$BS$2+BL56*$BS$4+V56*$BS$3,VLOOKUP(A56,'Updated Ncino PD'!A:K,9,FALSE))</f>
        <v>1.6805545671495958E-2</v>
      </c>
      <c r="CA56" s="390">
        <f>IFERROR(AR56*$BS$2+BM56*$BS$4+W56*$BS$3,VLOOKUP(A56,'Updated Ncino PD'!A:K,10,FALSE))</f>
        <v>2.3644234335063283E-2</v>
      </c>
      <c r="CB56" s="390">
        <f>IFERROR(AS56*$BS$2+BN56*$BS$4+X56*$BS$3,VLOOKUP(A56,'Updated Ncino PD'!A:K,11,FALSE))</f>
        <v>3.0903032101756746E-2</v>
      </c>
      <c r="CC56" s="390">
        <f t="shared" si="37"/>
        <v>3.3755525155286402E-3</v>
      </c>
      <c r="CD56" s="390">
        <f t="shared" si="37"/>
        <v>4.6495500000000006E-3</v>
      </c>
      <c r="CF56" s="450">
        <f t="shared" si="35"/>
        <v>2.085E-3</v>
      </c>
      <c r="CG56" s="450">
        <f t="shared" si="35"/>
        <v>2.5850000000000001E-3</v>
      </c>
      <c r="CH56" s="450">
        <f t="shared" si="35"/>
        <v>2.8849999999999995E-3</v>
      </c>
      <c r="CI56" s="450">
        <f t="shared" si="35"/>
        <v>3.0899999999999999E-3</v>
      </c>
      <c r="CJ56" s="450">
        <f t="shared" si="35"/>
        <v>3.2899999999999995E-3</v>
      </c>
    </row>
    <row r="57" spans="1:88" s="355" customFormat="1" hidden="1" x14ac:dyDescent="0.25">
      <c r="A57" s="400">
        <v>1200000108</v>
      </c>
      <c r="B57" s="455" t="str">
        <f>VLOOKUP(A57,'Loan Book Summary'!C:G,5,FALSE)</f>
        <v>0015800001cfgV5</v>
      </c>
      <c r="C57" s="167">
        <f>VLOOKUP(A57,'Ref-Data'!$A:$I,9,0)</f>
        <v>1</v>
      </c>
      <c r="D57" s="445">
        <f>VLOOKUP(A57,'Adjustment Factor'!A:C,3,0)</f>
        <v>1.38</v>
      </c>
      <c r="E57" s="446">
        <f>VLOOKUP(A57,'Ref-Data'!A:C,2,FALSE)</f>
        <v>992000</v>
      </c>
      <c r="F57" s="445">
        <f>VLOOKUP(A57,'Ref-Data'!$A:$F,6,FALSE)</f>
        <v>2.0670773442847366</v>
      </c>
      <c r="G57" s="346"/>
      <c r="H57" s="273">
        <f>VLOOKUP($B57, 'Output 96% Downside'!$A:$CW,42,FALSE)</f>
        <v>1.6500000000000001E-2</v>
      </c>
      <c r="I57" s="273">
        <f>VLOOKUP($B57, 'Output 96% Downside'!$A:$CW,43,FALSE)</f>
        <v>1.55E-2</v>
      </c>
      <c r="J57" s="273">
        <f>VLOOKUP($B57, 'Output 96% Downside'!$A:$CW,44,FALSE)</f>
        <v>1.4999999999999999E-2</v>
      </c>
      <c r="K57" s="273">
        <f>VLOOKUP($B57, 'Output 96% Downside'!$A:$CW,45,FALSE)</f>
        <v>1.46E-2</v>
      </c>
      <c r="L57" s="273">
        <f>VLOOKUP($B57, 'Output 96% Downside'!$A:$CW,46,FALSE)</f>
        <v>1.43E-2</v>
      </c>
      <c r="M57" s="447">
        <f t="shared" si="0"/>
        <v>4.150771922269092E-3</v>
      </c>
      <c r="N57" s="447">
        <f t="shared" si="3"/>
        <v>8.2843149369874469E-3</v>
      </c>
      <c r="O57" s="447">
        <f t="shared" si="4"/>
        <v>1.2400700557420818E-2</v>
      </c>
      <c r="P57" s="346"/>
      <c r="Q57" s="390">
        <f t="shared" si="5"/>
        <v>5.7280652527313463E-3</v>
      </c>
      <c r="R57" s="390">
        <f t="shared" si="5"/>
        <v>1.1432354613042676E-2</v>
      </c>
      <c r="S57" s="390">
        <f t="shared" si="5"/>
        <v>1.7112966769240727E-2</v>
      </c>
      <c r="T57" s="390">
        <f t="shared" si="6"/>
        <v>2.2769999999999999E-2</v>
      </c>
      <c r="U57" s="390">
        <f t="shared" si="7"/>
        <v>4.3807064999999881E-2</v>
      </c>
      <c r="V57" s="390">
        <f t="shared" si="8"/>
        <v>6.3849959024999847E-2</v>
      </c>
      <c r="W57" s="390">
        <f t="shared" si="9"/>
        <v>8.3065749623234722E-2</v>
      </c>
      <c r="X57" s="390">
        <f t="shared" si="10"/>
        <v>0.1016119094036224</v>
      </c>
      <c r="Y57" s="390">
        <f t="shared" si="11"/>
        <v>2.2769999999999999E-2</v>
      </c>
      <c r="Z57" s="390">
        <f t="shared" si="12"/>
        <v>6.3849959024999847E-2</v>
      </c>
      <c r="AC57" s="273">
        <f>VLOOKUP($B57, 'Output Baseline'!$A:$CW,42,FALSE)</f>
        <v>5.5999999999999999E-3</v>
      </c>
      <c r="AD57" s="273">
        <f>VLOOKUP($B57, 'Output Baseline'!$A:$CW,43,FALSE)</f>
        <v>6.1000000000000004E-3</v>
      </c>
      <c r="AE57" s="273">
        <f>VLOOKUP($B57, 'Output Baseline'!$A:$CW,44,FALSE)</f>
        <v>6.4000000000000003E-3</v>
      </c>
      <c r="AF57" s="273">
        <f>VLOOKUP($B57, 'Output Baseline'!$A:$CW,45,FALSE)</f>
        <v>6.7000000000000002E-3</v>
      </c>
      <c r="AG57" s="273">
        <f>VLOOKUP($B57, 'Output Baseline'!$A:$CW,46,FALSE)</f>
        <v>6.8999999999999999E-3</v>
      </c>
      <c r="AH57" s="447">
        <f t="shared" si="13"/>
        <v>1.4029496411314124E-3</v>
      </c>
      <c r="AI57" s="447">
        <f t="shared" si="14"/>
        <v>2.8039310145673291E-3</v>
      </c>
      <c r="AJ57" s="447">
        <f t="shared" si="15"/>
        <v>4.2029468816880966E-3</v>
      </c>
      <c r="AK57" s="346"/>
      <c r="AL57" s="390">
        <f t="shared" si="16"/>
        <v>1.9360705047613491E-3</v>
      </c>
      <c r="AM57" s="390">
        <f t="shared" si="16"/>
        <v>3.8694248001029138E-3</v>
      </c>
      <c r="AN57" s="390">
        <f t="shared" si="16"/>
        <v>5.8000666967295729E-3</v>
      </c>
      <c r="AO57" s="390">
        <f t="shared" si="17"/>
        <v>7.7279999999999996E-3</v>
      </c>
      <c r="AP57" s="390">
        <f t="shared" si="18"/>
        <v>1.6098859200000051E-2</v>
      </c>
      <c r="AQ57" s="390">
        <f t="shared" si="19"/>
        <v>2.4827826501120018E-2</v>
      </c>
      <c r="AR57" s="390">
        <f t="shared" si="20"/>
        <v>3.3907480063562541E-2</v>
      </c>
      <c r="AS57" s="390">
        <f t="shared" si="21"/>
        <v>4.3195518451124036E-2</v>
      </c>
      <c r="AT57" s="390">
        <f t="shared" si="22"/>
        <v>7.7279999999999996E-3</v>
      </c>
      <c r="AU57" s="390">
        <f t="shared" si="23"/>
        <v>2.4827826501120018E-2</v>
      </c>
      <c r="AX57" s="273">
        <f>VLOOKUP($B57, 'Output 90% Downside'!$A:$CW,42,FALSE)</f>
        <v>1.2500000000000001E-2</v>
      </c>
      <c r="AY57" s="273">
        <f>VLOOKUP($B57, 'Output 90% Downside'!$A:$CW,43,FALSE)</f>
        <v>1.23E-2</v>
      </c>
      <c r="AZ57" s="273">
        <f>VLOOKUP($B57, 'Output 90% Downside'!$A:$CW,44,FALSE)</f>
        <v>1.2200000000000001E-2</v>
      </c>
      <c r="BA57" s="273">
        <f>VLOOKUP($B57, 'Output 90% Downside'!$A:$CW,45,FALSE)</f>
        <v>1.21E-2</v>
      </c>
      <c r="BB57" s="273">
        <f>VLOOKUP($B57, 'Output 90% Downside'!$A:$CW,46,FALSE)</f>
        <v>1.2E-2</v>
      </c>
      <c r="BC57" s="447">
        <f t="shared" si="24"/>
        <v>3.1397561756264514E-3</v>
      </c>
      <c r="BD57" s="447">
        <f t="shared" si="25"/>
        <v>6.2696542824105528E-3</v>
      </c>
      <c r="BE57" s="447">
        <f t="shared" si="26"/>
        <v>9.3897252722847657E-3</v>
      </c>
      <c r="BF57" s="346"/>
      <c r="BG57" s="390">
        <f t="shared" si="27"/>
        <v>4.3328635223645025E-3</v>
      </c>
      <c r="BH57" s="390">
        <f t="shared" si="27"/>
        <v>8.6521229097265614E-3</v>
      </c>
      <c r="BI57" s="390">
        <f t="shared" si="27"/>
        <v>1.2957820875752975E-2</v>
      </c>
      <c r="BJ57" s="390">
        <f t="shared" si="28"/>
        <v>1.7249999999999998E-2</v>
      </c>
      <c r="BK57" s="390">
        <f t="shared" si="29"/>
        <v>3.4011824999999968E-2</v>
      </c>
      <c r="BL57" s="390">
        <f t="shared" si="30"/>
        <v>5.0432880735000005E-2</v>
      </c>
      <c r="BM57" s="390">
        <f t="shared" si="31"/>
        <v>6.652064287810644E-2</v>
      </c>
      <c r="BN57" s="390">
        <f t="shared" si="32"/>
        <v>8.2282395163569111E-2</v>
      </c>
      <c r="BO57" s="390">
        <f t="shared" si="33"/>
        <v>1.7249999999999998E-2</v>
      </c>
      <c r="BP57" s="390">
        <f t="shared" si="34"/>
        <v>5.0432880735000005E-2</v>
      </c>
      <c r="BQ57" s="347"/>
      <c r="BU57" s="390">
        <f>IFERROR(AL57*$BS$2+BG57*$BS$4+Q57*$BS$3,VLOOKUP(A57,'Updated Ncino PD'!A:K,4,FALSE))</f>
        <v>2.9645477983209524E-3</v>
      </c>
      <c r="BV57" s="390">
        <f>IFERROR(AM57*$BS$2+BH57*$BS$4+R57*$BS$3,VLOOKUP(A57,'Updated Ncino PD'!A:K,5,FALSE))</f>
        <v>5.9215156291181782E-3</v>
      </c>
      <c r="BW57" s="390">
        <f>IFERROR(AN57*$BS$2+BI57*$BS$4+S57*$BS$3,VLOOKUP(A57,'Updated Ncino PD'!A:K,6,FALSE))</f>
        <v>8.8709256630133213E-3</v>
      </c>
      <c r="BX57" s="390">
        <f>IFERROR(AO57*$BS$2+BJ57*$BS$4+T57*$BS$3,VLOOKUP(A57,'Updated Ncino PD'!A:K,7,FALSE))</f>
        <v>1.1812799999999998E-2</v>
      </c>
      <c r="BY57" s="390">
        <f>IFERROR(AP57*$BS$2+BK57*$BS$4+U57*$BS$3,VLOOKUP(A57,'Updated Ncino PD'!A:K,8,FALSE))</f>
        <v>2.3753807520000014E-2</v>
      </c>
      <c r="BZ57" s="390">
        <f>IFERROR(AQ57*$BS$2+BL57*$BS$4+V57*$BS$3,VLOOKUP(A57,'Updated Ncino PD'!A:K,9,FALSE))</f>
        <v>3.5740702109171997E-2</v>
      </c>
      <c r="CA57" s="390">
        <f>IFERROR(AR57*$BS$2+BM57*$BS$4+W57*$BS$3,VLOOKUP(A57,'Updated Ncino PD'!A:K,10,FALSE))</f>
        <v>4.7780000526636508E-2</v>
      </c>
      <c r="CB57" s="390">
        <f>IFERROR(AS57*$BS$2+BN57*$BS$4+X57*$BS$3,VLOOKUP(A57,'Updated Ncino PD'!A:K,11,FALSE))</f>
        <v>5.9796744848104724E-2</v>
      </c>
      <c r="CC57" s="390">
        <f t="shared" si="37"/>
        <v>1.1812799999999998E-2</v>
      </c>
      <c r="CD57" s="390">
        <f t="shared" si="37"/>
        <v>3.5740702109171997E-2</v>
      </c>
      <c r="CF57" s="450">
        <f t="shared" si="35"/>
        <v>8.5599999999999982E-3</v>
      </c>
      <c r="CG57" s="450">
        <f t="shared" si="35"/>
        <v>8.7399999999999995E-3</v>
      </c>
      <c r="CH57" s="450">
        <f t="shared" si="35"/>
        <v>8.8599999999999998E-3</v>
      </c>
      <c r="CI57" s="450">
        <f t="shared" si="35"/>
        <v>8.9849999999999999E-3</v>
      </c>
      <c r="CJ57" s="450">
        <f t="shared" si="35"/>
        <v>9.0550000000000005E-3</v>
      </c>
    </row>
    <row r="58" spans="1:88" s="355" customFormat="1" hidden="1" x14ac:dyDescent="0.25">
      <c r="A58" s="400">
        <v>1100000126</v>
      </c>
      <c r="B58" s="455" t="str">
        <f>VLOOKUP(A58,'Loan Book Summary'!C:G,5,FALSE)</f>
        <v>0014I0000279PJU</v>
      </c>
      <c r="C58" s="167">
        <f>VLOOKUP(A58,'Ref-Data'!$A:$I,9,0)</f>
        <v>1</v>
      </c>
      <c r="D58" s="445">
        <f>VLOOKUP(A58,'Adjustment Factor'!A:C,3,0)</f>
        <v>1.04</v>
      </c>
      <c r="E58" s="446">
        <f>VLOOKUP(A58,'Ref-Data'!A:C,2,FALSE)</f>
        <v>833332</v>
      </c>
      <c r="F58" s="445">
        <f>VLOOKUP(A58,'Ref-Data'!$A:$F,6,FALSE)</f>
        <v>1.7522245037645447</v>
      </c>
      <c r="G58" s="346"/>
      <c r="H58" s="273">
        <f>VLOOKUP($B58, 'Output 96% Downside'!$A:$CW,42,FALSE)</f>
        <v>3.2000000000000002E-3</v>
      </c>
      <c r="I58" s="273">
        <f>VLOOKUP($B58, 'Output 96% Downside'!$A:$CW,43,FALSE)</f>
        <v>4.1000000000000003E-3</v>
      </c>
      <c r="J58" s="273">
        <f>VLOOKUP($B58, 'Output 96% Downside'!$A:$CW,44,FALSE)</f>
        <v>4.7000000000000002E-3</v>
      </c>
      <c r="K58" s="273">
        <f>VLOOKUP($B58, 'Output 96% Downside'!$A:$CW,45,FALSE)</f>
        <v>5.1999999999999998E-3</v>
      </c>
      <c r="L58" s="273">
        <f>VLOOKUP($B58, 'Output 96% Downside'!$A:$CW,46,FALSE)</f>
        <v>5.5999999999999999E-3</v>
      </c>
      <c r="M58" s="447">
        <f t="shared" si="0"/>
        <v>8.0096179595190442E-4</v>
      </c>
      <c r="N58" s="447">
        <f t="shared" si="3"/>
        <v>1.6012820521051907E-3</v>
      </c>
      <c r="O58" s="447">
        <f t="shared" si="4"/>
        <v>2.4009612823088222E-3</v>
      </c>
      <c r="P58" s="346"/>
      <c r="Q58" s="390">
        <f t="shared" si="5"/>
        <v>8.3300026778998059E-4</v>
      </c>
      <c r="R58" s="390">
        <f t="shared" si="5"/>
        <v>1.6653333341893983E-3</v>
      </c>
      <c r="S58" s="390">
        <f t="shared" si="5"/>
        <v>2.4969997336011752E-3</v>
      </c>
      <c r="T58" s="390">
        <f t="shared" si="6"/>
        <v>3.3280000000000002E-3</v>
      </c>
      <c r="U58" s="390">
        <f t="shared" si="7"/>
        <v>7.5783551999999959E-3</v>
      </c>
      <c r="V58" s="390">
        <f t="shared" si="8"/>
        <v>1.2430736930560071E-2</v>
      </c>
      <c r="W58" s="390">
        <f t="shared" si="9"/>
        <v>1.7774097098521152E-2</v>
      </c>
      <c r="X58" s="390">
        <f t="shared" si="10"/>
        <v>2.3498562154769483E-2</v>
      </c>
      <c r="Y58" s="390">
        <f t="shared" si="11"/>
        <v>3.3280000000000002E-3</v>
      </c>
      <c r="Z58" s="390">
        <f t="shared" si="12"/>
        <v>7.5783551999999959E-3</v>
      </c>
      <c r="AC58" s="273">
        <f>VLOOKUP($B58, 'Output Baseline'!$A:$CW,42,FALSE)</f>
        <v>3.2000000000000002E-3</v>
      </c>
      <c r="AD58" s="273">
        <f>VLOOKUP($B58, 'Output Baseline'!$A:$CW,43,FALSE)</f>
        <v>4.1000000000000003E-3</v>
      </c>
      <c r="AE58" s="273">
        <f>VLOOKUP($B58, 'Output Baseline'!$A:$CW,44,FALSE)</f>
        <v>4.5999999999999999E-3</v>
      </c>
      <c r="AF58" s="273">
        <f>VLOOKUP($B58, 'Output Baseline'!$A:$CW,45,FALSE)</f>
        <v>5.1000000000000004E-3</v>
      </c>
      <c r="AG58" s="273">
        <f>VLOOKUP($B58, 'Output Baseline'!$A:$CW,46,FALSE)</f>
        <v>5.4999999999999997E-3</v>
      </c>
      <c r="AH58" s="447">
        <f t="shared" si="13"/>
        <v>8.0096179595190442E-4</v>
      </c>
      <c r="AI58" s="447">
        <f t="shared" si="14"/>
        <v>1.6012820521051907E-3</v>
      </c>
      <c r="AJ58" s="447">
        <f t="shared" si="15"/>
        <v>2.4009612823088222E-3</v>
      </c>
      <c r="AK58" s="346"/>
      <c r="AL58" s="390">
        <f t="shared" si="16"/>
        <v>8.3300026778998059E-4</v>
      </c>
      <c r="AM58" s="390">
        <f t="shared" si="16"/>
        <v>1.6653333341893983E-3</v>
      </c>
      <c r="AN58" s="390">
        <f t="shared" si="16"/>
        <v>2.4969997336011752E-3</v>
      </c>
      <c r="AO58" s="390">
        <f t="shared" si="17"/>
        <v>3.3280000000000002E-3</v>
      </c>
      <c r="AP58" s="390">
        <f t="shared" si="18"/>
        <v>7.5783551999999959E-3</v>
      </c>
      <c r="AQ58" s="390">
        <f t="shared" si="19"/>
        <v>1.232749476608002E-2</v>
      </c>
      <c r="AR58" s="390">
        <f t="shared" si="20"/>
        <v>1.7568624542773054E-2</v>
      </c>
      <c r="AS58" s="390">
        <f t="shared" si="21"/>
        <v>2.3191997107787712E-2</v>
      </c>
      <c r="AT58" s="390">
        <f t="shared" si="22"/>
        <v>3.3280000000000002E-3</v>
      </c>
      <c r="AU58" s="390">
        <f t="shared" si="23"/>
        <v>7.5783551999999959E-3</v>
      </c>
      <c r="AX58" s="273">
        <f>VLOOKUP($B58, 'Output 90% Downside'!$A:$CW,42,FALSE)</f>
        <v>3.2000000000000002E-3</v>
      </c>
      <c r="AY58" s="273">
        <f>VLOOKUP($B58, 'Output 90% Downside'!$A:$CW,43,FALSE)</f>
        <v>4.1000000000000003E-3</v>
      </c>
      <c r="AZ58" s="273">
        <f>VLOOKUP($B58, 'Output 90% Downside'!$A:$CW,44,FALSE)</f>
        <v>4.5999999999999999E-3</v>
      </c>
      <c r="BA58" s="273">
        <f>VLOOKUP($B58, 'Output 90% Downside'!$A:$CW,45,FALSE)</f>
        <v>5.1000000000000004E-3</v>
      </c>
      <c r="BB58" s="273">
        <f>VLOOKUP($B58, 'Output 90% Downside'!$A:$CW,46,FALSE)</f>
        <v>5.4999999999999997E-3</v>
      </c>
      <c r="BC58" s="447">
        <f t="shared" si="24"/>
        <v>8.0096179595190442E-4</v>
      </c>
      <c r="BD58" s="447">
        <f t="shared" si="25"/>
        <v>1.6012820521051907E-3</v>
      </c>
      <c r="BE58" s="447">
        <f t="shared" si="26"/>
        <v>2.4009612823088222E-3</v>
      </c>
      <c r="BF58" s="346"/>
      <c r="BG58" s="390">
        <f t="shared" si="27"/>
        <v>8.3300026778998059E-4</v>
      </c>
      <c r="BH58" s="390">
        <f t="shared" si="27"/>
        <v>1.6653333341893983E-3</v>
      </c>
      <c r="BI58" s="390">
        <f t="shared" si="27"/>
        <v>2.4969997336011752E-3</v>
      </c>
      <c r="BJ58" s="390">
        <f t="shared" si="28"/>
        <v>3.3280000000000002E-3</v>
      </c>
      <c r="BK58" s="390">
        <f t="shared" si="29"/>
        <v>7.5783551999999959E-3</v>
      </c>
      <c r="BL58" s="390">
        <f t="shared" si="30"/>
        <v>1.232749476608002E-2</v>
      </c>
      <c r="BM58" s="390">
        <f t="shared" si="31"/>
        <v>1.7568624542773054E-2</v>
      </c>
      <c r="BN58" s="390">
        <f t="shared" si="32"/>
        <v>2.3191997107787712E-2</v>
      </c>
      <c r="BO58" s="390">
        <f t="shared" si="33"/>
        <v>3.3280000000000002E-3</v>
      </c>
      <c r="BP58" s="390">
        <f t="shared" si="34"/>
        <v>7.5783551999999959E-3</v>
      </c>
      <c r="BQ58" s="347"/>
      <c r="BU58" s="390">
        <f>IFERROR(AL58*$BS$2+BG58*$BS$4+Q58*$BS$3,VLOOKUP(A58,'Updated Ncino PD'!A:K,4,FALSE))</f>
        <v>8.3300026778998048E-4</v>
      </c>
      <c r="BV58" s="390">
        <f>IFERROR(AM58*$BS$2+BH58*$BS$4+R58*$BS$3,VLOOKUP(A58,'Updated Ncino PD'!A:K,5,FALSE))</f>
        <v>1.6653333341893986E-3</v>
      </c>
      <c r="BW58" s="390">
        <f>IFERROR(AN58*$BS$2+BI58*$BS$4+S58*$BS$3,VLOOKUP(A58,'Updated Ncino PD'!A:K,6,FALSE))</f>
        <v>2.4969997336011752E-3</v>
      </c>
      <c r="BX58" s="390">
        <f>IFERROR(AO58*$BS$2+BJ58*$BS$4+T58*$BS$3,VLOOKUP(A58,'Updated Ncino PD'!A:K,7,FALSE))</f>
        <v>3.3279999999999998E-3</v>
      </c>
      <c r="BY58" s="390">
        <f>IFERROR(AP58*$BS$2+BK58*$BS$4+U58*$BS$3,VLOOKUP(A58,'Updated Ncino PD'!A:K,8,FALSE))</f>
        <v>7.5783551999999959E-3</v>
      </c>
      <c r="BZ58" s="390">
        <f>IFERROR(AQ58*$BS$2+BL58*$BS$4+V58*$BS$3,VLOOKUP(A58,'Updated Ncino PD'!A:K,9,FALSE))</f>
        <v>1.2332656874304021E-2</v>
      </c>
      <c r="CA58" s="390">
        <f>IFERROR(AR58*$BS$2+BM58*$BS$4+W58*$BS$3,VLOOKUP(A58,'Updated Ncino PD'!A:K,10,FALSE))</f>
        <v>1.7578898170560457E-2</v>
      </c>
      <c r="CB58" s="390">
        <f>IFERROR(AS58*$BS$2+BN58*$BS$4+X58*$BS$3,VLOOKUP(A58,'Updated Ncino PD'!A:K,11,FALSE))</f>
        <v>2.32073253601368E-2</v>
      </c>
      <c r="CC58" s="390">
        <f t="shared" si="37"/>
        <v>3.3279999999999998E-3</v>
      </c>
      <c r="CD58" s="390">
        <f t="shared" si="37"/>
        <v>7.5783551999999959E-3</v>
      </c>
      <c r="CF58" s="450">
        <f t="shared" si="35"/>
        <v>3.2000000000000002E-3</v>
      </c>
      <c r="CG58" s="450">
        <f t="shared" si="35"/>
        <v>4.0999999999999995E-3</v>
      </c>
      <c r="CH58" s="450">
        <f t="shared" si="35"/>
        <v>4.6049999999999997E-3</v>
      </c>
      <c r="CI58" s="450">
        <f t="shared" si="35"/>
        <v>5.1050000000000002E-3</v>
      </c>
      <c r="CJ58" s="450">
        <f t="shared" si="35"/>
        <v>5.5049999999999995E-3</v>
      </c>
    </row>
    <row r="59" spans="1:88" s="355" customFormat="1" hidden="1" x14ac:dyDescent="0.25">
      <c r="A59" s="400">
        <v>1100000128</v>
      </c>
      <c r="B59" s="455" t="str">
        <f>VLOOKUP(A59,'Loan Book Summary'!C:G,5,FALSE)</f>
        <v>0014I000023R1Ij</v>
      </c>
      <c r="C59" s="167">
        <f>VLOOKUP(A59,'Ref-Data'!$A:$I,9,0)</f>
        <v>1</v>
      </c>
      <c r="D59" s="445">
        <f>VLOOKUP(A59,'Adjustment Factor'!A:C,3,0)</f>
        <v>1.28</v>
      </c>
      <c r="E59" s="446">
        <f>VLOOKUP(A59,'Ref-Data'!A:C,2,FALSE)</f>
        <v>5000000</v>
      </c>
      <c r="F59" s="445">
        <f>VLOOKUP(A59,'Ref-Data'!$A:$F,6,FALSE)</f>
        <v>3.5455167693360714</v>
      </c>
      <c r="G59" s="346"/>
      <c r="H59" s="273">
        <f>VLOOKUP($B59, 'Output 96% Downside'!$A:$CW,42,FALSE)</f>
        <v>5.4999999999999997E-3</v>
      </c>
      <c r="I59" s="273">
        <f>VLOOKUP($B59, 'Output 96% Downside'!$A:$CW,43,FALSE)</f>
        <v>5.0000000000000001E-3</v>
      </c>
      <c r="J59" s="273">
        <f>VLOOKUP($B59, 'Output 96% Downside'!$A:$CW,44,FALSE)</f>
        <v>4.7000000000000002E-3</v>
      </c>
      <c r="K59" s="273">
        <f>VLOOKUP($B59, 'Output 96% Downside'!$A:$CW,45,FALSE)</f>
        <v>4.4000000000000003E-3</v>
      </c>
      <c r="L59" s="273">
        <f>VLOOKUP($B59, 'Output 96% Downside'!$A:$CW,46,FALSE)</f>
        <v>4.3E-3</v>
      </c>
      <c r="M59" s="447">
        <f t="shared" si="0"/>
        <v>1.3778450706795065E-3</v>
      </c>
      <c r="N59" s="447">
        <f t="shared" si="3"/>
        <v>2.753791684320217E-3</v>
      </c>
      <c r="O59" s="447">
        <f t="shared" si="4"/>
        <v>4.1278424567018357E-3</v>
      </c>
      <c r="P59" s="346"/>
      <c r="Q59" s="390">
        <f t="shared" si="5"/>
        <v>1.7636416904697682E-3</v>
      </c>
      <c r="R59" s="390">
        <f t="shared" si="5"/>
        <v>3.5248533559298777E-3</v>
      </c>
      <c r="S59" s="390">
        <f t="shared" si="5"/>
        <v>5.2836383445783496E-3</v>
      </c>
      <c r="T59" s="390">
        <f t="shared" si="6"/>
        <v>7.0399999999999994E-3</v>
      </c>
      <c r="U59" s="390">
        <f t="shared" si="7"/>
        <v>1.3404799999999994E-2</v>
      </c>
      <c r="V59" s="390">
        <f t="shared" si="8"/>
        <v>1.9357797440000015E-2</v>
      </c>
      <c r="W59" s="390">
        <f t="shared" si="9"/>
        <v>2.4904623131264004E-2</v>
      </c>
      <c r="X59" s="390">
        <f t="shared" si="10"/>
        <v>3.0301533251799528E-2</v>
      </c>
      <c r="Y59" s="390">
        <f t="shared" si="11"/>
        <v>7.0399999999999994E-3</v>
      </c>
      <c r="Z59" s="390">
        <f t="shared" si="12"/>
        <v>2.4904623131264004E-2</v>
      </c>
      <c r="AC59" s="273">
        <f>VLOOKUP($B59, 'Output Baseline'!$A:$CW,42,FALSE)</f>
        <v>4.8999999999999998E-3</v>
      </c>
      <c r="AD59" s="273">
        <f>VLOOKUP($B59, 'Output Baseline'!$A:$CW,43,FALSE)</f>
        <v>4.4999999999999997E-3</v>
      </c>
      <c r="AE59" s="273">
        <f>VLOOKUP($B59, 'Output Baseline'!$A:$CW,44,FALSE)</f>
        <v>4.3E-3</v>
      </c>
      <c r="AF59" s="273">
        <f>VLOOKUP($B59, 'Output Baseline'!$A:$CW,45,FALSE)</f>
        <v>4.1000000000000003E-3</v>
      </c>
      <c r="AG59" s="273">
        <f>VLOOKUP($B59, 'Output Baseline'!$A:$CW,46,FALSE)</f>
        <v>4.0000000000000001E-3</v>
      </c>
      <c r="AH59" s="447">
        <f t="shared" si="13"/>
        <v>1.227257393183967E-3</v>
      </c>
      <c r="AI59" s="447">
        <f t="shared" si="14"/>
        <v>2.4530086256587813E-3</v>
      </c>
      <c r="AJ59" s="447">
        <f t="shared" si="15"/>
        <v>3.677255545871394E-3</v>
      </c>
      <c r="AK59" s="346"/>
      <c r="AL59" s="390">
        <f t="shared" si="16"/>
        <v>1.5708894632754777E-3</v>
      </c>
      <c r="AM59" s="390">
        <f t="shared" si="16"/>
        <v>3.1398510408432402E-3</v>
      </c>
      <c r="AN59" s="390">
        <f t="shared" si="16"/>
        <v>4.7068870987153847E-3</v>
      </c>
      <c r="AO59" s="390">
        <f t="shared" si="17"/>
        <v>6.2719999999999998E-3</v>
      </c>
      <c r="AP59" s="390">
        <f t="shared" si="18"/>
        <v>1.2003775999999959E-2</v>
      </c>
      <c r="AQ59" s="390">
        <f t="shared" si="19"/>
        <v>1.7456159763199964E-2</v>
      </c>
      <c r="AR59" s="390">
        <f t="shared" si="20"/>
        <v>2.2632589508170896E-2</v>
      </c>
      <c r="AS59" s="390">
        <f t="shared" si="21"/>
        <v>2.7662059150138276E-2</v>
      </c>
      <c r="AT59" s="390">
        <f t="shared" si="22"/>
        <v>6.2719999999999998E-3</v>
      </c>
      <c r="AU59" s="390">
        <f t="shared" si="23"/>
        <v>2.2632589508170896E-2</v>
      </c>
      <c r="AX59" s="273">
        <f>VLOOKUP($B59, 'Output 90% Downside'!$A:$CW,42,FALSE)</f>
        <v>5.4999999999999997E-3</v>
      </c>
      <c r="AY59" s="273">
        <f>VLOOKUP($B59, 'Output 90% Downside'!$A:$CW,43,FALSE)</f>
        <v>5.0000000000000001E-3</v>
      </c>
      <c r="AZ59" s="273">
        <f>VLOOKUP($B59, 'Output 90% Downside'!$A:$CW,44,FALSE)</f>
        <v>4.7000000000000002E-3</v>
      </c>
      <c r="BA59" s="273">
        <f>VLOOKUP($B59, 'Output 90% Downside'!$A:$CW,45,FALSE)</f>
        <v>4.4000000000000003E-3</v>
      </c>
      <c r="BB59" s="273">
        <f>VLOOKUP($B59, 'Output 90% Downside'!$A:$CW,46,FALSE)</f>
        <v>4.3E-3</v>
      </c>
      <c r="BC59" s="447">
        <f t="shared" si="24"/>
        <v>1.3778450706795065E-3</v>
      </c>
      <c r="BD59" s="447">
        <f t="shared" si="25"/>
        <v>2.753791684320217E-3</v>
      </c>
      <c r="BE59" s="447">
        <f t="shared" si="26"/>
        <v>4.1278424567018357E-3</v>
      </c>
      <c r="BF59" s="346"/>
      <c r="BG59" s="390">
        <f t="shared" si="27"/>
        <v>1.7636416904697682E-3</v>
      </c>
      <c r="BH59" s="390">
        <f t="shared" si="27"/>
        <v>3.5248533559298777E-3</v>
      </c>
      <c r="BI59" s="390">
        <f t="shared" si="27"/>
        <v>5.2836383445783496E-3</v>
      </c>
      <c r="BJ59" s="390">
        <f t="shared" si="28"/>
        <v>7.0399999999999994E-3</v>
      </c>
      <c r="BK59" s="390">
        <f t="shared" si="29"/>
        <v>1.3404799999999994E-2</v>
      </c>
      <c r="BL59" s="390">
        <f t="shared" si="30"/>
        <v>1.9357797440000015E-2</v>
      </c>
      <c r="BM59" s="390">
        <f t="shared" si="31"/>
        <v>2.4904623131264004E-2</v>
      </c>
      <c r="BN59" s="390">
        <f t="shared" si="32"/>
        <v>3.0301533251799528E-2</v>
      </c>
      <c r="BO59" s="390">
        <f t="shared" si="33"/>
        <v>7.0399999999999994E-3</v>
      </c>
      <c r="BP59" s="390">
        <f t="shared" si="34"/>
        <v>2.4904623131264004E-2</v>
      </c>
      <c r="BQ59" s="347"/>
      <c r="BU59" s="390">
        <f>IFERROR(AL59*$BS$2+BG59*$BS$4+Q59*$BS$3,VLOOKUP(A59,'Updated Ncino PD'!A:K,4,FALSE))</f>
        <v>1.647990354153194E-3</v>
      </c>
      <c r="BV59" s="390">
        <f>IFERROR(AM59*$BS$2+BH59*$BS$4+R59*$BS$3,VLOOKUP(A59,'Updated Ncino PD'!A:K,5,FALSE))</f>
        <v>3.2938519668778954E-3</v>
      </c>
      <c r="BW59" s="390">
        <f>IFERROR(AN59*$BS$2+BI59*$BS$4+S59*$BS$3,VLOOKUP(A59,'Updated Ncino PD'!A:K,6,FALSE))</f>
        <v>4.9375875970605705E-3</v>
      </c>
      <c r="BX59" s="390">
        <f>IFERROR(AO59*$BS$2+BJ59*$BS$4+T59*$BS$3,VLOOKUP(A59,'Updated Ncino PD'!A:K,7,FALSE))</f>
        <v>6.5791999999999986E-3</v>
      </c>
      <c r="BY59" s="390">
        <f>IFERROR(AP59*$BS$2+BK59*$BS$4+U59*$BS$3,VLOOKUP(A59,'Updated Ncino PD'!A:K,8,FALSE))</f>
        <v>1.2564185599999972E-2</v>
      </c>
      <c r="BZ59" s="390">
        <f>IFERROR(AQ59*$BS$2+BL59*$BS$4+V59*$BS$3,VLOOKUP(A59,'Updated Ncino PD'!A:K,9,FALSE))</f>
        <v>1.8216814833919983E-2</v>
      </c>
      <c r="CA59" s="390">
        <f>IFERROR(AR59*$BS$2+BM59*$BS$4+W59*$BS$3,VLOOKUP(A59,'Updated Ncino PD'!A:K,10,FALSE))</f>
        <v>2.3541402957408135E-2</v>
      </c>
      <c r="CB59" s="390">
        <f>IFERROR(AS59*$BS$2+BN59*$BS$4+X59*$BS$3,VLOOKUP(A59,'Updated Ncino PD'!A:K,11,FALSE))</f>
        <v>2.8717848790802778E-2</v>
      </c>
      <c r="CC59" s="390">
        <f t="shared" si="37"/>
        <v>6.5791999999999986E-3</v>
      </c>
      <c r="CD59" s="390">
        <f t="shared" si="37"/>
        <v>2.3541402957408135E-2</v>
      </c>
      <c r="CF59" s="450">
        <f t="shared" si="35"/>
        <v>5.1399999999999996E-3</v>
      </c>
      <c r="CG59" s="450">
        <f t="shared" si="35"/>
        <v>4.6999999999999993E-3</v>
      </c>
      <c r="CH59" s="450">
        <f t="shared" si="35"/>
        <v>4.4599999999999996E-3</v>
      </c>
      <c r="CI59" s="450">
        <f t="shared" si="35"/>
        <v>4.2199999999999998E-3</v>
      </c>
      <c r="CJ59" s="450">
        <f t="shared" si="35"/>
        <v>4.1199999999999995E-3</v>
      </c>
    </row>
    <row r="60" spans="1:88" s="355" customFormat="1" hidden="1" x14ac:dyDescent="0.25">
      <c r="A60" s="400">
        <v>1100000136</v>
      </c>
      <c r="B60" s="455" t="str">
        <f>VLOOKUP(A60,'Loan Book Summary'!C:G,5,FALSE)</f>
        <v>0014I00001z5rPw</v>
      </c>
      <c r="C60" s="167">
        <f>VLOOKUP(A60,'Ref-Data'!$A:$I,9,0)</f>
        <v>1</v>
      </c>
      <c r="D60" s="445">
        <f>VLOOKUP(A60,'Adjustment Factor'!A:C,3,0)</f>
        <v>1.3259653369230906</v>
      </c>
      <c r="E60" s="446">
        <f>VLOOKUP(A60,'Ref-Data'!A:C,2,FALSE)</f>
        <v>2312500</v>
      </c>
      <c r="F60" s="445">
        <f>VLOOKUP(A60,'Ref-Data'!$A:$F,6,FALSE)</f>
        <v>3.8193018480492813</v>
      </c>
      <c r="G60" s="346"/>
      <c r="H60" s="273">
        <f>VLOOKUP($B60, 'Output 96% Downside'!$A:$CW,42,FALSE)</f>
        <v>1.8200000000000001E-2</v>
      </c>
      <c r="I60" s="273">
        <f>VLOOKUP($B60, 'Output 96% Downside'!$A:$CW,43,FALSE)</f>
        <v>1.7899999999999999E-2</v>
      </c>
      <c r="J60" s="273">
        <f>VLOOKUP($B60, 'Output 96% Downside'!$A:$CW,44,FALSE)</f>
        <v>1.77E-2</v>
      </c>
      <c r="K60" s="273">
        <f>VLOOKUP($B60, 'Output 96% Downside'!$A:$CW,45,FALSE)</f>
        <v>1.7600000000000001E-2</v>
      </c>
      <c r="L60" s="273">
        <f>VLOOKUP($B60, 'Output 96% Downside'!$A:$CW,46,FALSE)</f>
        <v>1.7500000000000002E-2</v>
      </c>
      <c r="M60" s="447">
        <f t="shared" si="0"/>
        <v>4.5813876196577619E-3</v>
      </c>
      <c r="N60" s="447">
        <f t="shared" si="3"/>
        <v>9.1417861267939493E-3</v>
      </c>
      <c r="O60" s="447">
        <f t="shared" si="4"/>
        <v>1.3681291680668894E-2</v>
      </c>
      <c r="P60" s="346"/>
      <c r="Q60" s="390">
        <f t="shared" si="5"/>
        <v>6.0747611786747804E-3</v>
      </c>
      <c r="R60" s="390">
        <f t="shared" si="5"/>
        <v>1.2121691521693175E-2</v>
      </c>
      <c r="S60" s="390">
        <f t="shared" si="5"/>
        <v>1.8140918532901208E-2</v>
      </c>
      <c r="T60" s="390">
        <f t="shared" si="6"/>
        <v>2.4132569132000251E-2</v>
      </c>
      <c r="U60" s="390">
        <f t="shared" si="7"/>
        <v>4.7435375675460724E-2</v>
      </c>
      <c r="V60" s="390">
        <f t="shared" si="8"/>
        <v>7.0065355989543845E-2</v>
      </c>
      <c r="W60" s="390">
        <f t="shared" si="9"/>
        <v>9.2169195653974259E-2</v>
      </c>
      <c r="X60" s="390">
        <f t="shared" si="10"/>
        <v>0.11376062812618369</v>
      </c>
      <c r="Y60" s="390">
        <f t="shared" si="11"/>
        <v>2.4132569132000251E-2</v>
      </c>
      <c r="Z60" s="390">
        <f t="shared" si="12"/>
        <v>9.2169195653974259E-2</v>
      </c>
      <c r="AC60" s="273">
        <f>VLOOKUP($B60, 'Output Baseline'!$A:$CW,42,FALSE)</f>
        <v>9.5999999999999992E-3</v>
      </c>
      <c r="AD60" s="273">
        <f>VLOOKUP($B60, 'Output Baseline'!$A:$CW,43,FALSE)</f>
        <v>0.01</v>
      </c>
      <c r="AE60" s="273">
        <f>VLOOKUP($B60, 'Output Baseline'!$A:$CW,44,FALSE)</f>
        <v>1.03E-2</v>
      </c>
      <c r="AF60" s="273">
        <f>VLOOKUP($B60, 'Output Baseline'!$A:$CW,45,FALSE)</f>
        <v>1.0500000000000001E-2</v>
      </c>
      <c r="AG60" s="273">
        <f>VLOOKUP($B60, 'Output Baseline'!$A:$CW,46,FALSE)</f>
        <v>1.06E-2</v>
      </c>
      <c r="AH60" s="447">
        <f t="shared" si="13"/>
        <v>2.4086887056512518E-3</v>
      </c>
      <c r="AI60" s="447">
        <f t="shared" si="14"/>
        <v>4.8115756300217694E-3</v>
      </c>
      <c r="AJ60" s="447">
        <f t="shared" si="15"/>
        <v>7.2086747477966284E-3</v>
      </c>
      <c r="AK60" s="346"/>
      <c r="AL60" s="390">
        <f t="shared" si="16"/>
        <v>3.1938377311317052E-3</v>
      </c>
      <c r="AM60" s="390">
        <f t="shared" si="16"/>
        <v>6.379982501392747E-3</v>
      </c>
      <c r="AN60" s="390">
        <f t="shared" si="16"/>
        <v>9.5584528407311308E-3</v>
      </c>
      <c r="AO60" s="390">
        <f t="shared" si="17"/>
        <v>1.2729267234461668E-2</v>
      </c>
      <c r="AP60" s="390">
        <f t="shared" si="18"/>
        <v>2.5861627931348059E-2</v>
      </c>
      <c r="AQ60" s="390">
        <f t="shared" si="19"/>
        <v>3.9252696133962983E-2</v>
      </c>
      <c r="AR60" s="390">
        <f t="shared" si="20"/>
        <v>5.2763178862248829E-2</v>
      </c>
      <c r="AS60" s="390">
        <f t="shared" si="21"/>
        <v>6.6259121737693757E-2</v>
      </c>
      <c r="AT60" s="390">
        <f t="shared" si="22"/>
        <v>1.2729267234461668E-2</v>
      </c>
      <c r="AU60" s="390">
        <f t="shared" si="23"/>
        <v>5.2763178862248829E-2</v>
      </c>
      <c r="AX60" s="273">
        <f>VLOOKUP($B60, 'Output 90% Downside'!$A:$CW,42,FALSE)</f>
        <v>1.5599999999999999E-2</v>
      </c>
      <c r="AY60" s="273">
        <f>VLOOKUP($B60, 'Output 90% Downside'!$A:$CW,43,FALSE)</f>
        <v>1.55E-2</v>
      </c>
      <c r="AZ60" s="273">
        <f>VLOOKUP($B60, 'Output 90% Downside'!$A:$CW,44,FALSE)</f>
        <v>1.54E-2</v>
      </c>
      <c r="BA60" s="273">
        <f>VLOOKUP($B60, 'Output 90% Downside'!$A:$CW,45,FALSE)</f>
        <v>1.54E-2</v>
      </c>
      <c r="BB60" s="273">
        <f>VLOOKUP($B60, 'Output 90% Downside'!$A:$CW,46,FALSE)</f>
        <v>1.5299999999999999E-2</v>
      </c>
      <c r="BC60" s="447">
        <f t="shared" si="24"/>
        <v>3.9230248695650838E-3</v>
      </c>
      <c r="BD60" s="447">
        <f t="shared" si="25"/>
        <v>7.830659615002955E-3</v>
      </c>
      <c r="BE60" s="447">
        <f t="shared" si="26"/>
        <v>1.1722964612153275E-2</v>
      </c>
      <c r="BF60" s="346"/>
      <c r="BG60" s="390">
        <f t="shared" si="27"/>
        <v>5.2017949929305295E-3</v>
      </c>
      <c r="BH60" s="390">
        <f t="shared" si="27"/>
        <v>1.0383183214737432E-2</v>
      </c>
      <c r="BI60" s="390">
        <f t="shared" si="27"/>
        <v>1.5544244721691285E-2</v>
      </c>
      <c r="BJ60" s="390">
        <f t="shared" si="28"/>
        <v>2.0685059256000213E-2</v>
      </c>
      <c r="BK60" s="390">
        <f t="shared" si="29"/>
        <v>4.0916903559840047E-2</v>
      </c>
      <c r="BL60" s="390">
        <f t="shared" si="30"/>
        <v>6.0706649433634026E-2</v>
      </c>
      <c r="BM60" s="390">
        <f t="shared" si="31"/>
        <v>8.0191633220971628E-2</v>
      </c>
      <c r="BN60" s="390">
        <f t="shared" si="32"/>
        <v>9.9251970887613963E-2</v>
      </c>
      <c r="BO60" s="390">
        <f t="shared" si="33"/>
        <v>2.0685059256000213E-2</v>
      </c>
      <c r="BP60" s="390">
        <f t="shared" si="34"/>
        <v>8.0191633220971628E-2</v>
      </c>
      <c r="BQ60" s="347"/>
      <c r="BU60" s="390">
        <f>IFERROR(AL60*$BS$2+BG60*$BS$4+Q60*$BS$3,VLOOKUP(A60,'Updated Ncino PD'!A:K,4,FALSE))</f>
        <v>4.0406689451384474E-3</v>
      </c>
      <c r="BV60" s="390">
        <f>IFERROR(AM60*$BS$2+BH60*$BS$4+R60*$BS$3,VLOOKUP(A60,'Updated Ncino PD'!A:K,5,FALSE))</f>
        <v>8.0681882020784083E-3</v>
      </c>
      <c r="BW60" s="390">
        <f>IFERROR(AN60*$BS$2+BI60*$BS$4+S60*$BS$3,VLOOKUP(A60,'Updated Ncino PD'!A:K,6,FALSE))</f>
        <v>1.2082603283675686E-2</v>
      </c>
      <c r="BX60" s="390">
        <f>IFERROR(AO60*$BS$2+BJ60*$BS$4+T60*$BS$3,VLOOKUP(A60,'Updated Ncino PD'!A:K,7,FALSE))</f>
        <v>1.6083959536877086E-2</v>
      </c>
      <c r="BY60" s="390">
        <f>IFERROR(AP60*$BS$2+BK60*$BS$4+U60*$BS$3,VLOOKUP(A60,'Updated Ncino PD'!A:K,8,FALSE))</f>
        <v>3.2209661788525884E-2</v>
      </c>
      <c r="BZ60" s="390">
        <f>IFERROR(AQ60*$BS$2+BL60*$BS$4+V60*$BS$3,VLOOKUP(A60,'Updated Ncino PD'!A:K,9,FALSE))</f>
        <v>4.8302212781626892E-2</v>
      </c>
      <c r="CA60" s="390">
        <f>IFERROR(AR60*$BS$2+BM60*$BS$4+W60*$BS$3,VLOOKUP(A60,'Updated Ncino PD'!A:K,10,FALSE))</f>
        <v>6.4333438727388073E-2</v>
      </c>
      <c r="CB60" s="390">
        <f>IFERROR(AS60*$BS$2+BN60*$BS$4+X60*$BS$3,VLOOKUP(A60,'Updated Ncino PD'!A:K,11,FALSE))</f>
        <v>8.0181694259590319E-2</v>
      </c>
      <c r="CC60" s="390">
        <f t="shared" si="37"/>
        <v>1.6083959536877086E-2</v>
      </c>
      <c r="CD60" s="390">
        <f t="shared" si="37"/>
        <v>6.4333438727388073E-2</v>
      </c>
      <c r="CF60" s="450">
        <f t="shared" si="35"/>
        <v>1.2129999999999998E-2</v>
      </c>
      <c r="CG60" s="450">
        <f t="shared" si="35"/>
        <v>1.2319999999999999E-2</v>
      </c>
      <c r="CH60" s="450">
        <f t="shared" si="35"/>
        <v>1.2455000000000001E-2</v>
      </c>
      <c r="CI60" s="450">
        <f t="shared" si="35"/>
        <v>1.2570000000000001E-2</v>
      </c>
      <c r="CJ60" s="450">
        <f t="shared" si="35"/>
        <v>1.259E-2</v>
      </c>
    </row>
    <row r="61" spans="1:88" s="355" customFormat="1" hidden="1" x14ac:dyDescent="0.25">
      <c r="A61" s="400">
        <v>1200000117</v>
      </c>
      <c r="B61" s="455" t="str">
        <f>VLOOKUP(A61,'Loan Book Summary'!C:G,5,FALSE)</f>
        <v>0014I00001xvXvo</v>
      </c>
      <c r="C61" s="167">
        <f>VLOOKUP(A61,'Ref-Data'!$A:$I,9,0)</f>
        <v>1</v>
      </c>
      <c r="D61" s="445">
        <f>VLOOKUP(A61,'Adjustment Factor'!A:C,3,0)</f>
        <v>1.0153914978799519</v>
      </c>
      <c r="E61" s="446">
        <f>VLOOKUP(A61,'Ref-Data'!A:C,2,FALSE)</f>
        <v>3000000</v>
      </c>
      <c r="F61" s="445">
        <f>VLOOKUP(A61,'Ref-Data'!$A:$F,6,FALSE)</f>
        <v>4.8651608487337441</v>
      </c>
      <c r="G61" s="346"/>
      <c r="H61" s="273">
        <f>VLOOKUP($B61, 'Output 96% Downside'!$A:$CW,42,FALSE)</f>
        <v>1.46E-2</v>
      </c>
      <c r="I61" s="273">
        <f>VLOOKUP($B61, 'Output 96% Downside'!$A:$CW,43,FALSE)</f>
        <v>1.41E-2</v>
      </c>
      <c r="J61" s="273">
        <f>VLOOKUP($B61, 'Output 96% Downside'!$A:$CW,44,FALSE)</f>
        <v>1.38E-2</v>
      </c>
      <c r="K61" s="273">
        <f>VLOOKUP($B61, 'Output 96% Downside'!$A:$CW,45,FALSE)</f>
        <v>1.3599999999999999E-2</v>
      </c>
      <c r="L61" s="273">
        <f>VLOOKUP($B61, 'Output 96% Downside'!$A:$CW,46,FALSE)</f>
        <v>1.35E-2</v>
      </c>
      <c r="M61" s="447">
        <f t="shared" si="0"/>
        <v>3.6701556721941975E-3</v>
      </c>
      <c r="N61" s="447">
        <f t="shared" si="3"/>
        <v>7.3268413017302247E-3</v>
      </c>
      <c r="O61" s="447">
        <f t="shared" si="4"/>
        <v>1.0970106325761564E-2</v>
      </c>
      <c r="P61" s="346"/>
      <c r="Q61" s="390">
        <f t="shared" si="5"/>
        <v>3.7266448654418678E-3</v>
      </c>
      <c r="R61" s="390">
        <f t="shared" si="5"/>
        <v>7.4396123640925495E-3</v>
      </c>
      <c r="S61" s="390">
        <f t="shared" si="5"/>
        <v>1.113895269401737E-2</v>
      </c>
      <c r="T61" s="390">
        <f t="shared" si="6"/>
        <v>1.4824715869047298E-2</v>
      </c>
      <c r="U61" s="390">
        <f t="shared" si="7"/>
        <v>2.8932707495400996E-2</v>
      </c>
      <c r="V61" s="390">
        <f t="shared" si="8"/>
        <v>4.2545838802707868E-2</v>
      </c>
      <c r="W61" s="390">
        <f t="shared" si="9"/>
        <v>5.5776539766158317E-2</v>
      </c>
      <c r="X61" s="390">
        <f t="shared" si="10"/>
        <v>6.8731341700694532E-2</v>
      </c>
      <c r="Y61" s="390">
        <f t="shared" si="11"/>
        <v>1.4824715869047298E-2</v>
      </c>
      <c r="Z61" s="390">
        <f t="shared" si="12"/>
        <v>6.8731341700694532E-2</v>
      </c>
      <c r="AC61" s="273">
        <f>VLOOKUP($B61, 'Output Baseline'!$A:$CW,42,FALSE)</f>
        <v>8.8000000000000005E-3</v>
      </c>
      <c r="AD61" s="273">
        <f>VLOOKUP($B61, 'Output Baseline'!$A:$CW,43,FALSE)</f>
        <v>8.9999999999999993E-3</v>
      </c>
      <c r="AE61" s="273">
        <f>VLOOKUP($B61, 'Output Baseline'!$A:$CW,44,FALSE)</f>
        <v>9.1000000000000004E-3</v>
      </c>
      <c r="AF61" s="273">
        <f>VLOOKUP($B61, 'Output Baseline'!$A:$CW,45,FALSE)</f>
        <v>9.1999999999999998E-3</v>
      </c>
      <c r="AG61" s="273">
        <f>VLOOKUP($B61, 'Output Baseline'!$A:$CW,46,FALSE)</f>
        <v>9.1999999999999998E-3</v>
      </c>
      <c r="AH61" s="447">
        <f t="shared" si="13"/>
        <v>2.2072974949699509E-3</v>
      </c>
      <c r="AI61" s="447">
        <f t="shared" si="14"/>
        <v>4.4097228277085732E-3</v>
      </c>
      <c r="AJ61" s="447">
        <f t="shared" si="15"/>
        <v>6.6072867525274193E-3</v>
      </c>
      <c r="AK61" s="346"/>
      <c r="AL61" s="390">
        <f t="shared" si="16"/>
        <v>2.241271109684204E-3</v>
      </c>
      <c r="AM61" s="390">
        <f t="shared" si="16"/>
        <v>4.4775950672624248E-3</v>
      </c>
      <c r="AN61" s="390">
        <f t="shared" si="16"/>
        <v>6.7089827925711793E-3</v>
      </c>
      <c r="AO61" s="390">
        <f t="shared" si="17"/>
        <v>8.9354451813435775E-3</v>
      </c>
      <c r="AP61" s="390">
        <f t="shared" si="18"/>
        <v>1.7993549655631144E-2</v>
      </c>
      <c r="AQ61" s="390">
        <f t="shared" si="19"/>
        <v>2.7069870984472468E-2</v>
      </c>
      <c r="AR61" s="390">
        <f t="shared" si="20"/>
        <v>3.6162429951910893E-2</v>
      </c>
      <c r="AS61" s="390">
        <f t="shared" si="21"/>
        <v>4.5171337376848857E-2</v>
      </c>
      <c r="AT61" s="390">
        <f t="shared" si="22"/>
        <v>8.9354451813435775E-3</v>
      </c>
      <c r="AU61" s="390">
        <f t="shared" si="23"/>
        <v>4.5171337376848857E-2</v>
      </c>
      <c r="AX61" s="273">
        <f>VLOOKUP($B61, 'Output 90% Downside'!$A:$CW,42,FALSE)</f>
        <v>1.2200000000000001E-2</v>
      </c>
      <c r="AY61" s="273">
        <f>VLOOKUP($B61, 'Output 90% Downside'!$A:$CW,43,FALSE)</f>
        <v>1.2E-2</v>
      </c>
      <c r="AZ61" s="273">
        <f>VLOOKUP($B61, 'Output 90% Downside'!$A:$CW,44,FALSE)</f>
        <v>1.1900000000000001E-2</v>
      </c>
      <c r="BA61" s="273">
        <f>VLOOKUP($B61, 'Output 90% Downside'!$A:$CW,45,FALSE)</f>
        <v>1.18E-2</v>
      </c>
      <c r="BB61" s="273">
        <f>VLOOKUP($B61, 'Output 90% Downside'!$A:$CW,46,FALSE)</f>
        <v>1.17E-2</v>
      </c>
      <c r="BC61" s="447">
        <f t="shared" si="24"/>
        <v>3.0640538947969143E-3</v>
      </c>
      <c r="BD61" s="447">
        <f t="shared" si="25"/>
        <v>6.1187193633236436E-3</v>
      </c>
      <c r="BE61" s="447">
        <f t="shared" si="26"/>
        <v>9.1640251722241439E-3</v>
      </c>
      <c r="BF61" s="346"/>
      <c r="BG61" s="390">
        <f t="shared" si="27"/>
        <v>3.1112142738227394E-3</v>
      </c>
      <c r="BH61" s="390">
        <f t="shared" si="27"/>
        <v>6.2128956194322602E-3</v>
      </c>
      <c r="BI61" s="390">
        <f t="shared" si="27"/>
        <v>9.3050732462342575E-3</v>
      </c>
      <c r="BJ61" s="390">
        <f t="shared" si="28"/>
        <v>1.2387776274135414E-2</v>
      </c>
      <c r="BK61" s="390">
        <f t="shared" si="29"/>
        <v>2.442382093340522E-2</v>
      </c>
      <c r="BL61" s="390">
        <f t="shared" si="30"/>
        <v>3.6216336289069111E-2</v>
      </c>
      <c r="BM61" s="390">
        <f t="shared" si="31"/>
        <v>4.7770603195841595E-2</v>
      </c>
      <c r="BN61" s="390">
        <f t="shared" si="32"/>
        <v>5.9091767663645781E-2</v>
      </c>
      <c r="BO61" s="390">
        <f t="shared" si="33"/>
        <v>1.2387776274135414E-2</v>
      </c>
      <c r="BP61" s="390">
        <f t="shared" si="34"/>
        <v>5.9091767663645781E-2</v>
      </c>
      <c r="BQ61" s="347"/>
      <c r="BU61" s="390">
        <f>IFERROR(AL61*$BS$2+BG61*$BS$4+Q61*$BS$3,VLOOKUP(A61,'Updated Ncino PD'!A:K,4,FALSE))</f>
        <v>2.6200199049205746E-3</v>
      </c>
      <c r="BV61" s="390">
        <f>IFERROR(AM61*$BS$2+BH61*$BS$4+R61*$BS$3,VLOOKUP(A61,'Updated Ncino PD'!A:K,5,FALSE))</f>
        <v>5.2330511253633732E-3</v>
      </c>
      <c r="BW61" s="390">
        <f>IFERROR(AN61*$BS$2+BI61*$BS$4+S61*$BS$3,VLOOKUP(A61,'Updated Ncino PD'!A:K,6,FALSE))</f>
        <v>7.8391129464255652E-3</v>
      </c>
      <c r="BX61" s="390">
        <f>IFERROR(AO61*$BS$2+BJ61*$BS$4+T61*$BS$3,VLOOKUP(A61,'Updated Ncino PD'!A:K,7,FALSE))</f>
        <v>1.0438224598205906E-2</v>
      </c>
      <c r="BY61" s="390">
        <f>IFERROR(AP61*$BS$2+BK61*$BS$4+U61*$BS$3,VLOOKUP(A61,'Updated Ncino PD'!A:K,8,FALSE))</f>
        <v>2.0791102494840563E-2</v>
      </c>
      <c r="BZ61" s="390">
        <f>IFERROR(AQ61*$BS$2+BL61*$BS$4+V61*$BS$3,VLOOKUP(A61,'Updated Ncino PD'!A:K,9,FALSE))</f>
        <v>3.1044932231993061E-2</v>
      </c>
      <c r="CA61" s="390">
        <f>IFERROR(AR61*$BS$2+BM61*$BS$4+W61*$BS$3,VLOOKUP(A61,'Updated Ncino PD'!A:K,10,FALSE))</f>
        <v>4.1205996077999005E-2</v>
      </c>
      <c r="CB61" s="390">
        <f>IFERROR(AS61*$BS$2+BN61*$BS$4+X61*$BS$3,VLOOKUP(A61,'Updated Ncino PD'!A:K,11,FALSE))</f>
        <v>5.122148819342006E-2</v>
      </c>
      <c r="CC61" s="390">
        <f t="shared" si="37"/>
        <v>1.0438224598205906E-2</v>
      </c>
      <c r="CD61" s="390">
        <f t="shared" si="37"/>
        <v>5.122148819342006E-2</v>
      </c>
      <c r="CF61" s="450">
        <f t="shared" si="35"/>
        <v>1.0280000000000001E-2</v>
      </c>
      <c r="CG61" s="450">
        <f t="shared" si="35"/>
        <v>1.0304999999999998E-2</v>
      </c>
      <c r="CH61" s="450">
        <f t="shared" si="35"/>
        <v>1.0315000000000001E-2</v>
      </c>
      <c r="CI61" s="450">
        <f t="shared" si="35"/>
        <v>1.0329999999999999E-2</v>
      </c>
      <c r="CJ61" s="450">
        <f t="shared" si="35"/>
        <v>1.0290000000000001E-2</v>
      </c>
    </row>
    <row r="62" spans="1:88" s="355" customFormat="1" hidden="1" x14ac:dyDescent="0.25">
      <c r="A62" s="400">
        <v>1100000150</v>
      </c>
      <c r="B62" s="455" t="str">
        <f>VLOOKUP(A62,'Loan Book Summary'!C:G,5,FALSE)</f>
        <v>0014I00001xvXvo</v>
      </c>
      <c r="C62" s="167">
        <f>VLOOKUP(A62,'Ref-Data'!$A:$I,9,0)</f>
        <v>1</v>
      </c>
      <c r="D62" s="445">
        <f>VLOOKUP(A62,'Adjustment Factor'!A:C,3,0)</f>
        <v>1.0153914978799519</v>
      </c>
      <c r="E62" s="446">
        <f>VLOOKUP(A62,'Ref-Data'!A:C,2,FALSE)</f>
        <v>3300873.9</v>
      </c>
      <c r="F62" s="445">
        <f>VLOOKUP(A62,'Ref-Data'!$A:$F,6,FALSE)</f>
        <v>3.868583162217659</v>
      </c>
      <c r="G62" s="346"/>
      <c r="H62" s="273">
        <f>VLOOKUP($B62, 'Output 96% Downside'!$A:$CW,42,FALSE)</f>
        <v>1.46E-2</v>
      </c>
      <c r="I62" s="273">
        <f>VLOOKUP($B62, 'Output 96% Downside'!$A:$CW,43,FALSE)</f>
        <v>1.41E-2</v>
      </c>
      <c r="J62" s="273">
        <f>VLOOKUP($B62, 'Output 96% Downside'!$A:$CW,44,FALSE)</f>
        <v>1.38E-2</v>
      </c>
      <c r="K62" s="273">
        <f>VLOOKUP($B62, 'Output 96% Downside'!$A:$CW,45,FALSE)</f>
        <v>1.3599999999999999E-2</v>
      </c>
      <c r="L62" s="273">
        <f>VLOOKUP($B62, 'Output 96% Downside'!$A:$CW,46,FALSE)</f>
        <v>1.35E-2</v>
      </c>
      <c r="M62" s="447">
        <f t="shared" si="0"/>
        <v>3.6701556721941975E-3</v>
      </c>
      <c r="N62" s="447">
        <f t="shared" si="3"/>
        <v>7.3268413017302247E-3</v>
      </c>
      <c r="O62" s="447">
        <f t="shared" si="4"/>
        <v>1.0970106325761564E-2</v>
      </c>
      <c r="P62" s="346"/>
      <c r="Q62" s="390">
        <f t="shared" si="5"/>
        <v>3.7266448654418678E-3</v>
      </c>
      <c r="R62" s="390">
        <f t="shared" si="5"/>
        <v>7.4396123640925495E-3</v>
      </c>
      <c r="S62" s="390">
        <f t="shared" si="5"/>
        <v>1.113895269401737E-2</v>
      </c>
      <c r="T62" s="390">
        <f t="shared" si="6"/>
        <v>1.4824715869047298E-2</v>
      </c>
      <c r="U62" s="390">
        <f t="shared" si="7"/>
        <v>2.8932707495400996E-2</v>
      </c>
      <c r="V62" s="390">
        <f t="shared" si="8"/>
        <v>4.2545838802707868E-2</v>
      </c>
      <c r="W62" s="390">
        <f t="shared" si="9"/>
        <v>5.5776539766158317E-2</v>
      </c>
      <c r="X62" s="390">
        <f t="shared" si="10"/>
        <v>6.8731341700694532E-2</v>
      </c>
      <c r="Y62" s="390">
        <f t="shared" si="11"/>
        <v>1.4824715869047298E-2</v>
      </c>
      <c r="Z62" s="390">
        <f t="shared" si="12"/>
        <v>5.5776539766158317E-2</v>
      </c>
      <c r="AC62" s="273">
        <f>VLOOKUP($B62, 'Output Baseline'!$A:$CW,42,FALSE)</f>
        <v>8.8000000000000005E-3</v>
      </c>
      <c r="AD62" s="273">
        <f>VLOOKUP($B62, 'Output Baseline'!$A:$CW,43,FALSE)</f>
        <v>8.9999999999999993E-3</v>
      </c>
      <c r="AE62" s="273">
        <f>VLOOKUP($B62, 'Output Baseline'!$A:$CW,44,FALSE)</f>
        <v>9.1000000000000004E-3</v>
      </c>
      <c r="AF62" s="273">
        <f>VLOOKUP($B62, 'Output Baseline'!$A:$CW,45,FALSE)</f>
        <v>9.1999999999999998E-3</v>
      </c>
      <c r="AG62" s="273">
        <f>VLOOKUP($B62, 'Output Baseline'!$A:$CW,46,FALSE)</f>
        <v>9.1999999999999998E-3</v>
      </c>
      <c r="AH62" s="447">
        <f t="shared" si="13"/>
        <v>2.2072974949699509E-3</v>
      </c>
      <c r="AI62" s="447">
        <f t="shared" si="14"/>
        <v>4.4097228277085732E-3</v>
      </c>
      <c r="AJ62" s="447">
        <f t="shared" si="15"/>
        <v>6.6072867525274193E-3</v>
      </c>
      <c r="AK62" s="346"/>
      <c r="AL62" s="390">
        <f t="shared" si="16"/>
        <v>2.241271109684204E-3</v>
      </c>
      <c r="AM62" s="390">
        <f t="shared" si="16"/>
        <v>4.4775950672624248E-3</v>
      </c>
      <c r="AN62" s="390">
        <f t="shared" si="16"/>
        <v>6.7089827925711793E-3</v>
      </c>
      <c r="AO62" s="390">
        <f t="shared" si="17"/>
        <v>8.9354451813435775E-3</v>
      </c>
      <c r="AP62" s="390">
        <f t="shared" si="18"/>
        <v>1.7993549655631144E-2</v>
      </c>
      <c r="AQ62" s="390">
        <f t="shared" si="19"/>
        <v>2.7069870984472468E-2</v>
      </c>
      <c r="AR62" s="390">
        <f t="shared" si="20"/>
        <v>3.6162429951910893E-2</v>
      </c>
      <c r="AS62" s="390">
        <f t="shared" si="21"/>
        <v>4.5171337376848857E-2</v>
      </c>
      <c r="AT62" s="390">
        <f t="shared" si="22"/>
        <v>8.9354451813435775E-3</v>
      </c>
      <c r="AU62" s="390">
        <f t="shared" si="23"/>
        <v>3.6162429951910893E-2</v>
      </c>
      <c r="AX62" s="273">
        <f>VLOOKUP($B62, 'Output 90% Downside'!$A:$CW,42,FALSE)</f>
        <v>1.2200000000000001E-2</v>
      </c>
      <c r="AY62" s="273">
        <f>VLOOKUP($B62, 'Output 90% Downside'!$A:$CW,43,FALSE)</f>
        <v>1.2E-2</v>
      </c>
      <c r="AZ62" s="273">
        <f>VLOOKUP($B62, 'Output 90% Downside'!$A:$CW,44,FALSE)</f>
        <v>1.1900000000000001E-2</v>
      </c>
      <c r="BA62" s="273">
        <f>VLOOKUP($B62, 'Output 90% Downside'!$A:$CW,45,FALSE)</f>
        <v>1.18E-2</v>
      </c>
      <c r="BB62" s="273">
        <f>VLOOKUP($B62, 'Output 90% Downside'!$A:$CW,46,FALSE)</f>
        <v>1.17E-2</v>
      </c>
      <c r="BC62" s="447">
        <f t="shared" si="24"/>
        <v>3.0640538947969143E-3</v>
      </c>
      <c r="BD62" s="447">
        <f t="shared" si="25"/>
        <v>6.1187193633236436E-3</v>
      </c>
      <c r="BE62" s="447">
        <f t="shared" si="26"/>
        <v>9.1640251722241439E-3</v>
      </c>
      <c r="BF62" s="346"/>
      <c r="BG62" s="390">
        <f t="shared" si="27"/>
        <v>3.1112142738227394E-3</v>
      </c>
      <c r="BH62" s="390">
        <f t="shared" si="27"/>
        <v>6.2128956194322602E-3</v>
      </c>
      <c r="BI62" s="390">
        <f t="shared" si="27"/>
        <v>9.3050732462342575E-3</v>
      </c>
      <c r="BJ62" s="390">
        <f t="shared" si="28"/>
        <v>1.2387776274135414E-2</v>
      </c>
      <c r="BK62" s="390">
        <f t="shared" si="29"/>
        <v>2.442382093340522E-2</v>
      </c>
      <c r="BL62" s="390">
        <f t="shared" si="30"/>
        <v>3.6216336289069111E-2</v>
      </c>
      <c r="BM62" s="390">
        <f t="shared" si="31"/>
        <v>4.7770603195841595E-2</v>
      </c>
      <c r="BN62" s="390">
        <f t="shared" si="32"/>
        <v>5.9091767663645781E-2</v>
      </c>
      <c r="BO62" s="390">
        <f t="shared" si="33"/>
        <v>1.2387776274135414E-2</v>
      </c>
      <c r="BP62" s="390">
        <f t="shared" si="34"/>
        <v>4.7770603195841595E-2</v>
      </c>
      <c r="BQ62" s="347"/>
      <c r="BU62" s="390">
        <f>IFERROR(AL62*$BS$2+BG62*$BS$4+Q62*$BS$3,VLOOKUP(A62,'Updated Ncino PD'!A:K,4,FALSE))</f>
        <v>2.6200199049205746E-3</v>
      </c>
      <c r="BV62" s="390">
        <f>IFERROR(AM62*$BS$2+BH62*$BS$4+R62*$BS$3,VLOOKUP(A62,'Updated Ncino PD'!A:K,5,FALSE))</f>
        <v>5.2330511253633732E-3</v>
      </c>
      <c r="BW62" s="390">
        <f>IFERROR(AN62*$BS$2+BI62*$BS$4+S62*$BS$3,VLOOKUP(A62,'Updated Ncino PD'!A:K,6,FALSE))</f>
        <v>7.8391129464255652E-3</v>
      </c>
      <c r="BX62" s="390">
        <f>IFERROR(AO62*$BS$2+BJ62*$BS$4+T62*$BS$3,VLOOKUP(A62,'Updated Ncino PD'!A:K,7,FALSE))</f>
        <v>1.0438224598205906E-2</v>
      </c>
      <c r="BY62" s="390">
        <f>IFERROR(AP62*$BS$2+BK62*$BS$4+U62*$BS$3,VLOOKUP(A62,'Updated Ncino PD'!A:K,8,FALSE))</f>
        <v>2.0791102494840563E-2</v>
      </c>
      <c r="BZ62" s="390">
        <f>IFERROR(AQ62*$BS$2+BL62*$BS$4+V62*$BS$3,VLOOKUP(A62,'Updated Ncino PD'!A:K,9,FALSE))</f>
        <v>3.1044932231993061E-2</v>
      </c>
      <c r="CA62" s="390">
        <f>IFERROR(AR62*$BS$2+BM62*$BS$4+W62*$BS$3,VLOOKUP(A62,'Updated Ncino PD'!A:K,10,FALSE))</f>
        <v>4.1205996077999005E-2</v>
      </c>
      <c r="CB62" s="390">
        <f>IFERROR(AS62*$BS$2+BN62*$BS$4+X62*$BS$3,VLOOKUP(A62,'Updated Ncino PD'!A:K,11,FALSE))</f>
        <v>5.122148819342006E-2</v>
      </c>
      <c r="CC62" s="390">
        <f t="shared" si="37"/>
        <v>1.0438224598205906E-2</v>
      </c>
      <c r="CD62" s="390">
        <f t="shared" si="37"/>
        <v>4.1205996077999005E-2</v>
      </c>
      <c r="CF62" s="450">
        <f t="shared" si="35"/>
        <v>1.0280000000000001E-2</v>
      </c>
      <c r="CG62" s="450">
        <f t="shared" si="35"/>
        <v>1.0304999999999998E-2</v>
      </c>
      <c r="CH62" s="450">
        <f t="shared" si="35"/>
        <v>1.0315000000000001E-2</v>
      </c>
      <c r="CI62" s="450">
        <f t="shared" si="35"/>
        <v>1.0329999999999999E-2</v>
      </c>
      <c r="CJ62" s="450">
        <f t="shared" si="35"/>
        <v>1.0290000000000001E-2</v>
      </c>
    </row>
    <row r="63" spans="1:88" s="355" customFormat="1" hidden="1" x14ac:dyDescent="0.25">
      <c r="A63" s="400">
        <v>1200000118</v>
      </c>
      <c r="B63" s="455" t="str">
        <f>VLOOKUP(A63,'Loan Book Summary'!C:G,5,FALSE)</f>
        <v>0014I000027uYyB</v>
      </c>
      <c r="C63" s="167">
        <f>VLOOKUP(A63,'Ref-Data'!$A:$I,9,0)</f>
        <v>1</v>
      </c>
      <c r="D63" s="445">
        <f>VLOOKUP(A63,'Adjustment Factor'!A:C,3,0)</f>
        <v>1.174146672397123</v>
      </c>
      <c r="E63" s="446">
        <f>VLOOKUP(A63,'Ref-Data'!A:C,2,FALSE)</f>
        <v>5000000</v>
      </c>
      <c r="F63" s="445">
        <f>VLOOKUP(A63,'Ref-Data'!$A:$F,6,FALSE)</f>
        <v>3.9069130732375084</v>
      </c>
      <c r="G63" s="346"/>
      <c r="H63" s="273">
        <f>VLOOKUP($B63, 'Output 96% Downside'!$A:$CW,42,FALSE)</f>
        <v>2.2700000000000001E-2</v>
      </c>
      <c r="I63" s="273">
        <f>VLOOKUP($B63, 'Output 96% Downside'!$A:$CW,43,FALSE)</f>
        <v>2.18E-2</v>
      </c>
      <c r="J63" s="273">
        <f>VLOOKUP($B63, 'Output 96% Downside'!$A:$CW,44,FALSE)</f>
        <v>2.1299999999999999E-2</v>
      </c>
      <c r="K63" s="273">
        <f>VLOOKUP($B63, 'Output 96% Downside'!$A:$CW,45,FALSE)</f>
        <v>2.1000000000000001E-2</v>
      </c>
      <c r="L63" s="273">
        <f>VLOOKUP($B63, 'Output 96% Downside'!$A:$CW,46,FALSE)</f>
        <v>2.07E-2</v>
      </c>
      <c r="M63" s="447">
        <f t="shared" si="0"/>
        <v>5.7239582778727538E-3</v>
      </c>
      <c r="N63" s="447">
        <f t="shared" si="3"/>
        <v>1.1415152857378708E-2</v>
      </c>
      <c r="O63" s="447">
        <f t="shared" si="4"/>
        <v>1.707377127656029E-2</v>
      </c>
      <c r="P63" s="346"/>
      <c r="Q63" s="390">
        <f t="shared" si="5"/>
        <v>6.7207665649042609E-3</v>
      </c>
      <c r="R63" s="390">
        <f t="shared" si="5"/>
        <v>1.3403063742395719E-2</v>
      </c>
      <c r="S63" s="390">
        <f t="shared" si="5"/>
        <v>2.0047111729642842E-2</v>
      </c>
      <c r="T63" s="390">
        <f t="shared" si="6"/>
        <v>2.6653129463414693E-2</v>
      </c>
      <c r="U63" s="390">
        <f t="shared" si="7"/>
        <v>5.1668488699369665E-2</v>
      </c>
      <c r="V63" s="390">
        <f t="shared" si="8"/>
        <v>7.5577274012131795E-2</v>
      </c>
      <c r="W63" s="390">
        <f t="shared" si="9"/>
        <v>9.8647231378216571E-2</v>
      </c>
      <c r="X63" s="390">
        <f t="shared" si="10"/>
        <v>0.12091006980730797</v>
      </c>
      <c r="Y63" s="390">
        <f t="shared" si="11"/>
        <v>2.6653129463414693E-2</v>
      </c>
      <c r="Z63" s="390">
        <f t="shared" si="12"/>
        <v>9.8647231378216571E-2</v>
      </c>
      <c r="AC63" s="273">
        <f>VLOOKUP($B63, 'Output Baseline'!$A:$CW,42,FALSE)</f>
        <v>1.34E-2</v>
      </c>
      <c r="AD63" s="273">
        <f>VLOOKUP($B63, 'Output Baseline'!$A:$CW,43,FALSE)</f>
        <v>1.38E-2</v>
      </c>
      <c r="AE63" s="273">
        <f>VLOOKUP($B63, 'Output Baseline'!$A:$CW,44,FALSE)</f>
        <v>1.41E-2</v>
      </c>
      <c r="AF63" s="273">
        <f>VLOOKUP($B63, 'Output Baseline'!$A:$CW,45,FALSE)</f>
        <v>1.43E-2</v>
      </c>
      <c r="AG63" s="273">
        <f>VLOOKUP($B63, 'Output Baseline'!$A:$CW,46,FALSE)</f>
        <v>1.44E-2</v>
      </c>
      <c r="AH63" s="447">
        <f t="shared" si="13"/>
        <v>3.3669665583417885E-3</v>
      </c>
      <c r="AI63" s="447">
        <f t="shared" si="14"/>
        <v>6.7225966528785541E-3</v>
      </c>
      <c r="AJ63" s="447">
        <f t="shared" si="15"/>
        <v>1.0066928453104862E-2</v>
      </c>
      <c r="AK63" s="346"/>
      <c r="AL63" s="390">
        <f t="shared" si="16"/>
        <v>3.953312580549405E-3</v>
      </c>
      <c r="AM63" s="390">
        <f t="shared" si="16"/>
        <v>7.8933144898453919E-3</v>
      </c>
      <c r="AN63" s="390">
        <f t="shared" si="16"/>
        <v>1.1820050544472991E-2</v>
      </c>
      <c r="AO63" s="390">
        <f t="shared" si="17"/>
        <v>1.5733565410121449E-2</v>
      </c>
      <c r="AP63" s="390">
        <f t="shared" si="18"/>
        <v>3.1719666286542034E-2</v>
      </c>
      <c r="AQ63" s="390">
        <f t="shared" si="19"/>
        <v>4.7827887072701233E-2</v>
      </c>
      <c r="AR63" s="390">
        <f t="shared" si="20"/>
        <v>6.3934245702840398E-2</v>
      </c>
      <c r="AS63" s="390">
        <f t="shared" si="21"/>
        <v>7.9921304647238081E-2</v>
      </c>
      <c r="AT63" s="390">
        <f t="shared" si="22"/>
        <v>1.5733565410121449E-2</v>
      </c>
      <c r="AU63" s="390">
        <f t="shared" si="23"/>
        <v>6.3934245702840398E-2</v>
      </c>
      <c r="AX63" s="273">
        <f>VLOOKUP($B63, 'Output 90% Downside'!$A:$CW,42,FALSE)</f>
        <v>1.8599999999999998E-2</v>
      </c>
      <c r="AY63" s="273">
        <f>VLOOKUP($B63, 'Output 90% Downside'!$A:$CW,43,FALSE)</f>
        <v>1.8499999999999999E-2</v>
      </c>
      <c r="AZ63" s="273">
        <f>VLOOKUP($B63, 'Output 90% Downside'!$A:$CW,44,FALSE)</f>
        <v>1.8499999999999999E-2</v>
      </c>
      <c r="BA63" s="273">
        <f>VLOOKUP($B63, 'Output 90% Downside'!$A:$CW,45,FALSE)</f>
        <v>1.84E-2</v>
      </c>
      <c r="BB63" s="273">
        <f>VLOOKUP($B63, 'Output 90% Downside'!$A:$CW,46,FALSE)</f>
        <v>1.84E-2</v>
      </c>
      <c r="BC63" s="447">
        <f t="shared" si="24"/>
        <v>4.6827902199015892E-3</v>
      </c>
      <c r="BD63" s="447">
        <f t="shared" si="25"/>
        <v>9.3436519155595255E-3</v>
      </c>
      <c r="BE63" s="447">
        <f t="shared" si="26"/>
        <v>1.3982687773652747E-2</v>
      </c>
      <c r="BF63" s="346"/>
      <c r="BG63" s="390">
        <f t="shared" si="27"/>
        <v>5.4982825542312427E-3</v>
      </c>
      <c r="BH63" s="390">
        <f t="shared" si="27"/>
        <v>1.0970817804691221E-2</v>
      </c>
      <c r="BI63" s="390">
        <f t="shared" si="27"/>
        <v>1.6417726320602309E-2</v>
      </c>
      <c r="BJ63" s="390">
        <f t="shared" si="28"/>
        <v>2.1839128106586485E-2</v>
      </c>
      <c r="BK63" s="390">
        <f t="shared" si="29"/>
        <v>4.3156817675961356E-2</v>
      </c>
      <c r="BL63" s="390">
        <f t="shared" si="30"/>
        <v>6.4080129988302759E-2</v>
      </c>
      <c r="BM63" s="390">
        <f t="shared" si="31"/>
        <v>8.4505354368625024E-2</v>
      </c>
      <c r="BN63" s="390">
        <f t="shared" si="32"/>
        <v>0.10455475462034935</v>
      </c>
      <c r="BO63" s="390">
        <f t="shared" si="33"/>
        <v>2.1839128106586485E-2</v>
      </c>
      <c r="BP63" s="390">
        <f t="shared" si="34"/>
        <v>8.4505354368625024E-2</v>
      </c>
      <c r="BQ63" s="347"/>
      <c r="BU63" s="390">
        <f>IFERROR(AL63*$BS$2+BG63*$BS$4+Q63*$BS$3,VLOOKUP(A63,'Updated Ncino PD'!A:K,4,FALSE))</f>
        <v>4.6324247705557915E-3</v>
      </c>
      <c r="BV63" s="390">
        <f>IFERROR(AM63*$BS$2+BH63*$BS$4+R63*$BS$3,VLOOKUP(A63,'Updated Ncino PD'!A:K,5,FALSE))</f>
        <v>9.2459281126689476E-3</v>
      </c>
      <c r="BW63" s="390">
        <f>IFERROR(AN63*$BS$2+BI63*$BS$4+S63*$BS$3,VLOOKUP(A63,'Updated Ncino PD'!A:K,6,FALSE))</f>
        <v>1.3840590125376745E-2</v>
      </c>
      <c r="BX63" s="390">
        <f>IFERROR(AO63*$BS$2+BJ63*$BS$4+T63*$BS$3,VLOOKUP(A63,'Updated Ncino PD'!A:K,7,FALSE))</f>
        <v>1.841649055654887E-2</v>
      </c>
      <c r="BY63" s="390">
        <f>IFERROR(AP63*$BS$2+BK63*$BS$4+U63*$BS$3,VLOOKUP(A63,'Updated Ncino PD'!A:K,8,FALSE))</f>
        <v>3.6720110393480179E-2</v>
      </c>
      <c r="BZ63" s="390">
        <f>IFERROR(AQ63*$BS$2+BL63*$BS$4+V63*$BS$3,VLOOKUP(A63,'Updated Ncino PD'!A:K,9,FALSE))</f>
        <v>5.4903641440133287E-2</v>
      </c>
      <c r="CA63" s="390">
        <f>IFERROR(AR63*$BS$2+BM63*$BS$4+W63*$BS$3,VLOOKUP(A63,'Updated Ncino PD'!A:K,10,FALSE))</f>
        <v>7.2869783019633816E-2</v>
      </c>
      <c r="CB63" s="390">
        <f>IFERROR(AS63*$BS$2+BN63*$BS$4+X63*$BS$3,VLOOKUP(A63,'Updated Ncino PD'!A:K,11,FALSE))</f>
        <v>9.0592450395830512E-2</v>
      </c>
      <c r="CC63" s="390">
        <f t="shared" si="37"/>
        <v>1.841649055654887E-2</v>
      </c>
      <c r="CD63" s="390">
        <f t="shared" si="37"/>
        <v>7.2869783019633816E-2</v>
      </c>
      <c r="CF63" s="450">
        <f t="shared" si="35"/>
        <v>1.5685000000000001E-2</v>
      </c>
      <c r="CG63" s="450">
        <f t="shared" si="35"/>
        <v>1.5844999999999998E-2</v>
      </c>
      <c r="CH63" s="450">
        <f t="shared" si="35"/>
        <v>1.5999999999999997E-2</v>
      </c>
      <c r="CI63" s="450">
        <f t="shared" si="35"/>
        <v>1.6070000000000001E-2</v>
      </c>
      <c r="CJ63" s="450">
        <f t="shared" si="35"/>
        <v>1.6114999999999997E-2</v>
      </c>
    </row>
    <row r="64" spans="1:88" s="355" customFormat="1" hidden="1" x14ac:dyDescent="0.25">
      <c r="A64" s="400">
        <v>1100000157</v>
      </c>
      <c r="B64" s="455" t="str">
        <f>VLOOKUP(A64,'Loan Book Summary'!C:G,5,FALSE)</f>
        <v>0014I000027uYyB</v>
      </c>
      <c r="C64" s="167">
        <f>VLOOKUP(A64,'Ref-Data'!$A:$I,9,0)</f>
        <v>1</v>
      </c>
      <c r="D64" s="445">
        <f>VLOOKUP(A64,'Adjustment Factor'!A:C,3,0)</f>
        <v>1.174146672397123</v>
      </c>
      <c r="E64" s="446">
        <f>VLOOKUP(A64,'Ref-Data'!A:C,2,FALSE)</f>
        <v>1500000</v>
      </c>
      <c r="F64" s="445">
        <f>VLOOKUP(A64,'Ref-Data'!$A:$F,6,FALSE)</f>
        <v>3.9069130732375084</v>
      </c>
      <c r="G64" s="346"/>
      <c r="H64" s="273">
        <f>VLOOKUP($B64, 'Output 96% Downside'!$A:$CW,42,FALSE)</f>
        <v>2.2700000000000001E-2</v>
      </c>
      <c r="I64" s="273">
        <f>VLOOKUP($B64, 'Output 96% Downside'!$A:$CW,43,FALSE)</f>
        <v>2.18E-2</v>
      </c>
      <c r="J64" s="273">
        <f>VLOOKUP($B64, 'Output 96% Downside'!$A:$CW,44,FALSE)</f>
        <v>2.1299999999999999E-2</v>
      </c>
      <c r="K64" s="273">
        <f>VLOOKUP($B64, 'Output 96% Downside'!$A:$CW,45,FALSE)</f>
        <v>2.1000000000000001E-2</v>
      </c>
      <c r="L64" s="273">
        <f>VLOOKUP($B64, 'Output 96% Downside'!$A:$CW,46,FALSE)</f>
        <v>2.07E-2</v>
      </c>
      <c r="M64" s="447">
        <f t="shared" si="0"/>
        <v>5.7239582778727538E-3</v>
      </c>
      <c r="N64" s="447">
        <f t="shared" si="3"/>
        <v>1.1415152857378708E-2</v>
      </c>
      <c r="O64" s="447">
        <f t="shared" si="4"/>
        <v>1.707377127656029E-2</v>
      </c>
      <c r="P64" s="346"/>
      <c r="Q64" s="390">
        <f t="shared" si="5"/>
        <v>6.7207665649042609E-3</v>
      </c>
      <c r="R64" s="390">
        <f t="shared" si="5"/>
        <v>1.3403063742395719E-2</v>
      </c>
      <c r="S64" s="390">
        <f t="shared" si="5"/>
        <v>2.0047111729642842E-2</v>
      </c>
      <c r="T64" s="390">
        <f t="shared" si="6"/>
        <v>2.6653129463414693E-2</v>
      </c>
      <c r="U64" s="390">
        <f t="shared" si="7"/>
        <v>5.1668488699369665E-2</v>
      </c>
      <c r="V64" s="390">
        <f t="shared" si="8"/>
        <v>7.5577274012131795E-2</v>
      </c>
      <c r="W64" s="390">
        <f t="shared" si="9"/>
        <v>9.8647231378216571E-2</v>
      </c>
      <c r="X64" s="390">
        <f t="shared" si="10"/>
        <v>0.12091006980730797</v>
      </c>
      <c r="Y64" s="390">
        <f t="shared" si="11"/>
        <v>2.6653129463414693E-2</v>
      </c>
      <c r="Z64" s="390">
        <f t="shared" si="12"/>
        <v>9.8647231378216571E-2</v>
      </c>
      <c r="AC64" s="273">
        <f>VLOOKUP($B64, 'Output Baseline'!$A:$CW,42,FALSE)</f>
        <v>1.34E-2</v>
      </c>
      <c r="AD64" s="273">
        <f>VLOOKUP($B64, 'Output Baseline'!$A:$CW,43,FALSE)</f>
        <v>1.38E-2</v>
      </c>
      <c r="AE64" s="273">
        <f>VLOOKUP($B64, 'Output Baseline'!$A:$CW,44,FALSE)</f>
        <v>1.41E-2</v>
      </c>
      <c r="AF64" s="273">
        <f>VLOOKUP($B64, 'Output Baseline'!$A:$CW,45,FALSE)</f>
        <v>1.43E-2</v>
      </c>
      <c r="AG64" s="273">
        <f>VLOOKUP($B64, 'Output Baseline'!$A:$CW,46,FALSE)</f>
        <v>1.44E-2</v>
      </c>
      <c r="AH64" s="447">
        <f t="shared" si="13"/>
        <v>3.3669665583417885E-3</v>
      </c>
      <c r="AI64" s="447">
        <f t="shared" si="14"/>
        <v>6.7225966528785541E-3</v>
      </c>
      <c r="AJ64" s="447">
        <f t="shared" si="15"/>
        <v>1.0066928453104862E-2</v>
      </c>
      <c r="AK64" s="346"/>
      <c r="AL64" s="390">
        <f t="shared" si="16"/>
        <v>3.953312580549405E-3</v>
      </c>
      <c r="AM64" s="390">
        <f t="shared" si="16"/>
        <v>7.8933144898453919E-3</v>
      </c>
      <c r="AN64" s="390">
        <f t="shared" si="16"/>
        <v>1.1820050544472991E-2</v>
      </c>
      <c r="AO64" s="390">
        <f t="shared" si="17"/>
        <v>1.5733565410121449E-2</v>
      </c>
      <c r="AP64" s="390">
        <f t="shared" si="18"/>
        <v>3.1719666286542034E-2</v>
      </c>
      <c r="AQ64" s="390">
        <f t="shared" si="19"/>
        <v>4.7827887072701233E-2</v>
      </c>
      <c r="AR64" s="390">
        <f t="shared" si="20"/>
        <v>6.3934245702840398E-2</v>
      </c>
      <c r="AS64" s="390">
        <f t="shared" si="21"/>
        <v>7.9921304647238081E-2</v>
      </c>
      <c r="AT64" s="390">
        <f t="shared" si="22"/>
        <v>1.5733565410121449E-2</v>
      </c>
      <c r="AU64" s="390">
        <f t="shared" si="23"/>
        <v>6.3934245702840398E-2</v>
      </c>
      <c r="AX64" s="273">
        <f>VLOOKUP($B64, 'Output 90% Downside'!$A:$CW,42,FALSE)</f>
        <v>1.8599999999999998E-2</v>
      </c>
      <c r="AY64" s="273">
        <f>VLOOKUP($B64, 'Output 90% Downside'!$A:$CW,43,FALSE)</f>
        <v>1.8499999999999999E-2</v>
      </c>
      <c r="AZ64" s="273">
        <f>VLOOKUP($B64, 'Output 90% Downside'!$A:$CW,44,FALSE)</f>
        <v>1.8499999999999999E-2</v>
      </c>
      <c r="BA64" s="273">
        <f>VLOOKUP($B64, 'Output 90% Downside'!$A:$CW,45,FALSE)</f>
        <v>1.84E-2</v>
      </c>
      <c r="BB64" s="273">
        <f>VLOOKUP($B64, 'Output 90% Downside'!$A:$CW,46,FALSE)</f>
        <v>1.84E-2</v>
      </c>
      <c r="BC64" s="447">
        <f t="shared" si="24"/>
        <v>4.6827902199015892E-3</v>
      </c>
      <c r="BD64" s="447">
        <f t="shared" si="25"/>
        <v>9.3436519155595255E-3</v>
      </c>
      <c r="BE64" s="447">
        <f t="shared" si="26"/>
        <v>1.3982687773652747E-2</v>
      </c>
      <c r="BF64" s="346"/>
      <c r="BG64" s="390">
        <f t="shared" si="27"/>
        <v>5.4982825542312427E-3</v>
      </c>
      <c r="BH64" s="390">
        <f t="shared" si="27"/>
        <v>1.0970817804691221E-2</v>
      </c>
      <c r="BI64" s="390">
        <f t="shared" si="27"/>
        <v>1.6417726320602309E-2</v>
      </c>
      <c r="BJ64" s="390">
        <f t="shared" si="28"/>
        <v>2.1839128106586485E-2</v>
      </c>
      <c r="BK64" s="390">
        <f t="shared" si="29"/>
        <v>4.3156817675961356E-2</v>
      </c>
      <c r="BL64" s="390">
        <f t="shared" si="30"/>
        <v>6.4080129988302759E-2</v>
      </c>
      <c r="BM64" s="390">
        <f t="shared" si="31"/>
        <v>8.4505354368625024E-2</v>
      </c>
      <c r="BN64" s="390">
        <f t="shared" si="32"/>
        <v>0.10455475462034935</v>
      </c>
      <c r="BO64" s="390">
        <f t="shared" si="33"/>
        <v>2.1839128106586485E-2</v>
      </c>
      <c r="BP64" s="390">
        <f t="shared" si="34"/>
        <v>8.4505354368625024E-2</v>
      </c>
      <c r="BQ64" s="347"/>
      <c r="BU64" s="390">
        <f>IFERROR(AL64*$BS$2+BG64*$BS$4+Q64*$BS$3,VLOOKUP(A64,'Updated Ncino PD'!A:K,4,FALSE))</f>
        <v>4.6324247705557915E-3</v>
      </c>
      <c r="BV64" s="390">
        <f>IFERROR(AM64*$BS$2+BH64*$BS$4+R64*$BS$3,VLOOKUP(A64,'Updated Ncino PD'!A:K,5,FALSE))</f>
        <v>9.2459281126689476E-3</v>
      </c>
      <c r="BW64" s="390">
        <f>IFERROR(AN64*$BS$2+BI64*$BS$4+S64*$BS$3,VLOOKUP(A64,'Updated Ncino PD'!A:K,6,FALSE))</f>
        <v>1.3840590125376745E-2</v>
      </c>
      <c r="BX64" s="390">
        <f>IFERROR(AO64*$BS$2+BJ64*$BS$4+T64*$BS$3,VLOOKUP(A64,'Updated Ncino PD'!A:K,7,FALSE))</f>
        <v>1.841649055654887E-2</v>
      </c>
      <c r="BY64" s="390">
        <f>IFERROR(AP64*$BS$2+BK64*$BS$4+U64*$BS$3,VLOOKUP(A64,'Updated Ncino PD'!A:K,8,FALSE))</f>
        <v>3.6720110393480179E-2</v>
      </c>
      <c r="BZ64" s="390">
        <f>IFERROR(AQ64*$BS$2+BL64*$BS$4+V64*$BS$3,VLOOKUP(A64,'Updated Ncino PD'!A:K,9,FALSE))</f>
        <v>5.4903641440133287E-2</v>
      </c>
      <c r="CA64" s="390">
        <f>IFERROR(AR64*$BS$2+BM64*$BS$4+W64*$BS$3,VLOOKUP(A64,'Updated Ncino PD'!A:K,10,FALSE))</f>
        <v>7.2869783019633816E-2</v>
      </c>
      <c r="CB64" s="390">
        <f>IFERROR(AS64*$BS$2+BN64*$BS$4+X64*$BS$3,VLOOKUP(A64,'Updated Ncino PD'!A:K,11,FALSE))</f>
        <v>9.0592450395830512E-2</v>
      </c>
      <c r="CC64" s="390">
        <f t="shared" si="37"/>
        <v>1.841649055654887E-2</v>
      </c>
      <c r="CD64" s="390">
        <f t="shared" si="37"/>
        <v>7.2869783019633816E-2</v>
      </c>
      <c r="CF64" s="450">
        <f t="shared" si="35"/>
        <v>1.5685000000000001E-2</v>
      </c>
      <c r="CG64" s="450">
        <f t="shared" si="35"/>
        <v>1.5844999999999998E-2</v>
      </c>
      <c r="CH64" s="450">
        <f t="shared" si="35"/>
        <v>1.5999999999999997E-2</v>
      </c>
      <c r="CI64" s="450">
        <f t="shared" si="35"/>
        <v>1.6070000000000001E-2</v>
      </c>
      <c r="CJ64" s="450">
        <f t="shared" si="35"/>
        <v>1.6114999999999997E-2</v>
      </c>
    </row>
    <row r="65" spans="1:88" s="355" customFormat="1" hidden="1" x14ac:dyDescent="0.25">
      <c r="A65" s="400">
        <v>1200000119</v>
      </c>
      <c r="B65" s="455" t="str">
        <f>VLOOKUP(A65,'Loan Book Summary'!C:G,5,FALSE)</f>
        <v>0014I00001jTjtP</v>
      </c>
      <c r="C65" s="167">
        <f>VLOOKUP(A65,'Ref-Data'!$A:$I,9,0)</f>
        <v>1</v>
      </c>
      <c r="D65" s="445">
        <f>VLOOKUP(A65,'Adjustment Factor'!A:C,3,0)</f>
        <v>1.1951755713707852</v>
      </c>
      <c r="E65" s="446">
        <f>VLOOKUP(A65,'Ref-Data'!A:C,2,FALSE)</f>
        <v>3260403</v>
      </c>
      <c r="F65" s="445">
        <f>VLOOKUP(A65,'Ref-Data'!$A:$F,6,FALSE)</f>
        <v>4.8952772073921968</v>
      </c>
      <c r="G65" s="346"/>
      <c r="H65" s="273">
        <f>VLOOKUP($B65, 'Output 96% Downside'!$A:$CW,42,FALSE)</f>
        <v>1.1599999999999999E-2</v>
      </c>
      <c r="I65" s="273">
        <f>VLOOKUP($B65, 'Output 96% Downside'!$A:$CW,43,FALSE)</f>
        <v>1.04E-2</v>
      </c>
      <c r="J65" s="273">
        <f>VLOOKUP($B65, 'Output 96% Downside'!$A:$CW,44,FALSE)</f>
        <v>9.7000000000000003E-3</v>
      </c>
      <c r="K65" s="273">
        <f>VLOOKUP($B65, 'Output 96% Downside'!$A:$CW,45,FALSE)</f>
        <v>9.2999999999999992E-3</v>
      </c>
      <c r="L65" s="273">
        <f>VLOOKUP($B65, 'Output 96% Downside'!$A:$CW,46,FALSE)</f>
        <v>8.8999999999999999E-3</v>
      </c>
      <c r="M65" s="447">
        <f t="shared" si="0"/>
        <v>2.9127010482354887E-3</v>
      </c>
      <c r="N65" s="447">
        <f t="shared" si="3"/>
        <v>5.8169182690746002E-3</v>
      </c>
      <c r="O65" s="447">
        <f t="shared" si="4"/>
        <v>8.7126763733702539E-3</v>
      </c>
      <c r="P65" s="346"/>
      <c r="Q65" s="390">
        <f t="shared" si="5"/>
        <v>3.4811891395571354E-3</v>
      </c>
      <c r="R65" s="390">
        <f t="shared" si="5"/>
        <v>6.9522386158583941E-3</v>
      </c>
      <c r="S65" s="390">
        <f t="shared" si="5"/>
        <v>1.0413177962711535E-2</v>
      </c>
      <c r="T65" s="390">
        <f t="shared" si="6"/>
        <v>1.3864036627901108E-2</v>
      </c>
      <c r="U65" s="390">
        <f t="shared" si="7"/>
        <v>2.6149676589227122E-2</v>
      </c>
      <c r="V65" s="390">
        <f t="shared" si="8"/>
        <v>3.7489227768608316E-2</v>
      </c>
      <c r="W65" s="390">
        <f t="shared" si="9"/>
        <v>4.8255710764108478E-2</v>
      </c>
      <c r="X65" s="390">
        <f t="shared" si="10"/>
        <v>5.8463297523507977E-2</v>
      </c>
      <c r="Y65" s="390">
        <f t="shared" si="11"/>
        <v>1.3864036627901108E-2</v>
      </c>
      <c r="Z65" s="390">
        <f t="shared" si="12"/>
        <v>5.8463297523507977E-2</v>
      </c>
      <c r="AC65" s="273">
        <f>VLOOKUP($B65, 'Output Baseline'!$A:$CW,42,FALSE)</f>
        <v>5.8999999999999999E-3</v>
      </c>
      <c r="AD65" s="273">
        <f>VLOOKUP($B65, 'Output Baseline'!$A:$CW,43,FALSE)</f>
        <v>5.7999999999999996E-3</v>
      </c>
      <c r="AE65" s="273">
        <f>VLOOKUP($B65, 'Output Baseline'!$A:$CW,44,FALSE)</f>
        <v>5.7000000000000002E-3</v>
      </c>
      <c r="AF65" s="273">
        <f>VLOOKUP($B65, 'Output Baseline'!$A:$CW,45,FALSE)</f>
        <v>5.5999999999999999E-3</v>
      </c>
      <c r="AG65" s="273">
        <f>VLOOKUP($B65, 'Output Baseline'!$A:$CW,46,FALSE)</f>
        <v>5.4999999999999997E-3</v>
      </c>
      <c r="AH65" s="447">
        <f t="shared" si="13"/>
        <v>1.4782747149250097E-3</v>
      </c>
      <c r="AI65" s="447">
        <f t="shared" si="14"/>
        <v>2.9543641337171911E-3</v>
      </c>
      <c r="AJ65" s="447">
        <f t="shared" si="15"/>
        <v>4.4282714868446593E-3</v>
      </c>
      <c r="AK65" s="346"/>
      <c r="AL65" s="390">
        <f t="shared" si="16"/>
        <v>1.7667978270534831E-3</v>
      </c>
      <c r="AM65" s="390">
        <f t="shared" si="16"/>
        <v>3.5309838415527989E-3</v>
      </c>
      <c r="AN65" s="390">
        <f t="shared" si="16"/>
        <v>5.2925619044745225E-3</v>
      </c>
      <c r="AO65" s="390">
        <f t="shared" si="17"/>
        <v>7.0515358710876328E-3</v>
      </c>
      <c r="AP65" s="390">
        <f t="shared" si="18"/>
        <v>1.3942655276985962E-2</v>
      </c>
      <c r="AQ65" s="390">
        <f t="shared" si="19"/>
        <v>2.0675682898720696E-2</v>
      </c>
      <c r="AR65" s="390">
        <f t="shared" si="20"/>
        <v>2.7252882274164354E-2</v>
      </c>
      <c r="AS65" s="390">
        <f t="shared" si="21"/>
        <v>3.367645706419576E-2</v>
      </c>
      <c r="AT65" s="390">
        <f t="shared" si="22"/>
        <v>7.0515358710876328E-3</v>
      </c>
      <c r="AU65" s="390">
        <f t="shared" si="23"/>
        <v>3.367645706419576E-2</v>
      </c>
      <c r="AX65" s="273">
        <f>VLOOKUP($B65, 'Output 90% Downside'!$A:$CW,42,FALSE)</f>
        <v>9.7999999999999997E-3</v>
      </c>
      <c r="AY65" s="273">
        <f>VLOOKUP($B65, 'Output 90% Downside'!$A:$CW,43,FALSE)</f>
        <v>8.8999999999999999E-3</v>
      </c>
      <c r="AZ65" s="273">
        <f>VLOOKUP($B65, 'Output 90% Downside'!$A:$CW,44,FALSE)</f>
        <v>8.3999999999999995E-3</v>
      </c>
      <c r="BA65" s="273">
        <f>VLOOKUP($B65, 'Output 90% Downside'!$A:$CW,45,FALSE)</f>
        <v>8.0999999999999996E-3</v>
      </c>
      <c r="BB65" s="273">
        <f>VLOOKUP($B65, 'Output 90% Downside'!$A:$CW,46,FALSE)</f>
        <v>7.7999999999999996E-3</v>
      </c>
      <c r="BC65" s="447">
        <f t="shared" si="24"/>
        <v>2.4590555707951767E-3</v>
      </c>
      <c r="BD65" s="447">
        <f t="shared" si="25"/>
        <v>4.9120641872900661E-3</v>
      </c>
      <c r="BE65" s="447">
        <f t="shared" si="26"/>
        <v>7.3590407192813956E-3</v>
      </c>
      <c r="BF65" s="346"/>
      <c r="BG65" s="390">
        <f t="shared" si="27"/>
        <v>2.9390031468576375E-3</v>
      </c>
      <c r="BH65" s="390">
        <f t="shared" si="27"/>
        <v>5.8707791216543763E-3</v>
      </c>
      <c r="BI65" s="390">
        <f t="shared" si="27"/>
        <v>8.7953456964080159E-3</v>
      </c>
      <c r="BJ65" s="390">
        <f t="shared" si="28"/>
        <v>1.1712720599433695E-2</v>
      </c>
      <c r="BK65" s="390">
        <f t="shared" si="29"/>
        <v>2.2245539971298717E-2</v>
      </c>
      <c r="BL65" s="390">
        <f t="shared" si="30"/>
        <v>3.2098152235054377E-2</v>
      </c>
      <c r="BM65" s="390">
        <f t="shared" si="31"/>
        <v>4.1519079330053756E-2</v>
      </c>
      <c r="BN65" s="390">
        <f t="shared" si="32"/>
        <v>5.0517599967971512E-2</v>
      </c>
      <c r="BO65" s="390">
        <f t="shared" si="33"/>
        <v>1.1712720599433695E-2</v>
      </c>
      <c r="BP65" s="390">
        <f t="shared" si="34"/>
        <v>5.0517599967971512E-2</v>
      </c>
      <c r="BQ65" s="347"/>
      <c r="BU65" s="390">
        <f>IFERROR(AL65*$BS$2+BG65*$BS$4+Q65*$BS$3,VLOOKUP(A65,'Updated Ncino PD'!A:K,4,FALSE))</f>
        <v>2.2627892546101197E-3</v>
      </c>
      <c r="BV65" s="390">
        <f>IFERROR(AM65*$BS$2+BH65*$BS$4+R65*$BS$3,VLOOKUP(A65,'Updated Ncino PD'!A:K,5,FALSE))</f>
        <v>4.5209749283036307E-3</v>
      </c>
      <c r="BW65" s="390">
        <f>IFERROR(AN65*$BS$2+BI65*$BS$4+S65*$BS$3,VLOOKUP(A65,'Updated Ncino PD'!A:K,6,FALSE))</f>
        <v>6.7745670345630959E-3</v>
      </c>
      <c r="BX65" s="390">
        <f>IFERROR(AO65*$BS$2+BJ65*$BS$4+T65*$BS$3,VLOOKUP(A65,'Updated Ncino PD'!A:K,7,FALSE))</f>
        <v>9.0235755638494296E-3</v>
      </c>
      <c r="BY65" s="390">
        <f>IFERROR(AP65*$BS$2+BK65*$BS$4+U65*$BS$3,VLOOKUP(A65,'Updated Ncino PD'!A:K,8,FALSE))</f>
        <v>1.7459015985607482E-2</v>
      </c>
      <c r="BZ65" s="390">
        <f>IFERROR(AQ65*$BS$2+BL65*$BS$4+V65*$BS$3,VLOOKUP(A65,'Updated Ncino PD'!A:K,9,FALSE))</f>
        <v>2.5514224409931865E-2</v>
      </c>
      <c r="CA65" s="390">
        <f>IFERROR(AR65*$BS$2+BM65*$BS$4+W65*$BS$3,VLOOKUP(A65,'Updated Ncino PD'!A:K,10,FALSE))</f>
        <v>3.3296192668222847E-2</v>
      </c>
      <c r="CB65" s="390">
        <f>IFERROR(AS65*$BS$2+BN65*$BS$4+X65*$BS$3,VLOOKUP(A65,'Updated Ncino PD'!A:K,11,FALSE))</f>
        <v>4.081019910348288E-2</v>
      </c>
      <c r="CC65" s="390">
        <f t="shared" si="37"/>
        <v>9.0235755638494296E-3</v>
      </c>
      <c r="CD65" s="390">
        <f t="shared" si="37"/>
        <v>4.081019910348288E-2</v>
      </c>
      <c r="CF65" s="450">
        <f t="shared" si="35"/>
        <v>7.5499999999999994E-3</v>
      </c>
      <c r="CG65" s="450">
        <f t="shared" si="35"/>
        <v>7.1149999999999989E-3</v>
      </c>
      <c r="CH65" s="450">
        <f t="shared" si="35"/>
        <v>6.8449999999999995E-3</v>
      </c>
      <c r="CI65" s="450">
        <f t="shared" si="35"/>
        <v>6.6599999999999993E-3</v>
      </c>
      <c r="CJ65" s="450">
        <f t="shared" si="35"/>
        <v>6.4749999999999999E-3</v>
      </c>
    </row>
    <row r="66" spans="1:88" s="355" customFormat="1" hidden="1" x14ac:dyDescent="0.25">
      <c r="A66" s="400">
        <v>1200000120</v>
      </c>
      <c r="B66" s="455" t="str">
        <f>VLOOKUP(A66,'Loan Book Summary'!C:G,5,FALSE)</f>
        <v>0014I00001jTjtP</v>
      </c>
      <c r="C66" s="167">
        <f>VLOOKUP(A66,'Ref-Data'!$A:$I,9,0)</f>
        <v>1</v>
      </c>
      <c r="D66" s="445">
        <f>VLOOKUP(A66,'Adjustment Factor'!A:C,3,0)</f>
        <v>1.1951755713707852</v>
      </c>
      <c r="E66" s="446">
        <f>VLOOKUP(A66,'Ref-Data'!A:C,2,FALSE)</f>
        <v>1739597</v>
      </c>
      <c r="F66" s="445">
        <f>VLOOKUP(A66,'Ref-Data'!$A:$F,6,FALSE)</f>
        <v>4.8952772073921968</v>
      </c>
      <c r="G66" s="346"/>
      <c r="H66" s="273">
        <f>VLOOKUP($B66, 'Output 96% Downside'!$A:$CW,42,FALSE)</f>
        <v>1.1599999999999999E-2</v>
      </c>
      <c r="I66" s="273">
        <f>VLOOKUP($B66, 'Output 96% Downside'!$A:$CW,43,FALSE)</f>
        <v>1.04E-2</v>
      </c>
      <c r="J66" s="273">
        <f>VLOOKUP($B66, 'Output 96% Downside'!$A:$CW,44,FALSE)</f>
        <v>9.7000000000000003E-3</v>
      </c>
      <c r="K66" s="273">
        <f>VLOOKUP($B66, 'Output 96% Downside'!$A:$CW,45,FALSE)</f>
        <v>9.2999999999999992E-3</v>
      </c>
      <c r="L66" s="273">
        <f>VLOOKUP($B66, 'Output 96% Downside'!$A:$CW,46,FALSE)</f>
        <v>8.8999999999999999E-3</v>
      </c>
      <c r="M66" s="447">
        <f t="shared" ref="M66:M71" si="38">1-(1-H66)^(1/4)</f>
        <v>2.9127010482354887E-3</v>
      </c>
      <c r="N66" s="447">
        <f t="shared" si="3"/>
        <v>5.8169182690746002E-3</v>
      </c>
      <c r="O66" s="447">
        <f t="shared" si="4"/>
        <v>8.7126763733702539E-3</v>
      </c>
      <c r="P66" s="346"/>
      <c r="Q66" s="390">
        <f t="shared" si="5"/>
        <v>3.4811891395571354E-3</v>
      </c>
      <c r="R66" s="390">
        <f t="shared" si="5"/>
        <v>6.9522386158583941E-3</v>
      </c>
      <c r="S66" s="390">
        <f t="shared" si="5"/>
        <v>1.0413177962711535E-2</v>
      </c>
      <c r="T66" s="390">
        <f t="shared" si="6"/>
        <v>1.3864036627901108E-2</v>
      </c>
      <c r="U66" s="390">
        <f t="shared" si="7"/>
        <v>2.6149676589227122E-2</v>
      </c>
      <c r="V66" s="390">
        <f t="shared" si="8"/>
        <v>3.7489227768608316E-2</v>
      </c>
      <c r="W66" s="390">
        <f t="shared" si="9"/>
        <v>4.8255710764108478E-2</v>
      </c>
      <c r="X66" s="390">
        <f t="shared" si="10"/>
        <v>5.8463297523507977E-2</v>
      </c>
      <c r="Y66" s="390">
        <f t="shared" si="11"/>
        <v>1.3864036627901108E-2</v>
      </c>
      <c r="Z66" s="390">
        <f t="shared" si="12"/>
        <v>5.8463297523507977E-2</v>
      </c>
      <c r="AC66" s="273">
        <f>VLOOKUP($B66, 'Output Baseline'!$A:$CW,42,FALSE)</f>
        <v>5.8999999999999999E-3</v>
      </c>
      <c r="AD66" s="273">
        <f>VLOOKUP($B66, 'Output Baseline'!$A:$CW,43,FALSE)</f>
        <v>5.7999999999999996E-3</v>
      </c>
      <c r="AE66" s="273">
        <f>VLOOKUP($B66, 'Output Baseline'!$A:$CW,44,FALSE)</f>
        <v>5.7000000000000002E-3</v>
      </c>
      <c r="AF66" s="273">
        <f>VLOOKUP($B66, 'Output Baseline'!$A:$CW,45,FALSE)</f>
        <v>5.5999999999999999E-3</v>
      </c>
      <c r="AG66" s="273">
        <f>VLOOKUP($B66, 'Output Baseline'!$A:$CW,46,FALSE)</f>
        <v>5.4999999999999997E-3</v>
      </c>
      <c r="AH66" s="447">
        <f t="shared" si="13"/>
        <v>1.4782747149250097E-3</v>
      </c>
      <c r="AI66" s="447">
        <f t="shared" si="14"/>
        <v>2.9543641337171911E-3</v>
      </c>
      <c r="AJ66" s="447">
        <f t="shared" si="15"/>
        <v>4.4282714868446593E-3</v>
      </c>
      <c r="AK66" s="346"/>
      <c r="AL66" s="390">
        <f t="shared" si="16"/>
        <v>1.7667978270534831E-3</v>
      </c>
      <c r="AM66" s="390">
        <f t="shared" si="16"/>
        <v>3.5309838415527989E-3</v>
      </c>
      <c r="AN66" s="390">
        <f t="shared" si="16"/>
        <v>5.2925619044745225E-3</v>
      </c>
      <c r="AO66" s="390">
        <f t="shared" si="17"/>
        <v>7.0515358710876328E-3</v>
      </c>
      <c r="AP66" s="390">
        <f t="shared" si="18"/>
        <v>1.3942655276985962E-2</v>
      </c>
      <c r="AQ66" s="390">
        <f t="shared" si="19"/>
        <v>2.0675682898720696E-2</v>
      </c>
      <c r="AR66" s="390">
        <f t="shared" si="20"/>
        <v>2.7252882274164354E-2</v>
      </c>
      <c r="AS66" s="390">
        <f t="shared" si="21"/>
        <v>3.367645706419576E-2</v>
      </c>
      <c r="AT66" s="390">
        <f t="shared" si="22"/>
        <v>7.0515358710876328E-3</v>
      </c>
      <c r="AU66" s="390">
        <f t="shared" si="23"/>
        <v>3.367645706419576E-2</v>
      </c>
      <c r="AX66" s="273">
        <f>VLOOKUP($B66, 'Output 90% Downside'!$A:$CW,42,FALSE)</f>
        <v>9.7999999999999997E-3</v>
      </c>
      <c r="AY66" s="273">
        <f>VLOOKUP($B66, 'Output 90% Downside'!$A:$CW,43,FALSE)</f>
        <v>8.8999999999999999E-3</v>
      </c>
      <c r="AZ66" s="273">
        <f>VLOOKUP($B66, 'Output 90% Downside'!$A:$CW,44,FALSE)</f>
        <v>8.3999999999999995E-3</v>
      </c>
      <c r="BA66" s="273">
        <f>VLOOKUP($B66, 'Output 90% Downside'!$A:$CW,45,FALSE)</f>
        <v>8.0999999999999996E-3</v>
      </c>
      <c r="BB66" s="273">
        <f>VLOOKUP($B66, 'Output 90% Downside'!$A:$CW,46,FALSE)</f>
        <v>7.7999999999999996E-3</v>
      </c>
      <c r="BC66" s="447">
        <f t="shared" si="24"/>
        <v>2.4590555707951767E-3</v>
      </c>
      <c r="BD66" s="447">
        <f t="shared" si="25"/>
        <v>4.9120641872900661E-3</v>
      </c>
      <c r="BE66" s="447">
        <f t="shared" si="26"/>
        <v>7.3590407192813956E-3</v>
      </c>
      <c r="BF66" s="346"/>
      <c r="BG66" s="390">
        <f t="shared" si="27"/>
        <v>2.9390031468576375E-3</v>
      </c>
      <c r="BH66" s="390">
        <f t="shared" si="27"/>
        <v>5.8707791216543763E-3</v>
      </c>
      <c r="BI66" s="390">
        <f t="shared" si="27"/>
        <v>8.7953456964080159E-3</v>
      </c>
      <c r="BJ66" s="390">
        <f t="shared" si="28"/>
        <v>1.1712720599433695E-2</v>
      </c>
      <c r="BK66" s="390">
        <f t="shared" si="29"/>
        <v>2.2245539971298717E-2</v>
      </c>
      <c r="BL66" s="390">
        <f t="shared" si="30"/>
        <v>3.2098152235054377E-2</v>
      </c>
      <c r="BM66" s="390">
        <f t="shared" si="31"/>
        <v>4.1519079330053756E-2</v>
      </c>
      <c r="BN66" s="390">
        <f t="shared" si="32"/>
        <v>5.0517599967971512E-2</v>
      </c>
      <c r="BO66" s="390">
        <f t="shared" si="33"/>
        <v>1.1712720599433695E-2</v>
      </c>
      <c r="BP66" s="390">
        <f t="shared" si="34"/>
        <v>5.0517599967971512E-2</v>
      </c>
      <c r="BQ66" s="347"/>
      <c r="BU66" s="390">
        <f>IFERROR(AL66*$BS$2+BG66*$BS$4+Q66*$BS$3,VLOOKUP(A66,'Updated Ncino PD'!A:K,4,FALSE))</f>
        <v>2.2627892546101197E-3</v>
      </c>
      <c r="BV66" s="390">
        <f>IFERROR(AM66*$BS$2+BH66*$BS$4+R66*$BS$3,VLOOKUP(A66,'Updated Ncino PD'!A:K,5,FALSE))</f>
        <v>4.5209749283036307E-3</v>
      </c>
      <c r="BW66" s="390">
        <f>IFERROR(AN66*$BS$2+BI66*$BS$4+S66*$BS$3,VLOOKUP(A66,'Updated Ncino PD'!A:K,6,FALSE))</f>
        <v>6.7745670345630959E-3</v>
      </c>
      <c r="BX66" s="390">
        <f>IFERROR(AO66*$BS$2+BJ66*$BS$4+T66*$BS$3,VLOOKUP(A66,'Updated Ncino PD'!A:K,7,FALSE))</f>
        <v>9.0235755638494296E-3</v>
      </c>
      <c r="BY66" s="390">
        <f>IFERROR(AP66*$BS$2+BK66*$BS$4+U66*$BS$3,VLOOKUP(A66,'Updated Ncino PD'!A:K,8,FALSE))</f>
        <v>1.7459015985607482E-2</v>
      </c>
      <c r="BZ66" s="390">
        <f>IFERROR(AQ66*$BS$2+BL66*$BS$4+V66*$BS$3,VLOOKUP(A66,'Updated Ncino PD'!A:K,9,FALSE))</f>
        <v>2.5514224409931865E-2</v>
      </c>
      <c r="CA66" s="390">
        <f>IFERROR(AR66*$BS$2+BM66*$BS$4+W66*$BS$3,VLOOKUP(A66,'Updated Ncino PD'!A:K,10,FALSE))</f>
        <v>3.3296192668222847E-2</v>
      </c>
      <c r="CB66" s="390">
        <f>IFERROR(AS66*$BS$2+BN66*$BS$4+X66*$BS$3,VLOOKUP(A66,'Updated Ncino PD'!A:K,11,FALSE))</f>
        <v>4.081019910348288E-2</v>
      </c>
      <c r="CC66" s="390">
        <f t="shared" si="37"/>
        <v>9.0235755638494296E-3</v>
      </c>
      <c r="CD66" s="390">
        <f t="shared" si="37"/>
        <v>4.081019910348288E-2</v>
      </c>
      <c r="CF66" s="450">
        <f t="shared" ref="CF66:CJ71" si="39">$BS$2*AC66+$BS$3*H66+$BS$4*AX66</f>
        <v>7.5499999999999994E-3</v>
      </c>
      <c r="CG66" s="450">
        <f t="shared" si="39"/>
        <v>7.1149999999999989E-3</v>
      </c>
      <c r="CH66" s="450">
        <f t="shared" si="39"/>
        <v>6.8449999999999995E-3</v>
      </c>
      <c r="CI66" s="450">
        <f t="shared" si="39"/>
        <v>6.6599999999999993E-3</v>
      </c>
      <c r="CJ66" s="450">
        <f t="shared" si="39"/>
        <v>6.4749999999999999E-3</v>
      </c>
    </row>
    <row r="67" spans="1:88" s="355" customFormat="1" hidden="1" x14ac:dyDescent="0.25">
      <c r="A67" s="400">
        <v>1200000121</v>
      </c>
      <c r="B67" s="455" t="str">
        <f>VLOOKUP(A67,'Loan Book Summary'!C:G,5,FALSE)</f>
        <v>0014I000026e8Lr</v>
      </c>
      <c r="C67" s="167">
        <f>VLOOKUP(A67,'Ref-Data'!$A:$I,9,0)</f>
        <v>1</v>
      </c>
      <c r="D67" s="445">
        <f>VLOOKUP(A67,'Adjustment Factor'!A:C,3,0)</f>
        <v>1.229053529663432</v>
      </c>
      <c r="E67" s="446">
        <f>VLOOKUP(A67,'Ref-Data'!A:C,2,FALSE)</f>
        <v>2300000</v>
      </c>
      <c r="F67" s="445">
        <f>VLOOKUP(A67,'Ref-Data'!$A:$F,6,FALSE)</f>
        <v>5.1416837782340865</v>
      </c>
      <c r="G67" s="346"/>
      <c r="H67" s="273">
        <f>VLOOKUP($B67, 'Output 96% Downside'!$A:$CW,42,FALSE)</f>
        <v>1.1299999999999999E-2</v>
      </c>
      <c r="I67" s="273">
        <f>VLOOKUP($B67, 'Output 96% Downside'!$A:$CW,43,FALSE)</f>
        <v>1.0999999999999999E-2</v>
      </c>
      <c r="J67" s="273">
        <f>VLOOKUP($B67, 'Output 96% Downside'!$A:$CW,44,FALSE)</f>
        <v>1.09E-2</v>
      </c>
      <c r="K67" s="273">
        <f>VLOOKUP($B67, 'Output 96% Downside'!$A:$CW,45,FALSE)</f>
        <v>1.0800000000000001E-2</v>
      </c>
      <c r="L67" s="273">
        <f>VLOOKUP($B67, 'Output 96% Downside'!$A:$CW,46,FALSE)</f>
        <v>1.0699999999999999E-2</v>
      </c>
      <c r="M67" s="447">
        <f t="shared" si="38"/>
        <v>2.8370504641918037E-3</v>
      </c>
      <c r="N67" s="447">
        <f t="shared" ref="N67:N71" si="40">1-(1-M67)*(1-M67)</f>
        <v>5.6660520730472674E-3</v>
      </c>
      <c r="O67" s="447">
        <f t="shared" ref="O67:O71" si="41">1-(1-M67)*(1-M67)*(1-M67)</f>
        <v>8.4870276615750528E-3</v>
      </c>
      <c r="P67" s="346"/>
      <c r="Q67" s="390">
        <f t="shared" ref="Q67:S71" si="42">M67*$D67</f>
        <v>3.4868868868482145E-3</v>
      </c>
      <c r="R67" s="390">
        <f t="shared" si="42"/>
        <v>6.9638812996355498E-3</v>
      </c>
      <c r="S67" s="390">
        <f t="shared" si="42"/>
        <v>1.0431011303810002E-2</v>
      </c>
      <c r="T67" s="390">
        <f t="shared" ref="T67:T71" si="43">H67*$D67</f>
        <v>1.3888304885196779E-2</v>
      </c>
      <c r="U67" s="390">
        <f t="shared" ref="U67:U71" si="44">(1-((1-H67)*(1-I67)))*$D67</f>
        <v>2.7255122357757393E-2</v>
      </c>
      <c r="V67" s="390">
        <f t="shared" ref="V67:V71" si="45">(1-((1-H67)*(1-I67)*(1-J67)))*$D67</f>
        <v>4.0354724997389221E-2</v>
      </c>
      <c r="W67" s="390">
        <f t="shared" ref="W67:W71" si="46">(1-((1-H67)*(1-I67)*(1-J67)*(1-K67)))*$D67</f>
        <v>5.3192672087782576E-2</v>
      </c>
      <c r="X67" s="390">
        <f t="shared" ref="X67:X71" si="47">(1-((1-H67)*(1-I67)*(1-J67)*(1-K67)*(1-L67)))*$D67</f>
        <v>6.5774383263842023E-2</v>
      </c>
      <c r="Y67" s="390">
        <f t="shared" ref="Y67:Y71" si="48">IF($C67=1,IF($F67&gt;=1,T67,1-(1-T67)^$F67),IF($F67&gt;=1,Z67,1-(1-Z67)^$F67))</f>
        <v>1.3888304885196779E-2</v>
      </c>
      <c r="Z67" s="390">
        <f t="shared" ref="Z67:Z71" si="49">IF($F67&lt;=1,T67,IF($F67&lt;=2,U67,IF($F67&lt;=3,V67,IF($F67&lt;=4,W67,X67))))</f>
        <v>6.5774383263842023E-2</v>
      </c>
      <c r="AC67" s="273">
        <f>VLOOKUP($B67, 'Output Baseline'!$A:$CW,42,FALSE)</f>
        <v>4.0000000000000001E-3</v>
      </c>
      <c r="AD67" s="273">
        <f>VLOOKUP($B67, 'Output Baseline'!$A:$CW,43,FALSE)</f>
        <v>4.3E-3</v>
      </c>
      <c r="AE67" s="273">
        <f>VLOOKUP($B67, 'Output Baseline'!$A:$CW,44,FALSE)</f>
        <v>4.5999999999999999E-3</v>
      </c>
      <c r="AF67" s="273">
        <f>VLOOKUP($B67, 'Output Baseline'!$A:$CW,45,FALSE)</f>
        <v>4.7999999999999996E-3</v>
      </c>
      <c r="AG67" s="273">
        <f>VLOOKUP($B67, 'Output Baseline'!$A:$CW,46,FALSE)</f>
        <v>4.8999999999999998E-3</v>
      </c>
      <c r="AH67" s="447">
        <f t="shared" ref="AH67:AH71" si="50">1-(1-AC67)^(1/4)</f>
        <v>1.0015035096540004E-3</v>
      </c>
      <c r="AI67" s="447">
        <f t="shared" ref="AI67:AI71" si="51">1-(1-AH67)*(1-AH67)</f>
        <v>2.0020040100281467E-3</v>
      </c>
      <c r="AJ67" s="447">
        <f t="shared" ref="AJ67:AJ71" si="52">1-(1-AH67)*(1-AH67)*(1-AH67)</f>
        <v>3.001502505639797E-3</v>
      </c>
      <c r="AK67" s="346"/>
      <c r="AL67" s="390">
        <f t="shared" ref="AL67:AN71" si="53">AH67*$D67</f>
        <v>1.2309014235105642E-3</v>
      </c>
      <c r="AM67" s="390">
        <f t="shared" si="53"/>
        <v>2.4605700949254386E-3</v>
      </c>
      <c r="AN67" s="390">
        <f t="shared" si="53"/>
        <v>3.6890072488502275E-3</v>
      </c>
      <c r="AO67" s="390">
        <f t="shared" ref="AO67:AO71" si="54">AC67*$D67</f>
        <v>4.9162141186537278E-3</v>
      </c>
      <c r="AP67" s="390">
        <f t="shared" ref="AP67:AP71" si="55">(1-((1-AC67)*(1-AD67)))*$D67</f>
        <v>1.018000457549618E-2</v>
      </c>
      <c r="AQ67" s="390">
        <f t="shared" ref="AQ67:AQ71" si="56">(1-((1-AC67)*(1-AD67)*(1-AE67)))*$D67</f>
        <v>1.578682279090074E-2</v>
      </c>
      <c r="AR67" s="390">
        <f t="shared" ref="AR67:AR71" si="57">(1-((1-AC67)*(1-AD67)*(1-AE67)*(1-AF67)))*$D67</f>
        <v>2.1610502983888918E-2</v>
      </c>
      <c r="AS67" s="390">
        <f t="shared" ref="AS67:AS71" si="58">(1-((1-AC67)*(1-AD67)*(1-AE67)*(1-AF67)*(1-AG67)))*$D67</f>
        <v>2.7526973814618737E-2</v>
      </c>
      <c r="AT67" s="390">
        <f t="shared" ref="AT67:AT71" si="59">IF($C67=1,IF($F67&gt;=1,AO67,1-(1-AO67)^$F67),IF($F67&gt;=1,AU67,1-(1-AU67)^$F67))</f>
        <v>4.9162141186537278E-3</v>
      </c>
      <c r="AU67" s="390">
        <f t="shared" ref="AU67:AU71" si="60">IF($F67&lt;=1,AO67,IF($F67&lt;=2,AP67,IF($F67&lt;=3,AQ67,IF($F67&lt;=4,AR67,AS67))))</f>
        <v>2.7526973814618737E-2</v>
      </c>
      <c r="AX67" s="273">
        <f>VLOOKUP($B67, 'Output 90% Downside'!$A:$CW,42,FALSE)</f>
        <v>8.6E-3</v>
      </c>
      <c r="AY67" s="273">
        <f>VLOOKUP($B67, 'Output 90% Downside'!$A:$CW,43,FALSE)</f>
        <v>8.8000000000000005E-3</v>
      </c>
      <c r="AZ67" s="273">
        <f>VLOOKUP($B67, 'Output 90% Downside'!$A:$CW,44,FALSE)</f>
        <v>8.9999999999999993E-3</v>
      </c>
      <c r="BA67" s="273">
        <f>VLOOKUP($B67, 'Output 90% Downside'!$A:$CW,45,FALSE)</f>
        <v>9.1000000000000004E-3</v>
      </c>
      <c r="BB67" s="273">
        <f>VLOOKUP($B67, 'Output 90% Downside'!$A:$CW,46,FALSE)</f>
        <v>9.1999999999999998E-3</v>
      </c>
      <c r="BC67" s="447">
        <f t="shared" ref="BC67:BC71" si="61">1-(1-AX67)^(1/4)</f>
        <v>2.1569687413103278E-3</v>
      </c>
      <c r="BD67" s="447">
        <f t="shared" ref="BD67:BD71" si="62">1-(1-BC67)*(1-BC67)</f>
        <v>4.3092849684697176E-3</v>
      </c>
      <c r="BE67" s="447">
        <f t="shared" ref="BE67:BE71" si="63">1-(1-BC67)*(1-BC67)*(1-BC67)</f>
        <v>6.4569587168056275E-3</v>
      </c>
      <c r="BF67" s="346"/>
      <c r="BG67" s="390">
        <f t="shared" ref="BG67:BI71" si="64">BC67*$D67</f>
        <v>2.6510300448811482E-3</v>
      </c>
      <c r="BH67" s="390">
        <f t="shared" si="64"/>
        <v>5.2963419008232775E-3</v>
      </c>
      <c r="BI67" s="390">
        <f t="shared" si="64"/>
        <v>7.9359479017810201E-3</v>
      </c>
      <c r="BJ67" s="390">
        <f t="shared" ref="BJ67:BJ71" si="65">AX67*$D67</f>
        <v>1.0569860355105515E-2</v>
      </c>
      <c r="BK67" s="390">
        <f t="shared" ref="BK67:BK71" si="66">(1-((1-AX67)*(1-AY67)))*$D67</f>
        <v>2.1292516645018862E-2</v>
      </c>
      <c r="BL67" s="390">
        <f t="shared" ref="BL67:BL71" si="67">(1-((1-AX67)*(1-AY67)*(1-AZ67)))*$D67</f>
        <v>3.2162365762184598E-2</v>
      </c>
      <c r="BM67" s="390">
        <f t="shared" ref="BM67:BM71" si="68">(1-((1-AX67)*(1-AY67)*(1-AZ67)*(1-BA67)))*$D67</f>
        <v>4.3054075353685946E-2</v>
      </c>
      <c r="BN67" s="390">
        <f t="shared" ref="BN67:BN71" si="69">(1-((1-AX67)*(1-AY67)*(1-AZ67)*(1-BA67)*(1-BB67)))*$D67</f>
        <v>5.3965270333335577E-2</v>
      </c>
      <c r="BO67" s="390">
        <f t="shared" ref="BO67:BO71" si="70">IF($C67=1,IF($F67&gt;=1,BJ67,1-(1-BJ67)^$F67),IF($F67&gt;=1,BP67,1-(1-BP67)^$F67))</f>
        <v>1.0569860355105515E-2</v>
      </c>
      <c r="BP67" s="390">
        <f t="shared" ref="BP67:BP71" si="71">IF($F67&lt;=1,BJ67,IF($F67&lt;=2,BK67,IF($F67&lt;=3,BL67,IF($F67&lt;=4,BM67,BN67))))</f>
        <v>5.3965270333335577E-2</v>
      </c>
      <c r="BQ67" s="347"/>
      <c r="BU67" s="390">
        <f>IFERROR(AL67*$BS$2+BG67*$BS$4+Q67*$BS$3,VLOOKUP(A67,'Updated Ncino PD'!A:K,4,FALSE))</f>
        <v>1.8407457141571511E-3</v>
      </c>
      <c r="BV67" s="390">
        <f>IFERROR(AM67*$BS$2+BH67*$BS$4+R67*$BS$3,VLOOKUP(A67,'Updated Ncino PD'!A:K,5,FALSE))</f>
        <v>3.6782557872251874E-3</v>
      </c>
      <c r="BW67" s="390">
        <f>IFERROR(AN67*$BS$2+BI67*$BS$4+S67*$BS$3,VLOOKUP(A67,'Updated Ncino PD'!A:K,6,FALSE))</f>
        <v>5.5125366801239929E-3</v>
      </c>
      <c r="BX67" s="390">
        <f>IFERROR(AO67*$BS$2+BJ67*$BS$4+T67*$BS$3,VLOOKUP(A67,'Updated Ncino PD'!A:K,7,FALSE))</f>
        <v>7.3435948397390059E-3</v>
      </c>
      <c r="BY67" s="390">
        <f>IFERROR(AP67*$BS$2+BK67*$BS$4+U67*$BS$3,VLOOKUP(A67,'Updated Ncino PD'!A:K,8,FALSE))</f>
        <v>1.4923139688942178E-2</v>
      </c>
      <c r="BZ67" s="390">
        <f>IFERROR(AQ67*$BS$2+BL67*$BS$4+V67*$BS$3,VLOOKUP(A67,'Updated Ncino PD'!A:K,9,FALSE))</f>
        <v>2.2746657941174513E-2</v>
      </c>
      <c r="CA67" s="390">
        <f>IFERROR(AR67*$BS$2+BM67*$BS$4+W67*$BS$3,VLOOKUP(A67,'Updated Ncino PD'!A:K,10,FALSE))</f>
        <v>3.0694861768512563E-2</v>
      </c>
      <c r="CB67" s="390">
        <f>IFERROR(AS67*$BS$2+BN67*$BS$4+X67*$BS$3,VLOOKUP(A67,'Updated Ncino PD'!A:K,11,FALSE))</f>
        <v>3.8692748068630795E-2</v>
      </c>
      <c r="CC67" s="390">
        <f t="shared" si="37"/>
        <v>7.3435948397390059E-3</v>
      </c>
      <c r="CD67" s="390">
        <f t="shared" si="37"/>
        <v>3.8692748068630795E-2</v>
      </c>
      <c r="CF67" s="450">
        <f t="shared" si="39"/>
        <v>5.9749999999999994E-3</v>
      </c>
      <c r="CG67" s="450">
        <f t="shared" si="39"/>
        <v>6.2100000000000002E-3</v>
      </c>
      <c r="CH67" s="450">
        <f t="shared" si="39"/>
        <v>6.4549999999999989E-3</v>
      </c>
      <c r="CI67" s="450">
        <f t="shared" si="39"/>
        <v>6.6049999999999998E-3</v>
      </c>
      <c r="CJ67" s="450">
        <f t="shared" si="39"/>
        <v>6.6949999999999996E-3</v>
      </c>
    </row>
    <row r="68" spans="1:88" s="355" customFormat="1" hidden="1" x14ac:dyDescent="0.25">
      <c r="A68" s="400">
        <v>1200000137</v>
      </c>
      <c r="B68" s="455" t="str">
        <f>VLOOKUP(A68,'Loan Book Summary'!C:G,5,FALSE)</f>
        <v>00158000010bEcS</v>
      </c>
      <c r="C68" s="167">
        <f>VLOOKUP(A68,'Ref-Data'!$A:$I,9,0)</f>
        <v>1</v>
      </c>
      <c r="D68" s="445">
        <f>VLOOKUP(A68,'Adjustment Factor'!A:C,3,0)</f>
        <v>2.1329919239718182</v>
      </c>
      <c r="E68" s="446">
        <f>VLOOKUP(A68,'Ref-Data'!A:C,2,FALSE)</f>
        <v>1141302.73</v>
      </c>
      <c r="F68" s="445">
        <f>VLOOKUP(A68,'Ref-Data'!$A:$F,6,FALSE)</f>
        <v>4.9828884325804248</v>
      </c>
      <c r="G68" s="346"/>
      <c r="H68" s="273">
        <f>VLOOKUP($B68, 'Output 96% Downside'!$A:$CW,42,FALSE)</f>
        <v>1.4E-2</v>
      </c>
      <c r="I68" s="273">
        <f>VLOOKUP($B68, 'Output 96% Downside'!$A:$CW,43,FALSE)</f>
        <v>1.2800000000000001E-2</v>
      </c>
      <c r="J68" s="273">
        <f>VLOOKUP($B68, 'Output 96% Downside'!$A:$CW,44,FALSE)</f>
        <v>1.21E-2</v>
      </c>
      <c r="K68" s="273">
        <f>VLOOKUP($B68, 'Output 96% Downside'!$A:$CW,45,FALSE)</f>
        <v>1.17E-2</v>
      </c>
      <c r="L68" s="273">
        <f>VLOOKUP($B68, 'Output 96% Downside'!$A:$CW,46,FALSE)</f>
        <v>1.1299999999999999E-2</v>
      </c>
      <c r="M68" s="447">
        <f t="shared" si="38"/>
        <v>3.5185265221873152E-3</v>
      </c>
      <c r="N68" s="447">
        <f t="shared" si="40"/>
        <v>7.0246730154872594E-3</v>
      </c>
      <c r="O68" s="447">
        <f t="shared" si="41"/>
        <v>1.0518483039359872E-2</v>
      </c>
      <c r="P68" s="346"/>
      <c r="Q68" s="390">
        <f t="shared" si="42"/>
        <v>7.5049886561061917E-3</v>
      </c>
      <c r="R68" s="390">
        <f t="shared" si="42"/>
        <v>1.4983570810577084E-2</v>
      </c>
      <c r="S68" s="390">
        <f t="shared" si="42"/>
        <v>2.2435839375389149E-2</v>
      </c>
      <c r="T68" s="390">
        <f t="shared" si="43"/>
        <v>2.9861886935605455E-2</v>
      </c>
      <c r="U68" s="390">
        <f t="shared" si="44"/>
        <v>5.6781951409668976E-2</v>
      </c>
      <c r="V68" s="390">
        <f t="shared" si="45"/>
        <v>8.1904092077671076E-2</v>
      </c>
      <c r="W68" s="390">
        <f t="shared" si="46"/>
        <v>0.10590181971083258</v>
      </c>
      <c r="X68" s="390">
        <f t="shared" si="47"/>
        <v>0.12880793788898179</v>
      </c>
      <c r="Y68" s="390">
        <f t="shared" si="48"/>
        <v>2.9861886935605455E-2</v>
      </c>
      <c r="Z68" s="390">
        <f t="shared" si="49"/>
        <v>0.12880793788898179</v>
      </c>
      <c r="AC68" s="273">
        <f>VLOOKUP($B68, 'Output Baseline'!$A:$CW,42,FALSE)</f>
        <v>5.7999999999999996E-3</v>
      </c>
      <c r="AD68" s="273">
        <f>VLOOKUP($B68, 'Output Baseline'!$A:$CW,43,FALSE)</f>
        <v>5.7999999999999996E-3</v>
      </c>
      <c r="AE68" s="273">
        <f>VLOOKUP($B68, 'Output Baseline'!$A:$CW,44,FALSE)</f>
        <v>5.7999999999999996E-3</v>
      </c>
      <c r="AF68" s="273">
        <f>VLOOKUP($B68, 'Output Baseline'!$A:$CW,45,FALSE)</f>
        <v>5.8999999999999999E-3</v>
      </c>
      <c r="AG68" s="273">
        <f>VLOOKUP($B68, 'Output Baseline'!$A:$CW,46,FALSE)</f>
        <v>5.8999999999999999E-3</v>
      </c>
      <c r="AH68" s="447">
        <f t="shared" si="50"/>
        <v>1.4531644629207641E-3</v>
      </c>
      <c r="AI68" s="447">
        <f t="shared" si="51"/>
        <v>2.9042172388852316E-3</v>
      </c>
      <c r="AJ68" s="447">
        <f t="shared" si="52"/>
        <v>4.3531613965218652E-3</v>
      </c>
      <c r="AK68" s="346"/>
      <c r="AL68" s="390">
        <f t="shared" si="53"/>
        <v>3.0995880636128345E-3</v>
      </c>
      <c r="AM68" s="390">
        <f t="shared" si="53"/>
        <v>6.194671916001932E-3</v>
      </c>
      <c r="AN68" s="390">
        <f t="shared" si="53"/>
        <v>9.285258102527021E-3</v>
      </c>
      <c r="AO68" s="390">
        <f t="shared" si="54"/>
        <v>1.2371353159036544E-2</v>
      </c>
      <c r="AP68" s="390">
        <f t="shared" si="55"/>
        <v>2.4670952469750911E-2</v>
      </c>
      <c r="AQ68" s="390">
        <f t="shared" si="56"/>
        <v>3.6899214104462959E-2</v>
      </c>
      <c r="AR68" s="390">
        <f t="shared" si="57"/>
        <v>4.9266161092680283E-2</v>
      </c>
      <c r="AS68" s="390">
        <f t="shared" si="58"/>
        <v>6.1560143093667266E-2</v>
      </c>
      <c r="AT68" s="390">
        <f t="shared" si="59"/>
        <v>1.2371353159036544E-2</v>
      </c>
      <c r="AU68" s="390">
        <f t="shared" si="60"/>
        <v>6.1560143093667266E-2</v>
      </c>
      <c r="AX68" s="273">
        <f>VLOOKUP($B68, 'Output 90% Downside'!$A:$CW,42,FALSE)</f>
        <v>0.01</v>
      </c>
      <c r="AY68" s="273">
        <f>VLOOKUP($B68, 'Output 90% Downside'!$A:$CW,43,FALSE)</f>
        <v>9.4999999999999998E-3</v>
      </c>
      <c r="AZ68" s="273">
        <f>VLOOKUP($B68, 'Output 90% Downside'!$A:$CW,44,FALSE)</f>
        <v>9.2999999999999992E-3</v>
      </c>
      <c r="BA68" s="273">
        <f>VLOOKUP($B68, 'Output 90% Downside'!$A:$CW,45,FALSE)</f>
        <v>9.1000000000000004E-3</v>
      </c>
      <c r="BB68" s="273">
        <f>VLOOKUP($B68, 'Output 90% Downside'!$A:$CW,46,FALSE)</f>
        <v>8.9999999999999993E-3</v>
      </c>
      <c r="BC68" s="447">
        <f t="shared" si="61"/>
        <v>2.509430066318874E-3</v>
      </c>
      <c r="BD68" s="447">
        <f t="shared" si="62"/>
        <v>5.0125628933800348E-3</v>
      </c>
      <c r="BE68" s="447">
        <f t="shared" si="63"/>
        <v>7.5094142836649169E-3</v>
      </c>
      <c r="BF68" s="346"/>
      <c r="BG68" s="390">
        <f t="shared" si="64"/>
        <v>5.3525940652302227E-3</v>
      </c>
      <c r="BH68" s="390">
        <f t="shared" si="64"/>
        <v>1.0691756169980424E-2</v>
      </c>
      <c r="BI68" s="390">
        <f t="shared" si="64"/>
        <v>1.6017520020815884E-2</v>
      </c>
      <c r="BJ68" s="390">
        <f t="shared" si="65"/>
        <v>2.1329919239718182E-2</v>
      </c>
      <c r="BK68" s="390">
        <f t="shared" si="66"/>
        <v>4.1390708284673144E-2</v>
      </c>
      <c r="BL68" s="390">
        <f t="shared" si="67"/>
        <v>6.084259959056347E-2</v>
      </c>
      <c r="BM68" s="390">
        <f t="shared" si="68"/>
        <v>7.9699158442432791E-2</v>
      </c>
      <c r="BN68" s="390">
        <f t="shared" si="69"/>
        <v>9.8178793332197242E-2</v>
      </c>
      <c r="BO68" s="390">
        <f t="shared" si="70"/>
        <v>2.1329919239718182E-2</v>
      </c>
      <c r="BP68" s="390">
        <f t="shared" si="71"/>
        <v>9.8178793332197242E-2</v>
      </c>
      <c r="BQ68" s="347"/>
      <c r="BU68" s="390">
        <f>IFERROR(AL68*$BS$2+BG68*$BS$4+Q68*$BS$3,VLOOKUP(A68,'Updated Ncino PD'!A:K,4,FALSE))</f>
        <v>4.1084101938035876E-3</v>
      </c>
      <c r="BV68" s="390">
        <f>IFERROR(AM68*$BS$2+BH68*$BS$4+R68*$BS$3,VLOOKUP(A68,'Updated Ncino PD'!A:K,5,FALSE))</f>
        <v>8.2080963496231618E-3</v>
      </c>
      <c r="BW68" s="390">
        <f>IFERROR(AN68*$BS$2+BI68*$BS$4+S68*$BS$3,VLOOKUP(A68,'Updated Ncino PD'!A:K,6,FALSE))</f>
        <v>1.2299078837571229E-2</v>
      </c>
      <c r="BX68" s="390">
        <f>IFERROR(AO68*$BS$2+BJ68*$BS$4+T68*$BS$3,VLOOKUP(A68,'Updated Ncino PD'!A:K,7,FALSE))</f>
        <v>1.6381377976103562E-2</v>
      </c>
      <c r="BY68" s="390">
        <f>IFERROR(AP68*$BS$2+BK68*$BS$4+U68*$BS$3,VLOOKUP(A68,'Updated Ncino PD'!A:K,8,FALSE))</f>
        <v>3.2128416951969593E-2</v>
      </c>
      <c r="BZ68" s="390">
        <f>IFERROR(AQ68*$BS$2+BL68*$BS$4+V68*$BS$3,VLOOKUP(A68,'Updated Ncino PD'!A:K,9,FALSE))</f>
        <v>4.7529642923258543E-2</v>
      </c>
      <c r="CA68" s="390">
        <f>IFERROR(AR68*$BS$2+BM68*$BS$4+W68*$BS$3,VLOOKUP(A68,'Updated Ncino PD'!A:K,10,FALSE))</f>
        <v>6.274949309600128E-2</v>
      </c>
      <c r="CB68" s="390">
        <f>IFERROR(AS68*$BS$2+BN68*$BS$4+X68*$BS$3,VLOOKUP(A68,'Updated Ncino PD'!A:K,11,FALSE))</f>
        <v>7.7739060416918471E-2</v>
      </c>
      <c r="CC68" s="390">
        <f t="shared" si="37"/>
        <v>1.6381377976103562E-2</v>
      </c>
      <c r="CD68" s="390">
        <f t="shared" si="37"/>
        <v>7.7739060416918471E-2</v>
      </c>
      <c r="CF68" s="450">
        <f t="shared" si="39"/>
        <v>7.6799999999999993E-3</v>
      </c>
      <c r="CG68" s="450">
        <f t="shared" si="39"/>
        <v>7.4449999999999994E-3</v>
      </c>
      <c r="CH68" s="450">
        <f t="shared" si="39"/>
        <v>7.3399999999999993E-3</v>
      </c>
      <c r="CI68" s="450">
        <f t="shared" si="39"/>
        <v>7.3100000000000005E-3</v>
      </c>
      <c r="CJ68" s="450">
        <f t="shared" si="39"/>
        <v>7.2549999999999993E-3</v>
      </c>
    </row>
    <row r="69" spans="1:88" s="355" customFormat="1" hidden="1" x14ac:dyDescent="0.25">
      <c r="A69" s="400">
        <v>1200000138</v>
      </c>
      <c r="B69" s="455" t="str">
        <f>VLOOKUP(A69,'Loan Book Summary'!C:G,5,FALSE)</f>
        <v>00158000010bEcS</v>
      </c>
      <c r="C69" s="167">
        <f>VLOOKUP(A69,'Ref-Data'!$A:$I,9,0)</f>
        <v>1</v>
      </c>
      <c r="D69" s="445">
        <f>VLOOKUP(A69,'Adjustment Factor'!A:C,3,0)</f>
        <v>2.1329919239718182</v>
      </c>
      <c r="E69" s="446">
        <f>VLOOKUP(A69,'Ref-Data'!A:C,2,FALSE)</f>
        <v>418000</v>
      </c>
      <c r="F69" s="445">
        <f>VLOOKUP(A69,'Ref-Data'!$A:$F,6,FALSE)</f>
        <v>4.9828884325804248</v>
      </c>
      <c r="G69" s="346"/>
      <c r="H69" s="273">
        <f>VLOOKUP($B69, 'Output 96% Downside'!$A:$CW,42,FALSE)</f>
        <v>1.4E-2</v>
      </c>
      <c r="I69" s="273">
        <f>VLOOKUP($B69, 'Output 96% Downside'!$A:$CW,43,FALSE)</f>
        <v>1.2800000000000001E-2</v>
      </c>
      <c r="J69" s="273">
        <f>VLOOKUP($B69, 'Output 96% Downside'!$A:$CW,44,FALSE)</f>
        <v>1.21E-2</v>
      </c>
      <c r="K69" s="273">
        <f>VLOOKUP($B69, 'Output 96% Downside'!$A:$CW,45,FALSE)</f>
        <v>1.17E-2</v>
      </c>
      <c r="L69" s="273">
        <f>VLOOKUP($B69, 'Output 96% Downside'!$A:$CW,46,FALSE)</f>
        <v>1.1299999999999999E-2</v>
      </c>
      <c r="M69" s="447">
        <f t="shared" si="38"/>
        <v>3.5185265221873152E-3</v>
      </c>
      <c r="N69" s="447">
        <f t="shared" si="40"/>
        <v>7.0246730154872594E-3</v>
      </c>
      <c r="O69" s="447">
        <f t="shared" si="41"/>
        <v>1.0518483039359872E-2</v>
      </c>
      <c r="P69" s="346"/>
      <c r="Q69" s="390">
        <f t="shared" si="42"/>
        <v>7.5049886561061917E-3</v>
      </c>
      <c r="R69" s="390">
        <f t="shared" si="42"/>
        <v>1.4983570810577084E-2</v>
      </c>
      <c r="S69" s="390">
        <f t="shared" si="42"/>
        <v>2.2435839375389149E-2</v>
      </c>
      <c r="T69" s="390">
        <f t="shared" si="43"/>
        <v>2.9861886935605455E-2</v>
      </c>
      <c r="U69" s="390">
        <f t="shared" si="44"/>
        <v>5.6781951409668976E-2</v>
      </c>
      <c r="V69" s="390">
        <f t="shared" si="45"/>
        <v>8.1904092077671076E-2</v>
      </c>
      <c r="W69" s="390">
        <f t="shared" si="46"/>
        <v>0.10590181971083258</v>
      </c>
      <c r="X69" s="390">
        <f t="shared" si="47"/>
        <v>0.12880793788898179</v>
      </c>
      <c r="Y69" s="390">
        <f t="shared" si="48"/>
        <v>2.9861886935605455E-2</v>
      </c>
      <c r="Z69" s="390">
        <f t="shared" si="49"/>
        <v>0.12880793788898179</v>
      </c>
      <c r="AC69" s="273">
        <f>VLOOKUP($B69, 'Output Baseline'!$A:$CW,42,FALSE)</f>
        <v>5.7999999999999996E-3</v>
      </c>
      <c r="AD69" s="273">
        <f>VLOOKUP($B69, 'Output Baseline'!$A:$CW,43,FALSE)</f>
        <v>5.7999999999999996E-3</v>
      </c>
      <c r="AE69" s="273">
        <f>VLOOKUP($B69, 'Output Baseline'!$A:$CW,44,FALSE)</f>
        <v>5.7999999999999996E-3</v>
      </c>
      <c r="AF69" s="273">
        <f>VLOOKUP($B69, 'Output Baseline'!$A:$CW,45,FALSE)</f>
        <v>5.8999999999999999E-3</v>
      </c>
      <c r="AG69" s="273">
        <f>VLOOKUP($B69, 'Output Baseline'!$A:$CW,46,FALSE)</f>
        <v>5.8999999999999999E-3</v>
      </c>
      <c r="AH69" s="447">
        <f t="shared" si="50"/>
        <v>1.4531644629207641E-3</v>
      </c>
      <c r="AI69" s="447">
        <f t="shared" si="51"/>
        <v>2.9042172388852316E-3</v>
      </c>
      <c r="AJ69" s="447">
        <f t="shared" si="52"/>
        <v>4.3531613965218652E-3</v>
      </c>
      <c r="AK69" s="346"/>
      <c r="AL69" s="390">
        <f t="shared" si="53"/>
        <v>3.0995880636128345E-3</v>
      </c>
      <c r="AM69" s="390">
        <f t="shared" si="53"/>
        <v>6.194671916001932E-3</v>
      </c>
      <c r="AN69" s="390">
        <f t="shared" si="53"/>
        <v>9.285258102527021E-3</v>
      </c>
      <c r="AO69" s="390">
        <f t="shared" si="54"/>
        <v>1.2371353159036544E-2</v>
      </c>
      <c r="AP69" s="390">
        <f t="shared" si="55"/>
        <v>2.4670952469750911E-2</v>
      </c>
      <c r="AQ69" s="390">
        <f t="shared" si="56"/>
        <v>3.6899214104462959E-2</v>
      </c>
      <c r="AR69" s="390">
        <f t="shared" si="57"/>
        <v>4.9266161092680283E-2</v>
      </c>
      <c r="AS69" s="390">
        <f t="shared" si="58"/>
        <v>6.1560143093667266E-2</v>
      </c>
      <c r="AT69" s="390">
        <f t="shared" si="59"/>
        <v>1.2371353159036544E-2</v>
      </c>
      <c r="AU69" s="390">
        <f t="shared" si="60"/>
        <v>6.1560143093667266E-2</v>
      </c>
      <c r="AX69" s="273">
        <f>VLOOKUP($B69, 'Output 90% Downside'!$A:$CW,42,FALSE)</f>
        <v>0.01</v>
      </c>
      <c r="AY69" s="273">
        <f>VLOOKUP($B69, 'Output 90% Downside'!$A:$CW,43,FALSE)</f>
        <v>9.4999999999999998E-3</v>
      </c>
      <c r="AZ69" s="273">
        <f>VLOOKUP($B69, 'Output 90% Downside'!$A:$CW,44,FALSE)</f>
        <v>9.2999999999999992E-3</v>
      </c>
      <c r="BA69" s="273">
        <f>VLOOKUP($B69, 'Output 90% Downside'!$A:$CW,45,FALSE)</f>
        <v>9.1000000000000004E-3</v>
      </c>
      <c r="BB69" s="273">
        <f>VLOOKUP($B69, 'Output 90% Downside'!$A:$CW,46,FALSE)</f>
        <v>8.9999999999999993E-3</v>
      </c>
      <c r="BC69" s="447">
        <f t="shared" si="61"/>
        <v>2.509430066318874E-3</v>
      </c>
      <c r="BD69" s="447">
        <f t="shared" si="62"/>
        <v>5.0125628933800348E-3</v>
      </c>
      <c r="BE69" s="447">
        <f t="shared" si="63"/>
        <v>7.5094142836649169E-3</v>
      </c>
      <c r="BF69" s="346"/>
      <c r="BG69" s="390">
        <f t="shared" si="64"/>
        <v>5.3525940652302227E-3</v>
      </c>
      <c r="BH69" s="390">
        <f t="shared" si="64"/>
        <v>1.0691756169980424E-2</v>
      </c>
      <c r="BI69" s="390">
        <f t="shared" si="64"/>
        <v>1.6017520020815884E-2</v>
      </c>
      <c r="BJ69" s="390">
        <f t="shared" si="65"/>
        <v>2.1329919239718182E-2</v>
      </c>
      <c r="BK69" s="390">
        <f t="shared" si="66"/>
        <v>4.1390708284673144E-2</v>
      </c>
      <c r="BL69" s="390">
        <f t="shared" si="67"/>
        <v>6.084259959056347E-2</v>
      </c>
      <c r="BM69" s="390">
        <f t="shared" si="68"/>
        <v>7.9699158442432791E-2</v>
      </c>
      <c r="BN69" s="390">
        <f t="shared" si="69"/>
        <v>9.8178793332197242E-2</v>
      </c>
      <c r="BO69" s="390">
        <f t="shared" si="70"/>
        <v>2.1329919239718182E-2</v>
      </c>
      <c r="BP69" s="390">
        <f t="shared" si="71"/>
        <v>9.8178793332197242E-2</v>
      </c>
      <c r="BQ69" s="347"/>
      <c r="BU69" s="390">
        <f>IFERROR(AL69*$BS$2+BG69*$BS$4+Q69*$BS$3,VLOOKUP(A69,'Updated Ncino PD'!A:K,4,FALSE))</f>
        <v>4.1084101938035876E-3</v>
      </c>
      <c r="BV69" s="390">
        <f>IFERROR(AM69*$BS$2+BH69*$BS$4+R69*$BS$3,VLOOKUP(A69,'Updated Ncino PD'!A:K,5,FALSE))</f>
        <v>8.2080963496231618E-3</v>
      </c>
      <c r="BW69" s="390">
        <f>IFERROR(AN69*$BS$2+BI69*$BS$4+S69*$BS$3,VLOOKUP(A69,'Updated Ncino PD'!A:K,6,FALSE))</f>
        <v>1.2299078837571229E-2</v>
      </c>
      <c r="BX69" s="390">
        <f>IFERROR(AO69*$BS$2+BJ69*$BS$4+T69*$BS$3,VLOOKUP(A69,'Updated Ncino PD'!A:K,7,FALSE))</f>
        <v>1.6381377976103562E-2</v>
      </c>
      <c r="BY69" s="390">
        <f>IFERROR(AP69*$BS$2+BK69*$BS$4+U69*$BS$3,VLOOKUP(A69,'Updated Ncino PD'!A:K,8,FALSE))</f>
        <v>3.2128416951969593E-2</v>
      </c>
      <c r="BZ69" s="390">
        <f>IFERROR(AQ69*$BS$2+BL69*$BS$4+V69*$BS$3,VLOOKUP(A69,'Updated Ncino PD'!A:K,9,FALSE))</f>
        <v>4.7529642923258543E-2</v>
      </c>
      <c r="CA69" s="390">
        <f>IFERROR(AR69*$BS$2+BM69*$BS$4+W69*$BS$3,VLOOKUP(A69,'Updated Ncino PD'!A:K,10,FALSE))</f>
        <v>6.274949309600128E-2</v>
      </c>
      <c r="CB69" s="390">
        <f>IFERROR(AS69*$BS$2+BN69*$BS$4+X69*$BS$3,VLOOKUP(A69,'Updated Ncino PD'!A:K,11,FALSE))</f>
        <v>7.7739060416918471E-2</v>
      </c>
      <c r="CC69" s="390">
        <f t="shared" si="37"/>
        <v>1.6381377976103562E-2</v>
      </c>
      <c r="CD69" s="390">
        <f t="shared" si="37"/>
        <v>7.7739060416918471E-2</v>
      </c>
      <c r="CF69" s="450">
        <f t="shared" si="39"/>
        <v>7.6799999999999993E-3</v>
      </c>
      <c r="CG69" s="450">
        <f t="shared" si="39"/>
        <v>7.4449999999999994E-3</v>
      </c>
      <c r="CH69" s="450">
        <f t="shared" si="39"/>
        <v>7.3399999999999993E-3</v>
      </c>
      <c r="CI69" s="450">
        <f t="shared" si="39"/>
        <v>7.3100000000000005E-3</v>
      </c>
      <c r="CJ69" s="450">
        <f t="shared" si="39"/>
        <v>7.2549999999999993E-3</v>
      </c>
    </row>
    <row r="70" spans="1:88" s="355" customFormat="1" hidden="1" x14ac:dyDescent="0.25">
      <c r="A70" s="400">
        <v>1200000142</v>
      </c>
      <c r="B70" s="455" t="str">
        <f>VLOOKUP(A70,'Loan Book Summary'!C:G,5,FALSE)</f>
        <v>0015800001Enl9O</v>
      </c>
      <c r="C70" s="167">
        <f>VLOOKUP(A70,'Ref-Data'!$A:$I,9,0)</f>
        <v>1</v>
      </c>
      <c r="D70" s="445">
        <f>VLOOKUP(A70,'Adjustment Factor'!A:C,3,0)</f>
        <v>1.1951755713707852</v>
      </c>
      <c r="E70" s="446">
        <f>VLOOKUP(A70,'Ref-Data'!A:C,2,FALSE)</f>
        <v>867000</v>
      </c>
      <c r="F70" s="445">
        <f>VLOOKUP(A70,'Ref-Data'!$A:$F,6,FALSE)</f>
        <v>4.0793976728268309</v>
      </c>
      <c r="G70" s="346"/>
      <c r="H70" s="273">
        <f>VLOOKUP($B70, 'Output 96% Downside'!$A:$CW,42,FALSE)</f>
        <v>0.115</v>
      </c>
      <c r="I70" s="273">
        <f>VLOOKUP($B70, 'Output 96% Downside'!$A:$CW,43,FALSE)</f>
        <v>0.1036</v>
      </c>
      <c r="J70" s="273">
        <f>VLOOKUP($B70, 'Output 96% Downside'!$A:$CW,44,FALSE)</f>
        <v>9.74E-2</v>
      </c>
      <c r="K70" s="273">
        <f>VLOOKUP($B70, 'Output 96% Downside'!$A:$CW,45,FALSE)</f>
        <v>9.3200000000000005E-2</v>
      </c>
      <c r="L70" s="273">
        <f>VLOOKUP($B70, 'Output 96% Downside'!$A:$CW,46,FALSE)</f>
        <v>0.09</v>
      </c>
      <c r="M70" s="447">
        <f t="shared" si="38"/>
        <v>3.0080216661532932E-2</v>
      </c>
      <c r="N70" s="447">
        <f t="shared" si="40"/>
        <v>5.9255613888661074E-2</v>
      </c>
      <c r="O70" s="447">
        <f t="shared" si="41"/>
        <v>8.7553408846010927E-2</v>
      </c>
      <c r="P70" s="346"/>
      <c r="Q70" s="390">
        <f t="shared" si="42"/>
        <v>3.5951140135404638E-2</v>
      </c>
      <c r="R70" s="390">
        <f t="shared" si="42"/>
        <v>7.0820862186307135E-2</v>
      </c>
      <c r="S70" s="390">
        <f t="shared" si="42"/>
        <v>0.10464169544299107</v>
      </c>
      <c r="T70" s="390">
        <f t="shared" si="43"/>
        <v>0.1374451907076403</v>
      </c>
      <c r="U70" s="390">
        <f t="shared" si="44"/>
        <v>0.24702605814434217</v>
      </c>
      <c r="V70" s="390">
        <f t="shared" si="45"/>
        <v>0.3393758207325977</v>
      </c>
      <c r="W70" s="390">
        <f t="shared" si="46"/>
        <v>0.41913635749207673</v>
      </c>
      <c r="X70" s="390">
        <f t="shared" si="47"/>
        <v>0.4889798867411605</v>
      </c>
      <c r="Y70" s="390">
        <f t="shared" si="48"/>
        <v>0.1374451907076403</v>
      </c>
      <c r="Z70" s="390">
        <f t="shared" si="49"/>
        <v>0.4889798867411605</v>
      </c>
      <c r="AC70" s="273">
        <f>VLOOKUP($B70, 'Output Baseline'!$A:$CW,42,FALSE)</f>
        <v>0.1176</v>
      </c>
      <c r="AD70" s="273">
        <f>VLOOKUP($B70, 'Output Baseline'!$A:$CW,43,FALSE)</f>
        <v>0.109</v>
      </c>
      <c r="AE70" s="273">
        <f>VLOOKUP($B70, 'Output Baseline'!$A:$CW,44,FALSE)</f>
        <v>0.1043</v>
      </c>
      <c r="AF70" s="273">
        <f>VLOOKUP($B70, 'Output Baseline'!$A:$CW,45,FALSE)</f>
        <v>0.10100000000000001</v>
      </c>
      <c r="AG70" s="273">
        <f>VLOOKUP($B70, 'Output Baseline'!$A:$CW,46,FALSE)</f>
        <v>9.8599999999999993E-2</v>
      </c>
      <c r="AH70" s="447">
        <f t="shared" si="50"/>
        <v>3.0793373286485348E-2</v>
      </c>
      <c r="AI70" s="447">
        <f t="shared" si="51"/>
        <v>6.0638514734609905E-2</v>
      </c>
      <c r="AJ70" s="447">
        <f t="shared" si="52"/>
        <v>8.9564623601334326E-2</v>
      </c>
      <c r="AK70" s="346"/>
      <c r="AL70" s="390">
        <f t="shared" si="53"/>
        <v>3.6803487512109004E-2</v>
      </c>
      <c r="AM70" s="390">
        <f t="shared" si="53"/>
        <v>7.2473671495013173E-2</v>
      </c>
      <c r="AN70" s="390">
        <f t="shared" si="53"/>
        <v>0.10704545018733407</v>
      </c>
      <c r="AO70" s="390">
        <f t="shared" si="54"/>
        <v>0.14055264719320434</v>
      </c>
      <c r="AP70" s="390">
        <f t="shared" si="55"/>
        <v>0.2555065459285607</v>
      </c>
      <c r="AQ70" s="390">
        <f t="shared" si="56"/>
        <v>0.35351402528218479</v>
      </c>
      <c r="AR70" s="390">
        <f t="shared" si="57"/>
        <v>0.43852184143713341</v>
      </c>
      <c r="AS70" s="390">
        <f t="shared" si="58"/>
        <v>0.51312789920859148</v>
      </c>
      <c r="AT70" s="390">
        <f t="shared" si="59"/>
        <v>0.14055264719320434</v>
      </c>
      <c r="AU70" s="390">
        <f t="shared" si="60"/>
        <v>0.51312789920859148</v>
      </c>
      <c r="AX70" s="273">
        <f>VLOOKUP($B70, 'Output 90% Downside'!$A:$CW,42,FALSE)</f>
        <v>0.1193</v>
      </c>
      <c r="AY70" s="273">
        <f>VLOOKUP($B70, 'Output 90% Downside'!$A:$CW,43,FALSE)</f>
        <v>0.1105</v>
      </c>
      <c r="AZ70" s="273">
        <f>VLOOKUP($B70, 'Output 90% Downside'!$A:$CW,44,FALSE)</f>
        <v>0.1057</v>
      </c>
      <c r="BA70" s="273">
        <f>VLOOKUP($B70, 'Output 90% Downside'!$A:$CW,45,FALSE)</f>
        <v>0.1023</v>
      </c>
      <c r="BB70" s="273">
        <f>VLOOKUP($B70, 'Output 90% Downside'!$A:$CW,46,FALSE)</f>
        <v>9.98E-2</v>
      </c>
      <c r="BC70" s="447">
        <f t="shared" si="61"/>
        <v>3.1260520546658288E-2</v>
      </c>
      <c r="BD70" s="447">
        <f t="shared" si="62"/>
        <v>6.1543820948468553E-2</v>
      </c>
      <c r="BE70" s="447">
        <f t="shared" si="63"/>
        <v>9.0880449615847403E-2</v>
      </c>
      <c r="BF70" s="346"/>
      <c r="BG70" s="390">
        <f t="shared" si="64"/>
        <v>3.7361810505700491E-2</v>
      </c>
      <c r="BH70" s="390">
        <f t="shared" si="64"/>
        <v>7.3555671366427197E-2</v>
      </c>
      <c r="BI70" s="390">
        <f t="shared" si="64"/>
        <v>0.10861809329605428</v>
      </c>
      <c r="BJ70" s="390">
        <f t="shared" si="65"/>
        <v>0.14258444566453468</v>
      </c>
      <c r="BK70" s="390">
        <f t="shared" si="66"/>
        <v>0.25889576505507539</v>
      </c>
      <c r="BL70" s="390">
        <f t="shared" si="67"/>
        <v>0.35786054058264588</v>
      </c>
      <c r="BM70" s="390">
        <f t="shared" si="68"/>
        <v>0.44351786823227257</v>
      </c>
      <c r="BN70" s="390">
        <f t="shared" si="69"/>
        <v>0.51853330700549616</v>
      </c>
      <c r="BO70" s="390">
        <f t="shared" si="70"/>
        <v>0.14258444566453468</v>
      </c>
      <c r="BP70" s="390">
        <f t="shared" si="71"/>
        <v>0.51853330700549616</v>
      </c>
      <c r="BQ70" s="347"/>
      <c r="BU70" s="390">
        <f>IFERROR(AL70*$BS$2+BG70*$BS$4+Q70*$BS$3,VLOOKUP(A70,'Updated Ncino PD'!A:K,4,FALSE))</f>
        <v>3.6956283191030809E-2</v>
      </c>
      <c r="BV70" s="390">
        <f>IFERROR(AM70*$BS$2+BH70*$BS$4+R70*$BS$3,VLOOKUP(A70,'Updated Ncino PD'!A:K,5,FALSE))</f>
        <v>7.2769730984572775E-2</v>
      </c>
      <c r="BW70" s="390">
        <f>IFERROR(AN70*$BS$2+BI70*$BS$4+S70*$BS$3,VLOOKUP(A70,'Updated Ncino PD'!A:K,6,FALSE))</f>
        <v>0.10747568753816898</v>
      </c>
      <c r="BX70" s="390">
        <f>IFERROR(AO70*$BS$2+BJ70*$BS$4+T70*$BS$3,VLOOKUP(A70,'Updated Ncino PD'!A:K,7,FALSE))</f>
        <v>0.14110840383389175</v>
      </c>
      <c r="BY70" s="390">
        <f>IFERROR(AP70*$BS$2+BK70*$BS$4+U70*$BS$3,VLOOKUP(A70,'Updated Ncino PD'!A:K,8,FALSE))</f>
        <v>0.25626874823362988</v>
      </c>
      <c r="BZ70" s="390">
        <f>IFERROR(AQ70*$BS$2+BL70*$BS$4+V70*$BS$3,VLOOKUP(A70,'Updated Ncino PD'!A:K,9,FALSE))</f>
        <v>0.35432839540986683</v>
      </c>
      <c r="CA70" s="390">
        <f>IFERROR(AR70*$BS$2+BM70*$BS$4+W70*$BS$3,VLOOKUP(A70,'Updated Ncino PD'!A:K,10,FALSE))</f>
        <v>0.43930117661817925</v>
      </c>
      <c r="CB70" s="390">
        <f>IFERROR(AS70*$BS$2+BN70*$BS$4+X70*$BS$3,VLOOKUP(A70,'Updated Ncino PD'!A:K,11,FALSE))</f>
        <v>0.51381239131413659</v>
      </c>
      <c r="CC70" s="390">
        <f t="shared" si="37"/>
        <v>0.14110840383389175</v>
      </c>
      <c r="CD70" s="390">
        <f t="shared" si="37"/>
        <v>0.51381239131413659</v>
      </c>
      <c r="CF70" s="450">
        <f t="shared" si="39"/>
        <v>0.118065</v>
      </c>
      <c r="CG70" s="450">
        <f t="shared" si="39"/>
        <v>0.109255</v>
      </c>
      <c r="CH70" s="450">
        <f t="shared" si="39"/>
        <v>0.104445</v>
      </c>
      <c r="CI70" s="450">
        <f t="shared" si="39"/>
        <v>0.10106499999999999</v>
      </c>
      <c r="CJ70" s="450">
        <f t="shared" si="39"/>
        <v>9.8589999999999983E-2</v>
      </c>
    </row>
    <row r="71" spans="1:88" s="355" customFormat="1" hidden="1" x14ac:dyDescent="0.25">
      <c r="A71" s="400">
        <v>1200000143</v>
      </c>
      <c r="B71" s="455" t="str">
        <f>VLOOKUP(A71,'Loan Book Summary'!C:G,5,FALSE)</f>
        <v>0015800001fFIlI</v>
      </c>
      <c r="C71" s="167">
        <f>VLOOKUP(A71,'Ref-Data'!$A:$I,9,0)</f>
        <v>1</v>
      </c>
      <c r="D71" s="445">
        <f>VLOOKUP(A71,'Adjustment Factor'!A:C,3,0)</f>
        <v>1.8425777267619361</v>
      </c>
      <c r="E71" s="446">
        <f>VLOOKUP(A71,'Ref-Data'!A:C,2,FALSE)</f>
        <v>2462727.33</v>
      </c>
      <c r="F71" s="445">
        <f>VLOOKUP(A71,'Ref-Data'!$A:$F,6,FALSE)</f>
        <v>4.991101984941821</v>
      </c>
      <c r="G71" s="346"/>
      <c r="H71" s="273">
        <f>VLOOKUP($B71, 'Output 96% Downside'!$A:$CW,42,FALSE)</f>
        <v>8.9999999999999993E-3</v>
      </c>
      <c r="I71" s="273">
        <f>VLOOKUP($B71, 'Output 96% Downside'!$A:$CW,43,FALSE)</f>
        <v>9.2999999999999992E-3</v>
      </c>
      <c r="J71" s="273">
        <f>VLOOKUP($B71, 'Output 96% Downside'!$A:$CW,44,FALSE)</f>
        <v>9.4999999999999998E-3</v>
      </c>
      <c r="K71" s="273">
        <f>VLOOKUP($B71, 'Output 96% Downside'!$A:$CW,45,FALSE)</f>
        <v>9.5999999999999992E-3</v>
      </c>
      <c r="L71" s="273">
        <f>VLOOKUP($B71, 'Output 96% Downside'!$A:$CW,46,FALSE)</f>
        <v>9.7000000000000003E-3</v>
      </c>
      <c r="M71" s="447">
        <f t="shared" si="38"/>
        <v>2.2576338655427852E-3</v>
      </c>
      <c r="N71" s="447">
        <f t="shared" si="40"/>
        <v>4.5101708204147162E-3</v>
      </c>
      <c r="O71" s="447">
        <f t="shared" si="41"/>
        <v>6.757622371573957E-3</v>
      </c>
      <c r="P71" s="346"/>
      <c r="Q71" s="390">
        <f t="shared" si="42"/>
        <v>4.1598658758325874E-3</v>
      </c>
      <c r="R71" s="390">
        <f t="shared" si="42"/>
        <v>8.3103402975877646E-3</v>
      </c>
      <c r="S71" s="390">
        <f t="shared" si="42"/>
        <v>1.2451444467730345E-2</v>
      </c>
      <c r="T71" s="390">
        <f t="shared" si="43"/>
        <v>1.6583199540857425E-2</v>
      </c>
      <c r="U71" s="390">
        <f t="shared" si="44"/>
        <v>3.3564948644013388E-2</v>
      </c>
      <c r="V71" s="390">
        <f t="shared" si="45"/>
        <v>5.0750570036133633E-2</v>
      </c>
      <c r="W71" s="390">
        <f t="shared" si="46"/>
        <v>6.7952110740701427E-2</v>
      </c>
      <c r="X71" s="390">
        <f t="shared" si="47"/>
        <v>8.516597921610751E-2</v>
      </c>
      <c r="Y71" s="390">
        <f t="shared" si="48"/>
        <v>1.6583199540857425E-2</v>
      </c>
      <c r="Z71" s="390">
        <f t="shared" si="49"/>
        <v>8.516597921610751E-2</v>
      </c>
      <c r="AC71" s="273">
        <f>VLOOKUP($B71, 'Output Baseline'!$A:$CW,42,FALSE)</f>
        <v>2.8E-3</v>
      </c>
      <c r="AD71" s="273">
        <f>VLOOKUP($B71, 'Output Baseline'!$A:$CW,43,FALSE)</f>
        <v>3.3E-3</v>
      </c>
      <c r="AE71" s="273">
        <f>VLOOKUP($B71, 'Output Baseline'!$A:$CW,44,FALSE)</f>
        <v>3.7000000000000002E-3</v>
      </c>
      <c r="AF71" s="273">
        <f>VLOOKUP($B71, 'Output Baseline'!$A:$CW,45,FALSE)</f>
        <v>3.8999999999999998E-3</v>
      </c>
      <c r="AG71" s="273">
        <f>VLOOKUP($B71, 'Output Baseline'!$A:$CW,46,FALSE)</f>
        <v>4.1000000000000003E-3</v>
      </c>
      <c r="AH71" s="447">
        <f t="shared" si="50"/>
        <v>7.007362028158548E-4</v>
      </c>
      <c r="AI71" s="447">
        <f t="shared" si="51"/>
        <v>1.4009813744058075E-3</v>
      </c>
      <c r="AJ71" s="447">
        <f t="shared" si="52"/>
        <v>2.1007358588531755E-3</v>
      </c>
      <c r="AK71" s="346"/>
      <c r="AL71" s="390">
        <f t="shared" si="53"/>
        <v>1.2911609196442288E-3</v>
      </c>
      <c r="AM71" s="390">
        <f t="shared" si="53"/>
        <v>2.5814170760884657E-3</v>
      </c>
      <c r="AN71" s="390">
        <f t="shared" si="53"/>
        <v>3.8707691033329676E-3</v>
      </c>
      <c r="AO71" s="390">
        <f t="shared" si="54"/>
        <v>5.1592176349334207E-3</v>
      </c>
      <c r="AP71" s="390">
        <f t="shared" si="55"/>
        <v>1.122269871505248E-2</v>
      </c>
      <c r="AQ71" s="390">
        <f t="shared" si="56"/>
        <v>1.7998712318826094E-2</v>
      </c>
      <c r="AR71" s="390">
        <f t="shared" si="57"/>
        <v>2.5114570475154162E-2</v>
      </c>
      <c r="AS71" s="390">
        <f t="shared" si="58"/>
        <v>3.2566169415929852E-2</v>
      </c>
      <c r="AT71" s="390">
        <f t="shared" si="59"/>
        <v>5.1592176349334207E-3</v>
      </c>
      <c r="AU71" s="390">
        <f t="shared" si="60"/>
        <v>3.2566169415929852E-2</v>
      </c>
      <c r="AX71" s="273">
        <f>VLOOKUP($B71, 'Output 90% Downside'!$A:$CW,42,FALSE)</f>
        <v>5.8999999999999999E-3</v>
      </c>
      <c r="AY71" s="273">
        <f>VLOOKUP($B71, 'Output 90% Downside'!$A:$CW,43,FALSE)</f>
        <v>6.4000000000000003E-3</v>
      </c>
      <c r="AZ71" s="273">
        <f>VLOOKUP($B71, 'Output 90% Downside'!$A:$CW,44,FALSE)</f>
        <v>6.7000000000000002E-3</v>
      </c>
      <c r="BA71" s="273">
        <f>VLOOKUP($B71, 'Output 90% Downside'!$A:$CW,45,FALSE)</f>
        <v>6.8999999999999999E-3</v>
      </c>
      <c r="BB71" s="273">
        <f>VLOOKUP($B71, 'Output 90% Downside'!$A:$CW,46,FALSE)</f>
        <v>7.1000000000000004E-3</v>
      </c>
      <c r="BC71" s="447">
        <f t="shared" si="61"/>
        <v>1.4782747149250097E-3</v>
      </c>
      <c r="BD71" s="447">
        <f t="shared" si="62"/>
        <v>2.9543641337171911E-3</v>
      </c>
      <c r="BE71" s="447">
        <f t="shared" si="63"/>
        <v>4.4282714868446593E-3</v>
      </c>
      <c r="BF71" s="346"/>
      <c r="BG71" s="390">
        <f t="shared" si="64"/>
        <v>2.7238360637561734E-3</v>
      </c>
      <c r="BH71" s="390">
        <f t="shared" si="64"/>
        <v>5.4436455495316186E-3</v>
      </c>
      <c r="BI71" s="390">
        <f t="shared" si="64"/>
        <v>8.1594344097149305E-3</v>
      </c>
      <c r="BJ71" s="390">
        <f t="shared" si="65"/>
        <v>1.0871208587895424E-2</v>
      </c>
      <c r="BK71" s="390">
        <f t="shared" si="66"/>
        <v>2.2594130304209245E-2</v>
      </c>
      <c r="BL71" s="390">
        <f t="shared" si="67"/>
        <v>3.4788020400476162E-2</v>
      </c>
      <c r="BM71" s="390">
        <f t="shared" si="68"/>
        <v>4.7261769374370356E-2</v>
      </c>
      <c r="BN71" s="390">
        <f t="shared" si="69"/>
        <v>6.000851267182198E-2</v>
      </c>
      <c r="BO71" s="390">
        <f t="shared" si="70"/>
        <v>1.0871208587895424E-2</v>
      </c>
      <c r="BP71" s="390">
        <f t="shared" si="71"/>
        <v>6.000851267182198E-2</v>
      </c>
      <c r="BQ71" s="347"/>
      <c r="BU71" s="390">
        <f>IFERROR(AL71*$BS$2+BG71*$BS$4+Q71*$BS$3,VLOOKUP(A71,'Updated Ncino PD'!A:K,4,FALSE))</f>
        <v>1.9360324678928272E-3</v>
      </c>
      <c r="BV71" s="390">
        <f>IFERROR(AM71*$BS$2+BH71*$BS$4+R71*$BS$3,VLOOKUP(A71,'Updated Ncino PD'!A:K,5,FALSE))</f>
        <v>3.8696432028685339E-3</v>
      </c>
      <c r="BW71" s="390">
        <f>IFERROR(AN71*$BS$2+BI71*$BS$4+S71*$BS$3,VLOOKUP(A71,'Updated Ncino PD'!A:K,6,FALSE))</f>
        <v>5.8008357287865232E-3</v>
      </c>
      <c r="BX71" s="390">
        <f>IFERROR(AO71*$BS$2+BJ71*$BS$4+T71*$BS$3,VLOOKUP(A71,'Updated Ncino PD'!A:K,7,FALSE))</f>
        <v>7.7296135637663216E-3</v>
      </c>
      <c r="BY71" s="390">
        <f>IFERROR(AP71*$BS$2+BK71*$BS$4+U71*$BS$3,VLOOKUP(A71,'Updated Ncino PD'!A:K,8,FALSE))</f>
        <v>1.6319812267705392E-2</v>
      </c>
      <c r="BZ71" s="390">
        <f>IFERROR(AQ71*$BS$2+BL71*$BS$4+V71*$BS$3,VLOOKUP(A71,'Updated Ncino PD'!A:K,9,FALSE))</f>
        <v>2.5512563033268994E-2</v>
      </c>
      <c r="CA71" s="390">
        <f>IFERROR(AR71*$BS$2+BM71*$BS$4+W71*$BS$3,VLOOKUP(A71,'Updated Ncino PD'!A:K,10,FALSE))</f>
        <v>3.5007967103157192E-2</v>
      </c>
      <c r="CB71" s="390">
        <f>IFERROR(AS71*$BS$2+BN71*$BS$4+X71*$BS$3,VLOOKUP(A71,'Updated Ncino PD'!A:K,11,FALSE))</f>
        <v>4.4800980045500975E-2</v>
      </c>
      <c r="CC71" s="390">
        <f t="shared" si="37"/>
        <v>7.7296135637663216E-3</v>
      </c>
      <c r="CD71" s="390">
        <f t="shared" si="37"/>
        <v>4.4800980045500975E-2</v>
      </c>
      <c r="CF71" s="450">
        <f t="shared" si="39"/>
        <v>4.1949999999999999E-3</v>
      </c>
      <c r="CG71" s="450">
        <f t="shared" si="39"/>
        <v>4.6849999999999999E-3</v>
      </c>
      <c r="CH71" s="450">
        <f t="shared" si="39"/>
        <v>5.0400000000000002E-3</v>
      </c>
      <c r="CI71" s="450">
        <f t="shared" si="39"/>
        <v>5.2349999999999992E-3</v>
      </c>
      <c r="CJ71" s="450">
        <f t="shared" si="39"/>
        <v>5.4299999999999999E-3</v>
      </c>
    </row>
    <row r="72" spans="1:88" hidden="1" x14ac:dyDescent="0.25">
      <c r="A72" s="400">
        <v>1200000144</v>
      </c>
      <c r="B72" s="455" t="str">
        <f>VLOOKUP(A72,'Loan Book Summary'!C:G,5,FALSE)</f>
        <v>0015800001cfgV5</v>
      </c>
      <c r="C72" s="167">
        <f>VLOOKUP(A72,'Ref-Data'!$A:$I,9,0)</f>
        <v>1</v>
      </c>
      <c r="D72" s="445">
        <f>VLOOKUP(A72,'Adjustment Factor'!A:C,3,0)</f>
        <v>1.38</v>
      </c>
      <c r="E72" s="446">
        <f>VLOOKUP(A72,'Ref-Data'!A:C,2,FALSE)</f>
        <v>203978</v>
      </c>
      <c r="F72" s="445">
        <f>VLOOKUP(A72,'Ref-Data'!$A:$F,6,FALSE)</f>
        <v>2.0670773442847366</v>
      </c>
      <c r="G72" s="346"/>
      <c r="H72" s="273">
        <f>VLOOKUP($B72, 'Output 96% Downside'!$A:$CW,42,FALSE)</f>
        <v>1.6500000000000001E-2</v>
      </c>
      <c r="I72" s="273">
        <f>VLOOKUP($B72, 'Output 96% Downside'!$A:$CW,43,FALSE)</f>
        <v>1.55E-2</v>
      </c>
      <c r="J72" s="273">
        <f>VLOOKUP($B72, 'Output 96% Downside'!$A:$CW,44,FALSE)</f>
        <v>1.4999999999999999E-2</v>
      </c>
      <c r="K72" s="273">
        <f>VLOOKUP($B72, 'Output 96% Downside'!$A:$CW,45,FALSE)</f>
        <v>1.46E-2</v>
      </c>
      <c r="L72" s="273">
        <f>VLOOKUP($B72, 'Output 96% Downside'!$A:$CW,46,FALSE)</f>
        <v>1.43E-2</v>
      </c>
      <c r="M72" s="447">
        <f t="shared" ref="M72:M115" si="72">1-(1-H72)^(1/4)</f>
        <v>4.150771922269092E-3</v>
      </c>
      <c r="N72" s="447">
        <f t="shared" ref="N72:N115" si="73">1-(1-M72)*(1-M72)</f>
        <v>8.2843149369874469E-3</v>
      </c>
      <c r="O72" s="447">
        <f t="shared" ref="O72:O115" si="74">1-(1-M72)*(1-M72)*(1-M72)</f>
        <v>1.2400700557420818E-2</v>
      </c>
      <c r="P72" s="346"/>
      <c r="Q72" s="390">
        <f t="shared" ref="Q72:Q115" si="75">M72*$D72</f>
        <v>5.7280652527313463E-3</v>
      </c>
      <c r="R72" s="390">
        <f t="shared" ref="R72:R115" si="76">N72*$D72</f>
        <v>1.1432354613042676E-2</v>
      </c>
      <c r="S72" s="390">
        <f t="shared" ref="S72:S115" si="77">O72*$D72</f>
        <v>1.7112966769240727E-2</v>
      </c>
      <c r="T72" s="390">
        <f t="shared" ref="T72:T115" si="78">H72*$D72</f>
        <v>2.2769999999999999E-2</v>
      </c>
      <c r="U72" s="390">
        <f t="shared" ref="U72:U115" si="79">(1-((1-H72)*(1-I72)))*$D72</f>
        <v>4.3807064999999881E-2</v>
      </c>
      <c r="V72" s="390">
        <f t="shared" ref="V72:V115" si="80">(1-((1-H72)*(1-I72)*(1-J72)))*$D72</f>
        <v>6.3849959024999847E-2</v>
      </c>
      <c r="W72" s="390">
        <f t="shared" ref="W72:W115" si="81">(1-((1-H72)*(1-I72)*(1-J72)*(1-K72)))*$D72</f>
        <v>8.3065749623234722E-2</v>
      </c>
      <c r="X72" s="390">
        <f t="shared" ref="X72:X115" si="82">(1-((1-H72)*(1-I72)*(1-J72)*(1-K72)*(1-L72)))*$D72</f>
        <v>0.1016119094036224</v>
      </c>
      <c r="Y72" s="390">
        <f t="shared" ref="Y72:Y115" si="83">IF($C72=1,IF($F72&gt;=1,T72,1-(1-T72)^$F72),IF($F72&gt;=1,Z72,1-(1-Z72)^$F72))</f>
        <v>2.2769999999999999E-2</v>
      </c>
      <c r="Z72" s="390">
        <f t="shared" ref="Z72:Z115" si="84">IF($F72&lt;=1,T72,IF($F72&lt;=2,U72,IF($F72&lt;=3,V72,IF($F72&lt;=4,W72,X72))))</f>
        <v>6.3849959024999847E-2</v>
      </c>
      <c r="AA72" s="355"/>
      <c r="AB72" s="355"/>
      <c r="AC72" s="273">
        <f>VLOOKUP($B72, 'Output Baseline'!$A:$CW,42,FALSE)</f>
        <v>5.5999999999999999E-3</v>
      </c>
      <c r="AD72" s="273">
        <f>VLOOKUP($B72, 'Output Baseline'!$A:$CW,43,FALSE)</f>
        <v>6.1000000000000004E-3</v>
      </c>
      <c r="AE72" s="273">
        <f>VLOOKUP($B72, 'Output Baseline'!$A:$CW,44,FALSE)</f>
        <v>6.4000000000000003E-3</v>
      </c>
      <c r="AF72" s="273">
        <f>VLOOKUP($B72, 'Output Baseline'!$A:$CW,45,FALSE)</f>
        <v>6.7000000000000002E-3</v>
      </c>
      <c r="AG72" s="273">
        <f>VLOOKUP($B72, 'Output Baseline'!$A:$CW,46,FALSE)</f>
        <v>6.8999999999999999E-3</v>
      </c>
      <c r="AH72" s="447">
        <f t="shared" ref="AH72:AH115" si="85">1-(1-AC72)^(1/4)</f>
        <v>1.4029496411314124E-3</v>
      </c>
      <c r="AI72" s="447">
        <f t="shared" ref="AI72:AI115" si="86">1-(1-AH72)*(1-AH72)</f>
        <v>2.8039310145673291E-3</v>
      </c>
      <c r="AJ72" s="447">
        <f t="shared" ref="AJ72:AJ115" si="87">1-(1-AH72)*(1-AH72)*(1-AH72)</f>
        <v>4.2029468816880966E-3</v>
      </c>
      <c r="AK72" s="346"/>
      <c r="AL72" s="390">
        <f t="shared" ref="AL72:AL115" si="88">AH72*$D72</f>
        <v>1.9360705047613491E-3</v>
      </c>
      <c r="AM72" s="390">
        <f t="shared" ref="AM72:AM115" si="89">AI72*$D72</f>
        <v>3.8694248001029138E-3</v>
      </c>
      <c r="AN72" s="390">
        <f t="shared" ref="AN72:AN115" si="90">AJ72*$D72</f>
        <v>5.8000666967295729E-3</v>
      </c>
      <c r="AO72" s="390">
        <f t="shared" ref="AO72:AO115" si="91">AC72*$D72</f>
        <v>7.7279999999999996E-3</v>
      </c>
      <c r="AP72" s="390">
        <f t="shared" ref="AP72:AP115" si="92">(1-((1-AC72)*(1-AD72)))*$D72</f>
        <v>1.6098859200000051E-2</v>
      </c>
      <c r="AQ72" s="390">
        <f t="shared" ref="AQ72:AQ115" si="93">(1-((1-AC72)*(1-AD72)*(1-AE72)))*$D72</f>
        <v>2.4827826501120018E-2</v>
      </c>
      <c r="AR72" s="390">
        <f t="shared" ref="AR72:AR115" si="94">(1-((1-AC72)*(1-AD72)*(1-AE72)*(1-AF72)))*$D72</f>
        <v>3.3907480063562541E-2</v>
      </c>
      <c r="AS72" s="390">
        <f t="shared" ref="AS72:AS115" si="95">(1-((1-AC72)*(1-AD72)*(1-AE72)*(1-AF72)*(1-AG72)))*$D72</f>
        <v>4.3195518451124036E-2</v>
      </c>
      <c r="AT72" s="390">
        <f t="shared" ref="AT72:AT115" si="96">IF($C72=1,IF($F72&gt;=1,AO72,1-(1-AO72)^$F72),IF($F72&gt;=1,AU72,1-(1-AU72)^$F72))</f>
        <v>7.7279999999999996E-3</v>
      </c>
      <c r="AU72" s="390">
        <f t="shared" ref="AU72:AU115" si="97">IF($F72&lt;=1,AO72,IF($F72&lt;=2,AP72,IF($F72&lt;=3,AQ72,IF($F72&lt;=4,AR72,AS72))))</f>
        <v>2.4827826501120018E-2</v>
      </c>
      <c r="AV72" s="355"/>
      <c r="AW72" s="355"/>
      <c r="AX72" s="273">
        <f>VLOOKUP($B72, 'Output 90% Downside'!$A:$CW,42,FALSE)</f>
        <v>1.2500000000000001E-2</v>
      </c>
      <c r="AY72" s="273">
        <f>VLOOKUP($B72, 'Output 90% Downside'!$A:$CW,43,FALSE)</f>
        <v>1.23E-2</v>
      </c>
      <c r="AZ72" s="273">
        <f>VLOOKUP($B72, 'Output 90% Downside'!$A:$CW,44,FALSE)</f>
        <v>1.2200000000000001E-2</v>
      </c>
      <c r="BA72" s="273">
        <f>VLOOKUP($B72, 'Output 90% Downside'!$A:$CW,45,FALSE)</f>
        <v>1.21E-2</v>
      </c>
      <c r="BB72" s="273">
        <f>VLOOKUP($B72, 'Output 90% Downside'!$A:$CW,46,FALSE)</f>
        <v>1.2E-2</v>
      </c>
      <c r="BC72" s="447">
        <f t="shared" ref="BC72:BC115" si="98">1-(1-AX72)^(1/4)</f>
        <v>3.1397561756264514E-3</v>
      </c>
      <c r="BD72" s="447">
        <f t="shared" ref="BD72:BD115" si="99">1-(1-BC72)*(1-BC72)</f>
        <v>6.2696542824105528E-3</v>
      </c>
      <c r="BE72" s="447">
        <f t="shared" ref="BE72:BE115" si="100">1-(1-BC72)*(1-BC72)*(1-BC72)</f>
        <v>9.3897252722847657E-3</v>
      </c>
      <c r="BF72" s="346"/>
      <c r="BG72" s="390">
        <f t="shared" ref="BG72:BG115" si="101">BC72*$D72</f>
        <v>4.3328635223645025E-3</v>
      </c>
      <c r="BH72" s="390">
        <f t="shared" ref="BH72:BH115" si="102">BD72*$D72</f>
        <v>8.6521229097265614E-3</v>
      </c>
      <c r="BI72" s="390">
        <f t="shared" ref="BI72:BI115" si="103">BE72*$D72</f>
        <v>1.2957820875752975E-2</v>
      </c>
      <c r="BJ72" s="390">
        <f t="shared" ref="BJ72:BJ115" si="104">AX72*$D72</f>
        <v>1.7249999999999998E-2</v>
      </c>
      <c r="BK72" s="390">
        <f t="shared" ref="BK72:BK115" si="105">(1-((1-AX72)*(1-AY72)))*$D72</f>
        <v>3.4011824999999968E-2</v>
      </c>
      <c r="BL72" s="390">
        <f t="shared" ref="BL72:BL115" si="106">(1-((1-AX72)*(1-AY72)*(1-AZ72)))*$D72</f>
        <v>5.0432880735000005E-2</v>
      </c>
      <c r="BM72" s="390">
        <f t="shared" ref="BM72:BM115" si="107">(1-((1-AX72)*(1-AY72)*(1-AZ72)*(1-BA72)))*$D72</f>
        <v>6.652064287810644E-2</v>
      </c>
      <c r="BN72" s="390">
        <f t="shared" ref="BN72:BN115" si="108">(1-((1-AX72)*(1-AY72)*(1-AZ72)*(1-BA72)*(1-BB72)))*$D72</f>
        <v>8.2282395163569111E-2</v>
      </c>
      <c r="BO72" s="390">
        <f t="shared" ref="BO72:BO115" si="109">IF($C72=1,IF($F72&gt;=1,BJ72,1-(1-BJ72)^$F72),IF($F72&gt;=1,BP72,1-(1-BP72)^$F72))</f>
        <v>1.7249999999999998E-2</v>
      </c>
      <c r="BP72" s="390">
        <f t="shared" ref="BP72:BP115" si="110">IF($F72&lt;=1,BJ72,IF($F72&lt;=2,BK72,IF($F72&lt;=3,BL72,IF($F72&lt;=4,BM72,BN72))))</f>
        <v>5.0432880735000005E-2</v>
      </c>
      <c r="BQ72" s="347"/>
      <c r="BR72" s="355"/>
      <c r="BS72" s="355"/>
      <c r="BT72" s="355"/>
      <c r="BU72" s="390">
        <f>IFERROR(AL72*$BS$2+BG72*$BS$4+Q72*$BS$3,VLOOKUP(A72,'Updated Ncino PD'!A:K,4,FALSE))</f>
        <v>2.9645477983209524E-3</v>
      </c>
      <c r="BV72" s="390">
        <f>IFERROR(AM72*$BS$2+BH72*$BS$4+R72*$BS$3,VLOOKUP(A72,'Updated Ncino PD'!A:K,5,FALSE))</f>
        <v>5.9215156291181782E-3</v>
      </c>
      <c r="BW72" s="390">
        <f>IFERROR(AN72*$BS$2+BI72*$BS$4+S72*$BS$3,VLOOKUP(A72,'Updated Ncino PD'!A:K,6,FALSE))</f>
        <v>8.8709256630133213E-3</v>
      </c>
      <c r="BX72" s="390">
        <f>IFERROR(AO72*$BS$2+BJ72*$BS$4+T72*$BS$3,VLOOKUP(A72,'Updated Ncino PD'!A:K,7,FALSE))</f>
        <v>1.1812799999999998E-2</v>
      </c>
      <c r="BY72" s="390">
        <f>IFERROR(AP72*$BS$2+BK72*$BS$4+U72*$BS$3,VLOOKUP(A72,'Updated Ncino PD'!A:K,8,FALSE))</f>
        <v>2.3753807520000014E-2</v>
      </c>
      <c r="BZ72" s="390">
        <f>IFERROR(AQ72*$BS$2+BL72*$BS$4+V72*$BS$3,VLOOKUP(A72,'Updated Ncino PD'!A:K,9,FALSE))</f>
        <v>3.5740702109171997E-2</v>
      </c>
      <c r="CA72" s="390">
        <f>IFERROR(AR72*$BS$2+BM72*$BS$4+W72*$BS$3,VLOOKUP(A72,'Updated Ncino PD'!A:K,10,FALSE))</f>
        <v>4.7780000526636508E-2</v>
      </c>
      <c r="CB72" s="390">
        <f>IFERROR(AS72*$BS$2+BN72*$BS$4+X72*$BS$3,VLOOKUP(A72,'Updated Ncino PD'!A:K,11,FALSE))</f>
        <v>5.9796744848104724E-2</v>
      </c>
      <c r="CC72" s="390">
        <f t="shared" ref="CC72:CC115" si="111">AT72*$BS$2+BO72*$BS$4+Y72*$BS$3</f>
        <v>1.1812799999999998E-2</v>
      </c>
      <c r="CD72" s="390">
        <f t="shared" ref="CD72:CD115" si="112">AU72*$BS$2+BP72*$BS$4+Z72*$BS$3</f>
        <v>3.5740702109171997E-2</v>
      </c>
      <c r="CE72" s="355"/>
      <c r="CF72" s="450">
        <f t="shared" ref="CF72:CF115" si="113">$BS$2*AC72+$BS$3*H72+$BS$4*AX72</f>
        <v>8.5599999999999982E-3</v>
      </c>
      <c r="CG72" s="450">
        <f t="shared" ref="CG72:CG115" si="114">$BS$2*AD72+$BS$3*I72+$BS$4*AY72</f>
        <v>8.7399999999999995E-3</v>
      </c>
      <c r="CH72" s="450">
        <f t="shared" ref="CH72:CH115" si="115">$BS$2*AE72+$BS$3*J72+$BS$4*AZ72</f>
        <v>8.8599999999999998E-3</v>
      </c>
      <c r="CI72" s="450">
        <f t="shared" ref="CI72:CI115" si="116">$BS$2*AF72+$BS$3*K72+$BS$4*BA72</f>
        <v>8.9849999999999999E-3</v>
      </c>
      <c r="CJ72" s="450">
        <f t="shared" ref="CJ72:CJ115" si="117">$BS$2*AG72+$BS$3*L72+$BS$4*BB72</f>
        <v>9.0550000000000005E-3</v>
      </c>
    </row>
    <row r="73" spans="1:88" hidden="1" x14ac:dyDescent="0.25">
      <c r="A73" s="400">
        <v>1200000139</v>
      </c>
      <c r="B73" s="455" t="str">
        <f>VLOOKUP(A73,'Loan Book Summary'!C:G,5,FALSE)</f>
        <v>0014I0000293MAy</v>
      </c>
      <c r="C73" s="167">
        <f>VLOOKUP(A73,'Ref-Data'!$A:$I,9,0)</f>
        <v>1</v>
      </c>
      <c r="D73" s="445">
        <f>VLOOKUP(A73,'Adjustment Factor'!A:C,3,0)</f>
        <v>1.78</v>
      </c>
      <c r="E73" s="446">
        <f>VLOOKUP(A73,'Ref-Data'!A:C,2,FALSE)</f>
        <v>5000000</v>
      </c>
      <c r="F73" s="445">
        <f>VLOOKUP(A73,'Ref-Data'!$A:$F,6,FALSE)</f>
        <v>2.1546885694729636</v>
      </c>
      <c r="G73" s="346"/>
      <c r="H73" s="273">
        <f>VLOOKUP($B73, 'Output 96% Downside'!$A:$CW,42,FALSE)</f>
        <v>1.35E-2</v>
      </c>
      <c r="I73" s="273">
        <f>VLOOKUP($B73, 'Output 96% Downside'!$A:$CW,43,FALSE)</f>
        <v>1.18E-2</v>
      </c>
      <c r="J73" s="273">
        <f>VLOOKUP($B73, 'Output 96% Downside'!$A:$CW,44,FALSE)</f>
        <v>1.09E-2</v>
      </c>
      <c r="K73" s="273">
        <f>VLOOKUP($B73, 'Output 96% Downside'!$A:$CW,45,FALSE)</f>
        <v>1.03E-2</v>
      </c>
      <c r="L73" s="273">
        <f>VLOOKUP($B73, 'Output 96% Downside'!$A:$CW,46,FALSE)</f>
        <v>9.9000000000000008E-3</v>
      </c>
      <c r="M73" s="447">
        <f t="shared" si="72"/>
        <v>3.3922217508471908E-3</v>
      </c>
      <c r="N73" s="447">
        <f t="shared" si="73"/>
        <v>6.7729363332874604E-3</v>
      </c>
      <c r="O73" s="447">
        <f t="shared" si="74"/>
        <v>1.0142182782187814E-2</v>
      </c>
      <c r="P73" s="346"/>
      <c r="Q73" s="390">
        <f t="shared" si="75"/>
        <v>6.0381547165080001E-3</v>
      </c>
      <c r="R73" s="390">
        <f t="shared" si="76"/>
        <v>1.205582667325168E-2</v>
      </c>
      <c r="S73" s="390">
        <f t="shared" si="77"/>
        <v>1.8053085352294308E-2</v>
      </c>
      <c r="T73" s="390">
        <f t="shared" si="78"/>
        <v>2.4029999999999999E-2</v>
      </c>
      <c r="U73" s="390">
        <f t="shared" si="79"/>
        <v>4.4750446000000027E-2</v>
      </c>
      <c r="V73" s="390">
        <f t="shared" si="80"/>
        <v>6.3664666138600057E-2</v>
      </c>
      <c r="W73" s="390">
        <f t="shared" si="81"/>
        <v>8.1342920077372455E-2</v>
      </c>
      <c r="X73" s="390">
        <f t="shared" si="82"/>
        <v>9.8159625168606532E-2</v>
      </c>
      <c r="Y73" s="390">
        <f t="shared" si="83"/>
        <v>2.4029999999999999E-2</v>
      </c>
      <c r="Z73" s="390">
        <f t="shared" si="84"/>
        <v>6.3664666138600057E-2</v>
      </c>
      <c r="AA73" s="355"/>
      <c r="AB73" s="355"/>
      <c r="AC73" s="273">
        <f>VLOOKUP($B73, 'Output Baseline'!$A:$CW,42,FALSE)</f>
        <v>1.17E-2</v>
      </c>
      <c r="AD73" s="273">
        <f>VLOOKUP($B73, 'Output Baseline'!$A:$CW,43,FALSE)</f>
        <v>1.04E-2</v>
      </c>
      <c r="AE73" s="273">
        <f>VLOOKUP($B73, 'Output Baseline'!$A:$CW,44,FALSE)</f>
        <v>9.7999999999999997E-3</v>
      </c>
      <c r="AF73" s="273">
        <f>VLOOKUP($B73, 'Output Baseline'!$A:$CW,45,FALSE)</f>
        <v>9.2999999999999992E-3</v>
      </c>
      <c r="AG73" s="273">
        <f>VLOOKUP($B73, 'Output Baseline'!$A:$CW,46,FALSE)</f>
        <v>8.9999999999999993E-3</v>
      </c>
      <c r="AH73" s="447">
        <f t="shared" si="85"/>
        <v>2.9379217364887689E-3</v>
      </c>
      <c r="AI73" s="447">
        <f t="shared" si="86"/>
        <v>5.867212088847773E-3</v>
      </c>
      <c r="AJ73" s="447">
        <f t="shared" si="87"/>
        <v>8.7878964154081141E-3</v>
      </c>
      <c r="AK73" s="346"/>
      <c r="AL73" s="390">
        <f t="shared" si="88"/>
        <v>5.2295006909500088E-3</v>
      </c>
      <c r="AM73" s="390">
        <f t="shared" si="89"/>
        <v>1.0443637518149036E-2</v>
      </c>
      <c r="AN73" s="390">
        <f t="shared" si="90"/>
        <v>1.5642455619426444E-2</v>
      </c>
      <c r="AO73" s="390">
        <f t="shared" si="91"/>
        <v>2.0826000000000001E-2</v>
      </c>
      <c r="AP73" s="390">
        <f t="shared" si="92"/>
        <v>3.912140959999999E-2</v>
      </c>
      <c r="AQ73" s="390">
        <f t="shared" si="93"/>
        <v>5.6182019785919989E-2</v>
      </c>
      <c r="AR73" s="390">
        <f t="shared" si="94"/>
        <v>7.2213527001910846E-2</v>
      </c>
      <c r="AS73" s="390">
        <f t="shared" si="95"/>
        <v>8.7583605258893568E-2</v>
      </c>
      <c r="AT73" s="390">
        <f t="shared" si="96"/>
        <v>2.0826000000000001E-2</v>
      </c>
      <c r="AU73" s="390">
        <f t="shared" si="97"/>
        <v>5.6182019785919989E-2</v>
      </c>
      <c r="AV73" s="355"/>
      <c r="AW73" s="355"/>
      <c r="AX73" s="273">
        <f>VLOOKUP($B73, 'Output 90% Downside'!$A:$CW,42,FALSE)</f>
        <v>1.32E-2</v>
      </c>
      <c r="AY73" s="273">
        <f>VLOOKUP($B73, 'Output 90% Downside'!$A:$CW,43,FALSE)</f>
        <v>1.1599999999999999E-2</v>
      </c>
      <c r="AZ73" s="273">
        <f>VLOOKUP($B73, 'Output 90% Downside'!$A:$CW,44,FALSE)</f>
        <v>1.0699999999999999E-2</v>
      </c>
      <c r="BA73" s="273">
        <f>VLOOKUP($B73, 'Output 90% Downside'!$A:$CW,45,FALSE)</f>
        <v>1.01E-2</v>
      </c>
      <c r="BB73" s="273">
        <f>VLOOKUP($B73, 'Output 90% Downside'!$A:$CW,46,FALSE)</f>
        <v>9.7000000000000003E-3</v>
      </c>
      <c r="BC73" s="447">
        <f t="shared" si="98"/>
        <v>3.316461932368675E-3</v>
      </c>
      <c r="BD73" s="447">
        <f t="shared" si="99"/>
        <v>6.6219249449884776E-3</v>
      </c>
      <c r="BE73" s="447">
        <f t="shared" si="100"/>
        <v>9.916425515358096E-3</v>
      </c>
      <c r="BF73" s="346"/>
      <c r="BG73" s="390">
        <f t="shared" si="101"/>
        <v>5.9033022396162418E-3</v>
      </c>
      <c r="BH73" s="390">
        <f t="shared" si="102"/>
        <v>1.178702640207949E-2</v>
      </c>
      <c r="BI73" s="390">
        <f t="shared" si="103"/>
        <v>1.7651237417337411E-2</v>
      </c>
      <c r="BJ73" s="390">
        <f t="shared" si="104"/>
        <v>2.3496E-2</v>
      </c>
      <c r="BK73" s="390">
        <f t="shared" si="105"/>
        <v>4.3871446400000069E-2</v>
      </c>
      <c r="BL73" s="390">
        <f t="shared" si="106"/>
        <v>6.2448021923520204E-2</v>
      </c>
      <c r="BM73" s="390">
        <f t="shared" si="107"/>
        <v>7.9795296902092708E-2</v>
      </c>
      <c r="BN73" s="390">
        <f t="shared" si="108"/>
        <v>9.6287282522142512E-2</v>
      </c>
      <c r="BO73" s="390">
        <f t="shared" si="109"/>
        <v>2.3496E-2</v>
      </c>
      <c r="BP73" s="390">
        <f t="shared" si="110"/>
        <v>6.2448021923520204E-2</v>
      </c>
      <c r="BQ73" s="347"/>
      <c r="BR73" s="355"/>
      <c r="BS73" s="355"/>
      <c r="BT73" s="355"/>
      <c r="BU73" s="390">
        <f>IFERROR(AL73*$BS$2+BG73*$BS$4+Q73*$BS$3,VLOOKUP(A73,'Updated Ncino PD'!A:K,4,FALSE))</f>
        <v>5.5057639342610898E-3</v>
      </c>
      <c r="BV73" s="390">
        <f>IFERROR(AM73*$BS$2+BH73*$BS$4+R73*$BS$3,VLOOKUP(A73,'Updated Ncino PD'!A:K,5,FALSE))</f>
        <v>1.0994433085279826E-2</v>
      </c>
      <c r="BW73" s="390">
        <f>IFERROR(AN73*$BS$2+BI73*$BS$4+S73*$BS$3,VLOOKUP(A73,'Updated Ncino PD'!A:K,6,FALSE))</f>
        <v>1.6466060735338673E-2</v>
      </c>
      <c r="BX73" s="390">
        <f>IFERROR(AO73*$BS$2+BJ73*$BS$4+T73*$BS$3,VLOOKUP(A73,'Updated Ncino PD'!A:K,7,FALSE))</f>
        <v>2.1920700000000001E-2</v>
      </c>
      <c r="BY73" s="390">
        <f>IFERROR(AP73*$BS$2+BK73*$BS$4+U73*$BS$3,VLOOKUP(A73,'Updated Ncino PD'!A:K,8,FALSE))</f>
        <v>4.106537430000002E-2</v>
      </c>
      <c r="BZ73" s="390">
        <f>IFERROR(AQ73*$BS$2+BL73*$BS$4+V73*$BS$3,VLOOKUP(A73,'Updated Ncino PD'!A:K,9,FALSE))</f>
        <v>5.8749252851714062E-2</v>
      </c>
      <c r="CA73" s="390">
        <f>IFERROR(AR73*$BS$2+BM73*$BS$4+W73*$BS$3,VLOOKUP(A73,'Updated Ncino PD'!A:K,10,FALSE))</f>
        <v>7.5323616120747575E-2</v>
      </c>
      <c r="CB73" s="390">
        <f>IFERROR(AS73*$BS$2+BN73*$BS$4+X73*$BS$3,VLOOKUP(A73,'Updated Ncino PD'!A:K,11,FALSE))</f>
        <v>9.1158693296516338E-2</v>
      </c>
      <c r="CC73" s="390">
        <f t="shared" si="111"/>
        <v>2.1920700000000001E-2</v>
      </c>
      <c r="CD73" s="390">
        <f t="shared" si="112"/>
        <v>5.8749252851714062E-2</v>
      </c>
      <c r="CE73" s="355"/>
      <c r="CF73" s="450">
        <f t="shared" si="113"/>
        <v>1.2315E-2</v>
      </c>
      <c r="CG73" s="450">
        <f t="shared" si="114"/>
        <v>1.089E-2</v>
      </c>
      <c r="CH73" s="450">
        <f t="shared" si="115"/>
        <v>1.017E-2</v>
      </c>
      <c r="CI73" s="450">
        <f t="shared" si="116"/>
        <v>9.6299999999999979E-3</v>
      </c>
      <c r="CJ73" s="450">
        <f t="shared" si="117"/>
        <v>9.2899999999999996E-3</v>
      </c>
    </row>
    <row r="74" spans="1:88" hidden="1" x14ac:dyDescent="0.25">
      <c r="A74" s="400">
        <v>1100000195</v>
      </c>
      <c r="B74" s="455" t="str">
        <f>VLOOKUP(A74,'Loan Book Summary'!C:G,5,FALSE)</f>
        <v>0014I000029Mo45</v>
      </c>
      <c r="C74" s="167">
        <f>VLOOKUP(A74,'Ref-Data'!$A:$I,9,0)</f>
        <v>1</v>
      </c>
      <c r="D74" s="445">
        <f>VLOOKUP(A74,'Adjustment Factor'!A:C,3,0)</f>
        <v>2.7477756207255806</v>
      </c>
      <c r="E74" s="446">
        <f>VLOOKUP(A74,'Ref-Data'!A:C,2,FALSE)</f>
        <v>3000000</v>
      </c>
      <c r="F74" s="445">
        <f>VLOOKUP(A74,'Ref-Data'!$A:$F,6,FALSE)</f>
        <v>4.0054757015742641</v>
      </c>
      <c r="G74" s="346"/>
      <c r="H74" s="273">
        <f>VLOOKUP($B74, 'Output 96% Downside'!$A:$CW,42,FALSE)</f>
        <v>1.44E-2</v>
      </c>
      <c r="I74" s="273">
        <f>VLOOKUP($B74, 'Output 96% Downside'!$A:$CW,43,FALSE)</f>
        <v>1.23E-2</v>
      </c>
      <c r="J74" s="273">
        <f>VLOOKUP($B74, 'Output 96% Downside'!$A:$CW,44,FALSE)</f>
        <v>1.12E-2</v>
      </c>
      <c r="K74" s="273">
        <f>VLOOKUP($B74, 'Output 96% Downside'!$A:$CW,45,FALSE)</f>
        <v>1.0500000000000001E-2</v>
      </c>
      <c r="L74" s="273">
        <f>VLOOKUP($B74, 'Output 96% Downside'!$A:$CW,46,FALSE)</f>
        <v>0.01</v>
      </c>
      <c r="M74" s="447">
        <f t="shared" si="72"/>
        <v>3.6196049302914535E-3</v>
      </c>
      <c r="N74" s="447">
        <f t="shared" si="73"/>
        <v>7.2261083207315613E-3</v>
      </c>
      <c r="O74" s="447">
        <f t="shared" si="74"/>
        <v>1.0819557593718443E-2</v>
      </c>
      <c r="P74" s="346"/>
      <c r="Q74" s="390">
        <f t="shared" si="75"/>
        <v>9.9458621841129712E-3</v>
      </c>
      <c r="R74" s="390">
        <f t="shared" si="76"/>
        <v>1.9855724276428448E-2</v>
      </c>
      <c r="S74" s="390">
        <f t="shared" si="77"/>
        <v>2.9729716583055864E-2</v>
      </c>
      <c r="T74" s="390">
        <f t="shared" si="78"/>
        <v>3.9567968938448356E-2</v>
      </c>
      <c r="U74" s="390">
        <f t="shared" si="79"/>
        <v>7.2878923055429853E-2</v>
      </c>
      <c r="V74" s="390">
        <f t="shared" si="80"/>
        <v>0.10283776606933562</v>
      </c>
      <c r="W74" s="390">
        <f t="shared" si="81"/>
        <v>0.13060961354322598</v>
      </c>
      <c r="X74" s="390">
        <f t="shared" si="82"/>
        <v>0.15678127361504951</v>
      </c>
      <c r="Y74" s="390">
        <f t="shared" si="83"/>
        <v>3.9567968938448356E-2</v>
      </c>
      <c r="Z74" s="390">
        <f t="shared" si="84"/>
        <v>0.15678127361504951</v>
      </c>
      <c r="AA74" s="355"/>
      <c r="AB74" s="355"/>
      <c r="AC74" s="273">
        <f>VLOOKUP($B74, 'Output Baseline'!$A:$CW,42,FALSE)</f>
        <v>1.3899999999999999E-2</v>
      </c>
      <c r="AD74" s="273">
        <f>VLOOKUP($B74, 'Output Baseline'!$A:$CW,43,FALSE)</f>
        <v>1.1900000000000001E-2</v>
      </c>
      <c r="AE74" s="273">
        <f>VLOOKUP($B74, 'Output Baseline'!$A:$CW,44,FALSE)</f>
        <v>1.0800000000000001E-2</v>
      </c>
      <c r="AF74" s="273">
        <f>VLOOKUP($B74, 'Output Baseline'!$A:$CW,45,FALSE)</f>
        <v>1.0200000000000001E-2</v>
      </c>
      <c r="AG74" s="273">
        <f>VLOOKUP($B74, 'Output Baseline'!$A:$CW,46,FALSE)</f>
        <v>9.7000000000000003E-3</v>
      </c>
      <c r="AH74" s="447">
        <f t="shared" si="85"/>
        <v>3.4932617256081544E-3</v>
      </c>
      <c r="AI74" s="447">
        <f t="shared" si="86"/>
        <v>6.9743205737327063E-3</v>
      </c>
      <c r="AJ74" s="447">
        <f t="shared" si="87"/>
        <v>1.0443219172218465E-2</v>
      </c>
      <c r="AK74" s="346"/>
      <c r="AL74" s="390">
        <f t="shared" si="88"/>
        <v>9.5986994064398597E-3</v>
      </c>
      <c r="AM74" s="390">
        <f t="shared" si="89"/>
        <v>1.9163868043627574E-2</v>
      </c>
      <c r="AN74" s="390">
        <f t="shared" si="90"/>
        <v>2.8695623043315879E-2</v>
      </c>
      <c r="AO74" s="390">
        <f t="shared" si="91"/>
        <v>3.8194081128085568E-2</v>
      </c>
      <c r="AP74" s="390">
        <f t="shared" si="92"/>
        <v>7.0438101449295798E-2</v>
      </c>
      <c r="AQ74" s="390">
        <f t="shared" si="93"/>
        <v>9.9353346657479691E-2</v>
      </c>
      <c r="AR74" s="390">
        <f t="shared" si="94"/>
        <v>0.12636725385297415</v>
      </c>
      <c r="AS74" s="390">
        <f t="shared" si="95"/>
        <v>0.15179491501163853</v>
      </c>
      <c r="AT74" s="390">
        <f t="shared" si="96"/>
        <v>3.8194081128085568E-2</v>
      </c>
      <c r="AU74" s="390">
        <f t="shared" si="97"/>
        <v>0.15179491501163853</v>
      </c>
      <c r="AV74" s="355"/>
      <c r="AW74" s="355"/>
      <c r="AX74" s="273">
        <f>VLOOKUP($B74, 'Output 90% Downside'!$A:$CW,42,FALSE)</f>
        <v>1.44E-2</v>
      </c>
      <c r="AY74" s="273">
        <f>VLOOKUP($B74, 'Output 90% Downside'!$A:$CW,43,FALSE)</f>
        <v>1.23E-2</v>
      </c>
      <c r="AZ74" s="273">
        <f>VLOOKUP($B74, 'Output 90% Downside'!$A:$CW,44,FALSE)</f>
        <v>1.12E-2</v>
      </c>
      <c r="BA74" s="273">
        <f>VLOOKUP($B74, 'Output 90% Downside'!$A:$CW,45,FALSE)</f>
        <v>1.0500000000000001E-2</v>
      </c>
      <c r="BB74" s="273">
        <f>VLOOKUP($B74, 'Output 90% Downside'!$A:$CW,46,FALSE)</f>
        <v>0.01</v>
      </c>
      <c r="BC74" s="447">
        <f t="shared" si="98"/>
        <v>3.6196049302914535E-3</v>
      </c>
      <c r="BD74" s="447">
        <f t="shared" si="99"/>
        <v>7.2261083207315613E-3</v>
      </c>
      <c r="BE74" s="447">
        <f t="shared" si="100"/>
        <v>1.0819557593718443E-2</v>
      </c>
      <c r="BF74" s="346"/>
      <c r="BG74" s="390">
        <f t="shared" si="101"/>
        <v>9.9458621841129712E-3</v>
      </c>
      <c r="BH74" s="390">
        <f t="shared" si="102"/>
        <v>1.9855724276428448E-2</v>
      </c>
      <c r="BI74" s="390">
        <f t="shared" si="103"/>
        <v>2.9729716583055864E-2</v>
      </c>
      <c r="BJ74" s="390">
        <f t="shared" si="104"/>
        <v>3.9567968938448356E-2</v>
      </c>
      <c r="BK74" s="390">
        <f t="shared" si="105"/>
        <v>7.2878923055429853E-2</v>
      </c>
      <c r="BL74" s="390">
        <f t="shared" si="106"/>
        <v>0.10283776606933562</v>
      </c>
      <c r="BM74" s="390">
        <f t="shared" si="107"/>
        <v>0.13060961354322598</v>
      </c>
      <c r="BN74" s="390">
        <f t="shared" si="108"/>
        <v>0.15678127361504951</v>
      </c>
      <c r="BO74" s="390">
        <f t="shared" si="109"/>
        <v>3.9567968938448356E-2</v>
      </c>
      <c r="BP74" s="390">
        <f t="shared" si="110"/>
        <v>0.15678127361504951</v>
      </c>
      <c r="BQ74" s="347"/>
      <c r="BR74" s="355"/>
      <c r="BS74" s="355"/>
      <c r="BT74" s="355"/>
      <c r="BU74" s="390">
        <f>IFERROR(AL74*$BS$2+BG74*$BS$4+Q74*$BS$3,VLOOKUP(A74,'Updated Ncino PD'!A:K,4,FALSE))</f>
        <v>9.7375645175091039E-3</v>
      </c>
      <c r="BV74" s="390">
        <f>IFERROR(AM74*$BS$2+BH74*$BS$4+R74*$BS$3,VLOOKUP(A74,'Updated Ncino PD'!A:K,5,FALSE))</f>
        <v>1.9440610536747921E-2</v>
      </c>
      <c r="BW74" s="390">
        <f>IFERROR(AN74*$BS$2+BI74*$BS$4+S74*$BS$3,VLOOKUP(A74,'Updated Ncino PD'!A:K,6,FALSE))</f>
        <v>2.9109260459211871E-2</v>
      </c>
      <c r="BX74" s="390">
        <f>IFERROR(AO74*$BS$2+BJ74*$BS$4+T74*$BS$3,VLOOKUP(A74,'Updated Ncino PD'!A:K,7,FALSE))</f>
        <v>3.8743636252230679E-2</v>
      </c>
      <c r="BY74" s="390">
        <f>IFERROR(AP74*$BS$2+BK74*$BS$4+U74*$BS$3,VLOOKUP(A74,'Updated Ncino PD'!A:K,8,FALSE))</f>
        <v>7.1414430091749428E-2</v>
      </c>
      <c r="BZ74" s="390">
        <f>IFERROR(AQ74*$BS$2+BL74*$BS$4+V74*$BS$3,VLOOKUP(A74,'Updated Ncino PD'!A:K,9,FALSE))</f>
        <v>0.10074711442222205</v>
      </c>
      <c r="CA74" s="390">
        <f>IFERROR(AR74*$BS$2+BM74*$BS$4+W74*$BS$3,VLOOKUP(A74,'Updated Ncino PD'!A:K,10,FALSE))</f>
        <v>0.12806419772907487</v>
      </c>
      <c r="CB74" s="390">
        <f>IFERROR(AS74*$BS$2+BN74*$BS$4+X74*$BS$3,VLOOKUP(A74,'Updated Ncino PD'!A:K,11,FALSE))</f>
        <v>0.1537894584530029</v>
      </c>
      <c r="CC74" s="390">
        <f t="shared" si="111"/>
        <v>3.8743636252230679E-2</v>
      </c>
      <c r="CD74" s="390">
        <f t="shared" si="112"/>
        <v>0.1537894584530029</v>
      </c>
      <c r="CE74" s="355"/>
      <c r="CF74" s="450">
        <f t="shared" si="113"/>
        <v>1.4099999999999998E-2</v>
      </c>
      <c r="CG74" s="450">
        <f t="shared" si="114"/>
        <v>1.2060000000000001E-2</v>
      </c>
      <c r="CH74" s="450">
        <f t="shared" si="115"/>
        <v>1.0960000000000001E-2</v>
      </c>
      <c r="CI74" s="450">
        <f t="shared" si="116"/>
        <v>1.0320000000000001E-2</v>
      </c>
      <c r="CJ74" s="450">
        <f t="shared" si="117"/>
        <v>9.8199999999999989E-3</v>
      </c>
    </row>
    <row r="75" spans="1:88" x14ac:dyDescent="0.25">
      <c r="A75" s="400">
        <v>1100000224</v>
      </c>
      <c r="B75" s="455" t="str">
        <f>VLOOKUP(A75,'Loan Book Summary'!C:G,5,FALSE)</f>
        <v>0014I00002AOsY6</v>
      </c>
      <c r="C75" s="167">
        <f>VLOOKUP(A75,'Ref-Data'!$A:$I,9,0)</f>
        <v>1</v>
      </c>
      <c r="D75" s="445">
        <f>VLOOKUP(A75,'Adjustment Factor'!A:C,3,0)</f>
        <v>0.61490281232571897</v>
      </c>
      <c r="E75" s="446">
        <f>VLOOKUP(A75,'Ref-Data'!A:C,2,FALSE)</f>
        <v>32000000</v>
      </c>
      <c r="F75" s="445">
        <f>VLOOKUP(A75,'Ref-Data'!$A:$F,6,FALSE)</f>
        <v>4.4243668720054758</v>
      </c>
      <c r="G75" s="346"/>
      <c r="H75" s="273">
        <f>VLOOKUP($B75, 'Output 96% Downside'!$A:$CW,42,FALSE)</f>
        <v>1.01E-2</v>
      </c>
      <c r="I75" s="273">
        <f>VLOOKUP($B75, 'Output 96% Downside'!$A:$CW,43,FALSE)</f>
        <v>9.1000000000000004E-3</v>
      </c>
      <c r="J75" s="273">
        <f>VLOOKUP($B75, 'Output 96% Downside'!$A:$CW,44,FALSE)</f>
        <v>8.5000000000000006E-3</v>
      </c>
      <c r="K75" s="273">
        <f>VLOOKUP($B75, 'Output 96% Downside'!$A:$CW,45,FALSE)</f>
        <v>8.2000000000000007E-3</v>
      </c>
      <c r="L75" s="273">
        <f>VLOOKUP($B75, 'Output 96% Downside'!$A:$CW,46,FALSE)</f>
        <v>7.9000000000000008E-3</v>
      </c>
      <c r="M75" s="447">
        <f t="shared" si="72"/>
        <v>2.5346201763162268E-3</v>
      </c>
      <c r="N75" s="447">
        <f t="shared" si="73"/>
        <v>5.0628160531942523E-3</v>
      </c>
      <c r="O75" s="447">
        <f t="shared" si="74"/>
        <v>7.5846039137931198E-3</v>
      </c>
      <c r="P75" s="346"/>
      <c r="Q75" s="390">
        <f t="shared" si="75"/>
        <v>1.5585450745943575E-3</v>
      </c>
      <c r="R75" s="390">
        <f t="shared" si="76"/>
        <v>3.1131398293969426E-3</v>
      </c>
      <c r="S75" s="390">
        <f t="shared" si="77"/>
        <v>4.6637942769680446E-3</v>
      </c>
      <c r="T75" s="390">
        <f t="shared" si="78"/>
        <v>6.2105184044897611E-3</v>
      </c>
      <c r="U75" s="390">
        <f t="shared" si="79"/>
        <v>1.1749618279172961E-2</v>
      </c>
      <c r="V75" s="390">
        <f t="shared" si="80"/>
        <v>1.6876420428568569E-2</v>
      </c>
      <c r="W75" s="390">
        <f t="shared" si="81"/>
        <v>2.178023684212518E-2</v>
      </c>
      <c r="X75" s="390">
        <f t="shared" si="82"/>
        <v>2.6465905188445597E-2</v>
      </c>
      <c r="Y75" s="390">
        <f t="shared" si="83"/>
        <v>6.2105184044897611E-3</v>
      </c>
      <c r="Z75" s="390">
        <f t="shared" si="84"/>
        <v>2.6465905188445597E-2</v>
      </c>
      <c r="AA75" s="355"/>
      <c r="AB75" s="355"/>
      <c r="AC75" s="273">
        <f>VLOOKUP($B75, 'Output Baseline'!$A:$CW,42,FALSE)</f>
        <v>2.8999999999999998E-3</v>
      </c>
      <c r="AD75" s="273">
        <f>VLOOKUP($B75, 'Output Baseline'!$A:$CW,43,FALSE)</f>
        <v>3.3E-3</v>
      </c>
      <c r="AE75" s="273">
        <f>VLOOKUP($B75, 'Output Baseline'!$A:$CW,44,FALSE)</f>
        <v>3.5000000000000001E-3</v>
      </c>
      <c r="AF75" s="273">
        <f>VLOOKUP($B75, 'Output Baseline'!$A:$CW,45,FALSE)</f>
        <v>3.7000000000000002E-3</v>
      </c>
      <c r="AG75" s="273">
        <f>VLOOKUP($B75, 'Output Baseline'!$A:$CW,46,FALSE)</f>
        <v>3.8999999999999998E-3</v>
      </c>
      <c r="AH75" s="447">
        <f t="shared" si="85"/>
        <v>7.2578977393844557E-4</v>
      </c>
      <c r="AI75" s="447">
        <f t="shared" si="86"/>
        <v>1.4510527770809079E-3</v>
      </c>
      <c r="AJ75" s="447">
        <f t="shared" si="87"/>
        <v>2.1757893917523363E-3</v>
      </c>
      <c r="AK75" s="346"/>
      <c r="AL75" s="390">
        <f t="shared" si="88"/>
        <v>4.4629017315199801E-4</v>
      </c>
      <c r="AM75" s="390">
        <f t="shared" si="89"/>
        <v>8.9225643346009477E-4</v>
      </c>
      <c r="AN75" s="390">
        <f t="shared" si="90"/>
        <v>1.3378990160169771E-3</v>
      </c>
      <c r="AO75" s="390">
        <f t="shared" si="91"/>
        <v>1.7832181557445848E-3</v>
      </c>
      <c r="AP75" s="390">
        <f t="shared" si="92"/>
        <v>3.8065128165054815E-3</v>
      </c>
      <c r="AQ75" s="390">
        <f t="shared" si="93"/>
        <v>5.9453498647876859E-3</v>
      </c>
      <c r="AR75" s="390">
        <f t="shared" si="94"/>
        <v>8.1984924758931391E-3</v>
      </c>
      <c r="AS75" s="390">
        <f t="shared" si="95"/>
        <v>1.056463932330747E-2</v>
      </c>
      <c r="AT75" s="390">
        <f t="shared" si="96"/>
        <v>1.7832181557445848E-3</v>
      </c>
      <c r="AU75" s="390">
        <f t="shared" si="97"/>
        <v>1.056463932330747E-2</v>
      </c>
      <c r="AV75" s="355"/>
      <c r="AW75" s="355"/>
      <c r="AX75" s="273">
        <f>VLOOKUP($B75, 'Output 90% Downside'!$A:$CW,42,FALSE)</f>
        <v>6.6E-3</v>
      </c>
      <c r="AY75" s="273">
        <f>VLOOKUP($B75, 'Output 90% Downside'!$A:$CW,43,FALSE)</f>
        <v>6.4999999999999997E-3</v>
      </c>
      <c r="AZ75" s="273">
        <f>VLOOKUP($B75, 'Output 90% Downside'!$A:$CW,44,FALSE)</f>
        <v>6.4999999999999997E-3</v>
      </c>
      <c r="BA75" s="273">
        <f>VLOOKUP($B75, 'Output 90% Downside'!$A:$CW,45,FALSE)</f>
        <v>6.4999999999999997E-3</v>
      </c>
      <c r="BB75" s="273">
        <f>VLOOKUP($B75, 'Output 90% Downside'!$A:$CW,46,FALSE)</f>
        <v>6.4000000000000003E-3</v>
      </c>
      <c r="BC75" s="447">
        <f t="shared" si="98"/>
        <v>1.6540995441330919E-3</v>
      </c>
      <c r="BD75" s="447">
        <f t="shared" si="99"/>
        <v>3.3054630429643073E-3</v>
      </c>
      <c r="BE75" s="447">
        <f t="shared" si="100"/>
        <v>4.9540950221849123E-3</v>
      </c>
      <c r="BF75" s="346"/>
      <c r="BG75" s="390">
        <f t="shared" si="101"/>
        <v>1.0171104615541279E-3</v>
      </c>
      <c r="BH75" s="390">
        <f t="shared" si="102"/>
        <v>2.0325385211574813E-3</v>
      </c>
      <c r="BI75" s="390">
        <f t="shared" si="103"/>
        <v>3.0462869616703476E-3</v>
      </c>
      <c r="BJ75" s="390">
        <f t="shared" si="104"/>
        <v>4.0583585613497451E-3</v>
      </c>
      <c r="BK75" s="390">
        <f t="shared" si="105"/>
        <v>8.0288475108181729E-3</v>
      </c>
      <c r="BL75" s="390">
        <f t="shared" si="106"/>
        <v>1.1973528282114997E-2</v>
      </c>
      <c r="BM75" s="390">
        <f t="shared" si="107"/>
        <v>1.5892568628398402E-2</v>
      </c>
      <c r="BN75" s="390">
        <f t="shared" si="108"/>
        <v>1.9726234188061232E-2</v>
      </c>
      <c r="BO75" s="390">
        <f t="shared" si="109"/>
        <v>4.0583585613497451E-3</v>
      </c>
      <c r="BP75" s="390">
        <f t="shared" si="110"/>
        <v>1.9726234188061232E-2</v>
      </c>
      <c r="BQ75" s="347"/>
      <c r="BR75" s="355"/>
      <c r="BS75" s="355"/>
      <c r="BT75" s="355"/>
      <c r="BU75" s="390">
        <f>IFERROR(AL75*$BS$2+BG75*$BS$4+Q75*$BS$3,VLOOKUP(A75,'Updated Ncino PD'!A:K,4,FALSE))</f>
        <v>7.0169001916486147E-4</v>
      </c>
      <c r="BV75" s="390">
        <f>IFERROR(AM75*$BS$2+BH75*$BS$4+R75*$BS$3,VLOOKUP(A75,'Updated Ncino PD'!A:K,5,FALSE))</f>
        <v>1.4023993339510224E-3</v>
      </c>
      <c r="BW75" s="390">
        <f>IFERROR(AN75*$BS$2+BI75*$BS$4+S75*$BS$3,VLOOKUP(A75,'Updated Ncino PD'!A:K,6,FALSE))</f>
        <v>2.10212956004321E-3</v>
      </c>
      <c r="BX75" s="390">
        <f>IFERROR(AO75*$BS$2+BJ75*$BS$4+T75*$BS$3,VLOOKUP(A75,'Updated Ncino PD'!A:K,7,FALSE))</f>
        <v>2.8008823101436492E-3</v>
      </c>
      <c r="BY75" s="390">
        <f>IFERROR(AP75*$BS$2+BK75*$BS$4+U75*$BS$3,VLOOKUP(A75,'Updated Ncino PD'!A:K,8,FALSE))</f>
        <v>5.6814852326482973E-3</v>
      </c>
      <c r="BZ75" s="390">
        <f>IFERROR(AQ75*$BS$2+BL75*$BS$4+V75*$BS$3,VLOOKUP(A75,'Updated Ncino PD'!A:K,9,FALSE))</f>
        <v>8.6017658390412886E-3</v>
      </c>
      <c r="CA75" s="390">
        <f>IFERROR(AR75*$BS$2+BM75*$BS$4+W75*$BS$3,VLOOKUP(A75,'Updated Ncino PD'!A:K,10,FALSE))</f>
        <v>1.1570506347581583E-2</v>
      </c>
      <c r="CB75" s="390">
        <f>IFERROR(AS75*$BS$2+BN75*$BS$4+X75*$BS$3,VLOOKUP(A75,'Updated Ncino PD'!A:K,11,FALSE))</f>
        <v>1.4566260819228193E-2</v>
      </c>
      <c r="CC75" s="390">
        <f t="shared" si="111"/>
        <v>2.8008823101436492E-3</v>
      </c>
      <c r="CD75" s="390">
        <f t="shared" si="112"/>
        <v>1.4566260819228193E-2</v>
      </c>
      <c r="CE75" s="355"/>
      <c r="CF75" s="450">
        <f t="shared" si="113"/>
        <v>4.555E-3</v>
      </c>
      <c r="CG75" s="450">
        <f t="shared" si="114"/>
        <v>4.7099999999999998E-3</v>
      </c>
      <c r="CH75" s="450">
        <f t="shared" si="115"/>
        <v>4.7999999999999996E-3</v>
      </c>
      <c r="CI75" s="450">
        <f t="shared" si="116"/>
        <v>4.9049999999999996E-3</v>
      </c>
      <c r="CJ75" s="450">
        <f t="shared" si="117"/>
        <v>4.9749999999999994E-3</v>
      </c>
    </row>
    <row r="76" spans="1:88" hidden="1" x14ac:dyDescent="0.25">
      <c r="A76" s="400">
        <v>1100000226</v>
      </c>
      <c r="B76" s="455" t="str">
        <f>VLOOKUP(A76,'Loan Book Summary'!C:G,5,FALSE)</f>
        <v>0014I000029MDAV</v>
      </c>
      <c r="C76" s="167">
        <f>VLOOKUP(A76,'Ref-Data'!$A:$I,9,0)</f>
        <v>1</v>
      </c>
      <c r="D76" s="445">
        <f>VLOOKUP(A76,'Adjustment Factor'!A:C,3,0)</f>
        <v>1.03</v>
      </c>
      <c r="E76" s="446">
        <f>VLOOKUP(A76,'Ref-Data'!A:C,2,FALSE)</f>
        <v>41800000</v>
      </c>
      <c r="F76" s="445">
        <f>VLOOKUP(A76,'Ref-Data'!$A:$F,6,FALSE)</f>
        <v>0.61054072553045857</v>
      </c>
      <c r="G76" s="346"/>
      <c r="H76" s="273">
        <f>VLOOKUP($B76, 'Output 96% Downside'!$A:$CW,42,FALSE)</f>
        <v>2.98E-2</v>
      </c>
      <c r="I76" s="273">
        <f>VLOOKUP($B76, 'Output 96% Downside'!$A:$CW,43,FALSE)</f>
        <v>2.3599999999999999E-2</v>
      </c>
      <c r="J76" s="273">
        <f>VLOOKUP($B76, 'Output 96% Downside'!$A:$CW,44,FALSE)</f>
        <v>2.07E-2</v>
      </c>
      <c r="K76" s="273">
        <f>VLOOKUP($B76, 'Output 96% Downside'!$A:$CW,45,FALSE)</f>
        <v>1.8800000000000001E-2</v>
      </c>
      <c r="L76" s="273">
        <f>VLOOKUP($B76, 'Output 96% Downside'!$A:$CW,46,FALSE)</f>
        <v>1.7399999999999999E-2</v>
      </c>
      <c r="M76" s="447">
        <f t="shared" si="72"/>
        <v>7.5347313064703103E-3</v>
      </c>
      <c r="N76" s="447">
        <f t="shared" si="73"/>
        <v>1.5012690437079868E-2</v>
      </c>
      <c r="O76" s="447">
        <f t="shared" si="74"/>
        <v>2.2434305154919509E-2</v>
      </c>
      <c r="P76" s="346"/>
      <c r="Q76" s="390">
        <f t="shared" si="75"/>
        <v>7.7607732456644197E-3</v>
      </c>
      <c r="R76" s="390">
        <f t="shared" si="76"/>
        <v>1.5463071150192263E-2</v>
      </c>
      <c r="S76" s="390">
        <f t="shared" si="77"/>
        <v>2.3107334309567094E-2</v>
      </c>
      <c r="T76" s="390">
        <f t="shared" si="78"/>
        <v>3.0694000000000003E-2</v>
      </c>
      <c r="U76" s="390">
        <f t="shared" si="79"/>
        <v>5.4277621600000034E-2</v>
      </c>
      <c r="V76" s="390">
        <f t="shared" si="80"/>
        <v>7.4475074832880059E-2</v>
      </c>
      <c r="W76" s="390">
        <f t="shared" si="81"/>
        <v>9.2438943426021949E-2</v>
      </c>
      <c r="X76" s="390">
        <f t="shared" si="82"/>
        <v>0.10875250581040916</v>
      </c>
      <c r="Y76" s="390">
        <f t="shared" si="83"/>
        <v>1.8853568365699291E-2</v>
      </c>
      <c r="Z76" s="390">
        <f t="shared" si="84"/>
        <v>3.0694000000000003E-2</v>
      </c>
      <c r="AA76" s="355"/>
      <c r="AB76" s="355"/>
      <c r="AC76" s="273">
        <f>VLOOKUP($B76, 'Output Baseline'!$A:$CW,42,FALSE)</f>
        <v>1.18E-2</v>
      </c>
      <c r="AD76" s="273">
        <f>VLOOKUP($B76, 'Output Baseline'!$A:$CW,43,FALSE)</f>
        <v>1.0200000000000001E-2</v>
      </c>
      <c r="AE76" s="273">
        <f>VLOOKUP($B76, 'Output Baseline'!$A:$CW,44,FALSE)</f>
        <v>9.2999999999999992E-3</v>
      </c>
      <c r="AF76" s="273">
        <f>VLOOKUP($B76, 'Output Baseline'!$A:$CW,45,FALSE)</f>
        <v>8.6999999999999994E-3</v>
      </c>
      <c r="AG76" s="273">
        <f>VLOOKUP($B76, 'Output Baseline'!$A:$CW,46,FALSE)</f>
        <v>8.3000000000000001E-3</v>
      </c>
      <c r="AH76" s="447">
        <f t="shared" si="85"/>
        <v>2.9631443387594381E-3</v>
      </c>
      <c r="AI76" s="447">
        <f t="shared" si="86"/>
        <v>5.9175084531465361E-3</v>
      </c>
      <c r="AJ76" s="447">
        <f t="shared" si="87"/>
        <v>8.8631183602334573E-3</v>
      </c>
      <c r="AK76" s="346"/>
      <c r="AL76" s="390">
        <f t="shared" si="88"/>
        <v>3.0520386689222214E-3</v>
      </c>
      <c r="AM76" s="390">
        <f t="shared" si="89"/>
        <v>6.095033706740932E-3</v>
      </c>
      <c r="AN76" s="390">
        <f t="shared" si="90"/>
        <v>9.1290119110404612E-3</v>
      </c>
      <c r="AO76" s="390">
        <f t="shared" si="91"/>
        <v>1.2154E-2</v>
      </c>
      <c r="AP76" s="390">
        <f t="shared" si="92"/>
        <v>2.2536029199999977E-2</v>
      </c>
      <c r="AQ76" s="390">
        <f t="shared" si="93"/>
        <v>3.190544412843991E-2</v>
      </c>
      <c r="AR76" s="390">
        <f t="shared" si="94"/>
        <v>4.0588866764522544E-2</v>
      </c>
      <c r="AS76" s="390">
        <f t="shared" si="95"/>
        <v>4.880097917037695E-2</v>
      </c>
      <c r="AT76" s="390">
        <f t="shared" si="96"/>
        <v>7.438174016021426E-3</v>
      </c>
      <c r="AU76" s="390">
        <f t="shared" si="97"/>
        <v>1.2154E-2</v>
      </c>
      <c r="AV76" s="355"/>
      <c r="AW76" s="355"/>
      <c r="AX76" s="273">
        <f>VLOOKUP($B76, 'Output 90% Downside'!$A:$CW,42,FALSE)</f>
        <v>2.9100000000000001E-2</v>
      </c>
      <c r="AY76" s="273">
        <f>VLOOKUP($B76, 'Output 90% Downside'!$A:$CW,43,FALSE)</f>
        <v>2.3E-2</v>
      </c>
      <c r="AZ76" s="273">
        <f>VLOOKUP($B76, 'Output 90% Downside'!$A:$CW,44,FALSE)</f>
        <v>0.02</v>
      </c>
      <c r="BA76" s="273">
        <f>VLOOKUP($B76, 'Output 90% Downside'!$A:$CW,45,FALSE)</f>
        <v>1.8200000000000001E-2</v>
      </c>
      <c r="BB76" s="273">
        <f>VLOOKUP($B76, 'Output 90% Downside'!$A:$CW,46,FALSE)</f>
        <v>1.6799999999999999E-2</v>
      </c>
      <c r="BC76" s="447">
        <f t="shared" si="98"/>
        <v>7.3557636193309905E-3</v>
      </c>
      <c r="BD76" s="447">
        <f t="shared" si="99"/>
        <v>1.4657419980238506E-2</v>
      </c>
      <c r="BE76" s="447">
        <f t="shared" si="100"/>
        <v>2.1905367082925564E-2</v>
      </c>
      <c r="BF76" s="346"/>
      <c r="BG76" s="390">
        <f t="shared" si="101"/>
        <v>7.5764365279109205E-3</v>
      </c>
      <c r="BH76" s="390">
        <f t="shared" si="102"/>
        <v>1.5097142579645662E-2</v>
      </c>
      <c r="BI76" s="390">
        <f t="shared" si="103"/>
        <v>2.2562528095413332E-2</v>
      </c>
      <c r="BJ76" s="390">
        <f t="shared" si="104"/>
        <v>2.9973000000000003E-2</v>
      </c>
      <c r="BK76" s="390">
        <f t="shared" si="105"/>
        <v>5.2973621000000054E-2</v>
      </c>
      <c r="BL76" s="390">
        <f t="shared" si="106"/>
        <v>7.251414858000009E-2</v>
      </c>
      <c r="BM76" s="390">
        <f t="shared" si="107"/>
        <v>8.9940391075844048E-2</v>
      </c>
      <c r="BN76" s="390">
        <f t="shared" si="108"/>
        <v>0.10573339250576985</v>
      </c>
      <c r="BO76" s="390">
        <f t="shared" si="109"/>
        <v>1.8408055816116931E-2</v>
      </c>
      <c r="BP76" s="390">
        <f t="shared" si="110"/>
        <v>2.9973000000000003E-2</v>
      </c>
      <c r="BQ76" s="347"/>
      <c r="BR76" s="355"/>
      <c r="BS76" s="355"/>
      <c r="BT76" s="355"/>
      <c r="BU76" s="390">
        <f>IFERROR(AL76*$BS$2+BG76*$BS$4+Q76*$BS$3,VLOOKUP(A76,'Updated Ncino PD'!A:K,4,FALSE))</f>
        <v>4.8710146484053753E-3</v>
      </c>
      <c r="BV76" s="390">
        <f>IFERROR(AM76*$BS$2+BH76*$BS$4+R76*$BS$3,VLOOKUP(A76,'Updated Ncino PD'!A:K,5,FALSE))</f>
        <v>9.7141736844301545E-3</v>
      </c>
      <c r="BW76" s="390">
        <f>IFERROR(AN76*$BS$2+BI76*$BS$4+S76*$BS$3,VLOOKUP(A76,'Updated Ncino PD'!A:K,6,FALSE))</f>
        <v>1.4529658695497296E-2</v>
      </c>
      <c r="BX76" s="390">
        <f>IFERROR(AO76*$BS$2+BJ76*$BS$4+T76*$BS$3,VLOOKUP(A76,'Updated Ncino PD'!A:K,7,FALSE))</f>
        <v>1.9317649999999999E-2</v>
      </c>
      <c r="BY76" s="390">
        <f>IFERROR(AP76*$BS$2+BK76*$BS$4+U76*$BS$3,VLOOKUP(A76,'Updated Ncino PD'!A:K,8,FALSE))</f>
        <v>3.4776265950000003E-2</v>
      </c>
      <c r="BZ76" s="390">
        <f>IFERROR(AQ76*$BS$2+BL76*$BS$4+V76*$BS$3,VLOOKUP(A76,'Updated Ncino PD'!A:K,9,FALSE))</f>
        <v>4.8246972221707984E-2</v>
      </c>
      <c r="CA76" s="390">
        <f>IFERROR(AR76*$BS$2+BM76*$BS$4+W76*$BS$3,VLOOKUP(A76,'Updated Ncino PD'!A:K,10,FALSE))</f>
        <v>6.0454404106560042E-2</v>
      </c>
      <c r="CB76" s="390">
        <f>IFERROR(AS76*$BS$2+BN76*$BS$4+X76*$BS$3,VLOOKUP(A76,'Updated Ncino PD'!A:K,11,FALSE))</f>
        <v>7.172490016976607E-2</v>
      </c>
      <c r="CC76" s="390">
        <f t="shared" si="111"/>
        <v>1.1848402363538745E-2</v>
      </c>
      <c r="CD76" s="390">
        <f t="shared" si="112"/>
        <v>1.9317649999999999E-2</v>
      </c>
      <c r="CE76" s="355"/>
      <c r="CF76" s="450">
        <f t="shared" si="113"/>
        <v>1.8755000000000001E-2</v>
      </c>
      <c r="CG76" s="450">
        <f t="shared" si="114"/>
        <v>1.5350000000000001E-2</v>
      </c>
      <c r="CH76" s="450">
        <f t="shared" si="115"/>
        <v>1.3614999999999999E-2</v>
      </c>
      <c r="CI76" s="450">
        <f t="shared" si="116"/>
        <v>1.2529999999999999E-2</v>
      </c>
      <c r="CJ76" s="450">
        <f t="shared" si="117"/>
        <v>1.1729999999999999E-2</v>
      </c>
    </row>
    <row r="77" spans="1:88" hidden="1" x14ac:dyDescent="0.25">
      <c r="A77" s="400">
        <v>1300000001</v>
      </c>
      <c r="B77" s="455" t="str">
        <f>VLOOKUP(A77,'Loan Book Summary'!C:G,5,FALSE)</f>
        <v>0015800001b11sC</v>
      </c>
      <c r="C77" s="167">
        <f>VLOOKUP(A77,'Ref-Data'!$A:$I,9,0)</f>
        <v>1</v>
      </c>
      <c r="D77" s="445">
        <f>VLOOKUP(A77,'Adjustment Factor'!A:C,3,0)</f>
        <v>0.85</v>
      </c>
      <c r="E77" s="446">
        <f>VLOOKUP(A77,'Ref-Data'!A:C,2,FALSE)</f>
        <v>4500000</v>
      </c>
      <c r="F77" s="445">
        <f>VLOOKUP(A77,'Ref-Data'!$A:$F,6,FALSE)</f>
        <v>0.11225188227241616</v>
      </c>
      <c r="G77" s="346"/>
      <c r="H77" s="273">
        <f>VLOOKUP($B77, 'Output 96% Downside'!$A:$CW,42,FALSE)</f>
        <v>0.10349999999999999</v>
      </c>
      <c r="I77" s="273">
        <f>VLOOKUP($B77, 'Output 96% Downside'!$A:$CW,43,FALSE)</f>
        <v>7.6200000000000004E-2</v>
      </c>
      <c r="J77" s="273">
        <f>VLOOKUP($B77, 'Output 96% Downside'!$A:$CW,44,FALSE)</f>
        <v>6.3600000000000004E-2</v>
      </c>
      <c r="K77" s="273">
        <f>VLOOKUP($B77, 'Output 96% Downside'!$A:$CW,45,FALSE)</f>
        <v>5.5899999999999998E-2</v>
      </c>
      <c r="L77" s="273">
        <f>VLOOKUP($B77, 'Output 96% Downside'!$A:$CW,46,FALSE)</f>
        <v>5.0500000000000003E-2</v>
      </c>
      <c r="M77" s="447">
        <f t="shared" si="72"/>
        <v>2.6944585768612694E-2</v>
      </c>
      <c r="N77" s="447">
        <f t="shared" si="73"/>
        <v>5.3163160834983292E-2</v>
      </c>
      <c r="O77" s="447">
        <f t="shared" si="74"/>
        <v>7.8675287256747217E-2</v>
      </c>
      <c r="P77" s="346"/>
      <c r="Q77" s="390">
        <f t="shared" si="75"/>
        <v>2.2902897903320788E-2</v>
      </c>
      <c r="R77" s="390">
        <f t="shared" si="76"/>
        <v>4.5188686709735797E-2</v>
      </c>
      <c r="S77" s="390">
        <f t="shared" si="77"/>
        <v>6.6873994168235126E-2</v>
      </c>
      <c r="T77" s="390">
        <f t="shared" si="78"/>
        <v>8.7974999999999998E-2</v>
      </c>
      <c r="U77" s="390">
        <f t="shared" si="79"/>
        <v>0.14604130500000004</v>
      </c>
      <c r="V77" s="390">
        <f t="shared" si="80"/>
        <v>0.19081307800200004</v>
      </c>
      <c r="W77" s="390">
        <f t="shared" si="81"/>
        <v>0.22766162694168818</v>
      </c>
      <c r="X77" s="390">
        <f t="shared" si="82"/>
        <v>0.25908971478113296</v>
      </c>
      <c r="Y77" s="390">
        <f t="shared" si="83"/>
        <v>1.0283793973742128E-2</v>
      </c>
      <c r="Z77" s="390">
        <f t="shared" si="84"/>
        <v>8.7974999999999998E-2</v>
      </c>
      <c r="AA77" s="355"/>
      <c r="AB77" s="355"/>
      <c r="AC77" s="273">
        <f>VLOOKUP($B77, 'Output Baseline'!$A:$CW,42,FALSE)</f>
        <v>0.11260000000000001</v>
      </c>
      <c r="AD77" s="273">
        <f>VLOOKUP($B77, 'Output Baseline'!$A:$CW,43,FALSE)</f>
        <v>8.8200000000000001E-2</v>
      </c>
      <c r="AE77" s="273">
        <f>VLOOKUP($B77, 'Output Baseline'!$A:$CW,44,FALSE)</f>
        <v>7.6300000000000007E-2</v>
      </c>
      <c r="AF77" s="273">
        <f>VLOOKUP($B77, 'Output Baseline'!$A:$CW,45,FALSE)</f>
        <v>6.8900000000000003E-2</v>
      </c>
      <c r="AG77" s="273">
        <f>VLOOKUP($B77, 'Output Baseline'!$A:$CW,46,FALSE)</f>
        <v>6.3600000000000004E-2</v>
      </c>
      <c r="AH77" s="447">
        <f t="shared" si="85"/>
        <v>2.942331158921041E-2</v>
      </c>
      <c r="AI77" s="447">
        <f t="shared" si="86"/>
        <v>5.7980891913545052E-2</v>
      </c>
      <c r="AJ77" s="447">
        <f t="shared" si="87"/>
        <v>8.5698213653762845E-2</v>
      </c>
      <c r="AK77" s="346"/>
      <c r="AL77" s="390">
        <f t="shared" si="88"/>
        <v>2.5009814850828847E-2</v>
      </c>
      <c r="AM77" s="390">
        <f t="shared" si="89"/>
        <v>4.928375812651329E-2</v>
      </c>
      <c r="AN77" s="390">
        <f t="shared" si="90"/>
        <v>7.284348160569841E-2</v>
      </c>
      <c r="AO77" s="390">
        <f t="shared" si="91"/>
        <v>9.5710000000000003E-2</v>
      </c>
      <c r="AP77" s="390">
        <f t="shared" si="92"/>
        <v>0.1622383780000001</v>
      </c>
      <c r="AQ77" s="390">
        <f t="shared" si="93"/>
        <v>0.21471458975860014</v>
      </c>
      <c r="AR77" s="390">
        <f t="shared" si="94"/>
        <v>0.25848575452423256</v>
      </c>
      <c r="AS77" s="390">
        <f t="shared" si="95"/>
        <v>0.29610606053649136</v>
      </c>
      <c r="AT77" s="390">
        <f t="shared" si="96"/>
        <v>1.1229592186894344E-2</v>
      </c>
      <c r="AU77" s="390">
        <f t="shared" si="97"/>
        <v>9.5710000000000003E-2</v>
      </c>
      <c r="AV77" s="355"/>
      <c r="AW77" s="355"/>
      <c r="AX77" s="273">
        <f>VLOOKUP($B77, 'Output 90% Downside'!$A:$CW,42,FALSE)</f>
        <v>0.11260000000000001</v>
      </c>
      <c r="AY77" s="273">
        <f>VLOOKUP($B77, 'Output 90% Downside'!$A:$CW,43,FALSE)</f>
        <v>8.7999999999999995E-2</v>
      </c>
      <c r="AZ77" s="273">
        <f>VLOOKUP($B77, 'Output 90% Downside'!$A:$CW,44,FALSE)</f>
        <v>7.6100000000000001E-2</v>
      </c>
      <c r="BA77" s="273">
        <f>VLOOKUP($B77, 'Output 90% Downside'!$A:$CW,45,FALSE)</f>
        <v>6.8599999999999994E-2</v>
      </c>
      <c r="BB77" s="273">
        <f>VLOOKUP($B77, 'Output 90% Downside'!$A:$CW,46,FALSE)</f>
        <v>6.3299999999999995E-2</v>
      </c>
      <c r="BC77" s="447">
        <f t="shared" si="98"/>
        <v>2.942331158921041E-2</v>
      </c>
      <c r="BD77" s="447">
        <f t="shared" si="99"/>
        <v>5.7980891913545052E-2</v>
      </c>
      <c r="BE77" s="447">
        <f t="shared" si="100"/>
        <v>8.5698213653762845E-2</v>
      </c>
      <c r="BF77" s="346"/>
      <c r="BG77" s="390">
        <f t="shared" si="101"/>
        <v>2.5009814850828847E-2</v>
      </c>
      <c r="BH77" s="390">
        <f t="shared" si="102"/>
        <v>4.928375812651329E-2</v>
      </c>
      <c r="BI77" s="390">
        <f t="shared" si="103"/>
        <v>7.284348160569841E-2</v>
      </c>
      <c r="BJ77" s="390">
        <f t="shared" si="104"/>
        <v>9.5710000000000003E-2</v>
      </c>
      <c r="BK77" s="390">
        <f t="shared" si="105"/>
        <v>0.16208751999999996</v>
      </c>
      <c r="BL77" s="390">
        <f t="shared" si="106"/>
        <v>0.21443765972800002</v>
      </c>
      <c r="BM77" s="390">
        <f t="shared" si="107"/>
        <v>0.25803723627065922</v>
      </c>
      <c r="BN77" s="390">
        <f t="shared" si="108"/>
        <v>0.2955084792147265</v>
      </c>
      <c r="BO77" s="390">
        <f t="shared" si="109"/>
        <v>1.1229592186894344E-2</v>
      </c>
      <c r="BP77" s="390">
        <f t="shared" si="110"/>
        <v>9.5710000000000003E-2</v>
      </c>
      <c r="BQ77" s="347"/>
      <c r="BR77" s="355"/>
      <c r="BS77" s="355"/>
      <c r="BT77" s="355"/>
      <c r="BU77" s="390">
        <f>IFERROR(AL77*$BS$2+BG77*$BS$4+Q77*$BS$3,VLOOKUP(A77,'Updated Ncino PD'!A:K,4,FALSE))</f>
        <v>2.4904469003453444E-2</v>
      </c>
      <c r="BV77" s="390">
        <f>IFERROR(AM77*$BS$2+BH77*$BS$4+R77*$BS$3,VLOOKUP(A77,'Updated Ncino PD'!A:K,5,FALSE))</f>
        <v>4.9079004555674412E-2</v>
      </c>
      <c r="BW77" s="390">
        <f>IFERROR(AN77*$BS$2+BI77*$BS$4+S77*$BS$3,VLOOKUP(A77,'Updated Ncino PD'!A:K,6,FALSE))</f>
        <v>7.2545007233825232E-2</v>
      </c>
      <c r="BX77" s="390">
        <f>IFERROR(AO77*$BS$2+BJ77*$BS$4+T77*$BS$3,VLOOKUP(A77,'Updated Ncino PD'!A:K,7,FALSE))</f>
        <v>9.5323249999999998E-2</v>
      </c>
      <c r="BY77" s="390">
        <f>IFERROR(AP77*$BS$2+BK77*$BS$4+U77*$BS$3,VLOOKUP(A77,'Updated Ncino PD'!A:K,8,FALSE))</f>
        <v>0.16137572405000003</v>
      </c>
      <c r="BZ77" s="390">
        <f>IFERROR(AQ77*$BS$2+BL77*$BS$4+V77*$BS$3,VLOOKUP(A77,'Updated Ncino PD'!A:K,9,FALSE))</f>
        <v>0.21342258866006009</v>
      </c>
      <c r="CA77" s="390">
        <f>IFERROR(AR77*$BS$2+BM77*$BS$4+W77*$BS$3,VLOOKUP(A77,'Updated Ncino PD'!A:K,10,FALSE))</f>
        <v>0.25678756675635467</v>
      </c>
      <c r="CB77" s="390">
        <f>IFERROR(AS77*$BS$2+BN77*$BS$4+X77*$BS$3,VLOOKUP(A77,'Updated Ncino PD'!A:K,11,FALSE))</f>
        <v>0.29404608978610575</v>
      </c>
      <c r="CC77" s="390">
        <f t="shared" si="111"/>
        <v>1.1182302276236733E-2</v>
      </c>
      <c r="CD77" s="390">
        <f t="shared" si="112"/>
        <v>9.5323249999999998E-2</v>
      </c>
      <c r="CE77" s="355"/>
      <c r="CF77" s="450">
        <f t="shared" si="113"/>
        <v>0.11214499999999999</v>
      </c>
      <c r="CG77" s="450">
        <f t="shared" si="114"/>
        <v>8.7529999999999997E-2</v>
      </c>
      <c r="CH77" s="450">
        <f t="shared" si="115"/>
        <v>7.5594999999999996E-2</v>
      </c>
      <c r="CI77" s="450">
        <f t="shared" si="116"/>
        <v>6.8144999999999997E-2</v>
      </c>
      <c r="CJ77" s="450">
        <f t="shared" si="117"/>
        <v>6.2839999999999993E-2</v>
      </c>
    </row>
    <row r="78" spans="1:88" hidden="1" x14ac:dyDescent="0.25">
      <c r="A78" s="400">
        <v>1100000234</v>
      </c>
      <c r="B78" s="455" t="str">
        <f>VLOOKUP(A78,'Loan Book Summary'!C:G,5,FALSE)</f>
        <v>0014I00002789GY</v>
      </c>
      <c r="C78" s="167">
        <f>VLOOKUP(A78,'Ref-Data'!$A:$I,9,0)</f>
        <v>1</v>
      </c>
      <c r="D78" s="445">
        <f>VLOOKUP(A78,'Adjustment Factor'!A:C,3,0)</f>
        <v>0.84</v>
      </c>
      <c r="E78" s="446">
        <f>VLOOKUP(A78,'Ref-Data'!A:C,2,FALSE)</f>
        <v>4500000</v>
      </c>
      <c r="F78" s="445">
        <f>VLOOKUP(A78,'Ref-Data'!$A:$F,6,FALSE)</f>
        <v>4.2546201232032859</v>
      </c>
      <c r="G78" s="346"/>
      <c r="H78" s="273">
        <f>VLOOKUP($B78, 'Output 96% Downside'!$A:$CW,42,FALSE)</f>
        <v>5.5999999999999999E-3</v>
      </c>
      <c r="I78" s="273">
        <f>VLOOKUP($B78, 'Output 96% Downside'!$A:$CW,43,FALSE)</f>
        <v>6.1000000000000004E-3</v>
      </c>
      <c r="J78" s="273">
        <f>VLOOKUP($B78, 'Output 96% Downside'!$A:$CW,44,FALSE)</f>
        <v>6.4999999999999997E-3</v>
      </c>
      <c r="K78" s="273">
        <f>VLOOKUP($B78, 'Output 96% Downside'!$A:$CW,45,FALSE)</f>
        <v>6.7999999999999996E-3</v>
      </c>
      <c r="L78" s="273">
        <f>VLOOKUP($B78, 'Output 96% Downside'!$A:$CW,46,FALSE)</f>
        <v>7.0000000000000001E-3</v>
      </c>
      <c r="M78" s="447">
        <f t="shared" si="72"/>
        <v>1.4029496411314124E-3</v>
      </c>
      <c r="N78" s="447">
        <f t="shared" si="73"/>
        <v>2.8039310145673291E-3</v>
      </c>
      <c r="O78" s="447">
        <f t="shared" si="74"/>
        <v>4.2029468816880966E-3</v>
      </c>
      <c r="P78" s="346"/>
      <c r="Q78" s="390">
        <f t="shared" si="75"/>
        <v>1.1784776985503864E-3</v>
      </c>
      <c r="R78" s="390">
        <f t="shared" si="76"/>
        <v>2.3553020522365563E-3</v>
      </c>
      <c r="S78" s="390">
        <f t="shared" si="77"/>
        <v>3.530475380618001E-3</v>
      </c>
      <c r="T78" s="390">
        <f t="shared" si="78"/>
        <v>4.7039999999999998E-3</v>
      </c>
      <c r="U78" s="390">
        <f t="shared" si="79"/>
        <v>9.7993056000000318E-3</v>
      </c>
      <c r="V78" s="390">
        <f t="shared" si="80"/>
        <v>1.5195610113599945E-2</v>
      </c>
      <c r="W78" s="390">
        <f t="shared" si="81"/>
        <v>2.0804279964827452E-2</v>
      </c>
      <c r="X78" s="390">
        <f t="shared" si="82"/>
        <v>2.6538650005073678E-2</v>
      </c>
      <c r="Y78" s="390">
        <f t="shared" si="83"/>
        <v>4.7039999999999998E-3</v>
      </c>
      <c r="Z78" s="390">
        <f t="shared" si="84"/>
        <v>2.6538650005073678E-2</v>
      </c>
      <c r="AA78" s="355"/>
      <c r="AB78" s="355"/>
      <c r="AC78" s="273">
        <f>VLOOKUP($B78, 'Output Baseline'!$A:$CW,42,FALSE)</f>
        <v>4.7999999999999996E-3</v>
      </c>
      <c r="AD78" s="273">
        <f>VLOOKUP($B78, 'Output Baseline'!$A:$CW,43,FALSE)</f>
        <v>5.3E-3</v>
      </c>
      <c r="AE78" s="273">
        <f>VLOOKUP($B78, 'Output Baseline'!$A:$CW,44,FALSE)</f>
        <v>5.7000000000000002E-3</v>
      </c>
      <c r="AF78" s="273">
        <f>VLOOKUP($B78, 'Output Baseline'!$A:$CW,45,FALSE)</f>
        <v>5.8999999999999999E-3</v>
      </c>
      <c r="AG78" s="273">
        <f>VLOOKUP($B78, 'Output Baseline'!$A:$CW,46,FALSE)</f>
        <v>6.1000000000000004E-3</v>
      </c>
      <c r="AH78" s="447">
        <f t="shared" si="85"/>
        <v>1.2021660680305857E-3</v>
      </c>
      <c r="AI78" s="447">
        <f t="shared" si="86"/>
        <v>2.4028869328059921E-3</v>
      </c>
      <c r="AJ78" s="447">
        <f t="shared" si="87"/>
        <v>3.6021643317006857E-3</v>
      </c>
      <c r="AK78" s="346"/>
      <c r="AL78" s="390">
        <f t="shared" si="88"/>
        <v>1.0098194971456919E-3</v>
      </c>
      <c r="AM78" s="390">
        <f t="shared" si="89"/>
        <v>2.0184250235570334E-3</v>
      </c>
      <c r="AN78" s="390">
        <f t="shared" si="90"/>
        <v>3.025818038628576E-3</v>
      </c>
      <c r="AO78" s="390">
        <f t="shared" si="91"/>
        <v>4.0319999999999991E-3</v>
      </c>
      <c r="AP78" s="390">
        <f t="shared" si="92"/>
        <v>8.4626303999999607E-3</v>
      </c>
      <c r="AQ78" s="390">
        <f t="shared" si="93"/>
        <v>1.3202393406719986E-2</v>
      </c>
      <c r="AR78" s="390">
        <f t="shared" si="94"/>
        <v>1.8080499285620374E-2</v>
      </c>
      <c r="AS78" s="390">
        <f t="shared" si="95"/>
        <v>2.3094208239978074E-2</v>
      </c>
      <c r="AT78" s="390">
        <f t="shared" si="96"/>
        <v>4.0319999999999991E-3</v>
      </c>
      <c r="AU78" s="390">
        <f t="shared" si="97"/>
        <v>2.3094208239978074E-2</v>
      </c>
      <c r="AV78" s="355"/>
      <c r="AW78" s="355"/>
      <c r="AX78" s="273">
        <f>VLOOKUP($B78, 'Output 90% Downside'!$A:$CW,42,FALSE)</f>
        <v>5.5999999999999999E-3</v>
      </c>
      <c r="AY78" s="273">
        <f>VLOOKUP($B78, 'Output 90% Downside'!$A:$CW,43,FALSE)</f>
        <v>6.1000000000000004E-3</v>
      </c>
      <c r="AZ78" s="273">
        <f>VLOOKUP($B78, 'Output 90% Downside'!$A:$CW,44,FALSE)</f>
        <v>6.4999999999999997E-3</v>
      </c>
      <c r="BA78" s="273">
        <f>VLOOKUP($B78, 'Output 90% Downside'!$A:$CW,45,FALSE)</f>
        <v>6.7999999999999996E-3</v>
      </c>
      <c r="BB78" s="273">
        <f>VLOOKUP($B78, 'Output 90% Downside'!$A:$CW,46,FALSE)</f>
        <v>7.0000000000000001E-3</v>
      </c>
      <c r="BC78" s="447">
        <f t="shared" si="98"/>
        <v>1.4029496411314124E-3</v>
      </c>
      <c r="BD78" s="447">
        <f t="shared" si="99"/>
        <v>2.8039310145673291E-3</v>
      </c>
      <c r="BE78" s="447">
        <f t="shared" si="100"/>
        <v>4.2029468816880966E-3</v>
      </c>
      <c r="BF78" s="346"/>
      <c r="BG78" s="390">
        <f t="shared" si="101"/>
        <v>1.1784776985503864E-3</v>
      </c>
      <c r="BH78" s="390">
        <f t="shared" si="102"/>
        <v>2.3553020522365563E-3</v>
      </c>
      <c r="BI78" s="390">
        <f t="shared" si="103"/>
        <v>3.530475380618001E-3</v>
      </c>
      <c r="BJ78" s="390">
        <f t="shared" si="104"/>
        <v>4.7039999999999998E-3</v>
      </c>
      <c r="BK78" s="390">
        <f t="shared" si="105"/>
        <v>9.7993056000000318E-3</v>
      </c>
      <c r="BL78" s="390">
        <f t="shared" si="106"/>
        <v>1.5195610113599945E-2</v>
      </c>
      <c r="BM78" s="390">
        <f t="shared" si="107"/>
        <v>2.0804279964827452E-2</v>
      </c>
      <c r="BN78" s="390">
        <f t="shared" si="108"/>
        <v>2.6538650005073678E-2</v>
      </c>
      <c r="BO78" s="390">
        <f t="shared" si="109"/>
        <v>4.7039999999999998E-3</v>
      </c>
      <c r="BP78" s="390">
        <f t="shared" si="110"/>
        <v>2.6538650005073678E-2</v>
      </c>
      <c r="BQ78" s="347"/>
      <c r="BR78" s="355"/>
      <c r="BS78" s="355"/>
      <c r="BT78" s="355"/>
      <c r="BU78" s="390">
        <f>IFERROR(AL78*$BS$2+BG78*$BS$4+Q78*$BS$3,VLOOKUP(A78,'Updated Ncino PD'!A:K,4,FALSE))</f>
        <v>1.0772827777075697E-3</v>
      </c>
      <c r="BV78" s="390">
        <f>IFERROR(AM78*$BS$2+BH78*$BS$4+R78*$BS$3,VLOOKUP(A78,'Updated Ncino PD'!A:K,5,FALSE))</f>
        <v>2.1531758350288423E-3</v>
      </c>
      <c r="BW78" s="390">
        <f>IFERROR(AN78*$BS$2+BI78*$BS$4+S78*$BS$3,VLOOKUP(A78,'Updated Ncino PD'!A:K,6,FALSE))</f>
        <v>3.227680975424346E-3</v>
      </c>
      <c r="BX78" s="390">
        <f>IFERROR(AO78*$BS$2+BJ78*$BS$4+T78*$BS$3,VLOOKUP(A78,'Updated Ncino PD'!A:K,7,FALSE))</f>
        <v>4.3007999999999987E-3</v>
      </c>
      <c r="BY78" s="390">
        <f>IFERROR(AP78*$BS$2+BK78*$BS$4+U78*$BS$3,VLOOKUP(A78,'Updated Ncino PD'!A:K,8,FALSE))</f>
        <v>8.9973004799999874E-3</v>
      </c>
      <c r="BZ78" s="390">
        <f>IFERROR(AQ78*$BS$2+BL78*$BS$4+V78*$BS$3,VLOOKUP(A78,'Updated Ncino PD'!A:K,9,FALSE))</f>
        <v>1.3999680089471968E-2</v>
      </c>
      <c r="CA78" s="390">
        <f>IFERROR(AR78*$BS$2+BM78*$BS$4+W78*$BS$3,VLOOKUP(A78,'Updated Ncino PD'!A:K,10,FALSE))</f>
        <v>1.9170011557303204E-2</v>
      </c>
      <c r="CB78" s="390">
        <f>IFERROR(AS78*$BS$2+BN78*$BS$4+X78*$BS$3,VLOOKUP(A78,'Updated Ncino PD'!A:K,11,FALSE))</f>
        <v>2.4471984946016316E-2</v>
      </c>
      <c r="CC78" s="390">
        <f t="shared" si="111"/>
        <v>4.3007999999999987E-3</v>
      </c>
      <c r="CD78" s="390">
        <f t="shared" si="112"/>
        <v>2.4471984946016316E-2</v>
      </c>
      <c r="CE78" s="355"/>
      <c r="CF78" s="450">
        <f t="shared" si="113"/>
        <v>5.1199999999999996E-3</v>
      </c>
      <c r="CG78" s="450">
        <f t="shared" si="114"/>
        <v>5.62E-3</v>
      </c>
      <c r="CH78" s="450">
        <f t="shared" si="115"/>
        <v>6.0199999999999993E-3</v>
      </c>
      <c r="CI78" s="450">
        <f t="shared" si="116"/>
        <v>6.2599999999999999E-3</v>
      </c>
      <c r="CJ78" s="450">
        <f t="shared" si="117"/>
        <v>6.4599999999999996E-3</v>
      </c>
    </row>
    <row r="79" spans="1:88" hidden="1" x14ac:dyDescent="0.25">
      <c r="A79" s="400">
        <v>1100000233</v>
      </c>
      <c r="B79" s="455" t="str">
        <f>VLOOKUP(A79,'Loan Book Summary'!C:G,5,FALSE)</f>
        <v>0014I00002789GY</v>
      </c>
      <c r="C79" s="167">
        <f>VLOOKUP(A79,'Ref-Data'!$A:$I,9,0)</f>
        <v>1</v>
      </c>
      <c r="D79" s="445">
        <f>VLOOKUP(A79,'Adjustment Factor'!A:C,3,0)</f>
        <v>0.84</v>
      </c>
      <c r="E79" s="446">
        <f>VLOOKUP(A79,'Ref-Data'!A:C,2,FALSE)</f>
        <v>500000</v>
      </c>
      <c r="F79" s="445">
        <f>VLOOKUP(A79,'Ref-Data'!$A:$F,6,FALSE)</f>
        <v>4.2546201232032859</v>
      </c>
      <c r="G79" s="346"/>
      <c r="H79" s="273">
        <f>VLOOKUP($B79, 'Output 96% Downside'!$A:$CW,42,FALSE)</f>
        <v>5.5999999999999999E-3</v>
      </c>
      <c r="I79" s="273">
        <f>VLOOKUP($B79, 'Output 96% Downside'!$A:$CW,43,FALSE)</f>
        <v>6.1000000000000004E-3</v>
      </c>
      <c r="J79" s="273">
        <f>VLOOKUP($B79, 'Output 96% Downside'!$A:$CW,44,FALSE)</f>
        <v>6.4999999999999997E-3</v>
      </c>
      <c r="K79" s="273">
        <f>VLOOKUP($B79, 'Output 96% Downside'!$A:$CW,45,FALSE)</f>
        <v>6.7999999999999996E-3</v>
      </c>
      <c r="L79" s="273">
        <f>VLOOKUP($B79, 'Output 96% Downside'!$A:$CW,46,FALSE)</f>
        <v>7.0000000000000001E-3</v>
      </c>
      <c r="M79" s="447">
        <f t="shared" si="72"/>
        <v>1.4029496411314124E-3</v>
      </c>
      <c r="N79" s="447">
        <f t="shared" si="73"/>
        <v>2.8039310145673291E-3</v>
      </c>
      <c r="O79" s="447">
        <f t="shared" si="74"/>
        <v>4.2029468816880966E-3</v>
      </c>
      <c r="P79" s="346"/>
      <c r="Q79" s="390">
        <f t="shared" si="75"/>
        <v>1.1784776985503864E-3</v>
      </c>
      <c r="R79" s="390">
        <f t="shared" si="76"/>
        <v>2.3553020522365563E-3</v>
      </c>
      <c r="S79" s="390">
        <f t="shared" si="77"/>
        <v>3.530475380618001E-3</v>
      </c>
      <c r="T79" s="390">
        <f t="shared" si="78"/>
        <v>4.7039999999999998E-3</v>
      </c>
      <c r="U79" s="390">
        <f t="shared" si="79"/>
        <v>9.7993056000000318E-3</v>
      </c>
      <c r="V79" s="390">
        <f t="shared" si="80"/>
        <v>1.5195610113599945E-2</v>
      </c>
      <c r="W79" s="390">
        <f t="shared" si="81"/>
        <v>2.0804279964827452E-2</v>
      </c>
      <c r="X79" s="390">
        <f t="shared" si="82"/>
        <v>2.6538650005073678E-2</v>
      </c>
      <c r="Y79" s="390">
        <f t="shared" si="83"/>
        <v>4.7039999999999998E-3</v>
      </c>
      <c r="Z79" s="390">
        <f t="shared" si="84"/>
        <v>2.6538650005073678E-2</v>
      </c>
      <c r="AA79" s="355"/>
      <c r="AB79" s="355"/>
      <c r="AC79" s="273">
        <f>VLOOKUP($B79, 'Output Baseline'!$A:$CW,42,FALSE)</f>
        <v>4.7999999999999996E-3</v>
      </c>
      <c r="AD79" s="273">
        <f>VLOOKUP($B79, 'Output Baseline'!$A:$CW,43,FALSE)</f>
        <v>5.3E-3</v>
      </c>
      <c r="AE79" s="273">
        <f>VLOOKUP($B79, 'Output Baseline'!$A:$CW,44,FALSE)</f>
        <v>5.7000000000000002E-3</v>
      </c>
      <c r="AF79" s="273">
        <f>VLOOKUP($B79, 'Output Baseline'!$A:$CW,45,FALSE)</f>
        <v>5.8999999999999999E-3</v>
      </c>
      <c r="AG79" s="273">
        <f>VLOOKUP($B79, 'Output Baseline'!$A:$CW,46,FALSE)</f>
        <v>6.1000000000000004E-3</v>
      </c>
      <c r="AH79" s="447">
        <f t="shared" si="85"/>
        <v>1.2021660680305857E-3</v>
      </c>
      <c r="AI79" s="447">
        <f t="shared" si="86"/>
        <v>2.4028869328059921E-3</v>
      </c>
      <c r="AJ79" s="447">
        <f t="shared" si="87"/>
        <v>3.6021643317006857E-3</v>
      </c>
      <c r="AK79" s="346"/>
      <c r="AL79" s="390">
        <f t="shared" si="88"/>
        <v>1.0098194971456919E-3</v>
      </c>
      <c r="AM79" s="390">
        <f t="shared" si="89"/>
        <v>2.0184250235570334E-3</v>
      </c>
      <c r="AN79" s="390">
        <f t="shared" si="90"/>
        <v>3.025818038628576E-3</v>
      </c>
      <c r="AO79" s="390">
        <f t="shared" si="91"/>
        <v>4.0319999999999991E-3</v>
      </c>
      <c r="AP79" s="390">
        <f t="shared" si="92"/>
        <v>8.4626303999999607E-3</v>
      </c>
      <c r="AQ79" s="390">
        <f t="shared" si="93"/>
        <v>1.3202393406719986E-2</v>
      </c>
      <c r="AR79" s="390">
        <f t="shared" si="94"/>
        <v>1.8080499285620374E-2</v>
      </c>
      <c r="AS79" s="390">
        <f t="shared" si="95"/>
        <v>2.3094208239978074E-2</v>
      </c>
      <c r="AT79" s="390">
        <f t="shared" si="96"/>
        <v>4.0319999999999991E-3</v>
      </c>
      <c r="AU79" s="390">
        <f t="shared" si="97"/>
        <v>2.3094208239978074E-2</v>
      </c>
      <c r="AV79" s="355"/>
      <c r="AW79" s="355"/>
      <c r="AX79" s="273">
        <f>VLOOKUP($B79, 'Output 90% Downside'!$A:$CW,42,FALSE)</f>
        <v>5.5999999999999999E-3</v>
      </c>
      <c r="AY79" s="273">
        <f>VLOOKUP($B79, 'Output 90% Downside'!$A:$CW,43,FALSE)</f>
        <v>6.1000000000000004E-3</v>
      </c>
      <c r="AZ79" s="273">
        <f>VLOOKUP($B79, 'Output 90% Downside'!$A:$CW,44,FALSE)</f>
        <v>6.4999999999999997E-3</v>
      </c>
      <c r="BA79" s="273">
        <f>VLOOKUP($B79, 'Output 90% Downside'!$A:$CW,45,FALSE)</f>
        <v>6.7999999999999996E-3</v>
      </c>
      <c r="BB79" s="273">
        <f>VLOOKUP($B79, 'Output 90% Downside'!$A:$CW,46,FALSE)</f>
        <v>7.0000000000000001E-3</v>
      </c>
      <c r="BC79" s="447">
        <f t="shared" si="98"/>
        <v>1.4029496411314124E-3</v>
      </c>
      <c r="BD79" s="447">
        <f t="shared" si="99"/>
        <v>2.8039310145673291E-3</v>
      </c>
      <c r="BE79" s="447">
        <f t="shared" si="100"/>
        <v>4.2029468816880966E-3</v>
      </c>
      <c r="BF79" s="346"/>
      <c r="BG79" s="390">
        <f t="shared" si="101"/>
        <v>1.1784776985503864E-3</v>
      </c>
      <c r="BH79" s="390">
        <f t="shared" si="102"/>
        <v>2.3553020522365563E-3</v>
      </c>
      <c r="BI79" s="390">
        <f t="shared" si="103"/>
        <v>3.530475380618001E-3</v>
      </c>
      <c r="BJ79" s="390">
        <f t="shared" si="104"/>
        <v>4.7039999999999998E-3</v>
      </c>
      <c r="BK79" s="390">
        <f t="shared" si="105"/>
        <v>9.7993056000000318E-3</v>
      </c>
      <c r="BL79" s="390">
        <f t="shared" si="106"/>
        <v>1.5195610113599945E-2</v>
      </c>
      <c r="BM79" s="390">
        <f t="shared" si="107"/>
        <v>2.0804279964827452E-2</v>
      </c>
      <c r="BN79" s="390">
        <f t="shared" si="108"/>
        <v>2.6538650005073678E-2</v>
      </c>
      <c r="BO79" s="390">
        <f t="shared" si="109"/>
        <v>4.7039999999999998E-3</v>
      </c>
      <c r="BP79" s="390">
        <f t="shared" si="110"/>
        <v>2.6538650005073678E-2</v>
      </c>
      <c r="BQ79" s="347"/>
      <c r="BR79" s="355"/>
      <c r="BS79" s="355"/>
      <c r="BT79" s="355"/>
      <c r="BU79" s="390">
        <f>IFERROR(AL79*$BS$2+BG79*$BS$4+Q79*$BS$3,VLOOKUP(A79,'Updated Ncino PD'!A:K,4,FALSE))</f>
        <v>1.0772827777075697E-3</v>
      </c>
      <c r="BV79" s="390">
        <f>IFERROR(AM79*$BS$2+BH79*$BS$4+R79*$BS$3,VLOOKUP(A79,'Updated Ncino PD'!A:K,5,FALSE))</f>
        <v>2.1531758350288423E-3</v>
      </c>
      <c r="BW79" s="390">
        <f>IFERROR(AN79*$BS$2+BI79*$BS$4+S79*$BS$3,VLOOKUP(A79,'Updated Ncino PD'!A:K,6,FALSE))</f>
        <v>3.227680975424346E-3</v>
      </c>
      <c r="BX79" s="390">
        <f>IFERROR(AO79*$BS$2+BJ79*$BS$4+T79*$BS$3,VLOOKUP(A79,'Updated Ncino PD'!A:K,7,FALSE))</f>
        <v>4.3007999999999987E-3</v>
      </c>
      <c r="BY79" s="390">
        <f>IFERROR(AP79*$BS$2+BK79*$BS$4+U79*$BS$3,VLOOKUP(A79,'Updated Ncino PD'!A:K,8,FALSE))</f>
        <v>8.9973004799999874E-3</v>
      </c>
      <c r="BZ79" s="390">
        <f>IFERROR(AQ79*$BS$2+BL79*$BS$4+V79*$BS$3,VLOOKUP(A79,'Updated Ncino PD'!A:K,9,FALSE))</f>
        <v>1.3999680089471968E-2</v>
      </c>
      <c r="CA79" s="390">
        <f>IFERROR(AR79*$BS$2+BM79*$BS$4+W79*$BS$3,VLOOKUP(A79,'Updated Ncino PD'!A:K,10,FALSE))</f>
        <v>1.9170011557303204E-2</v>
      </c>
      <c r="CB79" s="390">
        <f>IFERROR(AS79*$BS$2+BN79*$BS$4+X79*$BS$3,VLOOKUP(A79,'Updated Ncino PD'!A:K,11,FALSE))</f>
        <v>2.4471984946016316E-2</v>
      </c>
      <c r="CC79" s="390">
        <f t="shared" si="111"/>
        <v>4.3007999999999987E-3</v>
      </c>
      <c r="CD79" s="390">
        <f t="shared" si="112"/>
        <v>2.4471984946016316E-2</v>
      </c>
      <c r="CE79" s="355"/>
      <c r="CF79" s="450">
        <f t="shared" si="113"/>
        <v>5.1199999999999996E-3</v>
      </c>
      <c r="CG79" s="450">
        <f t="shared" si="114"/>
        <v>5.62E-3</v>
      </c>
      <c r="CH79" s="450">
        <f t="shared" si="115"/>
        <v>6.0199999999999993E-3</v>
      </c>
      <c r="CI79" s="450">
        <f t="shared" si="116"/>
        <v>6.2599999999999999E-3</v>
      </c>
      <c r="CJ79" s="450">
        <f t="shared" si="117"/>
        <v>6.4599999999999996E-3</v>
      </c>
    </row>
    <row r="80" spans="1:88" hidden="1" x14ac:dyDescent="0.25">
      <c r="A80" s="400">
        <v>1100000235</v>
      </c>
      <c r="B80" s="455" t="str">
        <f>VLOOKUP(A80,'Loan Book Summary'!C:G,5,FALSE)</f>
        <v>0014I00002BvrLc</v>
      </c>
      <c r="C80" s="167">
        <f>VLOOKUP(A80,'Ref-Data'!$A:$I,9,0)</f>
        <v>1</v>
      </c>
      <c r="D80" s="445">
        <f>VLOOKUP(A80,'Adjustment Factor'!A:C,3,0)</f>
        <v>1.31</v>
      </c>
      <c r="E80" s="446">
        <f>VLOOKUP(A80,'Ref-Data'!A:C,2,FALSE)</f>
        <v>10000000</v>
      </c>
      <c r="F80" s="445">
        <f>VLOOKUP(A80,'Ref-Data'!$A:$F,6,FALSE)</f>
        <v>4.2710472279260783</v>
      </c>
      <c r="G80" s="346"/>
      <c r="H80" s="273">
        <f>VLOOKUP($B80, 'Output 96% Downside'!$A:$CW,42,FALSE)</f>
        <v>0.02</v>
      </c>
      <c r="I80" s="273">
        <f>VLOOKUP($B80, 'Output 96% Downside'!$A:$CW,43,FALSE)</f>
        <v>1.7000000000000001E-2</v>
      </c>
      <c r="J80" s="273">
        <f>VLOOKUP($B80, 'Output 96% Downside'!$A:$CW,44,FALSE)</f>
        <v>1.55E-2</v>
      </c>
      <c r="K80" s="273">
        <f>VLOOKUP($B80, 'Output 96% Downside'!$A:$CW,45,FALSE)</f>
        <v>1.4500000000000001E-2</v>
      </c>
      <c r="L80" s="273">
        <f>VLOOKUP($B80, 'Output 96% Downside'!$A:$CW,46,FALSE)</f>
        <v>1.38E-2</v>
      </c>
      <c r="M80" s="447">
        <f t="shared" si="72"/>
        <v>5.0379436073119122E-3</v>
      </c>
      <c r="N80" s="447">
        <f t="shared" si="73"/>
        <v>1.005050633883342E-2</v>
      </c>
      <c r="O80" s="447">
        <f t="shared" si="74"/>
        <v>1.5037816061985398E-2</v>
      </c>
      <c r="P80" s="346"/>
      <c r="Q80" s="390">
        <f t="shared" si="75"/>
        <v>6.5997061255786051E-3</v>
      </c>
      <c r="R80" s="390">
        <f t="shared" si="76"/>
        <v>1.3166163303871782E-2</v>
      </c>
      <c r="S80" s="390">
        <f t="shared" si="77"/>
        <v>1.9699539041200871E-2</v>
      </c>
      <c r="T80" s="390">
        <f t="shared" si="78"/>
        <v>2.6200000000000001E-2</v>
      </c>
      <c r="U80" s="390">
        <f t="shared" si="79"/>
        <v>4.8024600000000035E-2</v>
      </c>
      <c r="V80" s="390">
        <f t="shared" si="80"/>
        <v>6.7585218700000046E-2</v>
      </c>
      <c r="W80" s="390">
        <f t="shared" si="81"/>
        <v>8.5600233028850017E-2</v>
      </c>
      <c r="X80" s="390">
        <f t="shared" si="82"/>
        <v>0.10249694981305198</v>
      </c>
      <c r="Y80" s="390">
        <f t="shared" si="83"/>
        <v>2.6200000000000001E-2</v>
      </c>
      <c r="Z80" s="390">
        <f t="shared" si="84"/>
        <v>0.10249694981305198</v>
      </c>
      <c r="AA80" s="355"/>
      <c r="AB80" s="355"/>
      <c r="AC80" s="273">
        <f>VLOOKUP($B80, 'Output Baseline'!$A:$CW,42,FALSE)</f>
        <v>1.3899999999999999E-2</v>
      </c>
      <c r="AD80" s="273">
        <f>VLOOKUP($B80, 'Output Baseline'!$A:$CW,43,FALSE)</f>
        <v>1.26E-2</v>
      </c>
      <c r="AE80" s="273">
        <f>VLOOKUP($B80, 'Output Baseline'!$A:$CW,44,FALSE)</f>
        <v>1.2E-2</v>
      </c>
      <c r="AF80" s="273">
        <f>VLOOKUP($B80, 'Output Baseline'!$A:$CW,45,FALSE)</f>
        <v>1.15E-2</v>
      </c>
      <c r="AG80" s="273">
        <f>VLOOKUP($B80, 'Output Baseline'!$A:$CW,46,FALSE)</f>
        <v>1.11E-2</v>
      </c>
      <c r="AH80" s="447">
        <f t="shared" si="85"/>
        <v>3.4932617256081544E-3</v>
      </c>
      <c r="AI80" s="447">
        <f t="shared" si="86"/>
        <v>6.9743205737327063E-3</v>
      </c>
      <c r="AJ80" s="447">
        <f t="shared" si="87"/>
        <v>1.0443219172218465E-2</v>
      </c>
      <c r="AK80" s="346"/>
      <c r="AL80" s="390">
        <f t="shared" si="88"/>
        <v>4.5761728605466824E-3</v>
      </c>
      <c r="AM80" s="390">
        <f t="shared" si="89"/>
        <v>9.1363599515898453E-3</v>
      </c>
      <c r="AN80" s="390">
        <f t="shared" si="90"/>
        <v>1.368061711560619E-2</v>
      </c>
      <c r="AO80" s="390">
        <f t="shared" si="91"/>
        <v>1.8208999999999999E-2</v>
      </c>
      <c r="AP80" s="390">
        <f t="shared" si="92"/>
        <v>3.448556660000001E-2</v>
      </c>
      <c r="AQ80" s="390">
        <f t="shared" si="93"/>
        <v>4.9791739800800011E-2</v>
      </c>
      <c r="AR80" s="390">
        <f t="shared" si="94"/>
        <v>6.4284134793090766E-2</v>
      </c>
      <c r="AS80" s="390">
        <f t="shared" si="95"/>
        <v>7.8111580896887467E-2</v>
      </c>
      <c r="AT80" s="390">
        <f t="shared" si="96"/>
        <v>1.8208999999999999E-2</v>
      </c>
      <c r="AU80" s="390">
        <f t="shared" si="97"/>
        <v>7.8111580896887467E-2</v>
      </c>
      <c r="AV80" s="355"/>
      <c r="AW80" s="355"/>
      <c r="AX80" s="273">
        <f>VLOOKUP($B80, 'Output 90% Downside'!$A:$CW,42,FALSE)</f>
        <v>1.7600000000000001E-2</v>
      </c>
      <c r="AY80" s="273">
        <f>VLOOKUP($B80, 'Output 90% Downside'!$A:$CW,43,FALSE)</f>
        <v>1.54E-2</v>
      </c>
      <c r="AZ80" s="273">
        <f>VLOOKUP($B80, 'Output 90% Downside'!$A:$CW,44,FALSE)</f>
        <v>1.4200000000000001E-2</v>
      </c>
      <c r="BA80" s="273">
        <f>VLOOKUP($B80, 'Output 90% Downside'!$A:$CW,45,FALSE)</f>
        <v>1.34E-2</v>
      </c>
      <c r="BB80" s="273">
        <f>VLOOKUP($B80, 'Output 90% Downside'!$A:$CW,46,FALSE)</f>
        <v>1.2800000000000001E-2</v>
      </c>
      <c r="BC80" s="447">
        <f t="shared" si="98"/>
        <v>4.4293417998352291E-3</v>
      </c>
      <c r="BD80" s="447">
        <f t="shared" si="99"/>
        <v>8.8390645308906723E-3</v>
      </c>
      <c r="BE80" s="447">
        <f t="shared" si="100"/>
        <v>1.3229255092727765E-2</v>
      </c>
      <c r="BF80" s="346"/>
      <c r="BG80" s="390">
        <f t="shared" si="101"/>
        <v>5.8024377577841502E-3</v>
      </c>
      <c r="BH80" s="390">
        <f t="shared" si="102"/>
        <v>1.1579174535466781E-2</v>
      </c>
      <c r="BI80" s="390">
        <f t="shared" si="103"/>
        <v>1.7330324171473375E-2</v>
      </c>
      <c r="BJ80" s="390">
        <f t="shared" si="104"/>
        <v>2.3056000000000004E-2</v>
      </c>
      <c r="BK80" s="390">
        <f t="shared" si="105"/>
        <v>4.2874937599999892E-2</v>
      </c>
      <c r="BL80" s="390">
        <f t="shared" si="106"/>
        <v>6.0868113486079935E-2</v>
      </c>
      <c r="BM80" s="390">
        <f t="shared" si="107"/>
        <v>7.7606480765366456E-2</v>
      </c>
      <c r="BN80" s="390">
        <f t="shared" si="108"/>
        <v>9.3381117811569769E-2</v>
      </c>
      <c r="BO80" s="390">
        <f t="shared" si="109"/>
        <v>2.3056000000000004E-2</v>
      </c>
      <c r="BP80" s="390">
        <f t="shared" si="110"/>
        <v>9.3381117811569769E-2</v>
      </c>
      <c r="BQ80" s="347"/>
      <c r="BR80" s="355"/>
      <c r="BS80" s="355"/>
      <c r="BT80" s="355"/>
      <c r="BU80" s="390">
        <f>IFERROR(AL80*$BS$2+BG80*$BS$4+Q80*$BS$3,VLOOKUP(A80,'Updated Ncino PD'!A:K,4,FALSE))</f>
        <v>5.1065422378313921E-3</v>
      </c>
      <c r="BV80" s="390">
        <f>IFERROR(AM80*$BS$2+BH80*$BS$4+R80*$BS$3,VLOOKUP(A80,'Updated Ncino PD'!A:K,5,FALSE))</f>
        <v>1.019283522356087E-2</v>
      </c>
      <c r="BW80" s="390">
        <f>IFERROR(AN80*$BS$2+BI80*$BS$4+S80*$BS$3,VLOOKUP(A80,'Updated Ncino PD'!A:K,6,FALSE))</f>
        <v>1.5258960681439438E-2</v>
      </c>
      <c r="BX80" s="390">
        <f>IFERROR(AO80*$BS$2+BJ80*$BS$4+T80*$BS$3,VLOOKUP(A80,'Updated Ncino PD'!A:K,7,FALSE))</f>
        <v>2.0305E-2</v>
      </c>
      <c r="BY80" s="390">
        <f>IFERROR(AP80*$BS$2+BK80*$BS$4+U80*$BS$3,VLOOKUP(A80,'Updated Ncino PD'!A:K,8,FALSE))</f>
        <v>3.8098798119999971E-2</v>
      </c>
      <c r="BZ80" s="390">
        <f>IFERROR(AQ80*$BS$2+BL80*$BS$4+V80*$BS$3,VLOOKUP(A80,'Updated Ncino PD'!A:K,9,FALSE))</f>
        <v>5.4558144535607984E-2</v>
      </c>
      <c r="CA80" s="390">
        <f>IFERROR(AR80*$BS$2+BM80*$BS$4+W80*$BS$3,VLOOKUP(A80,'Updated Ncino PD'!A:K,10,FALSE))</f>
        <v>7.0012760795175211E-2</v>
      </c>
      <c r="CB80" s="390">
        <f>IFERROR(AS80*$BS$2+BN80*$BS$4+X80*$BS$3,VLOOKUP(A80,'Updated Ncino PD'!A:K,11,FALSE))</f>
        <v>8.4675187262834503E-2</v>
      </c>
      <c r="CC80" s="390">
        <f t="shared" si="111"/>
        <v>2.0305E-2</v>
      </c>
      <c r="CD80" s="390">
        <f t="shared" si="112"/>
        <v>8.4675187262834503E-2</v>
      </c>
      <c r="CE80" s="355"/>
      <c r="CF80" s="450">
        <f t="shared" si="113"/>
        <v>1.5499999999999996E-2</v>
      </c>
      <c r="CG80" s="450">
        <f t="shared" si="114"/>
        <v>1.38E-2</v>
      </c>
      <c r="CH80" s="450">
        <f t="shared" si="115"/>
        <v>1.2944999999999998E-2</v>
      </c>
      <c r="CI80" s="450">
        <f t="shared" si="116"/>
        <v>1.2315E-2</v>
      </c>
      <c r="CJ80" s="450">
        <f t="shared" si="117"/>
        <v>1.183E-2</v>
      </c>
    </row>
    <row r="81" spans="1:88" hidden="1" x14ac:dyDescent="0.25">
      <c r="A81" s="400">
        <v>1100000238</v>
      </c>
      <c r="B81" s="455" t="str">
        <f>VLOOKUP(A81,'Loan Book Summary'!C:G,5,FALSE)</f>
        <v>0014I00002BVyev</v>
      </c>
      <c r="C81" s="167">
        <f>VLOOKUP(A81,'Ref-Data'!$A:$I,9,0)</f>
        <v>1</v>
      </c>
      <c r="D81" s="445">
        <f>VLOOKUP(A81,'Adjustment Factor'!A:C,3,0)</f>
        <v>2.0299999999999998</v>
      </c>
      <c r="E81" s="446">
        <f>VLOOKUP(A81,'Ref-Data'!A:C,2,FALSE)</f>
        <v>4000000</v>
      </c>
      <c r="F81" s="445">
        <f>VLOOKUP(A81,'Ref-Data'!$A:$F,6,FALSE)</f>
        <v>4.2956878850102669</v>
      </c>
      <c r="G81" s="346"/>
      <c r="H81" s="273">
        <f>VLOOKUP($B81, 'Output 96% Downside'!$A:$CW,42,FALSE)</f>
        <v>6.0699999999999997E-2</v>
      </c>
      <c r="I81" s="273">
        <f>VLOOKUP($B81, 'Output 96% Downside'!$A:$CW,43,FALSE)</f>
        <v>4.4200000000000003E-2</v>
      </c>
      <c r="J81" s="273">
        <f>VLOOKUP($B81, 'Output 96% Downside'!$A:$CW,44,FALSE)</f>
        <v>3.6700000000000003E-2</v>
      </c>
      <c r="K81" s="273">
        <f>VLOOKUP($B81, 'Output 96% Downside'!$A:$CW,45,FALSE)</f>
        <v>3.2099999999999997E-2</v>
      </c>
      <c r="L81" s="273">
        <f>VLOOKUP($B81, 'Output 96% Downside'!$A:$CW,46,FALSE)</f>
        <v>2.8899999999999999E-2</v>
      </c>
      <c r="M81" s="447">
        <f t="shared" si="72"/>
        <v>1.5533186534421484E-2</v>
      </c>
      <c r="N81" s="447">
        <f t="shared" si="73"/>
        <v>3.0825093184929875E-2</v>
      </c>
      <c r="O81" s="447">
        <f t="shared" si="74"/>
        <v>4.5879467796968942E-2</v>
      </c>
      <c r="P81" s="346"/>
      <c r="Q81" s="390">
        <f t="shared" si="75"/>
        <v>3.1532368664875611E-2</v>
      </c>
      <c r="R81" s="390">
        <f t="shared" si="76"/>
        <v>6.2574939165407642E-2</v>
      </c>
      <c r="S81" s="390">
        <f t="shared" si="77"/>
        <v>9.3135319627846949E-2</v>
      </c>
      <c r="T81" s="390">
        <f t="shared" si="78"/>
        <v>0.12322099999999998</v>
      </c>
      <c r="U81" s="390">
        <f t="shared" si="79"/>
        <v>0.20750063179999992</v>
      </c>
      <c r="V81" s="390">
        <f t="shared" si="80"/>
        <v>0.27438635861293981</v>
      </c>
      <c r="W81" s="390">
        <f t="shared" si="81"/>
        <v>0.33074155650146453</v>
      </c>
      <c r="X81" s="390">
        <f t="shared" si="82"/>
        <v>0.37985012551857222</v>
      </c>
      <c r="Y81" s="390">
        <f t="shared" si="83"/>
        <v>0.12322099999999998</v>
      </c>
      <c r="Z81" s="390">
        <f t="shared" si="84"/>
        <v>0.37985012551857222</v>
      </c>
      <c r="AA81" s="355"/>
      <c r="AB81" s="355"/>
      <c r="AC81" s="273">
        <f>VLOOKUP($B81, 'Output Baseline'!$A:$CW,42,FALSE)</f>
        <v>1.84E-2</v>
      </c>
      <c r="AD81" s="273">
        <f>VLOOKUP($B81, 'Output Baseline'!$A:$CW,43,FALSE)</f>
        <v>1.61E-2</v>
      </c>
      <c r="AE81" s="273">
        <f>VLOOKUP($B81, 'Output Baseline'!$A:$CW,44,FALSE)</f>
        <v>1.4800000000000001E-2</v>
      </c>
      <c r="AF81" s="273">
        <f>VLOOKUP($B81, 'Output Baseline'!$A:$CW,45,FALSE)</f>
        <v>1.4E-2</v>
      </c>
      <c r="AG81" s="273">
        <f>VLOOKUP($B81, 'Output Baseline'!$A:$CW,46,FALSE)</f>
        <v>1.34E-2</v>
      </c>
      <c r="AH81" s="447">
        <f t="shared" si="85"/>
        <v>4.6320850459028451E-3</v>
      </c>
      <c r="AI81" s="447">
        <f t="shared" si="86"/>
        <v>9.2427138799332509E-3</v>
      </c>
      <c r="AJ81" s="447">
        <f t="shared" si="87"/>
        <v>1.3831985889089293E-2</v>
      </c>
      <c r="AK81" s="346"/>
      <c r="AL81" s="390">
        <f t="shared" si="88"/>
        <v>9.4031326431827742E-3</v>
      </c>
      <c r="AM81" s="390">
        <f t="shared" si="89"/>
        <v>1.8762709176264498E-2</v>
      </c>
      <c r="AN81" s="390">
        <f t="shared" si="90"/>
        <v>2.8078931354851264E-2</v>
      </c>
      <c r="AO81" s="390">
        <f t="shared" si="91"/>
        <v>3.7351999999999996E-2</v>
      </c>
      <c r="AP81" s="390">
        <f t="shared" si="92"/>
        <v>6.9433632800000047E-2</v>
      </c>
      <c r="AQ81" s="390">
        <f t="shared" si="93"/>
        <v>9.8450015034560079E-2</v>
      </c>
      <c r="AR81" s="390">
        <f t="shared" si="94"/>
        <v>0.12549171482407637</v>
      </c>
      <c r="AS81" s="390">
        <f t="shared" si="95"/>
        <v>0.15101212584543364</v>
      </c>
      <c r="AT81" s="390">
        <f t="shared" si="96"/>
        <v>3.7351999999999996E-2</v>
      </c>
      <c r="AU81" s="390">
        <f t="shared" si="97"/>
        <v>0.15101212584543364</v>
      </c>
      <c r="AV81" s="355"/>
      <c r="AW81" s="355"/>
      <c r="AX81" s="273">
        <f>VLOOKUP($B81, 'Output 90% Downside'!$A:$CW,42,FALSE)</f>
        <v>4.4400000000000002E-2</v>
      </c>
      <c r="AY81" s="273">
        <f>VLOOKUP($B81, 'Output 90% Downside'!$A:$CW,43,FALSE)</f>
        <v>3.4200000000000001E-2</v>
      </c>
      <c r="AZ81" s="273">
        <f>VLOOKUP($B81, 'Output 90% Downside'!$A:$CW,44,FALSE)</f>
        <v>2.93E-2</v>
      </c>
      <c r="BA81" s="273">
        <f>VLOOKUP($B81, 'Output 90% Downside'!$A:$CW,45,FALSE)</f>
        <v>2.63E-2</v>
      </c>
      <c r="BB81" s="273">
        <f>VLOOKUP($B81, 'Output 90% Downside'!$A:$CW,46,FALSE)</f>
        <v>2.4199999999999999E-2</v>
      </c>
      <c r="BC81" s="447">
        <f t="shared" si="98"/>
        <v>1.1289752865888958E-2</v>
      </c>
      <c r="BD81" s="447">
        <f t="shared" si="99"/>
        <v>2.2452047212005111E-2</v>
      </c>
      <c r="BE81" s="447">
        <f t="shared" si="100"/>
        <v>3.3488322013537242E-2</v>
      </c>
      <c r="BF81" s="346"/>
      <c r="BG81" s="390">
        <f t="shared" si="101"/>
        <v>2.2918198317754584E-2</v>
      </c>
      <c r="BH81" s="390">
        <f t="shared" si="102"/>
        <v>4.5577655840370372E-2</v>
      </c>
      <c r="BI81" s="390">
        <f t="shared" si="103"/>
        <v>6.7981293687480598E-2</v>
      </c>
      <c r="BJ81" s="390">
        <f t="shared" si="104"/>
        <v>9.013199999999999E-2</v>
      </c>
      <c r="BK81" s="390">
        <f t="shared" si="105"/>
        <v>0.15647548560000002</v>
      </c>
      <c r="BL81" s="390">
        <f t="shared" si="106"/>
        <v>0.21136975387192006</v>
      </c>
      <c r="BM81" s="390">
        <f t="shared" si="107"/>
        <v>0.2591997293450885</v>
      </c>
      <c r="BN81" s="390">
        <f t="shared" si="108"/>
        <v>0.3020530958949374</v>
      </c>
      <c r="BO81" s="390">
        <f t="shared" si="109"/>
        <v>9.013199999999999E-2</v>
      </c>
      <c r="BP81" s="390">
        <f t="shared" si="110"/>
        <v>0.3020530958949374</v>
      </c>
      <c r="BQ81" s="347"/>
      <c r="BR81" s="355"/>
      <c r="BS81" s="355"/>
      <c r="BT81" s="355"/>
      <c r="BU81" s="390">
        <f>IFERROR(AL81*$BS$2+BG81*$BS$4+Q81*$BS$3,VLOOKUP(A81,'Updated Ncino PD'!A:K,4,FALSE))</f>
        <v>1.523986743036755E-2</v>
      </c>
      <c r="BV81" s="390">
        <f>IFERROR(AM81*$BS$2+BH81*$BS$4+R81*$BS$3,VLOOKUP(A81,'Updated Ncino PD'!A:K,5,FALSE))</f>
        <v>3.0338552008158711E-2</v>
      </c>
      <c r="BW81" s="390">
        <f>IFERROR(AN81*$BS$2+BI81*$BS$4+S81*$BS$3,VLOOKUP(A81,'Updated Ncino PD'!A:K,6,FALSE))</f>
        <v>4.5297577584921318E-2</v>
      </c>
      <c r="BX81" s="390">
        <f>IFERROR(AO81*$BS$2+BJ81*$BS$4+T81*$BS$3,VLOOKUP(A81,'Updated Ncino PD'!A:K,7,FALSE))</f>
        <v>6.011844999999999E-2</v>
      </c>
      <c r="BY81" s="390">
        <f>IFERROR(AP81*$BS$2+BK81*$BS$4+U81*$BS$3,VLOOKUP(A81,'Updated Ncino PD'!A:K,8,FALSE))</f>
        <v>0.10680163123000003</v>
      </c>
      <c r="BZ81" s="390">
        <f>IFERROR(AQ81*$BS$2+BL81*$BS$4+V81*$BS$3,VLOOKUP(A81,'Updated Ncino PD'!A:K,9,FALSE))</f>
        <v>0.14676874080655503</v>
      </c>
      <c r="CA81" s="390">
        <f>IFERROR(AR81*$BS$2+BM81*$BS$4+W81*$BS$3,VLOOKUP(A81,'Updated Ncino PD'!A:K,10,FALSE))</f>
        <v>0.18255201199029999</v>
      </c>
      <c r="CB81" s="390">
        <f>IFERROR(AS81*$BS$2+BN81*$BS$4+X81*$BS$3,VLOOKUP(A81,'Updated Ncino PD'!A:K,11,FALSE))</f>
        <v>0.21531836534641688</v>
      </c>
      <c r="CC81" s="390">
        <f t="shared" si="111"/>
        <v>6.011844999999999E-2</v>
      </c>
      <c r="CD81" s="390">
        <f t="shared" si="112"/>
        <v>0.21531836534641688</v>
      </c>
      <c r="CE81" s="355"/>
      <c r="CF81" s="450">
        <f t="shared" si="113"/>
        <v>2.9614999999999999E-2</v>
      </c>
      <c r="CG81" s="450">
        <f t="shared" si="114"/>
        <v>2.384E-2</v>
      </c>
      <c r="CH81" s="450">
        <f t="shared" si="115"/>
        <v>2.0969999999999999E-2</v>
      </c>
      <c r="CI81" s="450">
        <f t="shared" si="116"/>
        <v>1.9209999999999998E-2</v>
      </c>
      <c r="CJ81" s="450">
        <f t="shared" si="117"/>
        <v>1.7954999999999999E-2</v>
      </c>
    </row>
    <row r="82" spans="1:88" hidden="1" x14ac:dyDescent="0.25">
      <c r="A82" s="400">
        <v>1100000236</v>
      </c>
      <c r="B82" s="455" t="str">
        <f>VLOOKUP(A82,'Loan Book Summary'!C:G,5,FALSE)</f>
        <v>0014I00002BVyev</v>
      </c>
      <c r="C82" s="167">
        <f>VLOOKUP(A82,'Ref-Data'!$A:$I,9,0)</f>
        <v>1</v>
      </c>
      <c r="D82" s="445">
        <f>VLOOKUP(A82,'Adjustment Factor'!A:C,3,0)</f>
        <v>2.0299999999999998</v>
      </c>
      <c r="E82" s="446">
        <f>VLOOKUP(A82,'Ref-Data'!A:C,2,FALSE)</f>
        <v>6750000</v>
      </c>
      <c r="F82" s="445">
        <f>VLOOKUP(A82,'Ref-Data'!$A:$F,6,FALSE)</f>
        <v>4.2956878850102669</v>
      </c>
      <c r="G82" s="346"/>
      <c r="H82" s="273">
        <f>VLOOKUP($B82, 'Output 96% Downside'!$A:$CW,42,FALSE)</f>
        <v>6.0699999999999997E-2</v>
      </c>
      <c r="I82" s="273">
        <f>VLOOKUP($B82, 'Output 96% Downside'!$A:$CW,43,FALSE)</f>
        <v>4.4200000000000003E-2</v>
      </c>
      <c r="J82" s="273">
        <f>VLOOKUP($B82, 'Output 96% Downside'!$A:$CW,44,FALSE)</f>
        <v>3.6700000000000003E-2</v>
      </c>
      <c r="K82" s="273">
        <f>VLOOKUP($B82, 'Output 96% Downside'!$A:$CW,45,FALSE)</f>
        <v>3.2099999999999997E-2</v>
      </c>
      <c r="L82" s="273">
        <f>VLOOKUP($B82, 'Output 96% Downside'!$A:$CW,46,FALSE)</f>
        <v>2.8899999999999999E-2</v>
      </c>
      <c r="M82" s="447">
        <f t="shared" si="72"/>
        <v>1.5533186534421484E-2</v>
      </c>
      <c r="N82" s="447">
        <f t="shared" si="73"/>
        <v>3.0825093184929875E-2</v>
      </c>
      <c r="O82" s="447">
        <f t="shared" si="74"/>
        <v>4.5879467796968942E-2</v>
      </c>
      <c r="P82" s="346"/>
      <c r="Q82" s="390">
        <f t="shared" si="75"/>
        <v>3.1532368664875611E-2</v>
      </c>
      <c r="R82" s="390">
        <f t="shared" si="76"/>
        <v>6.2574939165407642E-2</v>
      </c>
      <c r="S82" s="390">
        <f t="shared" si="77"/>
        <v>9.3135319627846949E-2</v>
      </c>
      <c r="T82" s="390">
        <f t="shared" si="78"/>
        <v>0.12322099999999998</v>
      </c>
      <c r="U82" s="390">
        <f t="shared" si="79"/>
        <v>0.20750063179999992</v>
      </c>
      <c r="V82" s="390">
        <f t="shared" si="80"/>
        <v>0.27438635861293981</v>
      </c>
      <c r="W82" s="390">
        <f t="shared" si="81"/>
        <v>0.33074155650146453</v>
      </c>
      <c r="X82" s="390">
        <f t="shared" si="82"/>
        <v>0.37985012551857222</v>
      </c>
      <c r="Y82" s="390">
        <f t="shared" si="83"/>
        <v>0.12322099999999998</v>
      </c>
      <c r="Z82" s="390">
        <f t="shared" si="84"/>
        <v>0.37985012551857222</v>
      </c>
      <c r="AA82" s="355"/>
      <c r="AB82" s="355"/>
      <c r="AC82" s="273">
        <f>VLOOKUP($B82, 'Output Baseline'!$A:$CW,42,FALSE)</f>
        <v>1.84E-2</v>
      </c>
      <c r="AD82" s="273">
        <f>VLOOKUP($B82, 'Output Baseline'!$A:$CW,43,FALSE)</f>
        <v>1.61E-2</v>
      </c>
      <c r="AE82" s="273">
        <f>VLOOKUP($B82, 'Output Baseline'!$A:$CW,44,FALSE)</f>
        <v>1.4800000000000001E-2</v>
      </c>
      <c r="AF82" s="273">
        <f>VLOOKUP($B82, 'Output Baseline'!$A:$CW,45,FALSE)</f>
        <v>1.4E-2</v>
      </c>
      <c r="AG82" s="273">
        <f>VLOOKUP($B82, 'Output Baseline'!$A:$CW,46,FALSE)</f>
        <v>1.34E-2</v>
      </c>
      <c r="AH82" s="447">
        <f t="shared" si="85"/>
        <v>4.6320850459028451E-3</v>
      </c>
      <c r="AI82" s="447">
        <f t="shared" si="86"/>
        <v>9.2427138799332509E-3</v>
      </c>
      <c r="AJ82" s="447">
        <f t="shared" si="87"/>
        <v>1.3831985889089293E-2</v>
      </c>
      <c r="AK82" s="346"/>
      <c r="AL82" s="390">
        <f t="shared" si="88"/>
        <v>9.4031326431827742E-3</v>
      </c>
      <c r="AM82" s="390">
        <f t="shared" si="89"/>
        <v>1.8762709176264498E-2</v>
      </c>
      <c r="AN82" s="390">
        <f t="shared" si="90"/>
        <v>2.8078931354851264E-2</v>
      </c>
      <c r="AO82" s="390">
        <f t="shared" si="91"/>
        <v>3.7351999999999996E-2</v>
      </c>
      <c r="AP82" s="390">
        <f t="shared" si="92"/>
        <v>6.9433632800000047E-2</v>
      </c>
      <c r="AQ82" s="390">
        <f t="shared" si="93"/>
        <v>9.8450015034560079E-2</v>
      </c>
      <c r="AR82" s="390">
        <f t="shared" si="94"/>
        <v>0.12549171482407637</v>
      </c>
      <c r="AS82" s="390">
        <f t="shared" si="95"/>
        <v>0.15101212584543364</v>
      </c>
      <c r="AT82" s="390">
        <f t="shared" si="96"/>
        <v>3.7351999999999996E-2</v>
      </c>
      <c r="AU82" s="390">
        <f t="shared" si="97"/>
        <v>0.15101212584543364</v>
      </c>
      <c r="AV82" s="355"/>
      <c r="AW82" s="355"/>
      <c r="AX82" s="273">
        <f>VLOOKUP($B82, 'Output 90% Downside'!$A:$CW,42,FALSE)</f>
        <v>4.4400000000000002E-2</v>
      </c>
      <c r="AY82" s="273">
        <f>VLOOKUP($B82, 'Output 90% Downside'!$A:$CW,43,FALSE)</f>
        <v>3.4200000000000001E-2</v>
      </c>
      <c r="AZ82" s="273">
        <f>VLOOKUP($B82, 'Output 90% Downside'!$A:$CW,44,FALSE)</f>
        <v>2.93E-2</v>
      </c>
      <c r="BA82" s="273">
        <f>VLOOKUP($B82, 'Output 90% Downside'!$A:$CW,45,FALSE)</f>
        <v>2.63E-2</v>
      </c>
      <c r="BB82" s="273">
        <f>VLOOKUP($B82, 'Output 90% Downside'!$A:$CW,46,FALSE)</f>
        <v>2.4199999999999999E-2</v>
      </c>
      <c r="BC82" s="447">
        <f t="shared" si="98"/>
        <v>1.1289752865888958E-2</v>
      </c>
      <c r="BD82" s="447">
        <f t="shared" si="99"/>
        <v>2.2452047212005111E-2</v>
      </c>
      <c r="BE82" s="447">
        <f t="shared" si="100"/>
        <v>3.3488322013537242E-2</v>
      </c>
      <c r="BF82" s="346"/>
      <c r="BG82" s="390">
        <f t="shared" si="101"/>
        <v>2.2918198317754584E-2</v>
      </c>
      <c r="BH82" s="390">
        <f t="shared" si="102"/>
        <v>4.5577655840370372E-2</v>
      </c>
      <c r="BI82" s="390">
        <f t="shared" si="103"/>
        <v>6.7981293687480598E-2</v>
      </c>
      <c r="BJ82" s="390">
        <f t="shared" si="104"/>
        <v>9.013199999999999E-2</v>
      </c>
      <c r="BK82" s="390">
        <f t="shared" si="105"/>
        <v>0.15647548560000002</v>
      </c>
      <c r="BL82" s="390">
        <f t="shared" si="106"/>
        <v>0.21136975387192006</v>
      </c>
      <c r="BM82" s="390">
        <f t="shared" si="107"/>
        <v>0.2591997293450885</v>
      </c>
      <c r="BN82" s="390">
        <f t="shared" si="108"/>
        <v>0.3020530958949374</v>
      </c>
      <c r="BO82" s="390">
        <f t="shared" si="109"/>
        <v>9.013199999999999E-2</v>
      </c>
      <c r="BP82" s="390">
        <f t="shared" si="110"/>
        <v>0.3020530958949374</v>
      </c>
      <c r="BQ82" s="347"/>
      <c r="BR82" s="355"/>
      <c r="BS82" s="355"/>
      <c r="BT82" s="355"/>
      <c r="BU82" s="390">
        <f>IFERROR(AL82*$BS$2+BG82*$BS$4+Q82*$BS$3,VLOOKUP(A82,'Updated Ncino PD'!A:K,4,FALSE))</f>
        <v>1.523986743036755E-2</v>
      </c>
      <c r="BV82" s="390">
        <f>IFERROR(AM82*$BS$2+BH82*$BS$4+R82*$BS$3,VLOOKUP(A82,'Updated Ncino PD'!A:K,5,FALSE))</f>
        <v>3.0338552008158711E-2</v>
      </c>
      <c r="BW82" s="390">
        <f>IFERROR(AN82*$BS$2+BI82*$BS$4+S82*$BS$3,VLOOKUP(A82,'Updated Ncino PD'!A:K,6,FALSE))</f>
        <v>4.5297577584921318E-2</v>
      </c>
      <c r="BX82" s="390">
        <f>IFERROR(AO82*$BS$2+BJ82*$BS$4+T82*$BS$3,VLOOKUP(A82,'Updated Ncino PD'!A:K,7,FALSE))</f>
        <v>6.011844999999999E-2</v>
      </c>
      <c r="BY82" s="390">
        <f>IFERROR(AP82*$BS$2+BK82*$BS$4+U82*$BS$3,VLOOKUP(A82,'Updated Ncino PD'!A:K,8,FALSE))</f>
        <v>0.10680163123000003</v>
      </c>
      <c r="BZ82" s="390">
        <f>IFERROR(AQ82*$BS$2+BL82*$BS$4+V82*$BS$3,VLOOKUP(A82,'Updated Ncino PD'!A:K,9,FALSE))</f>
        <v>0.14676874080655503</v>
      </c>
      <c r="CA82" s="390">
        <f>IFERROR(AR82*$BS$2+BM82*$BS$4+W82*$BS$3,VLOOKUP(A82,'Updated Ncino PD'!A:K,10,FALSE))</f>
        <v>0.18255201199029999</v>
      </c>
      <c r="CB82" s="390">
        <f>IFERROR(AS82*$BS$2+BN82*$BS$4+X82*$BS$3,VLOOKUP(A82,'Updated Ncino PD'!A:K,11,FALSE))</f>
        <v>0.21531836534641688</v>
      </c>
      <c r="CC82" s="390">
        <f t="shared" si="111"/>
        <v>6.011844999999999E-2</v>
      </c>
      <c r="CD82" s="390">
        <f t="shared" si="112"/>
        <v>0.21531836534641688</v>
      </c>
      <c r="CE82" s="355"/>
      <c r="CF82" s="450">
        <f t="shared" si="113"/>
        <v>2.9614999999999999E-2</v>
      </c>
      <c r="CG82" s="450">
        <f t="shared" si="114"/>
        <v>2.384E-2</v>
      </c>
      <c r="CH82" s="450">
        <f t="shared" si="115"/>
        <v>2.0969999999999999E-2</v>
      </c>
      <c r="CI82" s="450">
        <f t="shared" si="116"/>
        <v>1.9209999999999998E-2</v>
      </c>
      <c r="CJ82" s="450">
        <f t="shared" si="117"/>
        <v>1.7954999999999999E-2</v>
      </c>
    </row>
    <row r="83" spans="1:88" hidden="1" x14ac:dyDescent="0.25">
      <c r="A83" s="400">
        <v>1100000237</v>
      </c>
      <c r="B83" s="455" t="str">
        <f>VLOOKUP(A83,'Loan Book Summary'!C:G,5,FALSE)</f>
        <v>0014I00002BVyev</v>
      </c>
      <c r="C83" s="167">
        <f>VLOOKUP(A83,'Ref-Data'!$A:$I,9,0)</f>
        <v>1</v>
      </c>
      <c r="D83" s="445">
        <f>VLOOKUP(A83,'Adjustment Factor'!A:C,3,0)</f>
        <v>2.0299999999999998</v>
      </c>
      <c r="E83" s="446">
        <f>VLOOKUP(A83,'Ref-Data'!A:C,2,FALSE)</f>
        <v>7500000</v>
      </c>
      <c r="F83" s="445">
        <f>VLOOKUP(A83,'Ref-Data'!$A:$F,6,FALSE)</f>
        <v>4.2956878850102669</v>
      </c>
      <c r="G83" s="346"/>
      <c r="H83" s="273">
        <f>VLOOKUP($B83, 'Output 96% Downside'!$A:$CW,42,FALSE)</f>
        <v>6.0699999999999997E-2</v>
      </c>
      <c r="I83" s="273">
        <f>VLOOKUP($B83, 'Output 96% Downside'!$A:$CW,43,FALSE)</f>
        <v>4.4200000000000003E-2</v>
      </c>
      <c r="J83" s="273">
        <f>VLOOKUP($B83, 'Output 96% Downside'!$A:$CW,44,FALSE)</f>
        <v>3.6700000000000003E-2</v>
      </c>
      <c r="K83" s="273">
        <f>VLOOKUP($B83, 'Output 96% Downside'!$A:$CW,45,FALSE)</f>
        <v>3.2099999999999997E-2</v>
      </c>
      <c r="L83" s="273">
        <f>VLOOKUP($B83, 'Output 96% Downside'!$A:$CW,46,FALSE)</f>
        <v>2.8899999999999999E-2</v>
      </c>
      <c r="M83" s="447">
        <f t="shared" si="72"/>
        <v>1.5533186534421484E-2</v>
      </c>
      <c r="N83" s="447">
        <f t="shared" si="73"/>
        <v>3.0825093184929875E-2</v>
      </c>
      <c r="O83" s="447">
        <f t="shared" si="74"/>
        <v>4.5879467796968942E-2</v>
      </c>
      <c r="P83" s="346"/>
      <c r="Q83" s="390">
        <f t="shared" si="75"/>
        <v>3.1532368664875611E-2</v>
      </c>
      <c r="R83" s="390">
        <f t="shared" si="76"/>
        <v>6.2574939165407642E-2</v>
      </c>
      <c r="S83" s="390">
        <f t="shared" si="77"/>
        <v>9.3135319627846949E-2</v>
      </c>
      <c r="T83" s="390">
        <f t="shared" si="78"/>
        <v>0.12322099999999998</v>
      </c>
      <c r="U83" s="390">
        <f t="shared" si="79"/>
        <v>0.20750063179999992</v>
      </c>
      <c r="V83" s="390">
        <f t="shared" si="80"/>
        <v>0.27438635861293981</v>
      </c>
      <c r="W83" s="390">
        <f t="shared" si="81"/>
        <v>0.33074155650146453</v>
      </c>
      <c r="X83" s="390">
        <f t="shared" si="82"/>
        <v>0.37985012551857222</v>
      </c>
      <c r="Y83" s="390">
        <f t="shared" si="83"/>
        <v>0.12322099999999998</v>
      </c>
      <c r="Z83" s="390">
        <f t="shared" si="84"/>
        <v>0.37985012551857222</v>
      </c>
      <c r="AA83" s="355"/>
      <c r="AB83" s="355"/>
      <c r="AC83" s="273">
        <f>VLOOKUP($B83, 'Output Baseline'!$A:$CW,42,FALSE)</f>
        <v>1.84E-2</v>
      </c>
      <c r="AD83" s="273">
        <f>VLOOKUP($B83, 'Output Baseline'!$A:$CW,43,FALSE)</f>
        <v>1.61E-2</v>
      </c>
      <c r="AE83" s="273">
        <f>VLOOKUP($B83, 'Output Baseline'!$A:$CW,44,FALSE)</f>
        <v>1.4800000000000001E-2</v>
      </c>
      <c r="AF83" s="273">
        <f>VLOOKUP($B83, 'Output Baseline'!$A:$CW,45,FALSE)</f>
        <v>1.4E-2</v>
      </c>
      <c r="AG83" s="273">
        <f>VLOOKUP($B83, 'Output Baseline'!$A:$CW,46,FALSE)</f>
        <v>1.34E-2</v>
      </c>
      <c r="AH83" s="447">
        <f t="shared" si="85"/>
        <v>4.6320850459028451E-3</v>
      </c>
      <c r="AI83" s="447">
        <f t="shared" si="86"/>
        <v>9.2427138799332509E-3</v>
      </c>
      <c r="AJ83" s="447">
        <f t="shared" si="87"/>
        <v>1.3831985889089293E-2</v>
      </c>
      <c r="AK83" s="346"/>
      <c r="AL83" s="390">
        <f t="shared" si="88"/>
        <v>9.4031326431827742E-3</v>
      </c>
      <c r="AM83" s="390">
        <f t="shared" si="89"/>
        <v>1.8762709176264498E-2</v>
      </c>
      <c r="AN83" s="390">
        <f t="shared" si="90"/>
        <v>2.8078931354851264E-2</v>
      </c>
      <c r="AO83" s="390">
        <f t="shared" si="91"/>
        <v>3.7351999999999996E-2</v>
      </c>
      <c r="AP83" s="390">
        <f t="shared" si="92"/>
        <v>6.9433632800000047E-2</v>
      </c>
      <c r="AQ83" s="390">
        <f t="shared" si="93"/>
        <v>9.8450015034560079E-2</v>
      </c>
      <c r="AR83" s="390">
        <f t="shared" si="94"/>
        <v>0.12549171482407637</v>
      </c>
      <c r="AS83" s="390">
        <f t="shared" si="95"/>
        <v>0.15101212584543364</v>
      </c>
      <c r="AT83" s="390">
        <f t="shared" si="96"/>
        <v>3.7351999999999996E-2</v>
      </c>
      <c r="AU83" s="390">
        <f t="shared" si="97"/>
        <v>0.15101212584543364</v>
      </c>
      <c r="AV83" s="355"/>
      <c r="AW83" s="355"/>
      <c r="AX83" s="273">
        <f>VLOOKUP($B83, 'Output 90% Downside'!$A:$CW,42,FALSE)</f>
        <v>4.4400000000000002E-2</v>
      </c>
      <c r="AY83" s="273">
        <f>VLOOKUP($B83, 'Output 90% Downside'!$A:$CW,43,FALSE)</f>
        <v>3.4200000000000001E-2</v>
      </c>
      <c r="AZ83" s="273">
        <f>VLOOKUP($B83, 'Output 90% Downside'!$A:$CW,44,FALSE)</f>
        <v>2.93E-2</v>
      </c>
      <c r="BA83" s="273">
        <f>VLOOKUP($B83, 'Output 90% Downside'!$A:$CW,45,FALSE)</f>
        <v>2.63E-2</v>
      </c>
      <c r="BB83" s="273">
        <f>VLOOKUP($B83, 'Output 90% Downside'!$A:$CW,46,FALSE)</f>
        <v>2.4199999999999999E-2</v>
      </c>
      <c r="BC83" s="447">
        <f t="shared" si="98"/>
        <v>1.1289752865888958E-2</v>
      </c>
      <c r="BD83" s="447">
        <f t="shared" si="99"/>
        <v>2.2452047212005111E-2</v>
      </c>
      <c r="BE83" s="447">
        <f t="shared" si="100"/>
        <v>3.3488322013537242E-2</v>
      </c>
      <c r="BF83" s="346"/>
      <c r="BG83" s="390">
        <f t="shared" si="101"/>
        <v>2.2918198317754584E-2</v>
      </c>
      <c r="BH83" s="390">
        <f t="shared" si="102"/>
        <v>4.5577655840370372E-2</v>
      </c>
      <c r="BI83" s="390">
        <f t="shared" si="103"/>
        <v>6.7981293687480598E-2</v>
      </c>
      <c r="BJ83" s="390">
        <f t="shared" si="104"/>
        <v>9.013199999999999E-2</v>
      </c>
      <c r="BK83" s="390">
        <f t="shared" si="105"/>
        <v>0.15647548560000002</v>
      </c>
      <c r="BL83" s="390">
        <f t="shared" si="106"/>
        <v>0.21136975387192006</v>
      </c>
      <c r="BM83" s="390">
        <f t="shared" si="107"/>
        <v>0.2591997293450885</v>
      </c>
      <c r="BN83" s="390">
        <f t="shared" si="108"/>
        <v>0.3020530958949374</v>
      </c>
      <c r="BO83" s="390">
        <f t="shared" si="109"/>
        <v>9.013199999999999E-2</v>
      </c>
      <c r="BP83" s="390">
        <f t="shared" si="110"/>
        <v>0.3020530958949374</v>
      </c>
      <c r="BQ83" s="347"/>
      <c r="BR83" s="355"/>
      <c r="BS83" s="355"/>
      <c r="BT83" s="355"/>
      <c r="BU83" s="390">
        <f>IFERROR(AL83*$BS$2+BG83*$BS$4+Q83*$BS$3,VLOOKUP(A83,'Updated Ncino PD'!A:K,4,FALSE))</f>
        <v>1.523986743036755E-2</v>
      </c>
      <c r="BV83" s="390">
        <f>IFERROR(AM83*$BS$2+BH83*$BS$4+R83*$BS$3,VLOOKUP(A83,'Updated Ncino PD'!A:K,5,FALSE))</f>
        <v>3.0338552008158711E-2</v>
      </c>
      <c r="BW83" s="390">
        <f>IFERROR(AN83*$BS$2+BI83*$BS$4+S83*$BS$3,VLOOKUP(A83,'Updated Ncino PD'!A:K,6,FALSE))</f>
        <v>4.5297577584921318E-2</v>
      </c>
      <c r="BX83" s="390">
        <f>IFERROR(AO83*$BS$2+BJ83*$BS$4+T83*$BS$3,VLOOKUP(A83,'Updated Ncino PD'!A:K,7,FALSE))</f>
        <v>6.011844999999999E-2</v>
      </c>
      <c r="BY83" s="390">
        <f>IFERROR(AP83*$BS$2+BK83*$BS$4+U83*$BS$3,VLOOKUP(A83,'Updated Ncino PD'!A:K,8,FALSE))</f>
        <v>0.10680163123000003</v>
      </c>
      <c r="BZ83" s="390">
        <f>IFERROR(AQ83*$BS$2+BL83*$BS$4+V83*$BS$3,VLOOKUP(A83,'Updated Ncino PD'!A:K,9,FALSE))</f>
        <v>0.14676874080655503</v>
      </c>
      <c r="CA83" s="390">
        <f>IFERROR(AR83*$BS$2+BM83*$BS$4+W83*$BS$3,VLOOKUP(A83,'Updated Ncino PD'!A:K,10,FALSE))</f>
        <v>0.18255201199029999</v>
      </c>
      <c r="CB83" s="390">
        <f>IFERROR(AS83*$BS$2+BN83*$BS$4+X83*$BS$3,VLOOKUP(A83,'Updated Ncino PD'!A:K,11,FALSE))</f>
        <v>0.21531836534641688</v>
      </c>
      <c r="CC83" s="390">
        <f t="shared" si="111"/>
        <v>6.011844999999999E-2</v>
      </c>
      <c r="CD83" s="390">
        <f t="shared" si="112"/>
        <v>0.21531836534641688</v>
      </c>
      <c r="CE83" s="355"/>
      <c r="CF83" s="450">
        <f t="shared" si="113"/>
        <v>2.9614999999999999E-2</v>
      </c>
      <c r="CG83" s="450">
        <f t="shared" si="114"/>
        <v>2.384E-2</v>
      </c>
      <c r="CH83" s="450">
        <f t="shared" si="115"/>
        <v>2.0969999999999999E-2</v>
      </c>
      <c r="CI83" s="450">
        <f t="shared" si="116"/>
        <v>1.9209999999999998E-2</v>
      </c>
      <c r="CJ83" s="450">
        <f t="shared" si="117"/>
        <v>1.7954999999999999E-2</v>
      </c>
    </row>
    <row r="84" spans="1:88" hidden="1" x14ac:dyDescent="0.25">
      <c r="A84" s="400">
        <v>1100000241</v>
      </c>
      <c r="B84" s="455" t="str">
        <f>VLOOKUP(A84,'Loan Book Summary'!C:G,5,FALSE)</f>
        <v>0014I000027xjkG</v>
      </c>
      <c r="C84" s="167">
        <f>VLOOKUP(A84,'Ref-Data'!$A:$I,9,0)</f>
        <v>1</v>
      </c>
      <c r="D84" s="445">
        <f>VLOOKUP(A84,'Adjustment Factor'!A:C,3,0)</f>
        <v>1.75</v>
      </c>
      <c r="E84" s="446">
        <f>VLOOKUP(A84,'Ref-Data'!A:C,2,FALSE)</f>
        <v>4953225</v>
      </c>
      <c r="F84" s="445">
        <f>VLOOKUP(A84,'Ref-Data'!$A:$F,6,FALSE)</f>
        <v>4.4052019164955514</v>
      </c>
      <c r="G84" s="346"/>
      <c r="H84" s="273">
        <f>VLOOKUP($B84, 'Output 96% Downside'!$A:$CW,42,FALSE)</f>
        <v>2.3E-3</v>
      </c>
      <c r="I84" s="273">
        <f>VLOOKUP($B84, 'Output 96% Downside'!$A:$CW,43,FALSE)</f>
        <v>2.2000000000000001E-3</v>
      </c>
      <c r="J84" s="273">
        <f>VLOOKUP($B84, 'Output 96% Downside'!$A:$CW,44,FALSE)</f>
        <v>2.0999999999999999E-3</v>
      </c>
      <c r="K84" s="273">
        <f>VLOOKUP($B84, 'Output 96% Downside'!$A:$CW,45,FALSE)</f>
        <v>2.0999999999999999E-3</v>
      </c>
      <c r="L84" s="273">
        <f>VLOOKUP($B84, 'Output 96% Downside'!$A:$CW,46,FALSE)</f>
        <v>2E-3</v>
      </c>
      <c r="M84" s="447">
        <f t="shared" si="72"/>
        <v>5.7549660393674262E-4</v>
      </c>
      <c r="N84" s="447">
        <f t="shared" si="73"/>
        <v>1.1506620115323551E-3</v>
      </c>
      <c r="O84" s="447">
        <f t="shared" si="74"/>
        <v>1.7254964133891493E-3</v>
      </c>
      <c r="P84" s="346"/>
      <c r="Q84" s="390">
        <f t="shared" si="75"/>
        <v>1.0071190568892996E-3</v>
      </c>
      <c r="R84" s="390">
        <f t="shared" si="76"/>
        <v>2.0136585201816215E-3</v>
      </c>
      <c r="S84" s="390">
        <f t="shared" si="77"/>
        <v>3.0196187234310112E-3</v>
      </c>
      <c r="T84" s="390">
        <f t="shared" si="78"/>
        <v>4.0249999999999999E-3</v>
      </c>
      <c r="U84" s="390">
        <f t="shared" si="79"/>
        <v>7.8661449999999078E-3</v>
      </c>
      <c r="V84" s="390">
        <f t="shared" si="80"/>
        <v>1.1524626095499896E-2</v>
      </c>
      <c r="W84" s="390">
        <f t="shared" si="81"/>
        <v>1.5175424380699382E-2</v>
      </c>
      <c r="X84" s="390">
        <f t="shared" si="82"/>
        <v>1.8645073531937895E-2</v>
      </c>
      <c r="Y84" s="390">
        <f t="shared" si="83"/>
        <v>4.0249999999999999E-3</v>
      </c>
      <c r="Z84" s="390">
        <f t="shared" si="84"/>
        <v>1.8645073531937895E-2</v>
      </c>
      <c r="AA84" s="355"/>
      <c r="AB84" s="355"/>
      <c r="AC84" s="273">
        <f>VLOOKUP($B84, 'Output Baseline'!$A:$CW,42,FALSE)</f>
        <v>1.8E-3</v>
      </c>
      <c r="AD84" s="273">
        <f>VLOOKUP($B84, 'Output Baseline'!$A:$CW,43,FALSE)</f>
        <v>1.8E-3</v>
      </c>
      <c r="AE84" s="273">
        <f>VLOOKUP($B84, 'Output Baseline'!$A:$CW,44,FALSE)</f>
        <v>1.8E-3</v>
      </c>
      <c r="AF84" s="273">
        <f>VLOOKUP($B84, 'Output Baseline'!$A:$CW,45,FALSE)</f>
        <v>1.8E-3</v>
      </c>
      <c r="AG84" s="273">
        <f>VLOOKUP($B84, 'Output Baseline'!$A:$CW,46,FALSE)</f>
        <v>1.8E-3</v>
      </c>
      <c r="AH84" s="447">
        <f t="shared" si="85"/>
        <v>4.5030406933277423E-4</v>
      </c>
      <c r="AI84" s="447">
        <f t="shared" si="86"/>
        <v>9.0040536491065026E-4</v>
      </c>
      <c r="AJ84" s="447">
        <f t="shared" si="87"/>
        <v>1.3503039780435877E-3</v>
      </c>
      <c r="AK84" s="346"/>
      <c r="AL84" s="390">
        <f t="shared" si="88"/>
        <v>7.880321213323549E-4</v>
      </c>
      <c r="AM84" s="390">
        <f t="shared" si="89"/>
        <v>1.575709388593638E-3</v>
      </c>
      <c r="AN84" s="390">
        <f t="shared" si="90"/>
        <v>2.3630319615762785E-3</v>
      </c>
      <c r="AO84" s="390">
        <f t="shared" si="91"/>
        <v>3.15E-3</v>
      </c>
      <c r="AP84" s="390">
        <f t="shared" si="92"/>
        <v>6.2943300000001534E-3</v>
      </c>
      <c r="AQ84" s="390">
        <f t="shared" si="93"/>
        <v>9.4330002060001306E-3</v>
      </c>
      <c r="AR84" s="390">
        <f t="shared" si="94"/>
        <v>1.2566020805629352E-2</v>
      </c>
      <c r="AS84" s="390">
        <f t="shared" si="95"/>
        <v>1.5693401968179227E-2</v>
      </c>
      <c r="AT84" s="390">
        <f t="shared" si="96"/>
        <v>3.15E-3</v>
      </c>
      <c r="AU84" s="390">
        <f t="shared" si="97"/>
        <v>1.5693401968179227E-2</v>
      </c>
      <c r="AV84" s="355"/>
      <c r="AW84" s="355"/>
      <c r="AX84" s="273">
        <f>VLOOKUP($B84, 'Output 90% Downside'!$A:$CW,42,FALSE)</f>
        <v>2.2000000000000001E-3</v>
      </c>
      <c r="AY84" s="273">
        <f>VLOOKUP($B84, 'Output 90% Downside'!$A:$CW,43,FALSE)</f>
        <v>2.0999999999999999E-3</v>
      </c>
      <c r="AZ84" s="273">
        <f>VLOOKUP($B84, 'Output 90% Downside'!$A:$CW,44,FALSE)</f>
        <v>2E-3</v>
      </c>
      <c r="BA84" s="273">
        <f>VLOOKUP($B84, 'Output 90% Downside'!$A:$CW,45,FALSE)</f>
        <v>2E-3</v>
      </c>
      <c r="BB84" s="273">
        <f>VLOOKUP($B84, 'Output 90% Downside'!$A:$CW,46,FALSE)</f>
        <v>1.9E-3</v>
      </c>
      <c r="BC84" s="447">
        <f t="shared" si="98"/>
        <v>5.5045433319467207E-4</v>
      </c>
      <c r="BD84" s="447">
        <f t="shared" si="99"/>
        <v>1.1006056664164543E-3</v>
      </c>
      <c r="BE84" s="447">
        <f t="shared" si="100"/>
        <v>1.6504541664529304E-3</v>
      </c>
      <c r="BF84" s="346"/>
      <c r="BG84" s="390">
        <f t="shared" si="101"/>
        <v>9.6329508309067613E-4</v>
      </c>
      <c r="BH84" s="390">
        <f t="shared" si="102"/>
        <v>1.926059916228795E-3</v>
      </c>
      <c r="BI84" s="390">
        <f t="shared" si="103"/>
        <v>2.8882947912926282E-3</v>
      </c>
      <c r="BJ84" s="390">
        <f t="shared" si="104"/>
        <v>3.8500000000000001E-3</v>
      </c>
      <c r="BK84" s="390">
        <f t="shared" si="105"/>
        <v>7.5169149999999296E-3</v>
      </c>
      <c r="BL84" s="390">
        <f t="shared" si="106"/>
        <v>1.1001881169999866E-2</v>
      </c>
      <c r="BM84" s="390">
        <f t="shared" si="107"/>
        <v>1.4479877407659963E-2</v>
      </c>
      <c r="BN84" s="390">
        <f t="shared" si="108"/>
        <v>1.7777365640585435E-2</v>
      </c>
      <c r="BO84" s="390">
        <f t="shared" si="109"/>
        <v>3.8500000000000001E-3</v>
      </c>
      <c r="BP84" s="390">
        <f t="shared" si="110"/>
        <v>1.7777365640585435E-2</v>
      </c>
      <c r="BQ84" s="347"/>
      <c r="BR84" s="355"/>
      <c r="BS84" s="355"/>
      <c r="BT84" s="355"/>
      <c r="BU84" s="390">
        <f>IFERROR(AL84*$BS$2+BG84*$BS$4+Q84*$BS$3,VLOOKUP(A84,'Updated Ncino PD'!A:K,4,FALSE))</f>
        <v>8.6032850472561454E-4</v>
      </c>
      <c r="BV84" s="390">
        <f>IFERROR(AM84*$BS$2+BH84*$BS$4+R84*$BS$3,VLOOKUP(A84,'Updated Ncino PD'!A:K,5,FALSE))</f>
        <v>1.7202295298453418E-3</v>
      </c>
      <c r="BW84" s="390">
        <f>IFERROR(AN84*$BS$2+BI84*$BS$4+S84*$BS$3,VLOOKUP(A84,'Updated Ncino PD'!A:K,6,FALSE))</f>
        <v>2.5797032900697378E-3</v>
      </c>
      <c r="BX84" s="390">
        <f>IFERROR(AO84*$BS$2+BJ84*$BS$4+T84*$BS$3,VLOOKUP(A84,'Updated Ncino PD'!A:K,7,FALSE))</f>
        <v>3.43875E-3</v>
      </c>
      <c r="BY84" s="390">
        <f>IFERROR(AP84*$BS$2+BK84*$BS$4+U84*$BS$3,VLOOKUP(A84,'Updated Ncino PD'!A:K,8,FALSE))</f>
        <v>6.8008255000000621E-3</v>
      </c>
      <c r="BZ84" s="390">
        <f>IFERROR(AQ84*$BS$2+BL84*$BS$4+V84*$BS$3,VLOOKUP(A84,'Updated Ncino PD'!A:K,9,FALSE))</f>
        <v>1.0086689837875027E-2</v>
      </c>
      <c r="CA84" s="390">
        <f>IFERROR(AR84*$BS$2+BM84*$BS$4+W84*$BS$3,VLOOKUP(A84,'Updated Ncino PD'!A:K,10,FALSE))</f>
        <v>1.3366340795093566E-2</v>
      </c>
      <c r="CB84" s="390">
        <f>IFERROR(AS84*$BS$2+BN84*$BS$4+X84*$BS$3,VLOOKUP(A84,'Updated Ncino PD'!A:K,11,FALSE))</f>
        <v>1.657037283170933E-2</v>
      </c>
      <c r="CC84" s="390">
        <f t="shared" si="111"/>
        <v>3.43875E-3</v>
      </c>
      <c r="CD84" s="390">
        <f t="shared" si="112"/>
        <v>1.657037283170933E-2</v>
      </c>
      <c r="CE84" s="355"/>
      <c r="CF84" s="450">
        <f t="shared" si="113"/>
        <v>1.9650000000000002E-3</v>
      </c>
      <c r="CG84" s="450">
        <f t="shared" si="114"/>
        <v>1.9250000000000001E-3</v>
      </c>
      <c r="CH84" s="450">
        <f t="shared" si="115"/>
        <v>1.885E-3</v>
      </c>
      <c r="CI84" s="450">
        <f t="shared" si="116"/>
        <v>1.885E-3</v>
      </c>
      <c r="CJ84" s="450">
        <f t="shared" si="117"/>
        <v>1.8450000000000001E-3</v>
      </c>
    </row>
    <row r="85" spans="1:88" hidden="1" x14ac:dyDescent="0.25">
      <c r="A85" s="400">
        <v>1100000242</v>
      </c>
      <c r="B85" s="455" t="str">
        <f>VLOOKUP(A85,'Loan Book Summary'!C:G,5,FALSE)</f>
        <v>0014I000027xjiZ</v>
      </c>
      <c r="C85" s="167">
        <f>VLOOKUP(A85,'Ref-Data'!$A:$I,9,0)</f>
        <v>1</v>
      </c>
      <c r="D85" s="445">
        <f>VLOOKUP(A85,'Adjustment Factor'!A:C,3,0)</f>
        <v>1.75</v>
      </c>
      <c r="E85" s="446">
        <f>VLOOKUP(A85,'Ref-Data'!A:C,2,FALSE)</f>
        <v>1691086</v>
      </c>
      <c r="F85" s="445">
        <f>VLOOKUP(A85,'Ref-Data'!$A:$F,6,FALSE)</f>
        <v>4.4052019164955514</v>
      </c>
      <c r="G85" s="346"/>
      <c r="H85" s="273">
        <f>VLOOKUP($B85, 'Output 96% Downside'!$A:$CW,42,FALSE)</f>
        <v>2.3E-3</v>
      </c>
      <c r="I85" s="273">
        <f>VLOOKUP($B85, 'Output 96% Downside'!$A:$CW,43,FALSE)</f>
        <v>2.2000000000000001E-3</v>
      </c>
      <c r="J85" s="273">
        <f>VLOOKUP($B85, 'Output 96% Downside'!$A:$CW,44,FALSE)</f>
        <v>2.0999999999999999E-3</v>
      </c>
      <c r="K85" s="273">
        <f>VLOOKUP($B85, 'Output 96% Downside'!$A:$CW,45,FALSE)</f>
        <v>2.0999999999999999E-3</v>
      </c>
      <c r="L85" s="273">
        <f>VLOOKUP($B85, 'Output 96% Downside'!$A:$CW,46,FALSE)</f>
        <v>2E-3</v>
      </c>
      <c r="M85" s="447">
        <f t="shared" si="72"/>
        <v>5.7549660393674262E-4</v>
      </c>
      <c r="N85" s="447">
        <f t="shared" si="73"/>
        <v>1.1506620115323551E-3</v>
      </c>
      <c r="O85" s="447">
        <f t="shared" si="74"/>
        <v>1.7254964133891493E-3</v>
      </c>
      <c r="P85" s="346"/>
      <c r="Q85" s="390">
        <f t="shared" si="75"/>
        <v>1.0071190568892996E-3</v>
      </c>
      <c r="R85" s="390">
        <f t="shared" si="76"/>
        <v>2.0136585201816215E-3</v>
      </c>
      <c r="S85" s="390">
        <f t="shared" si="77"/>
        <v>3.0196187234310112E-3</v>
      </c>
      <c r="T85" s="390">
        <f t="shared" si="78"/>
        <v>4.0249999999999999E-3</v>
      </c>
      <c r="U85" s="390">
        <f t="shared" si="79"/>
        <v>7.8661449999999078E-3</v>
      </c>
      <c r="V85" s="390">
        <f t="shared" si="80"/>
        <v>1.1524626095499896E-2</v>
      </c>
      <c r="W85" s="390">
        <f t="shared" si="81"/>
        <v>1.5175424380699382E-2</v>
      </c>
      <c r="X85" s="390">
        <f t="shared" si="82"/>
        <v>1.8645073531937895E-2</v>
      </c>
      <c r="Y85" s="390">
        <f t="shared" si="83"/>
        <v>4.0249999999999999E-3</v>
      </c>
      <c r="Z85" s="390">
        <f t="shared" si="84"/>
        <v>1.8645073531937895E-2</v>
      </c>
      <c r="AA85" s="355"/>
      <c r="AB85" s="355"/>
      <c r="AC85" s="273">
        <f>VLOOKUP($B85, 'Output Baseline'!$A:$CW,42,FALSE)</f>
        <v>1.8E-3</v>
      </c>
      <c r="AD85" s="273">
        <f>VLOOKUP($B85, 'Output Baseline'!$A:$CW,43,FALSE)</f>
        <v>1.8E-3</v>
      </c>
      <c r="AE85" s="273">
        <f>VLOOKUP($B85, 'Output Baseline'!$A:$CW,44,FALSE)</f>
        <v>1.8E-3</v>
      </c>
      <c r="AF85" s="273">
        <f>VLOOKUP($B85, 'Output Baseline'!$A:$CW,45,FALSE)</f>
        <v>1.8E-3</v>
      </c>
      <c r="AG85" s="273">
        <f>VLOOKUP($B85, 'Output Baseline'!$A:$CW,46,FALSE)</f>
        <v>1.8E-3</v>
      </c>
      <c r="AH85" s="447">
        <f t="shared" si="85"/>
        <v>4.5030406933277423E-4</v>
      </c>
      <c r="AI85" s="447">
        <f t="shared" si="86"/>
        <v>9.0040536491065026E-4</v>
      </c>
      <c r="AJ85" s="447">
        <f t="shared" si="87"/>
        <v>1.3503039780435877E-3</v>
      </c>
      <c r="AK85" s="346"/>
      <c r="AL85" s="390">
        <f t="shared" si="88"/>
        <v>7.880321213323549E-4</v>
      </c>
      <c r="AM85" s="390">
        <f t="shared" si="89"/>
        <v>1.575709388593638E-3</v>
      </c>
      <c r="AN85" s="390">
        <f t="shared" si="90"/>
        <v>2.3630319615762785E-3</v>
      </c>
      <c r="AO85" s="390">
        <f t="shared" si="91"/>
        <v>3.15E-3</v>
      </c>
      <c r="AP85" s="390">
        <f t="shared" si="92"/>
        <v>6.2943300000001534E-3</v>
      </c>
      <c r="AQ85" s="390">
        <f t="shared" si="93"/>
        <v>9.4330002060001306E-3</v>
      </c>
      <c r="AR85" s="390">
        <f t="shared" si="94"/>
        <v>1.2566020805629352E-2</v>
      </c>
      <c r="AS85" s="390">
        <f t="shared" si="95"/>
        <v>1.5693401968179227E-2</v>
      </c>
      <c r="AT85" s="390">
        <f t="shared" si="96"/>
        <v>3.15E-3</v>
      </c>
      <c r="AU85" s="390">
        <f t="shared" si="97"/>
        <v>1.5693401968179227E-2</v>
      </c>
      <c r="AV85" s="355"/>
      <c r="AW85" s="355"/>
      <c r="AX85" s="273">
        <f>VLOOKUP($B85, 'Output 90% Downside'!$A:$CW,42,FALSE)</f>
        <v>2.2000000000000001E-3</v>
      </c>
      <c r="AY85" s="273">
        <f>VLOOKUP($B85, 'Output 90% Downside'!$A:$CW,43,FALSE)</f>
        <v>2.0999999999999999E-3</v>
      </c>
      <c r="AZ85" s="273">
        <f>VLOOKUP($B85, 'Output 90% Downside'!$A:$CW,44,FALSE)</f>
        <v>2E-3</v>
      </c>
      <c r="BA85" s="273">
        <f>VLOOKUP($B85, 'Output 90% Downside'!$A:$CW,45,FALSE)</f>
        <v>2E-3</v>
      </c>
      <c r="BB85" s="273">
        <f>VLOOKUP($B85, 'Output 90% Downside'!$A:$CW,46,FALSE)</f>
        <v>1.9E-3</v>
      </c>
      <c r="BC85" s="447">
        <f t="shared" si="98"/>
        <v>5.5045433319467207E-4</v>
      </c>
      <c r="BD85" s="447">
        <f t="shared" si="99"/>
        <v>1.1006056664164543E-3</v>
      </c>
      <c r="BE85" s="447">
        <f t="shared" si="100"/>
        <v>1.6504541664529304E-3</v>
      </c>
      <c r="BF85" s="346"/>
      <c r="BG85" s="390">
        <f t="shared" si="101"/>
        <v>9.6329508309067613E-4</v>
      </c>
      <c r="BH85" s="390">
        <f t="shared" si="102"/>
        <v>1.926059916228795E-3</v>
      </c>
      <c r="BI85" s="390">
        <f t="shared" si="103"/>
        <v>2.8882947912926282E-3</v>
      </c>
      <c r="BJ85" s="390">
        <f t="shared" si="104"/>
        <v>3.8500000000000001E-3</v>
      </c>
      <c r="BK85" s="390">
        <f t="shared" si="105"/>
        <v>7.5169149999999296E-3</v>
      </c>
      <c r="BL85" s="390">
        <f t="shared" si="106"/>
        <v>1.1001881169999866E-2</v>
      </c>
      <c r="BM85" s="390">
        <f t="shared" si="107"/>
        <v>1.4479877407659963E-2</v>
      </c>
      <c r="BN85" s="390">
        <f t="shared" si="108"/>
        <v>1.7777365640585435E-2</v>
      </c>
      <c r="BO85" s="390">
        <f t="shared" si="109"/>
        <v>3.8500000000000001E-3</v>
      </c>
      <c r="BP85" s="390">
        <f t="shared" si="110"/>
        <v>1.7777365640585435E-2</v>
      </c>
      <c r="BQ85" s="347"/>
      <c r="BR85" s="355"/>
      <c r="BS85" s="355"/>
      <c r="BT85" s="355"/>
      <c r="BU85" s="390">
        <f>IFERROR(AL85*$BS$2+BG85*$BS$4+Q85*$BS$3,VLOOKUP(A85,'Updated Ncino PD'!A:K,4,FALSE))</f>
        <v>8.6032850472561454E-4</v>
      </c>
      <c r="BV85" s="390">
        <f>IFERROR(AM85*$BS$2+BH85*$BS$4+R85*$BS$3,VLOOKUP(A85,'Updated Ncino PD'!A:K,5,FALSE))</f>
        <v>1.7202295298453418E-3</v>
      </c>
      <c r="BW85" s="390">
        <f>IFERROR(AN85*$BS$2+BI85*$BS$4+S85*$BS$3,VLOOKUP(A85,'Updated Ncino PD'!A:K,6,FALSE))</f>
        <v>2.5797032900697378E-3</v>
      </c>
      <c r="BX85" s="390">
        <f>IFERROR(AO85*$BS$2+BJ85*$BS$4+T85*$BS$3,VLOOKUP(A85,'Updated Ncino PD'!A:K,7,FALSE))</f>
        <v>3.43875E-3</v>
      </c>
      <c r="BY85" s="390">
        <f>IFERROR(AP85*$BS$2+BK85*$BS$4+U85*$BS$3,VLOOKUP(A85,'Updated Ncino PD'!A:K,8,FALSE))</f>
        <v>6.8008255000000621E-3</v>
      </c>
      <c r="BZ85" s="390">
        <f>IFERROR(AQ85*$BS$2+BL85*$BS$4+V85*$BS$3,VLOOKUP(A85,'Updated Ncino PD'!A:K,9,FALSE))</f>
        <v>1.0086689837875027E-2</v>
      </c>
      <c r="CA85" s="390">
        <f>IFERROR(AR85*$BS$2+BM85*$BS$4+W85*$BS$3,VLOOKUP(A85,'Updated Ncino PD'!A:K,10,FALSE))</f>
        <v>1.3366340795093566E-2</v>
      </c>
      <c r="CB85" s="390">
        <f>IFERROR(AS85*$BS$2+BN85*$BS$4+X85*$BS$3,VLOOKUP(A85,'Updated Ncino PD'!A:K,11,FALSE))</f>
        <v>1.657037283170933E-2</v>
      </c>
      <c r="CC85" s="390">
        <f t="shared" si="111"/>
        <v>3.43875E-3</v>
      </c>
      <c r="CD85" s="390">
        <f t="shared" si="112"/>
        <v>1.657037283170933E-2</v>
      </c>
      <c r="CE85" s="355"/>
      <c r="CF85" s="450">
        <f t="shared" si="113"/>
        <v>1.9650000000000002E-3</v>
      </c>
      <c r="CG85" s="450">
        <f t="shared" si="114"/>
        <v>1.9250000000000001E-3</v>
      </c>
      <c r="CH85" s="450">
        <f t="shared" si="115"/>
        <v>1.885E-3</v>
      </c>
      <c r="CI85" s="450">
        <f t="shared" si="116"/>
        <v>1.885E-3</v>
      </c>
      <c r="CJ85" s="450">
        <f t="shared" si="117"/>
        <v>1.8450000000000001E-3</v>
      </c>
    </row>
    <row r="86" spans="1:88" hidden="1" x14ac:dyDescent="0.25">
      <c r="A86" s="400">
        <v>1100000243</v>
      </c>
      <c r="B86" s="455" t="str">
        <f>VLOOKUP(A86,'Loan Book Summary'!C:G,5,FALSE)</f>
        <v>0014I000027xjgR</v>
      </c>
      <c r="C86" s="167">
        <f>VLOOKUP(A86,'Ref-Data'!$A:$I,9,0)</f>
        <v>1</v>
      </c>
      <c r="D86" s="445">
        <f>VLOOKUP(A86,'Adjustment Factor'!A:C,3,0)</f>
        <v>1.75</v>
      </c>
      <c r="E86" s="446">
        <f>VLOOKUP(A86,'Ref-Data'!A:C,2,FALSE)</f>
        <v>3695245</v>
      </c>
      <c r="F86" s="445">
        <f>VLOOKUP(A86,'Ref-Data'!$A:$F,6,FALSE)</f>
        <v>4.4052019164955514</v>
      </c>
      <c r="G86" s="346"/>
      <c r="H86" s="273">
        <f>VLOOKUP($B86, 'Output 96% Downside'!$A:$CW,42,FALSE)</f>
        <v>2.3E-3</v>
      </c>
      <c r="I86" s="273">
        <f>VLOOKUP($B86, 'Output 96% Downside'!$A:$CW,43,FALSE)</f>
        <v>2.2000000000000001E-3</v>
      </c>
      <c r="J86" s="273">
        <f>VLOOKUP($B86, 'Output 96% Downside'!$A:$CW,44,FALSE)</f>
        <v>2.0999999999999999E-3</v>
      </c>
      <c r="K86" s="273">
        <f>VLOOKUP($B86, 'Output 96% Downside'!$A:$CW,45,FALSE)</f>
        <v>2.0999999999999999E-3</v>
      </c>
      <c r="L86" s="273">
        <f>VLOOKUP($B86, 'Output 96% Downside'!$A:$CW,46,FALSE)</f>
        <v>2E-3</v>
      </c>
      <c r="M86" s="447">
        <f t="shared" si="72"/>
        <v>5.7549660393674262E-4</v>
      </c>
      <c r="N86" s="447">
        <f t="shared" si="73"/>
        <v>1.1506620115323551E-3</v>
      </c>
      <c r="O86" s="447">
        <f t="shared" si="74"/>
        <v>1.7254964133891493E-3</v>
      </c>
      <c r="P86" s="346"/>
      <c r="Q86" s="390">
        <f t="shared" si="75"/>
        <v>1.0071190568892996E-3</v>
      </c>
      <c r="R86" s="390">
        <f t="shared" si="76"/>
        <v>2.0136585201816215E-3</v>
      </c>
      <c r="S86" s="390">
        <f t="shared" si="77"/>
        <v>3.0196187234310112E-3</v>
      </c>
      <c r="T86" s="390">
        <f t="shared" si="78"/>
        <v>4.0249999999999999E-3</v>
      </c>
      <c r="U86" s="390">
        <f t="shared" si="79"/>
        <v>7.8661449999999078E-3</v>
      </c>
      <c r="V86" s="390">
        <f t="shared" si="80"/>
        <v>1.1524626095499896E-2</v>
      </c>
      <c r="W86" s="390">
        <f t="shared" si="81"/>
        <v>1.5175424380699382E-2</v>
      </c>
      <c r="X86" s="390">
        <f t="shared" si="82"/>
        <v>1.8645073531937895E-2</v>
      </c>
      <c r="Y86" s="390">
        <f t="shared" si="83"/>
        <v>4.0249999999999999E-3</v>
      </c>
      <c r="Z86" s="390">
        <f t="shared" si="84"/>
        <v>1.8645073531937895E-2</v>
      </c>
      <c r="AA86" s="355"/>
      <c r="AB86" s="355"/>
      <c r="AC86" s="273">
        <f>VLOOKUP($B86, 'Output Baseline'!$A:$CW,42,FALSE)</f>
        <v>1.8E-3</v>
      </c>
      <c r="AD86" s="273">
        <f>VLOOKUP($B86, 'Output Baseline'!$A:$CW,43,FALSE)</f>
        <v>1.8E-3</v>
      </c>
      <c r="AE86" s="273">
        <f>VLOOKUP($B86, 'Output Baseline'!$A:$CW,44,FALSE)</f>
        <v>1.8E-3</v>
      </c>
      <c r="AF86" s="273">
        <f>VLOOKUP($B86, 'Output Baseline'!$A:$CW,45,FALSE)</f>
        <v>1.8E-3</v>
      </c>
      <c r="AG86" s="273">
        <f>VLOOKUP($B86, 'Output Baseline'!$A:$CW,46,FALSE)</f>
        <v>1.8E-3</v>
      </c>
      <c r="AH86" s="447">
        <f t="shared" si="85"/>
        <v>4.5030406933277423E-4</v>
      </c>
      <c r="AI86" s="447">
        <f t="shared" si="86"/>
        <v>9.0040536491065026E-4</v>
      </c>
      <c r="AJ86" s="447">
        <f t="shared" si="87"/>
        <v>1.3503039780435877E-3</v>
      </c>
      <c r="AK86" s="346"/>
      <c r="AL86" s="390">
        <f t="shared" si="88"/>
        <v>7.880321213323549E-4</v>
      </c>
      <c r="AM86" s="390">
        <f t="shared" si="89"/>
        <v>1.575709388593638E-3</v>
      </c>
      <c r="AN86" s="390">
        <f t="shared" si="90"/>
        <v>2.3630319615762785E-3</v>
      </c>
      <c r="AO86" s="390">
        <f t="shared" si="91"/>
        <v>3.15E-3</v>
      </c>
      <c r="AP86" s="390">
        <f t="shared" si="92"/>
        <v>6.2943300000001534E-3</v>
      </c>
      <c r="AQ86" s="390">
        <f t="shared" si="93"/>
        <v>9.4330002060001306E-3</v>
      </c>
      <c r="AR86" s="390">
        <f t="shared" si="94"/>
        <v>1.2566020805629352E-2</v>
      </c>
      <c r="AS86" s="390">
        <f t="shared" si="95"/>
        <v>1.5693401968179227E-2</v>
      </c>
      <c r="AT86" s="390">
        <f t="shared" si="96"/>
        <v>3.15E-3</v>
      </c>
      <c r="AU86" s="390">
        <f t="shared" si="97"/>
        <v>1.5693401968179227E-2</v>
      </c>
      <c r="AV86" s="355"/>
      <c r="AW86" s="355"/>
      <c r="AX86" s="273">
        <f>VLOOKUP($B86, 'Output 90% Downside'!$A:$CW,42,FALSE)</f>
        <v>2.2000000000000001E-3</v>
      </c>
      <c r="AY86" s="273">
        <f>VLOOKUP($B86, 'Output 90% Downside'!$A:$CW,43,FALSE)</f>
        <v>2.0999999999999999E-3</v>
      </c>
      <c r="AZ86" s="273">
        <f>VLOOKUP($B86, 'Output 90% Downside'!$A:$CW,44,FALSE)</f>
        <v>2E-3</v>
      </c>
      <c r="BA86" s="273">
        <f>VLOOKUP($B86, 'Output 90% Downside'!$A:$CW,45,FALSE)</f>
        <v>2E-3</v>
      </c>
      <c r="BB86" s="273">
        <f>VLOOKUP($B86, 'Output 90% Downside'!$A:$CW,46,FALSE)</f>
        <v>1.9E-3</v>
      </c>
      <c r="BC86" s="447">
        <f t="shared" si="98"/>
        <v>5.5045433319467207E-4</v>
      </c>
      <c r="BD86" s="447">
        <f t="shared" si="99"/>
        <v>1.1006056664164543E-3</v>
      </c>
      <c r="BE86" s="447">
        <f t="shared" si="100"/>
        <v>1.6504541664529304E-3</v>
      </c>
      <c r="BF86" s="346"/>
      <c r="BG86" s="390">
        <f t="shared" si="101"/>
        <v>9.6329508309067613E-4</v>
      </c>
      <c r="BH86" s="390">
        <f t="shared" si="102"/>
        <v>1.926059916228795E-3</v>
      </c>
      <c r="BI86" s="390">
        <f t="shared" si="103"/>
        <v>2.8882947912926282E-3</v>
      </c>
      <c r="BJ86" s="390">
        <f t="shared" si="104"/>
        <v>3.8500000000000001E-3</v>
      </c>
      <c r="BK86" s="390">
        <f t="shared" si="105"/>
        <v>7.5169149999999296E-3</v>
      </c>
      <c r="BL86" s="390">
        <f t="shared" si="106"/>
        <v>1.1001881169999866E-2</v>
      </c>
      <c r="BM86" s="390">
        <f t="shared" si="107"/>
        <v>1.4479877407659963E-2</v>
      </c>
      <c r="BN86" s="390">
        <f t="shared" si="108"/>
        <v>1.7777365640585435E-2</v>
      </c>
      <c r="BO86" s="390">
        <f t="shared" si="109"/>
        <v>3.8500000000000001E-3</v>
      </c>
      <c r="BP86" s="390">
        <f t="shared" si="110"/>
        <v>1.7777365640585435E-2</v>
      </c>
      <c r="BQ86" s="347"/>
      <c r="BR86" s="355"/>
      <c r="BS86" s="355"/>
      <c r="BT86" s="355"/>
      <c r="BU86" s="390">
        <f>IFERROR(AL86*$BS$2+BG86*$BS$4+Q86*$BS$3,VLOOKUP(A86,'Updated Ncino PD'!A:K,4,FALSE))</f>
        <v>8.6032850472561454E-4</v>
      </c>
      <c r="BV86" s="390">
        <f>IFERROR(AM86*$BS$2+BH86*$BS$4+R86*$BS$3,VLOOKUP(A86,'Updated Ncino PD'!A:K,5,FALSE))</f>
        <v>1.7202295298453418E-3</v>
      </c>
      <c r="BW86" s="390">
        <f>IFERROR(AN86*$BS$2+BI86*$BS$4+S86*$BS$3,VLOOKUP(A86,'Updated Ncino PD'!A:K,6,FALSE))</f>
        <v>2.5797032900697378E-3</v>
      </c>
      <c r="BX86" s="390">
        <f>IFERROR(AO86*$BS$2+BJ86*$BS$4+T86*$BS$3,VLOOKUP(A86,'Updated Ncino PD'!A:K,7,FALSE))</f>
        <v>3.43875E-3</v>
      </c>
      <c r="BY86" s="390">
        <f>IFERROR(AP86*$BS$2+BK86*$BS$4+U86*$BS$3,VLOOKUP(A86,'Updated Ncino PD'!A:K,8,FALSE))</f>
        <v>6.8008255000000621E-3</v>
      </c>
      <c r="BZ86" s="390">
        <f>IFERROR(AQ86*$BS$2+BL86*$BS$4+V86*$BS$3,VLOOKUP(A86,'Updated Ncino PD'!A:K,9,FALSE))</f>
        <v>1.0086689837875027E-2</v>
      </c>
      <c r="CA86" s="390">
        <f>IFERROR(AR86*$BS$2+BM86*$BS$4+W86*$BS$3,VLOOKUP(A86,'Updated Ncino PD'!A:K,10,FALSE))</f>
        <v>1.3366340795093566E-2</v>
      </c>
      <c r="CB86" s="390">
        <f>IFERROR(AS86*$BS$2+BN86*$BS$4+X86*$BS$3,VLOOKUP(A86,'Updated Ncino PD'!A:K,11,FALSE))</f>
        <v>1.657037283170933E-2</v>
      </c>
      <c r="CC86" s="390">
        <f t="shared" si="111"/>
        <v>3.43875E-3</v>
      </c>
      <c r="CD86" s="390">
        <f t="shared" si="112"/>
        <v>1.657037283170933E-2</v>
      </c>
      <c r="CE86" s="355"/>
      <c r="CF86" s="450">
        <f t="shared" si="113"/>
        <v>1.9650000000000002E-3</v>
      </c>
      <c r="CG86" s="450">
        <f t="shared" si="114"/>
        <v>1.9250000000000001E-3</v>
      </c>
      <c r="CH86" s="450">
        <f t="shared" si="115"/>
        <v>1.885E-3</v>
      </c>
      <c r="CI86" s="450">
        <f t="shared" si="116"/>
        <v>1.885E-3</v>
      </c>
      <c r="CJ86" s="450">
        <f t="shared" si="117"/>
        <v>1.8450000000000001E-3</v>
      </c>
    </row>
    <row r="87" spans="1:88" hidden="1" x14ac:dyDescent="0.25">
      <c r="A87" s="400">
        <v>1100000245</v>
      </c>
      <c r="B87" s="455" t="str">
        <f>VLOOKUP(A87,'Loan Book Summary'!C:G,5,FALSE)</f>
        <v>0014I000027xjnF</v>
      </c>
      <c r="C87" s="167">
        <f>VLOOKUP(A87,'Ref-Data'!$A:$I,9,0)</f>
        <v>1</v>
      </c>
      <c r="D87" s="445">
        <f>VLOOKUP(A87,'Adjustment Factor'!A:C,3,0)</f>
        <v>1.75</v>
      </c>
      <c r="E87" s="446">
        <f>VLOOKUP(A87,'Ref-Data'!A:C,2,FALSE)</f>
        <v>2378209</v>
      </c>
      <c r="F87" s="445">
        <f>VLOOKUP(A87,'Ref-Data'!$A:$F,6,FALSE)</f>
        <v>4.4052019164955514</v>
      </c>
      <c r="G87" s="346"/>
      <c r="H87" s="273">
        <f>VLOOKUP($B87, 'Output 96% Downside'!$A:$CW,42,FALSE)</f>
        <v>2.3E-3</v>
      </c>
      <c r="I87" s="273">
        <f>VLOOKUP($B87, 'Output 96% Downside'!$A:$CW,43,FALSE)</f>
        <v>2.2000000000000001E-3</v>
      </c>
      <c r="J87" s="273">
        <f>VLOOKUP($B87, 'Output 96% Downside'!$A:$CW,44,FALSE)</f>
        <v>2.0999999999999999E-3</v>
      </c>
      <c r="K87" s="273">
        <f>VLOOKUP($B87, 'Output 96% Downside'!$A:$CW,45,FALSE)</f>
        <v>2.0999999999999999E-3</v>
      </c>
      <c r="L87" s="273">
        <f>VLOOKUP($B87, 'Output 96% Downside'!$A:$CW,46,FALSE)</f>
        <v>2E-3</v>
      </c>
      <c r="M87" s="447">
        <f t="shared" si="72"/>
        <v>5.7549660393674262E-4</v>
      </c>
      <c r="N87" s="447">
        <f t="shared" si="73"/>
        <v>1.1506620115323551E-3</v>
      </c>
      <c r="O87" s="447">
        <f t="shared" si="74"/>
        <v>1.7254964133891493E-3</v>
      </c>
      <c r="P87" s="346"/>
      <c r="Q87" s="390">
        <f t="shared" si="75"/>
        <v>1.0071190568892996E-3</v>
      </c>
      <c r="R87" s="390">
        <f t="shared" si="76"/>
        <v>2.0136585201816215E-3</v>
      </c>
      <c r="S87" s="390">
        <f t="shared" si="77"/>
        <v>3.0196187234310112E-3</v>
      </c>
      <c r="T87" s="390">
        <f t="shared" si="78"/>
        <v>4.0249999999999999E-3</v>
      </c>
      <c r="U87" s="390">
        <f t="shared" si="79"/>
        <v>7.8661449999999078E-3</v>
      </c>
      <c r="V87" s="390">
        <f t="shared" si="80"/>
        <v>1.1524626095499896E-2</v>
      </c>
      <c r="W87" s="390">
        <f t="shared" si="81"/>
        <v>1.5175424380699382E-2</v>
      </c>
      <c r="X87" s="390">
        <f t="shared" si="82"/>
        <v>1.8645073531937895E-2</v>
      </c>
      <c r="Y87" s="390">
        <f t="shared" si="83"/>
        <v>4.0249999999999999E-3</v>
      </c>
      <c r="Z87" s="390">
        <f t="shared" si="84"/>
        <v>1.8645073531937895E-2</v>
      </c>
      <c r="AA87" s="355"/>
      <c r="AB87" s="355"/>
      <c r="AC87" s="273">
        <f>VLOOKUP($B87, 'Output Baseline'!$A:$CW,42,FALSE)</f>
        <v>1.8E-3</v>
      </c>
      <c r="AD87" s="273">
        <f>VLOOKUP($B87, 'Output Baseline'!$A:$CW,43,FALSE)</f>
        <v>1.8E-3</v>
      </c>
      <c r="AE87" s="273">
        <f>VLOOKUP($B87, 'Output Baseline'!$A:$CW,44,FALSE)</f>
        <v>1.8E-3</v>
      </c>
      <c r="AF87" s="273">
        <f>VLOOKUP($B87, 'Output Baseline'!$A:$CW,45,FALSE)</f>
        <v>1.8E-3</v>
      </c>
      <c r="AG87" s="273">
        <f>VLOOKUP($B87, 'Output Baseline'!$A:$CW,46,FALSE)</f>
        <v>1.8E-3</v>
      </c>
      <c r="AH87" s="447">
        <f t="shared" si="85"/>
        <v>4.5030406933277423E-4</v>
      </c>
      <c r="AI87" s="447">
        <f t="shared" si="86"/>
        <v>9.0040536491065026E-4</v>
      </c>
      <c r="AJ87" s="447">
        <f t="shared" si="87"/>
        <v>1.3503039780435877E-3</v>
      </c>
      <c r="AK87" s="346"/>
      <c r="AL87" s="390">
        <f t="shared" si="88"/>
        <v>7.880321213323549E-4</v>
      </c>
      <c r="AM87" s="390">
        <f t="shared" si="89"/>
        <v>1.575709388593638E-3</v>
      </c>
      <c r="AN87" s="390">
        <f t="shared" si="90"/>
        <v>2.3630319615762785E-3</v>
      </c>
      <c r="AO87" s="390">
        <f t="shared" si="91"/>
        <v>3.15E-3</v>
      </c>
      <c r="AP87" s="390">
        <f t="shared" si="92"/>
        <v>6.2943300000001534E-3</v>
      </c>
      <c r="AQ87" s="390">
        <f t="shared" si="93"/>
        <v>9.4330002060001306E-3</v>
      </c>
      <c r="AR87" s="390">
        <f t="shared" si="94"/>
        <v>1.2566020805629352E-2</v>
      </c>
      <c r="AS87" s="390">
        <f t="shared" si="95"/>
        <v>1.5693401968179227E-2</v>
      </c>
      <c r="AT87" s="390">
        <f t="shared" si="96"/>
        <v>3.15E-3</v>
      </c>
      <c r="AU87" s="390">
        <f t="shared" si="97"/>
        <v>1.5693401968179227E-2</v>
      </c>
      <c r="AV87" s="355"/>
      <c r="AW87" s="355"/>
      <c r="AX87" s="273">
        <f>VLOOKUP($B87, 'Output 90% Downside'!$A:$CW,42,FALSE)</f>
        <v>2.2000000000000001E-3</v>
      </c>
      <c r="AY87" s="273">
        <f>VLOOKUP($B87, 'Output 90% Downside'!$A:$CW,43,FALSE)</f>
        <v>2.0999999999999999E-3</v>
      </c>
      <c r="AZ87" s="273">
        <f>VLOOKUP($B87, 'Output 90% Downside'!$A:$CW,44,FALSE)</f>
        <v>2E-3</v>
      </c>
      <c r="BA87" s="273">
        <f>VLOOKUP($B87, 'Output 90% Downside'!$A:$CW,45,FALSE)</f>
        <v>2E-3</v>
      </c>
      <c r="BB87" s="273">
        <f>VLOOKUP($B87, 'Output 90% Downside'!$A:$CW,46,FALSE)</f>
        <v>1.9E-3</v>
      </c>
      <c r="BC87" s="447">
        <f t="shared" si="98"/>
        <v>5.5045433319467207E-4</v>
      </c>
      <c r="BD87" s="447">
        <f t="shared" si="99"/>
        <v>1.1006056664164543E-3</v>
      </c>
      <c r="BE87" s="447">
        <f t="shared" si="100"/>
        <v>1.6504541664529304E-3</v>
      </c>
      <c r="BF87" s="346"/>
      <c r="BG87" s="390">
        <f t="shared" si="101"/>
        <v>9.6329508309067613E-4</v>
      </c>
      <c r="BH87" s="390">
        <f t="shared" si="102"/>
        <v>1.926059916228795E-3</v>
      </c>
      <c r="BI87" s="390">
        <f t="shared" si="103"/>
        <v>2.8882947912926282E-3</v>
      </c>
      <c r="BJ87" s="390">
        <f t="shared" si="104"/>
        <v>3.8500000000000001E-3</v>
      </c>
      <c r="BK87" s="390">
        <f t="shared" si="105"/>
        <v>7.5169149999999296E-3</v>
      </c>
      <c r="BL87" s="390">
        <f t="shared" si="106"/>
        <v>1.1001881169999866E-2</v>
      </c>
      <c r="BM87" s="390">
        <f t="shared" si="107"/>
        <v>1.4479877407659963E-2</v>
      </c>
      <c r="BN87" s="390">
        <f t="shared" si="108"/>
        <v>1.7777365640585435E-2</v>
      </c>
      <c r="BO87" s="390">
        <f t="shared" si="109"/>
        <v>3.8500000000000001E-3</v>
      </c>
      <c r="BP87" s="390">
        <f t="shared" si="110"/>
        <v>1.7777365640585435E-2</v>
      </c>
      <c r="BQ87" s="347"/>
      <c r="BR87" s="355"/>
      <c r="BS87" s="355"/>
      <c r="BT87" s="355"/>
      <c r="BU87" s="390">
        <f>IFERROR(AL87*$BS$2+BG87*$BS$4+Q87*$BS$3,VLOOKUP(A87,'Updated Ncino PD'!A:K,4,FALSE))</f>
        <v>8.6032850472561454E-4</v>
      </c>
      <c r="BV87" s="390">
        <f>IFERROR(AM87*$BS$2+BH87*$BS$4+R87*$BS$3,VLOOKUP(A87,'Updated Ncino PD'!A:K,5,FALSE))</f>
        <v>1.7202295298453418E-3</v>
      </c>
      <c r="BW87" s="390">
        <f>IFERROR(AN87*$BS$2+BI87*$BS$4+S87*$BS$3,VLOOKUP(A87,'Updated Ncino PD'!A:K,6,FALSE))</f>
        <v>2.5797032900697378E-3</v>
      </c>
      <c r="BX87" s="390">
        <f>IFERROR(AO87*$BS$2+BJ87*$BS$4+T87*$BS$3,VLOOKUP(A87,'Updated Ncino PD'!A:K,7,FALSE))</f>
        <v>3.43875E-3</v>
      </c>
      <c r="BY87" s="390">
        <f>IFERROR(AP87*$BS$2+BK87*$BS$4+U87*$BS$3,VLOOKUP(A87,'Updated Ncino PD'!A:K,8,FALSE))</f>
        <v>6.8008255000000621E-3</v>
      </c>
      <c r="BZ87" s="390">
        <f>IFERROR(AQ87*$BS$2+BL87*$BS$4+V87*$BS$3,VLOOKUP(A87,'Updated Ncino PD'!A:K,9,FALSE))</f>
        <v>1.0086689837875027E-2</v>
      </c>
      <c r="CA87" s="390">
        <f>IFERROR(AR87*$BS$2+BM87*$BS$4+W87*$BS$3,VLOOKUP(A87,'Updated Ncino PD'!A:K,10,FALSE))</f>
        <v>1.3366340795093566E-2</v>
      </c>
      <c r="CB87" s="390">
        <f>IFERROR(AS87*$BS$2+BN87*$BS$4+X87*$BS$3,VLOOKUP(A87,'Updated Ncino PD'!A:K,11,FALSE))</f>
        <v>1.657037283170933E-2</v>
      </c>
      <c r="CC87" s="390">
        <f t="shared" si="111"/>
        <v>3.43875E-3</v>
      </c>
      <c r="CD87" s="390">
        <f t="shared" si="112"/>
        <v>1.657037283170933E-2</v>
      </c>
      <c r="CE87" s="355"/>
      <c r="CF87" s="450">
        <f t="shared" si="113"/>
        <v>1.9650000000000002E-3</v>
      </c>
      <c r="CG87" s="450">
        <f t="shared" si="114"/>
        <v>1.9250000000000001E-3</v>
      </c>
      <c r="CH87" s="450">
        <f t="shared" si="115"/>
        <v>1.885E-3</v>
      </c>
      <c r="CI87" s="450">
        <f t="shared" si="116"/>
        <v>1.885E-3</v>
      </c>
      <c r="CJ87" s="450">
        <f t="shared" si="117"/>
        <v>1.8450000000000001E-3</v>
      </c>
    </row>
    <row r="88" spans="1:88" hidden="1" x14ac:dyDescent="0.25">
      <c r="A88" s="400">
        <v>1100000244</v>
      </c>
      <c r="B88" s="455" t="str">
        <f>VLOOKUP(A88,'Loan Book Summary'!C:G,5,FALSE)</f>
        <v>0014I000027xjnt</v>
      </c>
      <c r="C88" s="167">
        <f>VLOOKUP(A88,'Ref-Data'!$A:$I,9,0)</f>
        <v>1</v>
      </c>
      <c r="D88" s="445">
        <f>VLOOKUP(A88,'Adjustment Factor'!A:C,3,0)</f>
        <v>1.75</v>
      </c>
      <c r="E88" s="446">
        <f>VLOOKUP(A88,'Ref-Data'!A:C,2,FALSE)</f>
        <v>2879716</v>
      </c>
      <c r="F88" s="445">
        <f>VLOOKUP(A88,'Ref-Data'!$A:$F,6,FALSE)</f>
        <v>4.4052019164955514</v>
      </c>
      <c r="G88" s="346"/>
      <c r="H88" s="273">
        <f>VLOOKUP($B88, 'Output 96% Downside'!$A:$CW,42,FALSE)</f>
        <v>2.3E-3</v>
      </c>
      <c r="I88" s="273">
        <f>VLOOKUP($B88, 'Output 96% Downside'!$A:$CW,43,FALSE)</f>
        <v>2.2000000000000001E-3</v>
      </c>
      <c r="J88" s="273">
        <f>VLOOKUP($B88, 'Output 96% Downside'!$A:$CW,44,FALSE)</f>
        <v>2.0999999999999999E-3</v>
      </c>
      <c r="K88" s="273">
        <f>VLOOKUP($B88, 'Output 96% Downside'!$A:$CW,45,FALSE)</f>
        <v>2.0999999999999999E-3</v>
      </c>
      <c r="L88" s="273">
        <f>VLOOKUP($B88, 'Output 96% Downside'!$A:$CW,46,FALSE)</f>
        <v>2E-3</v>
      </c>
      <c r="M88" s="447">
        <f t="shared" si="72"/>
        <v>5.7549660393674262E-4</v>
      </c>
      <c r="N88" s="447">
        <f t="shared" si="73"/>
        <v>1.1506620115323551E-3</v>
      </c>
      <c r="O88" s="447">
        <f t="shared" si="74"/>
        <v>1.7254964133891493E-3</v>
      </c>
      <c r="P88" s="346"/>
      <c r="Q88" s="390">
        <f t="shared" si="75"/>
        <v>1.0071190568892996E-3</v>
      </c>
      <c r="R88" s="390">
        <f t="shared" si="76"/>
        <v>2.0136585201816215E-3</v>
      </c>
      <c r="S88" s="390">
        <f t="shared" si="77"/>
        <v>3.0196187234310112E-3</v>
      </c>
      <c r="T88" s="390">
        <f t="shared" si="78"/>
        <v>4.0249999999999999E-3</v>
      </c>
      <c r="U88" s="390">
        <f t="shared" si="79"/>
        <v>7.8661449999999078E-3</v>
      </c>
      <c r="V88" s="390">
        <f t="shared" si="80"/>
        <v>1.1524626095499896E-2</v>
      </c>
      <c r="W88" s="390">
        <f t="shared" si="81"/>
        <v>1.5175424380699382E-2</v>
      </c>
      <c r="X88" s="390">
        <f t="shared" si="82"/>
        <v>1.8645073531937895E-2</v>
      </c>
      <c r="Y88" s="390">
        <f t="shared" si="83"/>
        <v>4.0249999999999999E-3</v>
      </c>
      <c r="Z88" s="390">
        <f t="shared" si="84"/>
        <v>1.8645073531937895E-2</v>
      </c>
      <c r="AA88" s="355"/>
      <c r="AB88" s="355"/>
      <c r="AC88" s="273">
        <f>VLOOKUP($B88, 'Output Baseline'!$A:$CW,42,FALSE)</f>
        <v>1.8E-3</v>
      </c>
      <c r="AD88" s="273">
        <f>VLOOKUP($B88, 'Output Baseline'!$A:$CW,43,FALSE)</f>
        <v>1.8E-3</v>
      </c>
      <c r="AE88" s="273">
        <f>VLOOKUP($B88, 'Output Baseline'!$A:$CW,44,FALSE)</f>
        <v>1.8E-3</v>
      </c>
      <c r="AF88" s="273">
        <f>VLOOKUP($B88, 'Output Baseline'!$A:$CW,45,FALSE)</f>
        <v>1.8E-3</v>
      </c>
      <c r="AG88" s="273">
        <f>VLOOKUP($B88, 'Output Baseline'!$A:$CW,46,FALSE)</f>
        <v>1.8E-3</v>
      </c>
      <c r="AH88" s="447">
        <f t="shared" si="85"/>
        <v>4.5030406933277423E-4</v>
      </c>
      <c r="AI88" s="447">
        <f t="shared" si="86"/>
        <v>9.0040536491065026E-4</v>
      </c>
      <c r="AJ88" s="447">
        <f t="shared" si="87"/>
        <v>1.3503039780435877E-3</v>
      </c>
      <c r="AK88" s="346"/>
      <c r="AL88" s="390">
        <f t="shared" si="88"/>
        <v>7.880321213323549E-4</v>
      </c>
      <c r="AM88" s="390">
        <f t="shared" si="89"/>
        <v>1.575709388593638E-3</v>
      </c>
      <c r="AN88" s="390">
        <f t="shared" si="90"/>
        <v>2.3630319615762785E-3</v>
      </c>
      <c r="AO88" s="390">
        <f t="shared" si="91"/>
        <v>3.15E-3</v>
      </c>
      <c r="AP88" s="390">
        <f t="shared" si="92"/>
        <v>6.2943300000001534E-3</v>
      </c>
      <c r="AQ88" s="390">
        <f t="shared" si="93"/>
        <v>9.4330002060001306E-3</v>
      </c>
      <c r="AR88" s="390">
        <f t="shared" si="94"/>
        <v>1.2566020805629352E-2</v>
      </c>
      <c r="AS88" s="390">
        <f t="shared" si="95"/>
        <v>1.5693401968179227E-2</v>
      </c>
      <c r="AT88" s="390">
        <f t="shared" si="96"/>
        <v>3.15E-3</v>
      </c>
      <c r="AU88" s="390">
        <f t="shared" si="97"/>
        <v>1.5693401968179227E-2</v>
      </c>
      <c r="AV88" s="355"/>
      <c r="AW88" s="355"/>
      <c r="AX88" s="273">
        <f>VLOOKUP($B88, 'Output 90% Downside'!$A:$CW,42,FALSE)</f>
        <v>2.2000000000000001E-3</v>
      </c>
      <c r="AY88" s="273">
        <f>VLOOKUP($B88, 'Output 90% Downside'!$A:$CW,43,FALSE)</f>
        <v>2.0999999999999999E-3</v>
      </c>
      <c r="AZ88" s="273">
        <f>VLOOKUP($B88, 'Output 90% Downside'!$A:$CW,44,FALSE)</f>
        <v>2E-3</v>
      </c>
      <c r="BA88" s="273">
        <f>VLOOKUP($B88, 'Output 90% Downside'!$A:$CW,45,FALSE)</f>
        <v>2E-3</v>
      </c>
      <c r="BB88" s="273">
        <f>VLOOKUP($B88, 'Output 90% Downside'!$A:$CW,46,FALSE)</f>
        <v>1.9E-3</v>
      </c>
      <c r="BC88" s="447">
        <f t="shared" si="98"/>
        <v>5.5045433319467207E-4</v>
      </c>
      <c r="BD88" s="447">
        <f t="shared" si="99"/>
        <v>1.1006056664164543E-3</v>
      </c>
      <c r="BE88" s="447">
        <f t="shared" si="100"/>
        <v>1.6504541664529304E-3</v>
      </c>
      <c r="BF88" s="346"/>
      <c r="BG88" s="390">
        <f t="shared" si="101"/>
        <v>9.6329508309067613E-4</v>
      </c>
      <c r="BH88" s="390">
        <f t="shared" si="102"/>
        <v>1.926059916228795E-3</v>
      </c>
      <c r="BI88" s="390">
        <f t="shared" si="103"/>
        <v>2.8882947912926282E-3</v>
      </c>
      <c r="BJ88" s="390">
        <f t="shared" si="104"/>
        <v>3.8500000000000001E-3</v>
      </c>
      <c r="BK88" s="390">
        <f t="shared" si="105"/>
        <v>7.5169149999999296E-3</v>
      </c>
      <c r="BL88" s="390">
        <f t="shared" si="106"/>
        <v>1.1001881169999866E-2</v>
      </c>
      <c r="BM88" s="390">
        <f t="shared" si="107"/>
        <v>1.4479877407659963E-2</v>
      </c>
      <c r="BN88" s="390">
        <f t="shared" si="108"/>
        <v>1.7777365640585435E-2</v>
      </c>
      <c r="BO88" s="390">
        <f t="shared" si="109"/>
        <v>3.8500000000000001E-3</v>
      </c>
      <c r="BP88" s="390">
        <f t="shared" si="110"/>
        <v>1.7777365640585435E-2</v>
      </c>
      <c r="BQ88" s="347"/>
      <c r="BR88" s="355"/>
      <c r="BS88" s="355"/>
      <c r="BT88" s="355"/>
      <c r="BU88" s="390">
        <f>IFERROR(AL88*$BS$2+BG88*$BS$4+Q88*$BS$3,VLOOKUP(A88,'Updated Ncino PD'!A:K,4,FALSE))</f>
        <v>8.6032850472561454E-4</v>
      </c>
      <c r="BV88" s="390">
        <f>IFERROR(AM88*$BS$2+BH88*$BS$4+R88*$BS$3,VLOOKUP(A88,'Updated Ncino PD'!A:K,5,FALSE))</f>
        <v>1.7202295298453418E-3</v>
      </c>
      <c r="BW88" s="390">
        <f>IFERROR(AN88*$BS$2+BI88*$BS$4+S88*$BS$3,VLOOKUP(A88,'Updated Ncino PD'!A:K,6,FALSE))</f>
        <v>2.5797032900697378E-3</v>
      </c>
      <c r="BX88" s="390">
        <f>IFERROR(AO88*$BS$2+BJ88*$BS$4+T88*$BS$3,VLOOKUP(A88,'Updated Ncino PD'!A:K,7,FALSE))</f>
        <v>3.43875E-3</v>
      </c>
      <c r="BY88" s="390">
        <f>IFERROR(AP88*$BS$2+BK88*$BS$4+U88*$BS$3,VLOOKUP(A88,'Updated Ncino PD'!A:K,8,FALSE))</f>
        <v>6.8008255000000621E-3</v>
      </c>
      <c r="BZ88" s="390">
        <f>IFERROR(AQ88*$BS$2+BL88*$BS$4+V88*$BS$3,VLOOKUP(A88,'Updated Ncino PD'!A:K,9,FALSE))</f>
        <v>1.0086689837875027E-2</v>
      </c>
      <c r="CA88" s="390">
        <f>IFERROR(AR88*$BS$2+BM88*$BS$4+W88*$BS$3,VLOOKUP(A88,'Updated Ncino PD'!A:K,10,FALSE))</f>
        <v>1.3366340795093566E-2</v>
      </c>
      <c r="CB88" s="390">
        <f>IFERROR(AS88*$BS$2+BN88*$BS$4+X88*$BS$3,VLOOKUP(A88,'Updated Ncino PD'!A:K,11,FALSE))</f>
        <v>1.657037283170933E-2</v>
      </c>
      <c r="CC88" s="390">
        <f t="shared" si="111"/>
        <v>3.43875E-3</v>
      </c>
      <c r="CD88" s="390">
        <f t="shared" si="112"/>
        <v>1.657037283170933E-2</v>
      </c>
      <c r="CE88" s="355"/>
      <c r="CF88" s="450">
        <f t="shared" si="113"/>
        <v>1.9650000000000002E-3</v>
      </c>
      <c r="CG88" s="450">
        <f t="shared" si="114"/>
        <v>1.9250000000000001E-3</v>
      </c>
      <c r="CH88" s="450">
        <f t="shared" si="115"/>
        <v>1.885E-3</v>
      </c>
      <c r="CI88" s="450">
        <f t="shared" si="116"/>
        <v>1.885E-3</v>
      </c>
      <c r="CJ88" s="450">
        <f t="shared" si="117"/>
        <v>1.8450000000000001E-3</v>
      </c>
    </row>
    <row r="89" spans="1:88" hidden="1" x14ac:dyDescent="0.25">
      <c r="A89" s="400">
        <v>1100000248</v>
      </c>
      <c r="B89" s="455" t="str">
        <f>VLOOKUP(A89,'Loan Book Summary'!C:G,5,FALSE)</f>
        <v>0015800000z8vOY</v>
      </c>
      <c r="C89" s="167">
        <f>VLOOKUP(A89,'Ref-Data'!$A:$I,9,0)</f>
        <v>1</v>
      </c>
      <c r="D89" s="445">
        <f>VLOOKUP(A89,'Adjustment Factor'!A:C,3,0)</f>
        <v>1.01</v>
      </c>
      <c r="E89" s="446">
        <f>VLOOKUP(A89,'Ref-Data'!A:C,2,FALSE)</f>
        <v>17992725.920000002</v>
      </c>
      <c r="F89" s="445">
        <f>VLOOKUP(A89,'Ref-Data'!$A:$F,6,FALSE)</f>
        <v>3.5044490075290895</v>
      </c>
      <c r="G89" s="346"/>
      <c r="H89" s="273">
        <f>VLOOKUP($B89, 'Output 96% Downside'!$A:$CW,42,FALSE)</f>
        <v>1.8800000000000001E-2</v>
      </c>
      <c r="I89" s="273">
        <f>VLOOKUP($B89, 'Output 96% Downside'!$A:$CW,43,FALSE)</f>
        <v>1.49E-2</v>
      </c>
      <c r="J89" s="273">
        <f>VLOOKUP($B89, 'Output 96% Downside'!$A:$CW,44,FALSE)</f>
        <v>1.2999999999999999E-2</v>
      </c>
      <c r="K89" s="273">
        <f>VLOOKUP($B89, 'Output 96% Downside'!$A:$CW,45,FALSE)</f>
        <v>1.18E-2</v>
      </c>
      <c r="L89" s="273">
        <f>VLOOKUP($B89, 'Output 96% Downside'!$A:$CW,46,FALSE)</f>
        <v>1.0999999999999999E-2</v>
      </c>
      <c r="M89" s="447">
        <f t="shared" si="72"/>
        <v>4.7335031444174502E-3</v>
      </c>
      <c r="N89" s="447">
        <f t="shared" si="73"/>
        <v>9.4446002368167026E-3</v>
      </c>
      <c r="O89" s="447">
        <f t="shared" si="74"/>
        <v>1.4133397336315467E-2</v>
      </c>
      <c r="P89" s="346"/>
      <c r="Q89" s="390">
        <f t="shared" si="75"/>
        <v>4.7808381758616247E-3</v>
      </c>
      <c r="R89" s="390">
        <f t="shared" si="76"/>
        <v>9.5390462391848705E-3</v>
      </c>
      <c r="S89" s="390">
        <f t="shared" si="77"/>
        <v>1.4274731309678622E-2</v>
      </c>
      <c r="T89" s="390">
        <f t="shared" si="78"/>
        <v>1.8988000000000001E-2</v>
      </c>
      <c r="U89" s="390">
        <f t="shared" si="79"/>
        <v>3.3754078800000066E-2</v>
      </c>
      <c r="V89" s="390">
        <f t="shared" si="80"/>
        <v>4.6445275775600071E-2</v>
      </c>
      <c r="W89" s="390">
        <f t="shared" si="81"/>
        <v>5.7815221521448065E-2</v>
      </c>
      <c r="X89" s="390">
        <f t="shared" si="82"/>
        <v>6.8289254084712134E-2</v>
      </c>
      <c r="Y89" s="390">
        <f t="shared" si="83"/>
        <v>1.8988000000000001E-2</v>
      </c>
      <c r="Z89" s="390">
        <f t="shared" si="84"/>
        <v>5.7815221521448065E-2</v>
      </c>
      <c r="AA89" s="355"/>
      <c r="AB89" s="355"/>
      <c r="AC89" s="273">
        <f>VLOOKUP($B89, 'Output Baseline'!$A:$CW,42,FALSE)</f>
        <v>1.8499999999999999E-2</v>
      </c>
      <c r="AD89" s="273">
        <f>VLOOKUP($B89, 'Output Baseline'!$A:$CW,43,FALSE)</f>
        <v>1.47E-2</v>
      </c>
      <c r="AE89" s="273">
        <f>VLOOKUP($B89, 'Output Baseline'!$A:$CW,44,FALSE)</f>
        <v>1.29E-2</v>
      </c>
      <c r="AF89" s="273">
        <f>VLOOKUP($B89, 'Output Baseline'!$A:$CW,45,FALSE)</f>
        <v>1.17E-2</v>
      </c>
      <c r="AG89" s="273">
        <f>VLOOKUP($B89, 'Output Baseline'!$A:$CW,46,FALSE)</f>
        <v>1.09E-2</v>
      </c>
      <c r="AH89" s="447">
        <f t="shared" si="85"/>
        <v>4.6574366642603282E-3</v>
      </c>
      <c r="AI89" s="447">
        <f t="shared" si="86"/>
        <v>9.293181612239021E-3</v>
      </c>
      <c r="AJ89" s="447">
        <f t="shared" si="87"/>
        <v>1.3907335871730875E-2</v>
      </c>
      <c r="AK89" s="346"/>
      <c r="AL89" s="390">
        <f t="shared" si="88"/>
        <v>4.7040110309029314E-3</v>
      </c>
      <c r="AM89" s="390">
        <f t="shared" si="89"/>
        <v>9.3861134283614121E-3</v>
      </c>
      <c r="AN89" s="390">
        <f t="shared" si="90"/>
        <v>1.4046409230448184E-2</v>
      </c>
      <c r="AO89" s="390">
        <f t="shared" si="91"/>
        <v>1.8685E-2</v>
      </c>
      <c r="AP89" s="390">
        <f t="shared" si="92"/>
        <v>3.3257330499999987E-2</v>
      </c>
      <c r="AQ89" s="390">
        <f t="shared" si="93"/>
        <v>4.5857310936550003E-2</v>
      </c>
      <c r="AR89" s="390">
        <f t="shared" si="94"/>
        <v>5.7137780398592415E-2</v>
      </c>
      <c r="AS89" s="390">
        <f t="shared" si="95"/>
        <v>6.7523978592247735E-2</v>
      </c>
      <c r="AT89" s="390">
        <f t="shared" si="96"/>
        <v>1.8685E-2</v>
      </c>
      <c r="AU89" s="390">
        <f t="shared" si="97"/>
        <v>5.7137780398592415E-2</v>
      </c>
      <c r="AV89" s="355"/>
      <c r="AW89" s="355"/>
      <c r="AX89" s="273">
        <f>VLOOKUP($B89, 'Output 90% Downside'!$A:$CW,42,FALSE)</f>
        <v>1.8800000000000001E-2</v>
      </c>
      <c r="AY89" s="273">
        <f>VLOOKUP($B89, 'Output 90% Downside'!$A:$CW,43,FALSE)</f>
        <v>1.49E-2</v>
      </c>
      <c r="AZ89" s="273">
        <f>VLOOKUP($B89, 'Output 90% Downside'!$A:$CW,44,FALSE)</f>
        <v>1.2999999999999999E-2</v>
      </c>
      <c r="BA89" s="273">
        <f>VLOOKUP($B89, 'Output 90% Downside'!$A:$CW,45,FALSE)</f>
        <v>1.18E-2</v>
      </c>
      <c r="BB89" s="273">
        <f>VLOOKUP($B89, 'Output 90% Downside'!$A:$CW,46,FALSE)</f>
        <v>1.0999999999999999E-2</v>
      </c>
      <c r="BC89" s="447">
        <f t="shared" si="98"/>
        <v>4.7335031444174502E-3</v>
      </c>
      <c r="BD89" s="447">
        <f t="shared" si="99"/>
        <v>9.4446002368167026E-3</v>
      </c>
      <c r="BE89" s="447">
        <f t="shared" si="100"/>
        <v>1.4133397336315467E-2</v>
      </c>
      <c r="BF89" s="346"/>
      <c r="BG89" s="390">
        <f t="shared" si="101"/>
        <v>4.7808381758616247E-3</v>
      </c>
      <c r="BH89" s="390">
        <f t="shared" si="102"/>
        <v>9.5390462391848705E-3</v>
      </c>
      <c r="BI89" s="390">
        <f t="shared" si="103"/>
        <v>1.4274731309678622E-2</v>
      </c>
      <c r="BJ89" s="390">
        <f t="shared" si="104"/>
        <v>1.8988000000000001E-2</v>
      </c>
      <c r="BK89" s="390">
        <f t="shared" si="105"/>
        <v>3.3754078800000066E-2</v>
      </c>
      <c r="BL89" s="390">
        <f t="shared" si="106"/>
        <v>4.6445275775600071E-2</v>
      </c>
      <c r="BM89" s="390">
        <f t="shared" si="107"/>
        <v>5.7815221521448065E-2</v>
      </c>
      <c r="BN89" s="390">
        <f t="shared" si="108"/>
        <v>6.8289254084712134E-2</v>
      </c>
      <c r="BO89" s="390">
        <f t="shared" si="109"/>
        <v>1.8988000000000001E-2</v>
      </c>
      <c r="BP89" s="390">
        <f t="shared" si="110"/>
        <v>5.7815221521448065E-2</v>
      </c>
      <c r="BQ89" s="347"/>
      <c r="BR89" s="355"/>
      <c r="BS89" s="355"/>
      <c r="BT89" s="355"/>
      <c r="BU89" s="390">
        <f>IFERROR(AL89*$BS$2+BG89*$BS$4+Q89*$BS$3,VLOOKUP(A89,'Updated Ncino PD'!A:K,4,FALSE))</f>
        <v>4.7347418888864087E-3</v>
      </c>
      <c r="BV89" s="390">
        <f>IFERROR(AM89*$BS$2+BH89*$BS$4+R89*$BS$3,VLOOKUP(A89,'Updated Ncino PD'!A:K,5,FALSE))</f>
        <v>9.4472865526907968E-3</v>
      </c>
      <c r="BW89" s="390">
        <f>IFERROR(AN89*$BS$2+BI89*$BS$4+S89*$BS$3,VLOOKUP(A89,'Updated Ncino PD'!A:K,6,FALSE))</f>
        <v>1.4137738062140359E-2</v>
      </c>
      <c r="BX89" s="390">
        <f>IFERROR(AO89*$BS$2+BJ89*$BS$4+T89*$BS$3,VLOOKUP(A89,'Updated Ncino PD'!A:K,7,FALSE))</f>
        <v>1.8806199999999999E-2</v>
      </c>
      <c r="BY89" s="390">
        <f>IFERROR(AP89*$BS$2+BK89*$BS$4+U89*$BS$3,VLOOKUP(A89,'Updated Ncino PD'!A:K,8,FALSE))</f>
        <v>3.3456029820000018E-2</v>
      </c>
      <c r="BZ89" s="390">
        <f>IFERROR(AQ89*$BS$2+BL89*$BS$4+V89*$BS$3,VLOOKUP(A89,'Updated Ncino PD'!A:K,9,FALSE))</f>
        <v>4.6092496872170027E-2</v>
      </c>
      <c r="CA89" s="390">
        <f>IFERROR(AR89*$BS$2+BM89*$BS$4+W89*$BS$3,VLOOKUP(A89,'Updated Ncino PD'!A:K,10,FALSE))</f>
        <v>5.7408756847734672E-2</v>
      </c>
      <c r="CB89" s="390">
        <f>IFERROR(AS89*$BS$2+BN89*$BS$4+X89*$BS$3,VLOOKUP(A89,'Updated Ncino PD'!A:K,11,FALSE))</f>
        <v>6.7830088789233495E-2</v>
      </c>
      <c r="CC89" s="390">
        <f t="shared" si="111"/>
        <v>1.8806199999999999E-2</v>
      </c>
      <c r="CD89" s="390">
        <f t="shared" si="112"/>
        <v>5.7408756847734672E-2</v>
      </c>
      <c r="CE89" s="355"/>
      <c r="CF89" s="450">
        <f t="shared" si="113"/>
        <v>1.8619999999999998E-2</v>
      </c>
      <c r="CG89" s="450">
        <f t="shared" si="114"/>
        <v>1.4780000000000001E-2</v>
      </c>
      <c r="CH89" s="450">
        <f t="shared" si="115"/>
        <v>1.294E-2</v>
      </c>
      <c r="CI89" s="450">
        <f t="shared" si="116"/>
        <v>1.174E-2</v>
      </c>
      <c r="CJ89" s="450">
        <f t="shared" si="117"/>
        <v>1.094E-2</v>
      </c>
    </row>
    <row r="90" spans="1:88" hidden="1" x14ac:dyDescent="0.25">
      <c r="A90" s="400">
        <v>1100000249</v>
      </c>
      <c r="B90" s="455" t="str">
        <f>VLOOKUP(A90,'Loan Book Summary'!C:G,5,FALSE)</f>
        <v>0015800000z8vOY</v>
      </c>
      <c r="C90" s="167">
        <f>VLOOKUP(A90,'Ref-Data'!$A:$I,9,0)</f>
        <v>1</v>
      </c>
      <c r="D90" s="445">
        <f>VLOOKUP(A90,'Adjustment Factor'!A:C,3,0)</f>
        <v>1.01</v>
      </c>
      <c r="E90" s="446">
        <f>VLOOKUP(A90,'Ref-Data'!A:C,2,FALSE)</f>
        <v>2800000</v>
      </c>
      <c r="F90" s="445">
        <f>VLOOKUP(A90,'Ref-Data'!$A:$F,6,FALSE)</f>
        <v>3.5044490075290895</v>
      </c>
      <c r="G90" s="346"/>
      <c r="H90" s="273">
        <f>VLOOKUP($B90, 'Output 96% Downside'!$A:$CW,42,FALSE)</f>
        <v>1.8800000000000001E-2</v>
      </c>
      <c r="I90" s="273">
        <f>VLOOKUP($B90, 'Output 96% Downside'!$A:$CW,43,FALSE)</f>
        <v>1.49E-2</v>
      </c>
      <c r="J90" s="273">
        <f>VLOOKUP($B90, 'Output 96% Downside'!$A:$CW,44,FALSE)</f>
        <v>1.2999999999999999E-2</v>
      </c>
      <c r="K90" s="273">
        <f>VLOOKUP($B90, 'Output 96% Downside'!$A:$CW,45,FALSE)</f>
        <v>1.18E-2</v>
      </c>
      <c r="L90" s="273">
        <f>VLOOKUP($B90, 'Output 96% Downside'!$A:$CW,46,FALSE)</f>
        <v>1.0999999999999999E-2</v>
      </c>
      <c r="M90" s="447">
        <f t="shared" si="72"/>
        <v>4.7335031444174502E-3</v>
      </c>
      <c r="N90" s="447">
        <f t="shared" si="73"/>
        <v>9.4446002368167026E-3</v>
      </c>
      <c r="O90" s="447">
        <f t="shared" si="74"/>
        <v>1.4133397336315467E-2</v>
      </c>
      <c r="P90" s="346"/>
      <c r="Q90" s="390">
        <f t="shared" si="75"/>
        <v>4.7808381758616247E-3</v>
      </c>
      <c r="R90" s="390">
        <f t="shared" si="76"/>
        <v>9.5390462391848705E-3</v>
      </c>
      <c r="S90" s="390">
        <f t="shared" si="77"/>
        <v>1.4274731309678622E-2</v>
      </c>
      <c r="T90" s="390">
        <f t="shared" si="78"/>
        <v>1.8988000000000001E-2</v>
      </c>
      <c r="U90" s="390">
        <f t="shared" si="79"/>
        <v>3.3754078800000066E-2</v>
      </c>
      <c r="V90" s="390">
        <f t="shared" si="80"/>
        <v>4.6445275775600071E-2</v>
      </c>
      <c r="W90" s="390">
        <f t="shared" si="81"/>
        <v>5.7815221521448065E-2</v>
      </c>
      <c r="X90" s="390">
        <f t="shared" si="82"/>
        <v>6.8289254084712134E-2</v>
      </c>
      <c r="Y90" s="390">
        <f t="shared" si="83"/>
        <v>1.8988000000000001E-2</v>
      </c>
      <c r="Z90" s="390">
        <f t="shared" si="84"/>
        <v>5.7815221521448065E-2</v>
      </c>
      <c r="AA90" s="355"/>
      <c r="AB90" s="355"/>
      <c r="AC90" s="273">
        <f>VLOOKUP($B90, 'Output Baseline'!$A:$CW,42,FALSE)</f>
        <v>1.8499999999999999E-2</v>
      </c>
      <c r="AD90" s="273">
        <f>VLOOKUP($B90, 'Output Baseline'!$A:$CW,43,FALSE)</f>
        <v>1.47E-2</v>
      </c>
      <c r="AE90" s="273">
        <f>VLOOKUP($B90, 'Output Baseline'!$A:$CW,44,FALSE)</f>
        <v>1.29E-2</v>
      </c>
      <c r="AF90" s="273">
        <f>VLOOKUP($B90, 'Output Baseline'!$A:$CW,45,FALSE)</f>
        <v>1.17E-2</v>
      </c>
      <c r="AG90" s="273">
        <f>VLOOKUP($B90, 'Output Baseline'!$A:$CW,46,FALSE)</f>
        <v>1.09E-2</v>
      </c>
      <c r="AH90" s="447">
        <f t="shared" si="85"/>
        <v>4.6574366642603282E-3</v>
      </c>
      <c r="AI90" s="447">
        <f t="shared" si="86"/>
        <v>9.293181612239021E-3</v>
      </c>
      <c r="AJ90" s="447">
        <f t="shared" si="87"/>
        <v>1.3907335871730875E-2</v>
      </c>
      <c r="AK90" s="346"/>
      <c r="AL90" s="390">
        <f t="shared" si="88"/>
        <v>4.7040110309029314E-3</v>
      </c>
      <c r="AM90" s="390">
        <f t="shared" si="89"/>
        <v>9.3861134283614121E-3</v>
      </c>
      <c r="AN90" s="390">
        <f t="shared" si="90"/>
        <v>1.4046409230448184E-2</v>
      </c>
      <c r="AO90" s="390">
        <f t="shared" si="91"/>
        <v>1.8685E-2</v>
      </c>
      <c r="AP90" s="390">
        <f t="shared" si="92"/>
        <v>3.3257330499999987E-2</v>
      </c>
      <c r="AQ90" s="390">
        <f t="shared" si="93"/>
        <v>4.5857310936550003E-2</v>
      </c>
      <c r="AR90" s="390">
        <f t="shared" si="94"/>
        <v>5.7137780398592415E-2</v>
      </c>
      <c r="AS90" s="390">
        <f t="shared" si="95"/>
        <v>6.7523978592247735E-2</v>
      </c>
      <c r="AT90" s="390">
        <f t="shared" si="96"/>
        <v>1.8685E-2</v>
      </c>
      <c r="AU90" s="390">
        <f t="shared" si="97"/>
        <v>5.7137780398592415E-2</v>
      </c>
      <c r="AV90" s="355"/>
      <c r="AW90" s="355"/>
      <c r="AX90" s="273">
        <f>VLOOKUP($B90, 'Output 90% Downside'!$A:$CW,42,FALSE)</f>
        <v>1.8800000000000001E-2</v>
      </c>
      <c r="AY90" s="273">
        <f>VLOOKUP($B90, 'Output 90% Downside'!$A:$CW,43,FALSE)</f>
        <v>1.49E-2</v>
      </c>
      <c r="AZ90" s="273">
        <f>VLOOKUP($B90, 'Output 90% Downside'!$A:$CW,44,FALSE)</f>
        <v>1.2999999999999999E-2</v>
      </c>
      <c r="BA90" s="273">
        <f>VLOOKUP($B90, 'Output 90% Downside'!$A:$CW,45,FALSE)</f>
        <v>1.18E-2</v>
      </c>
      <c r="BB90" s="273">
        <f>VLOOKUP($B90, 'Output 90% Downside'!$A:$CW,46,FALSE)</f>
        <v>1.0999999999999999E-2</v>
      </c>
      <c r="BC90" s="447">
        <f t="shared" si="98"/>
        <v>4.7335031444174502E-3</v>
      </c>
      <c r="BD90" s="447">
        <f t="shared" si="99"/>
        <v>9.4446002368167026E-3</v>
      </c>
      <c r="BE90" s="447">
        <f t="shared" si="100"/>
        <v>1.4133397336315467E-2</v>
      </c>
      <c r="BF90" s="346"/>
      <c r="BG90" s="390">
        <f t="shared" si="101"/>
        <v>4.7808381758616247E-3</v>
      </c>
      <c r="BH90" s="390">
        <f t="shared" si="102"/>
        <v>9.5390462391848705E-3</v>
      </c>
      <c r="BI90" s="390">
        <f t="shared" si="103"/>
        <v>1.4274731309678622E-2</v>
      </c>
      <c r="BJ90" s="390">
        <f t="shared" si="104"/>
        <v>1.8988000000000001E-2</v>
      </c>
      <c r="BK90" s="390">
        <f t="shared" si="105"/>
        <v>3.3754078800000066E-2</v>
      </c>
      <c r="BL90" s="390">
        <f t="shared" si="106"/>
        <v>4.6445275775600071E-2</v>
      </c>
      <c r="BM90" s="390">
        <f t="shared" si="107"/>
        <v>5.7815221521448065E-2</v>
      </c>
      <c r="BN90" s="390">
        <f t="shared" si="108"/>
        <v>6.8289254084712134E-2</v>
      </c>
      <c r="BO90" s="390">
        <f t="shared" si="109"/>
        <v>1.8988000000000001E-2</v>
      </c>
      <c r="BP90" s="390">
        <f t="shared" si="110"/>
        <v>5.7815221521448065E-2</v>
      </c>
      <c r="BQ90" s="347"/>
      <c r="BR90" s="355"/>
      <c r="BS90" s="355"/>
      <c r="BT90" s="355"/>
      <c r="BU90" s="390">
        <f>IFERROR(AL90*$BS$2+BG90*$BS$4+Q90*$BS$3,VLOOKUP(A90,'Updated Ncino PD'!A:K,4,FALSE))</f>
        <v>4.7347418888864087E-3</v>
      </c>
      <c r="BV90" s="390">
        <f>IFERROR(AM90*$BS$2+BH90*$BS$4+R90*$BS$3,VLOOKUP(A90,'Updated Ncino PD'!A:K,5,FALSE))</f>
        <v>9.4472865526907968E-3</v>
      </c>
      <c r="BW90" s="390">
        <f>IFERROR(AN90*$BS$2+BI90*$BS$4+S90*$BS$3,VLOOKUP(A90,'Updated Ncino PD'!A:K,6,FALSE))</f>
        <v>1.4137738062140359E-2</v>
      </c>
      <c r="BX90" s="390">
        <f>IFERROR(AO90*$BS$2+BJ90*$BS$4+T90*$BS$3,VLOOKUP(A90,'Updated Ncino PD'!A:K,7,FALSE))</f>
        <v>1.8806199999999999E-2</v>
      </c>
      <c r="BY90" s="390">
        <f>IFERROR(AP90*$BS$2+BK90*$BS$4+U90*$BS$3,VLOOKUP(A90,'Updated Ncino PD'!A:K,8,FALSE))</f>
        <v>3.3456029820000018E-2</v>
      </c>
      <c r="BZ90" s="390">
        <f>IFERROR(AQ90*$BS$2+BL90*$BS$4+V90*$BS$3,VLOOKUP(A90,'Updated Ncino PD'!A:K,9,FALSE))</f>
        <v>4.6092496872170027E-2</v>
      </c>
      <c r="CA90" s="390">
        <f>IFERROR(AR90*$BS$2+BM90*$BS$4+W90*$BS$3,VLOOKUP(A90,'Updated Ncino PD'!A:K,10,FALSE))</f>
        <v>5.7408756847734672E-2</v>
      </c>
      <c r="CB90" s="390">
        <f>IFERROR(AS90*$BS$2+BN90*$BS$4+X90*$BS$3,VLOOKUP(A90,'Updated Ncino PD'!A:K,11,FALSE))</f>
        <v>6.7830088789233495E-2</v>
      </c>
      <c r="CC90" s="390">
        <f t="shared" si="111"/>
        <v>1.8806199999999999E-2</v>
      </c>
      <c r="CD90" s="390">
        <f t="shared" si="112"/>
        <v>5.7408756847734672E-2</v>
      </c>
      <c r="CE90" s="355"/>
      <c r="CF90" s="450">
        <f t="shared" si="113"/>
        <v>1.8619999999999998E-2</v>
      </c>
      <c r="CG90" s="450">
        <f t="shared" si="114"/>
        <v>1.4780000000000001E-2</v>
      </c>
      <c r="CH90" s="450">
        <f t="shared" si="115"/>
        <v>1.294E-2</v>
      </c>
      <c r="CI90" s="450">
        <f t="shared" si="116"/>
        <v>1.174E-2</v>
      </c>
      <c r="CJ90" s="450">
        <f t="shared" si="117"/>
        <v>1.094E-2</v>
      </c>
    </row>
    <row r="91" spans="1:88" hidden="1" x14ac:dyDescent="0.25">
      <c r="A91" s="400">
        <v>1100000258</v>
      </c>
      <c r="B91" s="455" t="str">
        <f>VLOOKUP(A91,'Loan Book Summary'!C:G,5,FALSE)</f>
        <v>0015800000z8vOY</v>
      </c>
      <c r="C91" s="167">
        <f>VLOOKUP(A91,'Ref-Data'!$A:$I,9,0)</f>
        <v>1</v>
      </c>
      <c r="D91" s="445">
        <f>VLOOKUP(A91,'Adjustment Factor'!A:C,3,0)</f>
        <v>1.01</v>
      </c>
      <c r="E91" s="446">
        <f>VLOOKUP(A91,'Ref-Data'!A:C,2,FALSE)</f>
        <v>3150000</v>
      </c>
      <c r="F91" s="445">
        <f>VLOOKUP(A91,'Ref-Data'!$A:$F,6,FALSE)</f>
        <v>3.5044490075290895</v>
      </c>
      <c r="G91" s="346"/>
      <c r="H91" s="273">
        <f>VLOOKUP($B91, 'Output 96% Downside'!$A:$CW,42,FALSE)</f>
        <v>1.8800000000000001E-2</v>
      </c>
      <c r="I91" s="273">
        <f>VLOOKUP($B91, 'Output 96% Downside'!$A:$CW,43,FALSE)</f>
        <v>1.49E-2</v>
      </c>
      <c r="J91" s="273">
        <f>VLOOKUP($B91, 'Output 96% Downside'!$A:$CW,44,FALSE)</f>
        <v>1.2999999999999999E-2</v>
      </c>
      <c r="K91" s="273">
        <f>VLOOKUP($B91, 'Output 96% Downside'!$A:$CW,45,FALSE)</f>
        <v>1.18E-2</v>
      </c>
      <c r="L91" s="273">
        <f>VLOOKUP($B91, 'Output 96% Downside'!$A:$CW,46,FALSE)</f>
        <v>1.0999999999999999E-2</v>
      </c>
      <c r="M91" s="447">
        <f t="shared" si="72"/>
        <v>4.7335031444174502E-3</v>
      </c>
      <c r="N91" s="447">
        <f t="shared" si="73"/>
        <v>9.4446002368167026E-3</v>
      </c>
      <c r="O91" s="447">
        <f t="shared" si="74"/>
        <v>1.4133397336315467E-2</v>
      </c>
      <c r="P91" s="346"/>
      <c r="Q91" s="390">
        <f t="shared" si="75"/>
        <v>4.7808381758616247E-3</v>
      </c>
      <c r="R91" s="390">
        <f t="shared" si="76"/>
        <v>9.5390462391848705E-3</v>
      </c>
      <c r="S91" s="390">
        <f t="shared" si="77"/>
        <v>1.4274731309678622E-2</v>
      </c>
      <c r="T91" s="390">
        <f t="shared" si="78"/>
        <v>1.8988000000000001E-2</v>
      </c>
      <c r="U91" s="390">
        <f t="shared" si="79"/>
        <v>3.3754078800000066E-2</v>
      </c>
      <c r="V91" s="390">
        <f t="shared" si="80"/>
        <v>4.6445275775600071E-2</v>
      </c>
      <c r="W91" s="390">
        <f t="shared" si="81"/>
        <v>5.7815221521448065E-2</v>
      </c>
      <c r="X91" s="390">
        <f t="shared" si="82"/>
        <v>6.8289254084712134E-2</v>
      </c>
      <c r="Y91" s="390">
        <f t="shared" si="83"/>
        <v>1.8988000000000001E-2</v>
      </c>
      <c r="Z91" s="390">
        <f t="shared" si="84"/>
        <v>5.7815221521448065E-2</v>
      </c>
      <c r="AA91" s="355"/>
      <c r="AB91" s="355"/>
      <c r="AC91" s="273">
        <f>VLOOKUP($B91, 'Output Baseline'!$A:$CW,42,FALSE)</f>
        <v>1.8499999999999999E-2</v>
      </c>
      <c r="AD91" s="273">
        <f>VLOOKUP($B91, 'Output Baseline'!$A:$CW,43,FALSE)</f>
        <v>1.47E-2</v>
      </c>
      <c r="AE91" s="273">
        <f>VLOOKUP($B91, 'Output Baseline'!$A:$CW,44,FALSE)</f>
        <v>1.29E-2</v>
      </c>
      <c r="AF91" s="273">
        <f>VLOOKUP($B91, 'Output Baseline'!$A:$CW,45,FALSE)</f>
        <v>1.17E-2</v>
      </c>
      <c r="AG91" s="273">
        <f>VLOOKUP($B91, 'Output Baseline'!$A:$CW,46,FALSE)</f>
        <v>1.09E-2</v>
      </c>
      <c r="AH91" s="447">
        <f t="shared" si="85"/>
        <v>4.6574366642603282E-3</v>
      </c>
      <c r="AI91" s="447">
        <f t="shared" si="86"/>
        <v>9.293181612239021E-3</v>
      </c>
      <c r="AJ91" s="447">
        <f t="shared" si="87"/>
        <v>1.3907335871730875E-2</v>
      </c>
      <c r="AK91" s="346"/>
      <c r="AL91" s="390">
        <f t="shared" si="88"/>
        <v>4.7040110309029314E-3</v>
      </c>
      <c r="AM91" s="390">
        <f t="shared" si="89"/>
        <v>9.3861134283614121E-3</v>
      </c>
      <c r="AN91" s="390">
        <f t="shared" si="90"/>
        <v>1.4046409230448184E-2</v>
      </c>
      <c r="AO91" s="390">
        <f t="shared" si="91"/>
        <v>1.8685E-2</v>
      </c>
      <c r="AP91" s="390">
        <f t="shared" si="92"/>
        <v>3.3257330499999987E-2</v>
      </c>
      <c r="AQ91" s="390">
        <f t="shared" si="93"/>
        <v>4.5857310936550003E-2</v>
      </c>
      <c r="AR91" s="390">
        <f t="shared" si="94"/>
        <v>5.7137780398592415E-2</v>
      </c>
      <c r="AS91" s="390">
        <f t="shared" si="95"/>
        <v>6.7523978592247735E-2</v>
      </c>
      <c r="AT91" s="390">
        <f t="shared" si="96"/>
        <v>1.8685E-2</v>
      </c>
      <c r="AU91" s="390">
        <f t="shared" si="97"/>
        <v>5.7137780398592415E-2</v>
      </c>
      <c r="AV91" s="355"/>
      <c r="AW91" s="355"/>
      <c r="AX91" s="273">
        <f>VLOOKUP($B91, 'Output 90% Downside'!$A:$CW,42,FALSE)</f>
        <v>1.8800000000000001E-2</v>
      </c>
      <c r="AY91" s="273">
        <f>VLOOKUP($B91, 'Output 90% Downside'!$A:$CW,43,FALSE)</f>
        <v>1.49E-2</v>
      </c>
      <c r="AZ91" s="273">
        <f>VLOOKUP($B91, 'Output 90% Downside'!$A:$CW,44,FALSE)</f>
        <v>1.2999999999999999E-2</v>
      </c>
      <c r="BA91" s="273">
        <f>VLOOKUP($B91, 'Output 90% Downside'!$A:$CW,45,FALSE)</f>
        <v>1.18E-2</v>
      </c>
      <c r="BB91" s="273">
        <f>VLOOKUP($B91, 'Output 90% Downside'!$A:$CW,46,FALSE)</f>
        <v>1.0999999999999999E-2</v>
      </c>
      <c r="BC91" s="447">
        <f t="shared" si="98"/>
        <v>4.7335031444174502E-3</v>
      </c>
      <c r="BD91" s="447">
        <f t="shared" si="99"/>
        <v>9.4446002368167026E-3</v>
      </c>
      <c r="BE91" s="447">
        <f t="shared" si="100"/>
        <v>1.4133397336315467E-2</v>
      </c>
      <c r="BF91" s="346"/>
      <c r="BG91" s="390">
        <f t="shared" si="101"/>
        <v>4.7808381758616247E-3</v>
      </c>
      <c r="BH91" s="390">
        <f t="shared" si="102"/>
        <v>9.5390462391848705E-3</v>
      </c>
      <c r="BI91" s="390">
        <f t="shared" si="103"/>
        <v>1.4274731309678622E-2</v>
      </c>
      <c r="BJ91" s="390">
        <f t="shared" si="104"/>
        <v>1.8988000000000001E-2</v>
      </c>
      <c r="BK91" s="390">
        <f t="shared" si="105"/>
        <v>3.3754078800000066E-2</v>
      </c>
      <c r="BL91" s="390">
        <f t="shared" si="106"/>
        <v>4.6445275775600071E-2</v>
      </c>
      <c r="BM91" s="390">
        <f t="shared" si="107"/>
        <v>5.7815221521448065E-2</v>
      </c>
      <c r="BN91" s="390">
        <f t="shared" si="108"/>
        <v>6.8289254084712134E-2</v>
      </c>
      <c r="BO91" s="390">
        <f t="shared" si="109"/>
        <v>1.8988000000000001E-2</v>
      </c>
      <c r="BP91" s="390">
        <f t="shared" si="110"/>
        <v>5.7815221521448065E-2</v>
      </c>
      <c r="BQ91" s="347"/>
      <c r="BR91" s="355"/>
      <c r="BS91" s="355"/>
      <c r="BT91" s="355"/>
      <c r="BU91" s="390">
        <f>IFERROR(AL91*$BS$2+BG91*$BS$4+Q91*$BS$3,VLOOKUP(A91,'Updated Ncino PD'!A:K,4,FALSE))</f>
        <v>4.7347418888864087E-3</v>
      </c>
      <c r="BV91" s="390">
        <f>IFERROR(AM91*$BS$2+BH91*$BS$4+R91*$BS$3,VLOOKUP(A91,'Updated Ncino PD'!A:K,5,FALSE))</f>
        <v>9.4472865526907968E-3</v>
      </c>
      <c r="BW91" s="390">
        <f>IFERROR(AN91*$BS$2+BI91*$BS$4+S91*$BS$3,VLOOKUP(A91,'Updated Ncino PD'!A:K,6,FALSE))</f>
        <v>1.4137738062140359E-2</v>
      </c>
      <c r="BX91" s="390">
        <f>IFERROR(AO91*$BS$2+BJ91*$BS$4+T91*$BS$3,VLOOKUP(A91,'Updated Ncino PD'!A:K,7,FALSE))</f>
        <v>1.8806199999999999E-2</v>
      </c>
      <c r="BY91" s="390">
        <f>IFERROR(AP91*$BS$2+BK91*$BS$4+U91*$BS$3,VLOOKUP(A91,'Updated Ncino PD'!A:K,8,FALSE))</f>
        <v>3.3456029820000018E-2</v>
      </c>
      <c r="BZ91" s="390">
        <f>IFERROR(AQ91*$BS$2+BL91*$BS$4+V91*$BS$3,VLOOKUP(A91,'Updated Ncino PD'!A:K,9,FALSE))</f>
        <v>4.6092496872170027E-2</v>
      </c>
      <c r="CA91" s="390">
        <f>IFERROR(AR91*$BS$2+BM91*$BS$4+W91*$BS$3,VLOOKUP(A91,'Updated Ncino PD'!A:K,10,FALSE))</f>
        <v>5.7408756847734672E-2</v>
      </c>
      <c r="CB91" s="390">
        <f>IFERROR(AS91*$BS$2+BN91*$BS$4+X91*$BS$3,VLOOKUP(A91,'Updated Ncino PD'!A:K,11,FALSE))</f>
        <v>6.7830088789233495E-2</v>
      </c>
      <c r="CC91" s="390">
        <f t="shared" si="111"/>
        <v>1.8806199999999999E-2</v>
      </c>
      <c r="CD91" s="390">
        <f t="shared" si="112"/>
        <v>5.7408756847734672E-2</v>
      </c>
      <c r="CE91" s="355"/>
      <c r="CF91" s="450">
        <f t="shared" si="113"/>
        <v>1.8619999999999998E-2</v>
      </c>
      <c r="CG91" s="450">
        <f t="shared" si="114"/>
        <v>1.4780000000000001E-2</v>
      </c>
      <c r="CH91" s="450">
        <f t="shared" si="115"/>
        <v>1.294E-2</v>
      </c>
      <c r="CI91" s="450">
        <f t="shared" si="116"/>
        <v>1.174E-2</v>
      </c>
      <c r="CJ91" s="450">
        <f t="shared" si="117"/>
        <v>1.094E-2</v>
      </c>
    </row>
    <row r="92" spans="1:88" hidden="1" x14ac:dyDescent="0.25">
      <c r="A92" s="400">
        <v>1100000259</v>
      </c>
      <c r="B92" s="455" t="str">
        <f>VLOOKUP(A92,'Loan Book Summary'!C:G,5,FALSE)</f>
        <v>0015800000z8vOY</v>
      </c>
      <c r="C92" s="167">
        <f>VLOOKUP(A92,'Ref-Data'!$A:$I,9,0)</f>
        <v>1</v>
      </c>
      <c r="D92" s="445">
        <f>VLOOKUP(A92,'Adjustment Factor'!A:C,3,0)</f>
        <v>1.01</v>
      </c>
      <c r="E92" s="446">
        <f>VLOOKUP(A92,'Ref-Data'!A:C,2,FALSE)</f>
        <v>2450000</v>
      </c>
      <c r="F92" s="445">
        <f>VLOOKUP(A92,'Ref-Data'!$A:$F,6,FALSE)</f>
        <v>3.5044490075290895</v>
      </c>
      <c r="G92" s="346"/>
      <c r="H92" s="273">
        <f>VLOOKUP($B92, 'Output 96% Downside'!$A:$CW,42,FALSE)</f>
        <v>1.8800000000000001E-2</v>
      </c>
      <c r="I92" s="273">
        <f>VLOOKUP($B92, 'Output 96% Downside'!$A:$CW,43,FALSE)</f>
        <v>1.49E-2</v>
      </c>
      <c r="J92" s="273">
        <f>VLOOKUP($B92, 'Output 96% Downside'!$A:$CW,44,FALSE)</f>
        <v>1.2999999999999999E-2</v>
      </c>
      <c r="K92" s="273">
        <f>VLOOKUP($B92, 'Output 96% Downside'!$A:$CW,45,FALSE)</f>
        <v>1.18E-2</v>
      </c>
      <c r="L92" s="273">
        <f>VLOOKUP($B92, 'Output 96% Downside'!$A:$CW,46,FALSE)</f>
        <v>1.0999999999999999E-2</v>
      </c>
      <c r="M92" s="447">
        <f t="shared" si="72"/>
        <v>4.7335031444174502E-3</v>
      </c>
      <c r="N92" s="447">
        <f t="shared" si="73"/>
        <v>9.4446002368167026E-3</v>
      </c>
      <c r="O92" s="447">
        <f t="shared" si="74"/>
        <v>1.4133397336315467E-2</v>
      </c>
      <c r="P92" s="346"/>
      <c r="Q92" s="390">
        <f t="shared" si="75"/>
        <v>4.7808381758616247E-3</v>
      </c>
      <c r="R92" s="390">
        <f t="shared" si="76"/>
        <v>9.5390462391848705E-3</v>
      </c>
      <c r="S92" s="390">
        <f t="shared" si="77"/>
        <v>1.4274731309678622E-2</v>
      </c>
      <c r="T92" s="390">
        <f t="shared" si="78"/>
        <v>1.8988000000000001E-2</v>
      </c>
      <c r="U92" s="390">
        <f t="shared" si="79"/>
        <v>3.3754078800000066E-2</v>
      </c>
      <c r="V92" s="390">
        <f t="shared" si="80"/>
        <v>4.6445275775600071E-2</v>
      </c>
      <c r="W92" s="390">
        <f t="shared" si="81"/>
        <v>5.7815221521448065E-2</v>
      </c>
      <c r="X92" s="390">
        <f t="shared" si="82"/>
        <v>6.8289254084712134E-2</v>
      </c>
      <c r="Y92" s="390">
        <f t="shared" si="83"/>
        <v>1.8988000000000001E-2</v>
      </c>
      <c r="Z92" s="390">
        <f t="shared" si="84"/>
        <v>5.7815221521448065E-2</v>
      </c>
      <c r="AA92" s="355"/>
      <c r="AB92" s="355"/>
      <c r="AC92" s="273">
        <f>VLOOKUP($B92, 'Output Baseline'!$A:$CW,42,FALSE)</f>
        <v>1.8499999999999999E-2</v>
      </c>
      <c r="AD92" s="273">
        <f>VLOOKUP($B92, 'Output Baseline'!$A:$CW,43,FALSE)</f>
        <v>1.47E-2</v>
      </c>
      <c r="AE92" s="273">
        <f>VLOOKUP($B92, 'Output Baseline'!$A:$CW,44,FALSE)</f>
        <v>1.29E-2</v>
      </c>
      <c r="AF92" s="273">
        <f>VLOOKUP($B92, 'Output Baseline'!$A:$CW,45,FALSE)</f>
        <v>1.17E-2</v>
      </c>
      <c r="AG92" s="273">
        <f>VLOOKUP($B92, 'Output Baseline'!$A:$CW,46,FALSE)</f>
        <v>1.09E-2</v>
      </c>
      <c r="AH92" s="447">
        <f t="shared" si="85"/>
        <v>4.6574366642603282E-3</v>
      </c>
      <c r="AI92" s="447">
        <f t="shared" si="86"/>
        <v>9.293181612239021E-3</v>
      </c>
      <c r="AJ92" s="447">
        <f t="shared" si="87"/>
        <v>1.3907335871730875E-2</v>
      </c>
      <c r="AK92" s="346"/>
      <c r="AL92" s="390">
        <f t="shared" si="88"/>
        <v>4.7040110309029314E-3</v>
      </c>
      <c r="AM92" s="390">
        <f t="shared" si="89"/>
        <v>9.3861134283614121E-3</v>
      </c>
      <c r="AN92" s="390">
        <f t="shared" si="90"/>
        <v>1.4046409230448184E-2</v>
      </c>
      <c r="AO92" s="390">
        <f t="shared" si="91"/>
        <v>1.8685E-2</v>
      </c>
      <c r="AP92" s="390">
        <f t="shared" si="92"/>
        <v>3.3257330499999987E-2</v>
      </c>
      <c r="AQ92" s="390">
        <f t="shared" si="93"/>
        <v>4.5857310936550003E-2</v>
      </c>
      <c r="AR92" s="390">
        <f t="shared" si="94"/>
        <v>5.7137780398592415E-2</v>
      </c>
      <c r="AS92" s="390">
        <f t="shared" si="95"/>
        <v>6.7523978592247735E-2</v>
      </c>
      <c r="AT92" s="390">
        <f t="shared" si="96"/>
        <v>1.8685E-2</v>
      </c>
      <c r="AU92" s="390">
        <f t="shared" si="97"/>
        <v>5.7137780398592415E-2</v>
      </c>
      <c r="AV92" s="355"/>
      <c r="AW92" s="355"/>
      <c r="AX92" s="273">
        <f>VLOOKUP($B92, 'Output 90% Downside'!$A:$CW,42,FALSE)</f>
        <v>1.8800000000000001E-2</v>
      </c>
      <c r="AY92" s="273">
        <f>VLOOKUP($B92, 'Output 90% Downside'!$A:$CW,43,FALSE)</f>
        <v>1.49E-2</v>
      </c>
      <c r="AZ92" s="273">
        <f>VLOOKUP($B92, 'Output 90% Downside'!$A:$CW,44,FALSE)</f>
        <v>1.2999999999999999E-2</v>
      </c>
      <c r="BA92" s="273">
        <f>VLOOKUP($B92, 'Output 90% Downside'!$A:$CW,45,FALSE)</f>
        <v>1.18E-2</v>
      </c>
      <c r="BB92" s="273">
        <f>VLOOKUP($B92, 'Output 90% Downside'!$A:$CW,46,FALSE)</f>
        <v>1.0999999999999999E-2</v>
      </c>
      <c r="BC92" s="447">
        <f t="shared" si="98"/>
        <v>4.7335031444174502E-3</v>
      </c>
      <c r="BD92" s="447">
        <f t="shared" si="99"/>
        <v>9.4446002368167026E-3</v>
      </c>
      <c r="BE92" s="447">
        <f t="shared" si="100"/>
        <v>1.4133397336315467E-2</v>
      </c>
      <c r="BF92" s="346"/>
      <c r="BG92" s="390">
        <f t="shared" si="101"/>
        <v>4.7808381758616247E-3</v>
      </c>
      <c r="BH92" s="390">
        <f t="shared" si="102"/>
        <v>9.5390462391848705E-3</v>
      </c>
      <c r="BI92" s="390">
        <f t="shared" si="103"/>
        <v>1.4274731309678622E-2</v>
      </c>
      <c r="BJ92" s="390">
        <f t="shared" si="104"/>
        <v>1.8988000000000001E-2</v>
      </c>
      <c r="BK92" s="390">
        <f t="shared" si="105"/>
        <v>3.3754078800000066E-2</v>
      </c>
      <c r="BL92" s="390">
        <f t="shared" si="106"/>
        <v>4.6445275775600071E-2</v>
      </c>
      <c r="BM92" s="390">
        <f t="shared" si="107"/>
        <v>5.7815221521448065E-2</v>
      </c>
      <c r="BN92" s="390">
        <f t="shared" si="108"/>
        <v>6.8289254084712134E-2</v>
      </c>
      <c r="BO92" s="390">
        <f t="shared" si="109"/>
        <v>1.8988000000000001E-2</v>
      </c>
      <c r="BP92" s="390">
        <f t="shared" si="110"/>
        <v>5.7815221521448065E-2</v>
      </c>
      <c r="BQ92" s="347"/>
      <c r="BR92" s="355"/>
      <c r="BS92" s="355"/>
      <c r="BT92" s="355"/>
      <c r="BU92" s="390">
        <f>IFERROR(AL92*$BS$2+BG92*$BS$4+Q92*$BS$3,VLOOKUP(A92,'Updated Ncino PD'!A:K,4,FALSE))</f>
        <v>4.7347418888864087E-3</v>
      </c>
      <c r="BV92" s="390">
        <f>IFERROR(AM92*$BS$2+BH92*$BS$4+R92*$BS$3,VLOOKUP(A92,'Updated Ncino PD'!A:K,5,FALSE))</f>
        <v>9.4472865526907968E-3</v>
      </c>
      <c r="BW92" s="390">
        <f>IFERROR(AN92*$BS$2+BI92*$BS$4+S92*$BS$3,VLOOKUP(A92,'Updated Ncino PD'!A:K,6,FALSE))</f>
        <v>1.4137738062140359E-2</v>
      </c>
      <c r="BX92" s="390">
        <f>IFERROR(AO92*$BS$2+BJ92*$BS$4+T92*$BS$3,VLOOKUP(A92,'Updated Ncino PD'!A:K,7,FALSE))</f>
        <v>1.8806199999999999E-2</v>
      </c>
      <c r="BY92" s="390">
        <f>IFERROR(AP92*$BS$2+BK92*$BS$4+U92*$BS$3,VLOOKUP(A92,'Updated Ncino PD'!A:K,8,FALSE))</f>
        <v>3.3456029820000018E-2</v>
      </c>
      <c r="BZ92" s="390">
        <f>IFERROR(AQ92*$BS$2+BL92*$BS$4+V92*$BS$3,VLOOKUP(A92,'Updated Ncino PD'!A:K,9,FALSE))</f>
        <v>4.6092496872170027E-2</v>
      </c>
      <c r="CA92" s="390">
        <f>IFERROR(AR92*$BS$2+BM92*$BS$4+W92*$BS$3,VLOOKUP(A92,'Updated Ncino PD'!A:K,10,FALSE))</f>
        <v>5.7408756847734672E-2</v>
      </c>
      <c r="CB92" s="390">
        <f>IFERROR(AS92*$BS$2+BN92*$BS$4+X92*$BS$3,VLOOKUP(A92,'Updated Ncino PD'!A:K,11,FALSE))</f>
        <v>6.7830088789233495E-2</v>
      </c>
      <c r="CC92" s="390">
        <f t="shared" si="111"/>
        <v>1.8806199999999999E-2</v>
      </c>
      <c r="CD92" s="390">
        <f t="shared" si="112"/>
        <v>5.7408756847734672E-2</v>
      </c>
      <c r="CE92" s="355"/>
      <c r="CF92" s="450">
        <f t="shared" si="113"/>
        <v>1.8619999999999998E-2</v>
      </c>
      <c r="CG92" s="450">
        <f t="shared" si="114"/>
        <v>1.4780000000000001E-2</v>
      </c>
      <c r="CH92" s="450">
        <f t="shared" si="115"/>
        <v>1.294E-2</v>
      </c>
      <c r="CI92" s="450">
        <f t="shared" si="116"/>
        <v>1.174E-2</v>
      </c>
      <c r="CJ92" s="450">
        <f t="shared" si="117"/>
        <v>1.094E-2</v>
      </c>
    </row>
    <row r="93" spans="1:88" hidden="1" x14ac:dyDescent="0.25">
      <c r="A93" s="400">
        <v>1100000253</v>
      </c>
      <c r="B93" s="455" t="str">
        <f>VLOOKUP(A93,'Loan Book Summary'!C:G,5,FALSE)</f>
        <v>0015800000z8vOY</v>
      </c>
      <c r="C93" s="167">
        <f>VLOOKUP(A93,'Ref-Data'!$A:$I,9,0)</f>
        <v>1</v>
      </c>
      <c r="D93" s="445">
        <f>VLOOKUP(A93,'Adjustment Factor'!A:C,3,0)</f>
        <v>1.01</v>
      </c>
      <c r="E93" s="446">
        <f>VLOOKUP(A93,'Ref-Data'!A:C,2,FALSE)</f>
        <v>6865000</v>
      </c>
      <c r="F93" s="445">
        <f>VLOOKUP(A93,'Ref-Data'!$A:$F,6,FALSE)</f>
        <v>3.5044490075290895</v>
      </c>
      <c r="G93" s="346"/>
      <c r="H93" s="273">
        <f>VLOOKUP($B93, 'Output 96% Downside'!$A:$CW,42,FALSE)</f>
        <v>1.8800000000000001E-2</v>
      </c>
      <c r="I93" s="273">
        <f>VLOOKUP($B93, 'Output 96% Downside'!$A:$CW,43,FALSE)</f>
        <v>1.49E-2</v>
      </c>
      <c r="J93" s="273">
        <f>VLOOKUP($B93, 'Output 96% Downside'!$A:$CW,44,FALSE)</f>
        <v>1.2999999999999999E-2</v>
      </c>
      <c r="K93" s="273">
        <f>VLOOKUP($B93, 'Output 96% Downside'!$A:$CW,45,FALSE)</f>
        <v>1.18E-2</v>
      </c>
      <c r="L93" s="273">
        <f>VLOOKUP($B93, 'Output 96% Downside'!$A:$CW,46,FALSE)</f>
        <v>1.0999999999999999E-2</v>
      </c>
      <c r="M93" s="447">
        <f t="shared" si="72"/>
        <v>4.7335031444174502E-3</v>
      </c>
      <c r="N93" s="447">
        <f t="shared" si="73"/>
        <v>9.4446002368167026E-3</v>
      </c>
      <c r="O93" s="447">
        <f t="shared" si="74"/>
        <v>1.4133397336315467E-2</v>
      </c>
      <c r="P93" s="346"/>
      <c r="Q93" s="390">
        <f t="shared" si="75"/>
        <v>4.7808381758616247E-3</v>
      </c>
      <c r="R93" s="390">
        <f t="shared" si="76"/>
        <v>9.5390462391848705E-3</v>
      </c>
      <c r="S93" s="390">
        <f t="shared" si="77"/>
        <v>1.4274731309678622E-2</v>
      </c>
      <c r="T93" s="390">
        <f t="shared" si="78"/>
        <v>1.8988000000000001E-2</v>
      </c>
      <c r="U93" s="390">
        <f t="shared" si="79"/>
        <v>3.3754078800000066E-2</v>
      </c>
      <c r="V93" s="390">
        <f t="shared" si="80"/>
        <v>4.6445275775600071E-2</v>
      </c>
      <c r="W93" s="390">
        <f t="shared" si="81"/>
        <v>5.7815221521448065E-2</v>
      </c>
      <c r="X93" s="390">
        <f t="shared" si="82"/>
        <v>6.8289254084712134E-2</v>
      </c>
      <c r="Y93" s="390">
        <f t="shared" si="83"/>
        <v>1.8988000000000001E-2</v>
      </c>
      <c r="Z93" s="390">
        <f t="shared" si="84"/>
        <v>5.7815221521448065E-2</v>
      </c>
      <c r="AA93" s="355"/>
      <c r="AB93" s="355"/>
      <c r="AC93" s="273">
        <f>VLOOKUP($B93, 'Output Baseline'!$A:$CW,42,FALSE)</f>
        <v>1.8499999999999999E-2</v>
      </c>
      <c r="AD93" s="273">
        <f>VLOOKUP($B93, 'Output Baseline'!$A:$CW,43,FALSE)</f>
        <v>1.47E-2</v>
      </c>
      <c r="AE93" s="273">
        <f>VLOOKUP($B93, 'Output Baseline'!$A:$CW,44,FALSE)</f>
        <v>1.29E-2</v>
      </c>
      <c r="AF93" s="273">
        <f>VLOOKUP($B93, 'Output Baseline'!$A:$CW,45,FALSE)</f>
        <v>1.17E-2</v>
      </c>
      <c r="AG93" s="273">
        <f>VLOOKUP($B93, 'Output Baseline'!$A:$CW,46,FALSE)</f>
        <v>1.09E-2</v>
      </c>
      <c r="AH93" s="447">
        <f t="shared" si="85"/>
        <v>4.6574366642603282E-3</v>
      </c>
      <c r="AI93" s="447">
        <f t="shared" si="86"/>
        <v>9.293181612239021E-3</v>
      </c>
      <c r="AJ93" s="447">
        <f t="shared" si="87"/>
        <v>1.3907335871730875E-2</v>
      </c>
      <c r="AK93" s="346"/>
      <c r="AL93" s="390">
        <f t="shared" si="88"/>
        <v>4.7040110309029314E-3</v>
      </c>
      <c r="AM93" s="390">
        <f t="shared" si="89"/>
        <v>9.3861134283614121E-3</v>
      </c>
      <c r="AN93" s="390">
        <f t="shared" si="90"/>
        <v>1.4046409230448184E-2</v>
      </c>
      <c r="AO93" s="390">
        <f t="shared" si="91"/>
        <v>1.8685E-2</v>
      </c>
      <c r="AP93" s="390">
        <f t="shared" si="92"/>
        <v>3.3257330499999987E-2</v>
      </c>
      <c r="AQ93" s="390">
        <f t="shared" si="93"/>
        <v>4.5857310936550003E-2</v>
      </c>
      <c r="AR93" s="390">
        <f t="shared" si="94"/>
        <v>5.7137780398592415E-2</v>
      </c>
      <c r="AS93" s="390">
        <f t="shared" si="95"/>
        <v>6.7523978592247735E-2</v>
      </c>
      <c r="AT93" s="390">
        <f t="shared" si="96"/>
        <v>1.8685E-2</v>
      </c>
      <c r="AU93" s="390">
        <f t="shared" si="97"/>
        <v>5.7137780398592415E-2</v>
      </c>
      <c r="AV93" s="355"/>
      <c r="AW93" s="355"/>
      <c r="AX93" s="273">
        <f>VLOOKUP($B93, 'Output 90% Downside'!$A:$CW,42,FALSE)</f>
        <v>1.8800000000000001E-2</v>
      </c>
      <c r="AY93" s="273">
        <f>VLOOKUP($B93, 'Output 90% Downside'!$A:$CW,43,FALSE)</f>
        <v>1.49E-2</v>
      </c>
      <c r="AZ93" s="273">
        <f>VLOOKUP($B93, 'Output 90% Downside'!$A:$CW,44,FALSE)</f>
        <v>1.2999999999999999E-2</v>
      </c>
      <c r="BA93" s="273">
        <f>VLOOKUP($B93, 'Output 90% Downside'!$A:$CW,45,FALSE)</f>
        <v>1.18E-2</v>
      </c>
      <c r="BB93" s="273">
        <f>VLOOKUP($B93, 'Output 90% Downside'!$A:$CW,46,FALSE)</f>
        <v>1.0999999999999999E-2</v>
      </c>
      <c r="BC93" s="447">
        <f t="shared" si="98"/>
        <v>4.7335031444174502E-3</v>
      </c>
      <c r="BD93" s="447">
        <f t="shared" si="99"/>
        <v>9.4446002368167026E-3</v>
      </c>
      <c r="BE93" s="447">
        <f t="shared" si="100"/>
        <v>1.4133397336315467E-2</v>
      </c>
      <c r="BF93" s="346"/>
      <c r="BG93" s="390">
        <f t="shared" si="101"/>
        <v>4.7808381758616247E-3</v>
      </c>
      <c r="BH93" s="390">
        <f t="shared" si="102"/>
        <v>9.5390462391848705E-3</v>
      </c>
      <c r="BI93" s="390">
        <f t="shared" si="103"/>
        <v>1.4274731309678622E-2</v>
      </c>
      <c r="BJ93" s="390">
        <f t="shared" si="104"/>
        <v>1.8988000000000001E-2</v>
      </c>
      <c r="BK93" s="390">
        <f t="shared" si="105"/>
        <v>3.3754078800000066E-2</v>
      </c>
      <c r="BL93" s="390">
        <f t="shared" si="106"/>
        <v>4.6445275775600071E-2</v>
      </c>
      <c r="BM93" s="390">
        <f t="shared" si="107"/>
        <v>5.7815221521448065E-2</v>
      </c>
      <c r="BN93" s="390">
        <f t="shared" si="108"/>
        <v>6.8289254084712134E-2</v>
      </c>
      <c r="BO93" s="390">
        <f t="shared" si="109"/>
        <v>1.8988000000000001E-2</v>
      </c>
      <c r="BP93" s="390">
        <f t="shared" si="110"/>
        <v>5.7815221521448065E-2</v>
      </c>
      <c r="BQ93" s="347"/>
      <c r="BR93" s="355"/>
      <c r="BS93" s="355"/>
      <c r="BT93" s="355"/>
      <c r="BU93" s="390">
        <f>IFERROR(AL93*$BS$2+BG93*$BS$4+Q93*$BS$3,VLOOKUP(A93,'Updated Ncino PD'!A:K,4,FALSE))</f>
        <v>4.7347418888864087E-3</v>
      </c>
      <c r="BV93" s="390">
        <f>IFERROR(AM93*$BS$2+BH93*$BS$4+R93*$BS$3,VLOOKUP(A93,'Updated Ncino PD'!A:K,5,FALSE))</f>
        <v>9.4472865526907968E-3</v>
      </c>
      <c r="BW93" s="390">
        <f>IFERROR(AN93*$BS$2+BI93*$BS$4+S93*$BS$3,VLOOKUP(A93,'Updated Ncino PD'!A:K,6,FALSE))</f>
        <v>1.4137738062140359E-2</v>
      </c>
      <c r="BX93" s="390">
        <f>IFERROR(AO93*$BS$2+BJ93*$BS$4+T93*$BS$3,VLOOKUP(A93,'Updated Ncino PD'!A:K,7,FALSE))</f>
        <v>1.8806199999999999E-2</v>
      </c>
      <c r="BY93" s="390">
        <f>IFERROR(AP93*$BS$2+BK93*$BS$4+U93*$BS$3,VLOOKUP(A93,'Updated Ncino PD'!A:K,8,FALSE))</f>
        <v>3.3456029820000018E-2</v>
      </c>
      <c r="BZ93" s="390">
        <f>IFERROR(AQ93*$BS$2+BL93*$BS$4+V93*$BS$3,VLOOKUP(A93,'Updated Ncino PD'!A:K,9,FALSE))</f>
        <v>4.6092496872170027E-2</v>
      </c>
      <c r="CA93" s="390">
        <f>IFERROR(AR93*$BS$2+BM93*$BS$4+W93*$BS$3,VLOOKUP(A93,'Updated Ncino PD'!A:K,10,FALSE))</f>
        <v>5.7408756847734672E-2</v>
      </c>
      <c r="CB93" s="390">
        <f>IFERROR(AS93*$BS$2+BN93*$BS$4+X93*$BS$3,VLOOKUP(A93,'Updated Ncino PD'!A:K,11,FALSE))</f>
        <v>6.7830088789233495E-2</v>
      </c>
      <c r="CC93" s="390">
        <f t="shared" si="111"/>
        <v>1.8806199999999999E-2</v>
      </c>
      <c r="CD93" s="390">
        <f t="shared" si="112"/>
        <v>5.7408756847734672E-2</v>
      </c>
      <c r="CE93" s="355"/>
      <c r="CF93" s="450">
        <f t="shared" si="113"/>
        <v>1.8619999999999998E-2</v>
      </c>
      <c r="CG93" s="450">
        <f t="shared" si="114"/>
        <v>1.4780000000000001E-2</v>
      </c>
      <c r="CH93" s="450">
        <f t="shared" si="115"/>
        <v>1.294E-2</v>
      </c>
      <c r="CI93" s="450">
        <f t="shared" si="116"/>
        <v>1.174E-2</v>
      </c>
      <c r="CJ93" s="450">
        <f t="shared" si="117"/>
        <v>1.094E-2</v>
      </c>
    </row>
    <row r="94" spans="1:88" hidden="1" x14ac:dyDescent="0.25">
      <c r="A94" s="400">
        <v>1100000250</v>
      </c>
      <c r="B94" s="455" t="str">
        <f>VLOOKUP(A94,'Loan Book Summary'!C:G,5,FALSE)</f>
        <v>0015800000z8vOY</v>
      </c>
      <c r="C94" s="167">
        <f>VLOOKUP(A94,'Ref-Data'!$A:$I,9,0)</f>
        <v>1</v>
      </c>
      <c r="D94" s="445">
        <f>VLOOKUP(A94,'Adjustment Factor'!A:C,3,0)</f>
        <v>1.01</v>
      </c>
      <c r="E94" s="446">
        <f>VLOOKUP(A94,'Ref-Data'!A:C,2,FALSE)</f>
        <v>3245000</v>
      </c>
      <c r="F94" s="445">
        <f>VLOOKUP(A94,'Ref-Data'!$A:$F,6,FALSE)</f>
        <v>3.5044490075290895</v>
      </c>
      <c r="G94" s="346"/>
      <c r="H94" s="273">
        <f>VLOOKUP($B94, 'Output 96% Downside'!$A:$CW,42,FALSE)</f>
        <v>1.8800000000000001E-2</v>
      </c>
      <c r="I94" s="273">
        <f>VLOOKUP($B94, 'Output 96% Downside'!$A:$CW,43,FALSE)</f>
        <v>1.49E-2</v>
      </c>
      <c r="J94" s="273">
        <f>VLOOKUP($B94, 'Output 96% Downside'!$A:$CW,44,FALSE)</f>
        <v>1.2999999999999999E-2</v>
      </c>
      <c r="K94" s="273">
        <f>VLOOKUP($B94, 'Output 96% Downside'!$A:$CW,45,FALSE)</f>
        <v>1.18E-2</v>
      </c>
      <c r="L94" s="273">
        <f>VLOOKUP($B94, 'Output 96% Downside'!$A:$CW,46,FALSE)</f>
        <v>1.0999999999999999E-2</v>
      </c>
      <c r="M94" s="447">
        <f t="shared" si="72"/>
        <v>4.7335031444174502E-3</v>
      </c>
      <c r="N94" s="447">
        <f t="shared" si="73"/>
        <v>9.4446002368167026E-3</v>
      </c>
      <c r="O94" s="447">
        <f t="shared" si="74"/>
        <v>1.4133397336315467E-2</v>
      </c>
      <c r="P94" s="346"/>
      <c r="Q94" s="390">
        <f t="shared" si="75"/>
        <v>4.7808381758616247E-3</v>
      </c>
      <c r="R94" s="390">
        <f t="shared" si="76"/>
        <v>9.5390462391848705E-3</v>
      </c>
      <c r="S94" s="390">
        <f t="shared" si="77"/>
        <v>1.4274731309678622E-2</v>
      </c>
      <c r="T94" s="390">
        <f t="shared" si="78"/>
        <v>1.8988000000000001E-2</v>
      </c>
      <c r="U94" s="390">
        <f t="shared" si="79"/>
        <v>3.3754078800000066E-2</v>
      </c>
      <c r="V94" s="390">
        <f t="shared" si="80"/>
        <v>4.6445275775600071E-2</v>
      </c>
      <c r="W94" s="390">
        <f t="shared" si="81"/>
        <v>5.7815221521448065E-2</v>
      </c>
      <c r="X94" s="390">
        <f t="shared" si="82"/>
        <v>6.8289254084712134E-2</v>
      </c>
      <c r="Y94" s="390">
        <f t="shared" si="83"/>
        <v>1.8988000000000001E-2</v>
      </c>
      <c r="Z94" s="390">
        <f t="shared" si="84"/>
        <v>5.7815221521448065E-2</v>
      </c>
      <c r="AA94" s="355"/>
      <c r="AB94" s="355"/>
      <c r="AC94" s="273">
        <f>VLOOKUP($B94, 'Output Baseline'!$A:$CW,42,FALSE)</f>
        <v>1.8499999999999999E-2</v>
      </c>
      <c r="AD94" s="273">
        <f>VLOOKUP($B94, 'Output Baseline'!$A:$CW,43,FALSE)</f>
        <v>1.47E-2</v>
      </c>
      <c r="AE94" s="273">
        <f>VLOOKUP($B94, 'Output Baseline'!$A:$CW,44,FALSE)</f>
        <v>1.29E-2</v>
      </c>
      <c r="AF94" s="273">
        <f>VLOOKUP($B94, 'Output Baseline'!$A:$CW,45,FALSE)</f>
        <v>1.17E-2</v>
      </c>
      <c r="AG94" s="273">
        <f>VLOOKUP($B94, 'Output Baseline'!$A:$CW,46,FALSE)</f>
        <v>1.09E-2</v>
      </c>
      <c r="AH94" s="447">
        <f t="shared" si="85"/>
        <v>4.6574366642603282E-3</v>
      </c>
      <c r="AI94" s="447">
        <f t="shared" si="86"/>
        <v>9.293181612239021E-3</v>
      </c>
      <c r="AJ94" s="447">
        <f t="shared" si="87"/>
        <v>1.3907335871730875E-2</v>
      </c>
      <c r="AK94" s="346"/>
      <c r="AL94" s="390">
        <f t="shared" si="88"/>
        <v>4.7040110309029314E-3</v>
      </c>
      <c r="AM94" s="390">
        <f t="shared" si="89"/>
        <v>9.3861134283614121E-3</v>
      </c>
      <c r="AN94" s="390">
        <f t="shared" si="90"/>
        <v>1.4046409230448184E-2</v>
      </c>
      <c r="AO94" s="390">
        <f t="shared" si="91"/>
        <v>1.8685E-2</v>
      </c>
      <c r="AP94" s="390">
        <f t="shared" si="92"/>
        <v>3.3257330499999987E-2</v>
      </c>
      <c r="AQ94" s="390">
        <f t="shared" si="93"/>
        <v>4.5857310936550003E-2</v>
      </c>
      <c r="AR94" s="390">
        <f t="shared" si="94"/>
        <v>5.7137780398592415E-2</v>
      </c>
      <c r="AS94" s="390">
        <f t="shared" si="95"/>
        <v>6.7523978592247735E-2</v>
      </c>
      <c r="AT94" s="390">
        <f t="shared" si="96"/>
        <v>1.8685E-2</v>
      </c>
      <c r="AU94" s="390">
        <f t="shared" si="97"/>
        <v>5.7137780398592415E-2</v>
      </c>
      <c r="AV94" s="355"/>
      <c r="AW94" s="355"/>
      <c r="AX94" s="273">
        <f>VLOOKUP($B94, 'Output 90% Downside'!$A:$CW,42,FALSE)</f>
        <v>1.8800000000000001E-2</v>
      </c>
      <c r="AY94" s="273">
        <f>VLOOKUP($B94, 'Output 90% Downside'!$A:$CW,43,FALSE)</f>
        <v>1.49E-2</v>
      </c>
      <c r="AZ94" s="273">
        <f>VLOOKUP($B94, 'Output 90% Downside'!$A:$CW,44,FALSE)</f>
        <v>1.2999999999999999E-2</v>
      </c>
      <c r="BA94" s="273">
        <f>VLOOKUP($B94, 'Output 90% Downside'!$A:$CW,45,FALSE)</f>
        <v>1.18E-2</v>
      </c>
      <c r="BB94" s="273">
        <f>VLOOKUP($B94, 'Output 90% Downside'!$A:$CW,46,FALSE)</f>
        <v>1.0999999999999999E-2</v>
      </c>
      <c r="BC94" s="447">
        <f t="shared" si="98"/>
        <v>4.7335031444174502E-3</v>
      </c>
      <c r="BD94" s="447">
        <f t="shared" si="99"/>
        <v>9.4446002368167026E-3</v>
      </c>
      <c r="BE94" s="447">
        <f t="shared" si="100"/>
        <v>1.4133397336315467E-2</v>
      </c>
      <c r="BF94" s="346"/>
      <c r="BG94" s="390">
        <f t="shared" si="101"/>
        <v>4.7808381758616247E-3</v>
      </c>
      <c r="BH94" s="390">
        <f t="shared" si="102"/>
        <v>9.5390462391848705E-3</v>
      </c>
      <c r="BI94" s="390">
        <f t="shared" si="103"/>
        <v>1.4274731309678622E-2</v>
      </c>
      <c r="BJ94" s="390">
        <f t="shared" si="104"/>
        <v>1.8988000000000001E-2</v>
      </c>
      <c r="BK94" s="390">
        <f t="shared" si="105"/>
        <v>3.3754078800000066E-2</v>
      </c>
      <c r="BL94" s="390">
        <f t="shared" si="106"/>
        <v>4.6445275775600071E-2</v>
      </c>
      <c r="BM94" s="390">
        <f t="shared" si="107"/>
        <v>5.7815221521448065E-2</v>
      </c>
      <c r="BN94" s="390">
        <f t="shared" si="108"/>
        <v>6.8289254084712134E-2</v>
      </c>
      <c r="BO94" s="390">
        <f t="shared" si="109"/>
        <v>1.8988000000000001E-2</v>
      </c>
      <c r="BP94" s="390">
        <f t="shared" si="110"/>
        <v>5.7815221521448065E-2</v>
      </c>
      <c r="BQ94" s="347"/>
      <c r="BR94" s="355"/>
      <c r="BS94" s="355"/>
      <c r="BT94" s="355"/>
      <c r="BU94" s="390">
        <f>IFERROR(AL94*$BS$2+BG94*$BS$4+Q94*$BS$3,VLOOKUP(A94,'Updated Ncino PD'!A:K,4,FALSE))</f>
        <v>4.7347418888864087E-3</v>
      </c>
      <c r="BV94" s="390">
        <f>IFERROR(AM94*$BS$2+BH94*$BS$4+R94*$BS$3,VLOOKUP(A94,'Updated Ncino PD'!A:K,5,FALSE))</f>
        <v>9.4472865526907968E-3</v>
      </c>
      <c r="BW94" s="390">
        <f>IFERROR(AN94*$BS$2+BI94*$BS$4+S94*$BS$3,VLOOKUP(A94,'Updated Ncino PD'!A:K,6,FALSE))</f>
        <v>1.4137738062140359E-2</v>
      </c>
      <c r="BX94" s="390">
        <f>IFERROR(AO94*$BS$2+BJ94*$BS$4+T94*$BS$3,VLOOKUP(A94,'Updated Ncino PD'!A:K,7,FALSE))</f>
        <v>1.8806199999999999E-2</v>
      </c>
      <c r="BY94" s="390">
        <f>IFERROR(AP94*$BS$2+BK94*$BS$4+U94*$BS$3,VLOOKUP(A94,'Updated Ncino PD'!A:K,8,FALSE))</f>
        <v>3.3456029820000018E-2</v>
      </c>
      <c r="BZ94" s="390">
        <f>IFERROR(AQ94*$BS$2+BL94*$BS$4+V94*$BS$3,VLOOKUP(A94,'Updated Ncino PD'!A:K,9,FALSE))</f>
        <v>4.6092496872170027E-2</v>
      </c>
      <c r="CA94" s="390">
        <f>IFERROR(AR94*$BS$2+BM94*$BS$4+W94*$BS$3,VLOOKUP(A94,'Updated Ncino PD'!A:K,10,FALSE))</f>
        <v>5.7408756847734672E-2</v>
      </c>
      <c r="CB94" s="390">
        <f>IFERROR(AS94*$BS$2+BN94*$BS$4+X94*$BS$3,VLOOKUP(A94,'Updated Ncino PD'!A:K,11,FALSE))</f>
        <v>6.7830088789233495E-2</v>
      </c>
      <c r="CC94" s="390">
        <f t="shared" si="111"/>
        <v>1.8806199999999999E-2</v>
      </c>
      <c r="CD94" s="390">
        <f t="shared" si="112"/>
        <v>5.7408756847734672E-2</v>
      </c>
      <c r="CE94" s="355"/>
      <c r="CF94" s="450">
        <f t="shared" si="113"/>
        <v>1.8619999999999998E-2</v>
      </c>
      <c r="CG94" s="450">
        <f t="shared" si="114"/>
        <v>1.4780000000000001E-2</v>
      </c>
      <c r="CH94" s="450">
        <f t="shared" si="115"/>
        <v>1.294E-2</v>
      </c>
      <c r="CI94" s="450">
        <f t="shared" si="116"/>
        <v>1.174E-2</v>
      </c>
      <c r="CJ94" s="450">
        <f t="shared" si="117"/>
        <v>1.094E-2</v>
      </c>
    </row>
    <row r="95" spans="1:88" hidden="1" x14ac:dyDescent="0.25">
      <c r="A95" s="400">
        <v>1100000255</v>
      </c>
      <c r="B95" s="455" t="str">
        <f>VLOOKUP(A95,'Loan Book Summary'!C:G,5,FALSE)</f>
        <v>0015800000z8vOY</v>
      </c>
      <c r="C95" s="167">
        <f>VLOOKUP(A95,'Ref-Data'!$A:$I,9,0)</f>
        <v>1</v>
      </c>
      <c r="D95" s="445">
        <f>VLOOKUP(A95,'Adjustment Factor'!A:C,3,0)</f>
        <v>1.01</v>
      </c>
      <c r="E95" s="446">
        <f>VLOOKUP(A95,'Ref-Data'!A:C,2,FALSE)</f>
        <v>6640000</v>
      </c>
      <c r="F95" s="445">
        <f>VLOOKUP(A95,'Ref-Data'!$A:$F,6,FALSE)</f>
        <v>3.5044490075290895</v>
      </c>
      <c r="G95" s="346"/>
      <c r="H95" s="273">
        <f>VLOOKUP($B95, 'Output 96% Downside'!$A:$CW,42,FALSE)</f>
        <v>1.8800000000000001E-2</v>
      </c>
      <c r="I95" s="273">
        <f>VLOOKUP($B95, 'Output 96% Downside'!$A:$CW,43,FALSE)</f>
        <v>1.49E-2</v>
      </c>
      <c r="J95" s="273">
        <f>VLOOKUP($B95, 'Output 96% Downside'!$A:$CW,44,FALSE)</f>
        <v>1.2999999999999999E-2</v>
      </c>
      <c r="K95" s="273">
        <f>VLOOKUP($B95, 'Output 96% Downside'!$A:$CW,45,FALSE)</f>
        <v>1.18E-2</v>
      </c>
      <c r="L95" s="273">
        <f>VLOOKUP($B95, 'Output 96% Downside'!$A:$CW,46,FALSE)</f>
        <v>1.0999999999999999E-2</v>
      </c>
      <c r="M95" s="447">
        <f t="shared" si="72"/>
        <v>4.7335031444174502E-3</v>
      </c>
      <c r="N95" s="447">
        <f t="shared" si="73"/>
        <v>9.4446002368167026E-3</v>
      </c>
      <c r="O95" s="447">
        <f t="shared" si="74"/>
        <v>1.4133397336315467E-2</v>
      </c>
      <c r="P95" s="346"/>
      <c r="Q95" s="390">
        <f t="shared" si="75"/>
        <v>4.7808381758616247E-3</v>
      </c>
      <c r="R95" s="390">
        <f t="shared" si="76"/>
        <v>9.5390462391848705E-3</v>
      </c>
      <c r="S95" s="390">
        <f t="shared" si="77"/>
        <v>1.4274731309678622E-2</v>
      </c>
      <c r="T95" s="390">
        <f t="shared" si="78"/>
        <v>1.8988000000000001E-2</v>
      </c>
      <c r="U95" s="390">
        <f t="shared" si="79"/>
        <v>3.3754078800000066E-2</v>
      </c>
      <c r="V95" s="390">
        <f t="shared" si="80"/>
        <v>4.6445275775600071E-2</v>
      </c>
      <c r="W95" s="390">
        <f t="shared" si="81"/>
        <v>5.7815221521448065E-2</v>
      </c>
      <c r="X95" s="390">
        <f t="shared" si="82"/>
        <v>6.8289254084712134E-2</v>
      </c>
      <c r="Y95" s="390">
        <f t="shared" si="83"/>
        <v>1.8988000000000001E-2</v>
      </c>
      <c r="Z95" s="390">
        <f t="shared" si="84"/>
        <v>5.7815221521448065E-2</v>
      </c>
      <c r="AA95" s="355"/>
      <c r="AB95" s="355"/>
      <c r="AC95" s="273">
        <f>VLOOKUP($B95, 'Output Baseline'!$A:$CW,42,FALSE)</f>
        <v>1.8499999999999999E-2</v>
      </c>
      <c r="AD95" s="273">
        <f>VLOOKUP($B95, 'Output Baseline'!$A:$CW,43,FALSE)</f>
        <v>1.47E-2</v>
      </c>
      <c r="AE95" s="273">
        <f>VLOOKUP($B95, 'Output Baseline'!$A:$CW,44,FALSE)</f>
        <v>1.29E-2</v>
      </c>
      <c r="AF95" s="273">
        <f>VLOOKUP($B95, 'Output Baseline'!$A:$CW,45,FALSE)</f>
        <v>1.17E-2</v>
      </c>
      <c r="AG95" s="273">
        <f>VLOOKUP($B95, 'Output Baseline'!$A:$CW,46,FALSE)</f>
        <v>1.09E-2</v>
      </c>
      <c r="AH95" s="447">
        <f t="shared" si="85"/>
        <v>4.6574366642603282E-3</v>
      </c>
      <c r="AI95" s="447">
        <f t="shared" si="86"/>
        <v>9.293181612239021E-3</v>
      </c>
      <c r="AJ95" s="447">
        <f t="shared" si="87"/>
        <v>1.3907335871730875E-2</v>
      </c>
      <c r="AK95" s="346"/>
      <c r="AL95" s="390">
        <f t="shared" si="88"/>
        <v>4.7040110309029314E-3</v>
      </c>
      <c r="AM95" s="390">
        <f t="shared" si="89"/>
        <v>9.3861134283614121E-3</v>
      </c>
      <c r="AN95" s="390">
        <f t="shared" si="90"/>
        <v>1.4046409230448184E-2</v>
      </c>
      <c r="AO95" s="390">
        <f t="shared" si="91"/>
        <v>1.8685E-2</v>
      </c>
      <c r="AP95" s="390">
        <f t="shared" si="92"/>
        <v>3.3257330499999987E-2</v>
      </c>
      <c r="AQ95" s="390">
        <f t="shared" si="93"/>
        <v>4.5857310936550003E-2</v>
      </c>
      <c r="AR95" s="390">
        <f t="shared" si="94"/>
        <v>5.7137780398592415E-2</v>
      </c>
      <c r="AS95" s="390">
        <f t="shared" si="95"/>
        <v>6.7523978592247735E-2</v>
      </c>
      <c r="AT95" s="390">
        <f t="shared" si="96"/>
        <v>1.8685E-2</v>
      </c>
      <c r="AU95" s="390">
        <f t="shared" si="97"/>
        <v>5.7137780398592415E-2</v>
      </c>
      <c r="AV95" s="355"/>
      <c r="AW95" s="355"/>
      <c r="AX95" s="273">
        <f>VLOOKUP($B95, 'Output 90% Downside'!$A:$CW,42,FALSE)</f>
        <v>1.8800000000000001E-2</v>
      </c>
      <c r="AY95" s="273">
        <f>VLOOKUP($B95, 'Output 90% Downside'!$A:$CW,43,FALSE)</f>
        <v>1.49E-2</v>
      </c>
      <c r="AZ95" s="273">
        <f>VLOOKUP($B95, 'Output 90% Downside'!$A:$CW,44,FALSE)</f>
        <v>1.2999999999999999E-2</v>
      </c>
      <c r="BA95" s="273">
        <f>VLOOKUP($B95, 'Output 90% Downside'!$A:$CW,45,FALSE)</f>
        <v>1.18E-2</v>
      </c>
      <c r="BB95" s="273">
        <f>VLOOKUP($B95, 'Output 90% Downside'!$A:$CW,46,FALSE)</f>
        <v>1.0999999999999999E-2</v>
      </c>
      <c r="BC95" s="447">
        <f t="shared" si="98"/>
        <v>4.7335031444174502E-3</v>
      </c>
      <c r="BD95" s="447">
        <f t="shared" si="99"/>
        <v>9.4446002368167026E-3</v>
      </c>
      <c r="BE95" s="447">
        <f t="shared" si="100"/>
        <v>1.4133397336315467E-2</v>
      </c>
      <c r="BF95" s="346"/>
      <c r="BG95" s="390">
        <f t="shared" si="101"/>
        <v>4.7808381758616247E-3</v>
      </c>
      <c r="BH95" s="390">
        <f t="shared" si="102"/>
        <v>9.5390462391848705E-3</v>
      </c>
      <c r="BI95" s="390">
        <f t="shared" si="103"/>
        <v>1.4274731309678622E-2</v>
      </c>
      <c r="BJ95" s="390">
        <f t="shared" si="104"/>
        <v>1.8988000000000001E-2</v>
      </c>
      <c r="BK95" s="390">
        <f t="shared" si="105"/>
        <v>3.3754078800000066E-2</v>
      </c>
      <c r="BL95" s="390">
        <f t="shared" si="106"/>
        <v>4.6445275775600071E-2</v>
      </c>
      <c r="BM95" s="390">
        <f t="shared" si="107"/>
        <v>5.7815221521448065E-2</v>
      </c>
      <c r="BN95" s="390">
        <f t="shared" si="108"/>
        <v>6.8289254084712134E-2</v>
      </c>
      <c r="BO95" s="390">
        <f t="shared" si="109"/>
        <v>1.8988000000000001E-2</v>
      </c>
      <c r="BP95" s="390">
        <f t="shared" si="110"/>
        <v>5.7815221521448065E-2</v>
      </c>
      <c r="BQ95" s="347"/>
      <c r="BR95" s="355"/>
      <c r="BS95" s="355"/>
      <c r="BT95" s="355"/>
      <c r="BU95" s="390">
        <f>IFERROR(AL95*$BS$2+BG95*$BS$4+Q95*$BS$3,VLOOKUP(A95,'Updated Ncino PD'!A:K,4,FALSE))</f>
        <v>4.7347418888864087E-3</v>
      </c>
      <c r="BV95" s="390">
        <f>IFERROR(AM95*$BS$2+BH95*$BS$4+R95*$BS$3,VLOOKUP(A95,'Updated Ncino PD'!A:K,5,FALSE))</f>
        <v>9.4472865526907968E-3</v>
      </c>
      <c r="BW95" s="390">
        <f>IFERROR(AN95*$BS$2+BI95*$BS$4+S95*$BS$3,VLOOKUP(A95,'Updated Ncino PD'!A:K,6,FALSE))</f>
        <v>1.4137738062140359E-2</v>
      </c>
      <c r="BX95" s="390">
        <f>IFERROR(AO95*$BS$2+BJ95*$BS$4+T95*$BS$3,VLOOKUP(A95,'Updated Ncino PD'!A:K,7,FALSE))</f>
        <v>1.8806199999999999E-2</v>
      </c>
      <c r="BY95" s="390">
        <f>IFERROR(AP95*$BS$2+BK95*$BS$4+U95*$BS$3,VLOOKUP(A95,'Updated Ncino PD'!A:K,8,FALSE))</f>
        <v>3.3456029820000018E-2</v>
      </c>
      <c r="BZ95" s="390">
        <f>IFERROR(AQ95*$BS$2+BL95*$BS$4+V95*$BS$3,VLOOKUP(A95,'Updated Ncino PD'!A:K,9,FALSE))</f>
        <v>4.6092496872170027E-2</v>
      </c>
      <c r="CA95" s="390">
        <f>IFERROR(AR95*$BS$2+BM95*$BS$4+W95*$BS$3,VLOOKUP(A95,'Updated Ncino PD'!A:K,10,FALSE))</f>
        <v>5.7408756847734672E-2</v>
      </c>
      <c r="CB95" s="390">
        <f>IFERROR(AS95*$BS$2+BN95*$BS$4+X95*$BS$3,VLOOKUP(A95,'Updated Ncino PD'!A:K,11,FALSE))</f>
        <v>6.7830088789233495E-2</v>
      </c>
      <c r="CC95" s="390">
        <f t="shared" si="111"/>
        <v>1.8806199999999999E-2</v>
      </c>
      <c r="CD95" s="390">
        <f t="shared" si="112"/>
        <v>5.7408756847734672E-2</v>
      </c>
      <c r="CE95" s="355"/>
      <c r="CF95" s="450">
        <f t="shared" si="113"/>
        <v>1.8619999999999998E-2</v>
      </c>
      <c r="CG95" s="450">
        <f t="shared" si="114"/>
        <v>1.4780000000000001E-2</v>
      </c>
      <c r="CH95" s="450">
        <f t="shared" si="115"/>
        <v>1.294E-2</v>
      </c>
      <c r="CI95" s="450">
        <f t="shared" si="116"/>
        <v>1.174E-2</v>
      </c>
      <c r="CJ95" s="450">
        <f t="shared" si="117"/>
        <v>1.094E-2</v>
      </c>
    </row>
    <row r="96" spans="1:88" hidden="1" x14ac:dyDescent="0.25">
      <c r="A96" s="400">
        <v>1100000252</v>
      </c>
      <c r="B96" s="455" t="str">
        <f>VLOOKUP(A96,'Loan Book Summary'!C:G,5,FALSE)</f>
        <v>0015800000z8vOY</v>
      </c>
      <c r="C96" s="167">
        <f>VLOOKUP(A96,'Ref-Data'!$A:$I,9,0)</f>
        <v>1</v>
      </c>
      <c r="D96" s="445">
        <f>VLOOKUP(A96,'Adjustment Factor'!A:C,3,0)</f>
        <v>1.01</v>
      </c>
      <c r="E96" s="446">
        <f>VLOOKUP(A96,'Ref-Data'!A:C,2,FALSE)</f>
        <v>4280000</v>
      </c>
      <c r="F96" s="445">
        <f>VLOOKUP(A96,'Ref-Data'!$A:$F,6,FALSE)</f>
        <v>3.5044490075290895</v>
      </c>
      <c r="G96" s="346"/>
      <c r="H96" s="273">
        <f>VLOOKUP($B96, 'Output 96% Downside'!$A:$CW,42,FALSE)</f>
        <v>1.8800000000000001E-2</v>
      </c>
      <c r="I96" s="273">
        <f>VLOOKUP($B96, 'Output 96% Downside'!$A:$CW,43,FALSE)</f>
        <v>1.49E-2</v>
      </c>
      <c r="J96" s="273">
        <f>VLOOKUP($B96, 'Output 96% Downside'!$A:$CW,44,FALSE)</f>
        <v>1.2999999999999999E-2</v>
      </c>
      <c r="K96" s="273">
        <f>VLOOKUP($B96, 'Output 96% Downside'!$A:$CW,45,FALSE)</f>
        <v>1.18E-2</v>
      </c>
      <c r="L96" s="273">
        <f>VLOOKUP($B96, 'Output 96% Downside'!$A:$CW,46,FALSE)</f>
        <v>1.0999999999999999E-2</v>
      </c>
      <c r="M96" s="447">
        <f t="shared" si="72"/>
        <v>4.7335031444174502E-3</v>
      </c>
      <c r="N96" s="447">
        <f t="shared" si="73"/>
        <v>9.4446002368167026E-3</v>
      </c>
      <c r="O96" s="447">
        <f t="shared" si="74"/>
        <v>1.4133397336315467E-2</v>
      </c>
      <c r="P96" s="346"/>
      <c r="Q96" s="390">
        <f t="shared" si="75"/>
        <v>4.7808381758616247E-3</v>
      </c>
      <c r="R96" s="390">
        <f t="shared" si="76"/>
        <v>9.5390462391848705E-3</v>
      </c>
      <c r="S96" s="390">
        <f t="shared" si="77"/>
        <v>1.4274731309678622E-2</v>
      </c>
      <c r="T96" s="390">
        <f t="shared" si="78"/>
        <v>1.8988000000000001E-2</v>
      </c>
      <c r="U96" s="390">
        <f t="shared" si="79"/>
        <v>3.3754078800000066E-2</v>
      </c>
      <c r="V96" s="390">
        <f t="shared" si="80"/>
        <v>4.6445275775600071E-2</v>
      </c>
      <c r="W96" s="390">
        <f t="shared" si="81"/>
        <v>5.7815221521448065E-2</v>
      </c>
      <c r="X96" s="390">
        <f t="shared" si="82"/>
        <v>6.8289254084712134E-2</v>
      </c>
      <c r="Y96" s="390">
        <f t="shared" si="83"/>
        <v>1.8988000000000001E-2</v>
      </c>
      <c r="Z96" s="390">
        <f t="shared" si="84"/>
        <v>5.7815221521448065E-2</v>
      </c>
      <c r="AA96" s="355"/>
      <c r="AB96" s="355"/>
      <c r="AC96" s="273">
        <f>VLOOKUP($B96, 'Output Baseline'!$A:$CW,42,FALSE)</f>
        <v>1.8499999999999999E-2</v>
      </c>
      <c r="AD96" s="273">
        <f>VLOOKUP($B96, 'Output Baseline'!$A:$CW,43,FALSE)</f>
        <v>1.47E-2</v>
      </c>
      <c r="AE96" s="273">
        <f>VLOOKUP($B96, 'Output Baseline'!$A:$CW,44,FALSE)</f>
        <v>1.29E-2</v>
      </c>
      <c r="AF96" s="273">
        <f>VLOOKUP($B96, 'Output Baseline'!$A:$CW,45,FALSE)</f>
        <v>1.17E-2</v>
      </c>
      <c r="AG96" s="273">
        <f>VLOOKUP($B96, 'Output Baseline'!$A:$CW,46,FALSE)</f>
        <v>1.09E-2</v>
      </c>
      <c r="AH96" s="447">
        <f t="shared" si="85"/>
        <v>4.6574366642603282E-3</v>
      </c>
      <c r="AI96" s="447">
        <f t="shared" si="86"/>
        <v>9.293181612239021E-3</v>
      </c>
      <c r="AJ96" s="447">
        <f t="shared" si="87"/>
        <v>1.3907335871730875E-2</v>
      </c>
      <c r="AK96" s="346"/>
      <c r="AL96" s="390">
        <f t="shared" si="88"/>
        <v>4.7040110309029314E-3</v>
      </c>
      <c r="AM96" s="390">
        <f t="shared" si="89"/>
        <v>9.3861134283614121E-3</v>
      </c>
      <c r="AN96" s="390">
        <f t="shared" si="90"/>
        <v>1.4046409230448184E-2</v>
      </c>
      <c r="AO96" s="390">
        <f t="shared" si="91"/>
        <v>1.8685E-2</v>
      </c>
      <c r="AP96" s="390">
        <f t="shared" si="92"/>
        <v>3.3257330499999987E-2</v>
      </c>
      <c r="AQ96" s="390">
        <f t="shared" si="93"/>
        <v>4.5857310936550003E-2</v>
      </c>
      <c r="AR96" s="390">
        <f t="shared" si="94"/>
        <v>5.7137780398592415E-2</v>
      </c>
      <c r="AS96" s="390">
        <f t="shared" si="95"/>
        <v>6.7523978592247735E-2</v>
      </c>
      <c r="AT96" s="390">
        <f t="shared" si="96"/>
        <v>1.8685E-2</v>
      </c>
      <c r="AU96" s="390">
        <f t="shared" si="97"/>
        <v>5.7137780398592415E-2</v>
      </c>
      <c r="AV96" s="355"/>
      <c r="AW96" s="355"/>
      <c r="AX96" s="273">
        <f>VLOOKUP($B96, 'Output 90% Downside'!$A:$CW,42,FALSE)</f>
        <v>1.8800000000000001E-2</v>
      </c>
      <c r="AY96" s="273">
        <f>VLOOKUP($B96, 'Output 90% Downside'!$A:$CW,43,FALSE)</f>
        <v>1.49E-2</v>
      </c>
      <c r="AZ96" s="273">
        <f>VLOOKUP($B96, 'Output 90% Downside'!$A:$CW,44,FALSE)</f>
        <v>1.2999999999999999E-2</v>
      </c>
      <c r="BA96" s="273">
        <f>VLOOKUP($B96, 'Output 90% Downside'!$A:$CW,45,FALSE)</f>
        <v>1.18E-2</v>
      </c>
      <c r="BB96" s="273">
        <f>VLOOKUP($B96, 'Output 90% Downside'!$A:$CW,46,FALSE)</f>
        <v>1.0999999999999999E-2</v>
      </c>
      <c r="BC96" s="447">
        <f t="shared" si="98"/>
        <v>4.7335031444174502E-3</v>
      </c>
      <c r="BD96" s="447">
        <f t="shared" si="99"/>
        <v>9.4446002368167026E-3</v>
      </c>
      <c r="BE96" s="447">
        <f t="shared" si="100"/>
        <v>1.4133397336315467E-2</v>
      </c>
      <c r="BF96" s="346"/>
      <c r="BG96" s="390">
        <f t="shared" si="101"/>
        <v>4.7808381758616247E-3</v>
      </c>
      <c r="BH96" s="390">
        <f t="shared" si="102"/>
        <v>9.5390462391848705E-3</v>
      </c>
      <c r="BI96" s="390">
        <f t="shared" si="103"/>
        <v>1.4274731309678622E-2</v>
      </c>
      <c r="BJ96" s="390">
        <f t="shared" si="104"/>
        <v>1.8988000000000001E-2</v>
      </c>
      <c r="BK96" s="390">
        <f t="shared" si="105"/>
        <v>3.3754078800000066E-2</v>
      </c>
      <c r="BL96" s="390">
        <f t="shared" si="106"/>
        <v>4.6445275775600071E-2</v>
      </c>
      <c r="BM96" s="390">
        <f t="shared" si="107"/>
        <v>5.7815221521448065E-2</v>
      </c>
      <c r="BN96" s="390">
        <f t="shared" si="108"/>
        <v>6.8289254084712134E-2</v>
      </c>
      <c r="BO96" s="390">
        <f t="shared" si="109"/>
        <v>1.8988000000000001E-2</v>
      </c>
      <c r="BP96" s="390">
        <f t="shared" si="110"/>
        <v>5.7815221521448065E-2</v>
      </c>
      <c r="BQ96" s="347"/>
      <c r="BR96" s="355"/>
      <c r="BS96" s="355"/>
      <c r="BT96" s="355"/>
      <c r="BU96" s="390">
        <f>IFERROR(AL96*$BS$2+BG96*$BS$4+Q96*$BS$3,VLOOKUP(A96,'Updated Ncino PD'!A:K,4,FALSE))</f>
        <v>4.7347418888864087E-3</v>
      </c>
      <c r="BV96" s="390">
        <f>IFERROR(AM96*$BS$2+BH96*$BS$4+R96*$BS$3,VLOOKUP(A96,'Updated Ncino PD'!A:K,5,FALSE))</f>
        <v>9.4472865526907968E-3</v>
      </c>
      <c r="BW96" s="390">
        <f>IFERROR(AN96*$BS$2+BI96*$BS$4+S96*$BS$3,VLOOKUP(A96,'Updated Ncino PD'!A:K,6,FALSE))</f>
        <v>1.4137738062140359E-2</v>
      </c>
      <c r="BX96" s="390">
        <f>IFERROR(AO96*$BS$2+BJ96*$BS$4+T96*$BS$3,VLOOKUP(A96,'Updated Ncino PD'!A:K,7,FALSE))</f>
        <v>1.8806199999999999E-2</v>
      </c>
      <c r="BY96" s="390">
        <f>IFERROR(AP96*$BS$2+BK96*$BS$4+U96*$BS$3,VLOOKUP(A96,'Updated Ncino PD'!A:K,8,FALSE))</f>
        <v>3.3456029820000018E-2</v>
      </c>
      <c r="BZ96" s="390">
        <f>IFERROR(AQ96*$BS$2+BL96*$BS$4+V96*$BS$3,VLOOKUP(A96,'Updated Ncino PD'!A:K,9,FALSE))</f>
        <v>4.6092496872170027E-2</v>
      </c>
      <c r="CA96" s="390">
        <f>IFERROR(AR96*$BS$2+BM96*$BS$4+W96*$BS$3,VLOOKUP(A96,'Updated Ncino PD'!A:K,10,FALSE))</f>
        <v>5.7408756847734672E-2</v>
      </c>
      <c r="CB96" s="390">
        <f>IFERROR(AS96*$BS$2+BN96*$BS$4+X96*$BS$3,VLOOKUP(A96,'Updated Ncino PD'!A:K,11,FALSE))</f>
        <v>6.7830088789233495E-2</v>
      </c>
      <c r="CC96" s="390">
        <f t="shared" si="111"/>
        <v>1.8806199999999999E-2</v>
      </c>
      <c r="CD96" s="390">
        <f t="shared" si="112"/>
        <v>5.7408756847734672E-2</v>
      </c>
      <c r="CE96" s="355"/>
      <c r="CF96" s="450">
        <f t="shared" si="113"/>
        <v>1.8619999999999998E-2</v>
      </c>
      <c r="CG96" s="450">
        <f t="shared" si="114"/>
        <v>1.4780000000000001E-2</v>
      </c>
      <c r="CH96" s="450">
        <f t="shared" si="115"/>
        <v>1.294E-2</v>
      </c>
      <c r="CI96" s="450">
        <f t="shared" si="116"/>
        <v>1.174E-2</v>
      </c>
      <c r="CJ96" s="450">
        <f t="shared" si="117"/>
        <v>1.094E-2</v>
      </c>
    </row>
    <row r="97" spans="1:88" hidden="1" x14ac:dyDescent="0.25">
      <c r="A97" s="400">
        <v>1100000257</v>
      </c>
      <c r="B97" s="455" t="str">
        <f>VLOOKUP(A97,'Loan Book Summary'!C:G,5,FALSE)</f>
        <v>0015800000z8vOY</v>
      </c>
      <c r="C97" s="167">
        <f>VLOOKUP(A97,'Ref-Data'!$A:$I,9,0)</f>
        <v>1</v>
      </c>
      <c r="D97" s="445">
        <f>VLOOKUP(A97,'Adjustment Factor'!A:C,3,0)</f>
        <v>1.01</v>
      </c>
      <c r="E97" s="446">
        <f>VLOOKUP(A97,'Ref-Data'!A:C,2,FALSE)</f>
        <v>7774000</v>
      </c>
      <c r="F97" s="445">
        <f>VLOOKUP(A97,'Ref-Data'!$A:$F,6,FALSE)</f>
        <v>3.5044490075290895</v>
      </c>
      <c r="G97" s="346"/>
      <c r="H97" s="273">
        <f>VLOOKUP($B97, 'Output 96% Downside'!$A:$CW,42,FALSE)</f>
        <v>1.8800000000000001E-2</v>
      </c>
      <c r="I97" s="273">
        <f>VLOOKUP($B97, 'Output 96% Downside'!$A:$CW,43,FALSE)</f>
        <v>1.49E-2</v>
      </c>
      <c r="J97" s="273">
        <f>VLOOKUP($B97, 'Output 96% Downside'!$A:$CW,44,FALSE)</f>
        <v>1.2999999999999999E-2</v>
      </c>
      <c r="K97" s="273">
        <f>VLOOKUP($B97, 'Output 96% Downside'!$A:$CW,45,FALSE)</f>
        <v>1.18E-2</v>
      </c>
      <c r="L97" s="273">
        <f>VLOOKUP($B97, 'Output 96% Downside'!$A:$CW,46,FALSE)</f>
        <v>1.0999999999999999E-2</v>
      </c>
      <c r="M97" s="447">
        <f t="shared" si="72"/>
        <v>4.7335031444174502E-3</v>
      </c>
      <c r="N97" s="447">
        <f t="shared" si="73"/>
        <v>9.4446002368167026E-3</v>
      </c>
      <c r="O97" s="447">
        <f t="shared" si="74"/>
        <v>1.4133397336315467E-2</v>
      </c>
      <c r="P97" s="346"/>
      <c r="Q97" s="390">
        <f t="shared" si="75"/>
        <v>4.7808381758616247E-3</v>
      </c>
      <c r="R97" s="390">
        <f t="shared" si="76"/>
        <v>9.5390462391848705E-3</v>
      </c>
      <c r="S97" s="390">
        <f t="shared" si="77"/>
        <v>1.4274731309678622E-2</v>
      </c>
      <c r="T97" s="390">
        <f t="shared" si="78"/>
        <v>1.8988000000000001E-2</v>
      </c>
      <c r="U97" s="390">
        <f t="shared" si="79"/>
        <v>3.3754078800000066E-2</v>
      </c>
      <c r="V97" s="390">
        <f t="shared" si="80"/>
        <v>4.6445275775600071E-2</v>
      </c>
      <c r="W97" s="390">
        <f t="shared" si="81"/>
        <v>5.7815221521448065E-2</v>
      </c>
      <c r="X97" s="390">
        <f t="shared" si="82"/>
        <v>6.8289254084712134E-2</v>
      </c>
      <c r="Y97" s="390">
        <f t="shared" si="83"/>
        <v>1.8988000000000001E-2</v>
      </c>
      <c r="Z97" s="390">
        <f t="shared" si="84"/>
        <v>5.7815221521448065E-2</v>
      </c>
      <c r="AA97" s="355"/>
      <c r="AB97" s="355"/>
      <c r="AC97" s="273">
        <f>VLOOKUP($B97, 'Output Baseline'!$A:$CW,42,FALSE)</f>
        <v>1.8499999999999999E-2</v>
      </c>
      <c r="AD97" s="273">
        <f>VLOOKUP($B97, 'Output Baseline'!$A:$CW,43,FALSE)</f>
        <v>1.47E-2</v>
      </c>
      <c r="AE97" s="273">
        <f>VLOOKUP($B97, 'Output Baseline'!$A:$CW,44,FALSE)</f>
        <v>1.29E-2</v>
      </c>
      <c r="AF97" s="273">
        <f>VLOOKUP($B97, 'Output Baseline'!$A:$CW,45,FALSE)</f>
        <v>1.17E-2</v>
      </c>
      <c r="AG97" s="273">
        <f>VLOOKUP($B97, 'Output Baseline'!$A:$CW,46,FALSE)</f>
        <v>1.09E-2</v>
      </c>
      <c r="AH97" s="447">
        <f t="shared" si="85"/>
        <v>4.6574366642603282E-3</v>
      </c>
      <c r="AI97" s="447">
        <f t="shared" si="86"/>
        <v>9.293181612239021E-3</v>
      </c>
      <c r="AJ97" s="447">
        <f t="shared" si="87"/>
        <v>1.3907335871730875E-2</v>
      </c>
      <c r="AK97" s="346"/>
      <c r="AL97" s="390">
        <f t="shared" si="88"/>
        <v>4.7040110309029314E-3</v>
      </c>
      <c r="AM97" s="390">
        <f t="shared" si="89"/>
        <v>9.3861134283614121E-3</v>
      </c>
      <c r="AN97" s="390">
        <f t="shared" si="90"/>
        <v>1.4046409230448184E-2</v>
      </c>
      <c r="AO97" s="390">
        <f t="shared" si="91"/>
        <v>1.8685E-2</v>
      </c>
      <c r="AP97" s="390">
        <f t="shared" si="92"/>
        <v>3.3257330499999987E-2</v>
      </c>
      <c r="AQ97" s="390">
        <f t="shared" si="93"/>
        <v>4.5857310936550003E-2</v>
      </c>
      <c r="AR97" s="390">
        <f t="shared" si="94"/>
        <v>5.7137780398592415E-2</v>
      </c>
      <c r="AS97" s="390">
        <f t="shared" si="95"/>
        <v>6.7523978592247735E-2</v>
      </c>
      <c r="AT97" s="390">
        <f t="shared" si="96"/>
        <v>1.8685E-2</v>
      </c>
      <c r="AU97" s="390">
        <f t="shared" si="97"/>
        <v>5.7137780398592415E-2</v>
      </c>
      <c r="AV97" s="355"/>
      <c r="AW97" s="355"/>
      <c r="AX97" s="273">
        <f>VLOOKUP($B97, 'Output 90% Downside'!$A:$CW,42,FALSE)</f>
        <v>1.8800000000000001E-2</v>
      </c>
      <c r="AY97" s="273">
        <f>VLOOKUP($B97, 'Output 90% Downside'!$A:$CW,43,FALSE)</f>
        <v>1.49E-2</v>
      </c>
      <c r="AZ97" s="273">
        <f>VLOOKUP($B97, 'Output 90% Downside'!$A:$CW,44,FALSE)</f>
        <v>1.2999999999999999E-2</v>
      </c>
      <c r="BA97" s="273">
        <f>VLOOKUP($B97, 'Output 90% Downside'!$A:$CW,45,FALSE)</f>
        <v>1.18E-2</v>
      </c>
      <c r="BB97" s="273">
        <f>VLOOKUP($B97, 'Output 90% Downside'!$A:$CW,46,FALSE)</f>
        <v>1.0999999999999999E-2</v>
      </c>
      <c r="BC97" s="447">
        <f t="shared" si="98"/>
        <v>4.7335031444174502E-3</v>
      </c>
      <c r="BD97" s="447">
        <f t="shared" si="99"/>
        <v>9.4446002368167026E-3</v>
      </c>
      <c r="BE97" s="447">
        <f t="shared" si="100"/>
        <v>1.4133397336315467E-2</v>
      </c>
      <c r="BF97" s="346"/>
      <c r="BG97" s="390">
        <f t="shared" si="101"/>
        <v>4.7808381758616247E-3</v>
      </c>
      <c r="BH97" s="390">
        <f t="shared" si="102"/>
        <v>9.5390462391848705E-3</v>
      </c>
      <c r="BI97" s="390">
        <f t="shared" si="103"/>
        <v>1.4274731309678622E-2</v>
      </c>
      <c r="BJ97" s="390">
        <f t="shared" si="104"/>
        <v>1.8988000000000001E-2</v>
      </c>
      <c r="BK97" s="390">
        <f t="shared" si="105"/>
        <v>3.3754078800000066E-2</v>
      </c>
      <c r="BL97" s="390">
        <f t="shared" si="106"/>
        <v>4.6445275775600071E-2</v>
      </c>
      <c r="BM97" s="390">
        <f t="shared" si="107"/>
        <v>5.7815221521448065E-2</v>
      </c>
      <c r="BN97" s="390">
        <f t="shared" si="108"/>
        <v>6.8289254084712134E-2</v>
      </c>
      <c r="BO97" s="390">
        <f t="shared" si="109"/>
        <v>1.8988000000000001E-2</v>
      </c>
      <c r="BP97" s="390">
        <f t="shared" si="110"/>
        <v>5.7815221521448065E-2</v>
      </c>
      <c r="BQ97" s="347"/>
      <c r="BR97" s="355"/>
      <c r="BS97" s="355"/>
      <c r="BT97" s="355"/>
      <c r="BU97" s="390">
        <f>IFERROR(AL97*$BS$2+BG97*$BS$4+Q97*$BS$3,VLOOKUP(A97,'Updated Ncino PD'!A:K,4,FALSE))</f>
        <v>4.7347418888864087E-3</v>
      </c>
      <c r="BV97" s="390">
        <f>IFERROR(AM97*$BS$2+BH97*$BS$4+R97*$BS$3,VLOOKUP(A97,'Updated Ncino PD'!A:K,5,FALSE))</f>
        <v>9.4472865526907968E-3</v>
      </c>
      <c r="BW97" s="390">
        <f>IFERROR(AN97*$BS$2+BI97*$BS$4+S97*$BS$3,VLOOKUP(A97,'Updated Ncino PD'!A:K,6,FALSE))</f>
        <v>1.4137738062140359E-2</v>
      </c>
      <c r="BX97" s="390">
        <f>IFERROR(AO97*$BS$2+BJ97*$BS$4+T97*$BS$3,VLOOKUP(A97,'Updated Ncino PD'!A:K,7,FALSE))</f>
        <v>1.8806199999999999E-2</v>
      </c>
      <c r="BY97" s="390">
        <f>IFERROR(AP97*$BS$2+BK97*$BS$4+U97*$BS$3,VLOOKUP(A97,'Updated Ncino PD'!A:K,8,FALSE))</f>
        <v>3.3456029820000018E-2</v>
      </c>
      <c r="BZ97" s="390">
        <f>IFERROR(AQ97*$BS$2+BL97*$BS$4+V97*$BS$3,VLOOKUP(A97,'Updated Ncino PD'!A:K,9,FALSE))</f>
        <v>4.6092496872170027E-2</v>
      </c>
      <c r="CA97" s="390">
        <f>IFERROR(AR97*$BS$2+BM97*$BS$4+W97*$BS$3,VLOOKUP(A97,'Updated Ncino PD'!A:K,10,FALSE))</f>
        <v>5.7408756847734672E-2</v>
      </c>
      <c r="CB97" s="390">
        <f>IFERROR(AS97*$BS$2+BN97*$BS$4+X97*$BS$3,VLOOKUP(A97,'Updated Ncino PD'!A:K,11,FALSE))</f>
        <v>6.7830088789233495E-2</v>
      </c>
      <c r="CC97" s="390">
        <f t="shared" si="111"/>
        <v>1.8806199999999999E-2</v>
      </c>
      <c r="CD97" s="390">
        <f t="shared" si="112"/>
        <v>5.7408756847734672E-2</v>
      </c>
      <c r="CE97" s="355"/>
      <c r="CF97" s="450">
        <f t="shared" si="113"/>
        <v>1.8619999999999998E-2</v>
      </c>
      <c r="CG97" s="450">
        <f t="shared" si="114"/>
        <v>1.4780000000000001E-2</v>
      </c>
      <c r="CH97" s="450">
        <f t="shared" si="115"/>
        <v>1.294E-2</v>
      </c>
      <c r="CI97" s="450">
        <f t="shared" si="116"/>
        <v>1.174E-2</v>
      </c>
      <c r="CJ97" s="450">
        <f t="shared" si="117"/>
        <v>1.094E-2</v>
      </c>
    </row>
    <row r="98" spans="1:88" hidden="1" x14ac:dyDescent="0.25">
      <c r="A98" s="400">
        <v>1100000251</v>
      </c>
      <c r="B98" s="455" t="str">
        <f>VLOOKUP(A98,'Loan Book Summary'!C:G,5,FALSE)</f>
        <v>0015800000z8vOY</v>
      </c>
      <c r="C98" s="167">
        <f>VLOOKUP(A98,'Ref-Data'!$A:$I,9,0)</f>
        <v>1</v>
      </c>
      <c r="D98" s="445">
        <f>VLOOKUP(A98,'Adjustment Factor'!A:C,3,0)</f>
        <v>1.01</v>
      </c>
      <c r="E98" s="446">
        <f>VLOOKUP(A98,'Ref-Data'!A:C,2,FALSE)</f>
        <v>796000</v>
      </c>
      <c r="F98" s="445">
        <f>VLOOKUP(A98,'Ref-Data'!$A:$F,6,FALSE)</f>
        <v>3.5044490075290895</v>
      </c>
      <c r="G98" s="346"/>
      <c r="H98" s="273">
        <f>VLOOKUP($B98, 'Output 96% Downside'!$A:$CW,42,FALSE)</f>
        <v>1.8800000000000001E-2</v>
      </c>
      <c r="I98" s="273">
        <f>VLOOKUP($B98, 'Output 96% Downside'!$A:$CW,43,FALSE)</f>
        <v>1.49E-2</v>
      </c>
      <c r="J98" s="273">
        <f>VLOOKUP($B98, 'Output 96% Downside'!$A:$CW,44,FALSE)</f>
        <v>1.2999999999999999E-2</v>
      </c>
      <c r="K98" s="273">
        <f>VLOOKUP($B98, 'Output 96% Downside'!$A:$CW,45,FALSE)</f>
        <v>1.18E-2</v>
      </c>
      <c r="L98" s="273">
        <f>VLOOKUP($B98, 'Output 96% Downside'!$A:$CW,46,FALSE)</f>
        <v>1.0999999999999999E-2</v>
      </c>
      <c r="M98" s="447">
        <f t="shared" si="72"/>
        <v>4.7335031444174502E-3</v>
      </c>
      <c r="N98" s="447">
        <f t="shared" si="73"/>
        <v>9.4446002368167026E-3</v>
      </c>
      <c r="O98" s="447">
        <f t="shared" si="74"/>
        <v>1.4133397336315467E-2</v>
      </c>
      <c r="P98" s="346"/>
      <c r="Q98" s="390">
        <f t="shared" si="75"/>
        <v>4.7808381758616247E-3</v>
      </c>
      <c r="R98" s="390">
        <f t="shared" si="76"/>
        <v>9.5390462391848705E-3</v>
      </c>
      <c r="S98" s="390">
        <f t="shared" si="77"/>
        <v>1.4274731309678622E-2</v>
      </c>
      <c r="T98" s="390">
        <f t="shared" si="78"/>
        <v>1.8988000000000001E-2</v>
      </c>
      <c r="U98" s="390">
        <f t="shared" si="79"/>
        <v>3.3754078800000066E-2</v>
      </c>
      <c r="V98" s="390">
        <f t="shared" si="80"/>
        <v>4.6445275775600071E-2</v>
      </c>
      <c r="W98" s="390">
        <f t="shared" si="81"/>
        <v>5.7815221521448065E-2</v>
      </c>
      <c r="X98" s="390">
        <f t="shared" si="82"/>
        <v>6.8289254084712134E-2</v>
      </c>
      <c r="Y98" s="390">
        <f t="shared" si="83"/>
        <v>1.8988000000000001E-2</v>
      </c>
      <c r="Z98" s="390">
        <f t="shared" si="84"/>
        <v>5.7815221521448065E-2</v>
      </c>
      <c r="AA98" s="355"/>
      <c r="AB98" s="355"/>
      <c r="AC98" s="273">
        <f>VLOOKUP($B98, 'Output Baseline'!$A:$CW,42,FALSE)</f>
        <v>1.8499999999999999E-2</v>
      </c>
      <c r="AD98" s="273">
        <f>VLOOKUP($B98, 'Output Baseline'!$A:$CW,43,FALSE)</f>
        <v>1.47E-2</v>
      </c>
      <c r="AE98" s="273">
        <f>VLOOKUP($B98, 'Output Baseline'!$A:$CW,44,FALSE)</f>
        <v>1.29E-2</v>
      </c>
      <c r="AF98" s="273">
        <f>VLOOKUP($B98, 'Output Baseline'!$A:$CW,45,FALSE)</f>
        <v>1.17E-2</v>
      </c>
      <c r="AG98" s="273">
        <f>VLOOKUP($B98, 'Output Baseline'!$A:$CW,46,FALSE)</f>
        <v>1.09E-2</v>
      </c>
      <c r="AH98" s="447">
        <f t="shared" si="85"/>
        <v>4.6574366642603282E-3</v>
      </c>
      <c r="AI98" s="447">
        <f t="shared" si="86"/>
        <v>9.293181612239021E-3</v>
      </c>
      <c r="AJ98" s="447">
        <f t="shared" si="87"/>
        <v>1.3907335871730875E-2</v>
      </c>
      <c r="AK98" s="346"/>
      <c r="AL98" s="390">
        <f t="shared" si="88"/>
        <v>4.7040110309029314E-3</v>
      </c>
      <c r="AM98" s="390">
        <f t="shared" si="89"/>
        <v>9.3861134283614121E-3</v>
      </c>
      <c r="AN98" s="390">
        <f t="shared" si="90"/>
        <v>1.4046409230448184E-2</v>
      </c>
      <c r="AO98" s="390">
        <f t="shared" si="91"/>
        <v>1.8685E-2</v>
      </c>
      <c r="AP98" s="390">
        <f t="shared" si="92"/>
        <v>3.3257330499999987E-2</v>
      </c>
      <c r="AQ98" s="390">
        <f t="shared" si="93"/>
        <v>4.5857310936550003E-2</v>
      </c>
      <c r="AR98" s="390">
        <f t="shared" si="94"/>
        <v>5.7137780398592415E-2</v>
      </c>
      <c r="AS98" s="390">
        <f t="shared" si="95"/>
        <v>6.7523978592247735E-2</v>
      </c>
      <c r="AT98" s="390">
        <f t="shared" si="96"/>
        <v>1.8685E-2</v>
      </c>
      <c r="AU98" s="390">
        <f t="shared" si="97"/>
        <v>5.7137780398592415E-2</v>
      </c>
      <c r="AV98" s="355"/>
      <c r="AW98" s="355"/>
      <c r="AX98" s="273">
        <f>VLOOKUP($B98, 'Output 90% Downside'!$A:$CW,42,FALSE)</f>
        <v>1.8800000000000001E-2</v>
      </c>
      <c r="AY98" s="273">
        <f>VLOOKUP($B98, 'Output 90% Downside'!$A:$CW,43,FALSE)</f>
        <v>1.49E-2</v>
      </c>
      <c r="AZ98" s="273">
        <f>VLOOKUP($B98, 'Output 90% Downside'!$A:$CW,44,FALSE)</f>
        <v>1.2999999999999999E-2</v>
      </c>
      <c r="BA98" s="273">
        <f>VLOOKUP($B98, 'Output 90% Downside'!$A:$CW,45,FALSE)</f>
        <v>1.18E-2</v>
      </c>
      <c r="BB98" s="273">
        <f>VLOOKUP($B98, 'Output 90% Downside'!$A:$CW,46,FALSE)</f>
        <v>1.0999999999999999E-2</v>
      </c>
      <c r="BC98" s="447">
        <f t="shared" si="98"/>
        <v>4.7335031444174502E-3</v>
      </c>
      <c r="BD98" s="447">
        <f t="shared" si="99"/>
        <v>9.4446002368167026E-3</v>
      </c>
      <c r="BE98" s="447">
        <f t="shared" si="100"/>
        <v>1.4133397336315467E-2</v>
      </c>
      <c r="BF98" s="346"/>
      <c r="BG98" s="390">
        <f t="shared" si="101"/>
        <v>4.7808381758616247E-3</v>
      </c>
      <c r="BH98" s="390">
        <f t="shared" si="102"/>
        <v>9.5390462391848705E-3</v>
      </c>
      <c r="BI98" s="390">
        <f t="shared" si="103"/>
        <v>1.4274731309678622E-2</v>
      </c>
      <c r="BJ98" s="390">
        <f t="shared" si="104"/>
        <v>1.8988000000000001E-2</v>
      </c>
      <c r="BK98" s="390">
        <f t="shared" si="105"/>
        <v>3.3754078800000066E-2</v>
      </c>
      <c r="BL98" s="390">
        <f t="shared" si="106"/>
        <v>4.6445275775600071E-2</v>
      </c>
      <c r="BM98" s="390">
        <f t="shared" si="107"/>
        <v>5.7815221521448065E-2</v>
      </c>
      <c r="BN98" s="390">
        <f t="shared" si="108"/>
        <v>6.8289254084712134E-2</v>
      </c>
      <c r="BO98" s="390">
        <f t="shared" si="109"/>
        <v>1.8988000000000001E-2</v>
      </c>
      <c r="BP98" s="390">
        <f t="shared" si="110"/>
        <v>5.7815221521448065E-2</v>
      </c>
      <c r="BQ98" s="347"/>
      <c r="BR98" s="355"/>
      <c r="BS98" s="355"/>
      <c r="BT98" s="355"/>
      <c r="BU98" s="390">
        <f>IFERROR(AL98*$BS$2+BG98*$BS$4+Q98*$BS$3,VLOOKUP(A98,'Updated Ncino PD'!A:K,4,FALSE))</f>
        <v>4.7347418888864087E-3</v>
      </c>
      <c r="BV98" s="390">
        <f>IFERROR(AM98*$BS$2+BH98*$BS$4+R98*$BS$3,VLOOKUP(A98,'Updated Ncino PD'!A:K,5,FALSE))</f>
        <v>9.4472865526907968E-3</v>
      </c>
      <c r="BW98" s="390">
        <f>IFERROR(AN98*$BS$2+BI98*$BS$4+S98*$BS$3,VLOOKUP(A98,'Updated Ncino PD'!A:K,6,FALSE))</f>
        <v>1.4137738062140359E-2</v>
      </c>
      <c r="BX98" s="390">
        <f>IFERROR(AO98*$BS$2+BJ98*$BS$4+T98*$BS$3,VLOOKUP(A98,'Updated Ncino PD'!A:K,7,FALSE))</f>
        <v>1.8806199999999999E-2</v>
      </c>
      <c r="BY98" s="390">
        <f>IFERROR(AP98*$BS$2+BK98*$BS$4+U98*$BS$3,VLOOKUP(A98,'Updated Ncino PD'!A:K,8,FALSE))</f>
        <v>3.3456029820000018E-2</v>
      </c>
      <c r="BZ98" s="390">
        <f>IFERROR(AQ98*$BS$2+BL98*$BS$4+V98*$BS$3,VLOOKUP(A98,'Updated Ncino PD'!A:K,9,FALSE))</f>
        <v>4.6092496872170027E-2</v>
      </c>
      <c r="CA98" s="390">
        <f>IFERROR(AR98*$BS$2+BM98*$BS$4+W98*$BS$3,VLOOKUP(A98,'Updated Ncino PD'!A:K,10,FALSE))</f>
        <v>5.7408756847734672E-2</v>
      </c>
      <c r="CB98" s="390">
        <f>IFERROR(AS98*$BS$2+BN98*$BS$4+X98*$BS$3,VLOOKUP(A98,'Updated Ncino PD'!A:K,11,FALSE))</f>
        <v>6.7830088789233495E-2</v>
      </c>
      <c r="CC98" s="390">
        <f t="shared" si="111"/>
        <v>1.8806199999999999E-2</v>
      </c>
      <c r="CD98" s="390">
        <f t="shared" si="112"/>
        <v>5.7408756847734672E-2</v>
      </c>
      <c r="CE98" s="355"/>
      <c r="CF98" s="450">
        <f t="shared" si="113"/>
        <v>1.8619999999999998E-2</v>
      </c>
      <c r="CG98" s="450">
        <f t="shared" si="114"/>
        <v>1.4780000000000001E-2</v>
      </c>
      <c r="CH98" s="450">
        <f t="shared" si="115"/>
        <v>1.294E-2</v>
      </c>
      <c r="CI98" s="450">
        <f t="shared" si="116"/>
        <v>1.174E-2</v>
      </c>
      <c r="CJ98" s="450">
        <f t="shared" si="117"/>
        <v>1.094E-2</v>
      </c>
    </row>
    <row r="99" spans="1:88" hidden="1" x14ac:dyDescent="0.25">
      <c r="A99" s="400">
        <v>1100000254</v>
      </c>
      <c r="B99" s="455" t="str">
        <f>VLOOKUP(A99,'Loan Book Summary'!C:G,5,FALSE)</f>
        <v>0015800000z8vOY</v>
      </c>
      <c r="C99" s="167">
        <f>VLOOKUP(A99,'Ref-Data'!$A:$I,9,0)</f>
        <v>1</v>
      </c>
      <c r="D99" s="445">
        <f>VLOOKUP(A99,'Adjustment Factor'!A:C,3,0)</f>
        <v>1.01</v>
      </c>
      <c r="E99" s="446">
        <f>VLOOKUP(A99,'Ref-Data'!A:C,2,FALSE)</f>
        <v>3000000</v>
      </c>
      <c r="F99" s="445">
        <f>VLOOKUP(A99,'Ref-Data'!$A:$F,6,FALSE)</f>
        <v>3.5044490075290895</v>
      </c>
      <c r="G99" s="346"/>
      <c r="H99" s="273">
        <f>VLOOKUP($B99, 'Output 96% Downside'!$A:$CW,42,FALSE)</f>
        <v>1.8800000000000001E-2</v>
      </c>
      <c r="I99" s="273">
        <f>VLOOKUP($B99, 'Output 96% Downside'!$A:$CW,43,FALSE)</f>
        <v>1.49E-2</v>
      </c>
      <c r="J99" s="273">
        <f>VLOOKUP($B99, 'Output 96% Downside'!$A:$CW,44,FALSE)</f>
        <v>1.2999999999999999E-2</v>
      </c>
      <c r="K99" s="273">
        <f>VLOOKUP($B99, 'Output 96% Downside'!$A:$CW,45,FALSE)</f>
        <v>1.18E-2</v>
      </c>
      <c r="L99" s="273">
        <f>VLOOKUP($B99, 'Output 96% Downside'!$A:$CW,46,FALSE)</f>
        <v>1.0999999999999999E-2</v>
      </c>
      <c r="M99" s="447">
        <f t="shared" si="72"/>
        <v>4.7335031444174502E-3</v>
      </c>
      <c r="N99" s="447">
        <f t="shared" si="73"/>
        <v>9.4446002368167026E-3</v>
      </c>
      <c r="O99" s="447">
        <f t="shared" si="74"/>
        <v>1.4133397336315467E-2</v>
      </c>
      <c r="P99" s="346"/>
      <c r="Q99" s="390">
        <f t="shared" si="75"/>
        <v>4.7808381758616247E-3</v>
      </c>
      <c r="R99" s="390">
        <f t="shared" si="76"/>
        <v>9.5390462391848705E-3</v>
      </c>
      <c r="S99" s="390">
        <f t="shared" si="77"/>
        <v>1.4274731309678622E-2</v>
      </c>
      <c r="T99" s="390">
        <f t="shared" si="78"/>
        <v>1.8988000000000001E-2</v>
      </c>
      <c r="U99" s="390">
        <f t="shared" si="79"/>
        <v>3.3754078800000066E-2</v>
      </c>
      <c r="V99" s="390">
        <f t="shared" si="80"/>
        <v>4.6445275775600071E-2</v>
      </c>
      <c r="W99" s="390">
        <f t="shared" si="81"/>
        <v>5.7815221521448065E-2</v>
      </c>
      <c r="X99" s="390">
        <f t="shared" si="82"/>
        <v>6.8289254084712134E-2</v>
      </c>
      <c r="Y99" s="390">
        <f t="shared" si="83"/>
        <v>1.8988000000000001E-2</v>
      </c>
      <c r="Z99" s="390">
        <f t="shared" si="84"/>
        <v>5.7815221521448065E-2</v>
      </c>
      <c r="AA99" s="355"/>
      <c r="AB99" s="355"/>
      <c r="AC99" s="273">
        <f>VLOOKUP($B99, 'Output Baseline'!$A:$CW,42,FALSE)</f>
        <v>1.8499999999999999E-2</v>
      </c>
      <c r="AD99" s="273">
        <f>VLOOKUP($B99, 'Output Baseline'!$A:$CW,43,FALSE)</f>
        <v>1.47E-2</v>
      </c>
      <c r="AE99" s="273">
        <f>VLOOKUP($B99, 'Output Baseline'!$A:$CW,44,FALSE)</f>
        <v>1.29E-2</v>
      </c>
      <c r="AF99" s="273">
        <f>VLOOKUP($B99, 'Output Baseline'!$A:$CW,45,FALSE)</f>
        <v>1.17E-2</v>
      </c>
      <c r="AG99" s="273">
        <f>VLOOKUP($B99, 'Output Baseline'!$A:$CW,46,FALSE)</f>
        <v>1.09E-2</v>
      </c>
      <c r="AH99" s="447">
        <f t="shared" si="85"/>
        <v>4.6574366642603282E-3</v>
      </c>
      <c r="AI99" s="447">
        <f t="shared" si="86"/>
        <v>9.293181612239021E-3</v>
      </c>
      <c r="AJ99" s="447">
        <f t="shared" si="87"/>
        <v>1.3907335871730875E-2</v>
      </c>
      <c r="AK99" s="346"/>
      <c r="AL99" s="390">
        <f t="shared" si="88"/>
        <v>4.7040110309029314E-3</v>
      </c>
      <c r="AM99" s="390">
        <f t="shared" si="89"/>
        <v>9.3861134283614121E-3</v>
      </c>
      <c r="AN99" s="390">
        <f t="shared" si="90"/>
        <v>1.4046409230448184E-2</v>
      </c>
      <c r="AO99" s="390">
        <f t="shared" si="91"/>
        <v>1.8685E-2</v>
      </c>
      <c r="AP99" s="390">
        <f t="shared" si="92"/>
        <v>3.3257330499999987E-2</v>
      </c>
      <c r="AQ99" s="390">
        <f t="shared" si="93"/>
        <v>4.5857310936550003E-2</v>
      </c>
      <c r="AR99" s="390">
        <f t="shared" si="94"/>
        <v>5.7137780398592415E-2</v>
      </c>
      <c r="AS99" s="390">
        <f t="shared" si="95"/>
        <v>6.7523978592247735E-2</v>
      </c>
      <c r="AT99" s="390">
        <f t="shared" si="96"/>
        <v>1.8685E-2</v>
      </c>
      <c r="AU99" s="390">
        <f t="shared" si="97"/>
        <v>5.7137780398592415E-2</v>
      </c>
      <c r="AV99" s="355"/>
      <c r="AW99" s="355"/>
      <c r="AX99" s="273">
        <f>VLOOKUP($B99, 'Output 90% Downside'!$A:$CW,42,FALSE)</f>
        <v>1.8800000000000001E-2</v>
      </c>
      <c r="AY99" s="273">
        <f>VLOOKUP($B99, 'Output 90% Downside'!$A:$CW,43,FALSE)</f>
        <v>1.49E-2</v>
      </c>
      <c r="AZ99" s="273">
        <f>VLOOKUP($B99, 'Output 90% Downside'!$A:$CW,44,FALSE)</f>
        <v>1.2999999999999999E-2</v>
      </c>
      <c r="BA99" s="273">
        <f>VLOOKUP($B99, 'Output 90% Downside'!$A:$CW,45,FALSE)</f>
        <v>1.18E-2</v>
      </c>
      <c r="BB99" s="273">
        <f>VLOOKUP($B99, 'Output 90% Downside'!$A:$CW,46,FALSE)</f>
        <v>1.0999999999999999E-2</v>
      </c>
      <c r="BC99" s="447">
        <f t="shared" si="98"/>
        <v>4.7335031444174502E-3</v>
      </c>
      <c r="BD99" s="447">
        <f t="shared" si="99"/>
        <v>9.4446002368167026E-3</v>
      </c>
      <c r="BE99" s="447">
        <f t="shared" si="100"/>
        <v>1.4133397336315467E-2</v>
      </c>
      <c r="BF99" s="346"/>
      <c r="BG99" s="390">
        <f t="shared" si="101"/>
        <v>4.7808381758616247E-3</v>
      </c>
      <c r="BH99" s="390">
        <f t="shared" si="102"/>
        <v>9.5390462391848705E-3</v>
      </c>
      <c r="BI99" s="390">
        <f t="shared" si="103"/>
        <v>1.4274731309678622E-2</v>
      </c>
      <c r="BJ99" s="390">
        <f t="shared" si="104"/>
        <v>1.8988000000000001E-2</v>
      </c>
      <c r="BK99" s="390">
        <f t="shared" si="105"/>
        <v>3.3754078800000066E-2</v>
      </c>
      <c r="BL99" s="390">
        <f t="shared" si="106"/>
        <v>4.6445275775600071E-2</v>
      </c>
      <c r="BM99" s="390">
        <f t="shared" si="107"/>
        <v>5.7815221521448065E-2</v>
      </c>
      <c r="BN99" s="390">
        <f t="shared" si="108"/>
        <v>6.8289254084712134E-2</v>
      </c>
      <c r="BO99" s="390">
        <f t="shared" si="109"/>
        <v>1.8988000000000001E-2</v>
      </c>
      <c r="BP99" s="390">
        <f t="shared" si="110"/>
        <v>5.7815221521448065E-2</v>
      </c>
      <c r="BQ99" s="347"/>
      <c r="BR99" s="355"/>
      <c r="BS99" s="355"/>
      <c r="BT99" s="355"/>
      <c r="BU99" s="390">
        <f>IFERROR(AL99*$BS$2+BG99*$BS$4+Q99*$BS$3,VLOOKUP(A99,'Updated Ncino PD'!A:K,4,FALSE))</f>
        <v>4.7347418888864087E-3</v>
      </c>
      <c r="BV99" s="390">
        <f>IFERROR(AM99*$BS$2+BH99*$BS$4+R99*$BS$3,VLOOKUP(A99,'Updated Ncino PD'!A:K,5,FALSE))</f>
        <v>9.4472865526907968E-3</v>
      </c>
      <c r="BW99" s="390">
        <f>IFERROR(AN99*$BS$2+BI99*$BS$4+S99*$BS$3,VLOOKUP(A99,'Updated Ncino PD'!A:K,6,FALSE))</f>
        <v>1.4137738062140359E-2</v>
      </c>
      <c r="BX99" s="390">
        <f>IFERROR(AO99*$BS$2+BJ99*$BS$4+T99*$BS$3,VLOOKUP(A99,'Updated Ncino PD'!A:K,7,FALSE))</f>
        <v>1.8806199999999999E-2</v>
      </c>
      <c r="BY99" s="390">
        <f>IFERROR(AP99*$BS$2+BK99*$BS$4+U99*$BS$3,VLOOKUP(A99,'Updated Ncino PD'!A:K,8,FALSE))</f>
        <v>3.3456029820000018E-2</v>
      </c>
      <c r="BZ99" s="390">
        <f>IFERROR(AQ99*$BS$2+BL99*$BS$4+V99*$BS$3,VLOOKUP(A99,'Updated Ncino PD'!A:K,9,FALSE))</f>
        <v>4.6092496872170027E-2</v>
      </c>
      <c r="CA99" s="390">
        <f>IFERROR(AR99*$BS$2+BM99*$BS$4+W99*$BS$3,VLOOKUP(A99,'Updated Ncino PD'!A:K,10,FALSE))</f>
        <v>5.7408756847734672E-2</v>
      </c>
      <c r="CB99" s="390">
        <f>IFERROR(AS99*$BS$2+BN99*$BS$4+X99*$BS$3,VLOOKUP(A99,'Updated Ncino PD'!A:K,11,FALSE))</f>
        <v>6.7830088789233495E-2</v>
      </c>
      <c r="CC99" s="390">
        <f t="shared" si="111"/>
        <v>1.8806199999999999E-2</v>
      </c>
      <c r="CD99" s="390">
        <f t="shared" si="112"/>
        <v>5.7408756847734672E-2</v>
      </c>
      <c r="CE99" s="355"/>
      <c r="CF99" s="450">
        <f t="shared" si="113"/>
        <v>1.8619999999999998E-2</v>
      </c>
      <c r="CG99" s="450">
        <f t="shared" si="114"/>
        <v>1.4780000000000001E-2</v>
      </c>
      <c r="CH99" s="450">
        <f t="shared" si="115"/>
        <v>1.294E-2</v>
      </c>
      <c r="CI99" s="450">
        <f t="shared" si="116"/>
        <v>1.174E-2</v>
      </c>
      <c r="CJ99" s="450">
        <f t="shared" si="117"/>
        <v>1.094E-2</v>
      </c>
    </row>
    <row r="100" spans="1:88" hidden="1" x14ac:dyDescent="0.25">
      <c r="A100" s="400">
        <v>1100000256</v>
      </c>
      <c r="B100" s="455" t="str">
        <f>VLOOKUP(A100,'Loan Book Summary'!C:G,5,FALSE)</f>
        <v>0015800000z8vOY</v>
      </c>
      <c r="C100" s="167">
        <f>VLOOKUP(A100,'Ref-Data'!$A:$I,9,0)</f>
        <v>1</v>
      </c>
      <c r="D100" s="445">
        <f>VLOOKUP(A100,'Adjustment Factor'!A:C,3,0)</f>
        <v>1.01</v>
      </c>
      <c r="E100" s="446">
        <f>VLOOKUP(A100,'Ref-Data'!A:C,2,FALSE)</f>
        <v>1000000</v>
      </c>
      <c r="F100" s="445">
        <f>VLOOKUP(A100,'Ref-Data'!$A:$F,6,FALSE)</f>
        <v>3.5044490075290895</v>
      </c>
      <c r="G100" s="346"/>
      <c r="H100" s="273">
        <f>VLOOKUP($B100, 'Output 96% Downside'!$A:$CW,42,FALSE)</f>
        <v>1.8800000000000001E-2</v>
      </c>
      <c r="I100" s="273">
        <f>VLOOKUP($B100, 'Output 96% Downside'!$A:$CW,43,FALSE)</f>
        <v>1.49E-2</v>
      </c>
      <c r="J100" s="273">
        <f>VLOOKUP($B100, 'Output 96% Downside'!$A:$CW,44,FALSE)</f>
        <v>1.2999999999999999E-2</v>
      </c>
      <c r="K100" s="273">
        <f>VLOOKUP($B100, 'Output 96% Downside'!$A:$CW,45,FALSE)</f>
        <v>1.18E-2</v>
      </c>
      <c r="L100" s="273">
        <f>VLOOKUP($B100, 'Output 96% Downside'!$A:$CW,46,FALSE)</f>
        <v>1.0999999999999999E-2</v>
      </c>
      <c r="M100" s="447">
        <f t="shared" si="72"/>
        <v>4.7335031444174502E-3</v>
      </c>
      <c r="N100" s="447">
        <f t="shared" si="73"/>
        <v>9.4446002368167026E-3</v>
      </c>
      <c r="O100" s="447">
        <f t="shared" si="74"/>
        <v>1.4133397336315467E-2</v>
      </c>
      <c r="P100" s="346"/>
      <c r="Q100" s="390">
        <f t="shared" si="75"/>
        <v>4.7808381758616247E-3</v>
      </c>
      <c r="R100" s="390">
        <f t="shared" si="76"/>
        <v>9.5390462391848705E-3</v>
      </c>
      <c r="S100" s="390">
        <f t="shared" si="77"/>
        <v>1.4274731309678622E-2</v>
      </c>
      <c r="T100" s="390">
        <f t="shared" si="78"/>
        <v>1.8988000000000001E-2</v>
      </c>
      <c r="U100" s="390">
        <f t="shared" si="79"/>
        <v>3.3754078800000066E-2</v>
      </c>
      <c r="V100" s="390">
        <f t="shared" si="80"/>
        <v>4.6445275775600071E-2</v>
      </c>
      <c r="W100" s="390">
        <f t="shared" si="81"/>
        <v>5.7815221521448065E-2</v>
      </c>
      <c r="X100" s="390">
        <f t="shared" si="82"/>
        <v>6.8289254084712134E-2</v>
      </c>
      <c r="Y100" s="390">
        <f t="shared" si="83"/>
        <v>1.8988000000000001E-2</v>
      </c>
      <c r="Z100" s="390">
        <f t="shared" si="84"/>
        <v>5.7815221521448065E-2</v>
      </c>
      <c r="AA100" s="355"/>
      <c r="AB100" s="355"/>
      <c r="AC100" s="273">
        <f>VLOOKUP($B100, 'Output Baseline'!$A:$CW,42,FALSE)</f>
        <v>1.8499999999999999E-2</v>
      </c>
      <c r="AD100" s="273">
        <f>VLOOKUP($B100, 'Output Baseline'!$A:$CW,43,FALSE)</f>
        <v>1.47E-2</v>
      </c>
      <c r="AE100" s="273">
        <f>VLOOKUP($B100, 'Output Baseline'!$A:$CW,44,FALSE)</f>
        <v>1.29E-2</v>
      </c>
      <c r="AF100" s="273">
        <f>VLOOKUP($B100, 'Output Baseline'!$A:$CW,45,FALSE)</f>
        <v>1.17E-2</v>
      </c>
      <c r="AG100" s="273">
        <f>VLOOKUP($B100, 'Output Baseline'!$A:$CW,46,FALSE)</f>
        <v>1.09E-2</v>
      </c>
      <c r="AH100" s="447">
        <f t="shared" si="85"/>
        <v>4.6574366642603282E-3</v>
      </c>
      <c r="AI100" s="447">
        <f t="shared" si="86"/>
        <v>9.293181612239021E-3</v>
      </c>
      <c r="AJ100" s="447">
        <f t="shared" si="87"/>
        <v>1.3907335871730875E-2</v>
      </c>
      <c r="AK100" s="346"/>
      <c r="AL100" s="390">
        <f t="shared" si="88"/>
        <v>4.7040110309029314E-3</v>
      </c>
      <c r="AM100" s="390">
        <f t="shared" si="89"/>
        <v>9.3861134283614121E-3</v>
      </c>
      <c r="AN100" s="390">
        <f t="shared" si="90"/>
        <v>1.4046409230448184E-2</v>
      </c>
      <c r="AO100" s="390">
        <f t="shared" si="91"/>
        <v>1.8685E-2</v>
      </c>
      <c r="AP100" s="390">
        <f t="shared" si="92"/>
        <v>3.3257330499999987E-2</v>
      </c>
      <c r="AQ100" s="390">
        <f t="shared" si="93"/>
        <v>4.5857310936550003E-2</v>
      </c>
      <c r="AR100" s="390">
        <f t="shared" si="94"/>
        <v>5.7137780398592415E-2</v>
      </c>
      <c r="AS100" s="390">
        <f t="shared" si="95"/>
        <v>6.7523978592247735E-2</v>
      </c>
      <c r="AT100" s="390">
        <f t="shared" si="96"/>
        <v>1.8685E-2</v>
      </c>
      <c r="AU100" s="390">
        <f t="shared" si="97"/>
        <v>5.7137780398592415E-2</v>
      </c>
      <c r="AV100" s="355"/>
      <c r="AW100" s="355"/>
      <c r="AX100" s="273">
        <f>VLOOKUP($B100, 'Output 90% Downside'!$A:$CW,42,FALSE)</f>
        <v>1.8800000000000001E-2</v>
      </c>
      <c r="AY100" s="273">
        <f>VLOOKUP($B100, 'Output 90% Downside'!$A:$CW,43,FALSE)</f>
        <v>1.49E-2</v>
      </c>
      <c r="AZ100" s="273">
        <f>VLOOKUP($B100, 'Output 90% Downside'!$A:$CW,44,FALSE)</f>
        <v>1.2999999999999999E-2</v>
      </c>
      <c r="BA100" s="273">
        <f>VLOOKUP($B100, 'Output 90% Downside'!$A:$CW,45,FALSE)</f>
        <v>1.18E-2</v>
      </c>
      <c r="BB100" s="273">
        <f>VLOOKUP($B100, 'Output 90% Downside'!$A:$CW,46,FALSE)</f>
        <v>1.0999999999999999E-2</v>
      </c>
      <c r="BC100" s="447">
        <f t="shared" si="98"/>
        <v>4.7335031444174502E-3</v>
      </c>
      <c r="BD100" s="447">
        <f t="shared" si="99"/>
        <v>9.4446002368167026E-3</v>
      </c>
      <c r="BE100" s="447">
        <f t="shared" si="100"/>
        <v>1.4133397336315467E-2</v>
      </c>
      <c r="BF100" s="346"/>
      <c r="BG100" s="390">
        <f t="shared" si="101"/>
        <v>4.7808381758616247E-3</v>
      </c>
      <c r="BH100" s="390">
        <f t="shared" si="102"/>
        <v>9.5390462391848705E-3</v>
      </c>
      <c r="BI100" s="390">
        <f t="shared" si="103"/>
        <v>1.4274731309678622E-2</v>
      </c>
      <c r="BJ100" s="390">
        <f t="shared" si="104"/>
        <v>1.8988000000000001E-2</v>
      </c>
      <c r="BK100" s="390">
        <f t="shared" si="105"/>
        <v>3.3754078800000066E-2</v>
      </c>
      <c r="BL100" s="390">
        <f t="shared" si="106"/>
        <v>4.6445275775600071E-2</v>
      </c>
      <c r="BM100" s="390">
        <f t="shared" si="107"/>
        <v>5.7815221521448065E-2</v>
      </c>
      <c r="BN100" s="390">
        <f t="shared" si="108"/>
        <v>6.8289254084712134E-2</v>
      </c>
      <c r="BO100" s="390">
        <f t="shared" si="109"/>
        <v>1.8988000000000001E-2</v>
      </c>
      <c r="BP100" s="390">
        <f t="shared" si="110"/>
        <v>5.7815221521448065E-2</v>
      </c>
      <c r="BQ100" s="347"/>
      <c r="BR100" s="355"/>
      <c r="BS100" s="355"/>
      <c r="BT100" s="355"/>
      <c r="BU100" s="390">
        <f>IFERROR(AL100*$BS$2+BG100*$BS$4+Q100*$BS$3,VLOOKUP(A100,'Updated Ncino PD'!A:K,4,FALSE))</f>
        <v>4.7347418888864087E-3</v>
      </c>
      <c r="BV100" s="390">
        <f>IFERROR(AM100*$BS$2+BH100*$BS$4+R100*$BS$3,VLOOKUP(A100,'Updated Ncino PD'!A:K,5,FALSE))</f>
        <v>9.4472865526907968E-3</v>
      </c>
      <c r="BW100" s="390">
        <f>IFERROR(AN100*$BS$2+BI100*$BS$4+S100*$BS$3,VLOOKUP(A100,'Updated Ncino PD'!A:K,6,FALSE))</f>
        <v>1.4137738062140359E-2</v>
      </c>
      <c r="BX100" s="390">
        <f>IFERROR(AO100*$BS$2+BJ100*$BS$4+T100*$BS$3,VLOOKUP(A100,'Updated Ncino PD'!A:K,7,FALSE))</f>
        <v>1.8806199999999999E-2</v>
      </c>
      <c r="BY100" s="390">
        <f>IFERROR(AP100*$BS$2+BK100*$BS$4+U100*$BS$3,VLOOKUP(A100,'Updated Ncino PD'!A:K,8,FALSE))</f>
        <v>3.3456029820000018E-2</v>
      </c>
      <c r="BZ100" s="390">
        <f>IFERROR(AQ100*$BS$2+BL100*$BS$4+V100*$BS$3,VLOOKUP(A100,'Updated Ncino PD'!A:K,9,FALSE))</f>
        <v>4.6092496872170027E-2</v>
      </c>
      <c r="CA100" s="390">
        <f>IFERROR(AR100*$BS$2+BM100*$BS$4+W100*$BS$3,VLOOKUP(A100,'Updated Ncino PD'!A:K,10,FALSE))</f>
        <v>5.7408756847734672E-2</v>
      </c>
      <c r="CB100" s="390">
        <f>IFERROR(AS100*$BS$2+BN100*$BS$4+X100*$BS$3,VLOOKUP(A100,'Updated Ncino PD'!A:K,11,FALSE))</f>
        <v>6.7830088789233495E-2</v>
      </c>
      <c r="CC100" s="390">
        <f t="shared" si="111"/>
        <v>1.8806199999999999E-2</v>
      </c>
      <c r="CD100" s="390">
        <f t="shared" si="112"/>
        <v>5.7408756847734672E-2</v>
      </c>
      <c r="CE100" s="355"/>
      <c r="CF100" s="450">
        <f t="shared" si="113"/>
        <v>1.8619999999999998E-2</v>
      </c>
      <c r="CG100" s="450">
        <f t="shared" si="114"/>
        <v>1.4780000000000001E-2</v>
      </c>
      <c r="CH100" s="450">
        <f t="shared" si="115"/>
        <v>1.294E-2</v>
      </c>
      <c r="CI100" s="450">
        <f t="shared" si="116"/>
        <v>1.174E-2</v>
      </c>
      <c r="CJ100" s="450">
        <f t="shared" si="117"/>
        <v>1.094E-2</v>
      </c>
    </row>
    <row r="101" spans="1:88" hidden="1" x14ac:dyDescent="0.25">
      <c r="A101" s="400">
        <v>1100000268</v>
      </c>
      <c r="B101" s="455" t="str">
        <f>VLOOKUP(A101,'Loan Book Summary'!C:G,5,FALSE)</f>
        <v>0018e000003CXt8</v>
      </c>
      <c r="C101" s="167">
        <f>VLOOKUP(A101,'Ref-Data'!$A:$I,9,0)</f>
        <v>1</v>
      </c>
      <c r="D101" s="445">
        <f>VLOOKUP(A101,'Adjustment Factor'!A:C,3,0)</f>
        <v>0.78</v>
      </c>
      <c r="E101" s="446">
        <f>VLOOKUP(A101,'Ref-Data'!A:C,2,FALSE)</f>
        <v>4956140</v>
      </c>
      <c r="F101" s="445">
        <f>VLOOKUP(A101,'Ref-Data'!$A:$F,6,FALSE)</f>
        <v>4.6735112936344967</v>
      </c>
      <c r="G101" s="346"/>
      <c r="H101" s="273">
        <f>VLOOKUP($B101, 'Output 96% Downside'!$A:$CW,42,FALSE)</f>
        <v>6.0000000000000001E-3</v>
      </c>
      <c r="I101" s="273">
        <f>VLOOKUP($B101, 'Output 96% Downside'!$A:$CW,43,FALSE)</f>
        <v>7.7000000000000002E-3</v>
      </c>
      <c r="J101" s="273">
        <f>VLOOKUP($B101, 'Output 96% Downside'!$A:$CW,44,FALSE)</f>
        <v>8.9999999999999993E-3</v>
      </c>
      <c r="K101" s="273">
        <f>VLOOKUP($B101, 'Output 96% Downside'!$A:$CW,45,FALSE)</f>
        <v>1.01E-2</v>
      </c>
      <c r="L101" s="273">
        <f>VLOOKUP($B101, 'Output 96% Downside'!$A:$CW,46,FALSE)</f>
        <v>1.0999999999999999E-2</v>
      </c>
      <c r="M101" s="447">
        <f t="shared" si="72"/>
        <v>1.5033868614469093E-3</v>
      </c>
      <c r="N101" s="447">
        <f t="shared" si="73"/>
        <v>3.0045135508386389E-3</v>
      </c>
      <c r="O101" s="447">
        <f t="shared" si="74"/>
        <v>4.50338346608814E-3</v>
      </c>
      <c r="P101" s="346"/>
      <c r="Q101" s="390">
        <f t="shared" si="75"/>
        <v>1.1726417519285894E-3</v>
      </c>
      <c r="R101" s="390">
        <f t="shared" si="76"/>
        <v>2.3435205696541385E-3</v>
      </c>
      <c r="S101" s="390">
        <f t="shared" si="77"/>
        <v>3.5126391035487491E-3</v>
      </c>
      <c r="T101" s="390">
        <f t="shared" si="78"/>
        <v>4.6800000000000001E-3</v>
      </c>
      <c r="U101" s="390">
        <f t="shared" si="79"/>
        <v>1.064996400000004E-2</v>
      </c>
      <c r="V101" s="390">
        <f t="shared" si="80"/>
        <v>1.7574114324000082E-2</v>
      </c>
      <c r="W101" s="390">
        <f t="shared" si="81"/>
        <v>2.5274615769327696E-2</v>
      </c>
      <c r="X101" s="390">
        <f t="shared" si="82"/>
        <v>3.35765949958651E-2</v>
      </c>
      <c r="Y101" s="390">
        <f t="shared" si="83"/>
        <v>4.6800000000000001E-3</v>
      </c>
      <c r="Z101" s="390">
        <f t="shared" si="84"/>
        <v>3.35765949958651E-2</v>
      </c>
      <c r="AA101" s="355"/>
      <c r="AB101" s="355"/>
      <c r="AC101" s="273">
        <f>VLOOKUP($B101, 'Output Baseline'!$A:$CW,42,FALSE)</f>
        <v>2.8999999999999998E-3</v>
      </c>
      <c r="AD101" s="273">
        <f>VLOOKUP($B101, 'Output Baseline'!$A:$CW,43,FALSE)</f>
        <v>3.8E-3</v>
      </c>
      <c r="AE101" s="273">
        <f>VLOOKUP($B101, 'Output Baseline'!$A:$CW,44,FALSE)</f>
        <v>4.4000000000000003E-3</v>
      </c>
      <c r="AF101" s="273">
        <f>VLOOKUP($B101, 'Output Baseline'!$A:$CW,45,FALSE)</f>
        <v>4.8999999999999998E-3</v>
      </c>
      <c r="AG101" s="273">
        <f>VLOOKUP($B101, 'Output Baseline'!$A:$CW,46,FALSE)</f>
        <v>5.3E-3</v>
      </c>
      <c r="AH101" s="447">
        <f t="shared" si="85"/>
        <v>7.2578977393844557E-4</v>
      </c>
      <c r="AI101" s="447">
        <f t="shared" si="86"/>
        <v>1.4510527770809079E-3</v>
      </c>
      <c r="AJ101" s="447">
        <f t="shared" si="87"/>
        <v>2.1757893917523363E-3</v>
      </c>
      <c r="AK101" s="346"/>
      <c r="AL101" s="390">
        <f t="shared" si="88"/>
        <v>5.6611602367198752E-4</v>
      </c>
      <c r="AM101" s="390">
        <f t="shared" si="89"/>
        <v>1.1318211661231082E-3</v>
      </c>
      <c r="AN101" s="390">
        <f t="shared" si="90"/>
        <v>1.6971157255668225E-3</v>
      </c>
      <c r="AO101" s="390">
        <f t="shared" si="91"/>
        <v>2.2620000000000001E-3</v>
      </c>
      <c r="AP101" s="390">
        <f t="shared" si="92"/>
        <v>5.2174044000000523E-3</v>
      </c>
      <c r="AQ101" s="390">
        <f t="shared" si="93"/>
        <v>8.6264478206400461E-3</v>
      </c>
      <c r="AR101" s="390">
        <f t="shared" si="94"/>
        <v>1.2406178226318882E-2</v>
      </c>
      <c r="AS101" s="390">
        <f t="shared" si="95"/>
        <v>1.6474425481719374E-2</v>
      </c>
      <c r="AT101" s="390">
        <f t="shared" si="96"/>
        <v>2.2620000000000001E-3</v>
      </c>
      <c r="AU101" s="390">
        <f t="shared" si="97"/>
        <v>1.6474425481719374E-2</v>
      </c>
      <c r="AV101" s="355"/>
      <c r="AW101" s="355"/>
      <c r="AX101" s="273">
        <f>VLOOKUP($B101, 'Output 90% Downside'!$A:$CW,42,FALSE)</f>
        <v>5.1999999999999998E-3</v>
      </c>
      <c r="AY101" s="273">
        <f>VLOOKUP($B101, 'Output 90% Downside'!$A:$CW,43,FALSE)</f>
        <v>6.7999999999999996E-3</v>
      </c>
      <c r="AZ101" s="273">
        <f>VLOOKUP($B101, 'Output 90% Downside'!$A:$CW,44,FALSE)</f>
        <v>8.0000000000000002E-3</v>
      </c>
      <c r="BA101" s="273">
        <f>VLOOKUP($B101, 'Output 90% Downside'!$A:$CW,45,FALSE)</f>
        <v>8.9999999999999993E-3</v>
      </c>
      <c r="BB101" s="273">
        <f>VLOOKUP($B101, 'Output 90% Downside'!$A:$CW,46,FALSE)</f>
        <v>9.7999999999999997E-3</v>
      </c>
      <c r="BC101" s="447">
        <f t="shared" si="98"/>
        <v>1.3025427170976211E-3</v>
      </c>
      <c r="BD101" s="447">
        <f t="shared" si="99"/>
        <v>2.6033888166653307E-3</v>
      </c>
      <c r="BE101" s="447">
        <f t="shared" si="100"/>
        <v>3.9025405086200449E-3</v>
      </c>
      <c r="BF101" s="346"/>
      <c r="BG101" s="390">
        <f t="shared" si="101"/>
        <v>1.0159833193361446E-3</v>
      </c>
      <c r="BH101" s="390">
        <f t="shared" si="102"/>
        <v>2.030643276998958E-3</v>
      </c>
      <c r="BI101" s="390">
        <f t="shared" si="103"/>
        <v>3.0439815967236352E-3</v>
      </c>
      <c r="BJ101" s="390">
        <f t="shared" si="104"/>
        <v>4.0559999999999997E-3</v>
      </c>
      <c r="BK101" s="390">
        <f t="shared" si="105"/>
        <v>9.3324191999999782E-3</v>
      </c>
      <c r="BL101" s="390">
        <f t="shared" si="106"/>
        <v>1.5497759846399979E-2</v>
      </c>
      <c r="BM101" s="390">
        <f t="shared" si="107"/>
        <v>2.23782800077824E-2</v>
      </c>
      <c r="BN101" s="390">
        <f t="shared" si="108"/>
        <v>2.9802972863706177E-2</v>
      </c>
      <c r="BO101" s="390">
        <f t="shared" si="109"/>
        <v>4.0559999999999997E-3</v>
      </c>
      <c r="BP101" s="390">
        <f t="shared" si="110"/>
        <v>2.9802972863706177E-2</v>
      </c>
      <c r="BQ101" s="347"/>
      <c r="BR101" s="355"/>
      <c r="BS101" s="355"/>
      <c r="BT101" s="355"/>
      <c r="BU101" s="390">
        <f>IFERROR(AL101*$BS$2+BG101*$BS$4+Q101*$BS$3,VLOOKUP(A101,'Updated Ncino PD'!A:K,4,FALSE))</f>
        <v>7.5389586356727257E-4</v>
      </c>
      <c r="BV101" s="390">
        <f>IFERROR(AM101*$BS$2+BH101*$BS$4+R101*$BS$3,VLOOKUP(A101,'Updated Ncino PD'!A:K,5,FALSE))</f>
        <v>1.5069938751062072E-3</v>
      </c>
      <c r="BW101" s="390">
        <f>IFERROR(AN101*$BS$2+BI101*$BS$4+S101*$BS$3,VLOOKUP(A101,'Updated Ncino PD'!A:K,6,FALSE))</f>
        <v>2.2592949493708031E-3</v>
      </c>
      <c r="BX101" s="390">
        <f>IFERROR(AO101*$BS$2+BJ101*$BS$4+T101*$BS$3,VLOOKUP(A101,'Updated Ncino PD'!A:K,7,FALSE))</f>
        <v>3.0107999999999997E-3</v>
      </c>
      <c r="BY101" s="390">
        <f>IFERROR(AP101*$BS$2+BK101*$BS$4+U101*$BS$3,VLOOKUP(A101,'Updated Ncino PD'!A:K,8,FALSE))</f>
        <v>6.9292875600000256E-3</v>
      </c>
      <c r="BZ101" s="390">
        <f>IFERROR(AQ101*$BS$2+BL101*$BS$4+V101*$BS$3,VLOOKUP(A101,'Updated Ncino PD'!A:K,9,FALSE))</f>
        <v>1.1478790354824025E-2</v>
      </c>
      <c r="CA101" s="390">
        <f>IFERROR(AR101*$BS$2+BM101*$BS$4+W101*$BS$3,VLOOKUP(A101,'Updated Ncino PD'!A:K,10,FALSE))</f>
        <v>1.6539835726981554E-2</v>
      </c>
      <c r="CB101" s="390">
        <f>IFERROR(AS101*$BS$2+BN101*$BS$4+X101*$BS$3,VLOOKUP(A101,'Updated Ncino PD'!A:K,11,FALSE))</f>
        <v>2.199452554112204E-2</v>
      </c>
      <c r="CC101" s="390">
        <f t="shared" si="111"/>
        <v>3.0107999999999997E-3</v>
      </c>
      <c r="CD101" s="390">
        <f t="shared" si="112"/>
        <v>2.199452554112204E-2</v>
      </c>
      <c r="CE101" s="355"/>
      <c r="CF101" s="450">
        <f t="shared" si="113"/>
        <v>3.8599999999999997E-3</v>
      </c>
      <c r="CG101" s="450">
        <f t="shared" si="114"/>
        <v>5.0449999999999991E-3</v>
      </c>
      <c r="CH101" s="450">
        <f t="shared" si="115"/>
        <v>5.8899999999999994E-3</v>
      </c>
      <c r="CI101" s="450">
        <f t="shared" si="116"/>
        <v>6.5950000000000002E-3</v>
      </c>
      <c r="CJ101" s="450">
        <f t="shared" si="117"/>
        <v>7.1599999999999997E-3</v>
      </c>
    </row>
    <row r="102" spans="1:88" hidden="1" x14ac:dyDescent="0.25">
      <c r="A102" s="400">
        <v>1100000269</v>
      </c>
      <c r="B102" s="455" t="str">
        <f>VLOOKUP(A102,'Loan Book Summary'!C:G,5,FALSE)</f>
        <v>0018e000003CXt8</v>
      </c>
      <c r="C102" s="167">
        <f>VLOOKUP(A102,'Ref-Data'!$A:$I,9,0)</f>
        <v>1</v>
      </c>
      <c r="D102" s="445">
        <f>VLOOKUP(A102,'Adjustment Factor'!A:C,3,0)</f>
        <v>0.78</v>
      </c>
      <c r="E102" s="446">
        <f>VLOOKUP(A102,'Ref-Data'!A:C,2,FALSE)</f>
        <v>5000000</v>
      </c>
      <c r="F102" s="445">
        <f>VLOOKUP(A102,'Ref-Data'!$A:$F,6,FALSE)</f>
        <v>4.6735112936344967</v>
      </c>
      <c r="G102" s="346"/>
      <c r="H102" s="273">
        <f>VLOOKUP($B102, 'Output 96% Downside'!$A:$CW,42,FALSE)</f>
        <v>6.0000000000000001E-3</v>
      </c>
      <c r="I102" s="273">
        <f>VLOOKUP($B102, 'Output 96% Downside'!$A:$CW,43,FALSE)</f>
        <v>7.7000000000000002E-3</v>
      </c>
      <c r="J102" s="273">
        <f>VLOOKUP($B102, 'Output 96% Downside'!$A:$CW,44,FALSE)</f>
        <v>8.9999999999999993E-3</v>
      </c>
      <c r="K102" s="273">
        <f>VLOOKUP($B102, 'Output 96% Downside'!$A:$CW,45,FALSE)</f>
        <v>1.01E-2</v>
      </c>
      <c r="L102" s="273">
        <f>VLOOKUP($B102, 'Output 96% Downside'!$A:$CW,46,FALSE)</f>
        <v>1.0999999999999999E-2</v>
      </c>
      <c r="M102" s="447">
        <f t="shared" si="72"/>
        <v>1.5033868614469093E-3</v>
      </c>
      <c r="N102" s="447">
        <f t="shared" si="73"/>
        <v>3.0045135508386389E-3</v>
      </c>
      <c r="O102" s="447">
        <f t="shared" si="74"/>
        <v>4.50338346608814E-3</v>
      </c>
      <c r="P102" s="346"/>
      <c r="Q102" s="390">
        <f t="shared" si="75"/>
        <v>1.1726417519285894E-3</v>
      </c>
      <c r="R102" s="390">
        <f t="shared" si="76"/>
        <v>2.3435205696541385E-3</v>
      </c>
      <c r="S102" s="390">
        <f t="shared" si="77"/>
        <v>3.5126391035487491E-3</v>
      </c>
      <c r="T102" s="390">
        <f t="shared" si="78"/>
        <v>4.6800000000000001E-3</v>
      </c>
      <c r="U102" s="390">
        <f t="shared" si="79"/>
        <v>1.064996400000004E-2</v>
      </c>
      <c r="V102" s="390">
        <f t="shared" si="80"/>
        <v>1.7574114324000082E-2</v>
      </c>
      <c r="W102" s="390">
        <f t="shared" si="81"/>
        <v>2.5274615769327696E-2</v>
      </c>
      <c r="X102" s="390">
        <f t="shared" si="82"/>
        <v>3.35765949958651E-2</v>
      </c>
      <c r="Y102" s="390">
        <f t="shared" si="83"/>
        <v>4.6800000000000001E-3</v>
      </c>
      <c r="Z102" s="390">
        <f t="shared" si="84"/>
        <v>3.35765949958651E-2</v>
      </c>
      <c r="AA102" s="355"/>
      <c r="AB102" s="355"/>
      <c r="AC102" s="273">
        <f>VLOOKUP($B102, 'Output Baseline'!$A:$CW,42,FALSE)</f>
        <v>2.8999999999999998E-3</v>
      </c>
      <c r="AD102" s="273">
        <f>VLOOKUP($B102, 'Output Baseline'!$A:$CW,43,FALSE)</f>
        <v>3.8E-3</v>
      </c>
      <c r="AE102" s="273">
        <f>VLOOKUP($B102, 'Output Baseline'!$A:$CW,44,FALSE)</f>
        <v>4.4000000000000003E-3</v>
      </c>
      <c r="AF102" s="273">
        <f>VLOOKUP($B102, 'Output Baseline'!$A:$CW,45,FALSE)</f>
        <v>4.8999999999999998E-3</v>
      </c>
      <c r="AG102" s="273">
        <f>VLOOKUP($B102, 'Output Baseline'!$A:$CW,46,FALSE)</f>
        <v>5.3E-3</v>
      </c>
      <c r="AH102" s="447">
        <f t="shared" si="85"/>
        <v>7.2578977393844557E-4</v>
      </c>
      <c r="AI102" s="447">
        <f t="shared" si="86"/>
        <v>1.4510527770809079E-3</v>
      </c>
      <c r="AJ102" s="447">
        <f t="shared" si="87"/>
        <v>2.1757893917523363E-3</v>
      </c>
      <c r="AK102" s="346"/>
      <c r="AL102" s="390">
        <f t="shared" si="88"/>
        <v>5.6611602367198752E-4</v>
      </c>
      <c r="AM102" s="390">
        <f t="shared" si="89"/>
        <v>1.1318211661231082E-3</v>
      </c>
      <c r="AN102" s="390">
        <f t="shared" si="90"/>
        <v>1.6971157255668225E-3</v>
      </c>
      <c r="AO102" s="390">
        <f t="shared" si="91"/>
        <v>2.2620000000000001E-3</v>
      </c>
      <c r="AP102" s="390">
        <f t="shared" si="92"/>
        <v>5.2174044000000523E-3</v>
      </c>
      <c r="AQ102" s="390">
        <f t="shared" si="93"/>
        <v>8.6264478206400461E-3</v>
      </c>
      <c r="AR102" s="390">
        <f t="shared" si="94"/>
        <v>1.2406178226318882E-2</v>
      </c>
      <c r="AS102" s="390">
        <f t="shared" si="95"/>
        <v>1.6474425481719374E-2</v>
      </c>
      <c r="AT102" s="390">
        <f t="shared" si="96"/>
        <v>2.2620000000000001E-3</v>
      </c>
      <c r="AU102" s="390">
        <f t="shared" si="97"/>
        <v>1.6474425481719374E-2</v>
      </c>
      <c r="AV102" s="355"/>
      <c r="AW102" s="355"/>
      <c r="AX102" s="273">
        <f>VLOOKUP($B102, 'Output 90% Downside'!$A:$CW,42,FALSE)</f>
        <v>5.1999999999999998E-3</v>
      </c>
      <c r="AY102" s="273">
        <f>VLOOKUP($B102, 'Output 90% Downside'!$A:$CW,43,FALSE)</f>
        <v>6.7999999999999996E-3</v>
      </c>
      <c r="AZ102" s="273">
        <f>VLOOKUP($B102, 'Output 90% Downside'!$A:$CW,44,FALSE)</f>
        <v>8.0000000000000002E-3</v>
      </c>
      <c r="BA102" s="273">
        <f>VLOOKUP($B102, 'Output 90% Downside'!$A:$CW,45,FALSE)</f>
        <v>8.9999999999999993E-3</v>
      </c>
      <c r="BB102" s="273">
        <f>VLOOKUP($B102, 'Output 90% Downside'!$A:$CW,46,FALSE)</f>
        <v>9.7999999999999997E-3</v>
      </c>
      <c r="BC102" s="447">
        <f t="shared" si="98"/>
        <v>1.3025427170976211E-3</v>
      </c>
      <c r="BD102" s="447">
        <f t="shared" si="99"/>
        <v>2.6033888166653307E-3</v>
      </c>
      <c r="BE102" s="447">
        <f t="shared" si="100"/>
        <v>3.9025405086200449E-3</v>
      </c>
      <c r="BF102" s="346"/>
      <c r="BG102" s="390">
        <f t="shared" si="101"/>
        <v>1.0159833193361446E-3</v>
      </c>
      <c r="BH102" s="390">
        <f t="shared" si="102"/>
        <v>2.030643276998958E-3</v>
      </c>
      <c r="BI102" s="390">
        <f t="shared" si="103"/>
        <v>3.0439815967236352E-3</v>
      </c>
      <c r="BJ102" s="390">
        <f t="shared" si="104"/>
        <v>4.0559999999999997E-3</v>
      </c>
      <c r="BK102" s="390">
        <f t="shared" si="105"/>
        <v>9.3324191999999782E-3</v>
      </c>
      <c r="BL102" s="390">
        <f t="shared" si="106"/>
        <v>1.5497759846399979E-2</v>
      </c>
      <c r="BM102" s="390">
        <f t="shared" si="107"/>
        <v>2.23782800077824E-2</v>
      </c>
      <c r="BN102" s="390">
        <f t="shared" si="108"/>
        <v>2.9802972863706177E-2</v>
      </c>
      <c r="BO102" s="390">
        <f t="shared" si="109"/>
        <v>4.0559999999999997E-3</v>
      </c>
      <c r="BP102" s="390">
        <f t="shared" si="110"/>
        <v>2.9802972863706177E-2</v>
      </c>
      <c r="BQ102" s="347"/>
      <c r="BR102" s="355"/>
      <c r="BS102" s="355"/>
      <c r="BT102" s="355"/>
      <c r="BU102" s="390">
        <f>IFERROR(AL102*$BS$2+BG102*$BS$4+Q102*$BS$3,VLOOKUP(A102,'Updated Ncino PD'!A:K,4,FALSE))</f>
        <v>7.5389586356727257E-4</v>
      </c>
      <c r="BV102" s="390">
        <f>IFERROR(AM102*$BS$2+BH102*$BS$4+R102*$BS$3,VLOOKUP(A102,'Updated Ncino PD'!A:K,5,FALSE))</f>
        <v>1.5069938751062072E-3</v>
      </c>
      <c r="BW102" s="390">
        <f>IFERROR(AN102*$BS$2+BI102*$BS$4+S102*$BS$3,VLOOKUP(A102,'Updated Ncino PD'!A:K,6,FALSE))</f>
        <v>2.2592949493708031E-3</v>
      </c>
      <c r="BX102" s="390">
        <f>IFERROR(AO102*$BS$2+BJ102*$BS$4+T102*$BS$3,VLOOKUP(A102,'Updated Ncino PD'!A:K,7,FALSE))</f>
        <v>3.0107999999999997E-3</v>
      </c>
      <c r="BY102" s="390">
        <f>IFERROR(AP102*$BS$2+BK102*$BS$4+U102*$BS$3,VLOOKUP(A102,'Updated Ncino PD'!A:K,8,FALSE))</f>
        <v>6.9292875600000256E-3</v>
      </c>
      <c r="BZ102" s="390">
        <f>IFERROR(AQ102*$BS$2+BL102*$BS$4+V102*$BS$3,VLOOKUP(A102,'Updated Ncino PD'!A:K,9,FALSE))</f>
        <v>1.1478790354824025E-2</v>
      </c>
      <c r="CA102" s="390">
        <f>IFERROR(AR102*$BS$2+BM102*$BS$4+W102*$BS$3,VLOOKUP(A102,'Updated Ncino PD'!A:K,10,FALSE))</f>
        <v>1.6539835726981554E-2</v>
      </c>
      <c r="CB102" s="390">
        <f>IFERROR(AS102*$BS$2+BN102*$BS$4+X102*$BS$3,VLOOKUP(A102,'Updated Ncino PD'!A:K,11,FALSE))</f>
        <v>2.199452554112204E-2</v>
      </c>
      <c r="CC102" s="390">
        <f t="shared" si="111"/>
        <v>3.0107999999999997E-3</v>
      </c>
      <c r="CD102" s="390">
        <f t="shared" si="112"/>
        <v>2.199452554112204E-2</v>
      </c>
      <c r="CE102" s="355"/>
      <c r="CF102" s="450">
        <f t="shared" si="113"/>
        <v>3.8599999999999997E-3</v>
      </c>
      <c r="CG102" s="450">
        <f t="shared" si="114"/>
        <v>5.0449999999999991E-3</v>
      </c>
      <c r="CH102" s="450">
        <f t="shared" si="115"/>
        <v>5.8899999999999994E-3</v>
      </c>
      <c r="CI102" s="450">
        <f t="shared" si="116"/>
        <v>6.5950000000000002E-3</v>
      </c>
      <c r="CJ102" s="450">
        <f t="shared" si="117"/>
        <v>7.1599999999999997E-3</v>
      </c>
    </row>
    <row r="103" spans="1:88" hidden="1" x14ac:dyDescent="0.25">
      <c r="A103" s="400">
        <v>1100000266</v>
      </c>
      <c r="B103" s="455" t="str">
        <f>VLOOKUP(A103,'Loan Book Summary'!C:G,5,FALSE)</f>
        <v>0018e000003COuL</v>
      </c>
      <c r="C103" s="167">
        <f>VLOOKUP(A103,'Ref-Data'!$A:$I,9,0)</f>
        <v>1</v>
      </c>
      <c r="D103" s="445">
        <f>VLOOKUP(A103,'Adjustment Factor'!A:C,3,0)</f>
        <v>0.96</v>
      </c>
      <c r="E103" s="446">
        <f>VLOOKUP(A103,'Ref-Data'!A:C,2,FALSE)</f>
        <v>5600000</v>
      </c>
      <c r="F103" s="445">
        <f>VLOOKUP(A103,'Ref-Data'!$A:$F,6,FALSE)</f>
        <v>4.6817248459958929</v>
      </c>
      <c r="G103" s="346"/>
      <c r="H103" s="273">
        <f>VLOOKUP($B103, 'Output 96% Downside'!$A:$CW,42,FALSE)</f>
        <v>7.0000000000000001E-3</v>
      </c>
      <c r="I103" s="273">
        <f>VLOOKUP($B103, 'Output 96% Downside'!$A:$CW,43,FALSE)</f>
        <v>7.6E-3</v>
      </c>
      <c r="J103" s="273">
        <f>VLOOKUP($B103, 'Output 96% Downside'!$A:$CW,44,FALSE)</f>
        <v>8.0000000000000002E-3</v>
      </c>
      <c r="K103" s="273">
        <f>VLOOKUP($B103, 'Output 96% Downside'!$A:$CW,45,FALSE)</f>
        <v>8.3000000000000001E-3</v>
      </c>
      <c r="L103" s="273">
        <f>VLOOKUP($B103, 'Output 96% Downside'!$A:$CW,46,FALSE)</f>
        <v>8.6E-3</v>
      </c>
      <c r="M103" s="447">
        <f t="shared" si="72"/>
        <v>1.7546125985610228E-3</v>
      </c>
      <c r="N103" s="447">
        <f t="shared" si="73"/>
        <v>3.5061465317509644E-3</v>
      </c>
      <c r="O103" s="447">
        <f t="shared" si="74"/>
        <v>5.254607201435002E-3</v>
      </c>
      <c r="P103" s="346"/>
      <c r="Q103" s="390">
        <f t="shared" si="75"/>
        <v>1.6844280946185818E-3</v>
      </c>
      <c r="R103" s="390">
        <f t="shared" si="76"/>
        <v>3.3659006704809258E-3</v>
      </c>
      <c r="S103" s="390">
        <f t="shared" si="77"/>
        <v>5.0444229133776016E-3</v>
      </c>
      <c r="T103" s="390">
        <f t="shared" si="78"/>
        <v>6.7200000000000003E-3</v>
      </c>
      <c r="U103" s="390">
        <f t="shared" si="79"/>
        <v>1.3964928000000078E-2</v>
      </c>
      <c r="V103" s="390">
        <f t="shared" si="80"/>
        <v>2.1533208576000076E-2</v>
      </c>
      <c r="W103" s="390">
        <f t="shared" si="81"/>
        <v>2.9322482944819261E-2</v>
      </c>
      <c r="X103" s="390">
        <f t="shared" si="82"/>
        <v>3.7326309591493856E-2</v>
      </c>
      <c r="Y103" s="390">
        <f t="shared" si="83"/>
        <v>6.7200000000000003E-3</v>
      </c>
      <c r="Z103" s="390">
        <f t="shared" si="84"/>
        <v>3.7326309591493856E-2</v>
      </c>
      <c r="AA103" s="355"/>
      <c r="AB103" s="355"/>
      <c r="AC103" s="273">
        <f>VLOOKUP($B103, 'Output Baseline'!$A:$CW,42,FALSE)</f>
        <v>3.8999999999999998E-3</v>
      </c>
      <c r="AD103" s="273">
        <f>VLOOKUP($B103, 'Output Baseline'!$A:$CW,43,FALSE)</f>
        <v>4.1999999999999997E-3</v>
      </c>
      <c r="AE103" s="273">
        <f>VLOOKUP($B103, 'Output Baseline'!$A:$CW,44,FALSE)</f>
        <v>4.4000000000000003E-3</v>
      </c>
      <c r="AF103" s="273">
        <f>VLOOKUP($B103, 'Output Baseline'!$A:$CW,45,FALSE)</f>
        <v>4.4999999999999997E-3</v>
      </c>
      <c r="AG103" s="273">
        <f>VLOOKUP($B103, 'Output Baseline'!$A:$CW,46,FALSE)</f>
        <v>4.5999999999999999E-3</v>
      </c>
      <c r="AH103" s="447">
        <f t="shared" si="85"/>
        <v>9.7642919023133157E-4</v>
      </c>
      <c r="AI103" s="447">
        <f t="shared" si="86"/>
        <v>1.9519049664991073E-3</v>
      </c>
      <c r="AJ103" s="447">
        <f t="shared" si="87"/>
        <v>2.9264282597445401E-3</v>
      </c>
      <c r="AK103" s="346"/>
      <c r="AL103" s="390">
        <f t="shared" si="88"/>
        <v>9.3737202262207827E-4</v>
      </c>
      <c r="AM103" s="390">
        <f t="shared" si="89"/>
        <v>1.8738287678391429E-3</v>
      </c>
      <c r="AN103" s="390">
        <f t="shared" si="90"/>
        <v>2.8093711293547584E-3</v>
      </c>
      <c r="AO103" s="390">
        <f t="shared" si="91"/>
        <v>3.7439999999999995E-3</v>
      </c>
      <c r="AP103" s="390">
        <f t="shared" si="92"/>
        <v>7.7602751999999598E-3</v>
      </c>
      <c r="AQ103" s="390">
        <f t="shared" si="93"/>
        <v>1.1950129989119951E-2</v>
      </c>
      <c r="AR103" s="390">
        <f t="shared" si="94"/>
        <v>1.6216354404168812E-2</v>
      </c>
      <c r="AS103" s="390">
        <f t="shared" si="95"/>
        <v>2.0557759173909639E-2</v>
      </c>
      <c r="AT103" s="390">
        <f t="shared" si="96"/>
        <v>3.7439999999999995E-3</v>
      </c>
      <c r="AU103" s="390">
        <f t="shared" si="97"/>
        <v>2.0557759173909639E-2</v>
      </c>
      <c r="AV103" s="355"/>
      <c r="AW103" s="355"/>
      <c r="AX103" s="273">
        <f>VLOOKUP($B103, 'Output 90% Downside'!$A:$CW,42,FALSE)</f>
        <v>5.8999999999999999E-3</v>
      </c>
      <c r="AY103" s="273">
        <f>VLOOKUP($B103, 'Output 90% Downside'!$A:$CW,43,FALSE)</f>
        <v>6.4999999999999997E-3</v>
      </c>
      <c r="AZ103" s="273">
        <f>VLOOKUP($B103, 'Output 90% Downside'!$A:$CW,44,FALSE)</f>
        <v>6.8999999999999999E-3</v>
      </c>
      <c r="BA103" s="273">
        <f>VLOOKUP($B103, 'Output 90% Downside'!$A:$CW,45,FALSE)</f>
        <v>7.1000000000000004E-3</v>
      </c>
      <c r="BB103" s="273">
        <f>VLOOKUP($B103, 'Output 90% Downside'!$A:$CW,46,FALSE)</f>
        <v>7.3000000000000001E-3</v>
      </c>
      <c r="BC103" s="447">
        <f t="shared" si="98"/>
        <v>1.4782747149250097E-3</v>
      </c>
      <c r="BD103" s="447">
        <f t="shared" si="99"/>
        <v>2.9543641337171911E-3</v>
      </c>
      <c r="BE103" s="447">
        <f t="shared" si="100"/>
        <v>4.4282714868446593E-3</v>
      </c>
      <c r="BF103" s="346"/>
      <c r="BG103" s="390">
        <f t="shared" si="101"/>
        <v>1.4191437263280093E-3</v>
      </c>
      <c r="BH103" s="390">
        <f t="shared" si="102"/>
        <v>2.8361895683685035E-3</v>
      </c>
      <c r="BI103" s="390">
        <f t="shared" si="103"/>
        <v>4.2511406273708727E-3</v>
      </c>
      <c r="BJ103" s="390">
        <f t="shared" si="104"/>
        <v>5.6639999999999998E-3</v>
      </c>
      <c r="BK103" s="390">
        <f t="shared" si="105"/>
        <v>1.1867184000000001E-2</v>
      </c>
      <c r="BL103" s="390">
        <f t="shared" si="106"/>
        <v>1.84093004304E-2</v>
      </c>
      <c r="BM103" s="390">
        <f t="shared" si="107"/>
        <v>2.5094594397344138E-2</v>
      </c>
      <c r="BN103" s="390">
        <f t="shared" si="108"/>
        <v>3.1919403858243454E-2</v>
      </c>
      <c r="BO103" s="390">
        <f t="shared" si="109"/>
        <v>5.6639999999999998E-3</v>
      </c>
      <c r="BP103" s="390">
        <f t="shared" si="110"/>
        <v>3.1919403858243454E-2</v>
      </c>
      <c r="BQ103" s="347"/>
      <c r="BR103" s="355"/>
      <c r="BS103" s="355"/>
      <c r="BT103" s="355"/>
      <c r="BU103" s="390">
        <f>IFERROR(AL103*$BS$2+BG103*$BS$4+Q103*$BS$3,VLOOKUP(A103,'Updated Ncino PD'!A:K,4,FALSE))</f>
        <v>1.1433449225189793E-3</v>
      </c>
      <c r="BV103" s="390">
        <f>IFERROR(AM103*$BS$2+BH103*$BS$4+R103*$BS$3,VLOOKUP(A103,'Updated Ncino PD'!A:K,5,FALSE))</f>
        <v>2.2852586431565082E-3</v>
      </c>
      <c r="BW103" s="390">
        <f>IFERROR(AN103*$BS$2+BI103*$BS$4+S103*$BS$3,VLOOKUP(A103,'Updated Ncino PD'!A:K,6,FALSE))</f>
        <v>3.4257430428615405E-3</v>
      </c>
      <c r="BX103" s="390">
        <f>IFERROR(AO103*$BS$2+BJ103*$BS$4+T103*$BS$3,VLOOKUP(A103,'Updated Ncino PD'!A:K,7,FALSE))</f>
        <v>4.5647999999999999E-3</v>
      </c>
      <c r="BY103" s="390">
        <f>IFERROR(AP103*$BS$2+BK103*$BS$4+U103*$BS$3,VLOOKUP(A103,'Updated Ncino PD'!A:K,8,FALSE))</f>
        <v>9.5079259199999776E-3</v>
      </c>
      <c r="BZ103" s="390">
        <f>IFERROR(AQ103*$BS$2+BL103*$BS$4+V103*$BS$3,VLOOKUP(A103,'Updated Ncino PD'!A:K,9,FALSE))</f>
        <v>1.4689993572911975E-2</v>
      </c>
      <c r="CA103" s="390">
        <f>IFERROR(AR103*$BS$2+BM103*$BS$4+W103*$BS$3,VLOOKUP(A103,'Updated Ncino PD'!A:K,10,FALSE))</f>
        <v>1.9979044828812697E-2</v>
      </c>
      <c r="CB103" s="390">
        <f>IFERROR(AS103*$BS$2+BN103*$BS$4+X103*$BS$3,VLOOKUP(A103,'Updated Ncino PD'!A:K,11,FALSE))</f>
        <v>2.5372762334305684E-2</v>
      </c>
      <c r="CC103" s="390">
        <f t="shared" si="111"/>
        <v>4.5647999999999999E-3</v>
      </c>
      <c r="CD103" s="390">
        <f t="shared" si="112"/>
        <v>2.5372762334305684E-2</v>
      </c>
      <c r="CE103" s="355"/>
      <c r="CF103" s="450">
        <f t="shared" si="113"/>
        <v>4.7549999999999997E-3</v>
      </c>
      <c r="CG103" s="450">
        <f t="shared" si="114"/>
        <v>5.174999999999999E-3</v>
      </c>
      <c r="CH103" s="450">
        <f t="shared" si="115"/>
        <v>5.4549999999999998E-3</v>
      </c>
      <c r="CI103" s="450">
        <f t="shared" si="116"/>
        <v>5.5999999999999991E-3</v>
      </c>
      <c r="CJ103" s="450">
        <f t="shared" si="117"/>
        <v>5.7450000000000001E-3</v>
      </c>
    </row>
    <row r="104" spans="1:88" hidden="1" x14ac:dyDescent="0.25">
      <c r="A104" s="400">
        <v>1100000267</v>
      </c>
      <c r="B104" s="455" t="str">
        <f>VLOOKUP(A104,'Loan Book Summary'!C:G,5,FALSE)</f>
        <v>0018e000003COuL</v>
      </c>
      <c r="C104" s="167">
        <f>VLOOKUP(A104,'Ref-Data'!$A:$I,9,0)</f>
        <v>1</v>
      </c>
      <c r="D104" s="445">
        <f>VLOOKUP(A104,'Adjustment Factor'!A:C,3,0)</f>
        <v>0.96</v>
      </c>
      <c r="E104" s="446">
        <f>VLOOKUP(A104,'Ref-Data'!A:C,2,FALSE)</f>
        <v>9000000</v>
      </c>
      <c r="F104" s="445">
        <f>VLOOKUP(A104,'Ref-Data'!$A:$F,6,FALSE)</f>
        <v>4.6817248459958929</v>
      </c>
      <c r="G104" s="346"/>
      <c r="H104" s="273">
        <f>VLOOKUP($B104, 'Output 96% Downside'!$A:$CW,42,FALSE)</f>
        <v>7.0000000000000001E-3</v>
      </c>
      <c r="I104" s="273">
        <f>VLOOKUP($B104, 'Output 96% Downside'!$A:$CW,43,FALSE)</f>
        <v>7.6E-3</v>
      </c>
      <c r="J104" s="273">
        <f>VLOOKUP($B104, 'Output 96% Downside'!$A:$CW,44,FALSE)</f>
        <v>8.0000000000000002E-3</v>
      </c>
      <c r="K104" s="273">
        <f>VLOOKUP($B104, 'Output 96% Downside'!$A:$CW,45,FALSE)</f>
        <v>8.3000000000000001E-3</v>
      </c>
      <c r="L104" s="273">
        <f>VLOOKUP($B104, 'Output 96% Downside'!$A:$CW,46,FALSE)</f>
        <v>8.6E-3</v>
      </c>
      <c r="M104" s="447">
        <f t="shared" si="72"/>
        <v>1.7546125985610228E-3</v>
      </c>
      <c r="N104" s="447">
        <f t="shared" si="73"/>
        <v>3.5061465317509644E-3</v>
      </c>
      <c r="O104" s="447">
        <f t="shared" si="74"/>
        <v>5.254607201435002E-3</v>
      </c>
      <c r="P104" s="346"/>
      <c r="Q104" s="390">
        <f t="shared" si="75"/>
        <v>1.6844280946185818E-3</v>
      </c>
      <c r="R104" s="390">
        <f t="shared" si="76"/>
        <v>3.3659006704809258E-3</v>
      </c>
      <c r="S104" s="390">
        <f t="shared" si="77"/>
        <v>5.0444229133776016E-3</v>
      </c>
      <c r="T104" s="390">
        <f t="shared" si="78"/>
        <v>6.7200000000000003E-3</v>
      </c>
      <c r="U104" s="390">
        <f t="shared" si="79"/>
        <v>1.3964928000000078E-2</v>
      </c>
      <c r="V104" s="390">
        <f t="shared" si="80"/>
        <v>2.1533208576000076E-2</v>
      </c>
      <c r="W104" s="390">
        <f t="shared" si="81"/>
        <v>2.9322482944819261E-2</v>
      </c>
      <c r="X104" s="390">
        <f t="shared" si="82"/>
        <v>3.7326309591493856E-2</v>
      </c>
      <c r="Y104" s="390">
        <f t="shared" si="83"/>
        <v>6.7200000000000003E-3</v>
      </c>
      <c r="Z104" s="390">
        <f t="shared" si="84"/>
        <v>3.7326309591493856E-2</v>
      </c>
      <c r="AA104" s="355"/>
      <c r="AB104" s="355"/>
      <c r="AC104" s="273">
        <f>VLOOKUP($B104, 'Output Baseline'!$A:$CW,42,FALSE)</f>
        <v>3.8999999999999998E-3</v>
      </c>
      <c r="AD104" s="273">
        <f>VLOOKUP($B104, 'Output Baseline'!$A:$CW,43,FALSE)</f>
        <v>4.1999999999999997E-3</v>
      </c>
      <c r="AE104" s="273">
        <f>VLOOKUP($B104, 'Output Baseline'!$A:$CW,44,FALSE)</f>
        <v>4.4000000000000003E-3</v>
      </c>
      <c r="AF104" s="273">
        <f>VLOOKUP($B104, 'Output Baseline'!$A:$CW,45,FALSE)</f>
        <v>4.4999999999999997E-3</v>
      </c>
      <c r="AG104" s="273">
        <f>VLOOKUP($B104, 'Output Baseline'!$A:$CW,46,FALSE)</f>
        <v>4.5999999999999999E-3</v>
      </c>
      <c r="AH104" s="447">
        <f t="shared" si="85"/>
        <v>9.7642919023133157E-4</v>
      </c>
      <c r="AI104" s="447">
        <f t="shared" si="86"/>
        <v>1.9519049664991073E-3</v>
      </c>
      <c r="AJ104" s="447">
        <f t="shared" si="87"/>
        <v>2.9264282597445401E-3</v>
      </c>
      <c r="AK104" s="346"/>
      <c r="AL104" s="390">
        <f t="shared" si="88"/>
        <v>9.3737202262207827E-4</v>
      </c>
      <c r="AM104" s="390">
        <f t="shared" si="89"/>
        <v>1.8738287678391429E-3</v>
      </c>
      <c r="AN104" s="390">
        <f t="shared" si="90"/>
        <v>2.8093711293547584E-3</v>
      </c>
      <c r="AO104" s="390">
        <f t="shared" si="91"/>
        <v>3.7439999999999995E-3</v>
      </c>
      <c r="AP104" s="390">
        <f t="shared" si="92"/>
        <v>7.7602751999999598E-3</v>
      </c>
      <c r="AQ104" s="390">
        <f t="shared" si="93"/>
        <v>1.1950129989119951E-2</v>
      </c>
      <c r="AR104" s="390">
        <f t="shared" si="94"/>
        <v>1.6216354404168812E-2</v>
      </c>
      <c r="AS104" s="390">
        <f t="shared" si="95"/>
        <v>2.0557759173909639E-2</v>
      </c>
      <c r="AT104" s="390">
        <f t="shared" si="96"/>
        <v>3.7439999999999995E-3</v>
      </c>
      <c r="AU104" s="390">
        <f t="shared" si="97"/>
        <v>2.0557759173909639E-2</v>
      </c>
      <c r="AV104" s="355"/>
      <c r="AW104" s="355"/>
      <c r="AX104" s="273">
        <f>VLOOKUP($B104, 'Output 90% Downside'!$A:$CW,42,FALSE)</f>
        <v>5.8999999999999999E-3</v>
      </c>
      <c r="AY104" s="273">
        <f>VLOOKUP($B104, 'Output 90% Downside'!$A:$CW,43,FALSE)</f>
        <v>6.4999999999999997E-3</v>
      </c>
      <c r="AZ104" s="273">
        <f>VLOOKUP($B104, 'Output 90% Downside'!$A:$CW,44,FALSE)</f>
        <v>6.8999999999999999E-3</v>
      </c>
      <c r="BA104" s="273">
        <f>VLOOKUP($B104, 'Output 90% Downside'!$A:$CW,45,FALSE)</f>
        <v>7.1000000000000004E-3</v>
      </c>
      <c r="BB104" s="273">
        <f>VLOOKUP($B104, 'Output 90% Downside'!$A:$CW,46,FALSE)</f>
        <v>7.3000000000000001E-3</v>
      </c>
      <c r="BC104" s="447">
        <f t="shared" si="98"/>
        <v>1.4782747149250097E-3</v>
      </c>
      <c r="BD104" s="447">
        <f t="shared" si="99"/>
        <v>2.9543641337171911E-3</v>
      </c>
      <c r="BE104" s="447">
        <f t="shared" si="100"/>
        <v>4.4282714868446593E-3</v>
      </c>
      <c r="BF104" s="346"/>
      <c r="BG104" s="390">
        <f t="shared" si="101"/>
        <v>1.4191437263280093E-3</v>
      </c>
      <c r="BH104" s="390">
        <f t="shared" si="102"/>
        <v>2.8361895683685035E-3</v>
      </c>
      <c r="BI104" s="390">
        <f t="shared" si="103"/>
        <v>4.2511406273708727E-3</v>
      </c>
      <c r="BJ104" s="390">
        <f t="shared" si="104"/>
        <v>5.6639999999999998E-3</v>
      </c>
      <c r="BK104" s="390">
        <f t="shared" si="105"/>
        <v>1.1867184000000001E-2</v>
      </c>
      <c r="BL104" s="390">
        <f t="shared" si="106"/>
        <v>1.84093004304E-2</v>
      </c>
      <c r="BM104" s="390">
        <f t="shared" si="107"/>
        <v>2.5094594397344138E-2</v>
      </c>
      <c r="BN104" s="390">
        <f t="shared" si="108"/>
        <v>3.1919403858243454E-2</v>
      </c>
      <c r="BO104" s="390">
        <f t="shared" si="109"/>
        <v>5.6639999999999998E-3</v>
      </c>
      <c r="BP104" s="390">
        <f t="shared" si="110"/>
        <v>3.1919403858243454E-2</v>
      </c>
      <c r="BQ104" s="347"/>
      <c r="BR104" s="355"/>
      <c r="BS104" s="355"/>
      <c r="BT104" s="355"/>
      <c r="BU104" s="390">
        <f>IFERROR(AL104*$BS$2+BG104*$BS$4+Q104*$BS$3,VLOOKUP(A104,'Updated Ncino PD'!A:K,4,FALSE))</f>
        <v>1.1433449225189793E-3</v>
      </c>
      <c r="BV104" s="390">
        <f>IFERROR(AM104*$BS$2+BH104*$BS$4+R104*$BS$3,VLOOKUP(A104,'Updated Ncino PD'!A:K,5,FALSE))</f>
        <v>2.2852586431565082E-3</v>
      </c>
      <c r="BW104" s="390">
        <f>IFERROR(AN104*$BS$2+BI104*$BS$4+S104*$BS$3,VLOOKUP(A104,'Updated Ncino PD'!A:K,6,FALSE))</f>
        <v>3.4257430428615405E-3</v>
      </c>
      <c r="BX104" s="390">
        <f>IFERROR(AO104*$BS$2+BJ104*$BS$4+T104*$BS$3,VLOOKUP(A104,'Updated Ncino PD'!A:K,7,FALSE))</f>
        <v>4.5647999999999999E-3</v>
      </c>
      <c r="BY104" s="390">
        <f>IFERROR(AP104*$BS$2+BK104*$BS$4+U104*$BS$3,VLOOKUP(A104,'Updated Ncino PD'!A:K,8,FALSE))</f>
        <v>9.5079259199999776E-3</v>
      </c>
      <c r="BZ104" s="390">
        <f>IFERROR(AQ104*$BS$2+BL104*$BS$4+V104*$BS$3,VLOOKUP(A104,'Updated Ncino PD'!A:K,9,FALSE))</f>
        <v>1.4689993572911975E-2</v>
      </c>
      <c r="CA104" s="390">
        <f>IFERROR(AR104*$BS$2+BM104*$BS$4+W104*$BS$3,VLOOKUP(A104,'Updated Ncino PD'!A:K,10,FALSE))</f>
        <v>1.9979044828812697E-2</v>
      </c>
      <c r="CB104" s="390">
        <f>IFERROR(AS104*$BS$2+BN104*$BS$4+X104*$BS$3,VLOOKUP(A104,'Updated Ncino PD'!A:K,11,FALSE))</f>
        <v>2.5372762334305684E-2</v>
      </c>
      <c r="CC104" s="390">
        <f t="shared" si="111"/>
        <v>4.5647999999999999E-3</v>
      </c>
      <c r="CD104" s="390">
        <f t="shared" si="112"/>
        <v>2.5372762334305684E-2</v>
      </c>
      <c r="CE104" s="355"/>
      <c r="CF104" s="450">
        <f t="shared" si="113"/>
        <v>4.7549999999999997E-3</v>
      </c>
      <c r="CG104" s="450">
        <f t="shared" si="114"/>
        <v>5.174999999999999E-3</v>
      </c>
      <c r="CH104" s="450">
        <f t="shared" si="115"/>
        <v>5.4549999999999998E-3</v>
      </c>
      <c r="CI104" s="450">
        <f t="shared" si="116"/>
        <v>5.5999999999999991E-3</v>
      </c>
      <c r="CJ104" s="450">
        <f t="shared" si="117"/>
        <v>5.7450000000000001E-3</v>
      </c>
    </row>
    <row r="105" spans="1:88" hidden="1" x14ac:dyDescent="0.25">
      <c r="A105" s="400">
        <v>1100000270</v>
      </c>
      <c r="B105" s="455" t="str">
        <f>VLOOKUP(A105,'Loan Book Summary'!C:G,5,FALSE)</f>
        <v>0018e000003COuL</v>
      </c>
      <c r="C105" s="167">
        <f>VLOOKUP(A105,'Ref-Data'!$A:$I,9,0)</f>
        <v>1</v>
      </c>
      <c r="D105" s="445">
        <f>VLOOKUP(A105,'Adjustment Factor'!A:C,3,0)</f>
        <v>0.96</v>
      </c>
      <c r="E105" s="446">
        <f>VLOOKUP(A105,'Ref-Data'!A:C,2,FALSE)</f>
        <v>5000000</v>
      </c>
      <c r="F105" s="445">
        <f>VLOOKUP(A105,'Ref-Data'!$A:$F,6,FALSE)</f>
        <v>4.6817248459958929</v>
      </c>
      <c r="G105" s="346"/>
      <c r="H105" s="273">
        <f>VLOOKUP($B105, 'Output 96% Downside'!$A:$CW,42,FALSE)</f>
        <v>7.0000000000000001E-3</v>
      </c>
      <c r="I105" s="273">
        <f>VLOOKUP($B105, 'Output 96% Downside'!$A:$CW,43,FALSE)</f>
        <v>7.6E-3</v>
      </c>
      <c r="J105" s="273">
        <f>VLOOKUP($B105, 'Output 96% Downside'!$A:$CW,44,FALSE)</f>
        <v>8.0000000000000002E-3</v>
      </c>
      <c r="K105" s="273">
        <f>VLOOKUP($B105, 'Output 96% Downside'!$A:$CW,45,FALSE)</f>
        <v>8.3000000000000001E-3</v>
      </c>
      <c r="L105" s="273">
        <f>VLOOKUP($B105, 'Output 96% Downside'!$A:$CW,46,FALSE)</f>
        <v>8.6E-3</v>
      </c>
      <c r="M105" s="447">
        <f t="shared" si="72"/>
        <v>1.7546125985610228E-3</v>
      </c>
      <c r="N105" s="447">
        <f t="shared" si="73"/>
        <v>3.5061465317509644E-3</v>
      </c>
      <c r="O105" s="447">
        <f t="shared" si="74"/>
        <v>5.254607201435002E-3</v>
      </c>
      <c r="P105" s="346"/>
      <c r="Q105" s="390">
        <f t="shared" si="75"/>
        <v>1.6844280946185818E-3</v>
      </c>
      <c r="R105" s="390">
        <f t="shared" si="76"/>
        <v>3.3659006704809258E-3</v>
      </c>
      <c r="S105" s="390">
        <f t="shared" si="77"/>
        <v>5.0444229133776016E-3</v>
      </c>
      <c r="T105" s="390">
        <f t="shared" si="78"/>
        <v>6.7200000000000003E-3</v>
      </c>
      <c r="U105" s="390">
        <f t="shared" si="79"/>
        <v>1.3964928000000078E-2</v>
      </c>
      <c r="V105" s="390">
        <f t="shared" si="80"/>
        <v>2.1533208576000076E-2</v>
      </c>
      <c r="W105" s="390">
        <f t="shared" si="81"/>
        <v>2.9322482944819261E-2</v>
      </c>
      <c r="X105" s="390">
        <f t="shared" si="82"/>
        <v>3.7326309591493856E-2</v>
      </c>
      <c r="Y105" s="390">
        <f t="shared" si="83"/>
        <v>6.7200000000000003E-3</v>
      </c>
      <c r="Z105" s="390">
        <f t="shared" si="84"/>
        <v>3.7326309591493856E-2</v>
      </c>
      <c r="AA105" s="355"/>
      <c r="AB105" s="355"/>
      <c r="AC105" s="273">
        <f>VLOOKUP($B105, 'Output Baseline'!$A:$CW,42,FALSE)</f>
        <v>3.8999999999999998E-3</v>
      </c>
      <c r="AD105" s="273">
        <f>VLOOKUP($B105, 'Output Baseline'!$A:$CW,43,FALSE)</f>
        <v>4.1999999999999997E-3</v>
      </c>
      <c r="AE105" s="273">
        <f>VLOOKUP($B105, 'Output Baseline'!$A:$CW,44,FALSE)</f>
        <v>4.4000000000000003E-3</v>
      </c>
      <c r="AF105" s="273">
        <f>VLOOKUP($B105, 'Output Baseline'!$A:$CW,45,FALSE)</f>
        <v>4.4999999999999997E-3</v>
      </c>
      <c r="AG105" s="273">
        <f>VLOOKUP($B105, 'Output Baseline'!$A:$CW,46,FALSE)</f>
        <v>4.5999999999999999E-3</v>
      </c>
      <c r="AH105" s="447">
        <f t="shared" si="85"/>
        <v>9.7642919023133157E-4</v>
      </c>
      <c r="AI105" s="447">
        <f t="shared" si="86"/>
        <v>1.9519049664991073E-3</v>
      </c>
      <c r="AJ105" s="447">
        <f t="shared" si="87"/>
        <v>2.9264282597445401E-3</v>
      </c>
      <c r="AK105" s="346"/>
      <c r="AL105" s="390">
        <f t="shared" si="88"/>
        <v>9.3737202262207827E-4</v>
      </c>
      <c r="AM105" s="390">
        <f t="shared" si="89"/>
        <v>1.8738287678391429E-3</v>
      </c>
      <c r="AN105" s="390">
        <f t="shared" si="90"/>
        <v>2.8093711293547584E-3</v>
      </c>
      <c r="AO105" s="390">
        <f t="shared" si="91"/>
        <v>3.7439999999999995E-3</v>
      </c>
      <c r="AP105" s="390">
        <f t="shared" si="92"/>
        <v>7.7602751999999598E-3</v>
      </c>
      <c r="AQ105" s="390">
        <f t="shared" si="93"/>
        <v>1.1950129989119951E-2</v>
      </c>
      <c r="AR105" s="390">
        <f t="shared" si="94"/>
        <v>1.6216354404168812E-2</v>
      </c>
      <c r="AS105" s="390">
        <f t="shared" si="95"/>
        <v>2.0557759173909639E-2</v>
      </c>
      <c r="AT105" s="390">
        <f t="shared" si="96"/>
        <v>3.7439999999999995E-3</v>
      </c>
      <c r="AU105" s="390">
        <f t="shared" si="97"/>
        <v>2.0557759173909639E-2</v>
      </c>
      <c r="AV105" s="355"/>
      <c r="AW105" s="355"/>
      <c r="AX105" s="273">
        <f>VLOOKUP($B105, 'Output 90% Downside'!$A:$CW,42,FALSE)</f>
        <v>5.8999999999999999E-3</v>
      </c>
      <c r="AY105" s="273">
        <f>VLOOKUP($B105, 'Output 90% Downside'!$A:$CW,43,FALSE)</f>
        <v>6.4999999999999997E-3</v>
      </c>
      <c r="AZ105" s="273">
        <f>VLOOKUP($B105, 'Output 90% Downside'!$A:$CW,44,FALSE)</f>
        <v>6.8999999999999999E-3</v>
      </c>
      <c r="BA105" s="273">
        <f>VLOOKUP($B105, 'Output 90% Downside'!$A:$CW,45,FALSE)</f>
        <v>7.1000000000000004E-3</v>
      </c>
      <c r="BB105" s="273">
        <f>VLOOKUP($B105, 'Output 90% Downside'!$A:$CW,46,FALSE)</f>
        <v>7.3000000000000001E-3</v>
      </c>
      <c r="BC105" s="447">
        <f t="shared" si="98"/>
        <v>1.4782747149250097E-3</v>
      </c>
      <c r="BD105" s="447">
        <f t="shared" si="99"/>
        <v>2.9543641337171911E-3</v>
      </c>
      <c r="BE105" s="447">
        <f t="shared" si="100"/>
        <v>4.4282714868446593E-3</v>
      </c>
      <c r="BF105" s="346"/>
      <c r="BG105" s="390">
        <f t="shared" si="101"/>
        <v>1.4191437263280093E-3</v>
      </c>
      <c r="BH105" s="390">
        <f t="shared" si="102"/>
        <v>2.8361895683685035E-3</v>
      </c>
      <c r="BI105" s="390">
        <f t="shared" si="103"/>
        <v>4.2511406273708727E-3</v>
      </c>
      <c r="BJ105" s="390">
        <f t="shared" si="104"/>
        <v>5.6639999999999998E-3</v>
      </c>
      <c r="BK105" s="390">
        <f t="shared" si="105"/>
        <v>1.1867184000000001E-2</v>
      </c>
      <c r="BL105" s="390">
        <f t="shared" si="106"/>
        <v>1.84093004304E-2</v>
      </c>
      <c r="BM105" s="390">
        <f t="shared" si="107"/>
        <v>2.5094594397344138E-2</v>
      </c>
      <c r="BN105" s="390">
        <f t="shared" si="108"/>
        <v>3.1919403858243454E-2</v>
      </c>
      <c r="BO105" s="390">
        <f t="shared" si="109"/>
        <v>5.6639999999999998E-3</v>
      </c>
      <c r="BP105" s="390">
        <f t="shared" si="110"/>
        <v>3.1919403858243454E-2</v>
      </c>
      <c r="BQ105" s="347"/>
      <c r="BR105" s="355"/>
      <c r="BS105" s="355"/>
      <c r="BT105" s="355"/>
      <c r="BU105" s="390">
        <f>IFERROR(AL105*$BS$2+BG105*$BS$4+Q105*$BS$3,VLOOKUP(A105,'Updated Ncino PD'!A:K,4,FALSE))</f>
        <v>1.1433449225189793E-3</v>
      </c>
      <c r="BV105" s="390">
        <f>IFERROR(AM105*$BS$2+BH105*$BS$4+R105*$BS$3,VLOOKUP(A105,'Updated Ncino PD'!A:K,5,FALSE))</f>
        <v>2.2852586431565082E-3</v>
      </c>
      <c r="BW105" s="390">
        <f>IFERROR(AN105*$BS$2+BI105*$BS$4+S105*$BS$3,VLOOKUP(A105,'Updated Ncino PD'!A:K,6,FALSE))</f>
        <v>3.4257430428615405E-3</v>
      </c>
      <c r="BX105" s="390">
        <f>IFERROR(AO105*$BS$2+BJ105*$BS$4+T105*$BS$3,VLOOKUP(A105,'Updated Ncino PD'!A:K,7,FALSE))</f>
        <v>4.5647999999999999E-3</v>
      </c>
      <c r="BY105" s="390">
        <f>IFERROR(AP105*$BS$2+BK105*$BS$4+U105*$BS$3,VLOOKUP(A105,'Updated Ncino PD'!A:K,8,FALSE))</f>
        <v>9.5079259199999776E-3</v>
      </c>
      <c r="BZ105" s="390">
        <f>IFERROR(AQ105*$BS$2+BL105*$BS$4+V105*$BS$3,VLOOKUP(A105,'Updated Ncino PD'!A:K,9,FALSE))</f>
        <v>1.4689993572911975E-2</v>
      </c>
      <c r="CA105" s="390">
        <f>IFERROR(AR105*$BS$2+BM105*$BS$4+W105*$BS$3,VLOOKUP(A105,'Updated Ncino PD'!A:K,10,FALSE))</f>
        <v>1.9979044828812697E-2</v>
      </c>
      <c r="CB105" s="390">
        <f>IFERROR(AS105*$BS$2+BN105*$BS$4+X105*$BS$3,VLOOKUP(A105,'Updated Ncino PD'!A:K,11,FALSE))</f>
        <v>2.5372762334305684E-2</v>
      </c>
      <c r="CC105" s="390">
        <f t="shared" si="111"/>
        <v>4.5647999999999999E-3</v>
      </c>
      <c r="CD105" s="390">
        <f t="shared" si="112"/>
        <v>2.5372762334305684E-2</v>
      </c>
      <c r="CE105" s="355"/>
      <c r="CF105" s="450">
        <f t="shared" si="113"/>
        <v>4.7549999999999997E-3</v>
      </c>
      <c r="CG105" s="450">
        <f t="shared" si="114"/>
        <v>5.174999999999999E-3</v>
      </c>
      <c r="CH105" s="450">
        <f t="shared" si="115"/>
        <v>5.4549999999999998E-3</v>
      </c>
      <c r="CI105" s="450">
        <f t="shared" si="116"/>
        <v>5.5999999999999991E-3</v>
      </c>
      <c r="CJ105" s="450">
        <f t="shared" si="117"/>
        <v>5.7450000000000001E-3</v>
      </c>
    </row>
    <row r="106" spans="1:88" hidden="1" x14ac:dyDescent="0.25">
      <c r="A106" s="400">
        <v>1100000271</v>
      </c>
      <c r="B106" s="455" t="str">
        <f>VLOOKUP(A106,'Loan Book Summary'!C:G,5,FALSE)</f>
        <v>0015800000WRe2v</v>
      </c>
      <c r="C106" s="167">
        <f>VLOOKUP(A106,'Ref-Data'!$A:$I,9,0)</f>
        <v>1</v>
      </c>
      <c r="D106" s="445">
        <f>VLOOKUP(A106,'Adjustment Factor'!A:C,3,0)</f>
        <v>0.78908700495327666</v>
      </c>
      <c r="E106" s="446">
        <f>VLOOKUP(A106,'Ref-Data'!A:C,2,FALSE)</f>
        <v>10000000</v>
      </c>
      <c r="F106" s="445">
        <f>VLOOKUP(A106,'Ref-Data'!$A:$F,6,FALSE)</f>
        <v>4.6926762491444221</v>
      </c>
      <c r="G106" s="346"/>
      <c r="H106" s="273">
        <f>VLOOKUP($B106, 'Output 96% Downside'!$A:$CW,42,FALSE)</f>
        <v>3.4799999999999998E-2</v>
      </c>
      <c r="I106" s="273">
        <f>VLOOKUP($B106, 'Output 96% Downside'!$A:$CW,43,FALSE)</f>
        <v>2.6599999999999999E-2</v>
      </c>
      <c r="J106" s="273">
        <f>VLOOKUP($B106, 'Output 96% Downside'!$A:$CW,44,FALSE)</f>
        <v>2.2700000000000001E-2</v>
      </c>
      <c r="K106" s="273">
        <f>VLOOKUP($B106, 'Output 96% Downside'!$A:$CW,45,FALSE)</f>
        <v>2.0299999999999999E-2</v>
      </c>
      <c r="L106" s="273">
        <f>VLOOKUP($B106, 'Output 96% Downside'!$A:$CW,46,FALSE)</f>
        <v>1.8599999999999998E-2</v>
      </c>
      <c r="M106" s="447">
        <f t="shared" si="72"/>
        <v>8.8158963819027214E-3</v>
      </c>
      <c r="N106" s="447">
        <f t="shared" si="73"/>
        <v>1.7554072734789039E-2</v>
      </c>
      <c r="O106" s="447">
        <f t="shared" si="74"/>
        <v>2.6215214230381423E-2</v>
      </c>
      <c r="P106" s="346"/>
      <c r="Q106" s="390">
        <f t="shared" si="75"/>
        <v>6.9565092719740462E-3</v>
      </c>
      <c r="R106" s="390">
        <f t="shared" si="76"/>
        <v>1.3851690679026658E-2</v>
      </c>
      <c r="S106" s="390">
        <f t="shared" si="77"/>
        <v>2.0686084881260194E-2</v>
      </c>
      <c r="T106" s="390">
        <f t="shared" si="78"/>
        <v>2.7460227772374026E-2</v>
      </c>
      <c r="U106" s="390">
        <f t="shared" si="79"/>
        <v>4.7719500045385929E-2</v>
      </c>
      <c r="V106" s="390">
        <f t="shared" si="80"/>
        <v>6.454854240679507E-2</v>
      </c>
      <c r="W106" s="390">
        <f t="shared" si="81"/>
        <v>7.9256673196488672E-2</v>
      </c>
      <c r="X106" s="390">
        <f t="shared" si="82"/>
        <v>9.2459517367164915E-2</v>
      </c>
      <c r="Y106" s="390">
        <f t="shared" si="83"/>
        <v>2.7460227772374026E-2</v>
      </c>
      <c r="Z106" s="390">
        <f t="shared" si="84"/>
        <v>9.2459517367164915E-2</v>
      </c>
      <c r="AA106" s="355"/>
      <c r="AB106" s="355"/>
      <c r="AC106" s="273">
        <f>VLOOKUP($B106, 'Output Baseline'!$A:$CW,42,FALSE)</f>
        <v>1.49E-2</v>
      </c>
      <c r="AD106" s="273">
        <f>VLOOKUP($B106, 'Output Baseline'!$A:$CW,43,FALSE)</f>
        <v>1.2800000000000001E-2</v>
      </c>
      <c r="AE106" s="273">
        <f>VLOOKUP($B106, 'Output Baseline'!$A:$CW,44,FALSE)</f>
        <v>1.17E-2</v>
      </c>
      <c r="AF106" s="273">
        <f>VLOOKUP($B106, 'Output Baseline'!$A:$CW,45,FALSE)</f>
        <v>1.09E-2</v>
      </c>
      <c r="AG106" s="273">
        <f>VLOOKUP($B106, 'Output Baseline'!$A:$CW,46,FALSE)</f>
        <v>1.04E-2</v>
      </c>
      <c r="AH106" s="447">
        <f t="shared" si="85"/>
        <v>3.7459962150467874E-3</v>
      </c>
      <c r="AI106" s="447">
        <f t="shared" si="86"/>
        <v>7.477959942450485E-3</v>
      </c>
      <c r="AJ106" s="447">
        <f t="shared" si="87"/>
        <v>1.1195943747856596E-2</v>
      </c>
      <c r="AK106" s="346"/>
      <c r="AL106" s="390">
        <f t="shared" si="88"/>
        <v>2.9559169338975798E-3</v>
      </c>
      <c r="AM106" s="390">
        <f t="shared" si="89"/>
        <v>5.9007610141488306E-3</v>
      </c>
      <c r="AN106" s="390">
        <f t="shared" si="90"/>
        <v>8.8345737196215239E-3</v>
      </c>
      <c r="AO106" s="390">
        <f t="shared" si="91"/>
        <v>1.1757396373803823E-2</v>
      </c>
      <c r="AP106" s="390">
        <f t="shared" si="92"/>
        <v>2.1707215363621139E-2</v>
      </c>
      <c r="AQ106" s="390">
        <f t="shared" si="93"/>
        <v>3.0685558901820158E-2</v>
      </c>
      <c r="AR106" s="390">
        <f t="shared" si="94"/>
        <v>3.8952134663781023E-2</v>
      </c>
      <c r="AS106" s="390">
        <f t="shared" si="95"/>
        <v>4.6753537314791753E-2</v>
      </c>
      <c r="AT106" s="390">
        <f t="shared" si="96"/>
        <v>1.1757396373803823E-2</v>
      </c>
      <c r="AU106" s="390">
        <f t="shared" si="97"/>
        <v>4.6753537314791753E-2</v>
      </c>
      <c r="AV106" s="355"/>
      <c r="AW106" s="355"/>
      <c r="AX106" s="273">
        <f>VLOOKUP($B106, 'Output 90% Downside'!$A:$CW,42,FALSE)</f>
        <v>2.64E-2</v>
      </c>
      <c r="AY106" s="273">
        <f>VLOOKUP($B106, 'Output 90% Downside'!$A:$CW,43,FALSE)</f>
        <v>2.06E-2</v>
      </c>
      <c r="AZ106" s="273">
        <f>VLOOKUP($B106, 'Output 90% Downside'!$A:$CW,44,FALSE)</f>
        <v>1.78E-2</v>
      </c>
      <c r="BA106" s="273">
        <f>VLOOKUP($B106, 'Output 90% Downside'!$A:$CW,45,FALSE)</f>
        <v>1.61E-2</v>
      </c>
      <c r="BB106" s="273">
        <f>VLOOKUP($B106, 'Output 90% Downside'!$A:$CW,46,FALSE)</f>
        <v>1.4800000000000001E-2</v>
      </c>
      <c r="BC106" s="447">
        <f t="shared" si="98"/>
        <v>6.6663648685196808E-3</v>
      </c>
      <c r="BD106" s="447">
        <f t="shared" si="99"/>
        <v>1.3288289316479074E-2</v>
      </c>
      <c r="BE106" s="447">
        <f t="shared" si="100"/>
        <v>1.9866069599936642E-2</v>
      </c>
      <c r="BF106" s="346"/>
      <c r="BG106" s="390">
        <f t="shared" si="101"/>
        <v>5.2603418880259392E-3</v>
      </c>
      <c r="BH106" s="390">
        <f t="shared" si="102"/>
        <v>1.0485616417693097E-2</v>
      </c>
      <c r="BI106" s="390">
        <f t="shared" si="103"/>
        <v>1.5676057360807343E-2</v>
      </c>
      <c r="BJ106" s="390">
        <f t="shared" si="104"/>
        <v>2.0831896930766505E-2</v>
      </c>
      <c r="BK106" s="390">
        <f t="shared" si="105"/>
        <v>3.6657952156030189E-2</v>
      </c>
      <c r="BL106" s="390">
        <f t="shared" si="106"/>
        <v>5.0051189295821231E-2</v>
      </c>
      <c r="BM106" s="390">
        <f t="shared" si="107"/>
        <v>6.1949665927906253E-2</v>
      </c>
      <c r="BN106" s="390">
        <f t="shared" si="108"/>
        <v>7.2711298545481723E-2</v>
      </c>
      <c r="BO106" s="390">
        <f t="shared" si="109"/>
        <v>2.0831896930766505E-2</v>
      </c>
      <c r="BP106" s="390">
        <f t="shared" si="110"/>
        <v>7.2711298545481723E-2</v>
      </c>
      <c r="BQ106" s="347"/>
      <c r="BR106" s="355"/>
      <c r="BS106" s="355"/>
      <c r="BT106" s="355"/>
      <c r="BU106" s="390">
        <f>IFERROR(AL106*$BS$2+BG106*$BS$4+Q106*$BS$3,VLOOKUP(A106,'Updated Ncino PD'!A:K,4,FALSE))</f>
        <v>3.9624952847463289E-3</v>
      </c>
      <c r="BV106" s="390">
        <f>IFERROR(AM106*$BS$2+BH106*$BS$4+R106*$BS$3,VLOOKUP(A106,'Updated Ncino PD'!A:K,5,FALSE))</f>
        <v>7.9030068886332145E-3</v>
      </c>
      <c r="BW106" s="390">
        <f>IFERROR(AN106*$BS$2+BI106*$BS$4+S106*$BS$3,VLOOKUP(A106,'Updated Ncino PD'!A:K,6,FALSE))</f>
        <v>1.1821668552118494E-2</v>
      </c>
      <c r="BX106" s="390">
        <f>IFERROR(AO106*$BS$2+BJ106*$BS$4+T106*$BS$3,VLOOKUP(A106,'Updated Ncino PD'!A:K,7,FALSE))</f>
        <v>1.571861313866927E-2</v>
      </c>
      <c r="BY106" s="390">
        <f>IFERROR(AP106*$BS$2+BK106*$BS$4+U106*$BS$3,VLOOKUP(A106,'Updated Ncino PD'!A:K,8,FALSE))</f>
        <v>2.8240587475052547E-2</v>
      </c>
      <c r="BZ106" s="390">
        <f>IFERROR(AQ106*$BS$2+BL106*$BS$4+V106*$BS$3,VLOOKUP(A106,'Updated Ncino PD'!A:K,9,FALSE))</f>
        <v>3.9156678714969279E-2</v>
      </c>
      <c r="CA106" s="390">
        <f>IFERROR(AR106*$BS$2+BM106*$BS$4+W106*$BS$3,VLOOKUP(A106,'Updated Ncino PD'!A:K,10,FALSE))</f>
        <v>4.9016497532860234E-2</v>
      </c>
      <c r="CB106" s="390">
        <f>IFERROR(AS106*$BS$2+BN106*$BS$4+X106*$BS$3,VLOOKUP(A106,'Updated Ncino PD'!A:K,11,FALSE))</f>
        <v>5.8124052748151897E-2</v>
      </c>
      <c r="CC106" s="390">
        <f t="shared" si="111"/>
        <v>1.571861313866927E-2</v>
      </c>
      <c r="CD106" s="390">
        <f t="shared" si="112"/>
        <v>5.8124052748151897E-2</v>
      </c>
      <c r="CE106" s="355"/>
      <c r="CF106" s="450">
        <f t="shared" si="113"/>
        <v>1.992E-2</v>
      </c>
      <c r="CG106" s="450">
        <f t="shared" si="114"/>
        <v>1.6219999999999998E-2</v>
      </c>
      <c r="CH106" s="450">
        <f t="shared" si="115"/>
        <v>1.4385E-2</v>
      </c>
      <c r="CI106" s="450">
        <f t="shared" si="116"/>
        <v>1.319E-2</v>
      </c>
      <c r="CJ106" s="450">
        <f t="shared" si="117"/>
        <v>1.235E-2</v>
      </c>
    </row>
    <row r="107" spans="1:88" hidden="1" x14ac:dyDescent="0.25">
      <c r="A107" s="400">
        <v>1100000272</v>
      </c>
      <c r="B107" s="455" t="str">
        <f>VLOOKUP(A107,'Loan Book Summary'!C:G,5,FALSE)</f>
        <v>0015800000WRe2v</v>
      </c>
      <c r="C107" s="167">
        <f>VLOOKUP(A107,'Ref-Data'!$A:$I,9,0)</f>
        <v>1</v>
      </c>
      <c r="D107" s="445">
        <f>VLOOKUP(A107,'Adjustment Factor'!A:C,3,0)</f>
        <v>0.78908700495327666</v>
      </c>
      <c r="E107" s="446">
        <f>VLOOKUP(A107,'Ref-Data'!A:C,2,FALSE)</f>
        <v>5000000</v>
      </c>
      <c r="F107" s="445">
        <f>VLOOKUP(A107,'Ref-Data'!$A:$F,6,FALSE)</f>
        <v>4.6926762491444221</v>
      </c>
      <c r="G107" s="346"/>
      <c r="H107" s="273">
        <f>VLOOKUP($B107, 'Output 96% Downside'!$A:$CW,42,FALSE)</f>
        <v>3.4799999999999998E-2</v>
      </c>
      <c r="I107" s="273">
        <f>VLOOKUP($B107, 'Output 96% Downside'!$A:$CW,43,FALSE)</f>
        <v>2.6599999999999999E-2</v>
      </c>
      <c r="J107" s="273">
        <f>VLOOKUP($B107, 'Output 96% Downside'!$A:$CW,44,FALSE)</f>
        <v>2.2700000000000001E-2</v>
      </c>
      <c r="K107" s="273">
        <f>VLOOKUP($B107, 'Output 96% Downside'!$A:$CW,45,FALSE)</f>
        <v>2.0299999999999999E-2</v>
      </c>
      <c r="L107" s="273">
        <f>VLOOKUP($B107, 'Output 96% Downside'!$A:$CW,46,FALSE)</f>
        <v>1.8599999999999998E-2</v>
      </c>
      <c r="M107" s="447">
        <f t="shared" si="72"/>
        <v>8.8158963819027214E-3</v>
      </c>
      <c r="N107" s="447">
        <f t="shared" si="73"/>
        <v>1.7554072734789039E-2</v>
      </c>
      <c r="O107" s="447">
        <f t="shared" si="74"/>
        <v>2.6215214230381423E-2</v>
      </c>
      <c r="P107" s="346"/>
      <c r="Q107" s="390">
        <f t="shared" si="75"/>
        <v>6.9565092719740462E-3</v>
      </c>
      <c r="R107" s="390">
        <f t="shared" si="76"/>
        <v>1.3851690679026658E-2</v>
      </c>
      <c r="S107" s="390">
        <f t="shared" si="77"/>
        <v>2.0686084881260194E-2</v>
      </c>
      <c r="T107" s="390">
        <f t="shared" si="78"/>
        <v>2.7460227772374026E-2</v>
      </c>
      <c r="U107" s="390">
        <f t="shared" si="79"/>
        <v>4.7719500045385929E-2</v>
      </c>
      <c r="V107" s="390">
        <f t="shared" si="80"/>
        <v>6.454854240679507E-2</v>
      </c>
      <c r="W107" s="390">
        <f t="shared" si="81"/>
        <v>7.9256673196488672E-2</v>
      </c>
      <c r="X107" s="390">
        <f t="shared" si="82"/>
        <v>9.2459517367164915E-2</v>
      </c>
      <c r="Y107" s="390">
        <f t="shared" si="83"/>
        <v>2.7460227772374026E-2</v>
      </c>
      <c r="Z107" s="390">
        <f t="shared" si="84"/>
        <v>9.2459517367164915E-2</v>
      </c>
      <c r="AA107" s="355"/>
      <c r="AB107" s="355"/>
      <c r="AC107" s="273">
        <f>VLOOKUP($B107, 'Output Baseline'!$A:$CW,42,FALSE)</f>
        <v>1.49E-2</v>
      </c>
      <c r="AD107" s="273">
        <f>VLOOKUP($B107, 'Output Baseline'!$A:$CW,43,FALSE)</f>
        <v>1.2800000000000001E-2</v>
      </c>
      <c r="AE107" s="273">
        <f>VLOOKUP($B107, 'Output Baseline'!$A:$CW,44,FALSE)</f>
        <v>1.17E-2</v>
      </c>
      <c r="AF107" s="273">
        <f>VLOOKUP($B107, 'Output Baseline'!$A:$CW,45,FALSE)</f>
        <v>1.09E-2</v>
      </c>
      <c r="AG107" s="273">
        <f>VLOOKUP($B107, 'Output Baseline'!$A:$CW,46,FALSE)</f>
        <v>1.04E-2</v>
      </c>
      <c r="AH107" s="447">
        <f t="shared" si="85"/>
        <v>3.7459962150467874E-3</v>
      </c>
      <c r="AI107" s="447">
        <f t="shared" si="86"/>
        <v>7.477959942450485E-3</v>
      </c>
      <c r="AJ107" s="447">
        <f t="shared" si="87"/>
        <v>1.1195943747856596E-2</v>
      </c>
      <c r="AK107" s="346"/>
      <c r="AL107" s="390">
        <f t="shared" si="88"/>
        <v>2.9559169338975798E-3</v>
      </c>
      <c r="AM107" s="390">
        <f t="shared" si="89"/>
        <v>5.9007610141488306E-3</v>
      </c>
      <c r="AN107" s="390">
        <f t="shared" si="90"/>
        <v>8.8345737196215239E-3</v>
      </c>
      <c r="AO107" s="390">
        <f t="shared" si="91"/>
        <v>1.1757396373803823E-2</v>
      </c>
      <c r="AP107" s="390">
        <f t="shared" si="92"/>
        <v>2.1707215363621139E-2</v>
      </c>
      <c r="AQ107" s="390">
        <f t="shared" si="93"/>
        <v>3.0685558901820158E-2</v>
      </c>
      <c r="AR107" s="390">
        <f t="shared" si="94"/>
        <v>3.8952134663781023E-2</v>
      </c>
      <c r="AS107" s="390">
        <f t="shared" si="95"/>
        <v>4.6753537314791753E-2</v>
      </c>
      <c r="AT107" s="390">
        <f t="shared" si="96"/>
        <v>1.1757396373803823E-2</v>
      </c>
      <c r="AU107" s="390">
        <f t="shared" si="97"/>
        <v>4.6753537314791753E-2</v>
      </c>
      <c r="AV107" s="355"/>
      <c r="AW107" s="355"/>
      <c r="AX107" s="273">
        <f>VLOOKUP($B107, 'Output 90% Downside'!$A:$CW,42,FALSE)</f>
        <v>2.64E-2</v>
      </c>
      <c r="AY107" s="273">
        <f>VLOOKUP($B107, 'Output 90% Downside'!$A:$CW,43,FALSE)</f>
        <v>2.06E-2</v>
      </c>
      <c r="AZ107" s="273">
        <f>VLOOKUP($B107, 'Output 90% Downside'!$A:$CW,44,FALSE)</f>
        <v>1.78E-2</v>
      </c>
      <c r="BA107" s="273">
        <f>VLOOKUP($B107, 'Output 90% Downside'!$A:$CW,45,FALSE)</f>
        <v>1.61E-2</v>
      </c>
      <c r="BB107" s="273">
        <f>VLOOKUP($B107, 'Output 90% Downside'!$A:$CW,46,FALSE)</f>
        <v>1.4800000000000001E-2</v>
      </c>
      <c r="BC107" s="447">
        <f t="shared" si="98"/>
        <v>6.6663648685196808E-3</v>
      </c>
      <c r="BD107" s="447">
        <f t="shared" si="99"/>
        <v>1.3288289316479074E-2</v>
      </c>
      <c r="BE107" s="447">
        <f t="shared" si="100"/>
        <v>1.9866069599936642E-2</v>
      </c>
      <c r="BF107" s="346"/>
      <c r="BG107" s="390">
        <f t="shared" si="101"/>
        <v>5.2603418880259392E-3</v>
      </c>
      <c r="BH107" s="390">
        <f t="shared" si="102"/>
        <v>1.0485616417693097E-2</v>
      </c>
      <c r="BI107" s="390">
        <f t="shared" si="103"/>
        <v>1.5676057360807343E-2</v>
      </c>
      <c r="BJ107" s="390">
        <f t="shared" si="104"/>
        <v>2.0831896930766505E-2</v>
      </c>
      <c r="BK107" s="390">
        <f t="shared" si="105"/>
        <v>3.6657952156030189E-2</v>
      </c>
      <c r="BL107" s="390">
        <f t="shared" si="106"/>
        <v>5.0051189295821231E-2</v>
      </c>
      <c r="BM107" s="390">
        <f t="shared" si="107"/>
        <v>6.1949665927906253E-2</v>
      </c>
      <c r="BN107" s="390">
        <f t="shared" si="108"/>
        <v>7.2711298545481723E-2</v>
      </c>
      <c r="BO107" s="390">
        <f t="shared" si="109"/>
        <v>2.0831896930766505E-2</v>
      </c>
      <c r="BP107" s="390">
        <f t="shared" si="110"/>
        <v>7.2711298545481723E-2</v>
      </c>
      <c r="BQ107" s="347"/>
      <c r="BR107" s="355"/>
      <c r="BS107" s="355"/>
      <c r="BT107" s="355"/>
      <c r="BU107" s="390">
        <f>IFERROR(AL107*$BS$2+BG107*$BS$4+Q107*$BS$3,VLOOKUP(A107,'Updated Ncino PD'!A:K,4,FALSE))</f>
        <v>3.9624952847463289E-3</v>
      </c>
      <c r="BV107" s="390">
        <f>IFERROR(AM107*$BS$2+BH107*$BS$4+R107*$BS$3,VLOOKUP(A107,'Updated Ncino PD'!A:K,5,FALSE))</f>
        <v>7.9030068886332145E-3</v>
      </c>
      <c r="BW107" s="390">
        <f>IFERROR(AN107*$BS$2+BI107*$BS$4+S107*$BS$3,VLOOKUP(A107,'Updated Ncino PD'!A:K,6,FALSE))</f>
        <v>1.1821668552118494E-2</v>
      </c>
      <c r="BX107" s="390">
        <f>IFERROR(AO107*$BS$2+BJ107*$BS$4+T107*$BS$3,VLOOKUP(A107,'Updated Ncino PD'!A:K,7,FALSE))</f>
        <v>1.571861313866927E-2</v>
      </c>
      <c r="BY107" s="390">
        <f>IFERROR(AP107*$BS$2+BK107*$BS$4+U107*$BS$3,VLOOKUP(A107,'Updated Ncino PD'!A:K,8,FALSE))</f>
        <v>2.8240587475052547E-2</v>
      </c>
      <c r="BZ107" s="390">
        <f>IFERROR(AQ107*$BS$2+BL107*$BS$4+V107*$BS$3,VLOOKUP(A107,'Updated Ncino PD'!A:K,9,FALSE))</f>
        <v>3.9156678714969279E-2</v>
      </c>
      <c r="CA107" s="390">
        <f>IFERROR(AR107*$BS$2+BM107*$BS$4+W107*$BS$3,VLOOKUP(A107,'Updated Ncino PD'!A:K,10,FALSE))</f>
        <v>4.9016497532860234E-2</v>
      </c>
      <c r="CB107" s="390">
        <f>IFERROR(AS107*$BS$2+BN107*$BS$4+X107*$BS$3,VLOOKUP(A107,'Updated Ncino PD'!A:K,11,FALSE))</f>
        <v>5.8124052748151897E-2</v>
      </c>
      <c r="CC107" s="390">
        <f t="shared" si="111"/>
        <v>1.571861313866927E-2</v>
      </c>
      <c r="CD107" s="390">
        <f t="shared" si="112"/>
        <v>5.8124052748151897E-2</v>
      </c>
      <c r="CE107" s="355"/>
      <c r="CF107" s="450">
        <f t="shared" si="113"/>
        <v>1.992E-2</v>
      </c>
      <c r="CG107" s="450">
        <f t="shared" si="114"/>
        <v>1.6219999999999998E-2</v>
      </c>
      <c r="CH107" s="450">
        <f t="shared" si="115"/>
        <v>1.4385E-2</v>
      </c>
      <c r="CI107" s="450">
        <f t="shared" si="116"/>
        <v>1.319E-2</v>
      </c>
      <c r="CJ107" s="450">
        <f t="shared" si="117"/>
        <v>1.235E-2</v>
      </c>
    </row>
    <row r="108" spans="1:88" hidden="1" x14ac:dyDescent="0.25">
      <c r="A108" s="400">
        <v>1100000274</v>
      </c>
      <c r="B108" s="455" t="str">
        <f>VLOOKUP(A108,'Loan Book Summary'!C:G,5,FALSE)</f>
        <v>0015800000WRe2v</v>
      </c>
      <c r="C108" s="167">
        <f>VLOOKUP(A108,'Ref-Data'!$A:$I,9,0)</f>
        <v>1</v>
      </c>
      <c r="D108" s="445">
        <f>VLOOKUP(A108,'Adjustment Factor'!A:C,3,0)</f>
        <v>0.78908700495327666</v>
      </c>
      <c r="E108" s="446">
        <f>VLOOKUP(A108,'Ref-Data'!A:C,2,FALSE)</f>
        <v>8400000</v>
      </c>
      <c r="F108" s="445">
        <f>VLOOKUP(A108,'Ref-Data'!$A:$F,6,FALSE)</f>
        <v>4.6926762491444221</v>
      </c>
      <c r="G108" s="346"/>
      <c r="H108" s="273">
        <f>VLOOKUP($B108, 'Output 96% Downside'!$A:$CW,42,FALSE)</f>
        <v>3.4799999999999998E-2</v>
      </c>
      <c r="I108" s="273">
        <f>VLOOKUP($B108, 'Output 96% Downside'!$A:$CW,43,FALSE)</f>
        <v>2.6599999999999999E-2</v>
      </c>
      <c r="J108" s="273">
        <f>VLOOKUP($B108, 'Output 96% Downside'!$A:$CW,44,FALSE)</f>
        <v>2.2700000000000001E-2</v>
      </c>
      <c r="K108" s="273">
        <f>VLOOKUP($B108, 'Output 96% Downside'!$A:$CW,45,FALSE)</f>
        <v>2.0299999999999999E-2</v>
      </c>
      <c r="L108" s="273">
        <f>VLOOKUP($B108, 'Output 96% Downside'!$A:$CW,46,FALSE)</f>
        <v>1.8599999999999998E-2</v>
      </c>
      <c r="M108" s="447">
        <f t="shared" si="72"/>
        <v>8.8158963819027214E-3</v>
      </c>
      <c r="N108" s="447">
        <f t="shared" si="73"/>
        <v>1.7554072734789039E-2</v>
      </c>
      <c r="O108" s="447">
        <f t="shared" si="74"/>
        <v>2.6215214230381423E-2</v>
      </c>
      <c r="P108" s="346"/>
      <c r="Q108" s="390">
        <f t="shared" si="75"/>
        <v>6.9565092719740462E-3</v>
      </c>
      <c r="R108" s="390">
        <f t="shared" si="76"/>
        <v>1.3851690679026658E-2</v>
      </c>
      <c r="S108" s="390">
        <f t="shared" si="77"/>
        <v>2.0686084881260194E-2</v>
      </c>
      <c r="T108" s="390">
        <f t="shared" si="78"/>
        <v>2.7460227772374026E-2</v>
      </c>
      <c r="U108" s="390">
        <f t="shared" si="79"/>
        <v>4.7719500045385929E-2</v>
      </c>
      <c r="V108" s="390">
        <f t="shared" si="80"/>
        <v>6.454854240679507E-2</v>
      </c>
      <c r="W108" s="390">
        <f t="shared" si="81"/>
        <v>7.9256673196488672E-2</v>
      </c>
      <c r="X108" s="390">
        <f t="shared" si="82"/>
        <v>9.2459517367164915E-2</v>
      </c>
      <c r="Y108" s="390">
        <f t="shared" si="83"/>
        <v>2.7460227772374026E-2</v>
      </c>
      <c r="Z108" s="390">
        <f t="shared" si="84"/>
        <v>9.2459517367164915E-2</v>
      </c>
      <c r="AA108" s="355"/>
      <c r="AB108" s="355"/>
      <c r="AC108" s="273">
        <f>VLOOKUP($B108, 'Output Baseline'!$A:$CW,42,FALSE)</f>
        <v>1.49E-2</v>
      </c>
      <c r="AD108" s="273">
        <f>VLOOKUP($B108, 'Output Baseline'!$A:$CW,43,FALSE)</f>
        <v>1.2800000000000001E-2</v>
      </c>
      <c r="AE108" s="273">
        <f>VLOOKUP($B108, 'Output Baseline'!$A:$CW,44,FALSE)</f>
        <v>1.17E-2</v>
      </c>
      <c r="AF108" s="273">
        <f>VLOOKUP($B108, 'Output Baseline'!$A:$CW,45,FALSE)</f>
        <v>1.09E-2</v>
      </c>
      <c r="AG108" s="273">
        <f>VLOOKUP($B108, 'Output Baseline'!$A:$CW,46,FALSE)</f>
        <v>1.04E-2</v>
      </c>
      <c r="AH108" s="447">
        <f t="shared" si="85"/>
        <v>3.7459962150467874E-3</v>
      </c>
      <c r="AI108" s="447">
        <f t="shared" si="86"/>
        <v>7.477959942450485E-3</v>
      </c>
      <c r="AJ108" s="447">
        <f t="shared" si="87"/>
        <v>1.1195943747856596E-2</v>
      </c>
      <c r="AK108" s="346"/>
      <c r="AL108" s="390">
        <f t="shared" si="88"/>
        <v>2.9559169338975798E-3</v>
      </c>
      <c r="AM108" s="390">
        <f t="shared" si="89"/>
        <v>5.9007610141488306E-3</v>
      </c>
      <c r="AN108" s="390">
        <f t="shared" si="90"/>
        <v>8.8345737196215239E-3</v>
      </c>
      <c r="AO108" s="390">
        <f t="shared" si="91"/>
        <v>1.1757396373803823E-2</v>
      </c>
      <c r="AP108" s="390">
        <f t="shared" si="92"/>
        <v>2.1707215363621139E-2</v>
      </c>
      <c r="AQ108" s="390">
        <f t="shared" si="93"/>
        <v>3.0685558901820158E-2</v>
      </c>
      <c r="AR108" s="390">
        <f t="shared" si="94"/>
        <v>3.8952134663781023E-2</v>
      </c>
      <c r="AS108" s="390">
        <f t="shared" si="95"/>
        <v>4.6753537314791753E-2</v>
      </c>
      <c r="AT108" s="390">
        <f t="shared" si="96"/>
        <v>1.1757396373803823E-2</v>
      </c>
      <c r="AU108" s="390">
        <f t="shared" si="97"/>
        <v>4.6753537314791753E-2</v>
      </c>
      <c r="AV108" s="355"/>
      <c r="AW108" s="355"/>
      <c r="AX108" s="273">
        <f>VLOOKUP($B108, 'Output 90% Downside'!$A:$CW,42,FALSE)</f>
        <v>2.64E-2</v>
      </c>
      <c r="AY108" s="273">
        <f>VLOOKUP($B108, 'Output 90% Downside'!$A:$CW,43,FALSE)</f>
        <v>2.06E-2</v>
      </c>
      <c r="AZ108" s="273">
        <f>VLOOKUP($B108, 'Output 90% Downside'!$A:$CW,44,FALSE)</f>
        <v>1.78E-2</v>
      </c>
      <c r="BA108" s="273">
        <f>VLOOKUP($B108, 'Output 90% Downside'!$A:$CW,45,FALSE)</f>
        <v>1.61E-2</v>
      </c>
      <c r="BB108" s="273">
        <f>VLOOKUP($B108, 'Output 90% Downside'!$A:$CW,46,FALSE)</f>
        <v>1.4800000000000001E-2</v>
      </c>
      <c r="BC108" s="447">
        <f t="shared" si="98"/>
        <v>6.6663648685196808E-3</v>
      </c>
      <c r="BD108" s="447">
        <f t="shared" si="99"/>
        <v>1.3288289316479074E-2</v>
      </c>
      <c r="BE108" s="447">
        <f t="shared" si="100"/>
        <v>1.9866069599936642E-2</v>
      </c>
      <c r="BF108" s="346"/>
      <c r="BG108" s="390">
        <f t="shared" si="101"/>
        <v>5.2603418880259392E-3</v>
      </c>
      <c r="BH108" s="390">
        <f t="shared" si="102"/>
        <v>1.0485616417693097E-2</v>
      </c>
      <c r="BI108" s="390">
        <f t="shared" si="103"/>
        <v>1.5676057360807343E-2</v>
      </c>
      <c r="BJ108" s="390">
        <f t="shared" si="104"/>
        <v>2.0831896930766505E-2</v>
      </c>
      <c r="BK108" s="390">
        <f t="shared" si="105"/>
        <v>3.6657952156030189E-2</v>
      </c>
      <c r="BL108" s="390">
        <f t="shared" si="106"/>
        <v>5.0051189295821231E-2</v>
      </c>
      <c r="BM108" s="390">
        <f t="shared" si="107"/>
        <v>6.1949665927906253E-2</v>
      </c>
      <c r="BN108" s="390">
        <f t="shared" si="108"/>
        <v>7.2711298545481723E-2</v>
      </c>
      <c r="BO108" s="390">
        <f t="shared" si="109"/>
        <v>2.0831896930766505E-2</v>
      </c>
      <c r="BP108" s="390">
        <f t="shared" si="110"/>
        <v>7.2711298545481723E-2</v>
      </c>
      <c r="BQ108" s="347"/>
      <c r="BR108" s="355"/>
      <c r="BS108" s="355"/>
      <c r="BT108" s="355"/>
      <c r="BU108" s="390">
        <f>IFERROR(AL108*$BS$2+BG108*$BS$4+Q108*$BS$3,VLOOKUP(A108,'Updated Ncino PD'!A:K,4,FALSE))</f>
        <v>3.9624952847463289E-3</v>
      </c>
      <c r="BV108" s="390">
        <f>IFERROR(AM108*$BS$2+BH108*$BS$4+R108*$BS$3,VLOOKUP(A108,'Updated Ncino PD'!A:K,5,FALSE))</f>
        <v>7.9030068886332145E-3</v>
      </c>
      <c r="BW108" s="390">
        <f>IFERROR(AN108*$BS$2+BI108*$BS$4+S108*$BS$3,VLOOKUP(A108,'Updated Ncino PD'!A:K,6,FALSE))</f>
        <v>1.1821668552118494E-2</v>
      </c>
      <c r="BX108" s="390">
        <f>IFERROR(AO108*$BS$2+BJ108*$BS$4+T108*$BS$3,VLOOKUP(A108,'Updated Ncino PD'!A:K,7,FALSE))</f>
        <v>1.571861313866927E-2</v>
      </c>
      <c r="BY108" s="390">
        <f>IFERROR(AP108*$BS$2+BK108*$BS$4+U108*$BS$3,VLOOKUP(A108,'Updated Ncino PD'!A:K,8,FALSE))</f>
        <v>2.8240587475052547E-2</v>
      </c>
      <c r="BZ108" s="390">
        <f>IFERROR(AQ108*$BS$2+BL108*$BS$4+V108*$BS$3,VLOOKUP(A108,'Updated Ncino PD'!A:K,9,FALSE))</f>
        <v>3.9156678714969279E-2</v>
      </c>
      <c r="CA108" s="390">
        <f>IFERROR(AR108*$BS$2+BM108*$BS$4+W108*$BS$3,VLOOKUP(A108,'Updated Ncino PD'!A:K,10,FALSE))</f>
        <v>4.9016497532860234E-2</v>
      </c>
      <c r="CB108" s="390">
        <f>IFERROR(AS108*$BS$2+BN108*$BS$4+X108*$BS$3,VLOOKUP(A108,'Updated Ncino PD'!A:K,11,FALSE))</f>
        <v>5.8124052748151897E-2</v>
      </c>
      <c r="CC108" s="390">
        <f t="shared" si="111"/>
        <v>1.571861313866927E-2</v>
      </c>
      <c r="CD108" s="390">
        <f t="shared" si="112"/>
        <v>5.8124052748151897E-2</v>
      </c>
      <c r="CE108" s="355"/>
      <c r="CF108" s="450">
        <f t="shared" si="113"/>
        <v>1.992E-2</v>
      </c>
      <c r="CG108" s="450">
        <f t="shared" si="114"/>
        <v>1.6219999999999998E-2</v>
      </c>
      <c r="CH108" s="450">
        <f t="shared" si="115"/>
        <v>1.4385E-2</v>
      </c>
      <c r="CI108" s="450">
        <f t="shared" si="116"/>
        <v>1.319E-2</v>
      </c>
      <c r="CJ108" s="450">
        <f t="shared" si="117"/>
        <v>1.235E-2</v>
      </c>
    </row>
    <row r="109" spans="1:88" hidden="1" x14ac:dyDescent="0.25">
      <c r="A109" s="400">
        <v>1100000273</v>
      </c>
      <c r="B109" s="455" t="str">
        <f>VLOOKUP(A109,'Loan Book Summary'!C:G,5,FALSE)</f>
        <v>0015800000WRe2v</v>
      </c>
      <c r="C109" s="167">
        <f>VLOOKUP(A109,'Ref-Data'!$A:$I,9,0)</f>
        <v>1</v>
      </c>
      <c r="D109" s="445">
        <f>VLOOKUP(A109,'Adjustment Factor'!A:C,3,0)</f>
        <v>0.78908700495327666</v>
      </c>
      <c r="E109" s="446">
        <f>VLOOKUP(A109,'Ref-Data'!A:C,2,FALSE)</f>
        <v>5000000</v>
      </c>
      <c r="F109" s="445">
        <f>VLOOKUP(A109,'Ref-Data'!$A:$F,6,FALSE)</f>
        <v>4.6926762491444221</v>
      </c>
      <c r="G109" s="346"/>
      <c r="H109" s="273">
        <f>VLOOKUP($B109, 'Output 96% Downside'!$A:$CW,42,FALSE)</f>
        <v>3.4799999999999998E-2</v>
      </c>
      <c r="I109" s="273">
        <f>VLOOKUP($B109, 'Output 96% Downside'!$A:$CW,43,FALSE)</f>
        <v>2.6599999999999999E-2</v>
      </c>
      <c r="J109" s="273">
        <f>VLOOKUP($B109, 'Output 96% Downside'!$A:$CW,44,FALSE)</f>
        <v>2.2700000000000001E-2</v>
      </c>
      <c r="K109" s="273">
        <f>VLOOKUP($B109, 'Output 96% Downside'!$A:$CW,45,FALSE)</f>
        <v>2.0299999999999999E-2</v>
      </c>
      <c r="L109" s="273">
        <f>VLOOKUP($B109, 'Output 96% Downside'!$A:$CW,46,FALSE)</f>
        <v>1.8599999999999998E-2</v>
      </c>
      <c r="M109" s="447">
        <f t="shared" si="72"/>
        <v>8.8158963819027214E-3</v>
      </c>
      <c r="N109" s="447">
        <f t="shared" si="73"/>
        <v>1.7554072734789039E-2</v>
      </c>
      <c r="O109" s="447">
        <f t="shared" si="74"/>
        <v>2.6215214230381423E-2</v>
      </c>
      <c r="P109" s="346"/>
      <c r="Q109" s="390">
        <f t="shared" si="75"/>
        <v>6.9565092719740462E-3</v>
      </c>
      <c r="R109" s="390">
        <f t="shared" si="76"/>
        <v>1.3851690679026658E-2</v>
      </c>
      <c r="S109" s="390">
        <f t="shared" si="77"/>
        <v>2.0686084881260194E-2</v>
      </c>
      <c r="T109" s="390">
        <f t="shared" si="78"/>
        <v>2.7460227772374026E-2</v>
      </c>
      <c r="U109" s="390">
        <f t="shared" si="79"/>
        <v>4.7719500045385929E-2</v>
      </c>
      <c r="V109" s="390">
        <f t="shared" si="80"/>
        <v>6.454854240679507E-2</v>
      </c>
      <c r="W109" s="390">
        <f t="shared" si="81"/>
        <v>7.9256673196488672E-2</v>
      </c>
      <c r="X109" s="390">
        <f t="shared" si="82"/>
        <v>9.2459517367164915E-2</v>
      </c>
      <c r="Y109" s="390">
        <f t="shared" si="83"/>
        <v>2.7460227772374026E-2</v>
      </c>
      <c r="Z109" s="390">
        <f t="shared" si="84"/>
        <v>9.2459517367164915E-2</v>
      </c>
      <c r="AA109" s="355"/>
      <c r="AB109" s="355"/>
      <c r="AC109" s="273">
        <f>VLOOKUP($B109, 'Output Baseline'!$A:$CW,42,FALSE)</f>
        <v>1.49E-2</v>
      </c>
      <c r="AD109" s="273">
        <f>VLOOKUP($B109, 'Output Baseline'!$A:$CW,43,FALSE)</f>
        <v>1.2800000000000001E-2</v>
      </c>
      <c r="AE109" s="273">
        <f>VLOOKUP($B109, 'Output Baseline'!$A:$CW,44,FALSE)</f>
        <v>1.17E-2</v>
      </c>
      <c r="AF109" s="273">
        <f>VLOOKUP($B109, 'Output Baseline'!$A:$CW,45,FALSE)</f>
        <v>1.09E-2</v>
      </c>
      <c r="AG109" s="273">
        <f>VLOOKUP($B109, 'Output Baseline'!$A:$CW,46,FALSE)</f>
        <v>1.04E-2</v>
      </c>
      <c r="AH109" s="447">
        <f t="shared" si="85"/>
        <v>3.7459962150467874E-3</v>
      </c>
      <c r="AI109" s="447">
        <f t="shared" si="86"/>
        <v>7.477959942450485E-3</v>
      </c>
      <c r="AJ109" s="447">
        <f t="shared" si="87"/>
        <v>1.1195943747856596E-2</v>
      </c>
      <c r="AK109" s="346"/>
      <c r="AL109" s="390">
        <f t="shared" si="88"/>
        <v>2.9559169338975798E-3</v>
      </c>
      <c r="AM109" s="390">
        <f t="shared" si="89"/>
        <v>5.9007610141488306E-3</v>
      </c>
      <c r="AN109" s="390">
        <f t="shared" si="90"/>
        <v>8.8345737196215239E-3</v>
      </c>
      <c r="AO109" s="390">
        <f t="shared" si="91"/>
        <v>1.1757396373803823E-2</v>
      </c>
      <c r="AP109" s="390">
        <f t="shared" si="92"/>
        <v>2.1707215363621139E-2</v>
      </c>
      <c r="AQ109" s="390">
        <f t="shared" si="93"/>
        <v>3.0685558901820158E-2</v>
      </c>
      <c r="AR109" s="390">
        <f t="shared" si="94"/>
        <v>3.8952134663781023E-2</v>
      </c>
      <c r="AS109" s="390">
        <f t="shared" si="95"/>
        <v>4.6753537314791753E-2</v>
      </c>
      <c r="AT109" s="390">
        <f t="shared" si="96"/>
        <v>1.1757396373803823E-2</v>
      </c>
      <c r="AU109" s="390">
        <f t="shared" si="97"/>
        <v>4.6753537314791753E-2</v>
      </c>
      <c r="AV109" s="355"/>
      <c r="AW109" s="355"/>
      <c r="AX109" s="273">
        <f>VLOOKUP($B109, 'Output 90% Downside'!$A:$CW,42,FALSE)</f>
        <v>2.64E-2</v>
      </c>
      <c r="AY109" s="273">
        <f>VLOOKUP($B109, 'Output 90% Downside'!$A:$CW,43,FALSE)</f>
        <v>2.06E-2</v>
      </c>
      <c r="AZ109" s="273">
        <f>VLOOKUP($B109, 'Output 90% Downside'!$A:$CW,44,FALSE)</f>
        <v>1.78E-2</v>
      </c>
      <c r="BA109" s="273">
        <f>VLOOKUP($B109, 'Output 90% Downside'!$A:$CW,45,FALSE)</f>
        <v>1.61E-2</v>
      </c>
      <c r="BB109" s="273">
        <f>VLOOKUP($B109, 'Output 90% Downside'!$A:$CW,46,FALSE)</f>
        <v>1.4800000000000001E-2</v>
      </c>
      <c r="BC109" s="447">
        <f t="shared" si="98"/>
        <v>6.6663648685196808E-3</v>
      </c>
      <c r="BD109" s="447">
        <f t="shared" si="99"/>
        <v>1.3288289316479074E-2</v>
      </c>
      <c r="BE109" s="447">
        <f t="shared" si="100"/>
        <v>1.9866069599936642E-2</v>
      </c>
      <c r="BF109" s="346"/>
      <c r="BG109" s="390">
        <f t="shared" si="101"/>
        <v>5.2603418880259392E-3</v>
      </c>
      <c r="BH109" s="390">
        <f t="shared" si="102"/>
        <v>1.0485616417693097E-2</v>
      </c>
      <c r="BI109" s="390">
        <f t="shared" si="103"/>
        <v>1.5676057360807343E-2</v>
      </c>
      <c r="BJ109" s="390">
        <f t="shared" si="104"/>
        <v>2.0831896930766505E-2</v>
      </c>
      <c r="BK109" s="390">
        <f t="shared" si="105"/>
        <v>3.6657952156030189E-2</v>
      </c>
      <c r="BL109" s="390">
        <f t="shared" si="106"/>
        <v>5.0051189295821231E-2</v>
      </c>
      <c r="BM109" s="390">
        <f t="shared" si="107"/>
        <v>6.1949665927906253E-2</v>
      </c>
      <c r="BN109" s="390">
        <f t="shared" si="108"/>
        <v>7.2711298545481723E-2</v>
      </c>
      <c r="BO109" s="390">
        <f t="shared" si="109"/>
        <v>2.0831896930766505E-2</v>
      </c>
      <c r="BP109" s="390">
        <f t="shared" si="110"/>
        <v>7.2711298545481723E-2</v>
      </c>
      <c r="BQ109" s="347"/>
      <c r="BR109" s="355"/>
      <c r="BS109" s="355"/>
      <c r="BT109" s="355"/>
      <c r="BU109" s="390">
        <f>IFERROR(AL109*$BS$2+BG109*$BS$4+Q109*$BS$3,VLOOKUP(A109,'Updated Ncino PD'!A:K,4,FALSE))</f>
        <v>3.9624952847463289E-3</v>
      </c>
      <c r="BV109" s="390">
        <f>IFERROR(AM109*$BS$2+BH109*$BS$4+R109*$BS$3,VLOOKUP(A109,'Updated Ncino PD'!A:K,5,FALSE))</f>
        <v>7.9030068886332145E-3</v>
      </c>
      <c r="BW109" s="390">
        <f>IFERROR(AN109*$BS$2+BI109*$BS$4+S109*$BS$3,VLOOKUP(A109,'Updated Ncino PD'!A:K,6,FALSE))</f>
        <v>1.1821668552118494E-2</v>
      </c>
      <c r="BX109" s="390">
        <f>IFERROR(AO109*$BS$2+BJ109*$BS$4+T109*$BS$3,VLOOKUP(A109,'Updated Ncino PD'!A:K,7,FALSE))</f>
        <v>1.571861313866927E-2</v>
      </c>
      <c r="BY109" s="390">
        <f>IFERROR(AP109*$BS$2+BK109*$BS$4+U109*$BS$3,VLOOKUP(A109,'Updated Ncino PD'!A:K,8,FALSE))</f>
        <v>2.8240587475052547E-2</v>
      </c>
      <c r="BZ109" s="390">
        <f>IFERROR(AQ109*$BS$2+BL109*$BS$4+V109*$BS$3,VLOOKUP(A109,'Updated Ncino PD'!A:K,9,FALSE))</f>
        <v>3.9156678714969279E-2</v>
      </c>
      <c r="CA109" s="390">
        <f>IFERROR(AR109*$BS$2+BM109*$BS$4+W109*$BS$3,VLOOKUP(A109,'Updated Ncino PD'!A:K,10,FALSE))</f>
        <v>4.9016497532860234E-2</v>
      </c>
      <c r="CB109" s="390">
        <f>IFERROR(AS109*$BS$2+BN109*$BS$4+X109*$BS$3,VLOOKUP(A109,'Updated Ncino PD'!A:K,11,FALSE))</f>
        <v>5.8124052748151897E-2</v>
      </c>
      <c r="CC109" s="390">
        <f t="shared" si="111"/>
        <v>1.571861313866927E-2</v>
      </c>
      <c r="CD109" s="390">
        <f t="shared" si="112"/>
        <v>5.8124052748151897E-2</v>
      </c>
      <c r="CE109" s="355"/>
      <c r="CF109" s="450">
        <f t="shared" si="113"/>
        <v>1.992E-2</v>
      </c>
      <c r="CG109" s="450">
        <f t="shared" si="114"/>
        <v>1.6219999999999998E-2</v>
      </c>
      <c r="CH109" s="450">
        <f t="shared" si="115"/>
        <v>1.4385E-2</v>
      </c>
      <c r="CI109" s="450">
        <f t="shared" si="116"/>
        <v>1.319E-2</v>
      </c>
      <c r="CJ109" s="450">
        <f t="shared" si="117"/>
        <v>1.235E-2</v>
      </c>
    </row>
    <row r="110" spans="1:88" hidden="1" x14ac:dyDescent="0.25">
      <c r="A110" s="400">
        <v>1100000275</v>
      </c>
      <c r="B110" s="455" t="str">
        <f>VLOOKUP(A110,'Loan Book Summary'!C:G,5,FALSE)</f>
        <v>0018e000003CbBk</v>
      </c>
      <c r="C110" s="167">
        <f>VLOOKUP(A110,'Ref-Data'!$A:$I,9,0)</f>
        <v>1</v>
      </c>
      <c r="D110" s="445">
        <f>VLOOKUP(A110,'Adjustment Factor'!A:C,3,0)</f>
        <v>0.78908700495327666</v>
      </c>
      <c r="E110" s="446">
        <f>VLOOKUP(A110,'Ref-Data'!A:C,2,FALSE)</f>
        <v>6600000</v>
      </c>
      <c r="F110" s="445">
        <f>VLOOKUP(A110,'Ref-Data'!$A:$F,6,FALSE)</f>
        <v>4.6926762491444221</v>
      </c>
      <c r="G110" s="346"/>
      <c r="H110" s="273">
        <f>VLOOKUP($B110, 'Output 96% Downside'!$A:$CW,42,FALSE)</f>
        <v>3.4799999999999998E-2</v>
      </c>
      <c r="I110" s="273">
        <f>VLOOKUP($B110, 'Output 96% Downside'!$A:$CW,43,FALSE)</f>
        <v>2.6599999999999999E-2</v>
      </c>
      <c r="J110" s="273">
        <f>VLOOKUP($B110, 'Output 96% Downside'!$A:$CW,44,FALSE)</f>
        <v>2.2700000000000001E-2</v>
      </c>
      <c r="K110" s="273">
        <f>VLOOKUP($B110, 'Output 96% Downside'!$A:$CW,45,FALSE)</f>
        <v>2.0299999999999999E-2</v>
      </c>
      <c r="L110" s="273">
        <f>VLOOKUP($B110, 'Output 96% Downside'!$A:$CW,46,FALSE)</f>
        <v>1.8599999999999998E-2</v>
      </c>
      <c r="M110" s="447">
        <f t="shared" si="72"/>
        <v>8.8158963819027214E-3</v>
      </c>
      <c r="N110" s="447">
        <f t="shared" si="73"/>
        <v>1.7554072734789039E-2</v>
      </c>
      <c r="O110" s="447">
        <f t="shared" si="74"/>
        <v>2.6215214230381423E-2</v>
      </c>
      <c r="P110" s="346"/>
      <c r="Q110" s="390">
        <f t="shared" si="75"/>
        <v>6.9565092719740462E-3</v>
      </c>
      <c r="R110" s="390">
        <f t="shared" si="76"/>
        <v>1.3851690679026658E-2</v>
      </c>
      <c r="S110" s="390">
        <f t="shared" si="77"/>
        <v>2.0686084881260194E-2</v>
      </c>
      <c r="T110" s="390">
        <f t="shared" si="78"/>
        <v>2.7460227772374026E-2</v>
      </c>
      <c r="U110" s="390">
        <f t="shared" si="79"/>
        <v>4.7719500045385929E-2</v>
      </c>
      <c r="V110" s="390">
        <f t="shared" si="80"/>
        <v>6.454854240679507E-2</v>
      </c>
      <c r="W110" s="390">
        <f t="shared" si="81"/>
        <v>7.9256673196488672E-2</v>
      </c>
      <c r="X110" s="390">
        <f t="shared" si="82"/>
        <v>9.2459517367164915E-2</v>
      </c>
      <c r="Y110" s="390">
        <f t="shared" si="83"/>
        <v>2.7460227772374026E-2</v>
      </c>
      <c r="Z110" s="390">
        <f t="shared" si="84"/>
        <v>9.2459517367164915E-2</v>
      </c>
      <c r="AA110" s="355"/>
      <c r="AB110" s="355"/>
      <c r="AC110" s="273">
        <f>VLOOKUP($B110, 'Output Baseline'!$A:$CW,42,FALSE)</f>
        <v>1.49E-2</v>
      </c>
      <c r="AD110" s="273">
        <f>VLOOKUP($B110, 'Output Baseline'!$A:$CW,43,FALSE)</f>
        <v>1.2800000000000001E-2</v>
      </c>
      <c r="AE110" s="273">
        <f>VLOOKUP($B110, 'Output Baseline'!$A:$CW,44,FALSE)</f>
        <v>1.17E-2</v>
      </c>
      <c r="AF110" s="273">
        <f>VLOOKUP($B110, 'Output Baseline'!$A:$CW,45,FALSE)</f>
        <v>1.09E-2</v>
      </c>
      <c r="AG110" s="273">
        <f>VLOOKUP($B110, 'Output Baseline'!$A:$CW,46,FALSE)</f>
        <v>1.04E-2</v>
      </c>
      <c r="AH110" s="447">
        <f t="shared" si="85"/>
        <v>3.7459962150467874E-3</v>
      </c>
      <c r="AI110" s="447">
        <f t="shared" si="86"/>
        <v>7.477959942450485E-3</v>
      </c>
      <c r="AJ110" s="447">
        <f t="shared" si="87"/>
        <v>1.1195943747856596E-2</v>
      </c>
      <c r="AK110" s="346"/>
      <c r="AL110" s="390">
        <f t="shared" si="88"/>
        <v>2.9559169338975798E-3</v>
      </c>
      <c r="AM110" s="390">
        <f t="shared" si="89"/>
        <v>5.9007610141488306E-3</v>
      </c>
      <c r="AN110" s="390">
        <f t="shared" si="90"/>
        <v>8.8345737196215239E-3</v>
      </c>
      <c r="AO110" s="390">
        <f t="shared" si="91"/>
        <v>1.1757396373803823E-2</v>
      </c>
      <c r="AP110" s="390">
        <f t="shared" si="92"/>
        <v>2.1707215363621139E-2</v>
      </c>
      <c r="AQ110" s="390">
        <f t="shared" si="93"/>
        <v>3.0685558901820158E-2</v>
      </c>
      <c r="AR110" s="390">
        <f t="shared" si="94"/>
        <v>3.8952134663781023E-2</v>
      </c>
      <c r="AS110" s="390">
        <f t="shared" si="95"/>
        <v>4.6753537314791753E-2</v>
      </c>
      <c r="AT110" s="390">
        <f t="shared" si="96"/>
        <v>1.1757396373803823E-2</v>
      </c>
      <c r="AU110" s="390">
        <f t="shared" si="97"/>
        <v>4.6753537314791753E-2</v>
      </c>
      <c r="AV110" s="355"/>
      <c r="AW110" s="355"/>
      <c r="AX110" s="273">
        <f>VLOOKUP($B110, 'Output 90% Downside'!$A:$CW,42,FALSE)</f>
        <v>2.64E-2</v>
      </c>
      <c r="AY110" s="273">
        <f>VLOOKUP($B110, 'Output 90% Downside'!$A:$CW,43,FALSE)</f>
        <v>2.06E-2</v>
      </c>
      <c r="AZ110" s="273">
        <f>VLOOKUP($B110, 'Output 90% Downside'!$A:$CW,44,FALSE)</f>
        <v>1.78E-2</v>
      </c>
      <c r="BA110" s="273">
        <f>VLOOKUP($B110, 'Output 90% Downside'!$A:$CW,45,FALSE)</f>
        <v>1.61E-2</v>
      </c>
      <c r="BB110" s="273">
        <f>VLOOKUP($B110, 'Output 90% Downside'!$A:$CW,46,FALSE)</f>
        <v>1.4800000000000001E-2</v>
      </c>
      <c r="BC110" s="447">
        <f t="shared" si="98"/>
        <v>6.6663648685196808E-3</v>
      </c>
      <c r="BD110" s="447">
        <f t="shared" si="99"/>
        <v>1.3288289316479074E-2</v>
      </c>
      <c r="BE110" s="447">
        <f t="shared" si="100"/>
        <v>1.9866069599936642E-2</v>
      </c>
      <c r="BF110" s="346"/>
      <c r="BG110" s="390">
        <f t="shared" si="101"/>
        <v>5.2603418880259392E-3</v>
      </c>
      <c r="BH110" s="390">
        <f t="shared" si="102"/>
        <v>1.0485616417693097E-2</v>
      </c>
      <c r="BI110" s="390">
        <f t="shared" si="103"/>
        <v>1.5676057360807343E-2</v>
      </c>
      <c r="BJ110" s="390">
        <f t="shared" si="104"/>
        <v>2.0831896930766505E-2</v>
      </c>
      <c r="BK110" s="390">
        <f t="shared" si="105"/>
        <v>3.6657952156030189E-2</v>
      </c>
      <c r="BL110" s="390">
        <f t="shared" si="106"/>
        <v>5.0051189295821231E-2</v>
      </c>
      <c r="BM110" s="390">
        <f t="shared" si="107"/>
        <v>6.1949665927906253E-2</v>
      </c>
      <c r="BN110" s="390">
        <f t="shared" si="108"/>
        <v>7.2711298545481723E-2</v>
      </c>
      <c r="BO110" s="390">
        <f t="shared" si="109"/>
        <v>2.0831896930766505E-2</v>
      </c>
      <c r="BP110" s="390">
        <f t="shared" si="110"/>
        <v>7.2711298545481723E-2</v>
      </c>
      <c r="BQ110" s="347"/>
      <c r="BR110" s="355"/>
      <c r="BS110" s="355"/>
      <c r="BT110" s="355"/>
      <c r="BU110" s="390">
        <f>IFERROR(AL110*$BS$2+BG110*$BS$4+Q110*$BS$3,VLOOKUP(A110,'Updated Ncino PD'!A:K,4,FALSE))</f>
        <v>3.9624952847463289E-3</v>
      </c>
      <c r="BV110" s="390">
        <f>IFERROR(AM110*$BS$2+BH110*$BS$4+R110*$BS$3,VLOOKUP(A110,'Updated Ncino PD'!A:K,5,FALSE))</f>
        <v>7.9030068886332145E-3</v>
      </c>
      <c r="BW110" s="390">
        <f>IFERROR(AN110*$BS$2+BI110*$BS$4+S110*$BS$3,VLOOKUP(A110,'Updated Ncino PD'!A:K,6,FALSE))</f>
        <v>1.1821668552118494E-2</v>
      </c>
      <c r="BX110" s="390">
        <f>IFERROR(AO110*$BS$2+BJ110*$BS$4+T110*$BS$3,VLOOKUP(A110,'Updated Ncino PD'!A:K,7,FALSE))</f>
        <v>1.571861313866927E-2</v>
      </c>
      <c r="BY110" s="390">
        <f>IFERROR(AP110*$BS$2+BK110*$BS$4+U110*$BS$3,VLOOKUP(A110,'Updated Ncino PD'!A:K,8,FALSE))</f>
        <v>2.8240587475052547E-2</v>
      </c>
      <c r="BZ110" s="390">
        <f>IFERROR(AQ110*$BS$2+BL110*$BS$4+V110*$BS$3,VLOOKUP(A110,'Updated Ncino PD'!A:K,9,FALSE))</f>
        <v>3.9156678714969279E-2</v>
      </c>
      <c r="CA110" s="390">
        <f>IFERROR(AR110*$BS$2+BM110*$BS$4+W110*$BS$3,VLOOKUP(A110,'Updated Ncino PD'!A:K,10,FALSE))</f>
        <v>4.9016497532860234E-2</v>
      </c>
      <c r="CB110" s="390">
        <f>IFERROR(AS110*$BS$2+BN110*$BS$4+X110*$BS$3,VLOOKUP(A110,'Updated Ncino PD'!A:K,11,FALSE))</f>
        <v>5.8124052748151897E-2</v>
      </c>
      <c r="CC110" s="390">
        <f t="shared" si="111"/>
        <v>1.571861313866927E-2</v>
      </c>
      <c r="CD110" s="390">
        <f t="shared" si="112"/>
        <v>5.8124052748151897E-2</v>
      </c>
      <c r="CE110" s="355"/>
      <c r="CF110" s="450">
        <f t="shared" si="113"/>
        <v>1.992E-2</v>
      </c>
      <c r="CG110" s="450">
        <f t="shared" si="114"/>
        <v>1.6219999999999998E-2</v>
      </c>
      <c r="CH110" s="450">
        <f t="shared" si="115"/>
        <v>1.4385E-2</v>
      </c>
      <c r="CI110" s="450">
        <f t="shared" si="116"/>
        <v>1.319E-2</v>
      </c>
      <c r="CJ110" s="450">
        <f t="shared" si="117"/>
        <v>1.235E-2</v>
      </c>
    </row>
    <row r="111" spans="1:88" hidden="1" x14ac:dyDescent="0.25">
      <c r="A111" s="400">
        <v>1100000276</v>
      </c>
      <c r="B111" s="455" t="str">
        <f>VLOOKUP(A111,'Loan Book Summary'!C:G,5,FALSE)</f>
        <v>0014I00001oIXfG</v>
      </c>
      <c r="C111" s="167">
        <f>VLOOKUP(A111,'Ref-Data'!$A:$I,9,0)</f>
        <v>2</v>
      </c>
      <c r="D111" s="445">
        <f>VLOOKUP(A111,'Adjustment Factor'!A:C,3,0)</f>
        <v>1.0605674153852402</v>
      </c>
      <c r="E111" s="446">
        <f>VLOOKUP(A111,'Ref-Data'!A:C,2,FALSE)</f>
        <v>3000000</v>
      </c>
      <c r="F111" s="445">
        <f>VLOOKUP(A111,'Ref-Data'!$A:$F,6,FALSE)</f>
        <v>0.33401779603011633</v>
      </c>
      <c r="G111" s="346"/>
      <c r="H111" s="273">
        <f>VLOOKUP($B111, 'Output 96% Downside'!$A:$CW,42,FALSE)</f>
        <v>9.4899999999999998E-2</v>
      </c>
      <c r="I111" s="273">
        <f>VLOOKUP($B111, 'Output 96% Downside'!$A:$CW,43,FALSE)</f>
        <v>7.0099999999999996E-2</v>
      </c>
      <c r="J111" s="273">
        <f>VLOOKUP($B111, 'Output 96% Downside'!$A:$CW,44,FALSE)</f>
        <v>5.8599999999999999E-2</v>
      </c>
      <c r="K111" s="273">
        <f>VLOOKUP($B111, 'Output 96% Downside'!$A:$CW,45,FALSE)</f>
        <v>5.16E-2</v>
      </c>
      <c r="L111" s="273">
        <f>VLOOKUP($B111, 'Output 96% Downside'!$A:$CW,46,FALSE)</f>
        <v>4.6699999999999998E-2</v>
      </c>
      <c r="M111" s="447">
        <f t="shared" si="72"/>
        <v>2.4619337436237676E-2</v>
      </c>
      <c r="N111" s="447">
        <f t="shared" si="73"/>
        <v>4.8632563096676074E-2</v>
      </c>
      <c r="O111" s="447">
        <f t="shared" si="74"/>
        <v>7.2054599051647572E-2</v>
      </c>
      <c r="P111" s="346"/>
      <c r="Q111" s="390">
        <f t="shared" si="75"/>
        <v>2.6110467073247681E-2</v>
      </c>
      <c r="R111" s="390">
        <f t="shared" si="76"/>
        <v>5.1578111747001359E-2</v>
      </c>
      <c r="S111" s="390">
        <f t="shared" si="77"/>
        <v>7.6418759882825649E-2</v>
      </c>
      <c r="T111" s="390">
        <f t="shared" si="78"/>
        <v>0.1006478477200593</v>
      </c>
      <c r="U111" s="390">
        <f t="shared" si="79"/>
        <v>0.16793820941338852</v>
      </c>
      <c r="V111" s="390">
        <f t="shared" si="80"/>
        <v>0.22024628088333895</v>
      </c>
      <c r="W111" s="390">
        <f t="shared" si="81"/>
        <v>0.26360685142363699</v>
      </c>
      <c r="X111" s="390">
        <f t="shared" si="82"/>
        <v>0.30082490976064385</v>
      </c>
      <c r="Y111" s="390">
        <f t="shared" si="83"/>
        <v>3.4812417095539838E-2</v>
      </c>
      <c r="Z111" s="390">
        <f t="shared" si="84"/>
        <v>0.1006478477200593</v>
      </c>
      <c r="AA111" s="355"/>
      <c r="AB111" s="355"/>
      <c r="AC111" s="273">
        <f>VLOOKUP($B111, 'Output Baseline'!$A:$CW,42,FALSE)</f>
        <v>9.7199999999999995E-2</v>
      </c>
      <c r="AD111" s="273">
        <f>VLOOKUP($B111, 'Output Baseline'!$A:$CW,43,FALSE)</f>
        <v>7.3400000000000007E-2</v>
      </c>
      <c r="AE111" s="273">
        <f>VLOOKUP($B111, 'Output Baseline'!$A:$CW,44,FALSE)</f>
        <v>6.2300000000000001E-2</v>
      </c>
      <c r="AF111" s="273">
        <f>VLOOKUP($B111, 'Output Baseline'!$A:$CW,45,FALSE)</f>
        <v>5.5300000000000002E-2</v>
      </c>
      <c r="AG111" s="273">
        <f>VLOOKUP($B111, 'Output Baseline'!$A:$CW,46,FALSE)</f>
        <v>5.0500000000000003E-2</v>
      </c>
      <c r="AH111" s="447">
        <f t="shared" si="85"/>
        <v>2.5239577322932027E-2</v>
      </c>
      <c r="AI111" s="447">
        <f t="shared" si="86"/>
        <v>4.9842118382423806E-2</v>
      </c>
      <c r="AJ111" s="447">
        <f t="shared" si="87"/>
        <v>7.3823701704503919E-2</v>
      </c>
      <c r="AK111" s="346"/>
      <c r="AL111" s="390">
        <f t="shared" si="88"/>
        <v>2.6768273286797942E-2</v>
      </c>
      <c r="AM111" s="390">
        <f t="shared" si="89"/>
        <v>5.2860926670172385E-2</v>
      </c>
      <c r="AN111" s="390">
        <f t="shared" si="90"/>
        <v>7.8295012510916681E-2</v>
      </c>
      <c r="AO111" s="390">
        <f t="shared" si="91"/>
        <v>0.10308715277544535</v>
      </c>
      <c r="AP111" s="390">
        <f t="shared" si="92"/>
        <v>0.17336620405100422</v>
      </c>
      <c r="AQ111" s="390">
        <f t="shared" si="93"/>
        <v>0.22863883951712707</v>
      </c>
      <c r="AR111" s="390">
        <f t="shared" si="94"/>
        <v>0.27464448976263373</v>
      </c>
      <c r="AS111" s="390">
        <f t="shared" si="95"/>
        <v>0.3143335975065753</v>
      </c>
      <c r="AT111" s="390">
        <f t="shared" si="96"/>
        <v>3.5687623174009642E-2</v>
      </c>
      <c r="AU111" s="390">
        <f t="shared" si="97"/>
        <v>0.10308715277544535</v>
      </c>
      <c r="AV111" s="355"/>
      <c r="AW111" s="355"/>
      <c r="AX111" s="273">
        <f>VLOOKUP($B111, 'Output 90% Downside'!$A:$CW,42,FALSE)</f>
        <v>0.104</v>
      </c>
      <c r="AY111" s="273">
        <f>VLOOKUP($B111, 'Output 90% Downside'!$A:$CW,43,FALSE)</f>
        <v>8.1900000000000001E-2</v>
      </c>
      <c r="AZ111" s="273">
        <f>VLOOKUP($B111, 'Output 90% Downside'!$A:$CW,44,FALSE)</f>
        <v>7.1099999999999997E-2</v>
      </c>
      <c r="BA111" s="273">
        <f>VLOOKUP($B111, 'Output 90% Downside'!$A:$CW,45,FALSE)</f>
        <v>6.4299999999999996E-2</v>
      </c>
      <c r="BB111" s="273">
        <f>VLOOKUP($B111, 'Output 90% Downside'!$A:$CW,46,FALSE)</f>
        <v>5.9499999999999997E-2</v>
      </c>
      <c r="BC111" s="447">
        <f t="shared" si="98"/>
        <v>2.7080288360885052E-2</v>
      </c>
      <c r="BD111" s="447">
        <f t="shared" si="99"/>
        <v>5.342723470406141E-2</v>
      </c>
      <c r="BE111" s="447">
        <f t="shared" si="100"/>
        <v>7.9060698142835784E-2</v>
      </c>
      <c r="BF111" s="346"/>
      <c r="BG111" s="390">
        <f t="shared" si="101"/>
        <v>2.8720471434790864E-2</v>
      </c>
      <c r="BH111" s="390">
        <f t="shared" si="102"/>
        <v>5.6663184221267024E-2</v>
      </c>
      <c r="BI111" s="390">
        <f t="shared" si="103"/>
        <v>8.3849200287900008E-2</v>
      </c>
      <c r="BJ111" s="390">
        <f t="shared" si="104"/>
        <v>0.11029901120006498</v>
      </c>
      <c r="BK111" s="390">
        <f t="shared" si="105"/>
        <v>0.18812599350283077</v>
      </c>
      <c r="BL111" s="390">
        <f t="shared" si="106"/>
        <v>0.25015657859867008</v>
      </c>
      <c r="BM111" s="390">
        <f t="shared" si="107"/>
        <v>0.30226599540404653</v>
      </c>
      <c r="BN111" s="390">
        <f t="shared" si="108"/>
        <v>0.34738492989292752</v>
      </c>
      <c r="BO111" s="390">
        <f t="shared" si="109"/>
        <v>3.8284496531627243E-2</v>
      </c>
      <c r="BP111" s="390">
        <f t="shared" si="110"/>
        <v>0.11029901120006498</v>
      </c>
      <c r="BQ111" s="347"/>
      <c r="BR111" s="355"/>
      <c r="BS111" s="355"/>
      <c r="BT111" s="355"/>
      <c r="BU111" s="390">
        <f>IFERROR(AL111*$BS$2+BG111*$BS$4+Q111*$BS$3,VLOOKUP(A111,'Updated Ncino PD'!A:K,4,FALSE))</f>
        <v>2.7418652327917951E-2</v>
      </c>
      <c r="BV111" s="390">
        <f>IFERROR(AM111*$BS$2+BH111*$BS$4+R111*$BS$3,VLOOKUP(A111,'Updated Ncino PD'!A:K,5,FALSE))</f>
        <v>5.4127576066896957E-2</v>
      </c>
      <c r="BW111" s="390">
        <f>IFERROR(AN111*$BS$2+BI111*$BS$4+S111*$BS$3,VLOOKUP(A111,'Updated Ncino PD'!A:K,6,FALSE))</f>
        <v>8.0145165601456278E-2</v>
      </c>
      <c r="BX111" s="390">
        <f>IFERROR(AO111*$BS$2+BJ111*$BS$4+T111*$BS$3,VLOOKUP(A111,'Updated Ncino PD'!A:K,7,FALSE))</f>
        <v>0.10548933797129291</v>
      </c>
      <c r="BY111" s="390">
        <f>IFERROR(AP111*$BS$2+BK111*$BS$4+U111*$BS$3,VLOOKUP(A111,'Updated Ncino PD'!A:K,8,FALSE))</f>
        <v>0.17826073062726272</v>
      </c>
      <c r="BZ111" s="390">
        <f>IFERROR(AQ111*$BS$2+BL111*$BS$4+V111*$BS$3,VLOOKUP(A111,'Updated Ncino PD'!A:K,9,FALSE))</f>
        <v>0.23575042026397772</v>
      </c>
      <c r="CA111" s="390">
        <f>IFERROR(AR111*$BS$2+BM111*$BS$4+W111*$BS$3,VLOOKUP(A111,'Updated Ncino PD'!A:K,10,FALSE))</f>
        <v>0.28376013482017837</v>
      </c>
      <c r="CB111" s="390">
        <f>IFERROR(AS111*$BS$2+BN111*$BS$4+X111*$BS$3,VLOOKUP(A111,'Updated Ncino PD'!A:K,11,FALSE))</f>
        <v>0.32522612945450202</v>
      </c>
      <c r="CC111" s="390">
        <f t="shared" si="111"/>
        <v>3.6552768545252308E-2</v>
      </c>
      <c r="CD111" s="390">
        <f t="shared" si="112"/>
        <v>0.10548933797129291</v>
      </c>
      <c r="CE111" s="355"/>
      <c r="CF111" s="450">
        <f t="shared" si="113"/>
        <v>9.9464999999999998E-2</v>
      </c>
      <c r="CG111" s="450">
        <f t="shared" si="114"/>
        <v>7.621E-2</v>
      </c>
      <c r="CH111" s="450">
        <f t="shared" si="115"/>
        <v>6.5195000000000003E-2</v>
      </c>
      <c r="CI111" s="450">
        <f t="shared" si="116"/>
        <v>5.8264999999999997E-2</v>
      </c>
      <c r="CJ111" s="450">
        <f t="shared" si="117"/>
        <v>5.3459999999999994E-2</v>
      </c>
    </row>
    <row r="112" spans="1:88" hidden="1" x14ac:dyDescent="0.25">
      <c r="A112" s="400">
        <v>1300000002</v>
      </c>
      <c r="B112" s="455" t="str">
        <f>VLOOKUP(A112,'Loan Book Summary'!C:G,5,FALSE)</f>
        <v>0018e000003CQVk</v>
      </c>
      <c r="C112" s="167">
        <f>VLOOKUP(A112,'Ref-Data'!$A:$I,9,0)</f>
        <v>1</v>
      </c>
      <c r="D112" s="445">
        <f>VLOOKUP(A112,'Adjustment Factor'!A:C,3,0)</f>
        <v>4.6399999999999997</v>
      </c>
      <c r="E112" s="446">
        <f>VLOOKUP(A112,'Ref-Data'!A:C,2,FALSE)</f>
        <v>750000</v>
      </c>
      <c r="F112" s="445">
        <f>VLOOKUP(A112,'Ref-Data'!$A:$F,6,FALSE)</f>
        <v>4.7337440109514031</v>
      </c>
      <c r="G112" s="346"/>
      <c r="H112" s="273">
        <f>VLOOKUP($B112, 'Output 96% Downside'!$A:$CW,42,FALSE)</f>
        <v>3.8E-3</v>
      </c>
      <c r="I112" s="273">
        <f>VLOOKUP($B112, 'Output 96% Downside'!$A:$CW,43,FALSE)</f>
        <v>4.0000000000000001E-3</v>
      </c>
      <c r="J112" s="273">
        <f>VLOOKUP($B112, 'Output 96% Downside'!$A:$CW,44,FALSE)</f>
        <v>4.0000000000000001E-3</v>
      </c>
      <c r="K112" s="273">
        <f>VLOOKUP($B112, 'Output 96% Downside'!$A:$CW,45,FALSE)</f>
        <v>4.1000000000000003E-3</v>
      </c>
      <c r="L112" s="273">
        <f>VLOOKUP($B112, 'Output 96% Downside'!$A:$CW,46,FALSE)</f>
        <v>4.1000000000000003E-3</v>
      </c>
      <c r="M112" s="447">
        <f t="shared" si="72"/>
        <v>9.513567586745264E-4</v>
      </c>
      <c r="N112" s="447">
        <f t="shared" si="73"/>
        <v>1.901808437666741E-3</v>
      </c>
      <c r="O112" s="447">
        <f t="shared" si="74"/>
        <v>2.8513558980304277E-3</v>
      </c>
      <c r="P112" s="346"/>
      <c r="Q112" s="390">
        <f t="shared" si="75"/>
        <v>4.4142953602498026E-3</v>
      </c>
      <c r="R112" s="390">
        <f t="shared" si="76"/>
        <v>8.8243911507736774E-3</v>
      </c>
      <c r="S112" s="390">
        <f t="shared" si="77"/>
        <v>1.3230291366861184E-2</v>
      </c>
      <c r="T112" s="390">
        <f t="shared" si="78"/>
        <v>1.7631999999999998E-2</v>
      </c>
      <c r="U112" s="390">
        <f t="shared" si="79"/>
        <v>3.6121472000000168E-2</v>
      </c>
      <c r="V112" s="390">
        <f t="shared" si="80"/>
        <v>5.45369861120003E-2</v>
      </c>
      <c r="W112" s="390">
        <f t="shared" si="81"/>
        <v>7.3337384468940947E-2</v>
      </c>
      <c r="X112" s="390">
        <f t="shared" si="82"/>
        <v>9.2060701192618111E-2</v>
      </c>
      <c r="Y112" s="390">
        <f t="shared" si="83"/>
        <v>1.7631999999999998E-2</v>
      </c>
      <c r="Z112" s="390">
        <f t="shared" si="84"/>
        <v>9.2060701192618111E-2</v>
      </c>
      <c r="AA112" s="355"/>
      <c r="AB112" s="355"/>
      <c r="AC112" s="273">
        <f>VLOOKUP($B112, 'Output Baseline'!$A:$CW,42,FALSE)</f>
        <v>3.5999999999999999E-3</v>
      </c>
      <c r="AD112" s="273">
        <f>VLOOKUP($B112, 'Output Baseline'!$A:$CW,43,FALSE)</f>
        <v>3.7000000000000002E-3</v>
      </c>
      <c r="AE112" s="273">
        <f>VLOOKUP($B112, 'Output Baseline'!$A:$CW,44,FALSE)</f>
        <v>3.8999999999999998E-3</v>
      </c>
      <c r="AF112" s="273">
        <f>VLOOKUP($B112, 'Output Baseline'!$A:$CW,45,FALSE)</f>
        <v>3.8999999999999998E-3</v>
      </c>
      <c r="AG112" s="273">
        <f>VLOOKUP($B112, 'Output Baseline'!$A:$CW,46,FALSE)</f>
        <v>4.0000000000000001E-3</v>
      </c>
      <c r="AH112" s="447">
        <f t="shared" si="85"/>
        <v>9.0121755783212354E-4</v>
      </c>
      <c r="AI112" s="447">
        <f t="shared" si="86"/>
        <v>1.8016229225776836E-3</v>
      </c>
      <c r="AJ112" s="447">
        <f t="shared" si="87"/>
        <v>2.701216826199393E-3</v>
      </c>
      <c r="AK112" s="346"/>
      <c r="AL112" s="390">
        <f t="shared" si="88"/>
        <v>4.1816494683410525E-3</v>
      </c>
      <c r="AM112" s="390">
        <f t="shared" si="89"/>
        <v>8.3595303607604515E-3</v>
      </c>
      <c r="AN112" s="390">
        <f t="shared" si="90"/>
        <v>1.2533646073565182E-2</v>
      </c>
      <c r="AO112" s="390">
        <f t="shared" si="91"/>
        <v>1.6704E-2</v>
      </c>
      <c r="AP112" s="390">
        <f t="shared" si="92"/>
        <v>3.3810195200000469E-2</v>
      </c>
      <c r="AQ112" s="390">
        <f t="shared" si="93"/>
        <v>5.1774335438720322E-2</v>
      </c>
      <c r="AR112" s="390">
        <f t="shared" si="94"/>
        <v>6.9668415530509217E-2</v>
      </c>
      <c r="AS112" s="390">
        <f t="shared" si="95"/>
        <v>8.7949741868387263E-2</v>
      </c>
      <c r="AT112" s="390">
        <f t="shared" si="96"/>
        <v>1.6704E-2</v>
      </c>
      <c r="AU112" s="390">
        <f t="shared" si="97"/>
        <v>8.7949741868387263E-2</v>
      </c>
      <c r="AV112" s="355"/>
      <c r="AW112" s="355"/>
      <c r="AX112" s="273">
        <f>VLOOKUP($B112, 'Output 90% Downside'!$A:$CW,42,FALSE)</f>
        <v>3.5999999999999999E-3</v>
      </c>
      <c r="AY112" s="273">
        <f>VLOOKUP($B112, 'Output 90% Downside'!$A:$CW,43,FALSE)</f>
        <v>3.8E-3</v>
      </c>
      <c r="AZ112" s="273">
        <f>VLOOKUP($B112, 'Output 90% Downside'!$A:$CW,44,FALSE)</f>
        <v>3.8999999999999998E-3</v>
      </c>
      <c r="BA112" s="273">
        <f>VLOOKUP($B112, 'Output 90% Downside'!$A:$CW,45,FALSE)</f>
        <v>4.0000000000000001E-3</v>
      </c>
      <c r="BB112" s="273">
        <f>VLOOKUP($B112, 'Output 90% Downside'!$A:$CW,46,FALSE)</f>
        <v>4.1000000000000003E-3</v>
      </c>
      <c r="BC112" s="447">
        <f t="shared" si="98"/>
        <v>9.0121755783212354E-4</v>
      </c>
      <c r="BD112" s="447">
        <f t="shared" si="99"/>
        <v>1.8016229225776836E-3</v>
      </c>
      <c r="BE112" s="447">
        <f t="shared" si="100"/>
        <v>2.701216826199393E-3</v>
      </c>
      <c r="BF112" s="346"/>
      <c r="BG112" s="390">
        <f t="shared" si="101"/>
        <v>4.1816494683410525E-3</v>
      </c>
      <c r="BH112" s="390">
        <f t="shared" si="102"/>
        <v>8.3595303607604515E-3</v>
      </c>
      <c r="BI112" s="390">
        <f t="shared" si="103"/>
        <v>1.2533646073565182E-2</v>
      </c>
      <c r="BJ112" s="390">
        <f t="shared" si="104"/>
        <v>1.6704E-2</v>
      </c>
      <c r="BK112" s="390">
        <f t="shared" si="105"/>
        <v>3.4272524800000266E-2</v>
      </c>
      <c r="BL112" s="390">
        <f t="shared" si="106"/>
        <v>5.2234861953280427E-2</v>
      </c>
      <c r="BM112" s="390">
        <f t="shared" si="107"/>
        <v>7.0585922505467566E-2</v>
      </c>
      <c r="BN112" s="390">
        <f t="shared" si="108"/>
        <v>8.9320520223195296E-2</v>
      </c>
      <c r="BO112" s="390">
        <f t="shared" si="109"/>
        <v>1.6704E-2</v>
      </c>
      <c r="BP112" s="390">
        <f t="shared" si="110"/>
        <v>8.9320520223195296E-2</v>
      </c>
      <c r="BQ112" s="347"/>
      <c r="BR112" s="355"/>
      <c r="BS112" s="355"/>
      <c r="BT112" s="355"/>
      <c r="BU112" s="390">
        <f>IFERROR(AL112*$BS$2+BG112*$BS$4+Q112*$BS$3,VLOOKUP(A112,'Updated Ncino PD'!A:K,4,FALSE))</f>
        <v>4.1932817629364893E-3</v>
      </c>
      <c r="BV112" s="390">
        <f>IFERROR(AM112*$BS$2+BH112*$BS$4+R112*$BS$3,VLOOKUP(A112,'Updated Ncino PD'!A:K,5,FALSE))</f>
        <v>8.3827734002611121E-3</v>
      </c>
      <c r="BW112" s="390">
        <f>IFERROR(AN112*$BS$2+BI112*$BS$4+S112*$BS$3,VLOOKUP(A112,'Updated Ncino PD'!A:K,6,FALSE))</f>
        <v>1.2568478338229981E-2</v>
      </c>
      <c r="BX112" s="390">
        <f>IFERROR(AO112*$BS$2+BJ112*$BS$4+T112*$BS$3,VLOOKUP(A112,'Updated Ncino PD'!A:K,7,FALSE))</f>
        <v>1.6750399999999999E-2</v>
      </c>
      <c r="BY112" s="390">
        <f>IFERROR(AP112*$BS$2+BK112*$BS$4+U112*$BS$3,VLOOKUP(A112,'Updated Ncino PD'!A:K,8,FALSE))</f>
        <v>3.4087574400000382E-2</v>
      </c>
      <c r="BZ112" s="390">
        <f>IFERROR(AQ112*$BS$2+BL112*$BS$4+V112*$BS$3,VLOOKUP(A112,'Updated Ncino PD'!A:K,9,FALSE))</f>
        <v>5.2073652252480354E-2</v>
      </c>
      <c r="CA112" s="390">
        <f>IFERROR(AR112*$BS$2+BM112*$BS$4+W112*$BS$3,VLOOKUP(A112,'Updated Ncino PD'!A:K,10,FALSE))</f>
        <v>7.0172991418666217E-2</v>
      </c>
      <c r="CB112" s="390">
        <f>IFERROR(AS112*$BS$2+BN112*$BS$4+X112*$BS$3,VLOOKUP(A112,'Updated Ncino PD'!A:K,11,FALSE))</f>
        <v>8.8635062258781608E-2</v>
      </c>
      <c r="CC112" s="390">
        <f t="shared" si="111"/>
        <v>1.6750399999999999E-2</v>
      </c>
      <c r="CD112" s="390">
        <f t="shared" si="112"/>
        <v>8.8635062258781608E-2</v>
      </c>
      <c r="CE112" s="355"/>
      <c r="CF112" s="450">
        <f t="shared" si="113"/>
        <v>3.6099999999999999E-3</v>
      </c>
      <c r="CG112" s="450">
        <f t="shared" si="114"/>
        <v>3.7500000000000003E-3</v>
      </c>
      <c r="CH112" s="450">
        <f t="shared" si="115"/>
        <v>3.9049999999999996E-3</v>
      </c>
      <c r="CI112" s="450">
        <f t="shared" si="116"/>
        <v>3.9449999999999997E-3</v>
      </c>
      <c r="CJ112" s="450">
        <f t="shared" si="117"/>
        <v>4.0400000000000002E-3</v>
      </c>
    </row>
    <row r="113" spans="1:88" hidden="1" x14ac:dyDescent="0.25">
      <c r="A113" s="400">
        <v>1100000277</v>
      </c>
      <c r="B113" s="455" t="str">
        <f>VLOOKUP(A113,'Loan Book Summary'!C:G,5,FALSE)</f>
        <v>0018e000003Cg7J</v>
      </c>
      <c r="C113" s="167">
        <f>VLOOKUP(A113,'Ref-Data'!$A:$I,9,0)</f>
        <v>1</v>
      </c>
      <c r="D113" s="445">
        <f>VLOOKUP(A113,'Adjustment Factor'!A:C,3,0)</f>
        <v>1.7349010594599608</v>
      </c>
      <c r="E113" s="446">
        <f>VLOOKUP(A113,'Ref-Data'!A:C,2,FALSE)</f>
        <v>14500000</v>
      </c>
      <c r="F113" s="445">
        <f>VLOOKUP(A113,'Ref-Data'!$A:$F,6,FALSE)</f>
        <v>4.8295687885010263</v>
      </c>
      <c r="G113" s="346"/>
      <c r="H113" s="273">
        <f>VLOOKUP($B113, 'Output 96% Downside'!$A:$CW,42,FALSE)</f>
        <v>1.84E-2</v>
      </c>
      <c r="I113" s="273">
        <f>VLOOKUP($B113, 'Output 96% Downside'!$A:$CW,43,FALSE)</f>
        <v>1.5299999999999999E-2</v>
      </c>
      <c r="J113" s="273">
        <f>VLOOKUP($B113, 'Output 96% Downside'!$A:$CW,44,FALSE)</f>
        <v>1.38E-2</v>
      </c>
      <c r="K113" s="273">
        <f>VLOOKUP($B113, 'Output 96% Downside'!$A:$CW,45,FALSE)</f>
        <v>1.2800000000000001E-2</v>
      </c>
      <c r="L113" s="273">
        <f>VLOOKUP($B113, 'Output 96% Downside'!$A:$CW,46,FALSE)</f>
        <v>1.2E-2</v>
      </c>
      <c r="M113" s="447">
        <f t="shared" si="72"/>
        <v>4.6320850459028451E-3</v>
      </c>
      <c r="N113" s="447">
        <f t="shared" si="73"/>
        <v>9.2427138799332509E-3</v>
      </c>
      <c r="O113" s="447">
        <f t="shared" si="74"/>
        <v>1.3831985889089293E-2</v>
      </c>
      <c r="P113" s="346"/>
      <c r="Q113" s="390">
        <f t="shared" si="75"/>
        <v>8.0362092536454873E-3</v>
      </c>
      <c r="R113" s="390">
        <f t="shared" si="76"/>
        <v>1.6035194102581481E-2</v>
      </c>
      <c r="S113" s="390">
        <f t="shared" si="77"/>
        <v>2.3997126973416241E-2</v>
      </c>
      <c r="T113" s="390">
        <f t="shared" si="78"/>
        <v>3.1922179494063278E-2</v>
      </c>
      <c r="U113" s="390">
        <f t="shared" si="79"/>
        <v>5.7977756357541363E-2</v>
      </c>
      <c r="V113" s="390">
        <f t="shared" si="80"/>
        <v>8.1119297940354801E-2</v>
      </c>
      <c r="W113" s="390">
        <f t="shared" si="81"/>
        <v>0.10228770448780584</v>
      </c>
      <c r="X113" s="390">
        <f t="shared" si="82"/>
        <v>0.12187906474747179</v>
      </c>
      <c r="Y113" s="390">
        <f t="shared" si="83"/>
        <v>3.1922179494063278E-2</v>
      </c>
      <c r="Z113" s="390">
        <f t="shared" si="84"/>
        <v>0.12187906474747179</v>
      </c>
      <c r="AA113" s="355"/>
      <c r="AB113" s="355"/>
      <c r="AC113" s="273">
        <f>VLOOKUP($B113, 'Output Baseline'!$A:$CW,42,FALSE)</f>
        <v>1.6400000000000001E-2</v>
      </c>
      <c r="AD113" s="273">
        <f>VLOOKUP($B113, 'Output Baseline'!$A:$CW,43,FALSE)</f>
        <v>1.3899999999999999E-2</v>
      </c>
      <c r="AE113" s="273">
        <f>VLOOKUP($B113, 'Output Baseline'!$A:$CW,44,FALSE)</f>
        <v>1.26E-2</v>
      </c>
      <c r="AF113" s="273">
        <f>VLOOKUP($B113, 'Output Baseline'!$A:$CW,45,FALSE)</f>
        <v>1.17E-2</v>
      </c>
      <c r="AG113" s="273">
        <f>VLOOKUP($B113, 'Output Baseline'!$A:$CW,46,FALSE)</f>
        <v>1.11E-2</v>
      </c>
      <c r="AH113" s="447">
        <f t="shared" si="85"/>
        <v>4.1254589771887451E-3</v>
      </c>
      <c r="AI113" s="447">
        <f t="shared" si="86"/>
        <v>8.2338985426050337E-3</v>
      </c>
      <c r="AJ113" s="447">
        <f t="shared" si="87"/>
        <v>1.2325388909133927E-2</v>
      </c>
      <c r="AK113" s="346"/>
      <c r="AL113" s="390">
        <f t="shared" si="88"/>
        <v>7.1572631502833601E-3</v>
      </c>
      <c r="AM113" s="390">
        <f t="shared" si="89"/>
        <v>1.42849993050513E-2</v>
      </c>
      <c r="AN113" s="390">
        <f t="shared" si="90"/>
        <v>2.1383330276712499E-2</v>
      </c>
      <c r="AO113" s="390">
        <f t="shared" si="91"/>
        <v>2.8452377375143358E-2</v>
      </c>
      <c r="AP113" s="390">
        <f t="shared" si="92"/>
        <v>5.2172014056122262E-2</v>
      </c>
      <c r="AQ113" s="390">
        <f t="shared" si="93"/>
        <v>7.3374400028210607E-2</v>
      </c>
      <c r="AR113" s="390">
        <f t="shared" si="94"/>
        <v>9.2814261943562196E-2</v>
      </c>
      <c r="AS113" s="390">
        <f t="shared" si="95"/>
        <v>0.11104142539599431</v>
      </c>
      <c r="AT113" s="390">
        <f t="shared" si="96"/>
        <v>2.8452377375143358E-2</v>
      </c>
      <c r="AU113" s="390">
        <f t="shared" si="97"/>
        <v>0.11104142539599431</v>
      </c>
      <c r="AV113" s="355"/>
      <c r="AW113" s="355"/>
      <c r="AX113" s="273">
        <f>VLOOKUP($B113, 'Output 90% Downside'!$A:$CW,42,FALSE)</f>
        <v>1.77E-2</v>
      </c>
      <c r="AY113" s="273">
        <f>VLOOKUP($B113, 'Output 90% Downside'!$A:$CW,43,FALSE)</f>
        <v>1.4800000000000001E-2</v>
      </c>
      <c r="AZ113" s="273">
        <f>VLOOKUP($B113, 'Output 90% Downside'!$A:$CW,44,FALSE)</f>
        <v>1.34E-2</v>
      </c>
      <c r="BA113" s="273">
        <f>VLOOKUP($B113, 'Output 90% Downside'!$A:$CW,45,FALSE)</f>
        <v>1.24E-2</v>
      </c>
      <c r="BB113" s="273">
        <f>VLOOKUP($B113, 'Output 90% Downside'!$A:$CW,46,FALSE)</f>
        <v>1.17E-2</v>
      </c>
      <c r="BC113" s="447">
        <f t="shared" si="98"/>
        <v>4.4546779323475505E-3</v>
      </c>
      <c r="BD113" s="447">
        <f t="shared" si="99"/>
        <v>8.8895117092141485E-3</v>
      </c>
      <c r="BE113" s="447">
        <f t="shared" si="100"/>
        <v>1.3304589729921323E-2</v>
      </c>
      <c r="BF113" s="346"/>
      <c r="BG113" s="390">
        <f t="shared" si="101"/>
        <v>7.7284254643826726E-3</v>
      </c>
      <c r="BH113" s="390">
        <f t="shared" si="102"/>
        <v>1.5422423282397353E-2</v>
      </c>
      <c r="BI113" s="390">
        <f t="shared" si="103"/>
        <v>2.3082146818120618E-2</v>
      </c>
      <c r="BJ113" s="390">
        <f t="shared" si="104"/>
        <v>3.0707748752441307E-2</v>
      </c>
      <c r="BK113" s="390">
        <f t="shared" si="105"/>
        <v>5.5929809750912732E-2</v>
      </c>
      <c r="BL113" s="390">
        <f t="shared" si="106"/>
        <v>7.8428024497013915E-2</v>
      </c>
      <c r="BM113" s="390">
        <f t="shared" si="107"/>
        <v>9.8968290130554457E-2</v>
      </c>
      <c r="BN113" s="390">
        <f t="shared" si="108"/>
        <v>0.11810870353170851</v>
      </c>
      <c r="BO113" s="390">
        <f t="shared" si="109"/>
        <v>3.0707748752441307E-2</v>
      </c>
      <c r="BP113" s="390">
        <f t="shared" si="110"/>
        <v>0.11810870353170851</v>
      </c>
      <c r="BQ113" s="347"/>
      <c r="BR113" s="355"/>
      <c r="BS113" s="355"/>
      <c r="BT113" s="355"/>
      <c r="BU113" s="390">
        <f>IFERROR(AL113*$BS$2+BG113*$BS$4+Q113*$BS$3,VLOOKUP(A113,'Updated Ncino PD'!A:K,4,FALSE))</f>
        <v>7.4011172653862256E-3</v>
      </c>
      <c r="BV113" s="390">
        <f>IFERROR(AM113*$BS$2+BH113*$BS$4+R113*$BS$3,VLOOKUP(A113,'Updated Ncino PD'!A:K,5,FALSE))</f>
        <v>1.4770607436998926E-2</v>
      </c>
      <c r="BW113" s="390">
        <f>IFERROR(AN113*$BS$2+BI113*$BS$4+S113*$BS$3,VLOOKUP(A113,'Updated Ncino PD'!A:K,6,FALSE))</f>
        <v>2.210860590104053E-2</v>
      </c>
      <c r="BX113" s="390">
        <f>IFERROR(AO113*$BS$2+BJ113*$BS$4+T113*$BS$3,VLOOKUP(A113,'Updated Ncino PD'!A:K,7,FALSE))</f>
        <v>2.9415247463143637E-2</v>
      </c>
      <c r="BY113" s="390">
        <f>IFERROR(AP113*$BS$2+BK113*$BS$4+U113*$BS$3,VLOOKUP(A113,'Updated Ncino PD'!A:K,8,FALSE))</f>
        <v>5.3777529664369876E-2</v>
      </c>
      <c r="BZ113" s="390">
        <f>IFERROR(AQ113*$BS$2+BL113*$BS$4+V113*$BS$3,VLOOKUP(A113,'Updated Ncino PD'!A:K,9,FALSE))</f>
        <v>7.5530413487898962E-2</v>
      </c>
      <c r="CA113" s="390">
        <f>IFERROR(AR113*$BS$2+BM113*$BS$4+W113*$BS$3,VLOOKUP(A113,'Updated Ncino PD'!A:K,10,FALSE))</f>
        <v>9.5441843936221668E-2</v>
      </c>
      <c r="CB113" s="390">
        <f>IFERROR(AS113*$BS$2+BN113*$BS$4+X113*$BS$3,VLOOKUP(A113,'Updated Ncino PD'!A:K,11,FALSE))</f>
        <v>0.11405685471106815</v>
      </c>
      <c r="CC113" s="390">
        <f t="shared" si="111"/>
        <v>2.9415247463143637E-2</v>
      </c>
      <c r="CD113" s="390">
        <f t="shared" si="112"/>
        <v>0.11405685471106815</v>
      </c>
      <c r="CE113" s="355"/>
      <c r="CF113" s="450">
        <f t="shared" si="113"/>
        <v>1.6955000000000001E-2</v>
      </c>
      <c r="CG113" s="450">
        <f t="shared" si="114"/>
        <v>1.4284999999999999E-2</v>
      </c>
      <c r="CH113" s="450">
        <f t="shared" si="115"/>
        <v>1.294E-2</v>
      </c>
      <c r="CI113" s="450">
        <f t="shared" si="116"/>
        <v>1.2E-2</v>
      </c>
      <c r="CJ113" s="450">
        <f t="shared" si="117"/>
        <v>1.1355000000000001E-2</v>
      </c>
    </row>
    <row r="114" spans="1:88" hidden="1" x14ac:dyDescent="0.25">
      <c r="A114" s="400">
        <v>1100000281</v>
      </c>
      <c r="B114" s="455" t="str">
        <f>VLOOKUP(A114,'Loan Book Summary'!C:G,5,FALSE)</f>
        <v>0018e000003Cg7J</v>
      </c>
      <c r="C114" s="167">
        <f>VLOOKUP(A114,'Ref-Data'!$A:$I,9,0)</f>
        <v>1</v>
      </c>
      <c r="D114" s="445">
        <f>VLOOKUP(A114,'Adjustment Factor'!A:C,3,0)</f>
        <v>1.7349010594599608</v>
      </c>
      <c r="E114" s="446">
        <f>VLOOKUP(A114,'Ref-Data'!A:C,2,FALSE)</f>
        <v>25500000</v>
      </c>
      <c r="F114" s="445">
        <f>VLOOKUP(A114,'Ref-Data'!$A:$F,6,FALSE)</f>
        <v>4.8295687885010263</v>
      </c>
      <c r="G114" s="346"/>
      <c r="H114" s="273">
        <f>VLOOKUP($B114, 'Output 96% Downside'!$A:$CW,42,FALSE)</f>
        <v>1.84E-2</v>
      </c>
      <c r="I114" s="273">
        <f>VLOOKUP($B114, 'Output 96% Downside'!$A:$CW,43,FALSE)</f>
        <v>1.5299999999999999E-2</v>
      </c>
      <c r="J114" s="273">
        <f>VLOOKUP($B114, 'Output 96% Downside'!$A:$CW,44,FALSE)</f>
        <v>1.38E-2</v>
      </c>
      <c r="K114" s="273">
        <f>VLOOKUP($B114, 'Output 96% Downside'!$A:$CW,45,FALSE)</f>
        <v>1.2800000000000001E-2</v>
      </c>
      <c r="L114" s="273">
        <f>VLOOKUP($B114, 'Output 96% Downside'!$A:$CW,46,FALSE)</f>
        <v>1.2E-2</v>
      </c>
      <c r="M114" s="447">
        <f t="shared" si="72"/>
        <v>4.6320850459028451E-3</v>
      </c>
      <c r="N114" s="447">
        <f t="shared" si="73"/>
        <v>9.2427138799332509E-3</v>
      </c>
      <c r="O114" s="447">
        <f t="shared" si="74"/>
        <v>1.3831985889089293E-2</v>
      </c>
      <c r="P114" s="346"/>
      <c r="Q114" s="390">
        <f t="shared" si="75"/>
        <v>8.0362092536454873E-3</v>
      </c>
      <c r="R114" s="390">
        <f t="shared" si="76"/>
        <v>1.6035194102581481E-2</v>
      </c>
      <c r="S114" s="390">
        <f t="shared" si="77"/>
        <v>2.3997126973416241E-2</v>
      </c>
      <c r="T114" s="390">
        <f t="shared" si="78"/>
        <v>3.1922179494063278E-2</v>
      </c>
      <c r="U114" s="390">
        <f t="shared" si="79"/>
        <v>5.7977756357541363E-2</v>
      </c>
      <c r="V114" s="390">
        <f t="shared" si="80"/>
        <v>8.1119297940354801E-2</v>
      </c>
      <c r="W114" s="390">
        <f t="shared" si="81"/>
        <v>0.10228770448780584</v>
      </c>
      <c r="X114" s="390">
        <f t="shared" si="82"/>
        <v>0.12187906474747179</v>
      </c>
      <c r="Y114" s="390">
        <f t="shared" si="83"/>
        <v>3.1922179494063278E-2</v>
      </c>
      <c r="Z114" s="390">
        <f t="shared" si="84"/>
        <v>0.12187906474747179</v>
      </c>
      <c r="AA114" s="355"/>
      <c r="AB114" s="355"/>
      <c r="AC114" s="273">
        <f>VLOOKUP($B114, 'Output Baseline'!$A:$CW,42,FALSE)</f>
        <v>1.6400000000000001E-2</v>
      </c>
      <c r="AD114" s="273">
        <f>VLOOKUP($B114, 'Output Baseline'!$A:$CW,43,FALSE)</f>
        <v>1.3899999999999999E-2</v>
      </c>
      <c r="AE114" s="273">
        <f>VLOOKUP($B114, 'Output Baseline'!$A:$CW,44,FALSE)</f>
        <v>1.26E-2</v>
      </c>
      <c r="AF114" s="273">
        <f>VLOOKUP($B114, 'Output Baseline'!$A:$CW,45,FALSE)</f>
        <v>1.17E-2</v>
      </c>
      <c r="AG114" s="273">
        <f>VLOOKUP($B114, 'Output Baseline'!$A:$CW,46,FALSE)</f>
        <v>1.11E-2</v>
      </c>
      <c r="AH114" s="447">
        <f t="shared" si="85"/>
        <v>4.1254589771887451E-3</v>
      </c>
      <c r="AI114" s="447">
        <f t="shared" si="86"/>
        <v>8.2338985426050337E-3</v>
      </c>
      <c r="AJ114" s="447">
        <f t="shared" si="87"/>
        <v>1.2325388909133927E-2</v>
      </c>
      <c r="AK114" s="346"/>
      <c r="AL114" s="390">
        <f t="shared" si="88"/>
        <v>7.1572631502833601E-3</v>
      </c>
      <c r="AM114" s="390">
        <f t="shared" si="89"/>
        <v>1.42849993050513E-2</v>
      </c>
      <c r="AN114" s="390">
        <f t="shared" si="90"/>
        <v>2.1383330276712499E-2</v>
      </c>
      <c r="AO114" s="390">
        <f t="shared" si="91"/>
        <v>2.8452377375143358E-2</v>
      </c>
      <c r="AP114" s="390">
        <f t="shared" si="92"/>
        <v>5.2172014056122262E-2</v>
      </c>
      <c r="AQ114" s="390">
        <f t="shared" si="93"/>
        <v>7.3374400028210607E-2</v>
      </c>
      <c r="AR114" s="390">
        <f t="shared" si="94"/>
        <v>9.2814261943562196E-2</v>
      </c>
      <c r="AS114" s="390">
        <f t="shared" si="95"/>
        <v>0.11104142539599431</v>
      </c>
      <c r="AT114" s="390">
        <f t="shared" si="96"/>
        <v>2.8452377375143358E-2</v>
      </c>
      <c r="AU114" s="390">
        <f t="shared" si="97"/>
        <v>0.11104142539599431</v>
      </c>
      <c r="AV114" s="355"/>
      <c r="AW114" s="355"/>
      <c r="AX114" s="273">
        <f>VLOOKUP($B114, 'Output 90% Downside'!$A:$CW,42,FALSE)</f>
        <v>1.77E-2</v>
      </c>
      <c r="AY114" s="273">
        <f>VLOOKUP($B114, 'Output 90% Downside'!$A:$CW,43,FALSE)</f>
        <v>1.4800000000000001E-2</v>
      </c>
      <c r="AZ114" s="273">
        <f>VLOOKUP($B114, 'Output 90% Downside'!$A:$CW,44,FALSE)</f>
        <v>1.34E-2</v>
      </c>
      <c r="BA114" s="273">
        <f>VLOOKUP($B114, 'Output 90% Downside'!$A:$CW,45,FALSE)</f>
        <v>1.24E-2</v>
      </c>
      <c r="BB114" s="273">
        <f>VLOOKUP($B114, 'Output 90% Downside'!$A:$CW,46,FALSE)</f>
        <v>1.17E-2</v>
      </c>
      <c r="BC114" s="447">
        <f t="shared" si="98"/>
        <v>4.4546779323475505E-3</v>
      </c>
      <c r="BD114" s="447">
        <f t="shared" si="99"/>
        <v>8.8895117092141485E-3</v>
      </c>
      <c r="BE114" s="447">
        <f t="shared" si="100"/>
        <v>1.3304589729921323E-2</v>
      </c>
      <c r="BF114" s="346"/>
      <c r="BG114" s="390">
        <f t="shared" si="101"/>
        <v>7.7284254643826726E-3</v>
      </c>
      <c r="BH114" s="390">
        <f t="shared" si="102"/>
        <v>1.5422423282397353E-2</v>
      </c>
      <c r="BI114" s="390">
        <f t="shared" si="103"/>
        <v>2.3082146818120618E-2</v>
      </c>
      <c r="BJ114" s="390">
        <f t="shared" si="104"/>
        <v>3.0707748752441307E-2</v>
      </c>
      <c r="BK114" s="390">
        <f t="shared" si="105"/>
        <v>5.5929809750912732E-2</v>
      </c>
      <c r="BL114" s="390">
        <f t="shared" si="106"/>
        <v>7.8428024497013915E-2</v>
      </c>
      <c r="BM114" s="390">
        <f t="shared" si="107"/>
        <v>9.8968290130554457E-2</v>
      </c>
      <c r="BN114" s="390">
        <f t="shared" si="108"/>
        <v>0.11810870353170851</v>
      </c>
      <c r="BO114" s="390">
        <f t="shared" si="109"/>
        <v>3.0707748752441307E-2</v>
      </c>
      <c r="BP114" s="390">
        <f t="shared" si="110"/>
        <v>0.11810870353170851</v>
      </c>
      <c r="BQ114" s="347"/>
      <c r="BR114" s="355"/>
      <c r="BS114" s="355"/>
      <c r="BT114" s="355"/>
      <c r="BU114" s="390">
        <f>IFERROR(AL114*$BS$2+BG114*$BS$4+Q114*$BS$3,VLOOKUP(A114,'Updated Ncino PD'!A:K,4,FALSE))</f>
        <v>7.4011172653862256E-3</v>
      </c>
      <c r="BV114" s="390">
        <f>IFERROR(AM114*$BS$2+BH114*$BS$4+R114*$BS$3,VLOOKUP(A114,'Updated Ncino PD'!A:K,5,FALSE))</f>
        <v>1.4770607436998926E-2</v>
      </c>
      <c r="BW114" s="390">
        <f>IFERROR(AN114*$BS$2+BI114*$BS$4+S114*$BS$3,VLOOKUP(A114,'Updated Ncino PD'!A:K,6,FALSE))</f>
        <v>2.210860590104053E-2</v>
      </c>
      <c r="BX114" s="390">
        <f>IFERROR(AO114*$BS$2+BJ114*$BS$4+T114*$BS$3,VLOOKUP(A114,'Updated Ncino PD'!A:K,7,FALSE))</f>
        <v>2.9415247463143637E-2</v>
      </c>
      <c r="BY114" s="390">
        <f>IFERROR(AP114*$BS$2+BK114*$BS$4+U114*$BS$3,VLOOKUP(A114,'Updated Ncino PD'!A:K,8,FALSE))</f>
        <v>5.3777529664369876E-2</v>
      </c>
      <c r="BZ114" s="390">
        <f>IFERROR(AQ114*$BS$2+BL114*$BS$4+V114*$BS$3,VLOOKUP(A114,'Updated Ncino PD'!A:K,9,FALSE))</f>
        <v>7.5530413487898962E-2</v>
      </c>
      <c r="CA114" s="390">
        <f>IFERROR(AR114*$BS$2+BM114*$BS$4+W114*$BS$3,VLOOKUP(A114,'Updated Ncino PD'!A:K,10,FALSE))</f>
        <v>9.5441843936221668E-2</v>
      </c>
      <c r="CB114" s="390">
        <f>IFERROR(AS114*$BS$2+BN114*$BS$4+X114*$BS$3,VLOOKUP(A114,'Updated Ncino PD'!A:K,11,FALSE))</f>
        <v>0.11405685471106815</v>
      </c>
      <c r="CC114" s="390">
        <f t="shared" si="111"/>
        <v>2.9415247463143637E-2</v>
      </c>
      <c r="CD114" s="390">
        <f t="shared" si="112"/>
        <v>0.11405685471106815</v>
      </c>
      <c r="CE114" s="355"/>
      <c r="CF114" s="450">
        <f t="shared" si="113"/>
        <v>1.6955000000000001E-2</v>
      </c>
      <c r="CG114" s="450">
        <f t="shared" si="114"/>
        <v>1.4284999999999999E-2</v>
      </c>
      <c r="CH114" s="450">
        <f t="shared" si="115"/>
        <v>1.294E-2</v>
      </c>
      <c r="CI114" s="450">
        <f t="shared" si="116"/>
        <v>1.2E-2</v>
      </c>
      <c r="CJ114" s="450">
        <f t="shared" si="117"/>
        <v>1.1355000000000001E-2</v>
      </c>
    </row>
    <row r="115" spans="1:88" hidden="1" x14ac:dyDescent="0.25">
      <c r="A115" s="400">
        <v>1100000279</v>
      </c>
      <c r="B115" s="558" t="str">
        <f>VLOOKUP(A115,'Loan Book Summary'!C:G,5,FALSE)</f>
        <v>0018e000003CaFZ</v>
      </c>
      <c r="C115" s="167">
        <f>VLOOKUP(A115,'Ref-Data'!$A:$I,9,0)</f>
        <v>1</v>
      </c>
      <c r="D115" s="445">
        <f>VLOOKUP(A115,'Adjustment Factor'!A:C,3,0)</f>
        <v>1.633900580172102</v>
      </c>
      <c r="E115" s="446">
        <f>VLOOKUP(A115,'Ref-Data'!A:C,2,FALSE)</f>
        <v>15000000</v>
      </c>
      <c r="F115" s="445">
        <f>VLOOKUP(A115,'Ref-Data'!$A:$F,6,FALSE)</f>
        <v>4.8323066392881584</v>
      </c>
      <c r="G115" s="346"/>
      <c r="H115" s="273">
        <f>VLOOKUP($B115, 'Output 96% Downside'!$A:$CW,42,FALSE)</f>
        <v>0.1381</v>
      </c>
      <c r="I115" s="273">
        <f>VLOOKUP($B115, 'Output 96% Downside'!$A:$CW,43,FALSE)</f>
        <v>0.1168</v>
      </c>
      <c r="J115" s="273">
        <f>VLOOKUP($B115, 'Output 96% Downside'!$A:$CW,44,FALSE)</f>
        <v>0.10589999999999999</v>
      </c>
      <c r="K115" s="273">
        <f>VLOOKUP($B115, 'Output 96% Downside'!$A:$CW,45,FALSE)</f>
        <v>9.8699999999999996E-2</v>
      </c>
      <c r="L115" s="273">
        <f>VLOOKUP($B115, 'Output 96% Downside'!$A:$CW,46,FALSE)</f>
        <v>9.3399999999999997E-2</v>
      </c>
      <c r="M115" s="447">
        <f t="shared" si="72"/>
        <v>3.6472265209469668E-2</v>
      </c>
      <c r="N115" s="447">
        <f t="shared" si="73"/>
        <v>7.1614304289429498E-2</v>
      </c>
      <c r="O115" s="447">
        <f t="shared" si="74"/>
        <v>0.10547463360006348</v>
      </c>
      <c r="P115" s="346"/>
      <c r="Q115" s="390">
        <f t="shared" si="75"/>
        <v>5.959205528594326E-2</v>
      </c>
      <c r="R115" s="390">
        <f t="shared" si="76"/>
        <v>0.11701065332712031</v>
      </c>
      <c r="S115" s="390">
        <f t="shared" si="77"/>
        <v>0.17233506503258361</v>
      </c>
      <c r="T115" s="390">
        <f t="shared" si="78"/>
        <v>0.22564167012176731</v>
      </c>
      <c r="U115" s="390">
        <f t="shared" si="79"/>
        <v>0.39012631081564636</v>
      </c>
      <c r="V115" s="390">
        <f t="shared" si="80"/>
        <v>0.52184200594049501</v>
      </c>
      <c r="W115" s="390">
        <f t="shared" si="81"/>
        <v>0.63160218721715466</v>
      </c>
      <c r="X115" s="390">
        <f t="shared" si="82"/>
        <v>0.72521685711914674</v>
      </c>
      <c r="Y115" s="390">
        <f t="shared" si="83"/>
        <v>0.22564167012176731</v>
      </c>
      <c r="Z115" s="390">
        <f t="shared" si="84"/>
        <v>0.72521685711914674</v>
      </c>
      <c r="AA115" s="355"/>
      <c r="AB115" s="355"/>
      <c r="AC115" s="273">
        <f>VLOOKUP($B115, 'Output Baseline'!$A:$CW,42,FALSE)</f>
        <v>0.1263</v>
      </c>
      <c r="AD115" s="273">
        <f>VLOOKUP($B115, 'Output Baseline'!$A:$CW,43,FALSE)</f>
        <v>0.109</v>
      </c>
      <c r="AE115" s="273">
        <f>VLOOKUP($B115, 'Output Baseline'!$A:$CW,44,FALSE)</f>
        <v>9.9900000000000003E-2</v>
      </c>
      <c r="AF115" s="273">
        <f>VLOOKUP($B115, 'Output Baseline'!$A:$CW,45,FALSE)</f>
        <v>9.3899999999999997E-2</v>
      </c>
      <c r="AG115" s="273">
        <f>VLOOKUP($B115, 'Output Baseline'!$A:$CW,46,FALSE)</f>
        <v>8.9499999999999996E-2</v>
      </c>
      <c r="AH115" s="447">
        <f t="shared" si="85"/>
        <v>3.3191224091027594E-2</v>
      </c>
      <c r="AI115" s="447">
        <f t="shared" si="86"/>
        <v>6.5280790825394397E-2</v>
      </c>
      <c r="AJ115" s="447">
        <f t="shared" si="87"/>
        <v>9.630526555929686E-2</v>
      </c>
      <c r="AK115" s="346"/>
      <c r="AL115" s="390">
        <f t="shared" si="88"/>
        <v>5.4231160298952238E-2</v>
      </c>
      <c r="AM115" s="390">
        <f t="shared" si="89"/>
        <v>0.10666232200370554</v>
      </c>
      <c r="AN115" s="390">
        <f t="shared" si="90"/>
        <v>0.15735322927096348</v>
      </c>
      <c r="AO115" s="390">
        <f t="shared" si="91"/>
        <v>0.20636164327573647</v>
      </c>
      <c r="AP115" s="390">
        <f t="shared" si="92"/>
        <v>0.36196338739744022</v>
      </c>
      <c r="AQ115" s="390">
        <f t="shared" si="93"/>
        <v>0.48902991295562898</v>
      </c>
      <c r="AR115" s="390">
        <f t="shared" si="94"/>
        <v>0.59653326860725575</v>
      </c>
      <c r="AS115" s="390">
        <f t="shared" si="95"/>
        <v>0.68937764299230953</v>
      </c>
      <c r="AT115" s="390">
        <f t="shared" si="96"/>
        <v>0.20636164327573647</v>
      </c>
      <c r="AU115" s="390">
        <f t="shared" si="97"/>
        <v>0.68937764299230953</v>
      </c>
      <c r="AV115" s="355"/>
      <c r="AW115" s="355"/>
      <c r="AX115" s="273">
        <f>VLOOKUP($B115, 'Output 90% Downside'!$A:$CW,42,FALSE)</f>
        <v>0.13289999999999999</v>
      </c>
      <c r="AY115" s="273">
        <f>VLOOKUP($B115, 'Output 90% Downside'!$A:$CW,43,FALSE)</f>
        <v>0.1152</v>
      </c>
      <c r="AZ115" s="273">
        <f>VLOOKUP($B115, 'Output 90% Downside'!$A:$CW,44,FALSE)</f>
        <v>0.106</v>
      </c>
      <c r="BA115" s="273">
        <f>VLOOKUP($B115, 'Output 90% Downside'!$A:$CW,45,FALSE)</f>
        <v>9.98E-2</v>
      </c>
      <c r="BB115" s="273">
        <f>VLOOKUP($B115, 'Output 90% Downside'!$A:$CW,46,FALSE)</f>
        <v>9.5299999999999996E-2</v>
      </c>
      <c r="BC115" s="447">
        <f t="shared" si="98"/>
        <v>3.5022256992199075E-2</v>
      </c>
      <c r="BD115" s="447">
        <f t="shared" si="99"/>
        <v>6.8817955499570482E-2</v>
      </c>
      <c r="BE115" s="447">
        <f t="shared" si="100"/>
        <v>0.10143005236858593</v>
      </c>
      <c r="BF115" s="346"/>
      <c r="BG115" s="390">
        <f t="shared" si="101"/>
        <v>5.7222886018490522E-2</v>
      </c>
      <c r="BH115" s="390">
        <f t="shared" si="102"/>
        <v>0.11244169741700612</v>
      </c>
      <c r="BI115" s="390">
        <f t="shared" si="103"/>
        <v>0.16572662141191924</v>
      </c>
      <c r="BJ115" s="390">
        <f t="shared" si="104"/>
        <v>0.21714538710487236</v>
      </c>
      <c r="BK115" s="390">
        <f t="shared" si="105"/>
        <v>0.38035558534621722</v>
      </c>
      <c r="BL115" s="390">
        <f t="shared" si="106"/>
        <v>0.51323135479776094</v>
      </c>
      <c r="BM115" s="390">
        <f t="shared" si="107"/>
        <v>0.62507414349012014</v>
      </c>
      <c r="BN115" s="390">
        <f t="shared" si="108"/>
        <v>0.72121530290591285</v>
      </c>
      <c r="BO115" s="390">
        <f t="shared" si="109"/>
        <v>0.21714538710487236</v>
      </c>
      <c r="BP115" s="390">
        <f t="shared" si="110"/>
        <v>0.72121530290591285</v>
      </c>
      <c r="BQ115" s="347"/>
      <c r="BR115" s="355"/>
      <c r="BS115" s="355"/>
      <c r="BT115" s="355"/>
      <c r="BU115" s="390">
        <f>IFERROR(AL115*$BS$2+BG115*$BS$4+Q115*$BS$3,VLOOKUP(A115,'Updated Ncino PD'!A:K,4,FALSE))</f>
        <v>5.5546309050140186E-2</v>
      </c>
      <c r="BV115" s="390">
        <f>IFERROR(AM115*$BS$2+BH115*$BS$4+R115*$BS$3,VLOOKUP(A115,'Updated Ncino PD'!A:K,5,FALSE))</f>
        <v>0.10920251996453148</v>
      </c>
      <c r="BW115" s="390">
        <f>IFERROR(AN115*$BS$2+BI115*$BS$4+S115*$BS$3,VLOOKUP(A115,'Updated Ncino PD'!A:K,6,FALSE))</f>
        <v>0.16103300830837902</v>
      </c>
      <c r="BX115" s="390">
        <f>IFERROR(AO115*$BS$2+BJ115*$BS$4+T115*$BS$3,VLOOKUP(A115,'Updated Ncino PD'!A:K,7,FALSE))</f>
        <v>0.21109995495823555</v>
      </c>
      <c r="BY115" s="390">
        <f>IFERROR(AP115*$BS$2+BK115*$BS$4+U115*$BS$3,VLOOKUP(A115,'Updated Ncino PD'!A:K,8,FALSE))</f>
        <v>0.36980880285042245</v>
      </c>
      <c r="BZ115" s="390">
        <f>IFERROR(AQ115*$BS$2+BL115*$BS$4+V115*$BS$3,VLOOKUP(A115,'Updated Ncino PD'!A:K,9,FALSE))</f>
        <v>0.49914102224961843</v>
      </c>
      <c r="CA115" s="390">
        <f>IFERROR(AR115*$BS$2+BM115*$BS$4+W115*$BS$3,VLOOKUP(A115,'Updated Ncino PD'!A:K,10,FALSE))</f>
        <v>0.60827602074675324</v>
      </c>
      <c r="CB115" s="390">
        <f>IFERROR(AS115*$BS$2+BN115*$BS$4+X115*$BS$3,VLOOKUP(A115,'Updated Ncino PD'!A:K,11,FALSE))</f>
        <v>0.70231278466841252</v>
      </c>
      <c r="CC115" s="390">
        <f t="shared" si="111"/>
        <v>0.21109995495823555</v>
      </c>
      <c r="CD115" s="390">
        <f t="shared" si="112"/>
        <v>0.70231278466841252</v>
      </c>
      <c r="CE115" s="355"/>
      <c r="CF115" s="450">
        <f t="shared" si="113"/>
        <v>0.12919999999999998</v>
      </c>
      <c r="CG115" s="450">
        <f t="shared" si="114"/>
        <v>0.11155999999999999</v>
      </c>
      <c r="CH115" s="450">
        <f t="shared" si="115"/>
        <v>0.102335</v>
      </c>
      <c r="CI115" s="450">
        <f t="shared" si="116"/>
        <v>9.6204999999999985E-2</v>
      </c>
      <c r="CJ115" s="450">
        <f t="shared" si="117"/>
        <v>9.1725000000000001E-2</v>
      </c>
    </row>
    <row r="116" spans="1:88" hidden="1" x14ac:dyDescent="0.25">
      <c r="A116" s="354">
        <v>1100000283</v>
      </c>
      <c r="B116" s="558" t="str">
        <f>VLOOKUP(A116,'Loan Book Summary'!C:G,5,FALSE)</f>
        <v>0018e000003CYQC</v>
      </c>
      <c r="C116" s="167">
        <f>VLOOKUP(A116,'Ref-Data'!$A:$I,9,0)</f>
        <v>1</v>
      </c>
      <c r="D116" s="445" t="e">
        <f>VLOOKUP(A116,'Adjustment Factor'!A:C,3,0)</f>
        <v>#N/A</v>
      </c>
      <c r="E116" s="446">
        <f>VLOOKUP(A116,'Ref-Data'!A:C,2,FALSE)</f>
        <v>2568335</v>
      </c>
      <c r="F116" s="445">
        <f>VLOOKUP(A116,'Ref-Data'!$A:$F,6,FALSE)</f>
        <v>4.9253935660506505</v>
      </c>
      <c r="G116" s="346"/>
      <c r="H116" s="273" t="e">
        <f>VLOOKUP($B116, 'Output 96% Downside'!$A:$CW,42,FALSE)</f>
        <v>#N/A</v>
      </c>
      <c r="I116" s="273" t="e">
        <f>VLOOKUP($B116, 'Output 96% Downside'!$A:$CW,43,FALSE)</f>
        <v>#N/A</v>
      </c>
      <c r="J116" s="273" t="e">
        <f>VLOOKUP($B116, 'Output 96% Downside'!$A:$CW,44,FALSE)</f>
        <v>#N/A</v>
      </c>
      <c r="K116" s="273" t="e">
        <f>VLOOKUP($B116, 'Output 96% Downside'!$A:$CW,45,FALSE)</f>
        <v>#N/A</v>
      </c>
      <c r="L116" s="273" t="e">
        <f>VLOOKUP($B116, 'Output 96% Downside'!$A:$CW,46,FALSE)</f>
        <v>#N/A</v>
      </c>
      <c r="M116" s="447" t="e">
        <f t="shared" ref="M116:M120" si="118">1-(1-H116)^(1/4)</f>
        <v>#N/A</v>
      </c>
      <c r="N116" s="447" t="e">
        <f t="shared" ref="N116:N120" si="119">1-(1-M116)*(1-M116)</f>
        <v>#N/A</v>
      </c>
      <c r="O116" s="447" t="e">
        <f t="shared" ref="O116:O120" si="120">1-(1-M116)*(1-M116)*(1-M116)</f>
        <v>#N/A</v>
      </c>
      <c r="P116" s="346"/>
      <c r="Q116" s="390" t="e">
        <f t="shared" ref="Q116:Q120" si="121">M116*$D116</f>
        <v>#N/A</v>
      </c>
      <c r="R116" s="390" t="e">
        <f t="shared" ref="R116:R120" si="122">N116*$D116</f>
        <v>#N/A</v>
      </c>
      <c r="S116" s="390" t="e">
        <f t="shared" ref="S116:S120" si="123">O116*$D116</f>
        <v>#N/A</v>
      </c>
      <c r="T116" s="390" t="e">
        <f t="shared" ref="T116:T120" si="124">H116*$D116</f>
        <v>#N/A</v>
      </c>
      <c r="U116" s="390" t="e">
        <f t="shared" ref="U116:U120" si="125">(1-((1-H116)*(1-I116)))*$D116</f>
        <v>#N/A</v>
      </c>
      <c r="V116" s="390" t="e">
        <f t="shared" ref="V116:V120" si="126">(1-((1-H116)*(1-I116)*(1-J116)))*$D116</f>
        <v>#N/A</v>
      </c>
      <c r="W116" s="390" t="e">
        <f t="shared" ref="W116:W120" si="127">(1-((1-H116)*(1-I116)*(1-J116)*(1-K116)))*$D116</f>
        <v>#N/A</v>
      </c>
      <c r="X116" s="390" t="e">
        <f t="shared" ref="X116:X120" si="128">(1-((1-H116)*(1-I116)*(1-J116)*(1-K116)*(1-L116)))*$D116</f>
        <v>#N/A</v>
      </c>
      <c r="Y116" s="390" t="e">
        <f t="shared" ref="Y116:Y120" si="129">IF($C116=1,IF($F116&gt;=1,T116,1-(1-T116)^$F116),IF($F116&gt;=1,Z116,1-(1-Z116)^$F116))</f>
        <v>#N/A</v>
      </c>
      <c r="Z116" s="390" t="e">
        <f t="shared" ref="Z116:Z120" si="130">IF($F116&lt;=1,T116,IF($F116&lt;=2,U116,IF($F116&lt;=3,V116,IF($F116&lt;=4,W116,X116))))</f>
        <v>#N/A</v>
      </c>
      <c r="AA116" s="355"/>
      <c r="AB116" s="355"/>
      <c r="AC116" s="273" t="e">
        <f>VLOOKUP($B116, 'Output Baseline'!$A:$CW,42,FALSE)</f>
        <v>#N/A</v>
      </c>
      <c r="AD116" s="273" t="e">
        <f>VLOOKUP($B116, 'Output Baseline'!$A:$CW,43,FALSE)</f>
        <v>#N/A</v>
      </c>
      <c r="AE116" s="273" t="e">
        <f>VLOOKUP($B116, 'Output Baseline'!$A:$CW,44,FALSE)</f>
        <v>#N/A</v>
      </c>
      <c r="AF116" s="273" t="e">
        <f>VLOOKUP($B116, 'Output Baseline'!$A:$CW,45,FALSE)</f>
        <v>#N/A</v>
      </c>
      <c r="AG116" s="273" t="e">
        <f>VLOOKUP($B116, 'Output Baseline'!$A:$CW,46,FALSE)</f>
        <v>#N/A</v>
      </c>
      <c r="AH116" s="447" t="e">
        <f t="shared" ref="AH116:AH120" si="131">1-(1-AC116)^(1/4)</f>
        <v>#N/A</v>
      </c>
      <c r="AI116" s="447" t="e">
        <f t="shared" ref="AI116:AI120" si="132">1-(1-AH116)*(1-AH116)</f>
        <v>#N/A</v>
      </c>
      <c r="AJ116" s="447" t="e">
        <f t="shared" ref="AJ116:AJ120" si="133">1-(1-AH116)*(1-AH116)*(1-AH116)</f>
        <v>#N/A</v>
      </c>
      <c r="AK116" s="346"/>
      <c r="AL116" s="390" t="e">
        <f t="shared" ref="AL116:AL120" si="134">AH116*$D116</f>
        <v>#N/A</v>
      </c>
      <c r="AM116" s="390" t="e">
        <f t="shared" ref="AM116:AM120" si="135">AI116*$D116</f>
        <v>#N/A</v>
      </c>
      <c r="AN116" s="390" t="e">
        <f t="shared" ref="AN116:AN120" si="136">AJ116*$D116</f>
        <v>#N/A</v>
      </c>
      <c r="AO116" s="390" t="e">
        <f t="shared" ref="AO116:AO120" si="137">AC116*$D116</f>
        <v>#N/A</v>
      </c>
      <c r="AP116" s="390" t="e">
        <f t="shared" ref="AP116:AP120" si="138">(1-((1-AC116)*(1-AD116)))*$D116</f>
        <v>#N/A</v>
      </c>
      <c r="AQ116" s="390" t="e">
        <f t="shared" ref="AQ116:AQ120" si="139">(1-((1-AC116)*(1-AD116)*(1-AE116)))*$D116</f>
        <v>#N/A</v>
      </c>
      <c r="AR116" s="390" t="e">
        <f t="shared" ref="AR116:AR120" si="140">(1-((1-AC116)*(1-AD116)*(1-AE116)*(1-AF116)))*$D116</f>
        <v>#N/A</v>
      </c>
      <c r="AS116" s="390" t="e">
        <f t="shared" ref="AS116:AS120" si="141">(1-((1-AC116)*(1-AD116)*(1-AE116)*(1-AF116)*(1-AG116)))*$D116</f>
        <v>#N/A</v>
      </c>
      <c r="AT116" s="390" t="e">
        <f t="shared" ref="AT116:AT120" si="142">IF($C116=1,IF($F116&gt;=1,AO116,1-(1-AO116)^$F116),IF($F116&gt;=1,AU116,1-(1-AU116)^$F116))</f>
        <v>#N/A</v>
      </c>
      <c r="AU116" s="390" t="e">
        <f t="shared" ref="AU116:AU120" si="143">IF($F116&lt;=1,AO116,IF($F116&lt;=2,AP116,IF($F116&lt;=3,AQ116,IF($F116&lt;=4,AR116,AS116))))</f>
        <v>#N/A</v>
      </c>
      <c r="AV116" s="355"/>
      <c r="AW116" s="355"/>
      <c r="AX116" s="273" t="e">
        <f>VLOOKUP($B116, 'Output 90% Downside'!$A:$CW,42,FALSE)</f>
        <v>#N/A</v>
      </c>
      <c r="AY116" s="273" t="e">
        <f>VLOOKUP($B116, 'Output 90% Downside'!$A:$CW,43,FALSE)</f>
        <v>#N/A</v>
      </c>
      <c r="AZ116" s="273" t="e">
        <f>VLOOKUP($B116, 'Output 90% Downside'!$A:$CW,44,FALSE)</f>
        <v>#N/A</v>
      </c>
      <c r="BA116" s="273" t="e">
        <f>VLOOKUP($B116, 'Output 90% Downside'!$A:$CW,45,FALSE)</f>
        <v>#N/A</v>
      </c>
      <c r="BB116" s="273" t="e">
        <f>VLOOKUP($B116, 'Output 90% Downside'!$A:$CW,46,FALSE)</f>
        <v>#N/A</v>
      </c>
      <c r="BC116" s="447" t="e">
        <f t="shared" ref="BC116:BC120" si="144">1-(1-AX116)^(1/4)</f>
        <v>#N/A</v>
      </c>
      <c r="BD116" s="447" t="e">
        <f t="shared" ref="BD116:BD120" si="145">1-(1-BC116)*(1-BC116)</f>
        <v>#N/A</v>
      </c>
      <c r="BE116" s="447" t="e">
        <f t="shared" ref="BE116:BE120" si="146">1-(1-BC116)*(1-BC116)*(1-BC116)</f>
        <v>#N/A</v>
      </c>
      <c r="BF116" s="346"/>
      <c r="BG116" s="390" t="e">
        <f t="shared" ref="BG116:BG120" si="147">BC116*$D116</f>
        <v>#N/A</v>
      </c>
      <c r="BH116" s="390" t="e">
        <f t="shared" ref="BH116:BH120" si="148">BD116*$D116</f>
        <v>#N/A</v>
      </c>
      <c r="BI116" s="390" t="e">
        <f t="shared" ref="BI116:BI120" si="149">BE116*$D116</f>
        <v>#N/A</v>
      </c>
      <c r="BJ116" s="390" t="e">
        <f t="shared" ref="BJ116:BJ120" si="150">AX116*$D116</f>
        <v>#N/A</v>
      </c>
      <c r="BK116" s="390" t="e">
        <f t="shared" ref="BK116:BK120" si="151">(1-((1-AX116)*(1-AY116)))*$D116</f>
        <v>#N/A</v>
      </c>
      <c r="BL116" s="390" t="e">
        <f t="shared" ref="BL116:BL120" si="152">(1-((1-AX116)*(1-AY116)*(1-AZ116)))*$D116</f>
        <v>#N/A</v>
      </c>
      <c r="BM116" s="390" t="e">
        <f t="shared" ref="BM116:BM120" si="153">(1-((1-AX116)*(1-AY116)*(1-AZ116)*(1-BA116)))*$D116</f>
        <v>#N/A</v>
      </c>
      <c r="BN116" s="390" t="e">
        <f t="shared" ref="BN116:BN120" si="154">(1-((1-AX116)*(1-AY116)*(1-AZ116)*(1-BA116)*(1-BB116)))*$D116</f>
        <v>#N/A</v>
      </c>
      <c r="BO116" s="390" t="e">
        <f t="shared" ref="BO116:BO120" si="155">IF($C116=1,IF($F116&gt;=1,BJ116,1-(1-BJ116)^$F116),IF($F116&gt;=1,BP116,1-(1-BP116)^$F116))</f>
        <v>#N/A</v>
      </c>
      <c r="BP116" s="390" t="e">
        <f t="shared" ref="BP116:BP120" si="156">IF($F116&lt;=1,BJ116,IF($F116&lt;=2,BK116,IF($F116&lt;=3,BL116,IF($F116&lt;=4,BM116,BN116))))</f>
        <v>#N/A</v>
      </c>
      <c r="BQ116" s="347"/>
      <c r="BR116" s="355"/>
      <c r="BS116" s="355"/>
      <c r="BT116" s="355"/>
      <c r="BU116" s="390">
        <f>IFERROR(AL116*$BS$2+BG116*$BS$4+Q116*$BS$3,VLOOKUP(A116,'Updated Ncino PD'!A:K,4,FALSE))</f>
        <v>2.3975034642778051E-3</v>
      </c>
      <c r="BV116" s="390">
        <f>IFERROR(AM116*$BS$2+BH116*$BS$4+R116*$BS$3,VLOOKUP(A116,'Updated Ncino PD'!A:K,5,FALSE))</f>
        <v>5.5834193307171204E-3</v>
      </c>
      <c r="BW116" s="390">
        <f>IFERROR(AN116*$BS$2+BI116*$BS$4+S116*$BS$3,VLOOKUP(A116,'Updated Ncino PD'!A:K,6,FALSE))</f>
        <v>9.209555416014599E-3</v>
      </c>
      <c r="BX116" s="390">
        <f>IFERROR(AO116*$BS$2+BJ116*$BS$4+T116*$BS$3,VLOOKUP(A116,'Updated Ncino PD'!A:K,7,FALSE))</f>
        <v>1.3899999999999999E-2</v>
      </c>
      <c r="BY116" s="390">
        <f>IFERROR(AP116*$BS$2+BK116*$BS$4+U116*$BS$3,VLOOKUP(A116,'Updated Ncino PD'!A:K,8,FALSE))</f>
        <v>0</v>
      </c>
      <c r="BZ116" s="390">
        <f>IFERROR(AQ116*$BS$2+BL116*$BS$4+V116*$BS$3,VLOOKUP(A116,'Updated Ncino PD'!A:K,9,FALSE))</f>
        <v>0</v>
      </c>
      <c r="CA116" s="390">
        <f>IFERROR(AR116*$BS$2+BM116*$BS$4+W116*$BS$3,VLOOKUP(A116,'Updated Ncino PD'!A:K,10,FALSE))</f>
        <v>0</v>
      </c>
      <c r="CB116" s="390">
        <f>IFERROR(AS116*$BS$2+BN116*$BS$4+X116*$BS$3,VLOOKUP(A116,'Updated Ncino PD'!A:K,11,FALSE))</f>
        <v>0</v>
      </c>
      <c r="CC116" s="390" t="e">
        <f t="shared" ref="CC116:CC120" si="157">AT116*$BS$2+BO116*$BS$4+Y116*$BS$3</f>
        <v>#N/A</v>
      </c>
      <c r="CD116" s="390" t="e">
        <f t="shared" ref="CD116:CD120" si="158">AU116*$BS$2+BP116*$BS$4+Z116*$BS$3</f>
        <v>#N/A</v>
      </c>
      <c r="CE116" s="355"/>
      <c r="CF116" s="450" t="e">
        <f t="shared" ref="CF116:CF120" si="159">$BS$2*AC116+$BS$3*H116+$BS$4*AX116</f>
        <v>#N/A</v>
      </c>
      <c r="CG116" s="450" t="e">
        <f t="shared" ref="CG116:CG120" si="160">$BS$2*AD116+$BS$3*I116+$BS$4*AY116</f>
        <v>#N/A</v>
      </c>
      <c r="CH116" s="450" t="e">
        <f t="shared" ref="CH116:CH120" si="161">$BS$2*AE116+$BS$3*J116+$BS$4*AZ116</f>
        <v>#N/A</v>
      </c>
      <c r="CI116" s="450" t="e">
        <f t="shared" ref="CI116:CI120" si="162">$BS$2*AF116+$BS$3*K116+$BS$4*BA116</f>
        <v>#N/A</v>
      </c>
      <c r="CJ116" s="450" t="e">
        <f t="shared" ref="CJ116:CJ120" si="163">$BS$2*AG116+$BS$3*L116+$BS$4*BB116</f>
        <v>#N/A</v>
      </c>
    </row>
    <row r="117" spans="1:88" hidden="1" x14ac:dyDescent="0.25">
      <c r="A117" s="354">
        <v>1100000284</v>
      </c>
      <c r="B117" s="558" t="str">
        <f>VLOOKUP(A117,'Loan Book Summary'!C:G,5,FALSE)</f>
        <v>0018e000003CRe4</v>
      </c>
      <c r="C117" s="167">
        <f>VLOOKUP(A117,'Ref-Data'!$A:$I,9,0)</f>
        <v>1</v>
      </c>
      <c r="D117" s="445" t="e">
        <f>VLOOKUP(A117,'Adjustment Factor'!A:C,3,0)</f>
        <v>#N/A</v>
      </c>
      <c r="E117" s="446">
        <f>VLOOKUP(A117,'Ref-Data'!A:C,2,FALSE)</f>
        <v>1015000</v>
      </c>
      <c r="F117" s="445">
        <f>VLOOKUP(A117,'Ref-Data'!$A:$F,6,FALSE)</f>
        <v>4.9500342231348391</v>
      </c>
      <c r="G117" s="346"/>
      <c r="H117" s="273" t="e">
        <f>VLOOKUP($B117, 'Output 96% Downside'!$A:$CW,42,FALSE)</f>
        <v>#N/A</v>
      </c>
      <c r="I117" s="273" t="e">
        <f>VLOOKUP($B117, 'Output 96% Downside'!$A:$CW,43,FALSE)</f>
        <v>#N/A</v>
      </c>
      <c r="J117" s="273" t="e">
        <f>VLOOKUP($B117, 'Output 96% Downside'!$A:$CW,44,FALSE)</f>
        <v>#N/A</v>
      </c>
      <c r="K117" s="273" t="e">
        <f>VLOOKUP($B117, 'Output 96% Downside'!$A:$CW,45,FALSE)</f>
        <v>#N/A</v>
      </c>
      <c r="L117" s="273" t="e">
        <f>VLOOKUP($B117, 'Output 96% Downside'!$A:$CW,46,FALSE)</f>
        <v>#N/A</v>
      </c>
      <c r="M117" s="447" t="e">
        <f t="shared" si="118"/>
        <v>#N/A</v>
      </c>
      <c r="N117" s="447" t="e">
        <f t="shared" si="119"/>
        <v>#N/A</v>
      </c>
      <c r="O117" s="447" t="e">
        <f t="shared" si="120"/>
        <v>#N/A</v>
      </c>
      <c r="P117" s="346"/>
      <c r="Q117" s="390" t="e">
        <f t="shared" si="121"/>
        <v>#N/A</v>
      </c>
      <c r="R117" s="390" t="e">
        <f t="shared" si="122"/>
        <v>#N/A</v>
      </c>
      <c r="S117" s="390" t="e">
        <f t="shared" si="123"/>
        <v>#N/A</v>
      </c>
      <c r="T117" s="390" t="e">
        <f t="shared" si="124"/>
        <v>#N/A</v>
      </c>
      <c r="U117" s="390" t="e">
        <f t="shared" si="125"/>
        <v>#N/A</v>
      </c>
      <c r="V117" s="390" t="e">
        <f t="shared" si="126"/>
        <v>#N/A</v>
      </c>
      <c r="W117" s="390" t="e">
        <f t="shared" si="127"/>
        <v>#N/A</v>
      </c>
      <c r="X117" s="390" t="e">
        <f t="shared" si="128"/>
        <v>#N/A</v>
      </c>
      <c r="Y117" s="390" t="e">
        <f t="shared" si="129"/>
        <v>#N/A</v>
      </c>
      <c r="Z117" s="390" t="e">
        <f t="shared" si="130"/>
        <v>#N/A</v>
      </c>
      <c r="AA117" s="355"/>
      <c r="AB117" s="355"/>
      <c r="AC117" s="273" t="e">
        <f>VLOOKUP($B117, 'Output Baseline'!$A:$CW,42,FALSE)</f>
        <v>#N/A</v>
      </c>
      <c r="AD117" s="273" t="e">
        <f>VLOOKUP($B117, 'Output Baseline'!$A:$CW,43,FALSE)</f>
        <v>#N/A</v>
      </c>
      <c r="AE117" s="273" t="e">
        <f>VLOOKUP($B117, 'Output Baseline'!$A:$CW,44,FALSE)</f>
        <v>#N/A</v>
      </c>
      <c r="AF117" s="273" t="e">
        <f>VLOOKUP($B117, 'Output Baseline'!$A:$CW,45,FALSE)</f>
        <v>#N/A</v>
      </c>
      <c r="AG117" s="273" t="e">
        <f>VLOOKUP($B117, 'Output Baseline'!$A:$CW,46,FALSE)</f>
        <v>#N/A</v>
      </c>
      <c r="AH117" s="447" t="e">
        <f t="shared" si="131"/>
        <v>#N/A</v>
      </c>
      <c r="AI117" s="447" t="e">
        <f t="shared" si="132"/>
        <v>#N/A</v>
      </c>
      <c r="AJ117" s="447" t="e">
        <f t="shared" si="133"/>
        <v>#N/A</v>
      </c>
      <c r="AK117" s="346"/>
      <c r="AL117" s="390" t="e">
        <f t="shared" si="134"/>
        <v>#N/A</v>
      </c>
      <c r="AM117" s="390" t="e">
        <f t="shared" si="135"/>
        <v>#N/A</v>
      </c>
      <c r="AN117" s="390" t="e">
        <f t="shared" si="136"/>
        <v>#N/A</v>
      </c>
      <c r="AO117" s="390" t="e">
        <f t="shared" si="137"/>
        <v>#N/A</v>
      </c>
      <c r="AP117" s="390" t="e">
        <f t="shared" si="138"/>
        <v>#N/A</v>
      </c>
      <c r="AQ117" s="390" t="e">
        <f t="shared" si="139"/>
        <v>#N/A</v>
      </c>
      <c r="AR117" s="390" t="e">
        <f t="shared" si="140"/>
        <v>#N/A</v>
      </c>
      <c r="AS117" s="390" t="e">
        <f t="shared" si="141"/>
        <v>#N/A</v>
      </c>
      <c r="AT117" s="390" t="e">
        <f t="shared" si="142"/>
        <v>#N/A</v>
      </c>
      <c r="AU117" s="390" t="e">
        <f t="shared" si="143"/>
        <v>#N/A</v>
      </c>
      <c r="AV117" s="355"/>
      <c r="AW117" s="355"/>
      <c r="AX117" s="273" t="e">
        <f>VLOOKUP($B117, 'Output 90% Downside'!$A:$CW,42,FALSE)</f>
        <v>#N/A</v>
      </c>
      <c r="AY117" s="273" t="e">
        <f>VLOOKUP($B117, 'Output 90% Downside'!$A:$CW,43,FALSE)</f>
        <v>#N/A</v>
      </c>
      <c r="AZ117" s="273" t="e">
        <f>VLOOKUP($B117, 'Output 90% Downside'!$A:$CW,44,FALSE)</f>
        <v>#N/A</v>
      </c>
      <c r="BA117" s="273" t="e">
        <f>VLOOKUP($B117, 'Output 90% Downside'!$A:$CW,45,FALSE)</f>
        <v>#N/A</v>
      </c>
      <c r="BB117" s="273" t="e">
        <f>VLOOKUP($B117, 'Output 90% Downside'!$A:$CW,46,FALSE)</f>
        <v>#N/A</v>
      </c>
      <c r="BC117" s="447" t="e">
        <f t="shared" si="144"/>
        <v>#N/A</v>
      </c>
      <c r="BD117" s="447" t="e">
        <f t="shared" si="145"/>
        <v>#N/A</v>
      </c>
      <c r="BE117" s="447" t="e">
        <f t="shared" si="146"/>
        <v>#N/A</v>
      </c>
      <c r="BF117" s="346"/>
      <c r="BG117" s="390" t="e">
        <f t="shared" si="147"/>
        <v>#N/A</v>
      </c>
      <c r="BH117" s="390" t="e">
        <f t="shared" si="148"/>
        <v>#N/A</v>
      </c>
      <c r="BI117" s="390" t="e">
        <f t="shared" si="149"/>
        <v>#N/A</v>
      </c>
      <c r="BJ117" s="390" t="e">
        <f t="shared" si="150"/>
        <v>#N/A</v>
      </c>
      <c r="BK117" s="390" t="e">
        <f t="shared" si="151"/>
        <v>#N/A</v>
      </c>
      <c r="BL117" s="390" t="e">
        <f t="shared" si="152"/>
        <v>#N/A</v>
      </c>
      <c r="BM117" s="390" t="e">
        <f t="shared" si="153"/>
        <v>#N/A</v>
      </c>
      <c r="BN117" s="390" t="e">
        <f t="shared" si="154"/>
        <v>#N/A</v>
      </c>
      <c r="BO117" s="390" t="e">
        <f t="shared" si="155"/>
        <v>#N/A</v>
      </c>
      <c r="BP117" s="390" t="e">
        <f t="shared" si="156"/>
        <v>#N/A</v>
      </c>
      <c r="BQ117" s="347"/>
      <c r="BR117" s="355"/>
      <c r="BS117" s="355"/>
      <c r="BT117" s="355"/>
      <c r="BU117" s="390">
        <f>IFERROR(AL117*$BS$2+BG117*$BS$4+Q117*$BS$3,VLOOKUP(A117,'Updated Ncino PD'!A:K,4,FALSE))</f>
        <v>8.6241131808554141E-4</v>
      </c>
      <c r="BV117" s="390">
        <f>IFERROR(AM117*$BS$2+BH117*$BS$4+R117*$BS$3,VLOOKUP(A117,'Updated Ncino PD'!A:K,5,FALSE))</f>
        <v>2.0084242196824176E-3</v>
      </c>
      <c r="BW117" s="390">
        <f>IFERROR(AN117*$BS$2+BI117*$BS$4+S117*$BS$3,VLOOKUP(A117,'Updated Ncino PD'!A:K,6,FALSE))</f>
        <v>3.3127897179908634E-3</v>
      </c>
      <c r="BX117" s="390">
        <f>IFERROR(AO117*$BS$2+BJ117*$BS$4+T117*$BS$3,VLOOKUP(A117,'Updated Ncino PD'!A:K,7,FALSE))</f>
        <v>5.0000000000000001E-3</v>
      </c>
      <c r="BY117" s="390">
        <f>IFERROR(AP117*$BS$2+BK117*$BS$4+U117*$BS$3,VLOOKUP(A117,'Updated Ncino PD'!A:K,8,FALSE))</f>
        <v>0</v>
      </c>
      <c r="BZ117" s="390">
        <f>IFERROR(AQ117*$BS$2+BL117*$BS$4+V117*$BS$3,VLOOKUP(A117,'Updated Ncino PD'!A:K,9,FALSE))</f>
        <v>0</v>
      </c>
      <c r="CA117" s="390">
        <f>IFERROR(AR117*$BS$2+BM117*$BS$4+W117*$BS$3,VLOOKUP(A117,'Updated Ncino PD'!A:K,10,FALSE))</f>
        <v>0</v>
      </c>
      <c r="CB117" s="390">
        <f>IFERROR(AS117*$BS$2+BN117*$BS$4+X117*$BS$3,VLOOKUP(A117,'Updated Ncino PD'!A:K,11,FALSE))</f>
        <v>0</v>
      </c>
      <c r="CC117" s="390" t="e">
        <f t="shared" si="157"/>
        <v>#N/A</v>
      </c>
      <c r="CD117" s="390" t="e">
        <f t="shared" si="158"/>
        <v>#N/A</v>
      </c>
      <c r="CE117" s="355"/>
      <c r="CF117" s="450" t="e">
        <f t="shared" si="159"/>
        <v>#N/A</v>
      </c>
      <c r="CG117" s="450" t="e">
        <f t="shared" si="160"/>
        <v>#N/A</v>
      </c>
      <c r="CH117" s="450" t="e">
        <f t="shared" si="161"/>
        <v>#N/A</v>
      </c>
      <c r="CI117" s="450" t="e">
        <f t="shared" si="162"/>
        <v>#N/A</v>
      </c>
      <c r="CJ117" s="450" t="e">
        <f t="shared" si="163"/>
        <v>#N/A</v>
      </c>
    </row>
    <row r="118" spans="1:88" hidden="1" x14ac:dyDescent="0.25">
      <c r="A118" s="354">
        <v>1300000003</v>
      </c>
      <c r="B118" s="558" t="str">
        <f>VLOOKUP(A118,'Loan Book Summary'!C:G,5,FALSE)</f>
        <v>0018e000003CRe4</v>
      </c>
      <c r="C118" s="167">
        <f>VLOOKUP(A118,'Ref-Data'!$A:$I,9,0)</f>
        <v>1</v>
      </c>
      <c r="D118" s="445" t="e">
        <f>VLOOKUP(A118,'Adjustment Factor'!A:C,3,0)</f>
        <v>#N/A</v>
      </c>
      <c r="E118" s="446">
        <f>VLOOKUP(A118,'Ref-Data'!A:C,2,FALSE)</f>
        <v>235000</v>
      </c>
      <c r="F118" s="445">
        <f>VLOOKUP(A118,'Ref-Data'!$A:$F,6,FALSE)</f>
        <v>4.9500342231348391</v>
      </c>
      <c r="G118" s="346"/>
      <c r="H118" s="273" t="e">
        <f>VLOOKUP($B118, 'Output 96% Downside'!$A:$CW,42,FALSE)</f>
        <v>#N/A</v>
      </c>
      <c r="I118" s="273" t="e">
        <f>VLOOKUP($B118, 'Output 96% Downside'!$A:$CW,43,FALSE)</f>
        <v>#N/A</v>
      </c>
      <c r="J118" s="273" t="e">
        <f>VLOOKUP($B118, 'Output 96% Downside'!$A:$CW,44,FALSE)</f>
        <v>#N/A</v>
      </c>
      <c r="K118" s="273" t="e">
        <f>VLOOKUP($B118, 'Output 96% Downside'!$A:$CW,45,FALSE)</f>
        <v>#N/A</v>
      </c>
      <c r="L118" s="273" t="e">
        <f>VLOOKUP($B118, 'Output 96% Downside'!$A:$CW,46,FALSE)</f>
        <v>#N/A</v>
      </c>
      <c r="M118" s="447" t="e">
        <f t="shared" si="118"/>
        <v>#N/A</v>
      </c>
      <c r="N118" s="447" t="e">
        <f t="shared" si="119"/>
        <v>#N/A</v>
      </c>
      <c r="O118" s="447" t="e">
        <f t="shared" si="120"/>
        <v>#N/A</v>
      </c>
      <c r="P118" s="346"/>
      <c r="Q118" s="390" t="e">
        <f t="shared" si="121"/>
        <v>#N/A</v>
      </c>
      <c r="R118" s="390" t="e">
        <f t="shared" si="122"/>
        <v>#N/A</v>
      </c>
      <c r="S118" s="390" t="e">
        <f t="shared" si="123"/>
        <v>#N/A</v>
      </c>
      <c r="T118" s="390" t="e">
        <f t="shared" si="124"/>
        <v>#N/A</v>
      </c>
      <c r="U118" s="390" t="e">
        <f t="shared" si="125"/>
        <v>#N/A</v>
      </c>
      <c r="V118" s="390" t="e">
        <f t="shared" si="126"/>
        <v>#N/A</v>
      </c>
      <c r="W118" s="390" t="e">
        <f t="shared" si="127"/>
        <v>#N/A</v>
      </c>
      <c r="X118" s="390" t="e">
        <f t="shared" si="128"/>
        <v>#N/A</v>
      </c>
      <c r="Y118" s="390" t="e">
        <f t="shared" si="129"/>
        <v>#N/A</v>
      </c>
      <c r="Z118" s="390" t="e">
        <f t="shared" si="130"/>
        <v>#N/A</v>
      </c>
      <c r="AA118" s="355"/>
      <c r="AB118" s="355"/>
      <c r="AC118" s="273" t="e">
        <f>VLOOKUP($B118, 'Output Baseline'!$A:$CW,42,FALSE)</f>
        <v>#N/A</v>
      </c>
      <c r="AD118" s="273" t="e">
        <f>VLOOKUP($B118, 'Output Baseline'!$A:$CW,43,FALSE)</f>
        <v>#N/A</v>
      </c>
      <c r="AE118" s="273" t="e">
        <f>VLOOKUP($B118, 'Output Baseline'!$A:$CW,44,FALSE)</f>
        <v>#N/A</v>
      </c>
      <c r="AF118" s="273" t="e">
        <f>VLOOKUP($B118, 'Output Baseline'!$A:$CW,45,FALSE)</f>
        <v>#N/A</v>
      </c>
      <c r="AG118" s="273" t="e">
        <f>VLOOKUP($B118, 'Output Baseline'!$A:$CW,46,FALSE)</f>
        <v>#N/A</v>
      </c>
      <c r="AH118" s="447" t="e">
        <f t="shared" si="131"/>
        <v>#N/A</v>
      </c>
      <c r="AI118" s="447" t="e">
        <f t="shared" si="132"/>
        <v>#N/A</v>
      </c>
      <c r="AJ118" s="447" t="e">
        <f t="shared" si="133"/>
        <v>#N/A</v>
      </c>
      <c r="AK118" s="346"/>
      <c r="AL118" s="390" t="e">
        <f t="shared" si="134"/>
        <v>#N/A</v>
      </c>
      <c r="AM118" s="390" t="e">
        <f t="shared" si="135"/>
        <v>#N/A</v>
      </c>
      <c r="AN118" s="390" t="e">
        <f t="shared" si="136"/>
        <v>#N/A</v>
      </c>
      <c r="AO118" s="390" t="e">
        <f t="shared" si="137"/>
        <v>#N/A</v>
      </c>
      <c r="AP118" s="390" t="e">
        <f t="shared" si="138"/>
        <v>#N/A</v>
      </c>
      <c r="AQ118" s="390" t="e">
        <f t="shared" si="139"/>
        <v>#N/A</v>
      </c>
      <c r="AR118" s="390" t="e">
        <f t="shared" si="140"/>
        <v>#N/A</v>
      </c>
      <c r="AS118" s="390" t="e">
        <f t="shared" si="141"/>
        <v>#N/A</v>
      </c>
      <c r="AT118" s="390" t="e">
        <f t="shared" si="142"/>
        <v>#N/A</v>
      </c>
      <c r="AU118" s="390" t="e">
        <f t="shared" si="143"/>
        <v>#N/A</v>
      </c>
      <c r="AV118" s="355"/>
      <c r="AW118" s="355"/>
      <c r="AX118" s="273" t="e">
        <f>VLOOKUP($B118, 'Output 90% Downside'!$A:$CW,42,FALSE)</f>
        <v>#N/A</v>
      </c>
      <c r="AY118" s="273" t="e">
        <f>VLOOKUP($B118, 'Output 90% Downside'!$A:$CW,43,FALSE)</f>
        <v>#N/A</v>
      </c>
      <c r="AZ118" s="273" t="e">
        <f>VLOOKUP($B118, 'Output 90% Downside'!$A:$CW,44,FALSE)</f>
        <v>#N/A</v>
      </c>
      <c r="BA118" s="273" t="e">
        <f>VLOOKUP($B118, 'Output 90% Downside'!$A:$CW,45,FALSE)</f>
        <v>#N/A</v>
      </c>
      <c r="BB118" s="273" t="e">
        <f>VLOOKUP($B118, 'Output 90% Downside'!$A:$CW,46,FALSE)</f>
        <v>#N/A</v>
      </c>
      <c r="BC118" s="447" t="e">
        <f t="shared" si="144"/>
        <v>#N/A</v>
      </c>
      <c r="BD118" s="447" t="e">
        <f t="shared" si="145"/>
        <v>#N/A</v>
      </c>
      <c r="BE118" s="447" t="e">
        <f t="shared" si="146"/>
        <v>#N/A</v>
      </c>
      <c r="BF118" s="346"/>
      <c r="BG118" s="390" t="e">
        <f t="shared" si="147"/>
        <v>#N/A</v>
      </c>
      <c r="BH118" s="390" t="e">
        <f t="shared" si="148"/>
        <v>#N/A</v>
      </c>
      <c r="BI118" s="390" t="e">
        <f t="shared" si="149"/>
        <v>#N/A</v>
      </c>
      <c r="BJ118" s="390" t="e">
        <f t="shared" si="150"/>
        <v>#N/A</v>
      </c>
      <c r="BK118" s="390" t="e">
        <f t="shared" si="151"/>
        <v>#N/A</v>
      </c>
      <c r="BL118" s="390" t="e">
        <f t="shared" si="152"/>
        <v>#N/A</v>
      </c>
      <c r="BM118" s="390" t="e">
        <f t="shared" si="153"/>
        <v>#N/A</v>
      </c>
      <c r="BN118" s="390" t="e">
        <f t="shared" si="154"/>
        <v>#N/A</v>
      </c>
      <c r="BO118" s="390" t="e">
        <f t="shared" si="155"/>
        <v>#N/A</v>
      </c>
      <c r="BP118" s="390" t="e">
        <f t="shared" si="156"/>
        <v>#N/A</v>
      </c>
      <c r="BQ118" s="347"/>
      <c r="BR118" s="355"/>
      <c r="BS118" s="355"/>
      <c r="BT118" s="355"/>
      <c r="BU118" s="390">
        <f>IFERROR(AL118*$BS$2+BG118*$BS$4+Q118*$BS$3,VLOOKUP(A118,'Updated Ncino PD'!A:K,4,FALSE))</f>
        <v>8.6241131808554141E-4</v>
      </c>
      <c r="BV118" s="390">
        <f>IFERROR(AM118*$BS$2+BH118*$BS$4+R118*$BS$3,VLOOKUP(A118,'Updated Ncino PD'!A:K,5,FALSE))</f>
        <v>2.0084242196824176E-3</v>
      </c>
      <c r="BW118" s="390">
        <f>IFERROR(AN118*$BS$2+BI118*$BS$4+S118*$BS$3,VLOOKUP(A118,'Updated Ncino PD'!A:K,6,FALSE))</f>
        <v>3.3127897179908634E-3</v>
      </c>
      <c r="BX118" s="390">
        <f>IFERROR(AO118*$BS$2+BJ118*$BS$4+T118*$BS$3,VLOOKUP(A118,'Updated Ncino PD'!A:K,7,FALSE))</f>
        <v>5.0000000000000001E-3</v>
      </c>
      <c r="BY118" s="390">
        <f>IFERROR(AP118*$BS$2+BK118*$BS$4+U118*$BS$3,VLOOKUP(A118,'Updated Ncino PD'!A:K,8,FALSE))</f>
        <v>0</v>
      </c>
      <c r="BZ118" s="390">
        <f>IFERROR(AQ118*$BS$2+BL118*$BS$4+V118*$BS$3,VLOOKUP(A118,'Updated Ncino PD'!A:K,9,FALSE))</f>
        <v>0</v>
      </c>
      <c r="CA118" s="390">
        <f>IFERROR(AR118*$BS$2+BM118*$BS$4+W118*$BS$3,VLOOKUP(A118,'Updated Ncino PD'!A:K,10,FALSE))</f>
        <v>0</v>
      </c>
      <c r="CB118" s="390">
        <f>IFERROR(AS118*$BS$2+BN118*$BS$4+X118*$BS$3,VLOOKUP(A118,'Updated Ncino PD'!A:K,11,FALSE))</f>
        <v>0</v>
      </c>
      <c r="CC118" s="390" t="e">
        <f t="shared" si="157"/>
        <v>#N/A</v>
      </c>
      <c r="CD118" s="390" t="e">
        <f t="shared" si="158"/>
        <v>#N/A</v>
      </c>
      <c r="CE118" s="355"/>
      <c r="CF118" s="450" t="e">
        <f t="shared" si="159"/>
        <v>#N/A</v>
      </c>
      <c r="CG118" s="450" t="e">
        <f t="shared" si="160"/>
        <v>#N/A</v>
      </c>
      <c r="CH118" s="450" t="e">
        <f t="shared" si="161"/>
        <v>#N/A</v>
      </c>
      <c r="CI118" s="450" t="e">
        <f t="shared" si="162"/>
        <v>#N/A</v>
      </c>
      <c r="CJ118" s="450" t="e">
        <f t="shared" si="163"/>
        <v>#N/A</v>
      </c>
    </row>
    <row r="119" spans="1:88" hidden="1" x14ac:dyDescent="0.25">
      <c r="A119" s="354">
        <v>1100000289</v>
      </c>
      <c r="B119" s="558" t="str">
        <f>VLOOKUP(A119,'Loan Book Summary'!C:G,5,FALSE)</f>
        <v>0018e000003CZk8</v>
      </c>
      <c r="C119" s="167">
        <f>VLOOKUP(A119,'Ref-Data'!$A:$I,9,0)</f>
        <v>1</v>
      </c>
      <c r="D119" s="445" t="e">
        <f>VLOOKUP(A119,'Adjustment Factor'!A:C,3,0)</f>
        <v>#N/A</v>
      </c>
      <c r="E119" s="446">
        <f>VLOOKUP(A119,'Ref-Data'!A:C,2,FALSE)</f>
        <v>3200000</v>
      </c>
      <c r="F119" s="445">
        <f>VLOOKUP(A119,'Ref-Data'!$A:$F,6,FALSE)</f>
        <v>3.9890485968514717</v>
      </c>
      <c r="G119" s="346"/>
      <c r="H119" s="273" t="e">
        <f>VLOOKUP($B119, 'Output 96% Downside'!$A:$CW,42,FALSE)</f>
        <v>#N/A</v>
      </c>
      <c r="I119" s="273" t="e">
        <f>VLOOKUP($B119, 'Output 96% Downside'!$A:$CW,43,FALSE)</f>
        <v>#N/A</v>
      </c>
      <c r="J119" s="273" t="e">
        <f>VLOOKUP($B119, 'Output 96% Downside'!$A:$CW,44,FALSE)</f>
        <v>#N/A</v>
      </c>
      <c r="K119" s="273" t="e">
        <f>VLOOKUP($B119, 'Output 96% Downside'!$A:$CW,45,FALSE)</f>
        <v>#N/A</v>
      </c>
      <c r="L119" s="273" t="e">
        <f>VLOOKUP($B119, 'Output 96% Downside'!$A:$CW,46,FALSE)</f>
        <v>#N/A</v>
      </c>
      <c r="M119" s="447" t="e">
        <f t="shared" si="118"/>
        <v>#N/A</v>
      </c>
      <c r="N119" s="447" t="e">
        <f t="shared" si="119"/>
        <v>#N/A</v>
      </c>
      <c r="O119" s="447" t="e">
        <f t="shared" si="120"/>
        <v>#N/A</v>
      </c>
      <c r="P119" s="346"/>
      <c r="Q119" s="390" t="e">
        <f t="shared" si="121"/>
        <v>#N/A</v>
      </c>
      <c r="R119" s="390" t="e">
        <f t="shared" si="122"/>
        <v>#N/A</v>
      </c>
      <c r="S119" s="390" t="e">
        <f t="shared" si="123"/>
        <v>#N/A</v>
      </c>
      <c r="T119" s="390" t="e">
        <f t="shared" si="124"/>
        <v>#N/A</v>
      </c>
      <c r="U119" s="390" t="e">
        <f t="shared" si="125"/>
        <v>#N/A</v>
      </c>
      <c r="V119" s="390" t="e">
        <f t="shared" si="126"/>
        <v>#N/A</v>
      </c>
      <c r="W119" s="390" t="e">
        <f t="shared" si="127"/>
        <v>#N/A</v>
      </c>
      <c r="X119" s="390" t="e">
        <f t="shared" si="128"/>
        <v>#N/A</v>
      </c>
      <c r="Y119" s="390" t="e">
        <f t="shared" si="129"/>
        <v>#N/A</v>
      </c>
      <c r="Z119" s="390" t="e">
        <f t="shared" si="130"/>
        <v>#N/A</v>
      </c>
      <c r="AA119" s="355"/>
      <c r="AB119" s="355"/>
      <c r="AC119" s="273" t="e">
        <f>VLOOKUP($B119, 'Output Baseline'!$A:$CW,42,FALSE)</f>
        <v>#N/A</v>
      </c>
      <c r="AD119" s="273" t="e">
        <f>VLOOKUP($B119, 'Output Baseline'!$A:$CW,43,FALSE)</f>
        <v>#N/A</v>
      </c>
      <c r="AE119" s="273" t="e">
        <f>VLOOKUP($B119, 'Output Baseline'!$A:$CW,44,FALSE)</f>
        <v>#N/A</v>
      </c>
      <c r="AF119" s="273" t="e">
        <f>VLOOKUP($B119, 'Output Baseline'!$A:$CW,45,FALSE)</f>
        <v>#N/A</v>
      </c>
      <c r="AG119" s="273" t="e">
        <f>VLOOKUP($B119, 'Output Baseline'!$A:$CW,46,FALSE)</f>
        <v>#N/A</v>
      </c>
      <c r="AH119" s="447" t="e">
        <f t="shared" si="131"/>
        <v>#N/A</v>
      </c>
      <c r="AI119" s="447" t="e">
        <f t="shared" si="132"/>
        <v>#N/A</v>
      </c>
      <c r="AJ119" s="447" t="e">
        <f t="shared" si="133"/>
        <v>#N/A</v>
      </c>
      <c r="AK119" s="346"/>
      <c r="AL119" s="390" t="e">
        <f t="shared" si="134"/>
        <v>#N/A</v>
      </c>
      <c r="AM119" s="390" t="e">
        <f t="shared" si="135"/>
        <v>#N/A</v>
      </c>
      <c r="AN119" s="390" t="e">
        <f t="shared" si="136"/>
        <v>#N/A</v>
      </c>
      <c r="AO119" s="390" t="e">
        <f t="shared" si="137"/>
        <v>#N/A</v>
      </c>
      <c r="AP119" s="390" t="e">
        <f t="shared" si="138"/>
        <v>#N/A</v>
      </c>
      <c r="AQ119" s="390" t="e">
        <f t="shared" si="139"/>
        <v>#N/A</v>
      </c>
      <c r="AR119" s="390" t="e">
        <f t="shared" si="140"/>
        <v>#N/A</v>
      </c>
      <c r="AS119" s="390" t="e">
        <f t="shared" si="141"/>
        <v>#N/A</v>
      </c>
      <c r="AT119" s="390" t="e">
        <f t="shared" si="142"/>
        <v>#N/A</v>
      </c>
      <c r="AU119" s="390" t="e">
        <f t="shared" si="143"/>
        <v>#N/A</v>
      </c>
      <c r="AV119" s="355"/>
      <c r="AW119" s="355"/>
      <c r="AX119" s="273" t="e">
        <f>VLOOKUP($B119, 'Output 90% Downside'!$A:$CW,42,FALSE)</f>
        <v>#N/A</v>
      </c>
      <c r="AY119" s="273" t="e">
        <f>VLOOKUP($B119, 'Output 90% Downside'!$A:$CW,43,FALSE)</f>
        <v>#N/A</v>
      </c>
      <c r="AZ119" s="273" t="e">
        <f>VLOOKUP($B119, 'Output 90% Downside'!$A:$CW,44,FALSE)</f>
        <v>#N/A</v>
      </c>
      <c r="BA119" s="273" t="e">
        <f>VLOOKUP($B119, 'Output 90% Downside'!$A:$CW,45,FALSE)</f>
        <v>#N/A</v>
      </c>
      <c r="BB119" s="273" t="e">
        <f>VLOOKUP($B119, 'Output 90% Downside'!$A:$CW,46,FALSE)</f>
        <v>#N/A</v>
      </c>
      <c r="BC119" s="447" t="e">
        <f t="shared" si="144"/>
        <v>#N/A</v>
      </c>
      <c r="BD119" s="447" t="e">
        <f t="shared" si="145"/>
        <v>#N/A</v>
      </c>
      <c r="BE119" s="447" t="e">
        <f t="shared" si="146"/>
        <v>#N/A</v>
      </c>
      <c r="BF119" s="346"/>
      <c r="BG119" s="390" t="e">
        <f t="shared" si="147"/>
        <v>#N/A</v>
      </c>
      <c r="BH119" s="390" t="e">
        <f t="shared" si="148"/>
        <v>#N/A</v>
      </c>
      <c r="BI119" s="390" t="e">
        <f t="shared" si="149"/>
        <v>#N/A</v>
      </c>
      <c r="BJ119" s="390" t="e">
        <f t="shared" si="150"/>
        <v>#N/A</v>
      </c>
      <c r="BK119" s="390" t="e">
        <f t="shared" si="151"/>
        <v>#N/A</v>
      </c>
      <c r="BL119" s="390" t="e">
        <f t="shared" si="152"/>
        <v>#N/A</v>
      </c>
      <c r="BM119" s="390" t="e">
        <f t="shared" si="153"/>
        <v>#N/A</v>
      </c>
      <c r="BN119" s="390" t="e">
        <f t="shared" si="154"/>
        <v>#N/A</v>
      </c>
      <c r="BO119" s="390" t="e">
        <f t="shared" si="155"/>
        <v>#N/A</v>
      </c>
      <c r="BP119" s="390" t="e">
        <f t="shared" si="156"/>
        <v>#N/A</v>
      </c>
      <c r="BQ119" s="347"/>
      <c r="BR119" s="355"/>
      <c r="BS119" s="355"/>
      <c r="BT119" s="355"/>
      <c r="BU119" s="390">
        <f>IFERROR(AL119*$BS$2+BG119*$BS$4+Q119*$BS$3,VLOOKUP(A119,'Updated Ncino PD'!A:K,4,FALSE))</f>
        <v>6.3645955274712956E-3</v>
      </c>
      <c r="BV119" s="390">
        <f>IFERROR(AM119*$BS$2+BH119*$BS$4+R119*$BS$3,VLOOKUP(A119,'Updated Ncino PD'!A:K,5,FALSE))</f>
        <v>1.4822170741256243E-2</v>
      </c>
      <c r="BW119" s="390">
        <f>IFERROR(AN119*$BS$2+BI119*$BS$4+S119*$BS$3,VLOOKUP(A119,'Updated Ncino PD'!A:K,6,FALSE))</f>
        <v>2.4448388118772573E-2</v>
      </c>
      <c r="BX119" s="390">
        <f>IFERROR(AO119*$BS$2+BJ119*$BS$4+T119*$BS$3,VLOOKUP(A119,'Updated Ncino PD'!A:K,7,FALSE))</f>
        <v>3.6900000000000002E-2</v>
      </c>
      <c r="BY119" s="390">
        <f>IFERROR(AP119*$BS$2+BK119*$BS$4+U119*$BS$3,VLOOKUP(A119,'Updated Ncino PD'!A:K,8,FALSE))</f>
        <v>0</v>
      </c>
      <c r="BZ119" s="390">
        <f>IFERROR(AQ119*$BS$2+BL119*$BS$4+V119*$BS$3,VLOOKUP(A119,'Updated Ncino PD'!A:K,9,FALSE))</f>
        <v>0</v>
      </c>
      <c r="CA119" s="390">
        <f>IFERROR(AR119*$BS$2+BM119*$BS$4+W119*$BS$3,VLOOKUP(A119,'Updated Ncino PD'!A:K,10,FALSE))</f>
        <v>0</v>
      </c>
      <c r="CB119" s="390">
        <f>IFERROR(AS119*$BS$2+BN119*$BS$4+X119*$BS$3,VLOOKUP(A119,'Updated Ncino PD'!A:K,11,FALSE))</f>
        <v>0</v>
      </c>
      <c r="CC119" s="390" t="e">
        <f t="shared" si="157"/>
        <v>#N/A</v>
      </c>
      <c r="CD119" s="390" t="e">
        <f t="shared" si="158"/>
        <v>#N/A</v>
      </c>
      <c r="CE119" s="355"/>
      <c r="CF119" s="450" t="e">
        <f t="shared" si="159"/>
        <v>#N/A</v>
      </c>
      <c r="CG119" s="450" t="e">
        <f t="shared" si="160"/>
        <v>#N/A</v>
      </c>
      <c r="CH119" s="450" t="e">
        <f t="shared" si="161"/>
        <v>#N/A</v>
      </c>
      <c r="CI119" s="450" t="e">
        <f t="shared" si="162"/>
        <v>#N/A</v>
      </c>
      <c r="CJ119" s="450" t="e">
        <f t="shared" si="163"/>
        <v>#N/A</v>
      </c>
    </row>
    <row r="120" spans="1:88" hidden="1" x14ac:dyDescent="0.25">
      <c r="A120" s="354">
        <v>1300000004</v>
      </c>
      <c r="B120" s="558" t="str">
        <f>VLOOKUP(A120,'Loan Book Summary'!C:G,5,FALSE)</f>
        <v>0014I000027uYyB</v>
      </c>
      <c r="C120" s="167">
        <f>VLOOKUP(A120,'Ref-Data'!$A:$I,9,0)</f>
        <v>1</v>
      </c>
      <c r="D120" s="445" t="e">
        <f>VLOOKUP(A120,'Adjustment Factor'!A:C,3,0)</f>
        <v>#N/A</v>
      </c>
      <c r="E120" s="446">
        <f>VLOOKUP(A120,'Ref-Data'!A:C,2,FALSE)</f>
        <v>1000000</v>
      </c>
      <c r="F120" s="445">
        <f>VLOOKUP(A120,'Ref-Data'!$A:$F,6,FALSE)</f>
        <v>3.0061601642710474</v>
      </c>
      <c r="G120" s="346"/>
      <c r="H120" s="273">
        <f>VLOOKUP($B120, 'Output 96% Downside'!$A:$CW,42,FALSE)</f>
        <v>2.2700000000000001E-2</v>
      </c>
      <c r="I120" s="273">
        <f>VLOOKUP($B120, 'Output 96% Downside'!$A:$CW,43,FALSE)</f>
        <v>2.18E-2</v>
      </c>
      <c r="J120" s="273">
        <f>VLOOKUP($B120, 'Output 96% Downside'!$A:$CW,44,FALSE)</f>
        <v>2.1299999999999999E-2</v>
      </c>
      <c r="K120" s="273">
        <f>VLOOKUP($B120, 'Output 96% Downside'!$A:$CW,45,FALSE)</f>
        <v>2.1000000000000001E-2</v>
      </c>
      <c r="L120" s="273">
        <f>VLOOKUP($B120, 'Output 96% Downside'!$A:$CW,46,FALSE)</f>
        <v>2.07E-2</v>
      </c>
      <c r="M120" s="447">
        <f t="shared" si="118"/>
        <v>5.7239582778727538E-3</v>
      </c>
      <c r="N120" s="447">
        <f t="shared" si="119"/>
        <v>1.1415152857378708E-2</v>
      </c>
      <c r="O120" s="447">
        <f t="shared" si="120"/>
        <v>1.707377127656029E-2</v>
      </c>
      <c r="P120" s="346"/>
      <c r="Q120" s="390" t="e">
        <f t="shared" si="121"/>
        <v>#N/A</v>
      </c>
      <c r="R120" s="390" t="e">
        <f t="shared" si="122"/>
        <v>#N/A</v>
      </c>
      <c r="S120" s="390" t="e">
        <f t="shared" si="123"/>
        <v>#N/A</v>
      </c>
      <c r="T120" s="390" t="e">
        <f t="shared" si="124"/>
        <v>#N/A</v>
      </c>
      <c r="U120" s="390" t="e">
        <f t="shared" si="125"/>
        <v>#N/A</v>
      </c>
      <c r="V120" s="390" t="e">
        <f t="shared" si="126"/>
        <v>#N/A</v>
      </c>
      <c r="W120" s="390" t="e">
        <f t="shared" si="127"/>
        <v>#N/A</v>
      </c>
      <c r="X120" s="390" t="e">
        <f t="shared" si="128"/>
        <v>#N/A</v>
      </c>
      <c r="Y120" s="390" t="e">
        <f t="shared" si="129"/>
        <v>#N/A</v>
      </c>
      <c r="Z120" s="390" t="e">
        <f t="shared" si="130"/>
        <v>#N/A</v>
      </c>
      <c r="AA120" s="355"/>
      <c r="AB120" s="355"/>
      <c r="AC120" s="273">
        <f>VLOOKUP($B120, 'Output Baseline'!$A:$CW,42,FALSE)</f>
        <v>1.34E-2</v>
      </c>
      <c r="AD120" s="273">
        <f>VLOOKUP($B120, 'Output Baseline'!$A:$CW,43,FALSE)</f>
        <v>1.38E-2</v>
      </c>
      <c r="AE120" s="273">
        <f>VLOOKUP($B120, 'Output Baseline'!$A:$CW,44,FALSE)</f>
        <v>1.41E-2</v>
      </c>
      <c r="AF120" s="273">
        <f>VLOOKUP($B120, 'Output Baseline'!$A:$CW,45,FALSE)</f>
        <v>1.43E-2</v>
      </c>
      <c r="AG120" s="273">
        <f>VLOOKUP($B120, 'Output Baseline'!$A:$CW,46,FALSE)</f>
        <v>1.44E-2</v>
      </c>
      <c r="AH120" s="447">
        <f t="shared" si="131"/>
        <v>3.3669665583417885E-3</v>
      </c>
      <c r="AI120" s="447">
        <f t="shared" si="132"/>
        <v>6.7225966528785541E-3</v>
      </c>
      <c r="AJ120" s="447">
        <f t="shared" si="133"/>
        <v>1.0066928453104862E-2</v>
      </c>
      <c r="AK120" s="346"/>
      <c r="AL120" s="390" t="e">
        <f t="shared" si="134"/>
        <v>#N/A</v>
      </c>
      <c r="AM120" s="390" t="e">
        <f t="shared" si="135"/>
        <v>#N/A</v>
      </c>
      <c r="AN120" s="390" t="e">
        <f t="shared" si="136"/>
        <v>#N/A</v>
      </c>
      <c r="AO120" s="390" t="e">
        <f t="shared" si="137"/>
        <v>#N/A</v>
      </c>
      <c r="AP120" s="390" t="e">
        <f t="shared" si="138"/>
        <v>#N/A</v>
      </c>
      <c r="AQ120" s="390" t="e">
        <f t="shared" si="139"/>
        <v>#N/A</v>
      </c>
      <c r="AR120" s="390" t="e">
        <f t="shared" si="140"/>
        <v>#N/A</v>
      </c>
      <c r="AS120" s="390" t="e">
        <f t="shared" si="141"/>
        <v>#N/A</v>
      </c>
      <c r="AT120" s="390" t="e">
        <f t="shared" si="142"/>
        <v>#N/A</v>
      </c>
      <c r="AU120" s="390" t="e">
        <f t="shared" si="143"/>
        <v>#N/A</v>
      </c>
      <c r="AV120" s="355"/>
      <c r="AW120" s="355"/>
      <c r="AX120" s="273">
        <f>VLOOKUP($B120, 'Output 90% Downside'!$A:$CW,42,FALSE)</f>
        <v>1.8599999999999998E-2</v>
      </c>
      <c r="AY120" s="273">
        <f>VLOOKUP($B120, 'Output 90% Downside'!$A:$CW,43,FALSE)</f>
        <v>1.8499999999999999E-2</v>
      </c>
      <c r="AZ120" s="273">
        <f>VLOOKUP($B120, 'Output 90% Downside'!$A:$CW,44,FALSE)</f>
        <v>1.8499999999999999E-2</v>
      </c>
      <c r="BA120" s="273">
        <f>VLOOKUP($B120, 'Output 90% Downside'!$A:$CW,45,FALSE)</f>
        <v>1.84E-2</v>
      </c>
      <c r="BB120" s="273">
        <f>VLOOKUP($B120, 'Output 90% Downside'!$A:$CW,46,FALSE)</f>
        <v>1.84E-2</v>
      </c>
      <c r="BC120" s="447">
        <f t="shared" si="144"/>
        <v>4.6827902199015892E-3</v>
      </c>
      <c r="BD120" s="447">
        <f t="shared" si="145"/>
        <v>9.3436519155595255E-3</v>
      </c>
      <c r="BE120" s="447">
        <f t="shared" si="146"/>
        <v>1.3982687773652747E-2</v>
      </c>
      <c r="BF120" s="346"/>
      <c r="BG120" s="390" t="e">
        <f t="shared" si="147"/>
        <v>#N/A</v>
      </c>
      <c r="BH120" s="390" t="e">
        <f t="shared" si="148"/>
        <v>#N/A</v>
      </c>
      <c r="BI120" s="390" t="e">
        <f t="shared" si="149"/>
        <v>#N/A</v>
      </c>
      <c r="BJ120" s="390" t="e">
        <f t="shared" si="150"/>
        <v>#N/A</v>
      </c>
      <c r="BK120" s="390" t="e">
        <f t="shared" si="151"/>
        <v>#N/A</v>
      </c>
      <c r="BL120" s="390" t="e">
        <f t="shared" si="152"/>
        <v>#N/A</v>
      </c>
      <c r="BM120" s="390" t="e">
        <f t="shared" si="153"/>
        <v>#N/A</v>
      </c>
      <c r="BN120" s="390" t="e">
        <f t="shared" si="154"/>
        <v>#N/A</v>
      </c>
      <c r="BO120" s="390" t="e">
        <f t="shared" si="155"/>
        <v>#N/A</v>
      </c>
      <c r="BP120" s="390" t="e">
        <f t="shared" si="156"/>
        <v>#N/A</v>
      </c>
      <c r="BQ120" s="347"/>
      <c r="BR120" s="355"/>
      <c r="BS120" s="355"/>
      <c r="BT120" s="355"/>
      <c r="BU120" s="390">
        <f>IFERROR(AL120*$BS$2+BG120*$BS$4+Q120*$BS$3,VLOOKUP(A120,'Updated Ncino PD'!A:K,4,FALSE))</f>
        <v>2.5182410488097809E-3</v>
      </c>
      <c r="BV120" s="390">
        <f>IFERROR(AM120*$BS$2+BH120*$BS$4+R120*$BS$3,VLOOKUP(A120,'Updated Ncino PD'!A:K,5,FALSE))</f>
        <v>5.8645987214726598E-3</v>
      </c>
      <c r="BW120" s="390">
        <f>IFERROR(AN120*$BS$2+BI120*$BS$4+S120*$BS$3,VLOOKUP(A120,'Updated Ncino PD'!A:K,6,FALSE))</f>
        <v>9.6733459765333211E-3</v>
      </c>
      <c r="BX120" s="390">
        <f>IFERROR(AO120*$BS$2+BJ120*$BS$4+T120*$BS$3,VLOOKUP(A120,'Updated Ncino PD'!A:K,7,FALSE))</f>
        <v>1.46E-2</v>
      </c>
      <c r="BY120" s="390">
        <f>IFERROR(AP120*$BS$2+BK120*$BS$4+U120*$BS$3,VLOOKUP(A120,'Updated Ncino PD'!A:K,8,FALSE))</f>
        <v>0</v>
      </c>
      <c r="BZ120" s="390">
        <f>IFERROR(AQ120*$BS$2+BL120*$BS$4+V120*$BS$3,VLOOKUP(A120,'Updated Ncino PD'!A:K,9,FALSE))</f>
        <v>0</v>
      </c>
      <c r="CA120" s="390">
        <f>IFERROR(AR120*$BS$2+BM120*$BS$4+W120*$BS$3,VLOOKUP(A120,'Updated Ncino PD'!A:K,10,FALSE))</f>
        <v>0</v>
      </c>
      <c r="CB120" s="390">
        <f>IFERROR(AS120*$BS$2+BN120*$BS$4+X120*$BS$3,VLOOKUP(A120,'Updated Ncino PD'!A:K,11,FALSE))</f>
        <v>0</v>
      </c>
      <c r="CC120" s="390" t="e">
        <f t="shared" si="157"/>
        <v>#N/A</v>
      </c>
      <c r="CD120" s="390" t="e">
        <f t="shared" si="158"/>
        <v>#N/A</v>
      </c>
      <c r="CE120" s="355"/>
      <c r="CF120" s="450">
        <f t="shared" si="159"/>
        <v>1.5685000000000001E-2</v>
      </c>
      <c r="CG120" s="450">
        <f t="shared" si="160"/>
        <v>1.5844999999999998E-2</v>
      </c>
      <c r="CH120" s="450">
        <f t="shared" si="161"/>
        <v>1.5999999999999997E-2</v>
      </c>
      <c r="CI120" s="450">
        <f t="shared" si="162"/>
        <v>1.6070000000000001E-2</v>
      </c>
      <c r="CJ120" s="450">
        <f t="shared" si="163"/>
        <v>1.6114999999999997E-2</v>
      </c>
    </row>
  </sheetData>
  <autoFilter ref="A1:Z120" xr:uid="{41EA2EAA-31D8-415A-8B38-A7E767C30621}">
    <filterColumn colId="0">
      <filters>
        <filter val="1100000224"/>
      </filters>
    </filterColumn>
  </autoFilter>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6BD37-CF74-4FE4-BCCD-037F86F10F34}">
  <sheetPr codeName="Sheet14"/>
  <dimension ref="A1:CY150"/>
  <sheetViews>
    <sheetView view="pageBreakPreview" zoomScale="80" zoomScaleNormal="70" zoomScaleSheetLayoutView="80" workbookViewId="0">
      <pane ySplit="1" topLeftCell="A2" activePane="bottomLeft" state="frozen"/>
      <selection activeCell="E22" sqref="E22"/>
      <selection pane="bottomLeft"/>
    </sheetView>
  </sheetViews>
  <sheetFormatPr defaultColWidth="8.7109375" defaultRowHeight="15" x14ac:dyDescent="0.25"/>
  <cols>
    <col min="1" max="1" width="14.85546875" style="357" customWidth="1"/>
    <col min="2" max="2" width="8.28515625" bestFit="1" customWidth="1"/>
    <col min="3" max="3" width="9.140625" bestFit="1" customWidth="1"/>
    <col min="4" max="4" width="13" customWidth="1"/>
    <col min="5" max="8" width="14.85546875" bestFit="1" customWidth="1"/>
    <col min="9" max="9" width="18" bestFit="1" customWidth="1"/>
    <col min="10" max="12" width="17.5703125" bestFit="1" customWidth="1"/>
    <col min="13" max="13" width="8.28515625" bestFit="1" customWidth="1"/>
    <col min="14" max="14" width="10.85546875" bestFit="1" customWidth="1"/>
    <col min="15" max="15" width="10.42578125" bestFit="1" customWidth="1"/>
    <col min="16" max="16" width="22.140625" style="348" bestFit="1" customWidth="1"/>
    <col min="18" max="18" width="27.7109375" customWidth="1"/>
    <col min="41" max="41" width="19" hidden="1" customWidth="1"/>
    <col min="42" max="42" width="8.85546875" hidden="1" customWidth="1"/>
    <col min="43" max="87" width="8.7109375" hidden="1" customWidth="1"/>
    <col min="88" max="88" width="21.7109375" hidden="1" customWidth="1"/>
    <col min="89" max="94" width="8.7109375" hidden="1" customWidth="1"/>
  </cols>
  <sheetData>
    <row r="1" spans="1:103" s="166" customFormat="1" ht="48.75" x14ac:dyDescent="0.5">
      <c r="A1" s="468" t="s">
        <v>1721</v>
      </c>
      <c r="B1" s="180" t="s">
        <v>174</v>
      </c>
      <c r="C1" s="180" t="s">
        <v>685</v>
      </c>
      <c r="D1" s="181" t="s">
        <v>686</v>
      </c>
      <c r="E1" s="195" t="s">
        <v>1006</v>
      </c>
      <c r="F1" s="195" t="s">
        <v>1007</v>
      </c>
      <c r="G1" s="195" t="s">
        <v>1008</v>
      </c>
      <c r="H1" s="195" t="s">
        <v>1009</v>
      </c>
      <c r="I1" s="196" t="s">
        <v>754</v>
      </c>
      <c r="J1" s="196" t="s">
        <v>755</v>
      </c>
      <c r="K1" s="196" t="s">
        <v>756</v>
      </c>
      <c r="L1" s="196" t="s">
        <v>757</v>
      </c>
      <c r="M1" s="197" t="s">
        <v>1010</v>
      </c>
      <c r="N1" s="198" t="s">
        <v>1011</v>
      </c>
      <c r="O1" s="196" t="s">
        <v>962</v>
      </c>
      <c r="P1" s="469" t="s">
        <v>2770</v>
      </c>
      <c r="Q1" s="180" t="s">
        <v>697</v>
      </c>
      <c r="R1" s="280" t="s">
        <v>1791</v>
      </c>
      <c r="T1" s="357" t="s">
        <v>1013</v>
      </c>
      <c r="U1" s="356" t="s">
        <v>1012</v>
      </c>
      <c r="V1" s="357" t="s">
        <v>982</v>
      </c>
      <c r="W1" s="357" t="s">
        <v>983</v>
      </c>
      <c r="X1" s="357" t="s">
        <v>1016</v>
      </c>
      <c r="Y1" s="357" t="s">
        <v>1017</v>
      </c>
      <c r="Z1" s="199" t="s">
        <v>685</v>
      </c>
      <c r="AA1" s="166" t="s">
        <v>997</v>
      </c>
      <c r="AB1" s="166" t="s">
        <v>998</v>
      </c>
      <c r="AC1" s="166" t="s">
        <v>999</v>
      </c>
      <c r="AD1" s="166" t="s">
        <v>1000</v>
      </c>
      <c r="AE1" s="166" t="s">
        <v>1001</v>
      </c>
      <c r="AF1" s="199" t="s">
        <v>1002</v>
      </c>
      <c r="AG1" s="199" t="s">
        <v>1003</v>
      </c>
      <c r="AH1" s="199" t="s">
        <v>1004</v>
      </c>
      <c r="AI1" s="199" t="s">
        <v>1005</v>
      </c>
      <c r="AJ1" s="166" t="s">
        <v>750</v>
      </c>
      <c r="AK1" s="166" t="s">
        <v>751</v>
      </c>
      <c r="AL1" s="166" t="s">
        <v>752</v>
      </c>
      <c r="AM1" s="166" t="s">
        <v>753</v>
      </c>
      <c r="AO1" s="355" t="s">
        <v>1794</v>
      </c>
      <c r="AP1" s="282" t="s">
        <v>1791</v>
      </c>
      <c r="AQ1" s="359" t="s">
        <v>1002</v>
      </c>
      <c r="AR1" s="359" t="s">
        <v>1003</v>
      </c>
      <c r="AS1" s="359" t="s">
        <v>1004</v>
      </c>
      <c r="AT1" s="359" t="s">
        <v>1005</v>
      </c>
      <c r="AU1" s="355" t="s">
        <v>750</v>
      </c>
      <c r="AV1" s="355" t="s">
        <v>751</v>
      </c>
      <c r="AW1" s="355" t="s">
        <v>752</v>
      </c>
      <c r="AX1" s="355" t="s">
        <v>753</v>
      </c>
      <c r="AY1" s="358" t="s">
        <v>1006</v>
      </c>
      <c r="AZ1" s="358" t="s">
        <v>1007</v>
      </c>
      <c r="BA1" s="358" t="s">
        <v>1008</v>
      </c>
      <c r="BB1" s="358" t="s">
        <v>1009</v>
      </c>
      <c r="BC1" s="355"/>
      <c r="BD1" s="355"/>
      <c r="BE1" s="355" t="s">
        <v>1795</v>
      </c>
      <c r="BF1" s="355"/>
      <c r="BG1" s="359" t="s">
        <v>1002</v>
      </c>
      <c r="BH1" s="359" t="s">
        <v>1003</v>
      </c>
      <c r="BI1" s="359" t="s">
        <v>1004</v>
      </c>
      <c r="BJ1" s="359" t="s">
        <v>1005</v>
      </c>
      <c r="BK1" s="355" t="s">
        <v>750</v>
      </c>
      <c r="BL1" s="355" t="s">
        <v>751</v>
      </c>
      <c r="BM1" s="355" t="s">
        <v>752</v>
      </c>
      <c r="BN1" s="355" t="s">
        <v>753</v>
      </c>
      <c r="BO1" s="358" t="s">
        <v>1006</v>
      </c>
      <c r="BP1" s="358" t="s">
        <v>1007</v>
      </c>
      <c r="BQ1" s="358" t="s">
        <v>1008</v>
      </c>
      <c r="BR1" s="358" t="s">
        <v>1009</v>
      </c>
      <c r="BS1" s="355"/>
      <c r="BT1" s="355" t="s">
        <v>1796</v>
      </c>
      <c r="BU1" s="355"/>
      <c r="BV1" s="359" t="s">
        <v>1002</v>
      </c>
      <c r="BW1" s="359" t="s">
        <v>1003</v>
      </c>
      <c r="BX1" s="359" t="s">
        <v>1004</v>
      </c>
      <c r="BY1" s="359" t="s">
        <v>1005</v>
      </c>
      <c r="BZ1" s="355" t="s">
        <v>750</v>
      </c>
      <c r="CA1" s="355" t="s">
        <v>751</v>
      </c>
      <c r="CB1" s="355" t="s">
        <v>752</v>
      </c>
      <c r="CC1" s="355" t="s">
        <v>753</v>
      </c>
      <c r="CD1" s="358" t="s">
        <v>1006</v>
      </c>
      <c r="CE1" s="358" t="s">
        <v>1007</v>
      </c>
      <c r="CF1" s="358" t="s">
        <v>1008</v>
      </c>
      <c r="CG1" s="358" t="s">
        <v>1009</v>
      </c>
      <c r="CH1" s="355"/>
      <c r="CI1" s="355"/>
      <c r="CJ1" s="265" t="s">
        <v>1210</v>
      </c>
      <c r="CL1" s="183" t="s">
        <v>687</v>
      </c>
      <c r="CM1" s="183" t="s">
        <v>688</v>
      </c>
      <c r="CN1" s="183" t="s">
        <v>689</v>
      </c>
      <c r="CO1" s="183" t="s">
        <v>690</v>
      </c>
      <c r="CP1" s="183" t="s">
        <v>691</v>
      </c>
      <c r="CY1" s="560" t="s">
        <v>5369</v>
      </c>
    </row>
    <row r="2" spans="1:103" s="166" customFormat="1" x14ac:dyDescent="0.25">
      <c r="A2" s="464">
        <v>1100000141</v>
      </c>
      <c r="B2" s="470">
        <f>VLOOKUP(A2,'Ref-Data'!A:I,9,FALSE)</f>
        <v>1</v>
      </c>
      <c r="C2" s="445">
        <f>IF(B2="Matured","",VLOOKUP(A2,'Adjustment Factor'!A:C,3,0))</f>
        <v>1.1523140833641017</v>
      </c>
      <c r="D2" s="190">
        <f>VLOOKUP(A2,'Ref-Data'!A:C,2,FALSE)</f>
        <v>70000</v>
      </c>
      <c r="E2" s="471">
        <f>IFERROR(IF(VLOOKUP(A2,'Updated Ncino PD'!$A:$K,4,0)=0,"",VLOOKUP(A2,'Updated Ncino PD'!$A:$K,4,0)),AF2)</f>
        <v>6.7234241966616613E-3</v>
      </c>
      <c r="F2" s="472">
        <f>IFERROR(IF(VLOOKUP(A2,'Updated Ncino PD'!$A:$K,5,0)=0,"",VLOOKUP(A2,'Updated Ncino PD'!$A:$K,5,0)),1-((1-AG2)*(1-E2)))</f>
        <v>1.5375864900907144E-2</v>
      </c>
      <c r="G2" s="472">
        <f>IFERROR(IF(VLOOKUP(A2,'Updated Ncino PD'!$A:$K,6,0)=0,"",VLOOKUP(A2,'Updated Ncino PD'!$A:$K,6,0)),1-((1-AF2)*(1-AG2)*(1-AH2)))</f>
        <v>2.5048292037594289E-2</v>
      </c>
      <c r="H2" s="472">
        <f>IFERROR(IF(VLOOKUP(A2,'Updated Ncino PD'!$A:$K,7,0)=0,"",VLOOKUP(A2,'Updated Ncino PD'!$A:$K,7,0)),IFERROR(VLOOKUP(A2,'Updated Ncino PD'!A:B,2,FALSE),FLOOR(1-((1-AG2)*(1-AH2)*(1-AI2)*(1-AF2)),$R$11)))</f>
        <v>3.7200000000000004E-2</v>
      </c>
      <c r="I2" s="472">
        <f>IFERROR(IF(VLOOKUP(A2,'Updated Ncino PD'!$A:$K,8,0)=0,"",VLOOKUP(A2,'Updated Ncino PD'!$A:$K,8,0)),FLOOR(1-((1-H2)*(1-AJ2)),$R$11))</f>
        <v>5.7800000000000004E-2</v>
      </c>
      <c r="J2" s="472">
        <f>IFERROR(IF(VLOOKUP(A2,'Updated Ncino PD'!$A:$K,9,0)=0,"",VLOOKUP(A2,'Updated Ncino PD'!$A:$K,9,0)),FLOOR(1-((1-H2)*(1-AJ2)*(1-AK2)),$R$11))</f>
        <v>7.060000000000001E-2</v>
      </c>
      <c r="K2" s="472">
        <f>IFERROR(IF(VLOOKUP(A2,'Updated Ncino PD'!$A:$K,10,0)=0,"",VLOOKUP(A2,'Updated Ncino PD'!$A:$K,10,0)),FLOOR(1-((1-H2)*(1-AJ2)*(1-AK2)*(1-AL2)),$R$11))</f>
        <v>9.7700000000000009E-2</v>
      </c>
      <c r="L2" s="472">
        <f>IFERROR(IF(VLOOKUP(A2,'Updated Ncino PD'!$A:$K,11,0)=0,"",VLOOKUP(A2,'Updated Ncino PD'!$A:$K,11,0)),FLOOR(1-((1-H2)*(1-AJ2)*(1-AK2)*(1-AL2)*(1-AM2)),$R$11))</f>
        <v>0.12480000000000001</v>
      </c>
      <c r="M2" s="224">
        <f>VLOOKUP(A2,'Ref-Data'!$A:$F,6,FALSE)</f>
        <v>0.52566735112936347</v>
      </c>
      <c r="N2" s="191">
        <f t="shared" ref="N2" si="0">IF(B2=1,IF(M2&gt;=1,H2,1-(1-H2)^M2),IF(M2&gt;=1,O2,1-(1-O2)^M2))</f>
        <v>1.9730578163506873E-2</v>
      </c>
      <c r="O2" s="191">
        <f>IF(M2&lt;=1,H2,IF(M2&lt;=2,I2,IF(M2&lt;=3,J2,IF(M2&lt;=4,K2,L2))))</f>
        <v>3.7200000000000004E-2</v>
      </c>
      <c r="P2" s="459" t="str">
        <f>VLOOKUP(A2,'Loan Book Summary'!C:G,5,FALSE)</f>
        <v>0015800000blLRK</v>
      </c>
      <c r="Q2" s="200" t="s">
        <v>692</v>
      </c>
      <c r="R2" s="209">
        <f>Baseline!$T93*Baseline!$AB$14+SevAdv!$T93*Baseline!$AB$15+Adv!$T93*Baseline!$AB$16</f>
        <v>-0.4591724949434941</v>
      </c>
      <c r="S2" s="203"/>
      <c r="T2" s="332">
        <f>IFERROR(VLOOKUP($P2,'Model Output-LoanNameUpdate'!$A:$K,2,FALSE),CL2)</f>
        <v>2.5734999999999997E-2</v>
      </c>
      <c r="U2" s="208">
        <f>1-(1-IFERROR(VLOOKUP($P2,'Model Output-LoanNameUpdate'!$A:$K,2,FALSE),CL2))^(1/4)</f>
        <v>6.4967886208006087E-3</v>
      </c>
      <c r="V2" s="208">
        <f>IFERROR(VLOOKUP($P2,'Model Output-LoanNameUpdate'!$A:$K,3,FALSE),CM2)</f>
        <v>2.4434999999999998E-2</v>
      </c>
      <c r="W2" s="208">
        <f>IFERROR(VLOOKUP($P2,'Model Output-LoanNameUpdate'!$A:$K,4,FALSE),CN2)</f>
        <v>2.3664999999999999E-2</v>
      </c>
      <c r="X2" s="208">
        <f>IFERROR(VLOOKUP($P2,'Model Output-LoanNameUpdate'!$A:$K,5,FALSE),CO2)</f>
        <v>2.3225000000000003E-2</v>
      </c>
      <c r="Y2" s="208">
        <f>IFERROR(VLOOKUP($P2,'Model Output-LoanNameUpdate'!$A:$K,6,FALSE),CP2)</f>
        <v>2.2824999999999998E-2</v>
      </c>
      <c r="Z2" s="207">
        <f t="shared" ref="Z2" si="1">C2</f>
        <v>1.1523140833641017</v>
      </c>
      <c r="AA2" s="208">
        <f>U2*$Z2</f>
        <v>7.4863410243881795E-3</v>
      </c>
      <c r="AB2" s="208">
        <f>V2*$Z2</f>
        <v>2.8156794627001824E-2</v>
      </c>
      <c r="AC2" s="208">
        <f>W2*$Z2</f>
        <v>2.7269512782811464E-2</v>
      </c>
      <c r="AD2" s="208">
        <f>X2*$Z2</f>
        <v>2.6762494586131263E-2</v>
      </c>
      <c r="AE2" s="208">
        <f>Y2*$Z2</f>
        <v>2.6301568952785619E-2</v>
      </c>
      <c r="AF2" s="332">
        <f>NORMSDIST((_xlfn.NORM.S.INV(AA2)-(SQRT(Baseline!$AF$11)*'MacroPD-Cal'!$R$2))/SQRT(1-Baseline!$AF$11))</f>
        <v>6.7234241966616613E-3</v>
      </c>
      <c r="AG2" s="332">
        <f>NORMSDIST((_xlfn.NORM.S.INV(AA2)-(SQRT(Baseline!$AF$11)*'MacroPD-Cal'!$R$3))/SQRT(1-Baseline!$AF$11))</f>
        <v>8.7110085096365926E-3</v>
      </c>
      <c r="AH2" s="332">
        <f>NORMSDIST((_xlfn.NORM.S.INV(AA2)-(SQRT(Baseline!$AF$11)*'MacroPD-Cal'!$R$4))/SQRT(1-Baseline!$AF$11))</f>
        <v>9.823471507443551E-3</v>
      </c>
      <c r="AI2" s="332">
        <f>NORMSDIST((_xlfn.NORM.S.INV(AA2)-(SQRT(Baseline!$AF$11)*'MacroPD-Cal'!$R$5))/SQRT(1-Baseline!$AF$11))</f>
        <v>1.2548060933661077E-2</v>
      </c>
      <c r="AJ2" s="332">
        <f>NORMSDIST((_xlfn.NORM.S.INV(AB2)-(SQRT(Baseline!$AF$11)*'MacroPD-Cal'!$R$6))/SQRT(1-Baseline!$AF$11))</f>
        <v>2.1455384670591784E-2</v>
      </c>
      <c r="AK2" s="332">
        <f>NORMSDIST((_xlfn.NORM.S.INV(AC2)-(SQRT(Baseline!$AF$11)*'MacroPD-Cal'!$R$7))/SQRT(1-Baseline!$AF$11))</f>
        <v>1.3623086940184099E-2</v>
      </c>
      <c r="AL2" s="332">
        <f>NORMSDIST((_xlfn.NORM.S.INV(AD2)-(SQRT(Baseline!$AF$11)*'MacroPD-Cal'!$R$8))/SQRT(1-Baseline!$AF$11))</f>
        <v>2.9090942965164155E-2</v>
      </c>
      <c r="AM2" s="332">
        <f>NORMSDIST((_xlfn.NORM.S.INV(AE2)-(SQRT(Baseline!$AF$11)*'MacroPD-Cal'!$R$9))/SQRT(1-Baseline!$AF$11))</f>
        <v>3.0020951748547225E-2</v>
      </c>
      <c r="AO2" s="360" t="s">
        <v>692</v>
      </c>
      <c r="AP2" s="283">
        <f>Baseline!$T93</f>
        <v>-0.48555019071700228</v>
      </c>
      <c r="AQ2" s="355">
        <f>NORMSDIST((_xlfn.NORM.S.INV(AA2)-(SQRT(Baseline!$AF$11)*'MacroPD-Cal'!$AP$2))/SQRT(1-Baseline!$AF$11))</f>
        <v>6.9594102650207355E-3</v>
      </c>
      <c r="AR2" s="355">
        <f>NORMSDIST((_xlfn.NORM.S.INV(AA2)-(SQRT(Baseline!$AF$11)*'MacroPD-Cal'!$AP$3))/SQRT(1-Baseline!$AF$11))</f>
        <v>8.1646367470066261E-3</v>
      </c>
      <c r="AS2" s="355">
        <f>NORMSDIST((_xlfn.NORM.S.INV(AA2)-(SQRT(Baseline!$AF$11)*'MacroPD-Cal'!$AP$4))/SQRT(1-Baseline!$AF$11))</f>
        <v>8.3326187756766704E-3</v>
      </c>
      <c r="AT2" s="355">
        <f>NORMSDIST((_xlfn.NORM.S.INV(AA2)-(SQRT(Baseline!$AF$11)*'MacroPD-Cal'!$AP$5))/SQRT(1-Baseline!$AF$11))</f>
        <v>1.0841010536709132E-2</v>
      </c>
      <c r="AU2" s="355">
        <f>NORMSDIST((_xlfn.NORM.S.INV(AB2)-(SQRT(Baseline!$AF$11)*'MacroPD-Cal'!$AP$6))/SQRT(1-Baseline!$AF$11))</f>
        <v>1.4867024923119889E-2</v>
      </c>
      <c r="AV2" s="355">
        <f>NORMSDIST((_xlfn.NORM.S.INV(AC2)-(SQRT(Baseline!$AF$11)*'MacroPD-Cal'!$AP$7))/SQRT(1-Baseline!$AF$11))</f>
        <v>1.8261968666204605E-2</v>
      </c>
      <c r="AW2" s="355">
        <f>NORMSDIST((_xlfn.NORM.S.INV(AD2)-(SQRT(Baseline!$AF$11)*'MacroPD-Cal'!$AP$8))/SQRT(1-Baseline!$AF$11))</f>
        <v>2.9705448653324192E-2</v>
      </c>
      <c r="AX2" s="355">
        <f>NORMSDIST((_xlfn.NORM.S.INV(AE2)-(SQRT(Baseline!$AF$11)*'MacroPD-Cal'!$AP$9))/SQRT(1-Baseline!$AF$11))</f>
        <v>3.2536007056354822E-2</v>
      </c>
      <c r="AY2" s="355">
        <f>AQ2</f>
        <v>6.9594102650207355E-3</v>
      </c>
      <c r="AZ2" s="355">
        <f>1-((1-AR2)*(1-AQ2))</f>
        <v>1.5067225955240127E-2</v>
      </c>
      <c r="BA2" s="355">
        <f>1-((1-AR2)*(1-AQ2)*(1-AS2))</f>
        <v>2.327429528102487E-2</v>
      </c>
      <c r="BB2" s="355">
        <f>FLOOR(1-((1-AR2)*(1-AQ2)*(1-AS2)*(1-AT2)),$AP$11)</f>
        <v>3.3800000000000004E-2</v>
      </c>
      <c r="BC2" s="355"/>
      <c r="BD2" s="355"/>
      <c r="BE2" s="360" t="s">
        <v>692</v>
      </c>
      <c r="BF2" s="283">
        <f>SevAdv!$T93</f>
        <v>-0.44493850689038211</v>
      </c>
      <c r="BG2" s="355">
        <f>NORMSDIST((_xlfn.NORM.S.INV($AA2)-(SQRT(Baseline!$AF$11)*'MacroPD-Cal'!$BF$2))/SQRT(1-Baseline!$AF$11))</f>
        <v>6.5990416141628013E-3</v>
      </c>
      <c r="BH2" s="355">
        <f>NORMSDIST((_xlfn.NORM.S.INV($AA2)-(SQRT(Baseline!$AF$11)*'MacroPD-Cal'!$BF$3))/SQRT(1-Baseline!$AF$11))</f>
        <v>9.2337638747093092E-3</v>
      </c>
      <c r="BI2" s="355">
        <f>NORMSDIST((_xlfn.NORM.S.INV($AA2)-(SQRT(Baseline!$AF$11)*'MacroPD-Cal'!$BF$4))/SQRT(1-Baseline!$AF$11))</f>
        <v>1.3234436309128185E-2</v>
      </c>
      <c r="BJ2" s="355">
        <f>NORMSDIST((_xlfn.NORM.S.INV($AA2)-(SQRT(Baseline!$AF$11)*'MacroPD-Cal'!$BF$5))/SQRT(1-Baseline!$AF$11))</f>
        <v>1.7220988036649867E-2</v>
      </c>
      <c r="BK2" s="355">
        <f>NORMSDIST((_xlfn.NORM.S.INV($AB2)-(SQRT(Baseline!$AF$11)*'MacroPD-Cal'!$BF$6))/SQRT(1-Baseline!$AF$11))</f>
        <v>6.5972710704321758E-2</v>
      </c>
      <c r="BL2" s="355">
        <f>NORMSDIST((_xlfn.NORM.S.INV($AC2)-(SQRT(Baseline!$AF$11)*'MacroPD-Cal'!$BF$7))/SQRT(1-Baseline!$AF$11))</f>
        <v>8.0560057143984273E-3</v>
      </c>
      <c r="BM2" s="355">
        <f>NORMSDIST((_xlfn.NORM.S.INV($AD2)-(SQRT(Baseline!$AF$11)*'MacroPD-Cal'!$BF$8))/SQRT(1-Baseline!$AF$11))</f>
        <v>1.8447908978147777E-2</v>
      </c>
      <c r="BN2" s="355">
        <f>NORMSDIST((_xlfn.NORM.S.INV($AE2)-(SQRT(Baseline!$AF$11)*'MacroPD-Cal'!$BF$9))/SQRT(1-Baseline!$AF$11))</f>
        <v>2.6070049846698171E-2</v>
      </c>
      <c r="BO2" s="355">
        <f>BG2</f>
        <v>6.5990416141628013E-3</v>
      </c>
      <c r="BP2" s="355">
        <f>1-((1-BH2)*(1-BG2))</f>
        <v>1.5771871496807588E-2</v>
      </c>
      <c r="BQ2" s="355">
        <f>1-((1-BH2)*(1-BG2)*(1-BI2))</f>
        <v>2.8797575977135614E-2</v>
      </c>
      <c r="BR2" s="355">
        <f>FLOOR(1-((1-BH2)*(1-BG2)*(1-BI2)*(1-BJ2)),$AP$11)</f>
        <v>4.5499999999999999E-2</v>
      </c>
      <c r="BS2" s="283"/>
      <c r="BT2" s="360" t="s">
        <v>692</v>
      </c>
      <c r="BU2" s="283">
        <f>Adv!$T93</f>
        <v>-0.41598701476792466</v>
      </c>
      <c r="BV2" s="355">
        <f>NORMSDIST((_xlfn.NORM.S.INV($AA2)-(SQRT(Baseline!$AF$11)*'MacroPD-Cal'!$BU$2))/SQRT(1-Baseline!$AF$11))</f>
        <v>6.352312482865166E-3</v>
      </c>
      <c r="BW2" s="355">
        <f>NORMSDIST((_xlfn.NORM.S.INV($AA2)-(SQRT(Baseline!$AF$11)*'MacroPD-Cal'!$BU$3))/SQRT(1-Baseline!$AF$11))</f>
        <v>9.6426151193773103E-3</v>
      </c>
      <c r="BX2" s="355">
        <f>NORMSDIST((_xlfn.NORM.S.INV($AA2)-(SQRT(Baseline!$AF$11)*'MacroPD-Cal'!$BU$4))/SQRT(1-Baseline!$AF$11))</f>
        <v>1.239296180992345E-2</v>
      </c>
      <c r="BY2" s="355">
        <f>NORMSDIST((_xlfn.NORM.S.INV($AA2)-(SQRT(Baseline!$AF$11)*'MacroPD-Cal'!$BU$5))/SQRT(1-Baseline!$AF$11))</f>
        <v>1.531554189919526E-2</v>
      </c>
      <c r="BZ2" s="355">
        <f>NORMSDIST((_xlfn.NORM.S.INV($AB2)-(SQRT(Baseline!$AF$11)*'MacroPD-Cal'!$BU$6))/SQRT(1-Baseline!$AF$11))</f>
        <v>3.2657276193040444E-2</v>
      </c>
      <c r="CA2" s="355">
        <f>NORMSDIST((_xlfn.NORM.S.INV($AC2)-(SQRT(Baseline!$AF$11)*'MacroPD-Cal'!$BU7))/SQRT(1-Baseline!$AF$11))</f>
        <v>8.6545274070443153E-3</v>
      </c>
      <c r="CB2" s="355">
        <f>NORMSDIST((_xlfn.NORM.S.INV($AD2)-(SQRT(Baseline!$AF$11)*'MacroPD-Cal'!$BU$8))/SQRT(1-Baseline!$AF$11))</f>
        <v>2.9880193811041129E-2</v>
      </c>
      <c r="CC2" s="355">
        <f>NORMSDIST((_xlfn.NORM.S.INV($AE2)-(SQRT(Baseline!$AF$11)*'MacroPD-Cal'!$BU$9))/SQRT(1-Baseline!$AF$11))</f>
        <v>2.6621763110537402E-2</v>
      </c>
      <c r="CD2" s="355">
        <f>BV2</f>
        <v>6.352312482865166E-3</v>
      </c>
      <c r="CE2" s="355">
        <f>1-((1-BW2)*(1-BV2))</f>
        <v>1.5933674697852229E-2</v>
      </c>
      <c r="CF2" s="355">
        <f>1-((1-BW2)*(1-BV2)*(1-BX2))</f>
        <v>2.8129171085753413E-2</v>
      </c>
      <c r="CG2" s="355">
        <f>FLOOR(1-((1-BW2)*(1-BV2)*(1-BX2)*(1-BY2)),$AP$11)</f>
        <v>4.3000000000000003E-2</v>
      </c>
      <c r="CH2" s="283"/>
      <c r="CI2" s="355"/>
      <c r="CL2" s="168"/>
      <c r="CM2" s="168"/>
      <c r="CN2" s="168"/>
      <c r="CO2" s="168"/>
      <c r="CP2" s="168"/>
      <c r="CR2" s="345">
        <f>E2/$H2</f>
        <v>0.18073720958767905</v>
      </c>
      <c r="CS2" s="345">
        <f t="shared" ref="CS2:CU2" si="2">F2/$H2</f>
        <v>0.41332970163728877</v>
      </c>
      <c r="CT2" s="345">
        <f t="shared" si="2"/>
        <v>0.67334118380629804</v>
      </c>
      <c r="CU2" s="345">
        <f t="shared" si="2"/>
        <v>1</v>
      </c>
      <c r="CW2" s="332" t="s">
        <v>5365</v>
      </c>
      <c r="CX2" s="355">
        <f>AVERAGEIF($B:$B,1,CR:CR)</f>
        <v>0.17408707606021365</v>
      </c>
      <c r="CY2" s="355">
        <v>0.17248226361710828</v>
      </c>
    </row>
    <row r="3" spans="1:103" s="166" customFormat="1" x14ac:dyDescent="0.25">
      <c r="A3" s="464">
        <v>1100000145</v>
      </c>
      <c r="B3" s="470">
        <f>VLOOKUP(A3,'Ref-Data'!A:I,9,FALSE)</f>
        <v>1</v>
      </c>
      <c r="C3" s="445">
        <f>IF(B3="Matured","",VLOOKUP(A3,'Adjustment Factor'!A:C,3,0))</f>
        <v>0.85</v>
      </c>
      <c r="D3" s="190">
        <f>VLOOKUP(A3,'Ref-Data'!A:C,2,FALSE)</f>
        <v>9722974.0099999998</v>
      </c>
      <c r="E3" s="471">
        <f>IFERROR(IF(VLOOKUP(A3,'Updated Ncino PD'!$A:$K,4,0)=0,"",VLOOKUP(A3,'Updated Ncino PD'!$A:$K,4,0)),AF3)</f>
        <v>2.5522499619300774E-2</v>
      </c>
      <c r="F3" s="472">
        <f>IFERROR(IF(VLOOKUP(A3,'Updated Ncino PD'!$A:$K,5,0)=0,"",VLOOKUP(A3,'Updated Ncino PD'!$A:$K,5,0)),1-((1-AG3)*(1-E3)))</f>
        <v>5.6365334901311459E-2</v>
      </c>
      <c r="G3" s="472">
        <f>IFERROR(IF(VLOOKUP(A3,'Updated Ncino PD'!$A:$K,6,0)=0,"",VLOOKUP(A3,'Updated Ncino PD'!$A:$K,6,0)),1-((1-AF3)*(1-AG3)*(1-AH3)))</f>
        <v>8.9355863861766638E-2</v>
      </c>
      <c r="H3" s="472">
        <f>IFERROR(IF(VLOOKUP(A3,'Updated Ncino PD'!$A:$K,7,0)=0,"",VLOOKUP(A3,'Updated Ncino PD'!$A:$K,7,0)),IFERROR(VLOOKUP(A3,'Updated Ncino PD'!A:B,2,FALSE),FLOOR(1-((1-AG3)*(1-AH3)*(1-AI3)*(1-AF3)),$R$11)))</f>
        <v>0.1283</v>
      </c>
      <c r="I3" s="472">
        <f>IFERROR(IF(VLOOKUP(A3,'Updated Ncino PD'!$A:$K,8,0)=0,"",VLOOKUP(A3,'Updated Ncino PD'!$A:$K,8,0)),FLOOR(1-((1-H3)*(1-AJ3)),$R$11))</f>
        <v>0.1852</v>
      </c>
      <c r="J3" s="472">
        <f>IFERROR(IF(VLOOKUP(A3,'Updated Ncino PD'!$A:$K,9,0)=0,"",VLOOKUP(A3,'Updated Ncino PD'!$A:$K,9,0)),FLOOR(1-((1-H3)*(1-AJ3)*(1-AK3)),$R$11))</f>
        <v>0.21690000000000001</v>
      </c>
      <c r="K3" s="472">
        <f>IFERROR(IF(VLOOKUP(A3,'Updated Ncino PD'!$A:$K,10,0)=0,"",VLOOKUP(A3,'Updated Ncino PD'!$A:$K,10,0)),FLOOR(1-((1-H3)*(1-AJ3)*(1-AK3)*(1-AL3)),$R$11))</f>
        <v>0.26940000000000003</v>
      </c>
      <c r="L3" s="472">
        <f>IFERROR(IF(VLOOKUP(A3,'Updated Ncino PD'!$A:$K,11,0)=0,"",VLOOKUP(A3,'Updated Ncino PD'!$A:$K,11,0)),FLOOR(1-((1-H3)*(1-AJ3)*(1-AK3)*(1-AL3)*(1-AM3)),$R$11))</f>
        <v>0.31620000000000004</v>
      </c>
      <c r="M3" s="224">
        <f>VLOOKUP(A3,'Ref-Data'!$A:$F,6,FALSE)</f>
        <v>5.4757015742642023E-2</v>
      </c>
      <c r="N3" s="191">
        <f t="shared" ref="N3:N66" si="3">IF(B3=1,IF(M3&gt;=1,H3,1-(1-H3)^M3),IF(M3&gt;=1,O3,1-(1-O3)^M3))</f>
        <v>7.4904885547799616E-3</v>
      </c>
      <c r="O3" s="191">
        <f t="shared" ref="O3:O66" si="4">IF(M3&lt;=1,H3,IF(M3&lt;=2,I3,IF(M3&lt;=3,J3,IF(M3&lt;=4,K3,L3))))</f>
        <v>0.1283</v>
      </c>
      <c r="P3" s="459" t="str">
        <f>VLOOKUP(A3,'Loan Book Summary'!C:G,5,FALSE)</f>
        <v>0015800000me5DQ</v>
      </c>
      <c r="Q3" s="200" t="s">
        <v>693</v>
      </c>
      <c r="R3" s="209">
        <f>Baseline!$T94*Baseline!$AB$14+SevAdv!$T94*Baseline!$AB$15+Adv!$T94*Baseline!$AB$16</f>
        <v>-0.65987170557542341</v>
      </c>
      <c r="S3" s="203"/>
      <c r="T3" s="332">
        <f>IFERROR(VLOOKUP($P3,'Model Output-LoanNameUpdate'!$A:$K,2,FALSE),CL3)</f>
        <v>0.11214499999999999</v>
      </c>
      <c r="U3" s="332">
        <f>1-(1-IFERROR(VLOOKUP($P3,'Model Output-LoanNameUpdate'!$A:$K,2,FALSE),CL3))^(1/4)</f>
        <v>2.9298923627888218E-2</v>
      </c>
      <c r="V3" s="332">
        <f>IFERROR(VLOOKUP($P3,'Model Output-LoanNameUpdate'!$A:$K,3,FALSE),CM3)</f>
        <v>8.7529999999999997E-2</v>
      </c>
      <c r="W3" s="332">
        <f>IFERROR(VLOOKUP($P3,'Model Output-LoanNameUpdate'!$A:$K,4,FALSE),CN3)</f>
        <v>7.5595000000000009E-2</v>
      </c>
      <c r="X3" s="332">
        <f>IFERROR(VLOOKUP($P3,'Model Output-LoanNameUpdate'!$A:$K,5,FALSE),CO3)</f>
        <v>6.8144999999999997E-2</v>
      </c>
      <c r="Y3" s="332">
        <f>IFERROR(VLOOKUP($P3,'Model Output-LoanNameUpdate'!$A:$K,6,FALSE),CP3)</f>
        <v>6.2839999999999993E-2</v>
      </c>
      <c r="Z3" s="207">
        <f t="shared" ref="Z3:Z66" si="5">C3</f>
        <v>0.85</v>
      </c>
      <c r="AA3" s="208">
        <f t="shared" ref="AA3:AA66" si="6">U3*$Z3</f>
        <v>2.4904085083704983E-2</v>
      </c>
      <c r="AB3" s="208">
        <f t="shared" ref="AB3:AB66" si="7">V3*$Z3</f>
        <v>7.4400499999999994E-2</v>
      </c>
      <c r="AC3" s="208">
        <f t="shared" ref="AC3:AC66" si="8">W3*$Z3</f>
        <v>6.425575E-2</v>
      </c>
      <c r="AD3" s="208">
        <f t="shared" ref="AD3:AD66" si="9">X3*$Z3</f>
        <v>5.7923249999999996E-2</v>
      </c>
      <c r="AE3" s="208">
        <f t="shared" ref="AE3:AE66" si="10">Y3*$Z3</f>
        <v>5.3413999999999989E-2</v>
      </c>
      <c r="AF3" s="332">
        <f>NORMSDIST((_xlfn.NORM.S.INV(AA3)-(SQRT(Baseline!$AF$11)*'MacroPD-Cal'!$R$2))/SQRT(1-Baseline!$AF$11))</f>
        <v>2.5522499619300774E-2</v>
      </c>
      <c r="AG3" s="332">
        <f>NORMSDIST((_xlfn.NORM.S.INV(AA3)-(SQRT(Baseline!$AF$11)*'MacroPD-Cal'!$R$3))/SQRT(1-Baseline!$AF$11))</f>
        <v>3.1650638696082069E-2</v>
      </c>
      <c r="AH3" s="332">
        <f>NORMSDIST((_xlfn.NORM.S.INV(AA3)-(SQRT(Baseline!$AF$11)*'MacroPD-Cal'!$R$4))/SQRT(1-Baseline!$AF$11))</f>
        <v>3.4961124448522563E-2</v>
      </c>
      <c r="AI3" s="332">
        <f>NORMSDIST((_xlfn.NORM.S.INV(AA3)-(SQRT(Baseline!$AF$11)*'MacroPD-Cal'!$R$5))/SQRT(1-Baseline!$AF$11))</f>
        <v>4.2778876163829527E-2</v>
      </c>
      <c r="AJ3" s="332">
        <f>NORMSDIST((_xlfn.NORM.S.INV(AB3)-(SQRT(Baseline!$AF$11)*'MacroPD-Cal'!$R$6))/SQRT(1-Baseline!$AF$11))</f>
        <v>6.5360079984286668E-2</v>
      </c>
      <c r="AK3" s="332">
        <f>NORMSDIST((_xlfn.NORM.S.INV(AC3)-(SQRT(Baseline!$AF$11)*'MacroPD-Cal'!$R$7))/SQRT(1-Baseline!$AF$11))</f>
        <v>3.8912334091353314E-2</v>
      </c>
      <c r="AL3" s="332">
        <f>NORMSDIST((_xlfn.NORM.S.INV(AD3)-(SQRT(Baseline!$AF$11)*'MacroPD-Cal'!$R$8))/SQRT(1-Baseline!$AF$11))</f>
        <v>6.6969793174944711E-2</v>
      </c>
      <c r="AM3" s="332">
        <f>NORMSDIST((_xlfn.NORM.S.INV(AE3)-(SQRT(Baseline!$AF$11)*'MacroPD-Cal'!$R$9))/SQRT(1-Baseline!$AF$11))</f>
        <v>6.4132776042127151E-2</v>
      </c>
      <c r="AO3" s="360" t="s">
        <v>693</v>
      </c>
      <c r="AP3" s="283">
        <f>Baseline!$T94</f>
        <v>-0.60908778122478724</v>
      </c>
      <c r="AQ3" s="355">
        <f>NORMSDIST((_xlfn.NORM.S.INV(AA3)-(SQRT(Baseline!$AF$11)*'MacroPD-Cal'!$AP$2))/SQRT(1-Baseline!$AF$11))</f>
        <v>2.6266334198221764E-2</v>
      </c>
      <c r="AR3" s="355">
        <f>NORMSDIST((_xlfn.NORM.S.INV(AA3)-(SQRT(Baseline!$AF$11)*'MacroPD-Cal'!$AP$3))/SQRT(1-Baseline!$AF$11))</f>
        <v>2.9995294039948932E-2</v>
      </c>
      <c r="AS3" s="355">
        <f>NORMSDIST((_xlfn.NORM.S.INV(AA3)-(SQRT(Baseline!$AF$11)*'MacroPD-Cal'!$AP$4))/SQRT(1-Baseline!$AF$11))</f>
        <v>3.0506422300640459E-2</v>
      </c>
      <c r="AT3" s="355">
        <f>NORMSDIST((_xlfn.NORM.S.INV(AA3)-(SQRT(Baseline!$AF$11)*'MacroPD-Cal'!$AP$5))/SQRT(1-Baseline!$AF$11))</f>
        <v>3.7925524413518576E-2</v>
      </c>
      <c r="AU3" s="355">
        <f>NORMSDIST((_xlfn.NORM.S.INV(AB3)-(SQRT(Baseline!$AF$11)*'MacroPD-Cal'!$AP$6))/SQRT(1-Baseline!$AF$11))</f>
        <v>4.8426478076448065E-2</v>
      </c>
      <c r="AV3" s="355">
        <f>NORMSDIST((_xlfn.NORM.S.INV(AC3)-(SQRT(Baseline!$AF$11)*'MacroPD-Cal'!$AP$7))/SQRT(1-Baseline!$AF$11))</f>
        <v>4.9828060736393787E-2</v>
      </c>
      <c r="AW3" s="355">
        <f>NORMSDIST((_xlfn.NORM.S.INV(AD3)-(SQRT(Baseline!$AF$11)*'MacroPD-Cal'!$AP$8))/SQRT(1-Baseline!$AF$11))</f>
        <v>6.816983407884443E-2</v>
      </c>
      <c r="AX3" s="355">
        <f>NORMSDIST((_xlfn.NORM.S.INV(AE3)-(SQRT(Baseline!$AF$11)*'MacroPD-Cal'!$AP$9))/SQRT(1-Baseline!$AF$11))</f>
        <v>6.8738208887352048E-2</v>
      </c>
      <c r="AY3" s="355">
        <f t="shared" ref="AY3:AY66" si="11">AQ3</f>
        <v>2.6266334198221764E-2</v>
      </c>
      <c r="AZ3" s="355">
        <f t="shared" ref="AZ3:AZ66" si="12">1-((1-AR3)*(1-AQ3))</f>
        <v>5.5473761820543532E-2</v>
      </c>
      <c r="BA3" s="355">
        <f t="shared" ref="BA3:BA66" si="13">1-((1-AR3)*(1-AQ3)*(1-AS3))</f>
        <v>8.4287878116481418E-2</v>
      </c>
      <c r="BB3" s="355">
        <f t="shared" ref="BB3:BB66" si="14">FLOOR(1-((1-AR3)*(1-AQ3)*(1-AS3)*(1-AT3)),$AP$11)</f>
        <v>0.11900000000000001</v>
      </c>
      <c r="BC3" s="355"/>
      <c r="BD3" s="355"/>
      <c r="BE3" s="360" t="s">
        <v>693</v>
      </c>
      <c r="BF3" s="283">
        <f>SevAdv!$T94</f>
        <v>-0.70590999705151392</v>
      </c>
      <c r="BG3" s="355">
        <f>NORMSDIST((_xlfn.NORM.S.INV($AA3)-(SQRT(Baseline!$AF$11)*'MacroPD-Cal'!$BF$2))/SQRT(1-Baseline!$AF$11))</f>
        <v>2.5128491576243236E-2</v>
      </c>
      <c r="BH3" s="355">
        <f>NORMSDIST((_xlfn.NORM.S.INV($AA3)-(SQRT(Baseline!$AF$11)*'MacroPD-Cal'!$BF$3))/SQRT(1-Baseline!$AF$11))</f>
        <v>3.3215856091848052E-2</v>
      </c>
      <c r="BI3" s="355">
        <f>NORMSDIST((_xlfn.NORM.S.INV($AA3)-(SQRT(Baseline!$AF$11)*'MacroPD-Cal'!$BF$4))/SQRT(1-Baseline!$AF$11))</f>
        <v>4.4692236693000438E-2</v>
      </c>
      <c r="BJ3" s="355">
        <f>NORMSDIST((_xlfn.NORM.S.INV($AA3)-(SQRT(Baseline!$AF$11)*'MacroPD-Cal'!$BF$5))/SQRT(1-Baseline!$AF$11))</f>
        <v>5.5440026429764332E-2</v>
      </c>
      <c r="BK3" s="355">
        <f>NORMSDIST((_xlfn.NORM.S.INV($AB3)-(SQRT(Baseline!$AF$11)*'MacroPD-Cal'!$BF$6))/SQRT(1-Baseline!$AF$11))</f>
        <v>0.16031475918516541</v>
      </c>
      <c r="BL3" s="355">
        <f>NORMSDIST((_xlfn.NORM.S.INV($AC3)-(SQRT(Baseline!$AF$11)*'MacroPD-Cal'!$BF$7))/SQRT(1-Baseline!$AF$11))</f>
        <v>2.4890247941778115E-2</v>
      </c>
      <c r="BM3" s="355">
        <f>NORMSDIST((_xlfn.NORM.S.INV($AD3)-(SQRT(Baseline!$AF$11)*'MacroPD-Cal'!$BF$8))/SQRT(1-Baseline!$AF$11))</f>
        <v>4.5386339983272954E-2</v>
      </c>
      <c r="BN3" s="355">
        <f>NORMSDIST((_xlfn.NORM.S.INV($AE3)-(SQRT(Baseline!$AF$11)*'MacroPD-Cal'!$BF$9))/SQRT(1-Baseline!$AF$11))</f>
        <v>5.6771536654223707E-2</v>
      </c>
      <c r="BO3" s="355">
        <f t="shared" ref="BO3:BO66" si="15">BG3</f>
        <v>2.5128491576243236E-2</v>
      </c>
      <c r="BP3" s="355">
        <f t="shared" ref="BP3:BP66" si="16">1-((1-BH3)*(1-BG3))</f>
        <v>5.7509683308089588E-2</v>
      </c>
      <c r="BQ3" s="355">
        <f t="shared" ref="BQ3:BQ66" si="17">1-((1-BH3)*(1-BG3)*(1-BI3))</f>
        <v>9.9631683622545486E-2</v>
      </c>
      <c r="BR3" s="355">
        <f t="shared" ref="BR3:BR66" si="18">FLOOR(1-((1-BH3)*(1-BG3)*(1-BI3)*(1-BJ3)),$AP$11)</f>
        <v>0.14949999999999999</v>
      </c>
      <c r="BS3" s="283"/>
      <c r="BT3" s="360" t="s">
        <v>693</v>
      </c>
      <c r="BU3" s="283">
        <f>Adv!$T94</f>
        <v>-0.74035296282278695</v>
      </c>
      <c r="BV3" s="355">
        <f>NORMSDIST((_xlfn.NORM.S.INV($AA3)-(SQRT(Baseline!$AF$11)*'MacroPD-Cal'!$BU$2))/SQRT(1-Baseline!$AF$11))</f>
        <v>2.4342808420547413E-2</v>
      </c>
      <c r="BW3" s="355">
        <f>NORMSDIST((_xlfn.NORM.S.INV($AA3)-(SQRT(Baseline!$AF$11)*'MacroPD-Cal'!$BU$3))/SQRT(1-Baseline!$AF$11))</f>
        <v>3.4428091493971129E-2</v>
      </c>
      <c r="BX3" s="355">
        <f>NORMSDIST((_xlfn.NORM.S.INV($AA3)-(SQRT(Baseline!$AF$11)*'MacroPD-Cal'!$BU$4))/SQRT(1-Baseline!$AF$11))</f>
        <v>4.2343627238595478E-2</v>
      </c>
      <c r="BY3" s="355">
        <f>NORMSDIST((_xlfn.NORM.S.INV($AA3)-(SQRT(Baseline!$AF$11)*'MacroPD-Cal'!$BU$5))/SQRT(1-Baseline!$AF$11))</f>
        <v>5.0375496004498539E-2</v>
      </c>
      <c r="BZ3" s="355">
        <f>NORMSDIST((_xlfn.NORM.S.INV($AB3)-(SQRT(Baseline!$AF$11)*'MacroPD-Cal'!$BU$6))/SQRT(1-Baseline!$AF$11))</f>
        <v>9.1793792996486601E-2</v>
      </c>
      <c r="CA3" s="355">
        <f>NORMSDIST((_xlfn.NORM.S.INV($AC3)-(SQRT(Baseline!$AF$11)*'MacroPD-Cal'!$BU8))/SQRT(1-Baseline!$AF$11))</f>
        <v>7.6494099486214301E-2</v>
      </c>
      <c r="CB3" s="355">
        <f>NORMSDIST((_xlfn.NORM.S.INV($AD3)-(SQRT(Baseline!$AF$11)*'MacroPD-Cal'!$BU$8))/SQRT(1-Baseline!$AF$11))</f>
        <v>6.8510294273078143E-2</v>
      </c>
      <c r="CC3" s="355">
        <f>NORMSDIST((_xlfn.NORM.S.INV($AE3)-(SQRT(Baseline!$AF$11)*'MacroPD-Cal'!$BU$9))/SQRT(1-Baseline!$AF$11))</f>
        <v>5.7809414762142915E-2</v>
      </c>
      <c r="CD3" s="355">
        <f t="shared" ref="CD3:CD66" si="19">BV3</f>
        <v>2.4342808420547413E-2</v>
      </c>
      <c r="CE3" s="355">
        <f t="shared" ref="CE3:CE66" si="20">1-((1-BW3)*(1-BV3))</f>
        <v>5.7932823478995643E-2</v>
      </c>
      <c r="CF3" s="355">
        <f t="shared" ref="CF3:CF66" si="21">1-((1-BW3)*(1-BV3)*(1-BX3))</f>
        <v>9.7823364835317173E-2</v>
      </c>
      <c r="CG3" s="355">
        <f t="shared" ref="CG3:CG66" si="22">FLOOR(1-((1-BW3)*(1-BV3)*(1-BX3)*(1-BY3)),$AP$11)</f>
        <v>0.14319999999999999</v>
      </c>
      <c r="CH3" s="283"/>
      <c r="CI3" s="355"/>
      <c r="CL3" s="168"/>
      <c r="CM3" s="168"/>
      <c r="CN3" s="168"/>
      <c r="CO3" s="168"/>
      <c r="CP3" s="168"/>
      <c r="CR3" s="345">
        <f t="shared" ref="CR3:CR66" si="23">E3/$H3</f>
        <v>0.19892829009587509</v>
      </c>
      <c r="CS3" s="345">
        <f t="shared" ref="CS3:CS66" si="24">F3/$H3</f>
        <v>0.43932451209128182</v>
      </c>
      <c r="CT3" s="345">
        <f t="shared" ref="CT3:CT66" si="25">G3/$H3</f>
        <v>0.69646035745726143</v>
      </c>
      <c r="CU3" s="345">
        <f t="shared" ref="CU3:CU66" si="26">H3/$H3</f>
        <v>1</v>
      </c>
      <c r="CW3" s="332" t="s">
        <v>5366</v>
      </c>
      <c r="CX3" s="355">
        <f>AVERAGEIF($B:$B,1,CS:CS)</f>
        <v>0.40414213710434255</v>
      </c>
      <c r="CY3" s="355">
        <v>0.40168484393648352</v>
      </c>
    </row>
    <row r="4" spans="1:103" s="166" customFormat="1" x14ac:dyDescent="0.25">
      <c r="A4" s="464">
        <v>1100000199</v>
      </c>
      <c r="B4" s="470">
        <f>VLOOKUP(A4,'Ref-Data'!A:I,9,FALSE)</f>
        <v>1</v>
      </c>
      <c r="C4" s="445">
        <f>IF(B4="Matured","",VLOOKUP(A4,'Adjustment Factor'!A:C,3,0))</f>
        <v>0.87</v>
      </c>
      <c r="D4" s="190">
        <f>VLOOKUP(A4,'Ref-Data'!A:C,2,FALSE)</f>
        <v>552635</v>
      </c>
      <c r="E4" s="471">
        <f>IFERROR(IF(VLOOKUP(A4,'Updated Ncino PD'!$A:$K,4,0)=0,"",VLOOKUP(A4,'Updated Ncino PD'!$A:$K,4,0)),AF4)</f>
        <v>1.2213071921756953E-3</v>
      </c>
      <c r="F4" s="472">
        <f>IFERROR(IF(VLOOKUP(A4,'Updated Ncino PD'!$A:$K,5,0)=0,"",VLOOKUP(A4,'Updated Ncino PD'!$A:$K,5,0)),1-((1-AG4)*(1-E4)))</f>
        <v>2.8798866476352769E-3</v>
      </c>
      <c r="G4" s="472">
        <f>IFERROR(IF(VLOOKUP(A4,'Updated Ncino PD'!$A:$K,6,0)=0,"",VLOOKUP(A4,'Updated Ncino PD'!$A:$K,6,0)),1-((1-AF4)*(1-AG4)*(1-AH4)))</f>
        <v>4.7903459833295026E-3</v>
      </c>
      <c r="H4" s="472">
        <f>IFERROR(IF(VLOOKUP(A4,'Updated Ncino PD'!$A:$K,7,0)=0,"",VLOOKUP(A4,'Updated Ncino PD'!$A:$K,7,0)),IFERROR(VLOOKUP(A4,'Updated Ncino PD'!A:B,2,FALSE),FLOOR(1-((1-AG4)*(1-AH4)*(1-AI4)*(1-AF4)),$R$11)))</f>
        <v>7.3000000000000001E-3</v>
      </c>
      <c r="I4" s="472">
        <f>IFERROR(IF(VLOOKUP(A4,'Updated Ncino PD'!$A:$K,8,0)=0,"",VLOOKUP(A4,'Updated Ncino PD'!$A:$K,8,0)),FLOOR(1-((1-H4)*(1-AJ4)),$R$11))</f>
        <v>1.17E-2</v>
      </c>
      <c r="J4" s="472">
        <f>IFERROR(IF(VLOOKUP(A4,'Updated Ncino PD'!$A:$K,9,0)=0,"",VLOOKUP(A4,'Updated Ncino PD'!$A:$K,9,0)),FLOOR(1-((1-H4)*(1-AJ4)*(1-AK4)),$R$11))</f>
        <v>1.4500000000000001E-2</v>
      </c>
      <c r="K4" s="472">
        <f>IFERROR(IF(VLOOKUP(A4,'Updated Ncino PD'!$A:$K,10,0)=0,"",VLOOKUP(A4,'Updated Ncino PD'!$A:$K,10,0)),FLOOR(1-((1-H4)*(1-AJ4)*(1-AK4)*(1-AL4)),$R$11))</f>
        <v>2.2100000000000002E-2</v>
      </c>
      <c r="L4" s="472">
        <f>IFERROR(IF(VLOOKUP(A4,'Updated Ncino PD'!$A:$K,11,0)=0,"",VLOOKUP(A4,'Updated Ncino PD'!$A:$K,11,0)),FLOOR(1-((1-H4)*(1-AJ4)*(1-AK4)*(1-AL4)*(1-AM4)),$R$11))</f>
        <v>3.0300000000000001E-2</v>
      </c>
      <c r="M4" s="224">
        <f>VLOOKUP(A4,'Ref-Data'!$A:$F,6,FALSE)</f>
        <v>0.67351129363449691</v>
      </c>
      <c r="N4" s="191">
        <f t="shared" si="3"/>
        <v>4.9225105071935005E-3</v>
      </c>
      <c r="O4" s="191">
        <f t="shared" si="4"/>
        <v>7.3000000000000001E-3</v>
      </c>
      <c r="P4" s="459" t="str">
        <f>VLOOKUP(A4,'Loan Book Summary'!C:G,5,FALSE)</f>
        <v>00158000013gcxO</v>
      </c>
      <c r="Q4" s="200" t="s">
        <v>694</v>
      </c>
      <c r="R4" s="209">
        <f>Baseline!$T95*Baseline!$AB$14+SevAdv!$T95*Baseline!$AB$15+Adv!$T95*Baseline!$AB$16</f>
        <v>-0.75518308622645525</v>
      </c>
      <c r="S4" s="203"/>
      <c r="T4" s="332">
        <f>IFERROR(VLOOKUP($P4,'Model Output-LoanNameUpdate'!$A:$K,2,FALSE),CL4)</f>
        <v>7.5500000000000012E-3</v>
      </c>
      <c r="U4" s="332">
        <f>1-(1-IFERROR(VLOOKUP($P4,'Model Output-LoanNameUpdate'!$A:$K,2,FALSE),CL4))^(1/4)</f>
        <v>1.8928676430343128E-3</v>
      </c>
      <c r="V4" s="332">
        <f>IFERROR(VLOOKUP($P4,'Model Output-LoanNameUpdate'!$A:$K,3,FALSE),CM4)</f>
        <v>8.3249999999999991E-3</v>
      </c>
      <c r="W4" s="332">
        <f>IFERROR(VLOOKUP($P4,'Model Output-LoanNameUpdate'!$A:$K,4,FALSE),CN4)</f>
        <v>8.8099999999999984E-3</v>
      </c>
      <c r="X4" s="332">
        <f>IFERROR(VLOOKUP($P4,'Model Output-LoanNameUpdate'!$A:$K,5,FALSE),CO4)</f>
        <v>9.1999999999999998E-3</v>
      </c>
      <c r="Y4" s="332">
        <f>IFERROR(VLOOKUP($P4,'Model Output-LoanNameUpdate'!$A:$K,6,FALSE),CP4)</f>
        <v>9.4549999999999999E-3</v>
      </c>
      <c r="Z4" s="207">
        <f t="shared" si="5"/>
        <v>0.87</v>
      </c>
      <c r="AA4" s="208">
        <f t="shared" si="6"/>
        <v>1.646794849439852E-3</v>
      </c>
      <c r="AB4" s="208">
        <f t="shared" si="7"/>
        <v>7.2427499999999992E-3</v>
      </c>
      <c r="AC4" s="208">
        <f t="shared" si="8"/>
        <v>7.6646999999999983E-3</v>
      </c>
      <c r="AD4" s="208">
        <f t="shared" si="9"/>
        <v>8.003999999999999E-3</v>
      </c>
      <c r="AE4" s="208">
        <f t="shared" si="10"/>
        <v>8.2258499999999998E-3</v>
      </c>
      <c r="AF4" s="332">
        <f>NORMSDIST((_xlfn.NORM.S.INV(AA4)-(SQRT(Baseline!$AF$11)*'MacroPD-Cal'!$R$2))/SQRT(1-Baseline!$AF$11))</f>
        <v>1.2213071921756953E-3</v>
      </c>
      <c r="AG4" s="332">
        <f>NORMSDIST((_xlfn.NORM.S.INV(AA4)-(SQRT(Baseline!$AF$11)*'MacroPD-Cal'!$R$3))/SQRT(1-Baseline!$AF$11))</f>
        <v>1.6606075674249908E-3</v>
      </c>
      <c r="AH4" s="332">
        <f>NORMSDIST((_xlfn.NORM.S.INV(AA4)-(SQRT(Baseline!$AF$11)*'MacroPD-Cal'!$R$4))/SQRT(1-Baseline!$AF$11))</f>
        <v>1.9159771326558287E-3</v>
      </c>
      <c r="AI4" s="332">
        <f>NORMSDIST((_xlfn.NORM.S.INV(AA4)-(SQRT(Baseline!$AF$11)*'MacroPD-Cal'!$R$5))/SQRT(1-Baseline!$AF$11))</f>
        <v>2.5664646263181636E-3</v>
      </c>
      <c r="AJ4" s="332">
        <f>NORMSDIST((_xlfn.NORM.S.INV(AB4)-(SQRT(Baseline!$AF$11)*'MacroPD-Cal'!$R$6))/SQRT(1-Baseline!$AF$11))</f>
        <v>4.436314165269563E-3</v>
      </c>
      <c r="AK4" s="332">
        <f>NORMSDIST((_xlfn.NORM.S.INV(AC4)-(SQRT(Baseline!$AF$11)*'MacroPD-Cal'!$R$7))/SQRT(1-Baseline!$AF$11))</f>
        <v>2.8697209098580605E-3</v>
      </c>
      <c r="AL4" s="332">
        <f>NORMSDIST((_xlfn.NORM.S.INV(AD4)-(SQRT(Baseline!$AF$11)*'MacroPD-Cal'!$R$8))/SQRT(1-Baseline!$AF$11))</f>
        <v>7.7120000910839157E-3</v>
      </c>
      <c r="AM4" s="332">
        <f>NORMSDIST((_xlfn.NORM.S.INV(AE4)-(SQRT(Baseline!$AF$11)*'MacroPD-Cal'!$R$9))/SQRT(1-Baseline!$AF$11))</f>
        <v>8.4447719640487716E-3</v>
      </c>
      <c r="AO4" s="360" t="s">
        <v>694</v>
      </c>
      <c r="AP4" s="283">
        <f>Baseline!$T95</f>
        <v>-0.62501110663702408</v>
      </c>
      <c r="AQ4" s="355">
        <f>NORMSDIST((_xlfn.NORM.S.INV(AA4)-(SQRT(Baseline!$AF$11)*'MacroPD-Cal'!$AP$2))/SQRT(1-Baseline!$AF$11))</f>
        <v>1.2722332866420666E-3</v>
      </c>
      <c r="AR4" s="355">
        <f>NORMSDIST((_xlfn.NORM.S.INV(AA4)-(SQRT(Baseline!$AF$11)*'MacroPD-Cal'!$AP$3))/SQRT(1-Baseline!$AF$11))</f>
        <v>1.5375827649687103E-3</v>
      </c>
      <c r="AS4" s="355">
        <f>NORMSDIST((_xlfn.NORM.S.INV(AA4)-(SQRT(Baseline!$AF$11)*'MacroPD-Cal'!$AP$4))/SQRT(1-Baseline!$AF$11))</f>
        <v>1.5752321926211857E-3</v>
      </c>
      <c r="AT4" s="355">
        <f>NORMSDIST((_xlfn.NORM.S.INV(AA4)-(SQRT(Baseline!$AF$11)*'MacroPD-Cal'!$AP$5))/SQRT(1-Baseline!$AF$11))</f>
        <v>2.154935429886103E-3</v>
      </c>
      <c r="AU4" s="355">
        <f>NORMSDIST((_xlfn.NORM.S.INV(AB4)-(SQRT(Baseline!$AF$11)*'MacroPD-Cal'!$AP$6))/SQRT(1-Baseline!$AF$11))</f>
        <v>2.837766568412108E-3</v>
      </c>
      <c r="AV4" s="355">
        <f>NORMSDIST((_xlfn.NORM.S.INV(AC4)-(SQRT(Baseline!$AF$11)*'MacroPD-Cal'!$AP$7))/SQRT(1-Baseline!$AF$11))</f>
        <v>4.0799530756744007E-3</v>
      </c>
      <c r="AW4" s="355">
        <f>NORMSDIST((_xlfn.NORM.S.INV(AD4)-(SQRT(Baseline!$AF$11)*'MacroPD-Cal'!$AP$8))/SQRT(1-Baseline!$AF$11))</f>
        <v>7.9091165656336171E-3</v>
      </c>
      <c r="AX4" s="355">
        <f>NORMSDIST((_xlfn.NORM.S.INV(AE4)-(SQRT(Baseline!$AF$11)*'MacroPD-Cal'!$AP$9))/SQRT(1-Baseline!$AF$11))</f>
        <v>9.301786419518298E-3</v>
      </c>
      <c r="AY4" s="355">
        <f t="shared" si="11"/>
        <v>1.2722332866420666E-3</v>
      </c>
      <c r="AZ4" s="355">
        <f t="shared" si="12"/>
        <v>2.8078598876362104E-3</v>
      </c>
      <c r="BA4" s="355">
        <f t="shared" si="13"/>
        <v>4.3786690489701074E-3</v>
      </c>
      <c r="BB4" s="355">
        <f t="shared" si="14"/>
        <v>6.5000000000000006E-3</v>
      </c>
      <c r="BC4" s="355"/>
      <c r="BD4" s="355"/>
      <c r="BE4" s="360" t="s">
        <v>694</v>
      </c>
      <c r="BF4" s="283">
        <f>SevAdv!$T95</f>
        <v>-0.99799047206812619</v>
      </c>
      <c r="BG4" s="355">
        <f>NORMSDIST((_xlfn.NORM.S.INV($AA4)-(SQRT(Baseline!$AF$11)*'MacroPD-Cal'!$BF$2))/SQRT(1-Baseline!$AF$11))</f>
        <v>1.1946079233923887E-3</v>
      </c>
      <c r="BH4" s="355">
        <f>NORMSDIST((_xlfn.NORM.S.INV($AA4)-(SQRT(Baseline!$AF$11)*'MacroPD-Cal'!$BF$3))/SQRT(1-Baseline!$AF$11))</f>
        <v>1.7798141589921981E-3</v>
      </c>
      <c r="BI4" s="355">
        <f>NORMSDIST((_xlfn.NORM.S.INV($AA4)-(SQRT(Baseline!$AF$11)*'MacroPD-Cal'!$BF$4))/SQRT(1-Baseline!$AF$11))</f>
        <v>2.7354590365739799E-3</v>
      </c>
      <c r="BJ4" s="355">
        <f>NORMSDIST((_xlfn.NORM.S.INV($AA4)-(SQRT(Baseline!$AF$11)*'MacroPD-Cal'!$BF$5))/SQRT(1-Baseline!$AF$11))</f>
        <v>3.753102972317411E-3</v>
      </c>
      <c r="BK4" s="355">
        <f>NORMSDIST((_xlfn.NORM.S.INV($AB4)-(SQRT(Baseline!$AF$11)*'MacroPD-Cal'!$BF$6))/SQRT(1-Baseline!$AF$11))</f>
        <v>1.7916374640853782E-2</v>
      </c>
      <c r="BL4" s="355">
        <f>NORMSDIST((_xlfn.NORM.S.INV($AC4)-(SQRT(Baseline!$AF$11)*'MacroPD-Cal'!$BF$7))/SQRT(1-Baseline!$AF$11))</f>
        <v>1.5346890841155638E-3</v>
      </c>
      <c r="BM4" s="355">
        <f>NORMSDIST((_xlfn.NORM.S.INV($AD4)-(SQRT(Baseline!$AF$11)*'MacroPD-Cal'!$BF$8))/SQRT(1-Baseline!$AF$11))</f>
        <v>4.4632367033432714E-3</v>
      </c>
      <c r="BN4" s="355">
        <f>NORMSDIST((_xlfn.NORM.S.INV($AE4)-(SQRT(Baseline!$AF$11)*'MacroPD-Cal'!$BF$9))/SQRT(1-Baseline!$AF$11))</f>
        <v>7.1310568542366009E-3</v>
      </c>
      <c r="BO4" s="355">
        <f t="shared" si="15"/>
        <v>1.1946079233923887E-3</v>
      </c>
      <c r="BP4" s="355">
        <f t="shared" si="16"/>
        <v>2.9722959022880913E-3</v>
      </c>
      <c r="BQ4" s="355">
        <f t="shared" si="17"/>
        <v>5.6996243451767903E-3</v>
      </c>
      <c r="BR4" s="355">
        <f t="shared" si="18"/>
        <v>9.4000000000000004E-3</v>
      </c>
      <c r="BS4" s="283"/>
      <c r="BT4" s="360" t="s">
        <v>694</v>
      </c>
      <c r="BU4" s="283">
        <f>Adv!$T95</f>
        <v>-0.9436482818309555</v>
      </c>
      <c r="BV4" s="355">
        <f>NORMSDIST((_xlfn.NORM.S.INV($AA4)-(SQRT(Baseline!$AF$11)*'MacroPD-Cal'!$BU$2))/SQRT(1-Baseline!$AF$11))</f>
        <v>1.1419439599891583E-3</v>
      </c>
      <c r="BW4" s="355">
        <f>NORMSDIST((_xlfn.NORM.S.INV($AA4)-(SQRT(Baseline!$AF$11)*'MacroPD-Cal'!$BU$3))/SQRT(1-Baseline!$AF$11))</f>
        <v>1.8740313774423427E-3</v>
      </c>
      <c r="BX4" s="355">
        <f>NORMSDIST((_xlfn.NORM.S.INV($AA4)-(SQRT(Baseline!$AF$11)*'MacroPD-Cal'!$BU$4))/SQRT(1-Baseline!$AF$11))</f>
        <v>2.5285496383031744E-3</v>
      </c>
      <c r="BY4" s="355">
        <f>NORMSDIST((_xlfn.NORM.S.INV($AA4)-(SQRT(Baseline!$AF$11)*'MacroPD-Cal'!$BU$5))/SQRT(1-Baseline!$AF$11))</f>
        <v>3.2593253619817115E-3</v>
      </c>
      <c r="BZ4" s="355">
        <f>NORMSDIST((_xlfn.NORM.S.INV($AB4)-(SQRT(Baseline!$AF$11)*'MacroPD-Cal'!$BU$6))/SQRT(1-Baseline!$AF$11))</f>
        <v>7.4367462225631018E-3</v>
      </c>
      <c r="CA4" s="355">
        <f>NORMSDIST((_xlfn.NORM.S.INV($AC4)-(SQRT(Baseline!$AF$11)*'MacroPD-Cal'!$BU9))/SQRT(1-Baseline!$AF$11))</f>
        <v>6.755459199849408E-3</v>
      </c>
      <c r="CB4" s="355">
        <f>NORMSDIST((_xlfn.NORM.S.INV($AD4)-(SQRT(Baseline!$AF$11)*'MacroPD-Cal'!$BU$8))/SQRT(1-Baseline!$AF$11))</f>
        <v>7.9653439693631728E-3</v>
      </c>
      <c r="CC4" s="355">
        <f>NORMSDIST((_xlfn.NORM.S.INV($AE4)-(SQRT(Baseline!$AF$11)*'MacroPD-Cal'!$BU$9))/SQRT(1-Baseline!$AF$11))</f>
        <v>7.3120147983216886E-3</v>
      </c>
      <c r="CD4" s="355">
        <f t="shared" si="19"/>
        <v>1.1419439599891583E-3</v>
      </c>
      <c r="CE4" s="355">
        <f t="shared" si="20"/>
        <v>3.0138352986192052E-3</v>
      </c>
      <c r="CF4" s="355">
        <f t="shared" si="21"/>
        <v>5.5347643047681805E-3</v>
      </c>
      <c r="CG4" s="355">
        <f t="shared" si="22"/>
        <v>8.7000000000000011E-3</v>
      </c>
      <c r="CH4" s="283"/>
      <c r="CI4" s="355"/>
      <c r="CL4" s="168"/>
      <c r="CM4" s="168"/>
      <c r="CN4" s="168"/>
      <c r="CO4" s="168"/>
      <c r="CP4" s="168"/>
      <c r="CR4" s="345">
        <f t="shared" si="23"/>
        <v>0.167302355092561</v>
      </c>
      <c r="CS4" s="345">
        <f t="shared" si="24"/>
        <v>0.39450502022401052</v>
      </c>
      <c r="CT4" s="345">
        <f t="shared" si="25"/>
        <v>0.65621177853828805</v>
      </c>
      <c r="CU4" s="345">
        <f t="shared" si="26"/>
        <v>1</v>
      </c>
      <c r="CW4" s="332" t="s">
        <v>5367</v>
      </c>
      <c r="CX4" s="355">
        <f>AVERAGEIF($B:$B,1,CT:CT)</f>
        <v>0.66503604518471737</v>
      </c>
      <c r="CY4" s="355">
        <v>0.66255794359817266</v>
      </c>
    </row>
    <row r="5" spans="1:103" s="166" customFormat="1" x14ac:dyDescent="0.25">
      <c r="A5" s="464">
        <v>1100000198</v>
      </c>
      <c r="B5" s="470">
        <f>VLOOKUP(A5,'Ref-Data'!A:I,9,FALSE)</f>
        <v>1</v>
      </c>
      <c r="C5" s="445">
        <f>IF(B5="Matured","",VLOOKUP(A5,'Adjustment Factor'!A:C,3,0))</f>
        <v>0.87</v>
      </c>
      <c r="D5" s="190">
        <f>VLOOKUP(A5,'Ref-Data'!A:C,2,FALSE)</f>
        <v>750000</v>
      </c>
      <c r="E5" s="471">
        <f>IFERROR(IF(VLOOKUP(A5,'Updated Ncino PD'!$A:$K,4,0)=0,"",VLOOKUP(A5,'Updated Ncino PD'!$A:$K,4,0)),AF5)</f>
        <v>1.2213071921756953E-3</v>
      </c>
      <c r="F5" s="472">
        <f>IFERROR(IF(VLOOKUP(A5,'Updated Ncino PD'!$A:$K,5,0)=0,"",VLOOKUP(A5,'Updated Ncino PD'!$A:$K,5,0)),1-((1-AG5)*(1-E5)))</f>
        <v>2.8798866476352769E-3</v>
      </c>
      <c r="G5" s="472">
        <f>IFERROR(IF(VLOOKUP(A5,'Updated Ncino PD'!$A:$K,6,0)=0,"",VLOOKUP(A5,'Updated Ncino PD'!$A:$K,6,0)),1-((1-AF5)*(1-AG5)*(1-AH5)))</f>
        <v>4.7903459833295026E-3</v>
      </c>
      <c r="H5" s="472">
        <f>IFERROR(IF(VLOOKUP(A5,'Updated Ncino PD'!$A:$K,7,0)=0,"",VLOOKUP(A5,'Updated Ncino PD'!$A:$K,7,0)),IFERROR(VLOOKUP(A5,'Updated Ncino PD'!A:B,2,FALSE),FLOOR(1-((1-AG5)*(1-AH5)*(1-AI5)*(1-AF5)),$R$11)))</f>
        <v>7.3000000000000001E-3</v>
      </c>
      <c r="I5" s="472">
        <f>IFERROR(IF(VLOOKUP(A5,'Updated Ncino PD'!$A:$K,8,0)=0,"",VLOOKUP(A5,'Updated Ncino PD'!$A:$K,8,0)),FLOOR(1-((1-H5)*(1-AJ5)),$R$11))</f>
        <v>1.17E-2</v>
      </c>
      <c r="J5" s="472">
        <f>IFERROR(IF(VLOOKUP(A5,'Updated Ncino PD'!$A:$K,9,0)=0,"",VLOOKUP(A5,'Updated Ncino PD'!$A:$K,9,0)),FLOOR(1-((1-H5)*(1-AJ5)*(1-AK5)),$R$11))</f>
        <v>1.4500000000000001E-2</v>
      </c>
      <c r="K5" s="472">
        <f>IFERROR(IF(VLOOKUP(A5,'Updated Ncino PD'!$A:$K,10,0)=0,"",VLOOKUP(A5,'Updated Ncino PD'!$A:$K,10,0)),FLOOR(1-((1-H5)*(1-AJ5)*(1-AK5)*(1-AL5)),$R$11))</f>
        <v>2.2100000000000002E-2</v>
      </c>
      <c r="L5" s="472">
        <f>IFERROR(IF(VLOOKUP(A5,'Updated Ncino PD'!$A:$K,11,0)=0,"",VLOOKUP(A5,'Updated Ncino PD'!$A:$K,11,0)),FLOOR(1-((1-H5)*(1-AJ5)*(1-AK5)*(1-AL5)*(1-AM5)),$R$11))</f>
        <v>3.0300000000000001E-2</v>
      </c>
      <c r="M5" s="224">
        <f>VLOOKUP(A5,'Ref-Data'!$A:$F,6,FALSE)</f>
        <v>0.67351129363449691</v>
      </c>
      <c r="N5" s="191">
        <f t="shared" si="3"/>
        <v>4.9225105071935005E-3</v>
      </c>
      <c r="O5" s="191">
        <f t="shared" si="4"/>
        <v>7.3000000000000001E-3</v>
      </c>
      <c r="P5" s="459" t="str">
        <f>VLOOKUP(A5,'Loan Book Summary'!C:G,5,FALSE)</f>
        <v>00158000013gcxO</v>
      </c>
      <c r="Q5" s="200" t="s">
        <v>695</v>
      </c>
      <c r="R5" s="209">
        <f>Baseline!$T96*Baseline!$AB$14+SevAdv!$T96*Baseline!$AB$15+Adv!$T96*Baseline!$AB$16</f>
        <v>-0.95389974316678783</v>
      </c>
      <c r="S5" s="203"/>
      <c r="T5" s="332">
        <f>IFERROR(VLOOKUP($P5,'Model Output-LoanNameUpdate'!$A:$K,2,FALSE),CL5)</f>
        <v>7.5500000000000012E-3</v>
      </c>
      <c r="U5" s="332">
        <f>1-(1-IFERROR(VLOOKUP($P5,'Model Output-LoanNameUpdate'!$A:$K,2,FALSE),CL5))^(1/4)</f>
        <v>1.8928676430343128E-3</v>
      </c>
      <c r="V5" s="332">
        <f>IFERROR(VLOOKUP($P5,'Model Output-LoanNameUpdate'!$A:$K,3,FALSE),CM5)</f>
        <v>8.3249999999999991E-3</v>
      </c>
      <c r="W5" s="332">
        <f>IFERROR(VLOOKUP($P5,'Model Output-LoanNameUpdate'!$A:$K,4,FALSE),CN5)</f>
        <v>8.8099999999999984E-3</v>
      </c>
      <c r="X5" s="332">
        <f>IFERROR(VLOOKUP($P5,'Model Output-LoanNameUpdate'!$A:$K,5,FALSE),CO5)</f>
        <v>9.1999999999999998E-3</v>
      </c>
      <c r="Y5" s="332">
        <f>IFERROR(VLOOKUP($P5,'Model Output-LoanNameUpdate'!$A:$K,6,FALSE),CP5)</f>
        <v>9.4549999999999999E-3</v>
      </c>
      <c r="Z5" s="207">
        <f t="shared" si="5"/>
        <v>0.87</v>
      </c>
      <c r="AA5" s="208">
        <f t="shared" si="6"/>
        <v>1.646794849439852E-3</v>
      </c>
      <c r="AB5" s="208">
        <f t="shared" si="7"/>
        <v>7.2427499999999992E-3</v>
      </c>
      <c r="AC5" s="208">
        <f t="shared" si="8"/>
        <v>7.6646999999999983E-3</v>
      </c>
      <c r="AD5" s="208">
        <f t="shared" si="9"/>
        <v>8.003999999999999E-3</v>
      </c>
      <c r="AE5" s="208">
        <f t="shared" si="10"/>
        <v>8.2258499999999998E-3</v>
      </c>
      <c r="AF5" s="332">
        <f>NORMSDIST((_xlfn.NORM.S.INV(AA5)-(SQRT(Baseline!$AF$11)*'MacroPD-Cal'!$R$2))/SQRT(1-Baseline!$AF$11))</f>
        <v>1.2213071921756953E-3</v>
      </c>
      <c r="AG5" s="332">
        <f>NORMSDIST((_xlfn.NORM.S.INV(AA5)-(SQRT(Baseline!$AF$11)*'MacroPD-Cal'!$R$3))/SQRT(1-Baseline!$AF$11))</f>
        <v>1.6606075674249908E-3</v>
      </c>
      <c r="AH5" s="332">
        <f>NORMSDIST((_xlfn.NORM.S.INV(AA5)-(SQRT(Baseline!$AF$11)*'MacroPD-Cal'!$R$4))/SQRT(1-Baseline!$AF$11))</f>
        <v>1.9159771326558287E-3</v>
      </c>
      <c r="AI5" s="332">
        <f>NORMSDIST((_xlfn.NORM.S.INV(AA5)-(SQRT(Baseline!$AF$11)*'MacroPD-Cal'!$R$5))/SQRT(1-Baseline!$AF$11))</f>
        <v>2.5664646263181636E-3</v>
      </c>
      <c r="AJ5" s="332">
        <f>NORMSDIST((_xlfn.NORM.S.INV(AB5)-(SQRT(Baseline!$AF$11)*'MacroPD-Cal'!$R$6))/SQRT(1-Baseline!$AF$11))</f>
        <v>4.436314165269563E-3</v>
      </c>
      <c r="AK5" s="332">
        <f>NORMSDIST((_xlfn.NORM.S.INV(AC5)-(SQRT(Baseline!$AF$11)*'MacroPD-Cal'!$R$7))/SQRT(1-Baseline!$AF$11))</f>
        <v>2.8697209098580605E-3</v>
      </c>
      <c r="AL5" s="332">
        <f>NORMSDIST((_xlfn.NORM.S.INV(AD5)-(SQRT(Baseline!$AF$11)*'MacroPD-Cal'!$R$8))/SQRT(1-Baseline!$AF$11))</f>
        <v>7.7120000910839157E-3</v>
      </c>
      <c r="AM5" s="332">
        <f>NORMSDIST((_xlfn.NORM.S.INV(AE5)-(SQRT(Baseline!$AF$11)*'MacroPD-Cal'!$R$9))/SQRT(1-Baseline!$AF$11))</f>
        <v>8.4447719640487716E-3</v>
      </c>
      <c r="AO5" s="360" t="s">
        <v>695</v>
      </c>
      <c r="AP5" s="283">
        <f>Baseline!$T96</f>
        <v>-0.83443300787730279</v>
      </c>
      <c r="AQ5" s="355">
        <f>NORMSDIST((_xlfn.NORM.S.INV(AA5)-(SQRT(Baseline!$AF$11)*'MacroPD-Cal'!$AP$2))/SQRT(1-Baseline!$AF$11))</f>
        <v>1.2722332866420666E-3</v>
      </c>
      <c r="AR5" s="355">
        <f>NORMSDIST((_xlfn.NORM.S.INV(AA5)-(SQRT(Baseline!$AF$11)*'MacroPD-Cal'!$AP$3))/SQRT(1-Baseline!$AF$11))</f>
        <v>1.5375827649687103E-3</v>
      </c>
      <c r="AS5" s="355">
        <f>NORMSDIST((_xlfn.NORM.S.INV(AA5)-(SQRT(Baseline!$AF$11)*'MacroPD-Cal'!$AP$4))/SQRT(1-Baseline!$AF$11))</f>
        <v>1.5752321926211857E-3</v>
      </c>
      <c r="AT5" s="355">
        <f>NORMSDIST((_xlfn.NORM.S.INV(AA5)-(SQRT(Baseline!$AF$11)*'MacroPD-Cal'!$AP$5))/SQRT(1-Baseline!$AF$11))</f>
        <v>2.154935429886103E-3</v>
      </c>
      <c r="AU5" s="355">
        <f>NORMSDIST((_xlfn.NORM.S.INV(AB5)-(SQRT(Baseline!$AF$11)*'MacroPD-Cal'!$AP$6))/SQRT(1-Baseline!$AF$11))</f>
        <v>2.837766568412108E-3</v>
      </c>
      <c r="AV5" s="355">
        <f>NORMSDIST((_xlfn.NORM.S.INV(AC5)-(SQRT(Baseline!$AF$11)*'MacroPD-Cal'!$AP$7))/SQRT(1-Baseline!$AF$11))</f>
        <v>4.0799530756744007E-3</v>
      </c>
      <c r="AW5" s="355">
        <f>NORMSDIST((_xlfn.NORM.S.INV(AD5)-(SQRT(Baseline!$AF$11)*'MacroPD-Cal'!$AP$8))/SQRT(1-Baseline!$AF$11))</f>
        <v>7.9091165656336171E-3</v>
      </c>
      <c r="AX5" s="355">
        <f>NORMSDIST((_xlfn.NORM.S.INV(AE5)-(SQRT(Baseline!$AF$11)*'MacroPD-Cal'!$AP$9))/SQRT(1-Baseline!$AF$11))</f>
        <v>9.301786419518298E-3</v>
      </c>
      <c r="AY5" s="355">
        <f t="shared" si="11"/>
        <v>1.2722332866420666E-3</v>
      </c>
      <c r="AZ5" s="355">
        <f t="shared" si="12"/>
        <v>2.8078598876362104E-3</v>
      </c>
      <c r="BA5" s="355">
        <f t="shared" si="13"/>
        <v>4.3786690489701074E-3</v>
      </c>
      <c r="BB5" s="355">
        <f t="shared" si="14"/>
        <v>6.5000000000000006E-3</v>
      </c>
      <c r="BC5" s="355"/>
      <c r="BD5" s="355"/>
      <c r="BE5" s="360" t="s">
        <v>695</v>
      </c>
      <c r="BF5" s="283">
        <f>SevAdv!$T96</f>
        <v>-1.2208268619584732</v>
      </c>
      <c r="BG5" s="355">
        <f>NORMSDIST((_xlfn.NORM.S.INV($AA5)-(SQRT(Baseline!$AF$11)*'MacroPD-Cal'!$BF$2))/SQRT(1-Baseline!$AF$11))</f>
        <v>1.1946079233923887E-3</v>
      </c>
      <c r="BH5" s="355">
        <f>NORMSDIST((_xlfn.NORM.S.INV($AA5)-(SQRT(Baseline!$AF$11)*'MacroPD-Cal'!$BF$3))/SQRT(1-Baseline!$AF$11))</f>
        <v>1.7798141589921981E-3</v>
      </c>
      <c r="BI5" s="355">
        <f>NORMSDIST((_xlfn.NORM.S.INV($AA5)-(SQRT(Baseline!$AF$11)*'MacroPD-Cal'!$BF$4))/SQRT(1-Baseline!$AF$11))</f>
        <v>2.7354590365739799E-3</v>
      </c>
      <c r="BJ5" s="355">
        <f>NORMSDIST((_xlfn.NORM.S.INV($AA5)-(SQRT(Baseline!$AF$11)*'MacroPD-Cal'!$BF$5))/SQRT(1-Baseline!$AF$11))</f>
        <v>3.753102972317411E-3</v>
      </c>
      <c r="BK5" s="355">
        <f>NORMSDIST((_xlfn.NORM.S.INV($AB5)-(SQRT(Baseline!$AF$11)*'MacroPD-Cal'!$BF$6))/SQRT(1-Baseline!$AF$11))</f>
        <v>1.7916374640853782E-2</v>
      </c>
      <c r="BL5" s="355">
        <f>NORMSDIST((_xlfn.NORM.S.INV($AC5)-(SQRT(Baseline!$AF$11)*'MacroPD-Cal'!$BF$7))/SQRT(1-Baseline!$AF$11))</f>
        <v>1.5346890841155638E-3</v>
      </c>
      <c r="BM5" s="355">
        <f>NORMSDIST((_xlfn.NORM.S.INV($AD5)-(SQRT(Baseline!$AF$11)*'MacroPD-Cal'!$BF$8))/SQRT(1-Baseline!$AF$11))</f>
        <v>4.4632367033432714E-3</v>
      </c>
      <c r="BN5" s="355">
        <f>NORMSDIST((_xlfn.NORM.S.INV($AE5)-(SQRT(Baseline!$AF$11)*'MacroPD-Cal'!$BF$9))/SQRT(1-Baseline!$AF$11))</f>
        <v>7.1310568542366009E-3</v>
      </c>
      <c r="BO5" s="355">
        <f t="shared" si="15"/>
        <v>1.1946079233923887E-3</v>
      </c>
      <c r="BP5" s="355">
        <f t="shared" si="16"/>
        <v>2.9722959022880913E-3</v>
      </c>
      <c r="BQ5" s="355">
        <f t="shared" si="17"/>
        <v>5.6996243451767903E-3</v>
      </c>
      <c r="BR5" s="355">
        <f t="shared" si="18"/>
        <v>9.4000000000000004E-3</v>
      </c>
      <c r="BS5" s="283"/>
      <c r="BT5" s="360" t="s">
        <v>695</v>
      </c>
      <c r="BU5" s="283">
        <f>Adv!$T96</f>
        <v>-1.120567415264236</v>
      </c>
      <c r="BV5" s="355">
        <f>NORMSDIST((_xlfn.NORM.S.INV($AA5)-(SQRT(Baseline!$AF$11)*'MacroPD-Cal'!$BU$2))/SQRT(1-Baseline!$AF$11))</f>
        <v>1.1419439599891583E-3</v>
      </c>
      <c r="BW5" s="355">
        <f>NORMSDIST((_xlfn.NORM.S.INV($AA5)-(SQRT(Baseline!$AF$11)*'MacroPD-Cal'!$BU$3))/SQRT(1-Baseline!$AF$11))</f>
        <v>1.8740313774423427E-3</v>
      </c>
      <c r="BX5" s="355">
        <f>NORMSDIST((_xlfn.NORM.S.INV($AA5)-(SQRT(Baseline!$AF$11)*'MacroPD-Cal'!$BU$4))/SQRT(1-Baseline!$AF$11))</f>
        <v>2.5285496383031744E-3</v>
      </c>
      <c r="BY5" s="355">
        <f>NORMSDIST((_xlfn.NORM.S.INV($AA5)-(SQRT(Baseline!$AF$11)*'MacroPD-Cal'!$BU$5))/SQRT(1-Baseline!$AF$11))</f>
        <v>3.2593253619817115E-3</v>
      </c>
      <c r="BZ5" s="355">
        <f>NORMSDIST((_xlfn.NORM.S.INV($AB5)-(SQRT(Baseline!$AF$11)*'MacroPD-Cal'!$BU$6))/SQRT(1-Baseline!$AF$11))</f>
        <v>7.4367462225631018E-3</v>
      </c>
      <c r="CA5" s="355">
        <f>NORMSDIST((_xlfn.NORM.S.INV($AC5)-(SQRT(Baseline!$AF$11)*'MacroPD-Cal'!$BU10))/SQRT(1-Baseline!$AF$11))</f>
        <v>3.7096389677638429E-3</v>
      </c>
      <c r="CB5" s="355">
        <f>NORMSDIST((_xlfn.NORM.S.INV($AD5)-(SQRT(Baseline!$AF$11)*'MacroPD-Cal'!$BU$8))/SQRT(1-Baseline!$AF$11))</f>
        <v>7.9653439693631728E-3</v>
      </c>
      <c r="CC5" s="355">
        <f>NORMSDIST((_xlfn.NORM.S.INV($AE5)-(SQRT(Baseline!$AF$11)*'MacroPD-Cal'!$BU$9))/SQRT(1-Baseline!$AF$11))</f>
        <v>7.3120147983216886E-3</v>
      </c>
      <c r="CD5" s="355">
        <f t="shared" si="19"/>
        <v>1.1419439599891583E-3</v>
      </c>
      <c r="CE5" s="355">
        <f t="shared" si="20"/>
        <v>3.0138352986192052E-3</v>
      </c>
      <c r="CF5" s="355">
        <f t="shared" si="21"/>
        <v>5.5347643047681805E-3</v>
      </c>
      <c r="CG5" s="355">
        <f t="shared" si="22"/>
        <v>8.7000000000000011E-3</v>
      </c>
      <c r="CH5" s="283"/>
      <c r="CI5" s="355"/>
      <c r="CL5" s="168"/>
      <c r="CM5" s="168"/>
      <c r="CN5" s="168"/>
      <c r="CO5" s="168"/>
      <c r="CP5" s="168"/>
      <c r="CR5" s="345">
        <f t="shared" si="23"/>
        <v>0.167302355092561</v>
      </c>
      <c r="CS5" s="345">
        <f t="shared" si="24"/>
        <v>0.39450502022401052</v>
      </c>
      <c r="CT5" s="345">
        <f t="shared" si="25"/>
        <v>0.65621177853828805</v>
      </c>
      <c r="CU5" s="345">
        <f t="shared" si="26"/>
        <v>1</v>
      </c>
      <c r="CW5" s="332" t="s">
        <v>5368</v>
      </c>
      <c r="CX5" s="355">
        <f>AVERAGEIF($B:$B,1,CU:CU)</f>
        <v>1</v>
      </c>
      <c r="CY5" s="355">
        <v>1</v>
      </c>
    </row>
    <row r="6" spans="1:103" s="166" customFormat="1" x14ac:dyDescent="0.25">
      <c r="A6" s="464">
        <v>1100000205</v>
      </c>
      <c r="B6" s="470">
        <f>VLOOKUP(A6,'Ref-Data'!A:I,9,FALSE)</f>
        <v>1</v>
      </c>
      <c r="C6" s="445">
        <f>IF(B6="Matured","",VLOOKUP(A6,'Adjustment Factor'!A:C,3,0))</f>
        <v>0.66190383661082652</v>
      </c>
      <c r="D6" s="190">
        <f>VLOOKUP(A6,'Ref-Data'!A:C,2,FALSE)</f>
        <v>2016664.01</v>
      </c>
      <c r="E6" s="471">
        <f>IFERROR(IF(VLOOKUP(A6,'Updated Ncino PD'!$A:$K,4,0)=0,"",VLOOKUP(A6,'Updated Ncino PD'!$A:$K,4,0)),AF6)</f>
        <v>1.7494248871209371E-3</v>
      </c>
      <c r="F6" s="472">
        <f>IFERROR(IF(VLOOKUP(A6,'Updated Ncino PD'!$A:$K,5,0)=0,"",VLOOKUP(A6,'Updated Ncino PD'!$A:$K,5,0)),1-((1-AG6)*(1-E6)))</f>
        <v>4.1012418054688915E-3</v>
      </c>
      <c r="G6" s="472">
        <f>IFERROR(IF(VLOOKUP(A6,'Updated Ncino PD'!$A:$K,6,0)=0,"",VLOOKUP(A6,'Updated Ncino PD'!$A:$K,6,0)),1-((1-AF6)*(1-AG6)*(1-AH6)))</f>
        <v>6.7960350200328978E-3</v>
      </c>
      <c r="H6" s="472">
        <f>IFERROR(IF(VLOOKUP(A6,'Updated Ncino PD'!$A:$K,7,0)=0,"",VLOOKUP(A6,'Updated Ncino PD'!$A:$K,7,0)),IFERROR(VLOOKUP(A6,'Updated Ncino PD'!A:B,2,FALSE),FLOOR(1-((1-AG6)*(1-AH6)*(1-AI6)*(1-AF6)),$R$11)))</f>
        <v>1.03E-2</v>
      </c>
      <c r="I6" s="472">
        <f>IFERROR(IF(VLOOKUP(A6,'Updated Ncino PD'!$A:$K,8,0)=0,"",VLOOKUP(A6,'Updated Ncino PD'!$A:$K,8,0)),FLOOR(1-((1-H6)*(1-AJ6)),$R$11))</f>
        <v>1.5700000000000002E-2</v>
      </c>
      <c r="J6" s="472">
        <f>IFERROR(IF(VLOOKUP(A6,'Updated Ncino PD'!$A:$K,9,0)=0,"",VLOOKUP(A6,'Updated Ncino PD'!$A:$K,9,0)),FLOOR(1-((1-H6)*(1-AJ6)*(1-AK6)),$R$11))</f>
        <v>1.89E-2</v>
      </c>
      <c r="K6" s="472">
        <f>IFERROR(IF(VLOOKUP(A6,'Updated Ncino PD'!$A:$K,10,0)=0,"",VLOOKUP(A6,'Updated Ncino PD'!$A:$K,10,0)),FLOOR(1-((1-H6)*(1-AJ6)*(1-AK6)*(1-AL6)),$R$11))</f>
        <v>2.6800000000000001E-2</v>
      </c>
      <c r="L6" s="472">
        <f>IFERROR(IF(VLOOKUP(A6,'Updated Ncino PD'!$A:$K,11,0)=0,"",VLOOKUP(A6,'Updated Ncino PD'!$A:$K,11,0)),FLOOR(1-((1-H6)*(1-AJ6)*(1-AK6)*(1-AL6)*(1-AM6)),$R$11))</f>
        <v>3.5099999999999999E-2</v>
      </c>
      <c r="M6" s="224">
        <f>VLOOKUP(A6,'Ref-Data'!$A:$F,6,FALSE)</f>
        <v>1.2046543463381245</v>
      </c>
      <c r="N6" s="191">
        <f t="shared" si="3"/>
        <v>1.03E-2</v>
      </c>
      <c r="O6" s="191">
        <f t="shared" si="4"/>
        <v>1.5700000000000002E-2</v>
      </c>
      <c r="P6" s="459" t="str">
        <f>VLOOKUP(A6,'Loan Book Summary'!C:G,5,FALSE)</f>
        <v>0015800000dRt2K</v>
      </c>
      <c r="Q6" s="166" t="s">
        <v>696</v>
      </c>
      <c r="R6" s="209">
        <f>Baseline!$T97*Baseline!$AB$14+SevAdv!$T97*Baseline!$AB$15+Adv!$T97*Baseline!$AB$16</f>
        <v>-0.17740855246187959</v>
      </c>
      <c r="S6" s="203"/>
      <c r="T6" s="332">
        <f>IFERROR(VLOOKUP($P6,'Model Output-LoanNameUpdate'!$A:$K,2,FALSE),CL6)</f>
        <v>1.3599999999999999E-2</v>
      </c>
      <c r="U6" s="332">
        <f>1-(1-IFERROR(VLOOKUP($P6,'Model Output-LoanNameUpdate'!$A:$K,2,FALSE),CL6))^(1/4)</f>
        <v>3.4174788634857567E-3</v>
      </c>
      <c r="V6" s="332">
        <f>IFERROR(VLOOKUP($P6,'Model Output-LoanNameUpdate'!$A:$K,3,FALSE),CM6)</f>
        <v>1.3094999999999999E-2</v>
      </c>
      <c r="W6" s="332">
        <f>IFERROR(VLOOKUP($P6,'Model Output-LoanNameUpdate'!$A:$K,4,FALSE),CN6)</f>
        <v>1.286E-2</v>
      </c>
      <c r="X6" s="332">
        <f>IFERROR(VLOOKUP($P6,'Model Output-LoanNameUpdate'!$A:$K,5,FALSE),CO6)</f>
        <v>1.2644999999999998E-2</v>
      </c>
      <c r="Y6" s="332">
        <f>IFERROR(VLOOKUP($P6,'Model Output-LoanNameUpdate'!$A:$K,6,FALSE),CP6)</f>
        <v>1.2539999999999999E-2</v>
      </c>
      <c r="Z6" s="207">
        <f t="shared" si="5"/>
        <v>0.66190383661082652</v>
      </c>
      <c r="AA6" s="208">
        <f t="shared" si="6"/>
        <v>2.2620423712776294E-3</v>
      </c>
      <c r="AB6" s="208">
        <f t="shared" si="7"/>
        <v>8.6676307404187723E-3</v>
      </c>
      <c r="AC6" s="208">
        <f t="shared" si="8"/>
        <v>8.5120833388152295E-3</v>
      </c>
      <c r="AD6" s="208">
        <f t="shared" si="9"/>
        <v>8.3697740139438998E-3</v>
      </c>
      <c r="AE6" s="208">
        <f t="shared" si="10"/>
        <v>8.3002741110997647E-3</v>
      </c>
      <c r="AF6" s="332">
        <f>NORMSDIST((_xlfn.NORM.S.INV(AA6)-(SQRT(Baseline!$AF$11)*'MacroPD-Cal'!$R$2))/SQRT(1-Baseline!$AF$11))</f>
        <v>1.7494248871209371E-3</v>
      </c>
      <c r="AG6" s="332">
        <f>NORMSDIST((_xlfn.NORM.S.INV(AA6)-(SQRT(Baseline!$AF$11)*'MacroPD-Cal'!$R$3))/SQRT(1-Baseline!$AF$11))</f>
        <v>2.355938455714887E-3</v>
      </c>
      <c r="AH6" s="332">
        <f>NORMSDIST((_xlfn.NORM.S.INV(AA6)-(SQRT(Baseline!$AF$11)*'MacroPD-Cal'!$R$4))/SQRT(1-Baseline!$AF$11))</f>
        <v>2.70589072673352E-3</v>
      </c>
      <c r="AI6" s="332">
        <f>NORMSDIST((_xlfn.NORM.S.INV(AA6)-(SQRT(Baseline!$AF$11)*'MacroPD-Cal'!$R$5))/SQRT(1-Baseline!$AF$11))</f>
        <v>3.5904105959966184E-3</v>
      </c>
      <c r="AJ6" s="332">
        <f>NORMSDIST((_xlfn.NORM.S.INV(AB6)-(SQRT(Baseline!$AF$11)*'MacroPD-Cal'!$R$6))/SQRT(1-Baseline!$AF$11))</f>
        <v>5.4698486985220807E-3</v>
      </c>
      <c r="AK6" s="332">
        <f>NORMSDIST((_xlfn.NORM.S.INV(AC6)-(SQRT(Baseline!$AF$11)*'MacroPD-Cal'!$R$7))/SQRT(1-Baseline!$AF$11))</f>
        <v>3.2641572108408922E-3</v>
      </c>
      <c r="AL6" s="332">
        <f>NORMSDIST((_xlfn.NORM.S.INV(AD6)-(SQRT(Baseline!$AF$11)*'MacroPD-Cal'!$R$8))/SQRT(1-Baseline!$AF$11))</f>
        <v>8.1037921617215705E-3</v>
      </c>
      <c r="AM6" s="332">
        <f>NORMSDIST((_xlfn.NORM.S.INV(AE6)-(SQRT(Baseline!$AF$11)*'MacroPD-Cal'!$R$9))/SQRT(1-Baseline!$AF$11))</f>
        <v>8.5289104571917018E-3</v>
      </c>
      <c r="AO6" s="355" t="s">
        <v>696</v>
      </c>
      <c r="AP6" s="283">
        <f>Baseline!$T97</f>
        <v>0.14069369684763899</v>
      </c>
      <c r="AQ6" s="355">
        <f>NORMSDIST((_xlfn.NORM.S.INV(AA6)-(SQRT(Baseline!$AF$11)*'MacroPD-Cal'!$AP$2))/SQRT(1-Baseline!$AF$11))</f>
        <v>1.820068938573037E-3</v>
      </c>
      <c r="AR6" s="355">
        <f>NORMSDIST((_xlfn.NORM.S.INV(AA6)-(SQRT(Baseline!$AF$11)*'MacroPD-Cal'!$AP$3))/SQRT(1-Baseline!$AF$11))</f>
        <v>2.1867047092881016E-3</v>
      </c>
      <c r="AS6" s="355">
        <f>NORMSDIST((_xlfn.NORM.S.INV(AA6)-(SQRT(Baseline!$AF$11)*'MacroPD-Cal'!$AP$4))/SQRT(1-Baseline!$AF$11))</f>
        <v>2.2385428612332562E-3</v>
      </c>
      <c r="AT6" s="355">
        <f>NORMSDIST((_xlfn.NORM.S.INV(AA6)-(SQRT(Baseline!$AF$11)*'MacroPD-Cal'!$AP$5))/SQRT(1-Baseline!$AF$11))</f>
        <v>3.0318860622190755E-3</v>
      </c>
      <c r="AU6" s="355">
        <f>NORMSDIST((_xlfn.NORM.S.INV(AB6)-(SQRT(Baseline!$AF$11)*'MacroPD-Cal'!$AP$6))/SQRT(1-Baseline!$AF$11))</f>
        <v>3.5336441845275875E-3</v>
      </c>
      <c r="AV6" s="355">
        <f>NORMSDIST((_xlfn.NORM.S.INV(AC6)-(SQRT(Baseline!$AF$11)*'MacroPD-Cal'!$AP$7))/SQRT(1-Baseline!$AF$11))</f>
        <v>4.6196936619259128E-3</v>
      </c>
      <c r="AW6" s="355">
        <f>NORMSDIST((_xlfn.NORM.S.INV(AD6)-(SQRT(Baseline!$AF$11)*'MacroPD-Cal'!$AP$8))/SQRT(1-Baseline!$AF$11))</f>
        <v>8.3096724544425415E-3</v>
      </c>
      <c r="AX6" s="355">
        <f>NORMSDIST((_xlfn.NORM.S.INV(AE6)-(SQRT(Baseline!$AF$11)*'MacroPD-Cal'!$AP$9))/SQRT(1-Baseline!$AF$11))</f>
        <v>9.3933566477029055E-3</v>
      </c>
      <c r="AY6" s="355">
        <f t="shared" si="11"/>
        <v>1.820068938573037E-3</v>
      </c>
      <c r="AZ6" s="355">
        <f t="shared" si="12"/>
        <v>4.0027936945418174E-3</v>
      </c>
      <c r="BA6" s="355">
        <f t="shared" si="13"/>
        <v>6.2323761305251857E-3</v>
      </c>
      <c r="BB6" s="355">
        <f t="shared" si="14"/>
        <v>9.1999999999999998E-3</v>
      </c>
      <c r="BC6" s="355"/>
      <c r="BD6" s="355"/>
      <c r="BE6" s="355" t="s">
        <v>696</v>
      </c>
      <c r="BF6" s="283">
        <f>SevAdv!$T97</f>
        <v>-1.2832345618485506</v>
      </c>
      <c r="BG6" s="355">
        <f>NORMSDIST((_xlfn.NORM.S.INV($AA6)-(SQRT(Baseline!$AF$11)*'MacroPD-Cal'!$BF$2))/SQRT(1-Baseline!$AF$11))</f>
        <v>1.7123490196014847E-3</v>
      </c>
      <c r="BH6" s="355">
        <f>NORMSDIST((_xlfn.NORM.S.INV($AA6)-(SQRT(Baseline!$AF$11)*'MacroPD-Cal'!$BF$3))/SQRT(1-Baseline!$AF$11))</f>
        <v>2.5195108231348836E-3</v>
      </c>
      <c r="BI6" s="355">
        <f>NORMSDIST((_xlfn.NORM.S.INV($AA6)-(SQRT(Baseline!$AF$11)*'MacroPD-Cal'!$BF$4))/SQRT(1-Baseline!$AF$11))</f>
        <v>3.8188177317145791E-3</v>
      </c>
      <c r="BJ6" s="355">
        <f>NORMSDIST((_xlfn.NORM.S.INV($AA6)-(SQRT(Baseline!$AF$11)*'MacroPD-Cal'!$BF$5))/SQRT(1-Baseline!$AF$11))</f>
        <v>5.1844330845994676E-3</v>
      </c>
      <c r="BK6" s="355">
        <f>NORMSDIST((_xlfn.NORM.S.INV($AB6)-(SQRT(Baseline!$AF$11)*'MacroPD-Cal'!$BF$6))/SQRT(1-Baseline!$AF$11))</f>
        <v>2.1355959587945325E-2</v>
      </c>
      <c r="BL6" s="355">
        <f>NORMSDIST((_xlfn.NORM.S.INV($AC6)-(SQRT(Baseline!$AF$11)*'MacroPD-Cal'!$BF$7))/SQRT(1-Baseline!$AF$11))</f>
        <v>1.7592235323406677E-3</v>
      </c>
      <c r="BM6" s="355">
        <f>NORMSDIST((_xlfn.NORM.S.INV($AD6)-(SQRT(Baseline!$AF$11)*'MacroPD-Cal'!$BF$8))/SQRT(1-Baseline!$AF$11))</f>
        <v>4.7048729637683652E-3</v>
      </c>
      <c r="BN6" s="355">
        <f>NORMSDIST((_xlfn.NORM.S.INV($AE6)-(SQRT(Baseline!$AF$11)*'MacroPD-Cal'!$BF$9))/SQRT(1-Baseline!$AF$11))</f>
        <v>7.2035709699340474E-3</v>
      </c>
      <c r="BO6" s="355">
        <f t="shared" si="15"/>
        <v>1.7123490196014847E-3</v>
      </c>
      <c r="BP6" s="355">
        <f t="shared" si="16"/>
        <v>4.227545560848478E-3</v>
      </c>
      <c r="BQ6" s="355">
        <f t="shared" si="17"/>
        <v>8.0302190666136086E-3</v>
      </c>
      <c r="BR6" s="355">
        <f t="shared" si="18"/>
        <v>1.3100000000000001E-2</v>
      </c>
      <c r="BS6" s="283"/>
      <c r="BT6" s="355" t="s">
        <v>696</v>
      </c>
      <c r="BU6" s="283">
        <f>Adv!$T97</f>
        <v>-0.56475154993724419</v>
      </c>
      <c r="BV6" s="355">
        <f>NORMSDIST((_xlfn.NORM.S.INV($AA6)-(SQRT(Baseline!$AF$11)*'MacroPD-Cal'!$BU$2))/SQRT(1-Baseline!$AF$11))</f>
        <v>1.6391360301603105E-3</v>
      </c>
      <c r="BW6" s="355">
        <f>NORMSDIST((_xlfn.NORM.S.INV($AA6)-(SQRT(Baseline!$AF$11)*'MacroPD-Cal'!$BU$3))/SQRT(1-Baseline!$AF$11))</f>
        <v>2.6485256849002868E-3</v>
      </c>
      <c r="BX6" s="355">
        <f>NORMSDIST((_xlfn.NORM.S.INV($AA6)-(SQRT(Baseline!$AF$11)*'MacroPD-Cal'!$BU$4))/SQRT(1-Baseline!$AF$11))</f>
        <v>3.5390934989770911E-3</v>
      </c>
      <c r="BY6" s="355">
        <f>NORMSDIST((_xlfn.NORM.S.INV($AA6)-(SQRT(Baseline!$AF$11)*'MacroPD-Cal'!$BU$5))/SQRT(1-Baseline!$AF$11))</f>
        <v>4.5237670730609294E-3</v>
      </c>
      <c r="BZ6" s="355">
        <f>NORMSDIST((_xlfn.NORM.S.INV($AB6)-(SQRT(Baseline!$AF$11)*'MacroPD-Cal'!$BU$6))/SQRT(1-Baseline!$AF$11))</f>
        <v>9.0603933109358343E-3</v>
      </c>
      <c r="CA6" s="355">
        <f>NORMSDIST((_xlfn.NORM.S.INV($AC6)-(SQRT(Baseline!$AF$11)*'MacroPD-Cal'!$BU11))/SQRT(1-Baseline!$AF$11))</f>
        <v>4.2050327959720782E-3</v>
      </c>
      <c r="CB6" s="355">
        <f>NORMSDIST((_xlfn.NORM.S.INV($AD6)-(SQRT(Baseline!$AF$11)*'MacroPD-Cal'!$BU$8))/SQRT(1-Baseline!$AF$11))</f>
        <v>8.3683935105041858E-3</v>
      </c>
      <c r="CC6" s="355">
        <f>NORMSDIST((_xlfn.NORM.S.INV($AE6)-(SQRT(Baseline!$AF$11)*'MacroPD-Cal'!$BU$9))/SQRT(1-Baseline!$AF$11))</f>
        <v>7.3861480623324443E-3</v>
      </c>
      <c r="CD6" s="355">
        <f t="shared" si="19"/>
        <v>1.6391360301603105E-3</v>
      </c>
      <c r="CE6" s="355">
        <f t="shared" si="20"/>
        <v>4.2833204211836229E-3</v>
      </c>
      <c r="CF6" s="355">
        <f t="shared" si="21"/>
        <v>7.8072548487040372E-3</v>
      </c>
      <c r="CG6" s="355">
        <f t="shared" si="22"/>
        <v>1.2200000000000001E-2</v>
      </c>
      <c r="CH6" s="283"/>
      <c r="CI6" s="355"/>
      <c r="CL6" s="168"/>
      <c r="CM6" s="168"/>
      <c r="CN6" s="168"/>
      <c r="CO6" s="168"/>
      <c r="CP6" s="168"/>
      <c r="CR6" s="345">
        <f t="shared" si="23"/>
        <v>0.16984707641950847</v>
      </c>
      <c r="CS6" s="345">
        <f t="shared" si="24"/>
        <v>0.39817881606494093</v>
      </c>
      <c r="CT6" s="345">
        <f t="shared" si="25"/>
        <v>0.65980922524591246</v>
      </c>
      <c r="CU6" s="345">
        <f t="shared" si="26"/>
        <v>1</v>
      </c>
    </row>
    <row r="7" spans="1:103" s="166" customFormat="1" x14ac:dyDescent="0.25">
      <c r="A7" s="464">
        <v>1100000168</v>
      </c>
      <c r="B7" s="470">
        <f>VLOOKUP(A7,'Ref-Data'!A:I,9,FALSE)</f>
        <v>1</v>
      </c>
      <c r="C7" s="445">
        <f>IF(B7="Matured","",VLOOKUP(A7,'Adjustment Factor'!A:C,3,0))</f>
        <v>0.71935355830559344</v>
      </c>
      <c r="D7" s="190">
        <f>VLOOKUP(A7,'Ref-Data'!A:C,2,FALSE)</f>
        <v>6474308</v>
      </c>
      <c r="E7" s="471">
        <f>IFERROR(IF(VLOOKUP(A7,'Updated Ncino PD'!$A:$K,4,0)=0,"",VLOOKUP(A7,'Updated Ncino PD'!$A:$K,4,0)),AF7)</f>
        <v>2.1236868484003208E-2</v>
      </c>
      <c r="F7" s="472">
        <f>IFERROR(IF(VLOOKUP(A7,'Updated Ncino PD'!$A:$K,5,0)=0,"",VLOOKUP(A7,'Updated Ncino PD'!$A:$K,5,0)),1-((1-AG7)*(1-E7)))</f>
        <v>4.7180363155235772E-2</v>
      </c>
      <c r="G7" s="472">
        <f>IFERROR(IF(VLOOKUP(A7,'Updated Ncino PD'!$A:$K,6,0)=0,"",VLOOKUP(A7,'Updated Ncino PD'!$A:$K,6,0)),1-((1-AF7)*(1-AG7)*(1-AH7)))</f>
        <v>7.5162968758901605E-2</v>
      </c>
      <c r="H7" s="472">
        <f>IFERROR(IF(VLOOKUP(A7,'Updated Ncino PD'!$A:$K,7,0)=0,"",VLOOKUP(A7,'Updated Ncino PD'!$A:$K,7,0)),IFERROR(VLOOKUP(A7,'Updated Ncino PD'!A:B,2,FALSE),FLOOR(1-((1-AG7)*(1-AH7)*(1-AI7)*(1-AF7)),$R$11)))</f>
        <v>0.1086</v>
      </c>
      <c r="I7" s="472">
        <f>IFERROR(IF(VLOOKUP(A7,'Updated Ncino PD'!$A:$K,8,0)=0,"",VLOOKUP(A7,'Updated Ncino PD'!$A:$K,8,0)),FLOOR(1-((1-H7)*(1-AJ7)),$R$11))</f>
        <v>0.15670000000000001</v>
      </c>
      <c r="J7" s="472">
        <f>IFERROR(IF(VLOOKUP(A7,'Updated Ncino PD'!$A:$K,9,0)=0,"",VLOOKUP(A7,'Updated Ncino PD'!$A:$K,9,0)),FLOOR(1-((1-H7)*(1-AJ7)*(1-AK7)),$R$11))</f>
        <v>0.1835</v>
      </c>
      <c r="K7" s="472">
        <f>IFERROR(IF(VLOOKUP(A7,'Updated Ncino PD'!$A:$K,10,0)=0,"",VLOOKUP(A7,'Updated Ncino PD'!$A:$K,10,0)),FLOOR(1-((1-H7)*(1-AJ7)*(1-AK7)*(1-AL7)),$R$11))</f>
        <v>0.22920000000000001</v>
      </c>
      <c r="L7" s="472">
        <f>IFERROR(IF(VLOOKUP(A7,'Updated Ncino PD'!$A:$K,11,0)=0,"",VLOOKUP(A7,'Updated Ncino PD'!$A:$K,11,0)),FLOOR(1-((1-H7)*(1-AJ7)*(1-AK7)*(1-AL7)*(1-AM7)),$R$11))</f>
        <v>0.27060000000000001</v>
      </c>
      <c r="M7" s="224">
        <f>VLOOKUP(A7,'Ref-Data'!$A:$F,6,FALSE)</f>
        <v>2.9158110882956878</v>
      </c>
      <c r="N7" s="191">
        <f t="shared" si="3"/>
        <v>0.1086</v>
      </c>
      <c r="O7" s="191">
        <f t="shared" si="4"/>
        <v>0.1835</v>
      </c>
      <c r="P7" s="459" t="str">
        <f>VLOOKUP(A7,'Loan Book Summary'!C:G,5,FALSE)</f>
        <v>0015800001Eo5rw</v>
      </c>
      <c r="Q7" s="166" t="s">
        <v>747</v>
      </c>
      <c r="R7" s="209">
        <f>Baseline!$T98*Baseline!$AB$14+SevAdv!$T98*Baseline!$AB$15+Adv!$T98*Baseline!$AB$16</f>
        <v>0.18119313507155629</v>
      </c>
      <c r="S7" s="203"/>
      <c r="T7" s="332">
        <f>IFERROR(VLOOKUP($P7,'Model Output-LoanNameUpdate'!$A:$K,2,FALSE),CL7)</f>
        <v>0.11214499999999999</v>
      </c>
      <c r="U7" s="332">
        <f>1-(1-IFERROR(VLOOKUP($P7,'Model Output-LoanNameUpdate'!$A:$K,2,FALSE),CL7))^(1/4)</f>
        <v>2.9298923627888218E-2</v>
      </c>
      <c r="V7" s="332">
        <f>IFERROR(VLOOKUP($P7,'Model Output-LoanNameUpdate'!$A:$K,3,FALSE),CM7)</f>
        <v>8.7529999999999997E-2</v>
      </c>
      <c r="W7" s="332">
        <f>IFERROR(VLOOKUP($P7,'Model Output-LoanNameUpdate'!$A:$K,4,FALSE),CN7)</f>
        <v>7.5595000000000009E-2</v>
      </c>
      <c r="X7" s="332">
        <f>IFERROR(VLOOKUP($P7,'Model Output-LoanNameUpdate'!$A:$K,5,FALSE),CO7)</f>
        <v>6.8144999999999997E-2</v>
      </c>
      <c r="Y7" s="332">
        <f>IFERROR(VLOOKUP($P7,'Model Output-LoanNameUpdate'!$A:$K,6,FALSE),CP7)</f>
        <v>6.2839999999999993E-2</v>
      </c>
      <c r="Z7" s="207">
        <f t="shared" si="5"/>
        <v>0.71935355830559344</v>
      </c>
      <c r="AA7" s="208">
        <f t="shared" si="6"/>
        <v>2.1076284966245216E-2</v>
      </c>
      <c r="AB7" s="208">
        <f t="shared" si="7"/>
        <v>6.2965016958488593E-2</v>
      </c>
      <c r="AC7" s="208">
        <f t="shared" si="8"/>
        <v>5.4379532240111342E-2</v>
      </c>
      <c r="AD7" s="208">
        <f t="shared" si="9"/>
        <v>4.9020348230734666E-2</v>
      </c>
      <c r="AE7" s="208">
        <f t="shared" si="10"/>
        <v>4.5204177603923486E-2</v>
      </c>
      <c r="AF7" s="332">
        <f>NORMSDIST((_xlfn.NORM.S.INV(AA7)-(SQRT(Baseline!$AF$11)*'MacroPD-Cal'!$R$2))/SQRT(1-Baseline!$AF$11))</f>
        <v>2.1236868484003208E-2</v>
      </c>
      <c r="AG7" s="332">
        <f>NORMSDIST((_xlfn.NORM.S.INV(AA7)-(SQRT(Baseline!$AF$11)*'MacroPD-Cal'!$R$3))/SQRT(1-Baseline!$AF$11))</f>
        <v>2.6506407766962933E-2</v>
      </c>
      <c r="AH7" s="332">
        <f>NORMSDIST((_xlfn.NORM.S.INV(AA7)-(SQRT(Baseline!$AF$11)*'MacroPD-Cal'!$R$4))/SQRT(1-Baseline!$AF$11))</f>
        <v>2.9368208338284695E-2</v>
      </c>
      <c r="AI7" s="332">
        <f>NORMSDIST((_xlfn.NORM.S.INV(AA7)-(SQRT(Baseline!$AF$11)*'MacroPD-Cal'!$R$5))/SQRT(1-Baseline!$AF$11))</f>
        <v>3.6163196512279928E-2</v>
      </c>
      <c r="AJ7" s="332">
        <f>NORMSDIST((_xlfn.NORM.S.INV(AB7)-(SQRT(Baseline!$AF$11)*'MacroPD-Cal'!$R$6))/SQRT(1-Baseline!$AF$11))</f>
        <v>5.4041493419748579E-2</v>
      </c>
      <c r="AK7" s="332">
        <f>NORMSDIST((_xlfn.NORM.S.INV(AC7)-(SQRT(Baseline!$AF$11)*'MacroPD-Cal'!$R$7))/SQRT(1-Baseline!$AF$11))</f>
        <v>3.1727559510730037E-2</v>
      </c>
      <c r="AL7" s="332">
        <f>NORMSDIST((_xlfn.NORM.S.INV(AD7)-(SQRT(Baseline!$AF$11)*'MacroPD-Cal'!$R$8))/SQRT(1-Baseline!$AF$11))</f>
        <v>5.5999041817374778E-2</v>
      </c>
      <c r="AM7" s="332">
        <f>NORMSDIST((_xlfn.NORM.S.INV(AE7)-(SQRT(Baseline!$AF$11)*'MacroPD-Cal'!$R$9))/SQRT(1-Baseline!$AF$11))</f>
        <v>5.3696735031008767E-2</v>
      </c>
      <c r="AO7" s="355" t="s">
        <v>747</v>
      </c>
      <c r="AP7" s="283">
        <f>Baseline!$T98</f>
        <v>-6.8372255093414519E-2</v>
      </c>
      <c r="AQ7" s="355">
        <f>NORMSDIST((_xlfn.NORM.S.INV(AA7)-(SQRT(Baseline!$AF$11)*'MacroPD-Cal'!$AP$2))/SQRT(1-Baseline!$AF$11))</f>
        <v>2.1874388898024094E-2</v>
      </c>
      <c r="AR7" s="355">
        <f>NORMSDIST((_xlfn.NORM.S.INV(AA7)-(SQRT(Baseline!$AF$11)*'MacroPD-Cal'!$AP$3))/SQRT(1-Baseline!$AF$11))</f>
        <v>2.507924662829715E-2</v>
      </c>
      <c r="AS7" s="355">
        <f>NORMSDIST((_xlfn.NORM.S.INV(AA7)-(SQRT(Baseline!$AF$11)*'MacroPD-Cal'!$AP$4))/SQRT(1-Baseline!$AF$11))</f>
        <v>2.5519635152787115E-2</v>
      </c>
      <c r="AT7" s="355">
        <f>NORMSDIST((_xlfn.NORM.S.INV(AA7)-(SQRT(Baseline!$AF$11)*'MacroPD-Cal'!$AP$5))/SQRT(1-Baseline!$AF$11))</f>
        <v>3.1938969869301698E-2</v>
      </c>
      <c r="AU7" s="355">
        <f>NORMSDIST((_xlfn.NORM.S.INV(AB7)-(SQRT(Baseline!$AF$11)*'MacroPD-Cal'!$AP$6))/SQRT(1-Baseline!$AF$11))</f>
        <v>3.9552125375792828E-2</v>
      </c>
      <c r="AV7" s="355">
        <f>NORMSDIST((_xlfn.NORM.S.INV(AC7)-(SQRT(Baseline!$AF$11)*'MacroPD-Cal'!$AP$7))/SQRT(1-Baseline!$AF$11))</f>
        <v>4.1011898029695334E-2</v>
      </c>
      <c r="AW7" s="355">
        <f>NORMSDIST((_xlfn.NORM.S.INV(AD7)-(SQRT(Baseline!$AF$11)*'MacroPD-Cal'!$AP$8))/SQRT(1-Baseline!$AF$11))</f>
        <v>5.704297208833168E-2</v>
      </c>
      <c r="AX7" s="355">
        <f>NORMSDIST((_xlfn.NORM.S.INV(AE7)-(SQRT(Baseline!$AF$11)*'MacroPD-Cal'!$AP$9))/SQRT(1-Baseline!$AF$11))</f>
        <v>5.77093584829068E-2</v>
      </c>
      <c r="AY7" s="355">
        <f t="shared" si="11"/>
        <v>2.1874388898024094E-2</v>
      </c>
      <c r="AZ7" s="355">
        <f t="shared" si="12"/>
        <v>4.6405042332304469E-2</v>
      </c>
      <c r="BA7" s="355">
        <f t="shared" si="13"/>
        <v>7.0740437735521522E-2</v>
      </c>
      <c r="BB7" s="355">
        <f t="shared" si="14"/>
        <v>0.1004</v>
      </c>
      <c r="BC7" s="355"/>
      <c r="BD7" s="355"/>
      <c r="BE7" s="355" t="s">
        <v>747</v>
      </c>
      <c r="BF7" s="283">
        <f>SevAdv!$T98</f>
        <v>0.60464365889132377</v>
      </c>
      <c r="BG7" s="355">
        <f>NORMSDIST((_xlfn.NORM.S.INV($AA7)-(SQRT(Baseline!$AF$11)*'MacroPD-Cal'!$BF$2))/SQRT(1-Baseline!$AF$11))</f>
        <v>2.089942504812993E-2</v>
      </c>
      <c r="BH7" s="355">
        <f>NORMSDIST((_xlfn.NORM.S.INV($AA7)-(SQRT(Baseline!$AF$11)*'MacroPD-Cal'!$BF$3))/SQRT(1-Baseline!$AF$11))</f>
        <v>2.7858245372714165E-2</v>
      </c>
      <c r="BI7" s="355">
        <f>NORMSDIST((_xlfn.NORM.S.INV($AA7)-(SQRT(Baseline!$AF$11)*'MacroPD-Cal'!$BF$4))/SQRT(1-Baseline!$AF$11))</f>
        <v>3.783344975869362E-2</v>
      </c>
      <c r="BJ7" s="355">
        <f>NORMSDIST((_xlfn.NORM.S.INV($AA7)-(SQRT(Baseline!$AF$11)*'MacroPD-Cal'!$BF$5))/SQRT(1-Baseline!$AF$11))</f>
        <v>4.7262448378280877E-2</v>
      </c>
      <c r="BK7" s="355">
        <f>NORMSDIST((_xlfn.NORM.S.INV($AB7)-(SQRT(Baseline!$AF$11)*'MacroPD-Cal'!$BF$6))/SQRT(1-Baseline!$AF$11))</f>
        <v>0.13812842768675976</v>
      </c>
      <c r="BL7" s="355">
        <f>NORMSDIST((_xlfn.NORM.S.INV($AC7)-(SQRT(Baseline!$AF$11)*'MacroPD-Cal'!$BF$7))/SQRT(1-Baseline!$AF$11))</f>
        <v>1.9969239614985562E-2</v>
      </c>
      <c r="BM7" s="355">
        <f>NORMSDIST((_xlfn.NORM.S.INV($AD7)-(SQRT(Baseline!$AF$11)*'MacroPD-Cal'!$BF$8))/SQRT(1-Baseline!$AF$11))</f>
        <v>3.7385537625469402E-2</v>
      </c>
      <c r="BN7" s="355">
        <f>NORMSDIST((_xlfn.NORM.S.INV($AE7)-(SQRT(Baseline!$AF$11)*'MacroPD-Cal'!$BF$9))/SQRT(1-Baseline!$AF$11))</f>
        <v>4.7310537658585047E-2</v>
      </c>
      <c r="BO7" s="355">
        <f t="shared" si="15"/>
        <v>2.089942504812993E-2</v>
      </c>
      <c r="BP7" s="355">
        <f t="shared" si="16"/>
        <v>4.8175449109704616E-2</v>
      </c>
      <c r="BQ7" s="355">
        <f t="shared" si="17"/>
        <v>8.4186255434903767E-2</v>
      </c>
      <c r="BR7" s="355">
        <f t="shared" si="18"/>
        <v>0.12740000000000001</v>
      </c>
      <c r="BS7" s="283"/>
      <c r="BT7" s="355" t="s">
        <v>747</v>
      </c>
      <c r="BU7" s="283">
        <f>Adv!$T98</f>
        <v>0.54852658623725381</v>
      </c>
      <c r="BV7" s="355">
        <f>NORMSDIST((_xlfn.NORM.S.INV($AA7)-(SQRT(Baseline!$AF$11)*'MacroPD-Cal'!$BU$2))/SQRT(1-Baseline!$AF$11))</f>
        <v>2.0227064013385625E-2</v>
      </c>
      <c r="BW7" s="355">
        <f>NORMSDIST((_xlfn.NORM.S.INV($AA7)-(SQRT(Baseline!$AF$11)*'MacroPD-Cal'!$BU$3))/SQRT(1-Baseline!$AF$11))</f>
        <v>2.8906754738757971E-2</v>
      </c>
      <c r="BX7" s="355">
        <f>NORMSDIST((_xlfn.NORM.S.INV($AA7)-(SQRT(Baseline!$AF$11)*'MacroPD-Cal'!$BU$4))/SQRT(1-Baseline!$AF$11))</f>
        <v>3.5783626932676574E-2</v>
      </c>
      <c r="BY7" s="355">
        <f>NORMSDIST((_xlfn.NORM.S.INV($AA7)-(SQRT(Baseline!$AF$11)*'MacroPD-Cal'!$BU$5))/SQRT(1-Baseline!$AF$11))</f>
        <v>4.2809847180657522E-2</v>
      </c>
      <c r="BZ7" s="355">
        <f>NORMSDIST((_xlfn.NORM.S.INV($AB7)-(SQRT(Baseline!$AF$11)*'MacroPD-Cal'!$BU$6))/SQRT(1-Baseline!$AF$11))</f>
        <v>7.7022087755648977E-2</v>
      </c>
      <c r="CA7" s="355">
        <f>NORMSDIST((_xlfn.NORM.S.INV($AC7)-(SQRT(Baseline!$AF$11)*'MacroPD-Cal'!$BU12))/SQRT(1-Baseline!$AF$11))</f>
        <v>3.8272352234761262E-2</v>
      </c>
      <c r="CB7" s="355">
        <f>NORMSDIST((_xlfn.NORM.S.INV($AD7)-(SQRT(Baseline!$AF$11)*'MacroPD-Cal'!$BU$8))/SQRT(1-Baseline!$AF$11))</f>
        <v>5.7339300113064151E-2</v>
      </c>
      <c r="CC7" s="355">
        <f>NORMSDIST((_xlfn.NORM.S.INV($AE7)-(SQRT(Baseline!$AF$11)*'MacroPD-Cal'!$BU$9))/SQRT(1-Baseline!$AF$11))</f>
        <v>4.8208802695520345E-2</v>
      </c>
      <c r="CD7" s="355">
        <f t="shared" si="19"/>
        <v>2.0227064013385625E-2</v>
      </c>
      <c r="CE7" s="355">
        <f t="shared" si="20"/>
        <v>4.8549119973623434E-2</v>
      </c>
      <c r="CF7" s="355">
        <f t="shared" si="21"/>
        <v>8.2595483309254147E-2</v>
      </c>
      <c r="CG7" s="355">
        <f t="shared" si="22"/>
        <v>0.12180000000000001</v>
      </c>
      <c r="CH7" s="283"/>
      <c r="CI7" s="355"/>
      <c r="CL7" s="168"/>
      <c r="CM7" s="168"/>
      <c r="CN7" s="168"/>
      <c r="CO7" s="168"/>
      <c r="CP7" s="168"/>
      <c r="CR7" s="345">
        <f t="shared" si="23"/>
        <v>0.1955512751749835</v>
      </c>
      <c r="CS7" s="345">
        <f t="shared" si="24"/>
        <v>0.43444164967988741</v>
      </c>
      <c r="CT7" s="345">
        <f t="shared" si="25"/>
        <v>0.69210836794568698</v>
      </c>
      <c r="CU7" s="345">
        <f t="shared" si="26"/>
        <v>1</v>
      </c>
    </row>
    <row r="8" spans="1:103" s="166" customFormat="1" x14ac:dyDescent="0.25">
      <c r="A8" s="464">
        <v>1100000209</v>
      </c>
      <c r="B8" s="470">
        <f>VLOOKUP(A8,'Ref-Data'!A:I,9,FALSE)</f>
        <v>1</v>
      </c>
      <c r="C8" s="445">
        <f>IF(B8="Matured","",VLOOKUP(A8,'Adjustment Factor'!A:C,3,0))</f>
        <v>1.01</v>
      </c>
      <c r="D8" s="190">
        <f>VLOOKUP(A8,'Ref-Data'!A:C,2,FALSE)</f>
        <v>1500000</v>
      </c>
      <c r="E8" s="471">
        <f>IFERROR(IF(VLOOKUP(A8,'Updated Ncino PD'!$A:$K,4,0)=0,"",VLOOKUP(A8,'Updated Ncino PD'!$A:$K,4,0)),AF8)</f>
        <v>4.0228091930422216E-3</v>
      </c>
      <c r="F8" s="472">
        <f>IFERROR(IF(VLOOKUP(A8,'Updated Ncino PD'!$A:$K,5,0)=0,"",VLOOKUP(A8,'Updated Ncino PD'!$A:$K,5,0)),1-((1-AG8)*(1-E8)))</f>
        <v>9.2938867723136864E-3</v>
      </c>
      <c r="G8" s="472">
        <f>IFERROR(IF(VLOOKUP(A8,'Updated Ncino PD'!$A:$K,6,0)=0,"",VLOOKUP(A8,'Updated Ncino PD'!$A:$K,6,0)),1-((1-AF8)*(1-AG8)*(1-AH8)))</f>
        <v>1.5249624684039231E-2</v>
      </c>
      <c r="H8" s="472">
        <f>IFERROR(IF(VLOOKUP(A8,'Updated Ncino PD'!$A:$K,7,0)=0,"",VLOOKUP(A8,'Updated Ncino PD'!$A:$K,7,0)),IFERROR(VLOOKUP(A8,'Updated Ncino PD'!A:B,2,FALSE),FLOOR(1-((1-AG8)*(1-AH8)*(1-AI8)*(1-AF8)),$R$11)))</f>
        <v>2.29E-2</v>
      </c>
      <c r="I8" s="472">
        <f>IFERROR(IF(VLOOKUP(A8,'Updated Ncino PD'!$A:$K,8,0)=0,"",VLOOKUP(A8,'Updated Ncino PD'!$A:$K,8,0)),FLOOR(1-((1-H8)*(1-AJ8)),$R$11))</f>
        <v>3.2899999999999999E-2</v>
      </c>
      <c r="J8" s="472">
        <f>IFERROR(IF(VLOOKUP(A8,'Updated Ncino PD'!$A:$K,9,0)=0,"",VLOOKUP(A8,'Updated Ncino PD'!$A:$K,9,0)),FLOOR(1-((1-H8)*(1-AJ8)*(1-AK8)),$R$11))</f>
        <v>3.8300000000000001E-2</v>
      </c>
      <c r="K8" s="472">
        <f>IFERROR(IF(VLOOKUP(A8,'Updated Ncino PD'!$A:$K,10,0)=0,"",VLOOKUP(A8,'Updated Ncino PD'!$A:$K,10,0)),FLOOR(1-((1-H8)*(1-AJ8)*(1-AK8)*(1-AL8)),$R$11))</f>
        <v>4.9700000000000001E-2</v>
      </c>
      <c r="L8" s="472">
        <f>IFERROR(IF(VLOOKUP(A8,'Updated Ncino PD'!$A:$K,11,0)=0,"",VLOOKUP(A8,'Updated Ncino PD'!$A:$K,11,0)),FLOOR(1-((1-H8)*(1-AJ8)*(1-AK8)*(1-AL8)*(1-AM8)),$R$11))</f>
        <v>6.08E-2</v>
      </c>
      <c r="M8" s="224">
        <f>VLOOKUP(A8,'Ref-Data'!$A:$F,6,FALSE)</f>
        <v>3.5044490075290895</v>
      </c>
      <c r="N8" s="191">
        <f t="shared" si="3"/>
        <v>2.29E-2</v>
      </c>
      <c r="O8" s="191">
        <f t="shared" si="4"/>
        <v>4.9700000000000001E-2</v>
      </c>
      <c r="P8" s="459" t="str">
        <f>VLOOKUP(A8,'Loan Book Summary'!C:G,5,FALSE)</f>
        <v>0015800000z8vOY</v>
      </c>
      <c r="Q8" s="166" t="s">
        <v>748</v>
      </c>
      <c r="R8" s="209">
        <f>Baseline!$T99*Baseline!$AB$14+SevAdv!$T99*Baseline!$AB$15+Adv!$T99*Baseline!$AB$16</f>
        <v>-0.50741219219976885</v>
      </c>
      <c r="S8" s="203"/>
      <c r="T8" s="332">
        <f>IFERROR(VLOOKUP($P8,'Model Output-LoanNameUpdate'!$A:$K,2,FALSE),CL8)</f>
        <v>1.8619999999999998E-2</v>
      </c>
      <c r="U8" s="332">
        <f>1-(1-IFERROR(VLOOKUP($P8,'Model Output-LoanNameUpdate'!$A:$K,2,FALSE),CL8))^(1/4)</f>
        <v>4.6878611635342571E-3</v>
      </c>
      <c r="V8" s="332">
        <f>IFERROR(VLOOKUP($P8,'Model Output-LoanNameUpdate'!$A:$K,3,FALSE),CM8)</f>
        <v>1.4779999999999998E-2</v>
      </c>
      <c r="W8" s="332">
        <f>IFERROR(VLOOKUP($P8,'Model Output-LoanNameUpdate'!$A:$K,4,FALSE),CN8)</f>
        <v>1.2939999999999998E-2</v>
      </c>
      <c r="X8" s="332">
        <f>IFERROR(VLOOKUP($P8,'Model Output-LoanNameUpdate'!$A:$K,5,FALSE),CO8)</f>
        <v>1.174E-2</v>
      </c>
      <c r="Y8" s="332">
        <f>IFERROR(VLOOKUP($P8,'Model Output-LoanNameUpdate'!$A:$K,6,FALSE),CP8)</f>
        <v>1.094E-2</v>
      </c>
      <c r="Z8" s="207">
        <f t="shared" si="5"/>
        <v>1.01</v>
      </c>
      <c r="AA8" s="208">
        <f t="shared" si="6"/>
        <v>4.7347397751695995E-3</v>
      </c>
      <c r="AB8" s="208">
        <f t="shared" si="7"/>
        <v>1.4927799999999998E-2</v>
      </c>
      <c r="AC8" s="208">
        <f t="shared" si="8"/>
        <v>1.3069399999999998E-2</v>
      </c>
      <c r="AD8" s="208">
        <f t="shared" si="9"/>
        <v>1.1857400000000001E-2</v>
      </c>
      <c r="AE8" s="208">
        <f t="shared" si="10"/>
        <v>1.1049400000000001E-2</v>
      </c>
      <c r="AF8" s="332">
        <f>NORMSDIST((_xlfn.NORM.S.INV(AA8)-(SQRT(Baseline!$AF$11)*'MacroPD-Cal'!$R$2))/SQRT(1-Baseline!$AF$11))</f>
        <v>4.0228091930422216E-3</v>
      </c>
      <c r="AG8" s="332">
        <f>NORMSDIST((_xlfn.NORM.S.INV(AA8)-(SQRT(Baseline!$AF$11)*'MacroPD-Cal'!$R$3))/SQRT(1-Baseline!$AF$11))</f>
        <v>5.2923677649693692E-3</v>
      </c>
      <c r="AH8" s="332">
        <f>NORMSDIST((_xlfn.NORM.S.INV(AA8)-(SQRT(Baseline!$AF$11)*'MacroPD-Cal'!$R$4))/SQRT(1-Baseline!$AF$11))</f>
        <v>6.0116091262644306E-3</v>
      </c>
      <c r="AI8" s="332">
        <f>NORMSDIST((_xlfn.NORM.S.INV(AA8)-(SQRT(Baseline!$AF$11)*'MacroPD-Cal'!$R$5))/SQRT(1-Baseline!$AF$11))</f>
        <v>7.7953399622171914E-3</v>
      </c>
      <c r="AJ8" s="332">
        <f>NORMSDIST((_xlfn.NORM.S.INV(AB8)-(SQRT(Baseline!$AF$11)*'MacroPD-Cal'!$R$6))/SQRT(1-Baseline!$AF$11))</f>
        <v>1.0294050029941305E-2</v>
      </c>
      <c r="AK8" s="332">
        <f>NORMSDIST((_xlfn.NORM.S.INV(AC8)-(SQRT(Baseline!$AF$11)*'MacroPD-Cal'!$R$7))/SQRT(1-Baseline!$AF$11))</f>
        <v>5.5260325011350416E-3</v>
      </c>
      <c r="AL8" s="332">
        <f>NORMSDIST((_xlfn.NORM.S.INV(AD8)-(SQRT(Baseline!$AF$11)*'MacroPD-Cal'!$R$8))/SQRT(1-Baseline!$AF$11))</f>
        <v>1.1913205653924893E-2</v>
      </c>
      <c r="AM8" s="332">
        <f>NORMSDIST((_xlfn.NORM.S.INV(AE8)-(SQRT(Baseline!$AF$11)*'MacroPD-Cal'!$R$9))/SQRT(1-Baseline!$AF$11))</f>
        <v>1.1678351059135632E-2</v>
      </c>
      <c r="AO8" s="355" t="s">
        <v>748</v>
      </c>
      <c r="AP8" s="283">
        <f>Baseline!$T99</f>
        <v>-0.52701574646430027</v>
      </c>
      <c r="AQ8" s="355">
        <f>NORMSDIST((_xlfn.NORM.S.INV(AA8)-(SQRT(Baseline!$AF$11)*'MacroPD-Cal'!$AP$2))/SQRT(1-Baseline!$AF$11))</f>
        <v>4.1724010834586133E-3</v>
      </c>
      <c r="AR8" s="355">
        <f>NORMSDIST((_xlfn.NORM.S.INV(AA8)-(SQRT(Baseline!$AF$11)*'MacroPD-Cal'!$AP$3))/SQRT(1-Baseline!$AF$11))</f>
        <v>4.9412905123306415E-3</v>
      </c>
      <c r="AS8" s="355">
        <f>NORMSDIST((_xlfn.NORM.S.INV(AA8)-(SQRT(Baseline!$AF$11)*'MacroPD-Cal'!$AP$4))/SQRT(1-Baseline!$AF$11))</f>
        <v>5.049070030349676E-3</v>
      </c>
      <c r="AT8" s="355">
        <f>NORMSDIST((_xlfn.NORM.S.INV(AA8)-(SQRT(Baseline!$AF$11)*'MacroPD-Cal'!$AP$5))/SQRT(1-Baseline!$AF$11))</f>
        <v>6.6742818246545736E-3</v>
      </c>
      <c r="AU8" s="355">
        <f>NORMSDIST((_xlfn.NORM.S.INV(AB8)-(SQRT(Baseline!$AF$11)*'MacroPD-Cal'!$AP$6))/SQRT(1-Baseline!$AF$11))</f>
        <v>6.8603878461768984E-3</v>
      </c>
      <c r="AV8" s="355">
        <f>NORMSDIST((_xlfn.NORM.S.INV(AC8)-(SQRT(Baseline!$AF$11)*'MacroPD-Cal'!$AP$7))/SQRT(1-Baseline!$AF$11))</f>
        <v>7.6727330220681825E-3</v>
      </c>
      <c r="AW8" s="355">
        <f>NORMSDIST((_xlfn.NORM.S.INV(AD8)-(SQRT(Baseline!$AF$11)*'MacroPD-Cal'!$AP$8))/SQRT(1-Baseline!$AF$11))</f>
        <v>1.2201252726122113E-2</v>
      </c>
      <c r="AX8" s="355">
        <f>NORMSDIST((_xlfn.NORM.S.INV(AE8)-(SQRT(Baseline!$AF$11)*'MacroPD-Cal'!$AP$9))/SQRT(1-Baseline!$AF$11))</f>
        <v>1.2813219544542375E-2</v>
      </c>
      <c r="AY8" s="355">
        <f t="shared" si="11"/>
        <v>4.1724010834586133E-3</v>
      </c>
      <c r="AZ8" s="355">
        <f t="shared" si="12"/>
        <v>9.0930745499019361E-3</v>
      </c>
      <c r="BA8" s="355">
        <f t="shared" si="13"/>
        <v>1.4096233010058024E-2</v>
      </c>
      <c r="BB8" s="355">
        <f t="shared" si="14"/>
        <v>2.06E-2</v>
      </c>
      <c r="BC8" s="355"/>
      <c r="BD8" s="355"/>
      <c r="BE8" s="355" t="s">
        <v>748</v>
      </c>
      <c r="BF8" s="283">
        <f>SevAdv!$T99</f>
        <v>-9.6352920984427048E-2</v>
      </c>
      <c r="BG8" s="355">
        <f>NORMSDIST((_xlfn.NORM.S.INV($AA8)-(SQRT(Baseline!$AF$11)*'MacroPD-Cal'!$BF$2))/SQRT(1-Baseline!$AF$11))</f>
        <v>3.9440969651976746E-3</v>
      </c>
      <c r="BH8" s="355">
        <f>NORMSDIST((_xlfn.NORM.S.INV($AA8)-(SQRT(Baseline!$AF$11)*'MacroPD-Cal'!$BF$3))/SQRT(1-Baseline!$AF$11))</f>
        <v>5.6296309820173763E-3</v>
      </c>
      <c r="BI8" s="355">
        <f>NORMSDIST((_xlfn.NORM.S.INV($AA8)-(SQRT(Baseline!$AF$11)*'MacroPD-Cal'!$BF$4))/SQRT(1-Baseline!$AF$11))</f>
        <v>8.2491472216107992E-3</v>
      </c>
      <c r="BJ8" s="355">
        <f>NORMSDIST((_xlfn.NORM.S.INV($AA8)-(SQRT(Baseline!$AF$11)*'MacroPD-Cal'!$BF$5))/SQRT(1-Baseline!$AF$11))</f>
        <v>1.0915423763353868E-2</v>
      </c>
      <c r="BK8" s="355">
        <f>NORMSDIST((_xlfn.NORM.S.INV($AB8)-(SQRT(Baseline!$AF$11)*'MacroPD-Cal'!$BF$6))/SQRT(1-Baseline!$AF$11))</f>
        <v>3.6139960350530811E-2</v>
      </c>
      <c r="BL8" s="355">
        <f>NORMSDIST((_xlfn.NORM.S.INV($AC8)-(SQRT(Baseline!$AF$11)*'MacroPD-Cal'!$BF$7))/SQRT(1-Baseline!$AF$11))</f>
        <v>3.0771609818599664E-3</v>
      </c>
      <c r="BM8" s="355">
        <f>NORMSDIST((_xlfn.NORM.S.INV($AD8)-(SQRT(Baseline!$AF$11)*'MacroPD-Cal'!$BF$8))/SQRT(1-Baseline!$AF$11))</f>
        <v>7.0932333584278187E-3</v>
      </c>
      <c r="BN8" s="355">
        <f>NORMSDIST((_xlfn.NORM.S.INV($AE8)-(SQRT(Baseline!$AF$11)*'MacroPD-Cal'!$BF$9))/SQRT(1-Baseline!$AF$11))</f>
        <v>9.9285113540520144E-3</v>
      </c>
      <c r="BO8" s="355">
        <f t="shared" si="15"/>
        <v>3.9440969651976746E-3</v>
      </c>
      <c r="BP8" s="355">
        <f t="shared" si="16"/>
        <v>9.5515241367437609E-3</v>
      </c>
      <c r="BQ8" s="355">
        <f t="shared" si="17"/>
        <v>1.7721879429559828E-2</v>
      </c>
      <c r="BR8" s="355">
        <f t="shared" si="18"/>
        <v>2.8400000000000002E-2</v>
      </c>
      <c r="BS8" s="283"/>
      <c r="BT8" s="355" t="s">
        <v>748</v>
      </c>
      <c r="BU8" s="283">
        <f>Adv!$T99</f>
        <v>-0.53252885220562096</v>
      </c>
      <c r="BV8" s="355">
        <f>NORMSDIST((_xlfn.NORM.S.INV($AA8)-(SQRT(Baseline!$AF$11)*'MacroPD-Cal'!$BU$2))/SQRT(1-Baseline!$AF$11))</f>
        <v>3.7882417299993747E-3</v>
      </c>
      <c r="BW8" s="355">
        <f>NORMSDIST((_xlfn.NORM.S.INV($AA8)-(SQRT(Baseline!$AF$11)*'MacroPD-Cal'!$BU$3))/SQRT(1-Baseline!$AF$11))</f>
        <v>5.8942941980605667E-3</v>
      </c>
      <c r="BX8" s="355">
        <f>NORMSDIST((_xlfn.NORM.S.INV($AA8)-(SQRT(Baseline!$AF$11)*'MacroPD-Cal'!$BU$4))/SQRT(1-Baseline!$AF$11))</f>
        <v>7.6930279763403036E-3</v>
      </c>
      <c r="BY8" s="355">
        <f>NORMSDIST((_xlfn.NORM.S.INV($AA8)-(SQRT(Baseline!$AF$11)*'MacroPD-Cal'!$BU$5))/SQRT(1-Baseline!$AF$11))</f>
        <v>9.6348551622583174E-3</v>
      </c>
      <c r="BZ8" s="355">
        <f>NORMSDIST((_xlfn.NORM.S.INV($AB8)-(SQRT(Baseline!$AF$11)*'MacroPD-Cal'!$BU$6))/SQRT(1-Baseline!$AF$11))</f>
        <v>1.6422391344119405E-2</v>
      </c>
      <c r="CA8" s="355">
        <f>NORMSDIST((_xlfn.NORM.S.INV($AC8)-(SQRT(Baseline!$AF$11)*'MacroPD-Cal'!$BU13))/SQRT(1-Baseline!$AF$11))</f>
        <v>7.0216195729503987E-3</v>
      </c>
      <c r="CB8" s="355">
        <f>NORMSDIST((_xlfn.NORM.S.INV($AD8)-(SQRT(Baseline!$AF$11)*'MacroPD-Cal'!$BU$8))/SQRT(1-Baseline!$AF$11))</f>
        <v>1.2283339801343747E-2</v>
      </c>
      <c r="CC8" s="355">
        <f>NORMSDIST((_xlfn.NORM.S.INV($AE8)-(SQRT(Baseline!$AF$11)*'MacroPD-Cal'!$BU$9))/SQRT(1-Baseline!$AF$11))</f>
        <v>1.0170334374885646E-2</v>
      </c>
      <c r="CD8" s="355">
        <f t="shared" si="19"/>
        <v>3.7882417299993747E-3</v>
      </c>
      <c r="CE8" s="355">
        <f t="shared" si="20"/>
        <v>9.6602069168099103E-3</v>
      </c>
      <c r="CF8" s="355">
        <f t="shared" si="21"/>
        <v>1.7278918651081998E-2</v>
      </c>
      <c r="CG8" s="355">
        <f t="shared" si="22"/>
        <v>2.6700000000000002E-2</v>
      </c>
      <c r="CH8" s="283"/>
      <c r="CI8" s="355"/>
      <c r="CL8" s="168"/>
      <c r="CM8" s="168"/>
      <c r="CN8" s="168"/>
      <c r="CO8" s="168"/>
      <c r="CP8" s="168"/>
      <c r="CR8" s="345">
        <f t="shared" si="23"/>
        <v>0.17566852371363412</v>
      </c>
      <c r="CS8" s="345">
        <f t="shared" si="24"/>
        <v>0.40584658394382911</v>
      </c>
      <c r="CT8" s="345">
        <f t="shared" si="25"/>
        <v>0.66592247528555593</v>
      </c>
      <c r="CU8" s="345">
        <f t="shared" si="26"/>
        <v>1</v>
      </c>
    </row>
    <row r="9" spans="1:103" s="166" customFormat="1" x14ac:dyDescent="0.25">
      <c r="A9" s="464">
        <v>1100000175</v>
      </c>
      <c r="B9" s="470">
        <f>VLOOKUP(A9,'Ref-Data'!A:I,9,FALSE)</f>
        <v>1</v>
      </c>
      <c r="C9" s="445">
        <f>IF(B9="Matured","",VLOOKUP(A9,'Adjustment Factor'!A:C,3,0))</f>
        <v>1.1951755713707852</v>
      </c>
      <c r="D9" s="190">
        <f>VLOOKUP(A9,'Ref-Data'!A:C,2,FALSE)</f>
        <v>20011058.510000002</v>
      </c>
      <c r="E9" s="471">
        <f>IFERROR(IF(VLOOKUP(A9,'Updated Ncino PD'!$A:$K,4,0)=0,"",VLOOKUP(A9,'Updated Ncino PD'!$A:$K,4,0)),AF9)</f>
        <v>3.9335337154020281E-2</v>
      </c>
      <c r="F9" s="472">
        <f>IFERROR(IF(VLOOKUP(A9,'Updated Ncino PD'!$A:$K,5,0)=0,"",VLOOKUP(A9,'Updated Ncino PD'!$A:$K,5,0)),1-((1-AG9)*(1-E9)))</f>
        <v>8.5460952654883182E-2</v>
      </c>
      <c r="G9" s="472">
        <f>IFERROR(IF(VLOOKUP(A9,'Updated Ncino PD'!$A:$K,6,0)=0,"",VLOOKUP(A9,'Updated Ncino PD'!$A:$K,6,0)),1-((1-AF9)*(1-AG9)*(1-AH9)))</f>
        <v>0.13360360384645742</v>
      </c>
      <c r="H9" s="472">
        <f>IFERROR(IF(VLOOKUP(A9,'Updated Ncino PD'!$A:$K,7,0)=0,"",VLOOKUP(A9,'Updated Ncino PD'!$A:$K,7,0)),IFERROR(VLOOKUP(A9,'Updated Ncino PD'!A:B,2,FALSE),FLOOR(1-((1-AG9)*(1-AH9)*(1-AI9)*(1-AF9)),$R$11)))</f>
        <v>0.1885</v>
      </c>
      <c r="I9" s="472">
        <f>IFERROR(IF(VLOOKUP(A9,'Updated Ncino PD'!$A:$K,8,0)=0,"",VLOOKUP(A9,'Updated Ncino PD'!$A:$K,8,0)),FLOOR(1-((1-H9)*(1-AJ9)),$R$11))</f>
        <v>0.28870000000000001</v>
      </c>
      <c r="J9" s="472">
        <f>IFERROR(IF(VLOOKUP(A9,'Updated Ncino PD'!$A:$K,9,0)=0,"",VLOOKUP(A9,'Updated Ncino PD'!$A:$K,9,0)),FLOOR(1-((1-H9)*(1-AJ9)*(1-AK9)),$R$11))</f>
        <v>0.35089999999999999</v>
      </c>
      <c r="K9" s="472">
        <f>IFERROR(IF(VLOOKUP(A9,'Updated Ncino PD'!$A:$K,10,0)=0,"",VLOOKUP(A9,'Updated Ncino PD'!$A:$K,10,0)),FLOOR(1-((1-H9)*(1-AJ9)*(1-AK9)*(1-AL9)),$R$11))</f>
        <v>0.44540000000000002</v>
      </c>
      <c r="L9" s="472">
        <f>IFERROR(IF(VLOOKUP(A9,'Updated Ncino PD'!$A:$K,11,0)=0,"",VLOOKUP(A9,'Updated Ncino PD'!$A:$K,11,0)),FLOOR(1-((1-H9)*(1-AJ9)*(1-AK9)*(1-AL9)*(1-AM9)),$R$11))</f>
        <v>0.52690000000000003</v>
      </c>
      <c r="M9" s="224">
        <f>VLOOKUP(A9,'Ref-Data'!$A:$F,6,FALSE)</f>
        <v>1.0212183436002737</v>
      </c>
      <c r="N9" s="191">
        <f t="shared" si="3"/>
        <v>0.1885</v>
      </c>
      <c r="O9" s="191">
        <f t="shared" si="4"/>
        <v>0.28870000000000001</v>
      </c>
      <c r="P9" s="459" t="str">
        <f>VLOOKUP(A9,'Loan Book Summary'!C:G,5,FALSE)</f>
        <v>0015800001Enl9O</v>
      </c>
      <c r="Q9" s="166" t="s">
        <v>749</v>
      </c>
      <c r="R9" s="209">
        <f>Baseline!$T100*Baseline!$AB$14+SevAdv!$T100*Baseline!$AB$15+Adv!$T100*Baseline!$AB$16</f>
        <v>-0.55463654821297792</v>
      </c>
      <c r="S9" s="203"/>
      <c r="T9" s="332">
        <f>IFERROR(VLOOKUP($P9,'Model Output-LoanNameUpdate'!$A:$K,2,FALSE),CL9)</f>
        <v>0.118065</v>
      </c>
      <c r="U9" s="332">
        <f>1-(1-IFERROR(VLOOKUP($P9,'Model Output-LoanNameUpdate'!$A:$K,2,FALSE),CL9))^(1/4)</f>
        <v>3.0921084690017642E-2</v>
      </c>
      <c r="V9" s="332">
        <f>IFERROR(VLOOKUP($P9,'Model Output-LoanNameUpdate'!$A:$K,3,FALSE),CM9)</f>
        <v>0.109255</v>
      </c>
      <c r="W9" s="332">
        <f>IFERROR(VLOOKUP($P9,'Model Output-LoanNameUpdate'!$A:$K,4,FALSE),CN9)</f>
        <v>0.104445</v>
      </c>
      <c r="X9" s="332">
        <f>IFERROR(VLOOKUP($P9,'Model Output-LoanNameUpdate'!$A:$K,5,FALSE),CO9)</f>
        <v>0.10106499999999999</v>
      </c>
      <c r="Y9" s="332">
        <f>IFERROR(VLOOKUP($P9,'Model Output-LoanNameUpdate'!$A:$K,6,FALSE),CP9)</f>
        <v>9.8589999999999983E-2</v>
      </c>
      <c r="Z9" s="207">
        <f t="shared" si="5"/>
        <v>1.1951755713707852</v>
      </c>
      <c r="AA9" s="208">
        <f t="shared" si="6"/>
        <v>3.6956125061796276E-2</v>
      </c>
      <c r="AB9" s="208">
        <f t="shared" si="7"/>
        <v>0.13057890705011516</v>
      </c>
      <c r="AC9" s="208">
        <f t="shared" si="8"/>
        <v>0.12483011255182166</v>
      </c>
      <c r="AD9" s="208">
        <f t="shared" si="9"/>
        <v>0.1207904191205884</v>
      </c>
      <c r="AE9" s="208">
        <f t="shared" si="10"/>
        <v>0.11783235958144569</v>
      </c>
      <c r="AF9" s="332">
        <f>NORMSDIST((_xlfn.NORM.S.INV(AA9)-(SQRT(Baseline!$AF$11)*'MacroPD-Cal'!$R$2))/SQRT(1-Baseline!$AF$11))</f>
        <v>3.9335337154020281E-2</v>
      </c>
      <c r="AG9" s="332">
        <f>NORMSDIST((_xlfn.NORM.S.INV(AA9)-(SQRT(Baseline!$AF$11)*'MacroPD-Cal'!$R$3))/SQRT(1-Baseline!$AF$11))</f>
        <v>4.8014273122335235E-2</v>
      </c>
      <c r="AH9" s="332">
        <f>NORMSDIST((_xlfn.NORM.S.INV(AA9)-(SQRT(Baseline!$AF$11)*'MacroPD-Cal'!$R$4))/SQRT(1-Baseline!$AF$11))</f>
        <v>5.2641438691252262E-2</v>
      </c>
      <c r="AI9" s="332">
        <f>NORMSDIST((_xlfn.NORM.S.INV(AA9)-(SQRT(Baseline!$AF$11)*'MacroPD-Cal'!$R$5))/SQRT(1-Baseline!$AF$11))</f>
        <v>6.3422602254742583E-2</v>
      </c>
      <c r="AJ9" s="332">
        <f>NORMSDIST((_xlfn.NORM.S.INV(AB9)-(SQRT(Baseline!$AF$11)*'MacroPD-Cal'!$R$6))/SQRT(1-Baseline!$AF$11))</f>
        <v>0.12348225206814453</v>
      </c>
      <c r="AK9" s="332">
        <f>NORMSDIST((_xlfn.NORM.S.INV(AC9)-(SQRT(Baseline!$AF$11)*'MacroPD-Cal'!$R$7))/SQRT(1-Baseline!$AF$11))</f>
        <v>8.7525242753174998E-2</v>
      </c>
      <c r="AL9" s="332">
        <f>NORMSDIST((_xlfn.NORM.S.INV(AD9)-(SQRT(Baseline!$AF$11)*'MacroPD-Cal'!$R$8))/SQRT(1-Baseline!$AF$11))</f>
        <v>0.14560543013206578</v>
      </c>
      <c r="AM9" s="332">
        <f>NORMSDIST((_xlfn.NORM.S.INV(AE9)-(SQRT(Baseline!$AF$11)*'MacroPD-Cal'!$R$9))/SQRT(1-Baseline!$AF$11))</f>
        <v>0.14691877456071906</v>
      </c>
      <c r="AO9" s="355" t="s">
        <v>749</v>
      </c>
      <c r="AP9" s="283">
        <f>Baseline!$T100</f>
        <v>-0.6308822191189063</v>
      </c>
      <c r="AQ9" s="355">
        <f>NORMSDIST((_xlfn.NORM.S.INV(AA9)-(SQRT(Baseline!$AF$11)*'MacroPD-Cal'!$AP$2))/SQRT(1-Baseline!$AF$11))</f>
        <v>4.0397375729796285E-2</v>
      </c>
      <c r="AR9" s="355">
        <f>NORMSDIST((_xlfn.NORM.S.INV(AA9)-(SQRT(Baseline!$AF$11)*'MacroPD-Cal'!$AP$3))/SQRT(1-Baseline!$AF$11))</f>
        <v>4.5685150490644304E-2</v>
      </c>
      <c r="AS9" s="355">
        <f>NORMSDIST((_xlfn.NORM.S.INV(AA9)-(SQRT(Baseline!$AF$11)*'MacroPD-Cal'!$AP$4))/SQRT(1-Baseline!$AF$11))</f>
        <v>4.6405467026115428E-2</v>
      </c>
      <c r="AT9" s="355">
        <f>NORMSDIST((_xlfn.NORM.S.INV(AA9)-(SQRT(Baseline!$AF$11)*'MacroPD-Cal'!$AP$5))/SQRT(1-Baseline!$AF$11))</f>
        <v>5.6752430394472655E-2</v>
      </c>
      <c r="AU9" s="355">
        <f>NORMSDIST((_xlfn.NORM.S.INV(AB9)-(SQRT(Baseline!$AF$11)*'MacroPD-Cal'!$AP$6))/SQRT(1-Baseline!$AF$11))</f>
        <v>9.5641763260261761E-2</v>
      </c>
      <c r="AV9" s="355">
        <f>NORMSDIST((_xlfn.NORM.S.INV(AC9)-(SQRT(Baseline!$AF$11)*'MacroPD-Cal'!$AP$7))/SQRT(1-Baseline!$AF$11))</f>
        <v>0.10763084709585154</v>
      </c>
      <c r="AW9" s="355">
        <f>NORMSDIST((_xlfn.NORM.S.INV(AD9)-(SQRT(Baseline!$AF$11)*'MacroPD-Cal'!$AP$8))/SQRT(1-Baseline!$AF$11))</f>
        <v>0.14771488183444181</v>
      </c>
      <c r="AX9" s="355">
        <f>NORMSDIST((_xlfn.NORM.S.INV(AE9)-(SQRT(Baseline!$AF$11)*'MacroPD-Cal'!$AP$9))/SQRT(1-Baseline!$AF$11))</f>
        <v>0.15528719184691142</v>
      </c>
      <c r="AY9" s="355">
        <f t="shared" si="11"/>
        <v>4.0397375729796285E-2</v>
      </c>
      <c r="AZ9" s="355">
        <f t="shared" si="12"/>
        <v>8.4236966030797666E-2</v>
      </c>
      <c r="BA9" s="355">
        <f t="shared" si="13"/>
        <v>0.12673337730739098</v>
      </c>
      <c r="BB9" s="355">
        <f t="shared" si="14"/>
        <v>0.1762</v>
      </c>
      <c r="BC9" s="355"/>
      <c r="BD9" s="355"/>
      <c r="BE9" s="355" t="s">
        <v>749</v>
      </c>
      <c r="BF9" s="283">
        <f>SevAdv!$T100</f>
        <v>-0.42339501673441732</v>
      </c>
      <c r="BG9" s="355">
        <f>NORMSDIST((_xlfn.NORM.S.INV($AA9)-(SQRT(Baseline!$AF$11)*'MacroPD-Cal'!$BF$2))/SQRT(1-Baseline!$AF$11))</f>
        <v>3.8771743118394916E-2</v>
      </c>
      <c r="BH9" s="355">
        <f>NORMSDIST((_xlfn.NORM.S.INV($AA9)-(SQRT(Baseline!$AF$11)*'MacroPD-Cal'!$BF$3))/SQRT(1-Baseline!$AF$11))</f>
        <v>5.0206988257931885E-2</v>
      </c>
      <c r="BI9" s="355">
        <f>NORMSDIST((_xlfn.NORM.S.INV($AA9)-(SQRT(Baseline!$AF$11)*'MacroPD-Cal'!$BF$4))/SQRT(1-Baseline!$AF$11))</f>
        <v>6.6033065779573283E-2</v>
      </c>
      <c r="BJ9" s="355">
        <f>NORMSDIST((_xlfn.NORM.S.INV($AA9)-(SQRT(Baseline!$AF$11)*'MacroPD-Cal'!$BF$5))/SQRT(1-Baseline!$AF$11))</f>
        <v>8.0517293644884996E-2</v>
      </c>
      <c r="BK9" s="355">
        <f>NORMSDIST((_xlfn.NORM.S.INV($AB9)-(SQRT(Baseline!$AF$11)*'MacroPD-Cal'!$BF$6))/SQRT(1-Baseline!$AF$11))</f>
        <v>0.26119981764737382</v>
      </c>
      <c r="BL9" s="355">
        <f>NORMSDIST((_xlfn.NORM.S.INV($AC9)-(SQRT(Baseline!$AF$11)*'MacroPD-Cal'!$BF$7))/SQRT(1-Baseline!$AF$11))</f>
        <v>6.0026805980867189E-2</v>
      </c>
      <c r="BM9" s="355">
        <f>NORMSDIST((_xlfn.NORM.S.INV($AD9)-(SQRT(Baseline!$AF$11)*'MacroPD-Cal'!$BF$8))/SQRT(1-Baseline!$AF$11))</f>
        <v>0.10600471444954986</v>
      </c>
      <c r="BN9" s="355">
        <f>NORMSDIST((_xlfn.NORM.S.INV($AE9)-(SQRT(Baseline!$AF$11)*'MacroPD-Cal'!$BF$9))/SQRT(1-Baseline!$AF$11))</f>
        <v>0.13323474319504144</v>
      </c>
      <c r="BO9" s="355">
        <f t="shared" si="15"/>
        <v>3.8771743118394916E-2</v>
      </c>
      <c r="BP9" s="355">
        <f t="shared" si="16"/>
        <v>8.7032118924842083E-2</v>
      </c>
      <c r="BQ9" s="355">
        <f t="shared" si="17"/>
        <v>0.14731818707051558</v>
      </c>
      <c r="BR9" s="355">
        <f t="shared" si="18"/>
        <v>0.21590000000000001</v>
      </c>
      <c r="BS9" s="283"/>
      <c r="BT9" s="355" t="s">
        <v>749</v>
      </c>
      <c r="BU9" s="283">
        <f>Adv!$T100</f>
        <v>-0.44267847401403798</v>
      </c>
      <c r="BV9" s="355">
        <f>NORMSDIST((_xlfn.NORM.S.INV($AA9)-(SQRT(Baseline!$AF$11)*'MacroPD-Cal'!$BU$2))/SQRT(1-Baseline!$AF$11))</f>
        <v>3.7645704332855516E-2</v>
      </c>
      <c r="BW9" s="355">
        <f>NORMSDIST((_xlfn.NORM.S.INV($AA9)-(SQRT(Baseline!$AF$11)*'MacroPD-Cal'!$BU$3))/SQRT(1-Baseline!$AF$11))</f>
        <v>5.1899063334330295E-2</v>
      </c>
      <c r="BX9" s="355">
        <f>NORMSDIST((_xlfn.NORM.S.INV($AA9)-(SQRT(Baseline!$AF$11)*'MacroPD-Cal'!$BU$4))/SQRT(1-Baseline!$AF$11))</f>
        <v>6.2827312842234251E-2</v>
      </c>
      <c r="BY9" s="355">
        <f>NORMSDIST((_xlfn.NORM.S.INV($AA9)-(SQRT(Baseline!$AF$11)*'MacroPD-Cal'!$BU$5))/SQRT(1-Baseline!$AF$11))</f>
        <v>7.3728271926264244E-2</v>
      </c>
      <c r="BZ9" s="355">
        <f>NORMSDIST((_xlfn.NORM.S.INV($AB9)-(SQRT(Baseline!$AF$11)*'MacroPD-Cal'!$BU$6))/SQRT(1-Baseline!$AF$11))</f>
        <v>0.1644640024963204</v>
      </c>
      <c r="CA9" s="355">
        <f>NORMSDIST((_xlfn.NORM.S.INV($AC9)-(SQRT(Baseline!$AF$11)*'MacroPD-Cal'!$BU14))/SQRT(1-Baseline!$AF$11))</f>
        <v>0.10181805144261226</v>
      </c>
      <c r="CB9" s="355">
        <f>NORMSDIST((_xlfn.NORM.S.INV($AD9)-(SQRT(Baseline!$AF$11)*'MacroPD-Cal'!$BU$8))/SQRT(1-Baseline!$AF$11))</f>
        <v>0.14831179169253839</v>
      </c>
      <c r="CC9" s="355">
        <f>NORMSDIST((_xlfn.NORM.S.INV($AE9)-(SQRT(Baseline!$AF$11)*'MacroPD-Cal'!$BU$9))/SQRT(1-Baseline!$AF$11))</f>
        <v>0.13518845286871498</v>
      </c>
      <c r="CD9" s="355">
        <f t="shared" si="19"/>
        <v>3.7645704332855516E-2</v>
      </c>
      <c r="CE9" s="355">
        <f t="shared" si="20"/>
        <v>8.7590990873749441E-2</v>
      </c>
      <c r="CF9" s="355">
        <f t="shared" si="21"/>
        <v>0.1449151971301974</v>
      </c>
      <c r="CG9" s="355">
        <f t="shared" si="22"/>
        <v>0.2079</v>
      </c>
      <c r="CH9" s="283"/>
      <c r="CI9" s="355"/>
      <c r="CL9" s="168"/>
      <c r="CM9" s="168"/>
      <c r="CN9" s="168"/>
      <c r="CO9" s="168"/>
      <c r="CP9" s="168"/>
      <c r="CR9" s="345">
        <f t="shared" si="23"/>
        <v>0.20867552866854261</v>
      </c>
      <c r="CS9" s="345">
        <f t="shared" si="24"/>
        <v>0.45337375413731129</v>
      </c>
      <c r="CT9" s="345">
        <f t="shared" si="25"/>
        <v>0.70877243419871305</v>
      </c>
      <c r="CU9" s="345">
        <f t="shared" si="26"/>
        <v>1</v>
      </c>
    </row>
    <row r="10" spans="1:103" s="166" customFormat="1" x14ac:dyDescent="0.25">
      <c r="A10" s="464">
        <v>1100000144</v>
      </c>
      <c r="B10" s="470">
        <f>VLOOKUP(A10,'Ref-Data'!A:I,9,FALSE)</f>
        <v>1</v>
      </c>
      <c r="C10" s="445">
        <f>IF(B10="Matured","",VLOOKUP(A10,'Adjustment Factor'!A:C,3,0))</f>
        <v>0.66</v>
      </c>
      <c r="D10" s="190">
        <f>VLOOKUP(A10,'Ref-Data'!A:C,2,FALSE)</f>
        <v>4468749.95</v>
      </c>
      <c r="E10" s="471">
        <f>IFERROR(IF(VLOOKUP(A10,'Updated Ncino PD'!$A:$K,4,0)=0,"",VLOOKUP(A10,'Updated Ncino PD'!$A:$K,4,0)),AF10)</f>
        <v>5.7919134949285756E-4</v>
      </c>
      <c r="F10" s="472">
        <f>IFERROR(IF(VLOOKUP(A10,'Updated Ncino PD'!$A:$K,5,0)=0,"",VLOOKUP(A10,'Updated Ncino PD'!$A:$K,5,0)),1-((1-AG10)*(1-E10)))</f>
        <v>1.3814855625160494E-3</v>
      </c>
      <c r="G10" s="472">
        <f>IFERROR(IF(VLOOKUP(A10,'Updated Ncino PD'!$A:$K,6,0)=0,"",VLOOKUP(A10,'Updated Ncino PD'!$A:$K,6,0)),1-((1-AF10)*(1-AG10)*(1-AH10)))</f>
        <v>2.3148493313407403E-3</v>
      </c>
      <c r="H10" s="472">
        <f>IFERROR(IF(VLOOKUP(A10,'Updated Ncino PD'!$A:$K,7,0)=0,"",VLOOKUP(A10,'Updated Ncino PD'!$A:$K,7,0)),IFERROR(VLOOKUP(A10,'Updated Ncino PD'!A:B,2,FALSE),FLOOR(1-((1-AG10)*(1-AH10)*(1-AI10)*(1-AF10)),$R$11)))</f>
        <v>3.5000000000000001E-3</v>
      </c>
      <c r="I10" s="472">
        <f>IFERROR(IF(VLOOKUP(A10,'Updated Ncino PD'!$A:$K,8,0)=0,"",VLOOKUP(A10,'Updated Ncino PD'!$A:$K,8,0)),FLOOR(1-((1-H10)*(1-AJ10)),$R$11))</f>
        <v>5.3E-3</v>
      </c>
      <c r="J10" s="472">
        <f>IFERROR(IF(VLOOKUP(A10,'Updated Ncino PD'!$A:$K,9,0)=0,"",VLOOKUP(A10,'Updated Ncino PD'!$A:$K,9,0)),FLOOR(1-((1-H10)*(1-AJ10)*(1-AK10)),$R$11))</f>
        <v>6.3E-3</v>
      </c>
      <c r="K10" s="472">
        <f>IFERROR(IF(VLOOKUP(A10,'Updated Ncino PD'!$A:$K,10,0)=0,"",VLOOKUP(A10,'Updated Ncino PD'!$A:$K,10,0)),FLOOR(1-((1-H10)*(1-AJ10)*(1-AK10)*(1-AL10)),$R$11))</f>
        <v>9.1999999999999998E-3</v>
      </c>
      <c r="L10" s="472">
        <f>IFERROR(IF(VLOOKUP(A10,'Updated Ncino PD'!$A:$K,11,0)=0,"",VLOOKUP(A10,'Updated Ncino PD'!$A:$K,11,0)),FLOOR(1-((1-H10)*(1-AJ10)*(1-AK10)*(1-AL10)*(1-AM10)),$R$11))</f>
        <v>1.23E-2</v>
      </c>
      <c r="M10" s="224">
        <f>VLOOKUP(A10,'Ref-Data'!$A:$F,6,FALSE)</f>
        <v>2.3025325119780971</v>
      </c>
      <c r="N10" s="191">
        <f t="shared" si="3"/>
        <v>3.5000000000000001E-3</v>
      </c>
      <c r="O10" s="191">
        <f t="shared" si="4"/>
        <v>6.3E-3</v>
      </c>
      <c r="P10" s="459" t="str">
        <f>VLOOKUP(A10,'Loan Book Summary'!C:G,5,FALSE)</f>
        <v>0015800001Pfprh</v>
      </c>
      <c r="S10" s="203"/>
      <c r="T10" s="332">
        <f>IFERROR(VLOOKUP($P10,'Model Output-LoanNameUpdate'!$A:$K,2,FALSE),CL10)</f>
        <v>5.1649999999999995E-3</v>
      </c>
      <c r="U10" s="332">
        <f>1-(1-IFERROR(VLOOKUP($P10,'Model Output-LoanNameUpdate'!$A:$K,2,FALSE),CL10))^(1/4)</f>
        <v>1.2937585519791073E-3</v>
      </c>
      <c r="V10" s="332">
        <f>IFERROR(VLOOKUP($P10,'Model Output-LoanNameUpdate'!$A:$K,3,FALSE),CM10)</f>
        <v>5.1249999999999993E-3</v>
      </c>
      <c r="W10" s="332">
        <f>IFERROR(VLOOKUP($P10,'Model Output-LoanNameUpdate'!$A:$K,4,FALSE),CN10)</f>
        <v>5.1199999999999996E-3</v>
      </c>
      <c r="X10" s="332">
        <f>IFERROR(VLOOKUP($P10,'Model Output-LoanNameUpdate'!$A:$K,5,FALSE),CO10)</f>
        <v>5.1199999999999996E-3</v>
      </c>
      <c r="Y10" s="332">
        <f>IFERROR(VLOOKUP($P10,'Model Output-LoanNameUpdate'!$A:$K,6,FALSE),CP10)</f>
        <v>5.0850000000000001E-3</v>
      </c>
      <c r="Z10" s="207">
        <f t="shared" si="5"/>
        <v>0.66</v>
      </c>
      <c r="AA10" s="208">
        <f t="shared" si="6"/>
        <v>8.5388064430621082E-4</v>
      </c>
      <c r="AB10" s="208">
        <f t="shared" si="7"/>
        <v>3.3824999999999997E-3</v>
      </c>
      <c r="AC10" s="208">
        <f t="shared" si="8"/>
        <v>3.3791999999999997E-3</v>
      </c>
      <c r="AD10" s="208">
        <f t="shared" si="9"/>
        <v>3.3791999999999997E-3</v>
      </c>
      <c r="AE10" s="208">
        <f t="shared" si="10"/>
        <v>3.3561000000000003E-3</v>
      </c>
      <c r="AF10" s="332">
        <f>NORMSDIST((_xlfn.NORM.S.INV(AA10)-(SQRT(Baseline!$AF$11)*'MacroPD-Cal'!$R$2))/SQRT(1-Baseline!$AF$11))</f>
        <v>5.7919134949285756E-4</v>
      </c>
      <c r="AG10" s="332">
        <f>NORMSDIST((_xlfn.NORM.S.INV(AA10)-(SQRT(Baseline!$AF$11)*'MacroPD-Cal'!$R$3))/SQRT(1-Baseline!$AF$11))</f>
        <v>8.0275916418682267E-4</v>
      </c>
      <c r="AH10" s="332">
        <f>NORMSDIST((_xlfn.NORM.S.INV(AA10)-(SQRT(Baseline!$AF$11)*'MacroPD-Cal'!$R$4))/SQRT(1-Baseline!$AF$11))</f>
        <v>9.3465498118714893E-4</v>
      </c>
      <c r="AI10" s="332">
        <f>NORMSDIST((_xlfn.NORM.S.INV(AA10)-(SQRT(Baseline!$AF$11)*'MacroPD-Cal'!$R$5))/SQRT(1-Baseline!$AF$11))</f>
        <v>1.2758430159196359E-3</v>
      </c>
      <c r="AJ10" s="332">
        <f>NORMSDIST((_xlfn.NORM.S.INV(AB10)-(SQRT(Baseline!$AF$11)*'MacroPD-Cal'!$R$6))/SQRT(1-Baseline!$AF$11))</f>
        <v>1.821169537540582E-3</v>
      </c>
      <c r="AK10" s="332">
        <f>NORMSDIST((_xlfn.NORM.S.INV(AC10)-(SQRT(Baseline!$AF$11)*'MacroPD-Cal'!$R$7))/SQRT(1-Baseline!$AF$11))</f>
        <v>1.0491545196711612E-3</v>
      </c>
      <c r="AL10" s="332">
        <f>NORMSDIST((_xlfn.NORM.S.INV(AD10)-(SQRT(Baseline!$AF$11)*'MacroPD-Cal'!$R$8))/SQRT(1-Baseline!$AF$11))</f>
        <v>2.9496490921631607E-3</v>
      </c>
      <c r="AM10" s="332">
        <f>NORMSDIST((_xlfn.NORM.S.INV(AE10)-(SQRT(Baseline!$AF$11)*'MacroPD-Cal'!$R$9))/SQRT(1-Baseline!$AF$11))</f>
        <v>3.1312219845721651E-3</v>
      </c>
      <c r="AO10" s="355"/>
      <c r="AP10" s="281"/>
      <c r="AQ10" s="355">
        <f>NORMSDIST((_xlfn.NORM.S.INV(AA10)-(SQRT(Baseline!$AF$11)*'MacroPD-Cal'!$AP$2))/SQRT(1-Baseline!$AF$11))</f>
        <v>6.0486570195356949E-4</v>
      </c>
      <c r="AR10" s="355">
        <f>NORMSDIST((_xlfn.NORM.S.INV(AA10)-(SQRT(Baseline!$AF$11)*'MacroPD-Cal'!$AP$3))/SQRT(1-Baseline!$AF$11))</f>
        <v>7.3969657045175883E-4</v>
      </c>
      <c r="AS10" s="355">
        <f>NORMSDIST((_xlfn.NORM.S.INV(AA10)-(SQRT(Baseline!$AF$11)*'MacroPD-Cal'!$AP$4))/SQRT(1-Baseline!$AF$11))</f>
        <v>7.5896072650836371E-4</v>
      </c>
      <c r="AT10" s="355">
        <f>NORMSDIST((_xlfn.NORM.S.INV(AA10)-(SQRT(Baseline!$AF$11)*'MacroPD-Cal'!$AP$5))/SQRT(1-Baseline!$AF$11))</f>
        <v>1.0591782751213229E-3</v>
      </c>
      <c r="AU10" s="355">
        <f>NORMSDIST((_xlfn.NORM.S.INV(AB10)-(SQRT(Baseline!$AF$11)*'MacroPD-Cal'!$AP$6))/SQRT(1-Baseline!$AF$11))</f>
        <v>1.11923753073821E-3</v>
      </c>
      <c r="AV10" s="355">
        <f>NORMSDIST((_xlfn.NORM.S.INV(AC10)-(SQRT(Baseline!$AF$11)*'MacroPD-Cal'!$AP$7))/SQRT(1-Baseline!$AF$11))</f>
        <v>1.5430636975462641E-3</v>
      </c>
      <c r="AW10" s="355">
        <f>NORMSDIST((_xlfn.NORM.S.INV(AD10)-(SQRT(Baseline!$AF$11)*'MacroPD-Cal'!$AP$8))/SQRT(1-Baseline!$AF$11))</f>
        <v>3.0334636289468314E-3</v>
      </c>
      <c r="AX10" s="355">
        <f>NORMSDIST((_xlfn.NORM.S.INV(AE10)-(SQRT(Baseline!$AF$11)*'MacroPD-Cal'!$AP$9))/SQRT(1-Baseline!$AF$11))</f>
        <v>3.4879648284333021E-3</v>
      </c>
      <c r="AY10" s="355">
        <f t="shared" si="11"/>
        <v>6.0486570195356949E-4</v>
      </c>
      <c r="AZ10" s="355">
        <f t="shared" si="12"/>
        <v>1.3441148553201554E-3</v>
      </c>
      <c r="BA10" s="355">
        <f t="shared" si="13"/>
        <v>2.1020554514414869E-3</v>
      </c>
      <c r="BB10" s="355">
        <f t="shared" si="14"/>
        <v>3.1000000000000003E-3</v>
      </c>
      <c r="BC10" s="355"/>
      <c r="BD10" s="355"/>
      <c r="BE10" s="355"/>
      <c r="BF10" s="281"/>
      <c r="BG10" s="355">
        <f>NORMSDIST((_xlfn.NORM.S.INV($AA10)-(SQRT(Baseline!$AF$11)*'MacroPD-Cal'!$BF$2))/SQRT(1-Baseline!$AF$11))</f>
        <v>5.6575897705781494E-4</v>
      </c>
      <c r="BH10" s="355">
        <f>NORMSDIST((_xlfn.NORM.S.INV($AA10)-(SQRT(Baseline!$AF$11)*'MacroPD-Cal'!$BF$3))/SQRT(1-Baseline!$AF$11))</f>
        <v>8.6416787161985073E-4</v>
      </c>
      <c r="BI10" s="355">
        <f>NORMSDIST((_xlfn.NORM.S.INV($AA10)-(SQRT(Baseline!$AF$11)*'MacroPD-Cal'!$BF$4))/SQRT(1-Baseline!$AF$11))</f>
        <v>1.3655516102969493E-3</v>
      </c>
      <c r="BJ10" s="355">
        <f>NORMSDIST((_xlfn.NORM.S.INV($AA10)-(SQRT(Baseline!$AF$11)*'MacroPD-Cal'!$BF$5))/SQRT(1-Baseline!$AF$11))</f>
        <v>1.9134846573924708E-3</v>
      </c>
      <c r="BK10" s="355">
        <f>NORMSDIST((_xlfn.NORM.S.INV($AB10)-(SQRT(Baseline!$AF$11)*'MacroPD-Cal'!$BF$6))/SQRT(1-Baseline!$AF$11))</f>
        <v>8.4361264124572163E-3</v>
      </c>
      <c r="BL10" s="355">
        <f>NORMSDIST((_xlfn.NORM.S.INV($AC10)-(SQRT(Baseline!$AF$11)*'MacroPD-Cal'!$BF$7))/SQRT(1-Baseline!$AF$11))</f>
        <v>5.2952935967137584E-4</v>
      </c>
      <c r="BM10" s="355">
        <f>NORMSDIST((_xlfn.NORM.S.INV($AD10)-(SQRT(Baseline!$AF$11)*'MacroPD-Cal'!$BF$8))/SQRT(1-Baseline!$AF$11))</f>
        <v>1.6099950759180467E-3</v>
      </c>
      <c r="BN10" s="355">
        <f>NORMSDIST((_xlfn.NORM.S.INV($AE10)-(SQRT(Baseline!$AF$11)*'MacroPD-Cal'!$BF$9))/SQRT(1-Baseline!$AF$11))</f>
        <v>2.593354231471571E-3</v>
      </c>
      <c r="BO10" s="355">
        <f t="shared" si="15"/>
        <v>5.6575897705781494E-4</v>
      </c>
      <c r="BP10" s="355">
        <f t="shared" si="16"/>
        <v>1.4294379379465871E-3</v>
      </c>
      <c r="BQ10" s="355">
        <f t="shared" si="17"/>
        <v>2.7930375769655846E-3</v>
      </c>
      <c r="BR10" s="355">
        <f t="shared" si="18"/>
        <v>4.7000000000000002E-3</v>
      </c>
      <c r="BS10" s="281"/>
      <c r="BT10" s="355"/>
      <c r="BU10" s="281"/>
      <c r="BV10" s="355">
        <f>NORMSDIST((_xlfn.NORM.S.INV($AA10)-(SQRT(Baseline!$AF$11)*'MacroPD-Cal'!$BU$2))/SQRT(1-Baseline!$AF$11))</f>
        <v>5.3932210576657417E-4</v>
      </c>
      <c r="BW10" s="355">
        <f>NORMSDIST((_xlfn.NORM.S.INV($AA10)-(SQRT(Baseline!$AF$11)*'MacroPD-Cal'!$BU$3))/SQRT(1-Baseline!$AF$11))</f>
        <v>9.1290328861473352E-4</v>
      </c>
      <c r="BX10" s="355">
        <f>NORMSDIST((_xlfn.NORM.S.INV($AA10)-(SQRT(Baseline!$AF$11)*'MacroPD-Cal'!$BU$4))/SQRT(1-Baseline!$AF$11))</f>
        <v>1.2557726649291175E-3</v>
      </c>
      <c r="BY10" s="355">
        <f>NORMSDIST((_xlfn.NORM.S.INV($AA10)-(SQRT(Baseline!$AF$11)*'MacroPD-Cal'!$BU$5))/SQRT(1-Baseline!$AF$11))</f>
        <v>1.6460647271313549E-3</v>
      </c>
      <c r="BZ10" s="355">
        <f>NORMSDIST((_xlfn.NORM.S.INV($AB10)-(SQRT(Baseline!$AF$11)*'MacroPD-Cal'!$BU$6))/SQRT(1-Baseline!$AF$11))</f>
        <v>3.20433661025966E-3</v>
      </c>
      <c r="CA10" s="355">
        <f>NORMSDIST((_xlfn.NORM.S.INV($AC10)-(SQRT(Baseline!$AF$11)*'MacroPD-Cal'!$BU15))/SQRT(1-Baseline!$AF$11))</f>
        <v>1.3900534979212002E-3</v>
      </c>
      <c r="CB10" s="355">
        <f>NORMSDIST((_xlfn.NORM.S.INV($AD10)-(SQRT(Baseline!$AF$11)*'MacroPD-Cal'!$BU$8))/SQRT(1-Baseline!$AF$11))</f>
        <v>3.0574181788525891E-3</v>
      </c>
      <c r="CC10" s="355">
        <f>NORMSDIST((_xlfn.NORM.S.INV($AE10)-(SQRT(Baseline!$AF$11)*'MacroPD-Cal'!$BU$9))/SQRT(1-Baseline!$AF$11))</f>
        <v>2.6667561166338733E-3</v>
      </c>
      <c r="CD10" s="355">
        <f t="shared" si="19"/>
        <v>5.3932210576657417E-4</v>
      </c>
      <c r="CE10" s="355">
        <f t="shared" si="20"/>
        <v>1.4517330454573152E-3</v>
      </c>
      <c r="CF10" s="355">
        <f t="shared" si="21"/>
        <v>2.7056826637111842E-3</v>
      </c>
      <c r="CG10" s="355">
        <f t="shared" si="22"/>
        <v>4.3E-3</v>
      </c>
      <c r="CH10" s="281"/>
      <c r="CI10" s="355"/>
      <c r="CL10" s="168"/>
      <c r="CM10" s="168"/>
      <c r="CN10" s="168"/>
      <c r="CO10" s="168"/>
      <c r="CP10" s="168"/>
      <c r="CR10" s="345">
        <f t="shared" si="23"/>
        <v>0.16548324271224502</v>
      </c>
      <c r="CS10" s="345">
        <f t="shared" si="24"/>
        <v>0.39471016071887122</v>
      </c>
      <c r="CT10" s="345">
        <f t="shared" si="25"/>
        <v>0.66138552324021149</v>
      </c>
      <c r="CU10" s="345">
        <f t="shared" si="26"/>
        <v>1</v>
      </c>
    </row>
    <row r="11" spans="1:103" s="166" customFormat="1" x14ac:dyDescent="0.25">
      <c r="A11" s="464">
        <v>1100000143</v>
      </c>
      <c r="B11" s="470">
        <f>VLOOKUP(A11,'Ref-Data'!A:I,9,FALSE)</f>
        <v>1</v>
      </c>
      <c r="C11" s="445">
        <f>IF(B11="Matured","",VLOOKUP(A11,'Adjustment Factor'!A:C,3,0))</f>
        <v>1.36</v>
      </c>
      <c r="D11" s="190">
        <f>VLOOKUP(A11,'Ref-Data'!A:C,2,FALSE)</f>
        <v>206110.05</v>
      </c>
      <c r="E11" s="471">
        <f>IFERROR(IF(VLOOKUP(A11,'Updated Ncino PD'!$A:$K,4,0)=0,"",VLOOKUP(A11,'Updated Ncino PD'!$A:$K,4,0)),AF11)</f>
        <v>1.6959426148996797E-2</v>
      </c>
      <c r="F11" s="472">
        <f>IFERROR(IF(VLOOKUP(A11,'Updated Ncino PD'!$A:$K,5,0)=0,"",VLOOKUP(A11,'Updated Ncino PD'!$A:$K,5,0)),1-((1-AG11)*(1-E11)))</f>
        <v>3.7928706334737328E-2</v>
      </c>
      <c r="G11" s="472">
        <f>IFERROR(IF(VLOOKUP(A11,'Updated Ncino PD'!$A:$K,6,0)=0,"",VLOOKUP(A11,'Updated Ncino PD'!$A:$K,6,0)),1-((1-AF11)*(1-AG11)*(1-AH11)))</f>
        <v>6.0749195279698576E-2</v>
      </c>
      <c r="H11" s="472">
        <f>IFERROR(IF(VLOOKUP(A11,'Updated Ncino PD'!$A:$K,7,0)=0,"",VLOOKUP(A11,'Updated Ncino PD'!$A:$K,7,0)),IFERROR(VLOOKUP(A11,'Updated Ncino PD'!A:B,2,FALSE),FLOOR(1-((1-AG11)*(1-AH11)*(1-AI11)*(1-AF11)),$R$11)))</f>
        <v>8.8300000000000003E-2</v>
      </c>
      <c r="I11" s="472">
        <f>IFERROR(IF(VLOOKUP(A11,'Updated Ncino PD'!$A:$K,8,0)=0,"",VLOOKUP(A11,'Updated Ncino PD'!$A:$K,8,0)),FLOOR(1-((1-H11)*(1-AJ11)),$R$11))</f>
        <v>0.13620000000000002</v>
      </c>
      <c r="J11" s="472">
        <f>IFERROR(IF(VLOOKUP(A11,'Updated Ncino PD'!$A:$K,9,0)=0,"",VLOOKUP(A11,'Updated Ncino PD'!$A:$K,9,0)),FLOOR(1-((1-H11)*(1-AJ11)*(1-AK11)),$R$11))</f>
        <v>0.16590000000000002</v>
      </c>
      <c r="K11" s="472">
        <f>IFERROR(IF(VLOOKUP(A11,'Updated Ncino PD'!$A:$K,10,0)=0,"",VLOOKUP(A11,'Updated Ncino PD'!$A:$K,10,0)),FLOOR(1-((1-H11)*(1-AJ11)*(1-AK11)*(1-AL11)),$R$11))</f>
        <v>0.21990000000000001</v>
      </c>
      <c r="L11" s="472">
        <f>IFERROR(IF(VLOOKUP(A11,'Updated Ncino PD'!$A:$K,11,0)=0,"",VLOOKUP(A11,'Updated Ncino PD'!$A:$K,11,0)),FLOOR(1-((1-H11)*(1-AJ11)*(1-AK11)*(1-AL11)*(1-AM11)),$R$11))</f>
        <v>0.27110000000000001</v>
      </c>
      <c r="M11" s="224">
        <f>VLOOKUP(A11,'Ref-Data'!$A:$F,6,FALSE)</f>
        <v>0.63244353182751545</v>
      </c>
      <c r="N11" s="191">
        <f t="shared" si="3"/>
        <v>5.6789496233695891E-2</v>
      </c>
      <c r="O11" s="191">
        <f t="shared" si="4"/>
        <v>8.8300000000000003E-2</v>
      </c>
      <c r="P11" s="459" t="str">
        <f>VLOOKUP(A11,'Loan Book Summary'!C:G,5,FALSE)</f>
        <v>0015800000YDm0R</v>
      </c>
      <c r="Q11" s="166" t="s">
        <v>1033</v>
      </c>
      <c r="R11" s="204">
        <v>1E-4</v>
      </c>
      <c r="S11" s="203"/>
      <c r="T11" s="332">
        <f>IFERROR(VLOOKUP($P11,'Model Output-LoanNameUpdate'!$A:$K,2,FALSE),CL11)</f>
        <v>4.9619999999999997E-2</v>
      </c>
      <c r="U11" s="332">
        <f>1-(1-IFERROR(VLOOKUP($P11,'Model Output-LoanNameUpdate'!$A:$K,2,FALSE),CL11))^(1/4)</f>
        <v>1.2642744049499721E-2</v>
      </c>
      <c r="V11" s="332">
        <f>IFERROR(VLOOKUP($P11,'Model Output-LoanNameUpdate'!$A:$K,3,FALSE),CM11)</f>
        <v>4.5170000000000002E-2</v>
      </c>
      <c r="W11" s="332">
        <f>IFERROR(VLOOKUP($P11,'Model Output-LoanNameUpdate'!$A:$K,4,FALSE),CN11)</f>
        <v>4.2764999999999997E-2</v>
      </c>
      <c r="X11" s="332">
        <f>IFERROR(VLOOKUP($P11,'Model Output-LoanNameUpdate'!$A:$K,5,FALSE),CO11)</f>
        <v>4.1260000000000005E-2</v>
      </c>
      <c r="Y11" s="332">
        <f>IFERROR(VLOOKUP($P11,'Model Output-LoanNameUpdate'!$A:$K,6,FALSE),CP11)</f>
        <v>4.0154999999999996E-2</v>
      </c>
      <c r="Z11" s="207">
        <f t="shared" si="5"/>
        <v>1.36</v>
      </c>
      <c r="AA11" s="208">
        <f t="shared" si="6"/>
        <v>1.7194131907319624E-2</v>
      </c>
      <c r="AB11" s="208">
        <f t="shared" si="7"/>
        <v>6.1431200000000005E-2</v>
      </c>
      <c r="AC11" s="208">
        <f t="shared" si="8"/>
        <v>5.8160400000000001E-2</v>
      </c>
      <c r="AD11" s="208">
        <f t="shared" si="9"/>
        <v>5.6113600000000013E-2</v>
      </c>
      <c r="AE11" s="208">
        <f t="shared" si="10"/>
        <v>5.4610800000000001E-2</v>
      </c>
      <c r="AF11" s="332">
        <f>NORMSDIST((_xlfn.NORM.S.INV(AA11)-(SQRT(Baseline!$AF$11)*'MacroPD-Cal'!$R$2))/SQRT(1-Baseline!$AF$11))</f>
        <v>1.6959426148996797E-2</v>
      </c>
      <c r="AG11" s="332">
        <f>NORMSDIST((_xlfn.NORM.S.INV(AA11)-(SQRT(Baseline!$AF$11)*'MacroPD-Cal'!$R$3))/SQRT(1-Baseline!$AF$11))</f>
        <v>2.1331042424418519E-2</v>
      </c>
      <c r="AH11" s="332">
        <f>NORMSDIST((_xlfn.NORM.S.INV(AA11)-(SQRT(Baseline!$AF$11)*'MacroPD-Cal'!$R$4))/SQRT(1-Baseline!$AF$11))</f>
        <v>2.372016408266444E-2</v>
      </c>
      <c r="AI11" s="332">
        <f>NORMSDIST((_xlfn.NORM.S.INV(AA11)-(SQRT(Baseline!$AF$11)*'MacroPD-Cal'!$R$5))/SQRT(1-Baseline!$AF$11))</f>
        <v>2.9429516379740617E-2</v>
      </c>
      <c r="AJ11" s="332">
        <f>NORMSDIST((_xlfn.NORM.S.INV(AB11)-(SQRT(Baseline!$AF$11)*'MacroPD-Cal'!$R$6))/SQRT(1-Baseline!$AF$11))</f>
        <v>5.2541549987033018E-2</v>
      </c>
      <c r="AK11" s="332">
        <f>NORMSDIST((_xlfn.NORM.S.INV(AC11)-(SQRT(Baseline!$AF$11)*'MacroPD-Cal'!$R$7))/SQRT(1-Baseline!$AF$11))</f>
        <v>3.4446896436177446E-2</v>
      </c>
      <c r="AL11" s="332">
        <f>NORMSDIST((_xlfn.NORM.S.INV(AD11)-(SQRT(Baseline!$AF$11)*'MacroPD-Cal'!$R$8))/SQRT(1-Baseline!$AF$11))</f>
        <v>6.4733370901538217E-2</v>
      </c>
      <c r="AM11" s="332">
        <f>NORMSDIST((_xlfn.NORM.S.INV(AE11)-(SQRT(Baseline!$AF$11)*'MacroPD-Cal'!$R$9))/SQRT(1-Baseline!$AF$11))</f>
        <v>6.5659032964115099E-2</v>
      </c>
      <c r="AO11" s="355" t="s">
        <v>1033</v>
      </c>
      <c r="AP11" s="284">
        <v>1E-4</v>
      </c>
      <c r="AQ11" s="355">
        <f>NORMSDIST((_xlfn.NORM.S.INV(AA11)-(SQRT(Baseline!$AF$11)*'MacroPD-Cal'!$AP$2))/SQRT(1-Baseline!$AF$11))</f>
        <v>1.7486255331891288E-2</v>
      </c>
      <c r="AR11" s="355">
        <f>NORMSDIST((_xlfn.NORM.S.INV(AA11)-(SQRT(Baseline!$AF$11)*'MacroPD-Cal'!$AP$3))/SQRT(1-Baseline!$AF$11))</f>
        <v>2.0143381594167769E-2</v>
      </c>
      <c r="AS11" s="355">
        <f>NORMSDIST((_xlfn.NORM.S.INV(AA11)-(SQRT(Baseline!$AF$11)*'MacroPD-Cal'!$AP$4))/SQRT(1-Baseline!$AF$11))</f>
        <v>2.050958726858404E-2</v>
      </c>
      <c r="AT11" s="355">
        <f>NORMSDIST((_xlfn.NORM.S.INV(AA11)-(SQRT(Baseline!$AF$11)*'MacroPD-Cal'!$AP$5))/SQRT(1-Baseline!$AF$11))</f>
        <v>2.5874402051979741E-2</v>
      </c>
      <c r="AU11" s="355">
        <f>NORMSDIST((_xlfn.NORM.S.INV(AB11)-(SQRT(Baseline!$AF$11)*'MacroPD-Cal'!$AP$6))/SQRT(1-Baseline!$AF$11))</f>
        <v>3.8385855001496404E-2</v>
      </c>
      <c r="AV11" s="355">
        <f>NORMSDIST((_xlfn.NORM.S.INV(AC11)-(SQRT(Baseline!$AF$11)*'MacroPD-Cal'!$AP$7))/SQRT(1-Baseline!$AF$11))</f>
        <v>4.4359979564107914E-2</v>
      </c>
      <c r="AW11" s="355">
        <f>NORMSDIST((_xlfn.NORM.S.INV(AD11)-(SQRT(Baseline!$AF$11)*'MacroPD-Cal'!$AP$8))/SQRT(1-Baseline!$AF$11))</f>
        <v>6.5902328061380772E-2</v>
      </c>
      <c r="AX11" s="355">
        <f>NORMSDIST((_xlfn.NORM.S.INV(AE11)-(SQRT(Baseline!$AF$11)*'MacroPD-Cal'!$AP$9))/SQRT(1-Baseline!$AF$11))</f>
        <v>7.0348311230212263E-2</v>
      </c>
      <c r="AY11" s="355">
        <f t="shared" si="11"/>
        <v>1.7486255331891288E-2</v>
      </c>
      <c r="AZ11" s="355">
        <f t="shared" si="12"/>
        <v>3.7277404612255705E-2</v>
      </c>
      <c r="BA11" s="355">
        <f t="shared" si="13"/>
        <v>5.7022447697798406E-2</v>
      </c>
      <c r="BB11" s="355">
        <f t="shared" si="14"/>
        <v>8.14E-2</v>
      </c>
      <c r="BC11" s="355"/>
      <c r="BD11" s="355"/>
      <c r="BE11" s="355" t="s">
        <v>1033</v>
      </c>
      <c r="BF11" s="284">
        <v>1E-4</v>
      </c>
      <c r="BG11" s="355">
        <f>NORMSDIST((_xlfn.NORM.S.INV($AA11)-(SQRT(Baseline!$AF$11)*'MacroPD-Cal'!$BF$2))/SQRT(1-Baseline!$AF$11))</f>
        <v>1.6680817192317732E-2</v>
      </c>
      <c r="BH11" s="355">
        <f>NORMSDIST((_xlfn.NORM.S.INV($AA11)-(SQRT(Baseline!$AF$11)*'MacroPD-Cal'!$BF$3))/SQRT(1-Baseline!$AF$11))</f>
        <v>2.2458373102470078E-2</v>
      </c>
      <c r="BI11" s="355">
        <f>NORMSDIST((_xlfn.NORM.S.INV($AA11)-(SQRT(Baseline!$AF$11)*'MacroPD-Cal'!$BF$4))/SQRT(1-Baseline!$AF$11))</f>
        <v>3.0840122391523579E-2</v>
      </c>
      <c r="BJ11" s="355">
        <f>NORMSDIST((_xlfn.NORM.S.INV($AA11)-(SQRT(Baseline!$AF$11)*'MacroPD-Cal'!$BF$5))/SQRT(1-Baseline!$AF$11))</f>
        <v>3.8850521791047608E-2</v>
      </c>
      <c r="BK11" s="355">
        <f>NORMSDIST((_xlfn.NORM.S.INV($AB11)-(SQRT(Baseline!$AF$11)*'MacroPD-Cal'!$BF$6))/SQRT(1-Baseline!$AF$11))</f>
        <v>0.13510223200240831</v>
      </c>
      <c r="BL11" s="355">
        <f>NORMSDIST((_xlfn.NORM.S.INV($AC11)-(SQRT(Baseline!$AF$11)*'MacroPD-Cal'!$BF$7))/SQRT(1-Baseline!$AF$11))</f>
        <v>2.1821096638254309E-2</v>
      </c>
      <c r="BM11" s="355">
        <f>NORMSDIST((_xlfn.NORM.S.INV($AD11)-(SQRT(Baseline!$AF$11)*'MacroPD-Cal'!$BF$8))/SQRT(1-Baseline!$AF$11))</f>
        <v>4.3744176176908796E-2</v>
      </c>
      <c r="BN11" s="355">
        <f>NORMSDIST((_xlfn.NORM.S.INV($AE11)-(SQRT(Baseline!$AF$11)*'MacroPD-Cal'!$BF$9))/SQRT(1-Baseline!$AF$11))</f>
        <v>5.8159413954118382E-2</v>
      </c>
      <c r="BO11" s="355">
        <f t="shared" si="15"/>
        <v>1.6680817192317732E-2</v>
      </c>
      <c r="BP11" s="355">
        <f t="shared" si="16"/>
        <v>3.8764566278628676E-2</v>
      </c>
      <c r="BQ11" s="355">
        <f t="shared" si="17"/>
        <v>6.8409184701665016E-2</v>
      </c>
      <c r="BR11" s="355">
        <f t="shared" si="18"/>
        <v>0.1046</v>
      </c>
      <c r="BS11" s="284"/>
      <c r="BT11" s="355" t="s">
        <v>1033</v>
      </c>
      <c r="BU11" s="284">
        <v>1E-4</v>
      </c>
      <c r="BV11" s="355">
        <f>NORMSDIST((_xlfn.NORM.S.INV($AA11)-(SQRT(Baseline!$AF$11)*'MacroPD-Cal'!$BU$2))/SQRT(1-Baseline!$AF$11))</f>
        <v>1.6126200970839746E-2</v>
      </c>
      <c r="BW11" s="355">
        <f>NORMSDIST((_xlfn.NORM.S.INV($AA11)-(SQRT(Baseline!$AF$11)*'MacroPD-Cal'!$BU$3))/SQRT(1-Baseline!$AF$11))</f>
        <v>2.3334269175207391E-2</v>
      </c>
      <c r="BX11" s="355">
        <f>NORMSDIST((_xlfn.NORM.S.INV($AA11)-(SQRT(Baseline!$AF$11)*'MacroPD-Cal'!$BU$4))/SQRT(1-Baseline!$AF$11))</f>
        <v>2.9109330137280866E-2</v>
      </c>
      <c r="BY11" s="355">
        <f>NORMSDIST((_xlfn.NORM.S.INV($AA11)-(SQRT(Baseline!$AF$11)*'MacroPD-Cal'!$BU$5))/SQRT(1-Baseline!$AF$11))</f>
        <v>3.5058240589554972E-2</v>
      </c>
      <c r="BZ11" s="355">
        <f>NORMSDIST((_xlfn.NORM.S.INV($AB11)-(SQRT(Baseline!$AF$11)*'MacroPD-Cal'!$BU$6))/SQRT(1-Baseline!$AF$11))</f>
        <v>7.5044609438310608E-2</v>
      </c>
      <c r="CA11" s="355">
        <f>NORMSDIST((_xlfn.NORM.S.INV($AC11)-(SQRT(Baseline!$AF$11)*'MacroPD-Cal'!$BU16))/SQRT(1-Baseline!$AF$11))</f>
        <v>4.1439281551833657E-2</v>
      </c>
      <c r="CB11" s="355">
        <f>NORMSDIST((_xlfn.NORM.S.INV($AD11)-(SQRT(Baseline!$AF$11)*'MacroPD-Cal'!$BU$8))/SQRT(1-Baseline!$AF$11))</f>
        <v>6.6234003594934199E-2</v>
      </c>
      <c r="CC11" s="355">
        <f>NORMSDIST((_xlfn.NORM.S.INV($AE11)-(SQRT(Baseline!$AF$11)*'MacroPD-Cal'!$BU$9))/SQRT(1-Baseline!$AF$11))</f>
        <v>5.921714289863024E-2</v>
      </c>
      <c r="CD11" s="355">
        <f t="shared" si="19"/>
        <v>1.6126200970839746E-2</v>
      </c>
      <c r="CE11" s="355">
        <f t="shared" si="20"/>
        <v>3.90841770318201E-2</v>
      </c>
      <c r="CF11" s="355">
        <f t="shared" si="21"/>
        <v>6.7055792956737803E-2</v>
      </c>
      <c r="CG11" s="355">
        <f t="shared" si="22"/>
        <v>9.9700000000000011E-2</v>
      </c>
      <c r="CH11" s="284"/>
      <c r="CI11" s="355"/>
      <c r="CL11" s="168"/>
      <c r="CM11" s="168"/>
      <c r="CN11" s="168"/>
      <c r="CO11" s="168"/>
      <c r="CP11" s="168"/>
      <c r="CR11" s="345">
        <f t="shared" si="23"/>
        <v>0.19206598130234198</v>
      </c>
      <c r="CS11" s="345">
        <f t="shared" si="24"/>
        <v>0.42954367310008296</v>
      </c>
      <c r="CT11" s="345">
        <f t="shared" si="25"/>
        <v>0.68798635650847761</v>
      </c>
      <c r="CU11" s="345">
        <f t="shared" si="26"/>
        <v>1</v>
      </c>
    </row>
    <row r="12" spans="1:103" s="166" customFormat="1" x14ac:dyDescent="0.25">
      <c r="A12" s="464">
        <v>1100000153</v>
      </c>
      <c r="B12" s="470">
        <f>VLOOKUP(A12,'Ref-Data'!A:I,9,FALSE)</f>
        <v>1</v>
      </c>
      <c r="C12" s="445">
        <f>IF(B12="Matured","",VLOOKUP(A12,'Adjustment Factor'!A:C,3,0))</f>
        <v>0.85</v>
      </c>
      <c r="D12" s="190">
        <f>VLOOKUP(A12,'Ref-Data'!A:C,2,FALSE)</f>
        <v>40245859.899999999</v>
      </c>
      <c r="E12" s="471">
        <f>IFERROR(IF(VLOOKUP(A12,'Updated Ncino PD'!$A:$K,4,0)=0,"",VLOOKUP(A12,'Updated Ncino PD'!$A:$K,4,0)),AF12)</f>
        <v>2.5522499619300774E-2</v>
      </c>
      <c r="F12" s="472">
        <f>IFERROR(IF(VLOOKUP(A12,'Updated Ncino PD'!$A:$K,5,0)=0,"",VLOOKUP(A12,'Updated Ncino PD'!$A:$K,5,0)),1-((1-AG12)*(1-E12)))</f>
        <v>5.6365334901311459E-2</v>
      </c>
      <c r="G12" s="472">
        <f>IFERROR(IF(VLOOKUP(A12,'Updated Ncino PD'!$A:$K,6,0)=0,"",VLOOKUP(A12,'Updated Ncino PD'!$A:$K,6,0)),1-((1-AF12)*(1-AG12)*(1-AH12)))</f>
        <v>8.9355863861766638E-2</v>
      </c>
      <c r="H12" s="472">
        <f>IFERROR(IF(VLOOKUP(A12,'Updated Ncino PD'!$A:$K,7,0)=0,"",VLOOKUP(A12,'Updated Ncino PD'!$A:$K,7,0)),IFERROR(VLOOKUP(A12,'Updated Ncino PD'!A:B,2,FALSE),FLOOR(1-((1-AG12)*(1-AH12)*(1-AI12)*(1-AF12)),$R$11)))</f>
        <v>0.1283</v>
      </c>
      <c r="I12" s="472">
        <f>IFERROR(IF(VLOOKUP(A12,'Updated Ncino PD'!$A:$K,8,0)=0,"",VLOOKUP(A12,'Updated Ncino PD'!$A:$K,8,0)),FLOOR(1-((1-H12)*(1-AJ12)),$R$11))</f>
        <v>0.1852</v>
      </c>
      <c r="J12" s="472">
        <f>IFERROR(IF(VLOOKUP(A12,'Updated Ncino PD'!$A:$K,9,0)=0,"",VLOOKUP(A12,'Updated Ncino PD'!$A:$K,9,0)),FLOOR(1-((1-H12)*(1-AJ12)*(1-AK12)),$R$11))</f>
        <v>0.21690000000000001</v>
      </c>
      <c r="K12" s="472">
        <f>IFERROR(IF(VLOOKUP(A12,'Updated Ncino PD'!$A:$K,10,0)=0,"",VLOOKUP(A12,'Updated Ncino PD'!$A:$K,10,0)),FLOOR(1-((1-H12)*(1-AJ12)*(1-AK12)*(1-AL12)),$R$11))</f>
        <v>0.26940000000000003</v>
      </c>
      <c r="L12" s="472">
        <f>IFERROR(IF(VLOOKUP(A12,'Updated Ncino PD'!$A:$K,11,0)=0,"",VLOOKUP(A12,'Updated Ncino PD'!$A:$K,11,0)),FLOOR(1-((1-H12)*(1-AJ12)*(1-AK12)*(1-AL12)*(1-AM12)),$R$11))</f>
        <v>0.31620000000000004</v>
      </c>
      <c r="M12" s="224">
        <f>VLOOKUP(A12,'Ref-Data'!$A:$F,6,FALSE)</f>
        <v>1.4045174537987679</v>
      </c>
      <c r="N12" s="191">
        <f t="shared" si="3"/>
        <v>0.1283</v>
      </c>
      <c r="O12" s="191">
        <f t="shared" si="4"/>
        <v>0.1852</v>
      </c>
      <c r="P12" s="459" t="str">
        <f>VLOOKUP(A12,'Loan Book Summary'!C:G,5,FALSE)</f>
        <v>0015800001b11sC</v>
      </c>
      <c r="S12" s="203"/>
      <c r="T12" s="332">
        <f>IFERROR(VLOOKUP($P12,'Model Output-LoanNameUpdate'!$A:$K,2,FALSE),CL12)</f>
        <v>0.11214499999999999</v>
      </c>
      <c r="U12" s="332">
        <f>1-(1-IFERROR(VLOOKUP($P12,'Model Output-LoanNameUpdate'!$A:$K,2,FALSE),CL12))^(1/4)</f>
        <v>2.9298923627888218E-2</v>
      </c>
      <c r="V12" s="332">
        <f>IFERROR(VLOOKUP($P12,'Model Output-LoanNameUpdate'!$A:$K,3,FALSE),CM12)</f>
        <v>8.7529999999999997E-2</v>
      </c>
      <c r="W12" s="332">
        <f>IFERROR(VLOOKUP($P12,'Model Output-LoanNameUpdate'!$A:$K,4,FALSE),CN12)</f>
        <v>7.5595000000000009E-2</v>
      </c>
      <c r="X12" s="332">
        <f>IFERROR(VLOOKUP($P12,'Model Output-LoanNameUpdate'!$A:$K,5,FALSE),CO12)</f>
        <v>6.8144999999999997E-2</v>
      </c>
      <c r="Y12" s="332">
        <f>IFERROR(VLOOKUP($P12,'Model Output-LoanNameUpdate'!$A:$K,6,FALSE),CP12)</f>
        <v>6.2839999999999993E-2</v>
      </c>
      <c r="Z12" s="207">
        <f t="shared" si="5"/>
        <v>0.85</v>
      </c>
      <c r="AA12" s="208">
        <f t="shared" si="6"/>
        <v>2.4904085083704983E-2</v>
      </c>
      <c r="AB12" s="208">
        <f t="shared" si="7"/>
        <v>7.4400499999999994E-2</v>
      </c>
      <c r="AC12" s="208">
        <f t="shared" si="8"/>
        <v>6.425575E-2</v>
      </c>
      <c r="AD12" s="208">
        <f t="shared" si="9"/>
        <v>5.7923249999999996E-2</v>
      </c>
      <c r="AE12" s="208">
        <f t="shared" si="10"/>
        <v>5.3413999999999989E-2</v>
      </c>
      <c r="AF12" s="332">
        <f>NORMSDIST((_xlfn.NORM.S.INV(AA12)-(SQRT(Baseline!$AF$11)*'MacroPD-Cal'!$R$2))/SQRT(1-Baseline!$AF$11))</f>
        <v>2.5522499619300774E-2</v>
      </c>
      <c r="AG12" s="332">
        <f>NORMSDIST((_xlfn.NORM.S.INV(AA12)-(SQRT(Baseline!$AF$11)*'MacroPD-Cal'!$R$3))/SQRT(1-Baseline!$AF$11))</f>
        <v>3.1650638696082069E-2</v>
      </c>
      <c r="AH12" s="332">
        <f>NORMSDIST((_xlfn.NORM.S.INV(AA12)-(SQRT(Baseline!$AF$11)*'MacroPD-Cal'!$R$4))/SQRT(1-Baseline!$AF$11))</f>
        <v>3.4961124448522563E-2</v>
      </c>
      <c r="AI12" s="332">
        <f>NORMSDIST((_xlfn.NORM.S.INV(AA12)-(SQRT(Baseline!$AF$11)*'MacroPD-Cal'!$R$5))/SQRT(1-Baseline!$AF$11))</f>
        <v>4.2778876163829527E-2</v>
      </c>
      <c r="AJ12" s="332">
        <f>NORMSDIST((_xlfn.NORM.S.INV(AB12)-(SQRT(Baseline!$AF$11)*'MacroPD-Cal'!$R$6))/SQRT(1-Baseline!$AF$11))</f>
        <v>6.5360079984286668E-2</v>
      </c>
      <c r="AK12" s="332">
        <f>NORMSDIST((_xlfn.NORM.S.INV(AC12)-(SQRT(Baseline!$AF$11)*'MacroPD-Cal'!$R$7))/SQRT(1-Baseline!$AF$11))</f>
        <v>3.8912334091353314E-2</v>
      </c>
      <c r="AL12" s="332">
        <f>NORMSDIST((_xlfn.NORM.S.INV(AD12)-(SQRT(Baseline!$AF$11)*'MacroPD-Cal'!$R$8))/SQRT(1-Baseline!$AF$11))</f>
        <v>6.6969793174944711E-2</v>
      </c>
      <c r="AM12" s="332">
        <f>NORMSDIST((_xlfn.NORM.S.INV(AE12)-(SQRT(Baseline!$AF$11)*'MacroPD-Cal'!$R$9))/SQRT(1-Baseline!$AF$11))</f>
        <v>6.4132776042127151E-2</v>
      </c>
      <c r="AO12" s="355"/>
      <c r="AP12" s="355"/>
      <c r="AQ12" s="355">
        <f>NORMSDIST((_xlfn.NORM.S.INV(AA12)-(SQRT(Baseline!$AF$11)*'MacroPD-Cal'!$AP$2))/SQRT(1-Baseline!$AF$11))</f>
        <v>2.6266334198221764E-2</v>
      </c>
      <c r="AR12" s="355">
        <f>NORMSDIST((_xlfn.NORM.S.INV(AA12)-(SQRT(Baseline!$AF$11)*'MacroPD-Cal'!$AP$3))/SQRT(1-Baseline!$AF$11))</f>
        <v>2.9995294039948932E-2</v>
      </c>
      <c r="AS12" s="355">
        <f>NORMSDIST((_xlfn.NORM.S.INV(AA12)-(SQRT(Baseline!$AF$11)*'MacroPD-Cal'!$AP$4))/SQRT(1-Baseline!$AF$11))</f>
        <v>3.0506422300640459E-2</v>
      </c>
      <c r="AT12" s="355">
        <f>NORMSDIST((_xlfn.NORM.S.INV(AA12)-(SQRT(Baseline!$AF$11)*'MacroPD-Cal'!$AP$5))/SQRT(1-Baseline!$AF$11))</f>
        <v>3.7925524413518576E-2</v>
      </c>
      <c r="AU12" s="355">
        <f>NORMSDIST((_xlfn.NORM.S.INV(AB12)-(SQRT(Baseline!$AF$11)*'MacroPD-Cal'!$AP$6))/SQRT(1-Baseline!$AF$11))</f>
        <v>4.8426478076448065E-2</v>
      </c>
      <c r="AV12" s="355">
        <f>NORMSDIST((_xlfn.NORM.S.INV(AC12)-(SQRT(Baseline!$AF$11)*'MacroPD-Cal'!$AP$7))/SQRT(1-Baseline!$AF$11))</f>
        <v>4.9828060736393787E-2</v>
      </c>
      <c r="AW12" s="355">
        <f>NORMSDIST((_xlfn.NORM.S.INV(AD12)-(SQRT(Baseline!$AF$11)*'MacroPD-Cal'!$AP$8))/SQRT(1-Baseline!$AF$11))</f>
        <v>6.816983407884443E-2</v>
      </c>
      <c r="AX12" s="355">
        <f>NORMSDIST((_xlfn.NORM.S.INV(AE12)-(SQRT(Baseline!$AF$11)*'MacroPD-Cal'!$AP$9))/SQRT(1-Baseline!$AF$11))</f>
        <v>6.8738208887352048E-2</v>
      </c>
      <c r="AY12" s="355">
        <f t="shared" si="11"/>
        <v>2.6266334198221764E-2</v>
      </c>
      <c r="AZ12" s="355">
        <f t="shared" si="12"/>
        <v>5.5473761820543532E-2</v>
      </c>
      <c r="BA12" s="355">
        <f t="shared" si="13"/>
        <v>8.4287878116481418E-2</v>
      </c>
      <c r="BB12" s="355">
        <f t="shared" si="14"/>
        <v>0.11900000000000001</v>
      </c>
      <c r="BC12" s="355"/>
      <c r="BD12" s="355"/>
      <c r="BE12" s="355"/>
      <c r="BF12" s="355"/>
      <c r="BG12" s="355">
        <f>NORMSDIST((_xlfn.NORM.S.INV($AA12)-(SQRT(Baseline!$AF$11)*'MacroPD-Cal'!$BF$2))/SQRT(1-Baseline!$AF$11))</f>
        <v>2.5128491576243236E-2</v>
      </c>
      <c r="BH12" s="355">
        <f>NORMSDIST((_xlfn.NORM.S.INV($AA12)-(SQRT(Baseline!$AF$11)*'MacroPD-Cal'!$BF$3))/SQRT(1-Baseline!$AF$11))</f>
        <v>3.3215856091848052E-2</v>
      </c>
      <c r="BI12" s="355">
        <f>NORMSDIST((_xlfn.NORM.S.INV($AA12)-(SQRT(Baseline!$AF$11)*'MacroPD-Cal'!$BF$4))/SQRT(1-Baseline!$AF$11))</f>
        <v>4.4692236693000438E-2</v>
      </c>
      <c r="BJ12" s="355">
        <f>NORMSDIST((_xlfn.NORM.S.INV($AA12)-(SQRT(Baseline!$AF$11)*'MacroPD-Cal'!$BF$5))/SQRT(1-Baseline!$AF$11))</f>
        <v>5.5440026429764332E-2</v>
      </c>
      <c r="BK12" s="355">
        <f>NORMSDIST((_xlfn.NORM.S.INV($AB12)-(SQRT(Baseline!$AF$11)*'MacroPD-Cal'!$BF$6))/SQRT(1-Baseline!$AF$11))</f>
        <v>0.16031475918516541</v>
      </c>
      <c r="BL12" s="355">
        <f>NORMSDIST((_xlfn.NORM.S.INV($AC12)-(SQRT(Baseline!$AF$11)*'MacroPD-Cal'!$BF$7))/SQRT(1-Baseline!$AF$11))</f>
        <v>2.4890247941778115E-2</v>
      </c>
      <c r="BM12" s="355">
        <f>NORMSDIST((_xlfn.NORM.S.INV($AD12)-(SQRT(Baseline!$AF$11)*'MacroPD-Cal'!$BF$8))/SQRT(1-Baseline!$AF$11))</f>
        <v>4.5386339983272954E-2</v>
      </c>
      <c r="BN12" s="355">
        <f>NORMSDIST((_xlfn.NORM.S.INV($AE12)-(SQRT(Baseline!$AF$11)*'MacroPD-Cal'!$BF$9))/SQRT(1-Baseline!$AF$11))</f>
        <v>5.6771536654223707E-2</v>
      </c>
      <c r="BO12" s="355">
        <f t="shared" si="15"/>
        <v>2.5128491576243236E-2</v>
      </c>
      <c r="BP12" s="355">
        <f t="shared" si="16"/>
        <v>5.7509683308089588E-2</v>
      </c>
      <c r="BQ12" s="355">
        <f t="shared" si="17"/>
        <v>9.9631683622545486E-2</v>
      </c>
      <c r="BR12" s="355">
        <f t="shared" si="18"/>
        <v>0.14949999999999999</v>
      </c>
      <c r="BS12" s="355"/>
      <c r="BT12" s="355"/>
      <c r="BU12" s="355"/>
      <c r="BV12" s="355">
        <f>NORMSDIST((_xlfn.NORM.S.INV($AA12)-(SQRT(Baseline!$AF$11)*'MacroPD-Cal'!$BU$2))/SQRT(1-Baseline!$AF$11))</f>
        <v>2.4342808420547413E-2</v>
      </c>
      <c r="BW12" s="355">
        <f>NORMSDIST((_xlfn.NORM.S.INV($AA12)-(SQRT(Baseline!$AF$11)*'MacroPD-Cal'!$BU$3))/SQRT(1-Baseline!$AF$11))</f>
        <v>3.4428091493971129E-2</v>
      </c>
      <c r="BX12" s="355">
        <f>NORMSDIST((_xlfn.NORM.S.INV($AA12)-(SQRT(Baseline!$AF$11)*'MacroPD-Cal'!$BU$4))/SQRT(1-Baseline!$AF$11))</f>
        <v>4.2343627238595478E-2</v>
      </c>
      <c r="BY12" s="355">
        <f>NORMSDIST((_xlfn.NORM.S.INV($AA12)-(SQRT(Baseline!$AF$11)*'MacroPD-Cal'!$BU$5))/SQRT(1-Baseline!$AF$11))</f>
        <v>5.0375496004498539E-2</v>
      </c>
      <c r="BZ12" s="355">
        <f>NORMSDIST((_xlfn.NORM.S.INV($AB12)-(SQRT(Baseline!$AF$11)*'MacroPD-Cal'!$BU$6))/SQRT(1-Baseline!$AF$11))</f>
        <v>9.1793792996486601E-2</v>
      </c>
      <c r="CA12" s="355">
        <f>NORMSDIST((_xlfn.NORM.S.INV($AC12)-(SQRT(Baseline!$AF$11)*'MacroPD-Cal'!$BU17))/SQRT(1-Baseline!$AF$11))</f>
        <v>4.6619216920596271E-2</v>
      </c>
      <c r="CB12" s="355">
        <f>NORMSDIST((_xlfn.NORM.S.INV($AD12)-(SQRT(Baseline!$AF$11)*'MacroPD-Cal'!$BU$8))/SQRT(1-Baseline!$AF$11))</f>
        <v>6.8510294273078143E-2</v>
      </c>
      <c r="CC12" s="355">
        <f>NORMSDIST((_xlfn.NORM.S.INV($AE12)-(SQRT(Baseline!$AF$11)*'MacroPD-Cal'!$BU$9))/SQRT(1-Baseline!$AF$11))</f>
        <v>5.7809414762142915E-2</v>
      </c>
      <c r="CD12" s="355">
        <f t="shared" si="19"/>
        <v>2.4342808420547413E-2</v>
      </c>
      <c r="CE12" s="355">
        <f t="shared" si="20"/>
        <v>5.7932823478995643E-2</v>
      </c>
      <c r="CF12" s="355">
        <f t="shared" si="21"/>
        <v>9.7823364835317173E-2</v>
      </c>
      <c r="CG12" s="355">
        <f t="shared" si="22"/>
        <v>0.14319999999999999</v>
      </c>
      <c r="CH12" s="355"/>
      <c r="CI12" s="355"/>
      <c r="CL12" s="168"/>
      <c r="CM12" s="168"/>
      <c r="CN12" s="168"/>
      <c r="CO12" s="168"/>
      <c r="CP12" s="168"/>
      <c r="CR12" s="345">
        <f t="shared" si="23"/>
        <v>0.19892829009587509</v>
      </c>
      <c r="CS12" s="345">
        <f t="shared" si="24"/>
        <v>0.43932451209128182</v>
      </c>
      <c r="CT12" s="345">
        <f t="shared" si="25"/>
        <v>0.69646035745726143</v>
      </c>
      <c r="CU12" s="345">
        <f t="shared" si="26"/>
        <v>1</v>
      </c>
    </row>
    <row r="13" spans="1:103" s="166" customFormat="1" x14ac:dyDescent="0.25">
      <c r="A13" s="464">
        <v>1100000151</v>
      </c>
      <c r="B13" s="470">
        <f>VLOOKUP(A13,'Ref-Data'!A:I,9,FALSE)</f>
        <v>1</v>
      </c>
      <c r="C13" s="445">
        <f>IF(B13="Matured","",VLOOKUP(A13,'Adjustment Factor'!A:C,3,0))</f>
        <v>1.1828351624093423</v>
      </c>
      <c r="D13" s="190">
        <f>VLOOKUP(A13,'Ref-Data'!A:C,2,FALSE)</f>
        <v>16818750</v>
      </c>
      <c r="E13" s="471">
        <f>IFERROR(IF(VLOOKUP(A13,'Updated Ncino PD'!$A:$K,4,0)=0,"",VLOOKUP(A13,'Updated Ncino PD'!$A:$K,4,0)),AF13)</f>
        <v>4.6855230119654189E-4</v>
      </c>
      <c r="F13" s="472">
        <f>IFERROR(IF(VLOOKUP(A13,'Updated Ncino PD'!$A:$K,5,0)=0,"",VLOOKUP(A13,'Updated Ncino PD'!$A:$K,5,0)),1-((1-AG13)*(1-E13)))</f>
        <v>1.1210892140692819E-3</v>
      </c>
      <c r="G13" s="472">
        <f>IFERROR(IF(VLOOKUP(A13,'Updated Ncino PD'!$A:$K,6,0)=0,"",VLOOKUP(A13,'Updated Ncino PD'!$A:$K,6,0)),1-((1-AF13)*(1-AG13)*(1-AH13)))</f>
        <v>1.8822414398781406E-3</v>
      </c>
      <c r="H13" s="472">
        <f>IFERROR(IF(VLOOKUP(A13,'Updated Ncino PD'!$A:$K,7,0)=0,"",VLOOKUP(A13,'Updated Ncino PD'!$A:$K,7,0)),IFERROR(VLOOKUP(A13,'Updated Ncino PD'!A:B,2,FALSE),FLOOR(1-((1-AG13)*(1-AH13)*(1-AI13)*(1-AF13)),$R$11)))</f>
        <v>2.9000000000000002E-3</v>
      </c>
      <c r="I13" s="472">
        <f>IFERROR(IF(VLOOKUP(A13,'Updated Ncino PD'!$A:$K,8,0)=0,"",VLOOKUP(A13,'Updated Ncino PD'!$A:$K,8,0)),FLOOR(1-((1-H13)*(1-AJ13)),$R$11))</f>
        <v>4.2000000000000006E-3</v>
      </c>
      <c r="J13" s="472">
        <f>IFERROR(IF(VLOOKUP(A13,'Updated Ncino PD'!$A:$K,9,0)=0,"",VLOOKUP(A13,'Updated Ncino PD'!$A:$K,9,0)),FLOOR(1-((1-H13)*(1-AJ13)*(1-AK13)),$R$11))</f>
        <v>5.0000000000000001E-3</v>
      </c>
      <c r="K13" s="472">
        <f>IFERROR(IF(VLOOKUP(A13,'Updated Ncino PD'!$A:$K,10,0)=0,"",VLOOKUP(A13,'Updated Ncino PD'!$A:$K,10,0)),FLOOR(1-((1-H13)*(1-AJ13)*(1-AK13)*(1-AL13)),$R$11))</f>
        <v>7.1000000000000004E-3</v>
      </c>
      <c r="L13" s="472">
        <f>IFERROR(IF(VLOOKUP(A13,'Updated Ncino PD'!$A:$K,11,0)=0,"",VLOOKUP(A13,'Updated Ncino PD'!$A:$K,11,0)),FLOOR(1-((1-H13)*(1-AJ13)*(1-AK13)*(1-AL13)*(1-AM13)),$R$11))</f>
        <v>9.300000000000001E-3</v>
      </c>
      <c r="M13" s="224">
        <f>VLOOKUP(A13,'Ref-Data'!$A:$F,6,FALSE)</f>
        <v>2.0588637919233403</v>
      </c>
      <c r="N13" s="191">
        <f t="shared" si="3"/>
        <v>2.9000000000000002E-3</v>
      </c>
      <c r="O13" s="191">
        <f t="shared" si="4"/>
        <v>5.0000000000000001E-3</v>
      </c>
      <c r="P13" s="459" t="str">
        <f>VLOOKUP(A13,'Loan Book Summary'!C:G,5,FALSE)</f>
        <v>0015800001fH29a</v>
      </c>
      <c r="S13" s="203"/>
      <c r="T13" s="332">
        <f>IFERROR(VLOOKUP($P13,'Model Output-LoanNameUpdate'!$A:$K,2,FALSE),CL13)</f>
        <v>2.3949999999999996E-3</v>
      </c>
      <c r="U13" s="332">
        <f>1-(1-IFERROR(VLOOKUP($P13,'Model Output-LoanNameUpdate'!$A:$K,2,FALSE),CL13))^(1/4)</f>
        <v>5.9928850486790086E-4</v>
      </c>
      <c r="V13" s="332">
        <f>IFERROR(VLOOKUP($P13,'Model Output-LoanNameUpdate'!$A:$K,3,FALSE),CM13)</f>
        <v>2.2499999999999998E-3</v>
      </c>
      <c r="W13" s="332">
        <f>IFERROR(VLOOKUP($P13,'Model Output-LoanNameUpdate'!$A:$K,4,FALSE),CN13)</f>
        <v>2.1449999999999998E-3</v>
      </c>
      <c r="X13" s="332">
        <f>IFERROR(VLOOKUP($P13,'Model Output-LoanNameUpdate'!$A:$K,5,FALSE),CO13)</f>
        <v>2.14E-3</v>
      </c>
      <c r="Y13" s="332">
        <f>IFERROR(VLOOKUP($P13,'Model Output-LoanNameUpdate'!$A:$K,6,FALSE),CP13)</f>
        <v>2.0999999999999999E-3</v>
      </c>
      <c r="Z13" s="207">
        <f t="shared" si="5"/>
        <v>1.1828351624093423</v>
      </c>
      <c r="AA13" s="208">
        <f t="shared" si="6"/>
        <v>7.0885951598547543E-4</v>
      </c>
      <c r="AB13" s="208">
        <f t="shared" si="7"/>
        <v>2.6613791154210201E-3</v>
      </c>
      <c r="AC13" s="208">
        <f t="shared" si="8"/>
        <v>2.5371814233680389E-3</v>
      </c>
      <c r="AD13" s="208">
        <f t="shared" si="9"/>
        <v>2.5312672475559924E-3</v>
      </c>
      <c r="AE13" s="208">
        <f t="shared" si="10"/>
        <v>2.4839538410596188E-3</v>
      </c>
      <c r="AF13" s="332">
        <f>NORMSDIST((_xlfn.NORM.S.INV(AA13)-(SQRT(Baseline!$AF$11)*'MacroPD-Cal'!$R$2))/SQRT(1-Baseline!$AF$11))</f>
        <v>4.6855230119654189E-4</v>
      </c>
      <c r="AG13" s="332">
        <f>NORMSDIST((_xlfn.NORM.S.INV(AA13)-(SQRT(Baseline!$AF$11)*'MacroPD-Cal'!$R$3))/SQRT(1-Baseline!$AF$11))</f>
        <v>6.5284280387073684E-4</v>
      </c>
      <c r="AH13" s="332">
        <f>NORMSDIST((_xlfn.NORM.S.INV(AA13)-(SQRT(Baseline!$AF$11)*'MacroPD-Cal'!$R$4))/SQRT(1-Baseline!$AF$11))</f>
        <v>7.6200650308055624E-4</v>
      </c>
      <c r="AI13" s="332">
        <f>NORMSDIST((_xlfn.NORM.S.INV(AA13)-(SQRT(Baseline!$AF$11)*'MacroPD-Cal'!$R$5))/SQRT(1-Baseline!$AF$11))</f>
        <v>1.045586059808297E-3</v>
      </c>
      <c r="AJ13" s="332">
        <f>NORMSDIST((_xlfn.NORM.S.INV(AB13)-(SQRT(Baseline!$AF$11)*'MacroPD-Cal'!$R$6))/SQRT(1-Baseline!$AF$11))</f>
        <v>1.3748753248165717E-3</v>
      </c>
      <c r="AK13" s="332">
        <f>NORMSDIST((_xlfn.NORM.S.INV(AC13)-(SQRT(Baseline!$AF$11)*'MacroPD-Cal'!$R$7))/SQRT(1-Baseline!$AF$11))</f>
        <v>7.3767821036431046E-4</v>
      </c>
      <c r="AL13" s="332">
        <f>NORMSDIST((_xlfn.NORM.S.INV(AD13)-(SQRT(Baseline!$AF$11)*'MacroPD-Cal'!$R$8))/SQRT(1-Baseline!$AF$11))</f>
        <v>2.1336672940951294E-3</v>
      </c>
      <c r="AM13" s="332">
        <f>NORMSDIST((_xlfn.NORM.S.INV(AE13)-(SQRT(Baseline!$AF$11)*'MacroPD-Cal'!$R$9))/SQRT(1-Baseline!$AF$11))</f>
        <v>2.2395989648904845E-3</v>
      </c>
      <c r="AO13" s="355"/>
      <c r="AP13" s="355"/>
      <c r="AQ13" s="355">
        <f>NORMSDIST((_xlfn.NORM.S.INV(AA13)-(SQRT(Baseline!$AF$11)*'MacroPD-Cal'!$AP$2))/SQRT(1-Baseline!$AF$11))</f>
        <v>4.8966148762259894E-4</v>
      </c>
      <c r="AR13" s="355">
        <f>NORMSDIST((_xlfn.NORM.S.INV(AA13)-(SQRT(Baseline!$AF$11)*'MacroPD-Cal'!$AP$3))/SQRT(1-Baseline!$AF$11))</f>
        <v>6.0075691062834999E-4</v>
      </c>
      <c r="AS13" s="355">
        <f>NORMSDIST((_xlfn.NORM.S.INV(AA13)-(SQRT(Baseline!$AF$11)*'MacroPD-Cal'!$AP$4))/SQRT(1-Baseline!$AF$11))</f>
        <v>6.1666003903957723E-4</v>
      </c>
      <c r="AT13" s="355">
        <f>NORMSDIST((_xlfn.NORM.S.INV(AA13)-(SQRT(Baseline!$AF$11)*'MacroPD-Cal'!$AP$5))/SQRT(1-Baseline!$AF$11))</f>
        <v>8.6531973547291263E-4</v>
      </c>
      <c r="AU13" s="355">
        <f>NORMSDIST((_xlfn.NORM.S.INV(AB13)-(SQRT(Baseline!$AF$11)*'MacroPD-Cal'!$AP$6))/SQRT(1-Baseline!$AF$11))</f>
        <v>8.3484783795464859E-4</v>
      </c>
      <c r="AV13" s="355">
        <f>NORMSDIST((_xlfn.NORM.S.INV(AC13)-(SQRT(Baseline!$AF$11)*'MacroPD-Cal'!$AP$7))/SQRT(1-Baseline!$AF$11))</f>
        <v>1.0972587860010928E-3</v>
      </c>
      <c r="AW13" s="355">
        <f>NORMSDIST((_xlfn.NORM.S.INV(AD13)-(SQRT(Baseline!$AF$11)*'MacroPD-Cal'!$AP$8))/SQRT(1-Baseline!$AF$11))</f>
        <v>2.1962374363284441E-3</v>
      </c>
      <c r="AX13" s="355">
        <f>NORMSDIST((_xlfn.NORM.S.INV(AE13)-(SQRT(Baseline!$AF$11)*'MacroPD-Cal'!$AP$9))/SQRT(1-Baseline!$AF$11))</f>
        <v>2.5036919234185653E-3</v>
      </c>
      <c r="AY13" s="355">
        <f t="shared" si="11"/>
        <v>4.8966148762259894E-4</v>
      </c>
      <c r="AZ13" s="355">
        <f t="shared" si="12"/>
        <v>1.0901242307284065E-3</v>
      </c>
      <c r="BA13" s="355">
        <f t="shared" si="13"/>
        <v>1.7061120337172886E-3</v>
      </c>
      <c r="BB13" s="355">
        <f t="shared" si="14"/>
        <v>2.5000000000000001E-3</v>
      </c>
      <c r="BC13" s="355"/>
      <c r="BD13" s="355"/>
      <c r="BE13" s="355"/>
      <c r="BF13" s="355"/>
      <c r="BG13" s="355">
        <f>NORMSDIST((_xlfn.NORM.S.INV($AA13)-(SQRT(Baseline!$AF$11)*'MacroPD-Cal'!$BF$2))/SQRT(1-Baseline!$AF$11))</f>
        <v>4.5751464725721902E-4</v>
      </c>
      <c r="BH13" s="355">
        <f>NORMSDIST((_xlfn.NORM.S.INV($AA13)-(SQRT(Baseline!$AF$11)*'MacroPD-Cal'!$BF$3))/SQRT(1-Baseline!$AF$11))</f>
        <v>7.0363147240104181E-4</v>
      </c>
      <c r="BI13" s="355">
        <f>NORMSDIST((_xlfn.NORM.S.INV($AA13)-(SQRT(Baseline!$AF$11)*'MacroPD-Cal'!$BF$4))/SQRT(1-Baseline!$AF$11))</f>
        <v>1.1203923055094337E-3</v>
      </c>
      <c r="BJ13" s="355">
        <f>NORMSDIST((_xlfn.NORM.S.INV($AA13)-(SQRT(Baseline!$AF$11)*'MacroPD-Cal'!$BF$5))/SQRT(1-Baseline!$AF$11))</f>
        <v>1.5790864458068048E-3</v>
      </c>
      <c r="BK13" s="355">
        <f>NORMSDIST((_xlfn.NORM.S.INV($AB13)-(SQRT(Baseline!$AF$11)*'MacroPD-Cal'!$BF$6))/SQRT(1-Baseline!$AF$11))</f>
        <v>6.6374465117500833E-3</v>
      </c>
      <c r="BL13" s="355">
        <f>NORMSDIST((_xlfn.NORM.S.INV($AC13)-(SQRT(Baseline!$AF$11)*'MacroPD-Cal'!$BF$7))/SQRT(1-Baseline!$AF$11))</f>
        <v>3.6523041614276502E-4</v>
      </c>
      <c r="BM13" s="355">
        <f>NORMSDIST((_xlfn.NORM.S.INV($AD13)-(SQRT(Baseline!$AF$11)*'MacroPD-Cal'!$BF$8))/SQRT(1-Baseline!$AF$11))</f>
        <v>1.1431302646156942E-3</v>
      </c>
      <c r="BN13" s="355">
        <f>NORMSDIST((_xlfn.NORM.S.INV($AE13)-(SQRT(Baseline!$AF$11)*'MacroPD-Cal'!$BF$9))/SQRT(1-Baseline!$AF$11))</f>
        <v>1.8434913080093063E-3</v>
      </c>
      <c r="BO13" s="355">
        <f t="shared" si="15"/>
        <v>4.5751464725721902E-4</v>
      </c>
      <c r="BP13" s="355">
        <f t="shared" si="16"/>
        <v>1.1608241979533807E-3</v>
      </c>
      <c r="BQ13" s="355">
        <f t="shared" si="17"/>
        <v>2.2799159249633494E-3</v>
      </c>
      <c r="BR13" s="355">
        <f t="shared" si="18"/>
        <v>3.8E-3</v>
      </c>
      <c r="BS13" s="355"/>
      <c r="BT13" s="355"/>
      <c r="BU13" s="355"/>
      <c r="BV13" s="355">
        <f>NORMSDIST((_xlfn.NORM.S.INV($AA13)-(SQRT(Baseline!$AF$11)*'MacroPD-Cal'!$BU$2))/SQRT(1-Baseline!$AF$11))</f>
        <v>4.3580402585275779E-4</v>
      </c>
      <c r="BW13" s="355">
        <f>NORMSDIST((_xlfn.NORM.S.INV($AA13)-(SQRT(Baseline!$AF$11)*'MacroPD-Cal'!$BU$3))/SQRT(1-Baseline!$AF$11))</f>
        <v>7.4398392961843869E-4</v>
      </c>
      <c r="BX13" s="355">
        <f>NORMSDIST((_xlfn.NORM.S.INV($AA13)-(SQRT(Baseline!$AF$11)*'MacroPD-Cal'!$BU$4))/SQRT(1-Baseline!$AF$11))</f>
        <v>1.0288626292915232E-3</v>
      </c>
      <c r="BY13" s="355">
        <f>NORMSDIST((_xlfn.NORM.S.INV($AA13)-(SQRT(Baseline!$AF$11)*'MacroPD-Cal'!$BU$5))/SQRT(1-Baseline!$AF$11))</f>
        <v>1.3548637645738291E-3</v>
      </c>
      <c r="BZ13" s="355">
        <f>NORMSDIST((_xlfn.NORM.S.INV($AB13)-(SQRT(Baseline!$AF$11)*'MacroPD-Cal'!$BU$6))/SQRT(1-Baseline!$AF$11))</f>
        <v>2.454595602422077E-3</v>
      </c>
      <c r="CA13" s="355">
        <f>NORMSDIST((_xlfn.NORM.S.INV($AC13)-(SQRT(Baseline!$AF$11)*'MacroPD-Cal'!$BU18))/SQRT(1-Baseline!$AF$11))</f>
        <v>9.8540958115804207E-4</v>
      </c>
      <c r="CB13" s="355">
        <f>NORMSDIST((_xlfn.NORM.S.INV($AD13)-(SQRT(Baseline!$AF$11)*'MacroPD-Cal'!$BU$8))/SQRT(1-Baseline!$AF$11))</f>
        <v>2.2141311990694326E-3</v>
      </c>
      <c r="CC13" s="355">
        <f>NORMSDIST((_xlfn.NORM.S.INV($AE13)-(SQRT(Baseline!$AF$11)*'MacroPD-Cal'!$BU$9))/SQRT(1-Baseline!$AF$11))</f>
        <v>1.8973886542965369E-3</v>
      </c>
      <c r="CD13" s="355">
        <f t="shared" si="19"/>
        <v>4.3580402585275779E-4</v>
      </c>
      <c r="CE13" s="355">
        <f t="shared" si="20"/>
        <v>1.1794637242794614E-3</v>
      </c>
      <c r="CF13" s="355">
        <f t="shared" si="21"/>
        <v>2.2071128474223656E-3</v>
      </c>
      <c r="CG13" s="355">
        <f t="shared" si="22"/>
        <v>3.5000000000000001E-3</v>
      </c>
      <c r="CH13" s="355"/>
      <c r="CI13" s="355"/>
      <c r="CL13" s="168"/>
      <c r="CM13" s="168"/>
      <c r="CN13" s="168"/>
      <c r="CO13" s="168"/>
      <c r="CP13" s="168"/>
      <c r="CR13" s="345">
        <f t="shared" si="23"/>
        <v>0.16156975903329029</v>
      </c>
      <c r="CS13" s="345">
        <f t="shared" si="24"/>
        <v>0.38658248761009717</v>
      </c>
      <c r="CT13" s="345">
        <f t="shared" si="25"/>
        <v>0.64904877237177261</v>
      </c>
      <c r="CU13" s="345">
        <f t="shared" si="26"/>
        <v>1</v>
      </c>
    </row>
    <row r="14" spans="1:103" s="166" customFormat="1" x14ac:dyDescent="0.25">
      <c r="A14" s="464">
        <v>1100000186</v>
      </c>
      <c r="B14" s="470">
        <f>VLOOKUP(A14,'Ref-Data'!A:I,9,FALSE)</f>
        <v>1</v>
      </c>
      <c r="C14" s="445">
        <f>IF(B14="Matured","",VLOOKUP(A14,'Adjustment Factor'!A:C,3,0))</f>
        <v>1.37</v>
      </c>
      <c r="D14" s="190">
        <f>VLOOKUP(A14,'Ref-Data'!A:C,2,FALSE)</f>
        <v>172500</v>
      </c>
      <c r="E14" s="471">
        <f>IFERROR(IF(VLOOKUP(A14,'Updated Ncino PD'!$A:$K,4,0)=0,"",VLOOKUP(A14,'Updated Ncino PD'!$A:$K,4,0)),AF14)</f>
        <v>3.0015888726513514E-4</v>
      </c>
      <c r="F14" s="472">
        <f>IFERROR(IF(VLOOKUP(A14,'Updated Ncino PD'!$A:$K,5,0)=0,"",VLOOKUP(A14,'Updated Ncino PD'!$A:$K,5,0)),1-((1-AG14)*(1-E14)))</f>
        <v>7.2280348133579864E-4</v>
      </c>
      <c r="G14" s="472">
        <f>IFERROR(IF(VLOOKUP(A14,'Updated Ncino PD'!$A:$K,6,0)=0,"",VLOOKUP(A14,'Updated Ncino PD'!$A:$K,6,0)),1-((1-AF14)*(1-AG14)*(1-AH14)))</f>
        <v>1.2184490693811778E-3</v>
      </c>
      <c r="H14" s="472">
        <f>IFERROR(IF(VLOOKUP(A14,'Updated Ncino PD'!$A:$K,7,0)=0,"",VLOOKUP(A14,'Updated Ncino PD'!$A:$K,7,0)),IFERROR(VLOOKUP(A14,'Updated Ncino PD'!A:B,2,FALSE),FLOOR(1-((1-AG14)*(1-AH14)*(1-AI14)*(1-AF14)),$R$11)))</f>
        <v>1.9E-3</v>
      </c>
      <c r="I14" s="472">
        <f>IFERROR(IF(VLOOKUP(A14,'Updated Ncino PD'!$A:$K,8,0)=0,"",VLOOKUP(A14,'Updated Ncino PD'!$A:$K,8,0)),FLOOR(1-((1-H14)*(1-AJ14)),$R$11))</f>
        <v>2.9000000000000002E-3</v>
      </c>
      <c r="J14" s="472">
        <f>IFERROR(IF(VLOOKUP(A14,'Updated Ncino PD'!$A:$K,9,0)=0,"",VLOOKUP(A14,'Updated Ncino PD'!$A:$K,9,0)),FLOOR(1-((1-H14)*(1-AJ14)*(1-AK14)),$R$11))</f>
        <v>3.5000000000000001E-3</v>
      </c>
      <c r="K14" s="472">
        <f>IFERROR(IF(VLOOKUP(A14,'Updated Ncino PD'!$A:$K,10,0)=0,"",VLOOKUP(A14,'Updated Ncino PD'!$A:$K,10,0)),FLOOR(1-((1-H14)*(1-AJ14)*(1-AK14)*(1-AL14)),$R$11))</f>
        <v>5.5000000000000005E-3</v>
      </c>
      <c r="L14" s="472">
        <f>IFERROR(IF(VLOOKUP(A14,'Updated Ncino PD'!$A:$K,11,0)=0,"",VLOOKUP(A14,'Updated Ncino PD'!$A:$K,11,0)),FLOOR(1-((1-H14)*(1-AJ14)*(1-AK14)*(1-AL14)*(1-AM14)),$R$11))</f>
        <v>7.5000000000000006E-3</v>
      </c>
      <c r="M14" s="224">
        <f>VLOOKUP(A14,'Ref-Data'!$A:$F,6,FALSE)</f>
        <v>1.8562628336755647</v>
      </c>
      <c r="N14" s="191">
        <f t="shared" si="3"/>
        <v>1.9E-3</v>
      </c>
      <c r="O14" s="191">
        <f t="shared" si="4"/>
        <v>2.9000000000000002E-3</v>
      </c>
      <c r="P14" s="459" t="str">
        <f>VLOOKUP(A14,'Loan Book Summary'!C:G,5,FALSE)</f>
        <v>0014I00001i941O</v>
      </c>
      <c r="S14" s="203"/>
      <c r="T14" s="332">
        <f>IFERROR(VLOOKUP($P14,'Model Output-LoanNameUpdate'!$A:$K,2,FALSE),CL14)</f>
        <v>1.4E-3</v>
      </c>
      <c r="U14" s="332">
        <f>1-(1-IFERROR(VLOOKUP($P14,'Model Output-LoanNameUpdate'!$A:$K,2,FALSE),CL14))^(1/4)</f>
        <v>3.5018390020702395E-4</v>
      </c>
      <c r="V14" s="332">
        <f>IFERROR(VLOOKUP($P14,'Model Output-LoanNameUpdate'!$A:$K,3,FALSE),CM14)</f>
        <v>1.56E-3</v>
      </c>
      <c r="W14" s="332">
        <f>IFERROR(VLOOKUP($P14,'Model Output-LoanNameUpdate'!$A:$K,4,FALSE),CN14)</f>
        <v>1.6000000000000001E-3</v>
      </c>
      <c r="X14" s="332">
        <f>IFERROR(VLOOKUP($P14,'Model Output-LoanNameUpdate'!$A:$K,5,FALSE),CO14)</f>
        <v>1.6999999999999997E-3</v>
      </c>
      <c r="Y14" s="332">
        <f>IFERROR(VLOOKUP($P14,'Model Output-LoanNameUpdate'!$A:$K,6,FALSE),CP14)</f>
        <v>1.6999999999999997E-3</v>
      </c>
      <c r="Z14" s="207">
        <f t="shared" si="5"/>
        <v>1.37</v>
      </c>
      <c r="AA14" s="208">
        <f t="shared" si="6"/>
        <v>4.7975194328362286E-4</v>
      </c>
      <c r="AB14" s="208">
        <f t="shared" si="7"/>
        <v>2.1372000000000001E-3</v>
      </c>
      <c r="AC14" s="208">
        <f t="shared" si="8"/>
        <v>2.1920000000000004E-3</v>
      </c>
      <c r="AD14" s="208">
        <f t="shared" si="9"/>
        <v>2.3289999999999999E-3</v>
      </c>
      <c r="AE14" s="208">
        <f t="shared" si="10"/>
        <v>2.3289999999999999E-3</v>
      </c>
      <c r="AF14" s="332">
        <f>NORMSDIST((_xlfn.NORM.S.INV(AA14)-(SQRT(Baseline!$AF$11)*'MacroPD-Cal'!$R$2))/SQRT(1-Baseline!$AF$11))</f>
        <v>3.0015888726513514E-4</v>
      </c>
      <c r="AG14" s="332">
        <f>NORMSDIST((_xlfn.NORM.S.INV(AA14)-(SQRT(Baseline!$AF$11)*'MacroPD-Cal'!$R$3))/SQRT(1-Baseline!$AF$11))</f>
        <v>4.2277149269153553E-4</v>
      </c>
      <c r="AH14" s="332">
        <f>NORMSDIST((_xlfn.NORM.S.INV(AA14)-(SQRT(Baseline!$AF$11)*'MacroPD-Cal'!$R$4))/SQRT(1-Baseline!$AF$11))</f>
        <v>4.9600410153671315E-4</v>
      </c>
      <c r="AI14" s="332">
        <f>NORMSDIST((_xlfn.NORM.S.INV(AA14)-(SQRT(Baseline!$AF$11)*'MacroPD-Cal'!$R$5))/SQRT(1-Baseline!$AF$11))</f>
        <v>6.878999374582077E-4</v>
      </c>
      <c r="AJ14" s="332">
        <f>NORMSDIST((_xlfn.NORM.S.INV(AB14)-(SQRT(Baseline!$AF$11)*'MacroPD-Cal'!$R$6))/SQRT(1-Baseline!$AF$11))</f>
        <v>1.0628133091954281E-3</v>
      </c>
      <c r="AK14" s="332">
        <f>NORMSDIST((_xlfn.NORM.S.INV(AC14)-(SQRT(Baseline!$AF$11)*'MacroPD-Cal'!$R$7))/SQRT(1-Baseline!$AF$11))</f>
        <v>6.1631022666556643E-4</v>
      </c>
      <c r="AL14" s="332">
        <f>NORMSDIST((_xlfn.NORM.S.INV(AD14)-(SQRT(Baseline!$AF$11)*'MacroPD-Cal'!$R$8))/SQRT(1-Baseline!$AF$11))</f>
        <v>1.9432130647069187E-3</v>
      </c>
      <c r="AM14" s="332">
        <f>NORMSDIST((_xlfn.NORM.S.INV(AE14)-(SQRT(Baseline!$AF$11)*'MacroPD-Cal'!$R$9))/SQRT(1-Baseline!$AF$11))</f>
        <v>2.0843195784978458E-3</v>
      </c>
      <c r="AO14" s="355"/>
      <c r="AP14" s="355"/>
      <c r="AQ14" s="355">
        <f>NORMSDIST((_xlfn.NORM.S.INV(AA14)-(SQRT(Baseline!$AF$11)*'MacroPD-Cal'!$AP$2))/SQRT(1-Baseline!$AF$11))</f>
        <v>3.1412898329235726E-4</v>
      </c>
      <c r="AR14" s="355">
        <f>NORMSDIST((_xlfn.NORM.S.INV(AA14)-(SQRT(Baseline!$AF$11)*'MacroPD-Cal'!$AP$3))/SQRT(1-Baseline!$AF$11))</f>
        <v>3.8797768818365147E-4</v>
      </c>
      <c r="AS14" s="355">
        <f>NORMSDIST((_xlfn.NORM.S.INV(AA14)-(SQRT(Baseline!$AF$11)*'MacroPD-Cal'!$AP$4))/SQRT(1-Baseline!$AF$11))</f>
        <v>3.9859028588524082E-4</v>
      </c>
      <c r="AT14" s="355">
        <f>NORMSDIST((_xlfn.NORM.S.INV(AA14)-(SQRT(Baseline!$AF$11)*'MacroPD-Cal'!$AP$5))/SQRT(1-Baseline!$AF$11))</f>
        <v>5.6565911465064254E-4</v>
      </c>
      <c r="AU14" s="355">
        <f>NORMSDIST((_xlfn.NORM.S.INV(AB14)-(SQRT(Baseline!$AF$11)*'MacroPD-Cal'!$AP$6))/SQRT(1-Baseline!$AF$11))</f>
        <v>6.3842698909886053E-4</v>
      </c>
      <c r="AV14" s="355">
        <f>NORMSDIST((_xlfn.NORM.S.INV(AC14)-(SQRT(Baseline!$AF$11)*'MacroPD-Cal'!$AP$7))/SQRT(1-Baseline!$AF$11))</f>
        <v>9.2192338120611643E-4</v>
      </c>
      <c r="AW14" s="355">
        <f>NORMSDIST((_xlfn.NORM.S.INV(AD14)-(SQRT(Baseline!$AF$11)*'MacroPD-Cal'!$AP$8))/SQRT(1-Baseline!$AF$11))</f>
        <v>2.0007002685162199E-3</v>
      </c>
      <c r="AX14" s="355">
        <f>NORMSDIST((_xlfn.NORM.S.INV(AE14)-(SQRT(Baseline!$AF$11)*'MacroPD-Cal'!$AP$9))/SQRT(1-Baseline!$AF$11))</f>
        <v>2.3318585402954278E-3</v>
      </c>
      <c r="AY14" s="355">
        <f t="shared" si="11"/>
        <v>3.1412898329235726E-4</v>
      </c>
      <c r="AZ14" s="355">
        <f t="shared" si="12"/>
        <v>7.0198479643923672E-4</v>
      </c>
      <c r="BA14" s="355">
        <f t="shared" si="13"/>
        <v>1.1002952780038155E-3</v>
      </c>
      <c r="BB14" s="355">
        <f t="shared" si="14"/>
        <v>1.6000000000000001E-3</v>
      </c>
      <c r="BC14" s="355"/>
      <c r="BD14" s="355"/>
      <c r="BE14" s="355"/>
      <c r="BF14" s="355"/>
      <c r="BG14" s="355">
        <f>NORMSDIST((_xlfn.NORM.S.INV($AA14)-(SQRT(Baseline!$AF$11)*'MacroPD-Cal'!$BF$2))/SQRT(1-Baseline!$AF$11))</f>
        <v>2.9286269887461786E-4</v>
      </c>
      <c r="BH14" s="355">
        <f>NORMSDIST((_xlfn.NORM.S.INV($AA14)-(SQRT(Baseline!$AF$11)*'MacroPD-Cal'!$BF$3))/SQRT(1-Baseline!$AF$11))</f>
        <v>4.5679318278532181E-4</v>
      </c>
      <c r="BI14" s="355">
        <f>NORMSDIST((_xlfn.NORM.S.INV($AA14)-(SQRT(Baseline!$AF$11)*'MacroPD-Cal'!$BF$4))/SQRT(1-Baseline!$AF$11))</f>
        <v>7.3886157184199796E-4</v>
      </c>
      <c r="BJ14" s="355">
        <f>NORMSDIST((_xlfn.NORM.S.INV($AA14)-(SQRT(Baseline!$AF$11)*'MacroPD-Cal'!$BF$5))/SQRT(1-Baseline!$AF$11))</f>
        <v>1.0538562980073449E-3</v>
      </c>
      <c r="BK14" s="355">
        <f>NORMSDIST((_xlfn.NORM.S.INV($AB14)-(SQRT(Baseline!$AF$11)*'MacroPD-Cal'!$BF$6))/SQRT(1-Baseline!$AF$11))</f>
        <v>5.3247983753483873E-3</v>
      </c>
      <c r="BL14" s="355">
        <f>NORMSDIST((_xlfn.NORM.S.INV($AC14)-(SQRT(Baseline!$AF$11)*'MacroPD-Cal'!$BF$7))/SQRT(1-Baseline!$AF$11))</f>
        <v>3.0221593341540909E-4</v>
      </c>
      <c r="BM14" s="355">
        <f>NORMSDIST((_xlfn.NORM.S.INV($AD14)-(SQRT(Baseline!$AF$11)*'MacroPD-Cal'!$BF$8))/SQRT(1-Baseline!$AF$11))</f>
        <v>1.0356077716393291E-3</v>
      </c>
      <c r="BN14" s="355">
        <f>NORMSDIST((_xlfn.NORM.S.INV($AE14)-(SQRT(Baseline!$AF$11)*'MacroPD-Cal'!$BF$9))/SQRT(1-Baseline!$AF$11))</f>
        <v>1.7134475454243438E-3</v>
      </c>
      <c r="BO14" s="355">
        <f t="shared" si="15"/>
        <v>2.9286269887461786E-4</v>
      </c>
      <c r="BP14" s="355">
        <f t="shared" si="16"/>
        <v>7.4952210397560837E-4</v>
      </c>
      <c r="BQ14" s="355">
        <f t="shared" si="17"/>
        <v>1.4878298827377678E-3</v>
      </c>
      <c r="BR14" s="355">
        <f t="shared" si="18"/>
        <v>2.5000000000000001E-3</v>
      </c>
      <c r="BS14" s="355"/>
      <c r="BT14" s="355"/>
      <c r="BU14" s="355"/>
      <c r="BV14" s="355">
        <f>NORMSDIST((_xlfn.NORM.S.INV($AA14)-(SQRT(Baseline!$AF$11)*'MacroPD-Cal'!$BU$2))/SQRT(1-Baseline!$AF$11))</f>
        <v>2.7852912561752649E-4</v>
      </c>
      <c r="BW14" s="355">
        <f>NORMSDIST((_xlfn.NORM.S.INV($AA14)-(SQRT(Baseline!$AF$11)*'MacroPD-Cal'!$BU$3))/SQRT(1-Baseline!$AF$11))</f>
        <v>4.8388641477840595E-4</v>
      </c>
      <c r="BX14" s="355">
        <f>NORMSDIST((_xlfn.NORM.S.INV($AA14)-(SQRT(Baseline!$AF$11)*'MacroPD-Cal'!$BU$4))/SQRT(1-Baseline!$AF$11))</f>
        <v>6.7652505756569329E-4</v>
      </c>
      <c r="BY14" s="355">
        <f>NORMSDIST((_xlfn.NORM.S.INV($AA14)-(SQRT(Baseline!$AF$11)*'MacroPD-Cal'!$BU$5))/SQRT(1-Baseline!$AF$11))</f>
        <v>8.993765338458908E-4</v>
      </c>
      <c r="BZ14" s="355">
        <f>NORMSDIST((_xlfn.NORM.S.INV($AB14)-(SQRT(Baseline!$AF$11)*'MacroPD-Cal'!$BU$6))/SQRT(1-Baseline!$AF$11))</f>
        <v>1.9224397336116989E-3</v>
      </c>
      <c r="CA14" s="355">
        <f>NORMSDIST((_xlfn.NORM.S.INV($AC14)-(SQRT(Baseline!$AF$11)*'MacroPD-Cal'!$BU19))/SQRT(1-Baseline!$AF$11))</f>
        <v>8.266683254386705E-4</v>
      </c>
      <c r="CB14" s="355">
        <f>NORMSDIST((_xlfn.NORM.S.INV($AD14)-(SQRT(Baseline!$AF$11)*'MacroPD-Cal'!$BU$8))/SQRT(1-Baseline!$AF$11))</f>
        <v>2.0171432652965854E-3</v>
      </c>
      <c r="CC14" s="355">
        <f>NORMSDIST((_xlfn.NORM.S.INV($AE14)-(SQRT(Baseline!$AF$11)*'MacroPD-Cal'!$BU$9))/SQRT(1-Baseline!$AF$11))</f>
        <v>1.7638799164944015E-3</v>
      </c>
      <c r="CD14" s="355">
        <f t="shared" si="19"/>
        <v>2.7852912561752649E-4</v>
      </c>
      <c r="CE14" s="355">
        <f t="shared" si="20"/>
        <v>7.6228076393591859E-4</v>
      </c>
      <c r="CF14" s="355">
        <f t="shared" si="21"/>
        <v>1.4382901194638364E-3</v>
      </c>
      <c r="CG14" s="355">
        <f t="shared" si="22"/>
        <v>2.3E-3</v>
      </c>
      <c r="CH14" s="355"/>
      <c r="CI14" s="355"/>
      <c r="CL14" s="168"/>
      <c r="CM14" s="168"/>
      <c r="CN14" s="168"/>
      <c r="CO14" s="168"/>
      <c r="CP14" s="168"/>
      <c r="CR14" s="345">
        <f t="shared" si="23"/>
        <v>0.15797836171849217</v>
      </c>
      <c r="CS14" s="345">
        <f t="shared" si="24"/>
        <v>0.38042288491357823</v>
      </c>
      <c r="CT14" s="345">
        <f t="shared" si="25"/>
        <v>0.64128898388483047</v>
      </c>
      <c r="CU14" s="345">
        <f t="shared" si="26"/>
        <v>1</v>
      </c>
    </row>
    <row r="15" spans="1:103" s="166" customFormat="1" x14ac:dyDescent="0.25">
      <c r="A15" s="464">
        <v>1100000187</v>
      </c>
      <c r="B15" s="470">
        <f>VLOOKUP(A15,'Ref-Data'!A:I,9,FALSE)</f>
        <v>1</v>
      </c>
      <c r="C15" s="445">
        <f>IF(B15="Matured","",VLOOKUP(A15,'Adjustment Factor'!A:C,3,0))</f>
        <v>1.37</v>
      </c>
      <c r="D15" s="190">
        <f>VLOOKUP(A15,'Ref-Data'!A:C,2,FALSE)</f>
        <v>100000</v>
      </c>
      <c r="E15" s="471">
        <f>IFERROR(IF(VLOOKUP(A15,'Updated Ncino PD'!$A:$K,4,0)=0,"",VLOOKUP(A15,'Updated Ncino PD'!$A:$K,4,0)),AF15)</f>
        <v>3.0015888726513514E-4</v>
      </c>
      <c r="F15" s="472">
        <f>IFERROR(IF(VLOOKUP(A15,'Updated Ncino PD'!$A:$K,5,0)=0,"",VLOOKUP(A15,'Updated Ncino PD'!$A:$K,5,0)),1-((1-AG15)*(1-E15)))</f>
        <v>7.2280348133579864E-4</v>
      </c>
      <c r="G15" s="472">
        <f>IFERROR(IF(VLOOKUP(A15,'Updated Ncino PD'!$A:$K,6,0)=0,"",VLOOKUP(A15,'Updated Ncino PD'!$A:$K,6,0)),1-((1-AF15)*(1-AG15)*(1-AH15)))</f>
        <v>1.2184490693811778E-3</v>
      </c>
      <c r="H15" s="472">
        <f>IFERROR(IF(VLOOKUP(A15,'Updated Ncino PD'!$A:$K,7,0)=0,"",VLOOKUP(A15,'Updated Ncino PD'!$A:$K,7,0)),IFERROR(VLOOKUP(A15,'Updated Ncino PD'!A:B,2,FALSE),FLOOR(1-((1-AG15)*(1-AH15)*(1-AI15)*(1-AF15)),$R$11)))</f>
        <v>1.9E-3</v>
      </c>
      <c r="I15" s="472">
        <f>IFERROR(IF(VLOOKUP(A15,'Updated Ncino PD'!$A:$K,8,0)=0,"",VLOOKUP(A15,'Updated Ncino PD'!$A:$K,8,0)),FLOOR(1-((1-H15)*(1-AJ15)),$R$11))</f>
        <v>2.9000000000000002E-3</v>
      </c>
      <c r="J15" s="472">
        <f>IFERROR(IF(VLOOKUP(A15,'Updated Ncino PD'!$A:$K,9,0)=0,"",VLOOKUP(A15,'Updated Ncino PD'!$A:$K,9,0)),FLOOR(1-((1-H15)*(1-AJ15)*(1-AK15)),$R$11))</f>
        <v>3.5000000000000001E-3</v>
      </c>
      <c r="K15" s="472">
        <f>IFERROR(IF(VLOOKUP(A15,'Updated Ncino PD'!$A:$K,10,0)=0,"",VLOOKUP(A15,'Updated Ncino PD'!$A:$K,10,0)),FLOOR(1-((1-H15)*(1-AJ15)*(1-AK15)*(1-AL15)),$R$11))</f>
        <v>5.5000000000000005E-3</v>
      </c>
      <c r="L15" s="472">
        <f>IFERROR(IF(VLOOKUP(A15,'Updated Ncino PD'!$A:$K,11,0)=0,"",VLOOKUP(A15,'Updated Ncino PD'!$A:$K,11,0)),FLOOR(1-((1-H15)*(1-AJ15)*(1-AK15)*(1-AL15)*(1-AM15)),$R$11))</f>
        <v>7.5000000000000006E-3</v>
      </c>
      <c r="M15" s="224">
        <f>VLOOKUP(A15,'Ref-Data'!$A:$F,6,FALSE)</f>
        <v>1.8562628336755647</v>
      </c>
      <c r="N15" s="191">
        <f t="shared" si="3"/>
        <v>1.9E-3</v>
      </c>
      <c r="O15" s="191">
        <f t="shared" si="4"/>
        <v>2.9000000000000002E-3</v>
      </c>
      <c r="P15" s="459" t="str">
        <f>VLOOKUP(A15,'Loan Book Summary'!C:G,5,FALSE)</f>
        <v>0014I00001i941O</v>
      </c>
      <c r="S15" s="203"/>
      <c r="T15" s="332">
        <f>IFERROR(VLOOKUP($P15,'Model Output-LoanNameUpdate'!$A:$K,2,FALSE),CL15)</f>
        <v>1.4E-3</v>
      </c>
      <c r="U15" s="332">
        <f>1-(1-IFERROR(VLOOKUP($P15,'Model Output-LoanNameUpdate'!$A:$K,2,FALSE),CL15))^(1/4)</f>
        <v>3.5018390020702395E-4</v>
      </c>
      <c r="V15" s="332">
        <f>IFERROR(VLOOKUP($P15,'Model Output-LoanNameUpdate'!$A:$K,3,FALSE),CM15)</f>
        <v>1.56E-3</v>
      </c>
      <c r="W15" s="332">
        <f>IFERROR(VLOOKUP($P15,'Model Output-LoanNameUpdate'!$A:$K,4,FALSE),CN15)</f>
        <v>1.6000000000000001E-3</v>
      </c>
      <c r="X15" s="332">
        <f>IFERROR(VLOOKUP($P15,'Model Output-LoanNameUpdate'!$A:$K,5,FALSE),CO15)</f>
        <v>1.6999999999999997E-3</v>
      </c>
      <c r="Y15" s="332">
        <f>IFERROR(VLOOKUP($P15,'Model Output-LoanNameUpdate'!$A:$K,6,FALSE),CP15)</f>
        <v>1.6999999999999997E-3</v>
      </c>
      <c r="Z15" s="207">
        <f t="shared" si="5"/>
        <v>1.37</v>
      </c>
      <c r="AA15" s="208">
        <f t="shared" si="6"/>
        <v>4.7975194328362286E-4</v>
      </c>
      <c r="AB15" s="208">
        <f t="shared" si="7"/>
        <v>2.1372000000000001E-3</v>
      </c>
      <c r="AC15" s="208">
        <f t="shared" si="8"/>
        <v>2.1920000000000004E-3</v>
      </c>
      <c r="AD15" s="208">
        <f t="shared" si="9"/>
        <v>2.3289999999999999E-3</v>
      </c>
      <c r="AE15" s="208">
        <f t="shared" si="10"/>
        <v>2.3289999999999999E-3</v>
      </c>
      <c r="AF15" s="332">
        <f>NORMSDIST((_xlfn.NORM.S.INV(AA15)-(SQRT(Baseline!$AF$11)*'MacroPD-Cal'!$R$2))/SQRT(1-Baseline!$AF$11))</f>
        <v>3.0015888726513514E-4</v>
      </c>
      <c r="AG15" s="332">
        <f>NORMSDIST((_xlfn.NORM.S.INV(AA15)-(SQRT(Baseline!$AF$11)*'MacroPD-Cal'!$R$3))/SQRT(1-Baseline!$AF$11))</f>
        <v>4.2277149269153553E-4</v>
      </c>
      <c r="AH15" s="332">
        <f>NORMSDIST((_xlfn.NORM.S.INV(AA15)-(SQRT(Baseline!$AF$11)*'MacroPD-Cal'!$R$4))/SQRT(1-Baseline!$AF$11))</f>
        <v>4.9600410153671315E-4</v>
      </c>
      <c r="AI15" s="332">
        <f>NORMSDIST((_xlfn.NORM.S.INV(AA15)-(SQRT(Baseline!$AF$11)*'MacroPD-Cal'!$R$5))/SQRT(1-Baseline!$AF$11))</f>
        <v>6.878999374582077E-4</v>
      </c>
      <c r="AJ15" s="332">
        <f>NORMSDIST((_xlfn.NORM.S.INV(AB15)-(SQRT(Baseline!$AF$11)*'MacroPD-Cal'!$R$6))/SQRT(1-Baseline!$AF$11))</f>
        <v>1.0628133091954281E-3</v>
      </c>
      <c r="AK15" s="332">
        <f>NORMSDIST((_xlfn.NORM.S.INV(AC15)-(SQRT(Baseline!$AF$11)*'MacroPD-Cal'!$R$7))/SQRT(1-Baseline!$AF$11))</f>
        <v>6.1631022666556643E-4</v>
      </c>
      <c r="AL15" s="332">
        <f>NORMSDIST((_xlfn.NORM.S.INV(AD15)-(SQRT(Baseline!$AF$11)*'MacroPD-Cal'!$R$8))/SQRT(1-Baseline!$AF$11))</f>
        <v>1.9432130647069187E-3</v>
      </c>
      <c r="AM15" s="332">
        <f>NORMSDIST((_xlfn.NORM.S.INV(AE15)-(SQRT(Baseline!$AF$11)*'MacroPD-Cal'!$R$9))/SQRT(1-Baseline!$AF$11))</f>
        <v>2.0843195784978458E-3</v>
      </c>
      <c r="AO15" s="355"/>
      <c r="AP15" s="355"/>
      <c r="AQ15" s="355">
        <f>NORMSDIST((_xlfn.NORM.S.INV(AA15)-(SQRT(Baseline!$AF$11)*'MacroPD-Cal'!$AP$2))/SQRT(1-Baseline!$AF$11))</f>
        <v>3.1412898329235726E-4</v>
      </c>
      <c r="AR15" s="355">
        <f>NORMSDIST((_xlfn.NORM.S.INV(AA15)-(SQRT(Baseline!$AF$11)*'MacroPD-Cal'!$AP$3))/SQRT(1-Baseline!$AF$11))</f>
        <v>3.8797768818365147E-4</v>
      </c>
      <c r="AS15" s="355">
        <f>NORMSDIST((_xlfn.NORM.S.INV(AA15)-(SQRT(Baseline!$AF$11)*'MacroPD-Cal'!$AP$4))/SQRT(1-Baseline!$AF$11))</f>
        <v>3.9859028588524082E-4</v>
      </c>
      <c r="AT15" s="355">
        <f>NORMSDIST((_xlfn.NORM.S.INV(AA15)-(SQRT(Baseline!$AF$11)*'MacroPD-Cal'!$AP$5))/SQRT(1-Baseline!$AF$11))</f>
        <v>5.6565911465064254E-4</v>
      </c>
      <c r="AU15" s="355">
        <f>NORMSDIST((_xlfn.NORM.S.INV(AB15)-(SQRT(Baseline!$AF$11)*'MacroPD-Cal'!$AP$6))/SQRT(1-Baseline!$AF$11))</f>
        <v>6.3842698909886053E-4</v>
      </c>
      <c r="AV15" s="355">
        <f>NORMSDIST((_xlfn.NORM.S.INV(AC15)-(SQRT(Baseline!$AF$11)*'MacroPD-Cal'!$AP$7))/SQRT(1-Baseline!$AF$11))</f>
        <v>9.2192338120611643E-4</v>
      </c>
      <c r="AW15" s="355">
        <f>NORMSDIST((_xlfn.NORM.S.INV(AD15)-(SQRT(Baseline!$AF$11)*'MacroPD-Cal'!$AP$8))/SQRT(1-Baseline!$AF$11))</f>
        <v>2.0007002685162199E-3</v>
      </c>
      <c r="AX15" s="355">
        <f>NORMSDIST((_xlfn.NORM.S.INV(AE15)-(SQRT(Baseline!$AF$11)*'MacroPD-Cal'!$AP$9))/SQRT(1-Baseline!$AF$11))</f>
        <v>2.3318585402954278E-3</v>
      </c>
      <c r="AY15" s="355">
        <f t="shared" si="11"/>
        <v>3.1412898329235726E-4</v>
      </c>
      <c r="AZ15" s="355">
        <f t="shared" si="12"/>
        <v>7.0198479643923672E-4</v>
      </c>
      <c r="BA15" s="355">
        <f t="shared" si="13"/>
        <v>1.1002952780038155E-3</v>
      </c>
      <c r="BB15" s="355">
        <f t="shared" si="14"/>
        <v>1.6000000000000001E-3</v>
      </c>
      <c r="BC15" s="355"/>
      <c r="BD15" s="355"/>
      <c r="BE15" s="355"/>
      <c r="BF15" s="355"/>
      <c r="BG15" s="355">
        <f>NORMSDIST((_xlfn.NORM.S.INV($AA15)-(SQRT(Baseline!$AF$11)*'MacroPD-Cal'!$BF$2))/SQRT(1-Baseline!$AF$11))</f>
        <v>2.9286269887461786E-4</v>
      </c>
      <c r="BH15" s="355">
        <f>NORMSDIST((_xlfn.NORM.S.INV($AA15)-(SQRT(Baseline!$AF$11)*'MacroPD-Cal'!$BF$3))/SQRT(1-Baseline!$AF$11))</f>
        <v>4.5679318278532181E-4</v>
      </c>
      <c r="BI15" s="355">
        <f>NORMSDIST((_xlfn.NORM.S.INV($AA15)-(SQRT(Baseline!$AF$11)*'MacroPD-Cal'!$BF$4))/SQRT(1-Baseline!$AF$11))</f>
        <v>7.3886157184199796E-4</v>
      </c>
      <c r="BJ15" s="355">
        <f>NORMSDIST((_xlfn.NORM.S.INV($AA15)-(SQRT(Baseline!$AF$11)*'MacroPD-Cal'!$BF$5))/SQRT(1-Baseline!$AF$11))</f>
        <v>1.0538562980073449E-3</v>
      </c>
      <c r="BK15" s="355">
        <f>NORMSDIST((_xlfn.NORM.S.INV($AB15)-(SQRT(Baseline!$AF$11)*'MacroPD-Cal'!$BF$6))/SQRT(1-Baseline!$AF$11))</f>
        <v>5.3247983753483873E-3</v>
      </c>
      <c r="BL15" s="355">
        <f>NORMSDIST((_xlfn.NORM.S.INV($AC15)-(SQRT(Baseline!$AF$11)*'MacroPD-Cal'!$BF$7))/SQRT(1-Baseline!$AF$11))</f>
        <v>3.0221593341540909E-4</v>
      </c>
      <c r="BM15" s="355">
        <f>NORMSDIST((_xlfn.NORM.S.INV($AD15)-(SQRT(Baseline!$AF$11)*'MacroPD-Cal'!$BF$8))/SQRT(1-Baseline!$AF$11))</f>
        <v>1.0356077716393291E-3</v>
      </c>
      <c r="BN15" s="355">
        <f>NORMSDIST((_xlfn.NORM.S.INV($AE15)-(SQRT(Baseline!$AF$11)*'MacroPD-Cal'!$BF$9))/SQRT(1-Baseline!$AF$11))</f>
        <v>1.7134475454243438E-3</v>
      </c>
      <c r="BO15" s="355">
        <f t="shared" si="15"/>
        <v>2.9286269887461786E-4</v>
      </c>
      <c r="BP15" s="355">
        <f t="shared" si="16"/>
        <v>7.4952210397560837E-4</v>
      </c>
      <c r="BQ15" s="355">
        <f t="shared" si="17"/>
        <v>1.4878298827377678E-3</v>
      </c>
      <c r="BR15" s="355">
        <f t="shared" si="18"/>
        <v>2.5000000000000001E-3</v>
      </c>
      <c r="BS15" s="355"/>
      <c r="BT15" s="355"/>
      <c r="BU15" s="355"/>
      <c r="BV15" s="355">
        <f>NORMSDIST((_xlfn.NORM.S.INV($AA15)-(SQRT(Baseline!$AF$11)*'MacroPD-Cal'!$BU$2))/SQRT(1-Baseline!$AF$11))</f>
        <v>2.7852912561752649E-4</v>
      </c>
      <c r="BW15" s="355">
        <f>NORMSDIST((_xlfn.NORM.S.INV($AA15)-(SQRT(Baseline!$AF$11)*'MacroPD-Cal'!$BU$3))/SQRT(1-Baseline!$AF$11))</f>
        <v>4.8388641477840595E-4</v>
      </c>
      <c r="BX15" s="355">
        <f>NORMSDIST((_xlfn.NORM.S.INV($AA15)-(SQRT(Baseline!$AF$11)*'MacroPD-Cal'!$BU$4))/SQRT(1-Baseline!$AF$11))</f>
        <v>6.7652505756569329E-4</v>
      </c>
      <c r="BY15" s="355">
        <f>NORMSDIST((_xlfn.NORM.S.INV($AA15)-(SQRT(Baseline!$AF$11)*'MacroPD-Cal'!$BU$5))/SQRT(1-Baseline!$AF$11))</f>
        <v>8.993765338458908E-4</v>
      </c>
      <c r="BZ15" s="355">
        <f>NORMSDIST((_xlfn.NORM.S.INV($AB15)-(SQRT(Baseline!$AF$11)*'MacroPD-Cal'!$BU$6))/SQRT(1-Baseline!$AF$11))</f>
        <v>1.9224397336116989E-3</v>
      </c>
      <c r="CA15" s="355">
        <f>NORMSDIST((_xlfn.NORM.S.INV($AC15)-(SQRT(Baseline!$AF$11)*'MacroPD-Cal'!$BU20))/SQRT(1-Baseline!$AF$11))</f>
        <v>8.266683254386705E-4</v>
      </c>
      <c r="CB15" s="355">
        <f>NORMSDIST((_xlfn.NORM.S.INV($AD15)-(SQRT(Baseline!$AF$11)*'MacroPD-Cal'!$BU$8))/SQRT(1-Baseline!$AF$11))</f>
        <v>2.0171432652965854E-3</v>
      </c>
      <c r="CC15" s="355">
        <f>NORMSDIST((_xlfn.NORM.S.INV($AE15)-(SQRT(Baseline!$AF$11)*'MacroPD-Cal'!$BU$9))/SQRT(1-Baseline!$AF$11))</f>
        <v>1.7638799164944015E-3</v>
      </c>
      <c r="CD15" s="355">
        <f t="shared" si="19"/>
        <v>2.7852912561752649E-4</v>
      </c>
      <c r="CE15" s="355">
        <f t="shared" si="20"/>
        <v>7.6228076393591859E-4</v>
      </c>
      <c r="CF15" s="355">
        <f t="shared" si="21"/>
        <v>1.4382901194638364E-3</v>
      </c>
      <c r="CG15" s="355">
        <f t="shared" si="22"/>
        <v>2.3E-3</v>
      </c>
      <c r="CH15" s="355"/>
      <c r="CI15" s="355"/>
      <c r="CL15" s="168"/>
      <c r="CM15" s="168"/>
      <c r="CN15" s="168"/>
      <c r="CO15" s="168"/>
      <c r="CP15" s="168"/>
      <c r="CR15" s="345">
        <f t="shared" si="23"/>
        <v>0.15797836171849217</v>
      </c>
      <c r="CS15" s="345">
        <f t="shared" si="24"/>
        <v>0.38042288491357823</v>
      </c>
      <c r="CT15" s="345">
        <f t="shared" si="25"/>
        <v>0.64128898388483047</v>
      </c>
      <c r="CU15" s="345">
        <f t="shared" si="26"/>
        <v>1</v>
      </c>
    </row>
    <row r="16" spans="1:103" s="166" customFormat="1" x14ac:dyDescent="0.25">
      <c r="A16" s="464">
        <v>1100000171</v>
      </c>
      <c r="B16" s="470">
        <f>VLOOKUP(A16,'Ref-Data'!A:I,9,FALSE)</f>
        <v>1</v>
      </c>
      <c r="C16" s="445">
        <f>IF(B16="Matured","",VLOOKUP(A16,'Adjustment Factor'!A:C,3,0))</f>
        <v>0.65</v>
      </c>
      <c r="D16" s="190">
        <f>VLOOKUP(A16,'Ref-Data'!A:C,2,FALSE)</f>
        <v>4965593</v>
      </c>
      <c r="E16" s="471">
        <f>IFERROR(IF(VLOOKUP(A16,'Updated Ncino PD'!$A:$K,4,0)=0,"",VLOOKUP(A16,'Updated Ncino PD'!$A:$K,4,0)),AF16)</f>
        <v>2.4783737762410296E-3</v>
      </c>
      <c r="F16" s="472">
        <f>IFERROR(IF(VLOOKUP(A16,'Updated Ncino PD'!$A:$K,5,0)=0,"",VLOOKUP(A16,'Updated Ncino PD'!$A:$K,5,0)),1-((1-AG16)*(1-E16)))</f>
        <v>5.77597863222723E-3</v>
      </c>
      <c r="G16" s="472">
        <f>IFERROR(IF(VLOOKUP(A16,'Updated Ncino PD'!$A:$K,6,0)=0,"",VLOOKUP(A16,'Updated Ncino PD'!$A:$K,6,0)),1-((1-AF16)*(1-AG16)*(1-AH16)))</f>
        <v>9.5338075769022534E-3</v>
      </c>
      <c r="H16" s="472">
        <f>IFERROR(IF(VLOOKUP(A16,'Updated Ncino PD'!$A:$K,7,0)=0,"",VLOOKUP(A16,'Updated Ncino PD'!$A:$K,7,0)),IFERROR(VLOOKUP(A16,'Updated Ncino PD'!A:B,2,FALSE),FLOOR(1-((1-AG16)*(1-AH16)*(1-AI16)*(1-AF16)),$R$11)))</f>
        <v>1.4400000000000001E-2</v>
      </c>
      <c r="I16" s="472">
        <f>IFERROR(IF(VLOOKUP(A16,'Updated Ncino PD'!$A:$K,8,0)=0,"",VLOOKUP(A16,'Updated Ncino PD'!$A:$K,8,0)),FLOOR(1-((1-H16)*(1-AJ16)),$R$11))</f>
        <v>2.1600000000000001E-2</v>
      </c>
      <c r="J16" s="472">
        <f>IFERROR(IF(VLOOKUP(A16,'Updated Ncino PD'!$A:$K,9,0)=0,"",VLOOKUP(A16,'Updated Ncino PD'!$A:$K,9,0)),FLOOR(1-((1-H16)*(1-AJ16)*(1-AK16)),$R$11))</f>
        <v>2.5700000000000001E-2</v>
      </c>
      <c r="K16" s="472">
        <f>IFERROR(IF(VLOOKUP(A16,'Updated Ncino PD'!$A:$K,10,0)=0,"",VLOOKUP(A16,'Updated Ncino PD'!$A:$K,10,0)),FLOOR(1-((1-H16)*(1-AJ16)*(1-AK16)*(1-AL16)),$R$11))</f>
        <v>3.5500000000000004E-2</v>
      </c>
      <c r="L16" s="472">
        <f>IFERROR(IF(VLOOKUP(A16,'Updated Ncino PD'!$A:$K,11,0)=0,"",VLOOKUP(A16,'Updated Ncino PD'!$A:$K,11,0)),FLOOR(1-((1-H16)*(1-AJ16)*(1-AK16)*(1-AL16)*(1-AM16)),$R$11))</f>
        <v>4.5400000000000003E-2</v>
      </c>
      <c r="M16" s="224">
        <f>VLOOKUP(A16,'Ref-Data'!$A:$F,6,FALSE)</f>
        <v>0.34223134839151265</v>
      </c>
      <c r="N16" s="191">
        <f t="shared" si="3"/>
        <v>4.9516582368986928E-3</v>
      </c>
      <c r="O16" s="191">
        <f t="shared" si="4"/>
        <v>1.4400000000000001E-2</v>
      </c>
      <c r="P16" s="459" t="str">
        <f>VLOOKUP(A16,'Loan Book Summary'!C:G,5,FALSE)</f>
        <v>0014I00001lzk4N</v>
      </c>
      <c r="S16" s="203"/>
      <c r="T16" s="332">
        <f>IFERROR(VLOOKUP($P16,'Model Output-LoanNameUpdate'!$A:$K,2,FALSE),CL16)</f>
        <v>1.8814999999999998E-2</v>
      </c>
      <c r="U16" s="332">
        <f>1-(1-IFERROR(VLOOKUP($P16,'Model Output-LoanNameUpdate'!$A:$K,2,FALSE),CL16))^(1/4)</f>
        <v>4.7373069262759415E-3</v>
      </c>
      <c r="V16" s="332">
        <f>IFERROR(VLOOKUP($P16,'Model Output-LoanNameUpdate'!$A:$K,3,FALSE),CM16)</f>
        <v>1.7129999999999999E-2</v>
      </c>
      <c r="W16" s="332">
        <f>IFERROR(VLOOKUP($P16,'Model Output-LoanNameUpdate'!$A:$K,4,FALSE),CN16)</f>
        <v>1.6215E-2</v>
      </c>
      <c r="X16" s="332">
        <f>IFERROR(VLOOKUP($P16,'Model Output-LoanNameUpdate'!$A:$K,5,FALSE),CO16)</f>
        <v>1.5569999999999999E-2</v>
      </c>
      <c r="Y16" s="332">
        <f>IFERROR(VLOOKUP($P16,'Model Output-LoanNameUpdate'!$A:$K,6,FALSE),CP16)</f>
        <v>1.5119999999999998E-2</v>
      </c>
      <c r="Z16" s="207">
        <f t="shared" si="5"/>
        <v>0.65</v>
      </c>
      <c r="AA16" s="208">
        <f t="shared" si="6"/>
        <v>3.0792495020793621E-3</v>
      </c>
      <c r="AB16" s="208">
        <f t="shared" si="7"/>
        <v>1.11345E-2</v>
      </c>
      <c r="AC16" s="208">
        <f t="shared" si="8"/>
        <v>1.0539750000000001E-2</v>
      </c>
      <c r="AD16" s="208">
        <f t="shared" si="9"/>
        <v>1.0120499999999999E-2</v>
      </c>
      <c r="AE16" s="208">
        <f t="shared" si="10"/>
        <v>9.8279999999999982E-3</v>
      </c>
      <c r="AF16" s="332">
        <f>NORMSDIST((_xlfn.NORM.S.INV(AA16)-(SQRT(Baseline!$AF$11)*'MacroPD-Cal'!$R$2))/SQRT(1-Baseline!$AF$11))</f>
        <v>2.4783737762410296E-3</v>
      </c>
      <c r="AG16" s="332">
        <f>NORMSDIST((_xlfn.NORM.S.INV(AA16)-(SQRT(Baseline!$AF$11)*'MacroPD-Cal'!$R$3))/SQRT(1-Baseline!$AF$11))</f>
        <v>3.3057978587087882E-3</v>
      </c>
      <c r="AH16" s="332">
        <f>NORMSDIST((_xlfn.NORM.S.INV(AA16)-(SQRT(Baseline!$AF$11)*'MacroPD-Cal'!$R$4))/SQRT(1-Baseline!$AF$11))</f>
        <v>3.7796601811182291E-3</v>
      </c>
      <c r="AI16" s="332">
        <f>NORMSDIST((_xlfn.NORM.S.INV(AA16)-(SQRT(Baseline!$AF$11)*'MacroPD-Cal'!$R$5))/SQRT(1-Baseline!$AF$11))</f>
        <v>4.9681097443208498E-3</v>
      </c>
      <c r="AJ16" s="332">
        <f>NORMSDIST((_xlfn.NORM.S.INV(AB16)-(SQRT(Baseline!$AF$11)*'MacroPD-Cal'!$R$6))/SQRT(1-Baseline!$AF$11))</f>
        <v>7.321972522888678E-3</v>
      </c>
      <c r="AK16" s="332">
        <f>NORMSDIST((_xlfn.NORM.S.INV(AC16)-(SQRT(Baseline!$AF$11)*'MacroPD-Cal'!$R$7))/SQRT(1-Baseline!$AF$11))</f>
        <v>4.2434497884171786E-3</v>
      </c>
      <c r="AL16" s="332">
        <f>NORMSDIST((_xlfn.NORM.S.INV(AD16)-(SQRT(Baseline!$AF$11)*'MacroPD-Cal'!$R$8))/SQRT(1-Baseline!$AF$11))</f>
        <v>1.0000709337490523E-2</v>
      </c>
      <c r="AM16" s="332">
        <f>NORMSDIST((_xlfn.NORM.S.INV(AE16)-(SQRT(Baseline!$AF$11)*'MacroPD-Cal'!$R$9))/SQRT(1-Baseline!$AF$11))</f>
        <v>1.0269767733380267E-2</v>
      </c>
      <c r="AO16" s="355"/>
      <c r="AP16" s="355"/>
      <c r="AQ16" s="355">
        <f>NORMSDIST((_xlfn.NORM.S.INV(AA16)-(SQRT(Baseline!$AF$11)*'MacroPD-Cal'!$AP$2))/SQRT(1-Baseline!$AF$11))</f>
        <v>2.5752053473047046E-3</v>
      </c>
      <c r="AR16" s="355">
        <f>NORMSDIST((_xlfn.NORM.S.INV(AA16)-(SQRT(Baseline!$AF$11)*'MacroPD-Cal'!$AP$3))/SQRT(1-Baseline!$AF$11))</f>
        <v>3.0757674021760981E-3</v>
      </c>
      <c r="AS16" s="355">
        <f>NORMSDIST((_xlfn.NORM.S.INV(AA16)-(SQRT(Baseline!$AF$11)*'MacroPD-Cal'!$AP$4))/SQRT(1-Baseline!$AF$11))</f>
        <v>3.1462926699083026E-3</v>
      </c>
      <c r="AT16" s="355">
        <f>NORMSDIST((_xlfn.NORM.S.INV(AA16)-(SQRT(Baseline!$AF$11)*'MacroPD-Cal'!$AP$5))/SQRT(1-Baseline!$AF$11))</f>
        <v>4.2191034958129576E-3</v>
      </c>
      <c r="AU16" s="355">
        <f>NORMSDIST((_xlfn.NORM.S.INV(AB16)-(SQRT(Baseline!$AF$11)*'MacroPD-Cal'!$AP$6))/SQRT(1-Baseline!$AF$11))</f>
        <v>4.797340170466572E-3</v>
      </c>
      <c r="AV16" s="355">
        <f>NORMSDIST((_xlfn.NORM.S.INV(AC16)-(SQRT(Baseline!$AF$11)*'MacroPD-Cal'!$AP$7))/SQRT(1-Baseline!$AF$11))</f>
        <v>5.9493775170135228E-3</v>
      </c>
      <c r="AW16" s="355">
        <f>NORMSDIST((_xlfn.NORM.S.INV(AD16)-(SQRT(Baseline!$AF$11)*'MacroPD-Cal'!$AP$8))/SQRT(1-Baseline!$AF$11))</f>
        <v>1.0248146518629412E-2</v>
      </c>
      <c r="AX16" s="355">
        <f>NORMSDIST((_xlfn.NORM.S.INV(AE16)-(SQRT(Baseline!$AF$11)*'MacroPD-Cal'!$AP$9))/SQRT(1-Baseline!$AF$11))</f>
        <v>1.1285456127195392E-2</v>
      </c>
      <c r="AY16" s="355">
        <f t="shared" si="11"/>
        <v>2.5752053473047046E-3</v>
      </c>
      <c r="AZ16" s="355">
        <f t="shared" si="12"/>
        <v>5.643052016819583E-3</v>
      </c>
      <c r="BA16" s="355">
        <f t="shared" si="13"/>
        <v>8.7715899935314479E-3</v>
      </c>
      <c r="BB16" s="355">
        <f t="shared" si="14"/>
        <v>1.29E-2</v>
      </c>
      <c r="BC16" s="355"/>
      <c r="BD16" s="355"/>
      <c r="BE16" s="355"/>
      <c r="BF16" s="355"/>
      <c r="BG16" s="355">
        <f>NORMSDIST((_xlfn.NORM.S.INV($AA16)-(SQRT(Baseline!$AF$11)*'MacroPD-Cal'!$BF$2))/SQRT(1-Baseline!$AF$11))</f>
        <v>2.427500505018497E-3</v>
      </c>
      <c r="BH16" s="355">
        <f>NORMSDIST((_xlfn.NORM.S.INV($AA16)-(SQRT(Baseline!$AF$11)*'MacroPD-Cal'!$BF$3))/SQRT(1-Baseline!$AF$11))</f>
        <v>3.5275781615864144E-3</v>
      </c>
      <c r="BI16" s="355">
        <f>NORMSDIST((_xlfn.NORM.S.INV($AA16)-(SQRT(Baseline!$AF$11)*'MacroPD-Cal'!$BF$4))/SQRT(1-Baseline!$AF$11))</f>
        <v>5.2731423552247756E-3</v>
      </c>
      <c r="BJ16" s="355">
        <f>NORMSDIST((_xlfn.NORM.S.INV($AA16)-(SQRT(Baseline!$AF$11)*'MacroPD-Cal'!$BF$5))/SQRT(1-Baseline!$AF$11))</f>
        <v>7.083910628676162E-3</v>
      </c>
      <c r="BK16" s="355">
        <f>NORMSDIST((_xlfn.NORM.S.INV($AB16)-(SQRT(Baseline!$AF$11)*'MacroPD-Cal'!$BF$6))/SQRT(1-Baseline!$AF$11))</f>
        <v>2.7242298544812169E-2</v>
      </c>
      <c r="BL16" s="355">
        <f>NORMSDIST((_xlfn.NORM.S.INV($AC16)-(SQRT(Baseline!$AF$11)*'MacroPD-Cal'!$BF$7))/SQRT(1-Baseline!$AF$11))</f>
        <v>2.3240917837220451E-3</v>
      </c>
      <c r="BM16" s="355">
        <f>NORMSDIST((_xlfn.NORM.S.INV($AD16)-(SQRT(Baseline!$AF$11)*'MacroPD-Cal'!$BF$8))/SQRT(1-Baseline!$AF$11))</f>
        <v>5.8859157293262958E-3</v>
      </c>
      <c r="BN16" s="355">
        <f>NORMSDIST((_xlfn.NORM.S.INV($AE16)-(SQRT(Baseline!$AF$11)*'MacroPD-Cal'!$BF$9))/SQRT(1-Baseline!$AF$11))</f>
        <v>8.7073628587609284E-3</v>
      </c>
      <c r="BO16" s="355">
        <f t="shared" si="15"/>
        <v>2.427500505018497E-3</v>
      </c>
      <c r="BP16" s="355">
        <f t="shared" si="16"/>
        <v>5.9465154688361777E-3</v>
      </c>
      <c r="BQ16" s="355">
        <f t="shared" si="17"/>
        <v>1.1188301001476275E-2</v>
      </c>
      <c r="BR16" s="355">
        <f t="shared" si="18"/>
        <v>1.8100000000000002E-2</v>
      </c>
      <c r="BS16" s="355"/>
      <c r="BT16" s="355"/>
      <c r="BU16" s="355"/>
      <c r="BV16" s="355">
        <f>NORMSDIST((_xlfn.NORM.S.INV($AA16)-(SQRT(Baseline!$AF$11)*'MacroPD-Cal'!$BU$2))/SQRT(1-Baseline!$AF$11))</f>
        <v>2.3269302644014045E-3</v>
      </c>
      <c r="BW16" s="355">
        <f>NORMSDIST((_xlfn.NORM.S.INV($AA16)-(SQRT(Baseline!$AF$11)*'MacroPD-Cal'!$BU$3))/SQRT(1-Baseline!$AF$11))</f>
        <v>3.702141050496181E-3</v>
      </c>
      <c r="BX16" s="355">
        <f>NORMSDIST((_xlfn.NORM.S.INV($AA16)-(SQRT(Baseline!$AF$11)*'MacroPD-Cal'!$BU$4))/SQRT(1-Baseline!$AF$11))</f>
        <v>4.8994799468481866E-3</v>
      </c>
      <c r="BY16" s="355">
        <f>NORMSDIST((_xlfn.NORM.S.INV($AA16)-(SQRT(Baseline!$AF$11)*'MacroPD-Cal'!$BU$5))/SQRT(1-Baseline!$AF$11))</f>
        <v>6.2104770615038522E-3</v>
      </c>
      <c r="BZ16" s="355">
        <f>NORMSDIST((_xlfn.NORM.S.INV($AB16)-(SQRT(Baseline!$AF$11)*'MacroPD-Cal'!$BU$6))/SQRT(1-Baseline!$AF$11))</f>
        <v>1.1923404789419771E-2</v>
      </c>
      <c r="CA16" s="355">
        <f>NORMSDIST((_xlfn.NORM.S.INV($AC16)-(SQRT(Baseline!$AF$11)*'MacroPD-Cal'!$BU21))/SQRT(1-Baseline!$AF$11))</f>
        <v>5.4300775115203401E-3</v>
      </c>
      <c r="CB16" s="355">
        <f>NORMSDIST((_xlfn.NORM.S.INV($AD16)-(SQRT(Baseline!$AF$11)*'MacroPD-Cal'!$BU$8))/SQRT(1-Baseline!$AF$11))</f>
        <v>1.0318688155561527E-2</v>
      </c>
      <c r="CC16" s="355">
        <f>NORMSDIST((_xlfn.NORM.S.INV($AE16)-(SQRT(Baseline!$AF$11)*'MacroPD-Cal'!$BU$9))/SQRT(1-Baseline!$AF$11))</f>
        <v>8.9229992292961437E-3</v>
      </c>
      <c r="CD16" s="355">
        <f t="shared" si="19"/>
        <v>2.3269302644014045E-3</v>
      </c>
      <c r="CE16" s="355">
        <f t="shared" si="20"/>
        <v>6.020456690844167E-3</v>
      </c>
      <c r="CF16" s="355">
        <f t="shared" si="21"/>
        <v>1.089043953086466E-2</v>
      </c>
      <c r="CG16" s="355">
        <f t="shared" si="22"/>
        <v>1.7000000000000001E-2</v>
      </c>
      <c r="CH16" s="355"/>
      <c r="CI16" s="355"/>
      <c r="CL16" s="168"/>
      <c r="CM16" s="168"/>
      <c r="CN16" s="168"/>
      <c r="CO16" s="168"/>
      <c r="CP16" s="168"/>
      <c r="CR16" s="345">
        <f t="shared" si="23"/>
        <v>0.17210929001673816</v>
      </c>
      <c r="CS16" s="345">
        <f t="shared" si="24"/>
        <v>0.40110962723800203</v>
      </c>
      <c r="CT16" s="345">
        <f t="shared" si="25"/>
        <v>0.66206997061821193</v>
      </c>
      <c r="CU16" s="345">
        <f t="shared" si="26"/>
        <v>1</v>
      </c>
    </row>
    <row r="17" spans="1:99" s="166" customFormat="1" x14ac:dyDescent="0.25">
      <c r="A17" s="464">
        <v>1100000223</v>
      </c>
      <c r="B17" s="470">
        <f>VLOOKUP(A17,'Ref-Data'!A:I,9,FALSE)</f>
        <v>1</v>
      </c>
      <c r="C17" s="445">
        <f>IF(B17="Matured","",VLOOKUP(A17,'Adjustment Factor'!A:C,3,0))</f>
        <v>1.1951755713707852</v>
      </c>
      <c r="D17" s="190">
        <f>VLOOKUP(A17,'Ref-Data'!A:C,2,FALSE)</f>
        <v>25500000</v>
      </c>
      <c r="E17" s="471">
        <f>IFERROR(IF(VLOOKUP(A17,'Updated Ncino PD'!$A:$K,4,0)=0,"",VLOOKUP(A17,'Updated Ncino PD'!$A:$K,4,0)),AF17)</f>
        <v>3.1967968743861251E-3</v>
      </c>
      <c r="F17" s="472">
        <f>IFERROR(IF(VLOOKUP(A17,'Updated Ncino PD'!$A:$K,5,0)=0,"",VLOOKUP(A17,'Updated Ncino PD'!$A:$K,5,0)),1-((1-AG17)*(1-E17)))</f>
        <v>7.4168502453593188E-3</v>
      </c>
      <c r="G17" s="472">
        <f>IFERROR(IF(VLOOKUP(A17,'Updated Ncino PD'!$A:$K,6,0)=0,"",VLOOKUP(A17,'Updated Ncino PD'!$A:$K,6,0)),1-((1-AF17)*(1-AG17)*(1-AH17)))</f>
        <v>1.2205094962407625E-2</v>
      </c>
      <c r="H17" s="472">
        <f>IFERROR(IF(VLOOKUP(A17,'Updated Ncino PD'!$A:$K,7,0)=0,"",VLOOKUP(A17,'Updated Ncino PD'!$A:$K,7,0)),IFERROR(VLOOKUP(A17,'Updated Ncino PD'!A:B,2,FALSE),FLOOR(1-((1-AG17)*(1-AH17)*(1-AI17)*(1-AF17)),$R$11)))</f>
        <v>1.84E-2</v>
      </c>
      <c r="I17" s="472">
        <f>IFERROR(IF(VLOOKUP(A17,'Updated Ncino PD'!$A:$K,8,0)=0,"",VLOOKUP(A17,'Updated Ncino PD'!$A:$K,8,0)),FLOOR(1-((1-H17)*(1-AJ17)),$R$11))</f>
        <v>2.8000000000000001E-2</v>
      </c>
      <c r="J17" s="472">
        <f>IFERROR(IF(VLOOKUP(A17,'Updated Ncino PD'!$A:$K,9,0)=0,"",VLOOKUP(A17,'Updated Ncino PD'!$A:$K,9,0)),FLOOR(1-((1-H17)*(1-AJ17)*(1-AK17)),$R$11))</f>
        <v>3.3700000000000001E-2</v>
      </c>
      <c r="K17" s="472">
        <f>IFERROR(IF(VLOOKUP(A17,'Updated Ncino PD'!$A:$K,10,0)=0,"",VLOOKUP(A17,'Updated Ncino PD'!$A:$K,10,0)),FLOOR(1-((1-H17)*(1-AJ17)*(1-AK17)*(1-AL17)),$R$11))</f>
        <v>4.6700000000000005E-2</v>
      </c>
      <c r="L17" s="472">
        <f>IFERROR(IF(VLOOKUP(A17,'Updated Ncino PD'!$A:$K,11,0)=0,"",VLOOKUP(A17,'Updated Ncino PD'!$A:$K,11,0)),FLOOR(1-((1-H17)*(1-AJ17)*(1-AK17)*(1-AL17)*(1-AM17)),$R$11))</f>
        <v>5.9900000000000002E-2</v>
      </c>
      <c r="M17" s="224">
        <f>VLOOKUP(A17,'Ref-Data'!$A:$F,6,FALSE)</f>
        <v>2.1437371663244353</v>
      </c>
      <c r="N17" s="191">
        <f t="shared" si="3"/>
        <v>1.84E-2</v>
      </c>
      <c r="O17" s="191">
        <f t="shared" si="4"/>
        <v>3.3700000000000001E-2</v>
      </c>
      <c r="P17" s="459" t="str">
        <f>VLOOKUP(A17,'Loan Book Summary'!C:G,5,FALSE)</f>
        <v>0014I00001lGVkG</v>
      </c>
      <c r="R17" s="168"/>
      <c r="S17" s="203"/>
      <c r="T17" s="332">
        <f>IFERROR(VLOOKUP($P17,'Model Output-LoanNameUpdate'!$A:$K,2,FALSE),CL17)</f>
        <v>1.2855E-2</v>
      </c>
      <c r="U17" s="332">
        <f>1-(1-IFERROR(VLOOKUP($P17,'Model Output-LoanNameUpdate'!$A:$K,2,FALSE),CL17))^(1/4)</f>
        <v>3.2293594930690173E-3</v>
      </c>
      <c r="V17" s="332">
        <f>IFERROR(VLOOKUP($P17,'Model Output-LoanNameUpdate'!$A:$K,3,FALSE),CM17)</f>
        <v>1.1990000000000001E-2</v>
      </c>
      <c r="W17" s="332">
        <f>IFERROR(VLOOKUP($P17,'Model Output-LoanNameUpdate'!$A:$K,4,FALSE),CN17)</f>
        <v>1.1439999999999999E-2</v>
      </c>
      <c r="X17" s="332">
        <f>IFERROR(VLOOKUP($P17,'Model Output-LoanNameUpdate'!$A:$K,5,FALSE),CO17)</f>
        <v>1.1069999999999998E-2</v>
      </c>
      <c r="Y17" s="332">
        <f>IFERROR(VLOOKUP($P17,'Model Output-LoanNameUpdate'!$A:$K,6,FALSE),CP17)</f>
        <v>1.0844999999999999E-2</v>
      </c>
      <c r="Z17" s="207">
        <f t="shared" si="5"/>
        <v>1.1951755713707852</v>
      </c>
      <c r="AA17" s="208">
        <f t="shared" si="6"/>
        <v>3.859651577290432E-3</v>
      </c>
      <c r="AB17" s="208">
        <f t="shared" si="7"/>
        <v>1.4330155100735716E-2</v>
      </c>
      <c r="AC17" s="208">
        <f t="shared" si="8"/>
        <v>1.3672808536481781E-2</v>
      </c>
      <c r="AD17" s="208">
        <f t="shared" si="9"/>
        <v>1.3230593575074591E-2</v>
      </c>
      <c r="AE17" s="208">
        <f t="shared" si="10"/>
        <v>1.2961679071516165E-2</v>
      </c>
      <c r="AF17" s="332">
        <f>NORMSDIST((_xlfn.NORM.S.INV(AA17)-(SQRT(Baseline!$AF$11)*'MacroPD-Cal'!$R$2))/SQRT(1-Baseline!$AF$11))</f>
        <v>3.1967968743861251E-3</v>
      </c>
      <c r="AG17" s="332">
        <f>NORMSDIST((_xlfn.NORM.S.INV(AA17)-(SQRT(Baseline!$AF$11)*'MacroPD-Cal'!$R$3))/SQRT(1-Baseline!$AF$11))</f>
        <v>4.233587289588025E-3</v>
      </c>
      <c r="AH17" s="332">
        <f>NORMSDIST((_xlfn.NORM.S.INV(AA17)-(SQRT(Baseline!$AF$11)*'MacroPD-Cal'!$R$4))/SQRT(1-Baseline!$AF$11))</f>
        <v>4.8240237789971734E-3</v>
      </c>
      <c r="AI17" s="332">
        <f>NORMSDIST((_xlfn.NORM.S.INV(AA17)-(SQRT(Baseline!$AF$11)*'MacroPD-Cal'!$R$5))/SQRT(1-Baseline!$AF$11))</f>
        <v>6.2962317468640804E-3</v>
      </c>
      <c r="AJ17" s="332">
        <f>NORMSDIST((_xlfn.NORM.S.INV(AB17)-(SQRT(Baseline!$AF$11)*'MacroPD-Cal'!$R$6))/SQRT(1-Baseline!$AF$11))</f>
        <v>9.817173063604738E-3</v>
      </c>
      <c r="AK17" s="332">
        <f>NORMSDIST((_xlfn.NORM.S.INV(AC17)-(SQRT(Baseline!$AF$11)*'MacroPD-Cal'!$R$7))/SQRT(1-Baseline!$AF$11))</f>
        <v>5.8408237155656026E-3</v>
      </c>
      <c r="AL17" s="332">
        <f>NORMSDIST((_xlfn.NORM.S.INV(AD17)-(SQRT(Baseline!$AF$11)*'MacroPD-Cal'!$R$8))/SQRT(1-Baseline!$AF$11))</f>
        <v>1.3443416850088003E-2</v>
      </c>
      <c r="AM17" s="332">
        <f>NORMSDIST((_xlfn.NORM.S.INV(AE17)-(SQRT(Baseline!$AF$11)*'MacroPD-Cal'!$R$9))/SQRT(1-Baseline!$AF$11))</f>
        <v>1.3908897903250703E-2</v>
      </c>
      <c r="AO17" s="355"/>
      <c r="AP17" s="355"/>
      <c r="AQ17" s="355">
        <f>NORMSDIST((_xlfn.NORM.S.INV(AA17)-(SQRT(Baseline!$AF$11)*'MacroPD-Cal'!$AP$2))/SQRT(1-Baseline!$AF$11))</f>
        <v>3.3185616813506584E-3</v>
      </c>
      <c r="AR17" s="355">
        <f>NORMSDIST((_xlfn.NORM.S.INV(AA17)-(SQRT(Baseline!$AF$11)*'MacroPD-Cal'!$AP$3))/SQRT(1-Baseline!$AF$11))</f>
        <v>3.9461450587687068E-3</v>
      </c>
      <c r="AS17" s="355">
        <f>NORMSDIST((_xlfn.NORM.S.INV(AA17)-(SQRT(Baseline!$AF$11)*'MacroPD-Cal'!$AP$4))/SQRT(1-Baseline!$AF$11))</f>
        <v>4.0343328132911348E-3</v>
      </c>
      <c r="AT17" s="355">
        <f>NORMSDIST((_xlfn.NORM.S.INV(AA17)-(SQRT(Baseline!$AF$11)*'MacroPD-Cal'!$AP$5))/SQRT(1-Baseline!$AF$11))</f>
        <v>5.3697260921431542E-3</v>
      </c>
      <c r="AU17" s="355">
        <f>NORMSDIST((_xlfn.NORM.S.INV(AB17)-(SQRT(Baseline!$AF$11)*'MacroPD-Cal'!$AP$6))/SQRT(1-Baseline!$AF$11))</f>
        <v>6.5268538242135438E-3</v>
      </c>
      <c r="AV17" s="355">
        <f>NORMSDIST((_xlfn.NORM.S.INV(AC17)-(SQRT(Baseline!$AF$11)*'MacroPD-Cal'!$AP$7))/SQRT(1-Baseline!$AF$11))</f>
        <v>8.0930650799985581E-3</v>
      </c>
      <c r="AW17" s="355">
        <f>NORMSDIST((_xlfn.NORM.S.INV(AD17)-(SQRT(Baseline!$AF$11)*'MacroPD-Cal'!$AP$8))/SQRT(1-Baseline!$AF$11))</f>
        <v>1.3763150697291966E-2</v>
      </c>
      <c r="AX17" s="355">
        <f>NORMSDIST((_xlfn.NORM.S.INV(AE17)-(SQRT(Baseline!$AF$11)*'MacroPD-Cal'!$AP$9))/SQRT(1-Baseline!$AF$11))</f>
        <v>1.5227429903400824E-2</v>
      </c>
      <c r="AY17" s="355">
        <f t="shared" si="11"/>
        <v>3.3185616813506584E-3</v>
      </c>
      <c r="AZ17" s="355">
        <f t="shared" si="12"/>
        <v>7.2516112143382605E-3</v>
      </c>
      <c r="BA17" s="355">
        <f t="shared" si="13"/>
        <v>1.1256688614558197E-2</v>
      </c>
      <c r="BB17" s="355">
        <f t="shared" si="14"/>
        <v>1.6500000000000001E-2</v>
      </c>
      <c r="BC17" s="355"/>
      <c r="BD17" s="355"/>
      <c r="BE17" s="355"/>
      <c r="BF17" s="355"/>
      <c r="BG17" s="355">
        <f>NORMSDIST((_xlfn.NORM.S.INV($AA17)-(SQRT(Baseline!$AF$11)*'MacroPD-Cal'!$BF$2))/SQRT(1-Baseline!$AF$11))</f>
        <v>3.132773568702446E-3</v>
      </c>
      <c r="BH17" s="355">
        <f>NORMSDIST((_xlfn.NORM.S.INV($AA17)-(SQRT(Baseline!$AF$11)*'MacroPD-Cal'!$BF$3))/SQRT(1-Baseline!$AF$11))</f>
        <v>4.5101998877073472E-3</v>
      </c>
      <c r="BI17" s="355">
        <f>NORMSDIST((_xlfn.NORM.S.INV($AA17)-(SQRT(Baseline!$AF$11)*'MacroPD-Cal'!$BF$4))/SQRT(1-Baseline!$AF$11))</f>
        <v>6.6723717269193345E-3</v>
      </c>
      <c r="BJ17" s="355">
        <f>NORMSDIST((_xlfn.NORM.S.INV($AA17)-(SQRT(Baseline!$AF$11)*'MacroPD-Cal'!$BF$5))/SQRT(1-Baseline!$AF$11))</f>
        <v>8.8933085556416915E-3</v>
      </c>
      <c r="BK17" s="355">
        <f>NORMSDIST((_xlfn.NORM.S.INV($AB17)-(SQRT(Baseline!$AF$11)*'MacroPD-Cal'!$BF$6))/SQRT(1-Baseline!$AF$11))</f>
        <v>3.4749664234937298E-2</v>
      </c>
      <c r="BL17" s="355">
        <f>NORMSDIST((_xlfn.NORM.S.INV($AC17)-(SQRT(Baseline!$AF$11)*'MacroPD-Cal'!$BF$7))/SQRT(1-Baseline!$AF$11))</f>
        <v>3.2639613132104534E-3</v>
      </c>
      <c r="BM17" s="355">
        <f>NORMSDIST((_xlfn.NORM.S.INV($AD17)-(SQRT(Baseline!$AF$11)*'MacroPD-Cal'!$BF$8))/SQRT(1-Baseline!$AF$11))</f>
        <v>8.0697216406229733E-3</v>
      </c>
      <c r="BN17" s="355">
        <f>NORMSDIST((_xlfn.NORM.S.INV($AE17)-(SQRT(Baseline!$AF$11)*'MacroPD-Cal'!$BF$9))/SQRT(1-Baseline!$AF$11))</f>
        <v>1.1869234402011564E-2</v>
      </c>
      <c r="BO17" s="355">
        <f t="shared" si="15"/>
        <v>3.132773568702446E-3</v>
      </c>
      <c r="BP17" s="355">
        <f t="shared" si="16"/>
        <v>7.6288440214120623E-3</v>
      </c>
      <c r="BQ17" s="355">
        <f t="shared" si="17"/>
        <v>1.4250313265173897E-2</v>
      </c>
      <c r="BR17" s="355">
        <f t="shared" si="18"/>
        <v>2.3E-2</v>
      </c>
      <c r="BS17" s="355"/>
      <c r="BT17" s="355"/>
      <c r="BU17" s="355"/>
      <c r="BV17" s="355">
        <f>NORMSDIST((_xlfn.NORM.S.INV($AA17)-(SQRT(Baseline!$AF$11)*'MacroPD-Cal'!$BU$2))/SQRT(1-Baseline!$AF$11))</f>
        <v>3.0061014016885645E-3</v>
      </c>
      <c r="BW17" s="355">
        <f>NORMSDIST((_xlfn.NORM.S.INV($AA17)-(SQRT(Baseline!$AF$11)*'MacroPD-Cal'!$BU$3))/SQRT(1-Baseline!$AF$11))</f>
        <v>4.7275817802666584E-3</v>
      </c>
      <c r="BX17" s="355">
        <f>NORMSDIST((_xlfn.NORM.S.INV($AA17)-(SQRT(Baseline!$AF$11)*'MacroPD-Cal'!$BU$4))/SQRT(1-Baseline!$AF$11))</f>
        <v>6.2115133745474079E-3</v>
      </c>
      <c r="BY17" s="355">
        <f>NORMSDIST((_xlfn.NORM.S.INV($AA17)-(SQRT(Baseline!$AF$11)*'MacroPD-Cal'!$BU$5))/SQRT(1-Baseline!$AF$11))</f>
        <v>7.8244182416162163E-3</v>
      </c>
      <c r="BZ17" s="355">
        <f>NORMSDIST((_xlfn.NORM.S.INV($AB17)-(SQRT(Baseline!$AF$11)*'MacroPD-Cal'!$BU$6))/SQRT(1-Baseline!$AF$11))</f>
        <v>1.5707163216415035E-2</v>
      </c>
      <c r="CA17" s="355">
        <f>NORMSDIST((_xlfn.NORM.S.INV($AC17)-(SQRT(Baseline!$AF$11)*'MacroPD-Cal'!$BU22))/SQRT(1-Baseline!$AF$11))</f>
        <v>7.4104687803998072E-3</v>
      </c>
      <c r="CB17" s="355">
        <f>NORMSDIST((_xlfn.NORM.S.INV($AD17)-(SQRT(Baseline!$AF$11)*'MacroPD-Cal'!$BU$8))/SQRT(1-Baseline!$AF$11))</f>
        <v>1.3854242801998424E-2</v>
      </c>
      <c r="CC17" s="355">
        <f>NORMSDIST((_xlfn.NORM.S.INV($AE17)-(SQRT(Baseline!$AF$11)*'MacroPD-Cal'!$BU$9))/SQRT(1-Baseline!$AF$11))</f>
        <v>1.2151624570105796E-2</v>
      </c>
      <c r="CD17" s="355">
        <f t="shared" si="19"/>
        <v>3.0061014016885645E-3</v>
      </c>
      <c r="CE17" s="355">
        <f t="shared" si="20"/>
        <v>7.7194715917389134E-3</v>
      </c>
      <c r="CF17" s="355">
        <f t="shared" si="21"/>
        <v>1.3883035365249818E-2</v>
      </c>
      <c r="CG17" s="355">
        <f t="shared" si="22"/>
        <v>2.1500000000000002E-2</v>
      </c>
      <c r="CH17" s="355"/>
      <c r="CI17" s="355"/>
      <c r="CL17" s="168"/>
      <c r="CM17" s="168"/>
      <c r="CN17" s="168"/>
      <c r="CO17" s="168"/>
      <c r="CP17" s="168"/>
      <c r="CR17" s="345">
        <f t="shared" si="23"/>
        <v>0.17373896056446334</v>
      </c>
      <c r="CS17" s="345">
        <f t="shared" si="24"/>
        <v>0.4030896872477891</v>
      </c>
      <c r="CT17" s="345">
        <f t="shared" si="25"/>
        <v>0.66332037839171876</v>
      </c>
      <c r="CU17" s="345">
        <f t="shared" si="26"/>
        <v>1</v>
      </c>
    </row>
    <row r="18" spans="1:99" s="166" customFormat="1" x14ac:dyDescent="0.25">
      <c r="A18" s="464">
        <v>1100000185</v>
      </c>
      <c r="B18" s="470">
        <f>VLOOKUP(A18,'Ref-Data'!A:I,9,FALSE)</f>
        <v>2</v>
      </c>
      <c r="C18" s="445">
        <f>IF(B18="Matured","",VLOOKUP(A18,'Adjustment Factor'!A:C,3,0))</f>
        <v>1.0605674153852402</v>
      </c>
      <c r="D18" s="190">
        <f>VLOOKUP(A18,'Ref-Data'!A:C,2,FALSE)</f>
        <v>17000000</v>
      </c>
      <c r="E18" s="471">
        <f>IFERROR(IF(VLOOKUP(A18,'Updated Ncino PD'!$A:$K,4,0)=0,"",VLOOKUP(A18,'Updated Ncino PD'!$A:$K,4,0)),AF18)</f>
        <v>2.8366842468132019E-2</v>
      </c>
      <c r="F18" s="472">
        <f>IFERROR(IF(VLOOKUP(A18,'Updated Ncino PD'!$A:$K,5,0)=0,"",VLOOKUP(A18,'Updated Ncino PD'!$A:$K,5,0)),1-((1-AG18)*(1-E18)))</f>
        <v>6.2417988886168341E-2</v>
      </c>
      <c r="G18" s="472">
        <f>IFERROR(IF(VLOOKUP(A18,'Updated Ncino PD'!$A:$K,6,0)=0,"",VLOOKUP(A18,'Updated Ncino PD'!$A:$K,6,0)),1-((1-AF18)*(1-AG18)*(1-AH18)))</f>
        <v>9.8647826604583044E-2</v>
      </c>
      <c r="H18" s="472">
        <f>IFERROR(IF(VLOOKUP(A18,'Updated Ncino PD'!$A:$K,7,0)=0,"",VLOOKUP(A18,'Updated Ncino PD'!$A:$K,7,0)),IFERROR(VLOOKUP(A18,'Updated Ncino PD'!A:B,2,FALSE),FLOOR(1-((1-AG18)*(1-AH18)*(1-AI18)*(1-AF18)),$R$11)))</f>
        <v>0.1411</v>
      </c>
      <c r="I18" s="472">
        <f>IFERROR(IF(VLOOKUP(A18,'Updated Ncino PD'!$A:$K,8,0)=0,"",VLOOKUP(A18,'Updated Ncino PD'!$A:$K,8,0)),FLOOR(1-((1-H18)*(1-AJ18)),$R$11))</f>
        <v>0.20270000000000002</v>
      </c>
      <c r="J18" s="472">
        <f>IFERROR(IF(VLOOKUP(A18,'Updated Ncino PD'!$A:$K,9,0)=0,"",VLOOKUP(A18,'Updated Ncino PD'!$A:$K,9,0)),FLOOR(1-((1-H18)*(1-AJ18)*(1-AK18)),$R$11))</f>
        <v>0.23670000000000002</v>
      </c>
      <c r="K18" s="472">
        <f>IFERROR(IF(VLOOKUP(A18,'Updated Ncino PD'!$A:$K,10,0)=0,"",VLOOKUP(A18,'Updated Ncino PD'!$A:$K,10,0)),FLOOR(1-((1-H18)*(1-AJ18)*(1-AK18)*(1-AL18)),$R$11))</f>
        <v>0.29139999999999999</v>
      </c>
      <c r="L18" s="472">
        <f>IFERROR(IF(VLOOKUP(A18,'Updated Ncino PD'!$A:$K,11,0)=0,"",VLOOKUP(A18,'Updated Ncino PD'!$A:$K,11,0)),FLOOR(1-((1-H18)*(1-AJ18)*(1-AK18)*(1-AL18)*(1-AM18)),$R$11))</f>
        <v>0.33979999999999999</v>
      </c>
      <c r="M18" s="224">
        <f>VLOOKUP(A18,'Ref-Data'!$A:$F,6,FALSE)</f>
        <v>0.33401779603011633</v>
      </c>
      <c r="N18" s="191">
        <f t="shared" si="3"/>
        <v>4.9536040084954158E-2</v>
      </c>
      <c r="O18" s="191">
        <f t="shared" si="4"/>
        <v>0.1411</v>
      </c>
      <c r="P18" s="459" t="str">
        <f>VLOOKUP(A18,'Loan Book Summary'!C:G,5,FALSE)</f>
        <v>0014I00001oIXfG</v>
      </c>
      <c r="S18" s="203"/>
      <c r="T18" s="332">
        <f>IFERROR(VLOOKUP($P18,'Model Output-LoanNameUpdate'!$A:$K,2,FALSE),CL18)</f>
        <v>9.9464999999999998E-2</v>
      </c>
      <c r="U18" s="332">
        <f>1-(1-IFERROR(VLOOKUP($P18,'Model Output-LoanNameUpdate'!$A:$K,2,FALSE),CL18))^(1/4)</f>
        <v>2.5851538051228751E-2</v>
      </c>
      <c r="V18" s="332">
        <f>IFERROR(VLOOKUP($P18,'Model Output-LoanNameUpdate'!$A:$K,3,FALSE),CM18)</f>
        <v>7.621E-2</v>
      </c>
      <c r="W18" s="332">
        <f>IFERROR(VLOOKUP($P18,'Model Output-LoanNameUpdate'!$A:$K,4,FALSE),CN18)</f>
        <v>6.5194999999999989E-2</v>
      </c>
      <c r="X18" s="332">
        <f>IFERROR(VLOOKUP($P18,'Model Output-LoanNameUpdate'!$A:$K,5,FALSE),CO18)</f>
        <v>5.8264999999999997E-2</v>
      </c>
      <c r="Y18" s="332">
        <f>IFERROR(VLOOKUP($P18,'Model Output-LoanNameUpdate'!$A:$K,6,FALSE),CP18)</f>
        <v>5.3459999999999994E-2</v>
      </c>
      <c r="Z18" s="207">
        <f t="shared" si="5"/>
        <v>1.0605674153852402</v>
      </c>
      <c r="AA18" s="208">
        <f t="shared" si="6"/>
        <v>2.7417298894724867E-2</v>
      </c>
      <c r="AB18" s="208">
        <f t="shared" si="7"/>
        <v>8.0825842726509153E-2</v>
      </c>
      <c r="AC18" s="208">
        <f t="shared" si="8"/>
        <v>6.9143692646040728E-2</v>
      </c>
      <c r="AD18" s="208">
        <f t="shared" si="9"/>
        <v>6.179396045742102E-2</v>
      </c>
      <c r="AE18" s="208">
        <f t="shared" si="10"/>
        <v>5.6697934026494937E-2</v>
      </c>
      <c r="AF18" s="332">
        <f>NORMSDIST((_xlfn.NORM.S.INV(AA18)-(SQRT(Baseline!$AF$11)*'MacroPD-Cal'!$R$2))/SQRT(1-Baseline!$AF$11))</f>
        <v>2.8366842468132019E-2</v>
      </c>
      <c r="AG18" s="332">
        <f>NORMSDIST((_xlfn.NORM.S.INV(AA18)-(SQRT(Baseline!$AF$11)*'MacroPD-Cal'!$R$3))/SQRT(1-Baseline!$AF$11))</f>
        <v>3.5045270073463336E-2</v>
      </c>
      <c r="AH18" s="332">
        <f>NORMSDIST((_xlfn.NORM.S.INV(AA18)-(SQRT(Baseline!$AF$11)*'MacroPD-Cal'!$R$4))/SQRT(1-Baseline!$AF$11))</f>
        <v>3.8641779907204306E-2</v>
      </c>
      <c r="AI18" s="332">
        <f>NORMSDIST((_xlfn.NORM.S.INV(AA18)-(SQRT(Baseline!$AF$11)*'MacroPD-Cal'!$R$5))/SQRT(1-Baseline!$AF$11))</f>
        <v>4.7107891715942582E-2</v>
      </c>
      <c r="AJ18" s="332">
        <f>NORMSDIST((_xlfn.NORM.S.INV(AB18)-(SQRT(Baseline!$AF$11)*'MacroPD-Cal'!$R$6))/SQRT(1-Baseline!$AF$11))</f>
        <v>7.1814228487920184E-2</v>
      </c>
      <c r="AK18" s="332">
        <f>NORMSDIST((_xlfn.NORM.S.INV(AC18)-(SQRT(Baseline!$AF$11)*'MacroPD-Cal'!$R$7))/SQRT(1-Baseline!$AF$11))</f>
        <v>4.2561242702723316E-2</v>
      </c>
      <c r="AL18" s="332">
        <f>NORMSDIST((_xlfn.NORM.S.INV(AD18)-(SQRT(Baseline!$AF$11)*'MacroPD-Cal'!$R$8))/SQRT(1-Baseline!$AF$11))</f>
        <v>7.1762807330204501E-2</v>
      </c>
      <c r="AM18" s="332">
        <f>NORMSDIST((_xlfn.NORM.S.INV(AE18)-(SQRT(Baseline!$AF$11)*'MacroPD-Cal'!$R$9))/SQRT(1-Baseline!$AF$11))</f>
        <v>6.8323238032099332E-2</v>
      </c>
      <c r="AO18" s="355"/>
      <c r="AP18" s="355"/>
      <c r="AQ18" s="355">
        <f>NORMSDIST((_xlfn.NORM.S.INV(AA18)-(SQRT(Baseline!$AF$11)*'MacroPD-Cal'!$AP$2))/SQRT(1-Baseline!$AF$11))</f>
        <v>2.9179037417211031E-2</v>
      </c>
      <c r="AR18" s="355">
        <f>NORMSDIST((_xlfn.NORM.S.INV(AA18)-(SQRT(Baseline!$AF$11)*'MacroPD-Cal'!$AP$3))/SQRT(1-Baseline!$AF$11))</f>
        <v>3.3244069281653771E-2</v>
      </c>
      <c r="AS18" s="355">
        <f>NORMSDIST((_xlfn.NORM.S.INV(AA18)-(SQRT(Baseline!$AF$11)*'MacroPD-Cal'!$AP$4))/SQRT(1-Baseline!$AF$11))</f>
        <v>3.3800444004018444E-2</v>
      </c>
      <c r="AT18" s="355">
        <f>NORMSDIST((_xlfn.NORM.S.INV(AA18)-(SQRT(Baseline!$AF$11)*'MacroPD-Cal'!$AP$5))/SQRT(1-Baseline!$AF$11))</f>
        <v>4.1856297963651805E-2</v>
      </c>
      <c r="AU18" s="355">
        <f>NORMSDIST((_xlfn.NORM.S.INV(AB18)-(SQRT(Baseline!$AF$11)*'MacroPD-Cal'!$AP$6))/SQRT(1-Baseline!$AF$11))</f>
        <v>5.3540919120012458E-2</v>
      </c>
      <c r="AV18" s="355">
        <f>NORMSDIST((_xlfn.NORM.S.INV(AC18)-(SQRT(Baseline!$AF$11)*'MacroPD-Cal'!$AP$7))/SQRT(1-Baseline!$AF$11))</f>
        <v>5.427100629575022E-2</v>
      </c>
      <c r="AW18" s="355">
        <f>NORMSDIST((_xlfn.NORM.S.INV(AD18)-(SQRT(Baseline!$AF$11)*'MacroPD-Cal'!$AP$8))/SQRT(1-Baseline!$AF$11))</f>
        <v>7.3028268272821731E-2</v>
      </c>
      <c r="AX18" s="355">
        <f>NORMSDIST((_xlfn.NORM.S.INV(AE18)-(SQRT(Baseline!$AF$11)*'MacroPD-Cal'!$AP$9))/SQRT(1-Baseline!$AF$11))</f>
        <v>7.3157236756316441E-2</v>
      </c>
      <c r="AY18" s="355">
        <f t="shared" si="11"/>
        <v>2.9179037417211031E-2</v>
      </c>
      <c r="AZ18" s="355">
        <f t="shared" si="12"/>
        <v>6.1453076757395086E-2</v>
      </c>
      <c r="BA18" s="355">
        <f t="shared" si="13"/>
        <v>9.3176379481600624E-2</v>
      </c>
      <c r="BB18" s="355">
        <f t="shared" si="14"/>
        <v>0.13109999999999999</v>
      </c>
      <c r="BC18" s="355"/>
      <c r="BD18" s="355"/>
      <c r="BE18" s="355"/>
      <c r="BF18" s="355"/>
      <c r="BG18" s="355">
        <f>NORMSDIST((_xlfn.NORM.S.INV($AA18)-(SQRT(Baseline!$AF$11)*'MacroPD-Cal'!$BF$2))/SQRT(1-Baseline!$AF$11))</f>
        <v>2.793643642929728E-2</v>
      </c>
      <c r="BH18" s="355">
        <f>NORMSDIST((_xlfn.NORM.S.INV($AA18)-(SQRT(Baseline!$AF$11)*'MacroPD-Cal'!$BF$3))/SQRT(1-Baseline!$AF$11))</f>
        <v>3.674663738734734E-2</v>
      </c>
      <c r="BI18" s="355">
        <f>NORMSDIST((_xlfn.NORM.S.INV($AA18)-(SQRT(Baseline!$AF$11)*'MacroPD-Cal'!$BF$4))/SQRT(1-Baseline!$AF$11))</f>
        <v>4.9174664478474982E-2</v>
      </c>
      <c r="BJ18" s="355">
        <f>NORMSDIST((_xlfn.NORM.S.INV($AA18)-(SQRT(Baseline!$AF$11)*'MacroPD-Cal'!$BF$5))/SQRT(1-Baseline!$AF$11))</f>
        <v>6.0750297101989544E-2</v>
      </c>
      <c r="BK18" s="355">
        <f>NORMSDIST((_xlfn.NORM.S.INV($AB18)-(SQRT(Baseline!$AF$11)*'MacroPD-Cal'!$BF$6))/SQRT(1-Baseline!$AF$11))</f>
        <v>0.17250599639633551</v>
      </c>
      <c r="BL18" s="355">
        <f>NORMSDIST((_xlfn.NORM.S.INV($AC18)-(SQRT(Baseline!$AF$11)*'MacroPD-Cal'!$BF$7))/SQRT(1-Baseline!$AF$11))</f>
        <v>2.7422428561089264E-2</v>
      </c>
      <c r="BM18" s="355">
        <f>NORMSDIST((_xlfn.NORM.S.INV($AD18)-(SQRT(Baseline!$AF$11)*'MacroPD-Cal'!$BF$8))/SQRT(1-Baseline!$AF$11))</f>
        <v>4.892400139421136E-2</v>
      </c>
      <c r="BN18" s="355">
        <f>NORMSDIST((_xlfn.NORM.S.INV($AE18)-(SQRT(Baseline!$AF$11)*'MacroPD-Cal'!$BF$9))/SQRT(1-Baseline!$AF$11))</f>
        <v>6.0584499387698589E-2</v>
      </c>
      <c r="BO18" s="355">
        <f t="shared" si="15"/>
        <v>2.793643642929728E-2</v>
      </c>
      <c r="BP18" s="355">
        <f t="shared" si="16"/>
        <v>6.3656503717282598E-2</v>
      </c>
      <c r="BQ18" s="355">
        <f t="shared" si="17"/>
        <v>0.10970088098358743</v>
      </c>
      <c r="BR18" s="355">
        <f t="shared" si="18"/>
        <v>0.16370000000000001</v>
      </c>
      <c r="BS18" s="355"/>
      <c r="BT18" s="355"/>
      <c r="BU18" s="355"/>
      <c r="BV18" s="355">
        <f>NORMSDIST((_xlfn.NORM.S.INV($AA18)-(SQRT(Baseline!$AF$11)*'MacroPD-Cal'!$BU$2))/SQRT(1-Baseline!$AF$11))</f>
        <v>2.7077776404779201E-2</v>
      </c>
      <c r="BW18" s="355">
        <f>NORMSDIST((_xlfn.NORM.S.INV($AA18)-(SQRT(Baseline!$AF$11)*'MacroPD-Cal'!$BU$3))/SQRT(1-Baseline!$AF$11))</f>
        <v>3.8063184647511114E-2</v>
      </c>
      <c r="BX18" s="355">
        <f>NORMSDIST((_xlfn.NORM.S.INV($AA18)-(SQRT(Baseline!$AF$11)*'MacroPD-Cal'!$BU$4))/SQRT(1-Baseline!$AF$11))</f>
        <v>4.6637469679391051E-2</v>
      </c>
      <c r="BY18" s="355">
        <f>NORMSDIST((_xlfn.NORM.S.INV($AA18)-(SQRT(Baseline!$AF$11)*'MacroPD-Cal'!$BU$5))/SQRT(1-Baseline!$AF$11))</f>
        <v>5.5302539930177516E-2</v>
      </c>
      <c r="BZ18" s="355">
        <f>NORMSDIST((_xlfn.NORM.S.INV($AB18)-(SQRT(Baseline!$AF$11)*'MacroPD-Cal'!$BU$6))/SQRT(1-Baseline!$AF$11))</f>
        <v>0.10010857483278862</v>
      </c>
      <c r="CA18" s="355">
        <f>NORMSDIST((_xlfn.NORM.S.INV($AC18)-(SQRT(Baseline!$AF$11)*'MacroPD-Cal'!$BU23))/SQRT(1-Baseline!$AF$11))</f>
        <v>5.083458206676892E-2</v>
      </c>
      <c r="CB18" s="355">
        <f>NORMSDIST((_xlfn.NORM.S.INV($AD18)-(SQRT(Baseline!$AF$11)*'MacroPD-Cal'!$BU$8))/SQRT(1-Baseline!$AF$11))</f>
        <v>7.3387212772056148E-2</v>
      </c>
      <c r="CC18" s="355">
        <f>NORMSDIST((_xlfn.NORM.S.INV($AE18)-(SQRT(Baseline!$AF$11)*'MacroPD-Cal'!$BU$9))/SQRT(1-Baseline!$AF$11))</f>
        <v>6.1676551581999847E-2</v>
      </c>
      <c r="CD18" s="355">
        <f t="shared" si="19"/>
        <v>2.7077776404779201E-2</v>
      </c>
      <c r="CE18" s="355">
        <f t="shared" si="20"/>
        <v>6.4110294649151189E-2</v>
      </c>
      <c r="CF18" s="355">
        <f t="shared" si="21"/>
        <v>0.10775782240570564</v>
      </c>
      <c r="CG18" s="355">
        <f t="shared" si="22"/>
        <v>0.15710000000000002</v>
      </c>
      <c r="CH18" s="355"/>
      <c r="CI18" s="355"/>
      <c r="CL18" s="168"/>
      <c r="CM18" s="168"/>
      <c r="CN18" s="168"/>
      <c r="CO18" s="168"/>
      <c r="CP18" s="168"/>
      <c r="CR18" s="345">
        <f t="shared" si="23"/>
        <v>0.20104069786060963</v>
      </c>
      <c r="CS18" s="345">
        <f t="shared" si="24"/>
        <v>0.44236703675526817</v>
      </c>
      <c r="CT18" s="345">
        <f t="shared" si="25"/>
        <v>0.69913413610618735</v>
      </c>
      <c r="CU18" s="345">
        <f t="shared" si="26"/>
        <v>1</v>
      </c>
    </row>
    <row r="19" spans="1:99" s="166" customFormat="1" x14ac:dyDescent="0.25">
      <c r="A19" s="464">
        <v>1100000152</v>
      </c>
      <c r="B19" s="470">
        <f>VLOOKUP(A19,'Ref-Data'!A:I,9,FALSE)</f>
        <v>1</v>
      </c>
      <c r="C19" s="445">
        <f>IF(B19="Matured","",VLOOKUP(A19,'Adjustment Factor'!A:C,3,0))</f>
        <v>1.1828351624093423</v>
      </c>
      <c r="D19" s="190">
        <f>VLOOKUP(A19,'Ref-Data'!A:C,2,FALSE)</f>
        <v>8561038</v>
      </c>
      <c r="E19" s="471">
        <f>IFERROR(IF(VLOOKUP(A19,'Updated Ncino PD'!$A:$K,4,0)=0,"",VLOOKUP(A19,'Updated Ncino PD'!$A:$K,4,0)),AF19)</f>
        <v>4.6855230119654189E-4</v>
      </c>
      <c r="F19" s="472">
        <f>IFERROR(IF(VLOOKUP(A19,'Updated Ncino PD'!$A:$K,5,0)=0,"",VLOOKUP(A19,'Updated Ncino PD'!$A:$K,5,0)),1-((1-AG19)*(1-E19)))</f>
        <v>1.1210892140692819E-3</v>
      </c>
      <c r="G19" s="472">
        <f>IFERROR(IF(VLOOKUP(A19,'Updated Ncino PD'!$A:$K,6,0)=0,"",VLOOKUP(A19,'Updated Ncino PD'!$A:$K,6,0)),1-((1-AF19)*(1-AG19)*(1-AH19)))</f>
        <v>1.8822414398781406E-3</v>
      </c>
      <c r="H19" s="472">
        <f>IFERROR(IF(VLOOKUP(A19,'Updated Ncino PD'!$A:$K,7,0)=0,"",VLOOKUP(A19,'Updated Ncino PD'!$A:$K,7,0)),IFERROR(VLOOKUP(A19,'Updated Ncino PD'!A:B,2,FALSE),FLOOR(1-((1-AG19)*(1-AH19)*(1-AI19)*(1-AF19)),$R$11)))</f>
        <v>2.9000000000000002E-3</v>
      </c>
      <c r="I19" s="472">
        <f>IFERROR(IF(VLOOKUP(A19,'Updated Ncino PD'!$A:$K,8,0)=0,"",VLOOKUP(A19,'Updated Ncino PD'!$A:$K,8,0)),FLOOR(1-((1-H19)*(1-AJ19)),$R$11))</f>
        <v>4.2000000000000006E-3</v>
      </c>
      <c r="J19" s="472">
        <f>IFERROR(IF(VLOOKUP(A19,'Updated Ncino PD'!$A:$K,9,0)=0,"",VLOOKUP(A19,'Updated Ncino PD'!$A:$K,9,0)),FLOOR(1-((1-H19)*(1-AJ19)*(1-AK19)),$R$11))</f>
        <v>5.0000000000000001E-3</v>
      </c>
      <c r="K19" s="472">
        <f>IFERROR(IF(VLOOKUP(A19,'Updated Ncino PD'!$A:$K,10,0)=0,"",VLOOKUP(A19,'Updated Ncino PD'!$A:$K,10,0)),FLOOR(1-((1-H19)*(1-AJ19)*(1-AK19)*(1-AL19)),$R$11))</f>
        <v>7.1000000000000004E-3</v>
      </c>
      <c r="L19" s="472">
        <f>IFERROR(IF(VLOOKUP(A19,'Updated Ncino PD'!$A:$K,11,0)=0,"",VLOOKUP(A19,'Updated Ncino PD'!$A:$K,11,0)),FLOOR(1-((1-H19)*(1-AJ19)*(1-AK19)*(1-AL19)*(1-AM19)),$R$11))</f>
        <v>9.300000000000001E-3</v>
      </c>
      <c r="M19" s="224">
        <f>VLOOKUP(A19,'Ref-Data'!$A:$F,6,FALSE)</f>
        <v>2.1464750171115674</v>
      </c>
      <c r="N19" s="191">
        <f t="shared" si="3"/>
        <v>2.9000000000000002E-3</v>
      </c>
      <c r="O19" s="191">
        <f t="shared" si="4"/>
        <v>5.0000000000000001E-3</v>
      </c>
      <c r="P19" s="459" t="str">
        <f>VLOOKUP(A19,'Loan Book Summary'!C:G,5,FALSE)</f>
        <v>0015800001fH29a</v>
      </c>
      <c r="S19" s="203"/>
      <c r="T19" s="332">
        <f>IFERROR(VLOOKUP($P19,'Model Output-LoanNameUpdate'!$A:$K,2,FALSE),CL19)</f>
        <v>2.3949999999999996E-3</v>
      </c>
      <c r="U19" s="332">
        <f>1-(1-IFERROR(VLOOKUP($P19,'Model Output-LoanNameUpdate'!$A:$K,2,FALSE),CL19))^(1/4)</f>
        <v>5.9928850486790086E-4</v>
      </c>
      <c r="V19" s="332">
        <f>IFERROR(VLOOKUP($P19,'Model Output-LoanNameUpdate'!$A:$K,3,FALSE),CM19)</f>
        <v>2.2499999999999998E-3</v>
      </c>
      <c r="W19" s="332">
        <f>IFERROR(VLOOKUP($P19,'Model Output-LoanNameUpdate'!$A:$K,4,FALSE),CN19)</f>
        <v>2.1449999999999998E-3</v>
      </c>
      <c r="X19" s="332">
        <f>IFERROR(VLOOKUP($P19,'Model Output-LoanNameUpdate'!$A:$K,5,FALSE),CO19)</f>
        <v>2.14E-3</v>
      </c>
      <c r="Y19" s="332">
        <f>IFERROR(VLOOKUP($P19,'Model Output-LoanNameUpdate'!$A:$K,6,FALSE),CP19)</f>
        <v>2.0999999999999999E-3</v>
      </c>
      <c r="Z19" s="207">
        <f t="shared" si="5"/>
        <v>1.1828351624093423</v>
      </c>
      <c r="AA19" s="208">
        <f t="shared" si="6"/>
        <v>7.0885951598547543E-4</v>
      </c>
      <c r="AB19" s="208">
        <f t="shared" si="7"/>
        <v>2.6613791154210201E-3</v>
      </c>
      <c r="AC19" s="208">
        <f t="shared" si="8"/>
        <v>2.5371814233680389E-3</v>
      </c>
      <c r="AD19" s="208">
        <f t="shared" si="9"/>
        <v>2.5312672475559924E-3</v>
      </c>
      <c r="AE19" s="208">
        <f t="shared" si="10"/>
        <v>2.4839538410596188E-3</v>
      </c>
      <c r="AF19" s="332">
        <f>NORMSDIST((_xlfn.NORM.S.INV(AA19)-(SQRT(Baseline!$AF$11)*'MacroPD-Cal'!$R$2))/SQRT(1-Baseline!$AF$11))</f>
        <v>4.6855230119654189E-4</v>
      </c>
      <c r="AG19" s="332">
        <f>NORMSDIST((_xlfn.NORM.S.INV(AA19)-(SQRT(Baseline!$AF$11)*'MacroPD-Cal'!$R$3))/SQRT(1-Baseline!$AF$11))</f>
        <v>6.5284280387073684E-4</v>
      </c>
      <c r="AH19" s="332">
        <f>NORMSDIST((_xlfn.NORM.S.INV(AA19)-(SQRT(Baseline!$AF$11)*'MacroPD-Cal'!$R$4))/SQRT(1-Baseline!$AF$11))</f>
        <v>7.6200650308055624E-4</v>
      </c>
      <c r="AI19" s="332">
        <f>NORMSDIST((_xlfn.NORM.S.INV(AA19)-(SQRT(Baseline!$AF$11)*'MacroPD-Cal'!$R$5))/SQRT(1-Baseline!$AF$11))</f>
        <v>1.045586059808297E-3</v>
      </c>
      <c r="AJ19" s="332">
        <f>NORMSDIST((_xlfn.NORM.S.INV(AB19)-(SQRT(Baseline!$AF$11)*'MacroPD-Cal'!$R$6))/SQRT(1-Baseline!$AF$11))</f>
        <v>1.3748753248165717E-3</v>
      </c>
      <c r="AK19" s="332">
        <f>NORMSDIST((_xlfn.NORM.S.INV(AC19)-(SQRT(Baseline!$AF$11)*'MacroPD-Cal'!$R$7))/SQRT(1-Baseline!$AF$11))</f>
        <v>7.3767821036431046E-4</v>
      </c>
      <c r="AL19" s="332">
        <f>NORMSDIST((_xlfn.NORM.S.INV(AD19)-(SQRT(Baseline!$AF$11)*'MacroPD-Cal'!$R$8))/SQRT(1-Baseline!$AF$11))</f>
        <v>2.1336672940951294E-3</v>
      </c>
      <c r="AM19" s="332">
        <f>NORMSDIST((_xlfn.NORM.S.INV(AE19)-(SQRT(Baseline!$AF$11)*'MacroPD-Cal'!$R$9))/SQRT(1-Baseline!$AF$11))</f>
        <v>2.2395989648904845E-3</v>
      </c>
      <c r="AO19" s="355"/>
      <c r="AP19" s="355"/>
      <c r="AQ19" s="355">
        <f>NORMSDIST((_xlfn.NORM.S.INV(AA19)-(SQRT(Baseline!$AF$11)*'MacroPD-Cal'!$AP$2))/SQRT(1-Baseline!$AF$11))</f>
        <v>4.8966148762259894E-4</v>
      </c>
      <c r="AR19" s="355">
        <f>NORMSDIST((_xlfn.NORM.S.INV(AA19)-(SQRT(Baseline!$AF$11)*'MacroPD-Cal'!$AP$3))/SQRT(1-Baseline!$AF$11))</f>
        <v>6.0075691062834999E-4</v>
      </c>
      <c r="AS19" s="355">
        <f>NORMSDIST((_xlfn.NORM.S.INV(AA19)-(SQRT(Baseline!$AF$11)*'MacroPD-Cal'!$AP$4))/SQRT(1-Baseline!$AF$11))</f>
        <v>6.1666003903957723E-4</v>
      </c>
      <c r="AT19" s="355">
        <f>NORMSDIST((_xlfn.NORM.S.INV(AA19)-(SQRT(Baseline!$AF$11)*'MacroPD-Cal'!$AP$5))/SQRT(1-Baseline!$AF$11))</f>
        <v>8.6531973547291263E-4</v>
      </c>
      <c r="AU19" s="355">
        <f>NORMSDIST((_xlfn.NORM.S.INV(AB19)-(SQRT(Baseline!$AF$11)*'MacroPD-Cal'!$AP$6))/SQRT(1-Baseline!$AF$11))</f>
        <v>8.3484783795464859E-4</v>
      </c>
      <c r="AV19" s="355">
        <f>NORMSDIST((_xlfn.NORM.S.INV(AC19)-(SQRT(Baseline!$AF$11)*'MacroPD-Cal'!$AP$7))/SQRT(1-Baseline!$AF$11))</f>
        <v>1.0972587860010928E-3</v>
      </c>
      <c r="AW19" s="355">
        <f>NORMSDIST((_xlfn.NORM.S.INV(AD19)-(SQRT(Baseline!$AF$11)*'MacroPD-Cal'!$AP$8))/SQRT(1-Baseline!$AF$11))</f>
        <v>2.1962374363284441E-3</v>
      </c>
      <c r="AX19" s="355">
        <f>NORMSDIST((_xlfn.NORM.S.INV(AE19)-(SQRT(Baseline!$AF$11)*'MacroPD-Cal'!$AP$9))/SQRT(1-Baseline!$AF$11))</f>
        <v>2.5036919234185653E-3</v>
      </c>
      <c r="AY19" s="355">
        <f t="shared" si="11"/>
        <v>4.8966148762259894E-4</v>
      </c>
      <c r="AZ19" s="355">
        <f t="shared" si="12"/>
        <v>1.0901242307284065E-3</v>
      </c>
      <c r="BA19" s="355">
        <f t="shared" si="13"/>
        <v>1.7061120337172886E-3</v>
      </c>
      <c r="BB19" s="355">
        <f t="shared" si="14"/>
        <v>2.5000000000000001E-3</v>
      </c>
      <c r="BC19" s="355"/>
      <c r="BD19" s="355"/>
      <c r="BE19" s="355"/>
      <c r="BF19" s="355"/>
      <c r="BG19" s="355">
        <f>NORMSDIST((_xlfn.NORM.S.INV($AA19)-(SQRT(Baseline!$AF$11)*'MacroPD-Cal'!$BF$2))/SQRT(1-Baseline!$AF$11))</f>
        <v>4.5751464725721902E-4</v>
      </c>
      <c r="BH19" s="355">
        <f>NORMSDIST((_xlfn.NORM.S.INV($AA19)-(SQRT(Baseline!$AF$11)*'MacroPD-Cal'!$BF$3))/SQRT(1-Baseline!$AF$11))</f>
        <v>7.0363147240104181E-4</v>
      </c>
      <c r="BI19" s="355">
        <f>NORMSDIST((_xlfn.NORM.S.INV($AA19)-(SQRT(Baseline!$AF$11)*'MacroPD-Cal'!$BF$4))/SQRT(1-Baseline!$AF$11))</f>
        <v>1.1203923055094337E-3</v>
      </c>
      <c r="BJ19" s="355">
        <f>NORMSDIST((_xlfn.NORM.S.INV($AA19)-(SQRT(Baseline!$AF$11)*'MacroPD-Cal'!$BF$5))/SQRT(1-Baseline!$AF$11))</f>
        <v>1.5790864458068048E-3</v>
      </c>
      <c r="BK19" s="355">
        <f>NORMSDIST((_xlfn.NORM.S.INV($AB19)-(SQRT(Baseline!$AF$11)*'MacroPD-Cal'!$BF$6))/SQRT(1-Baseline!$AF$11))</f>
        <v>6.6374465117500833E-3</v>
      </c>
      <c r="BL19" s="355">
        <f>NORMSDIST((_xlfn.NORM.S.INV($AC19)-(SQRT(Baseline!$AF$11)*'MacroPD-Cal'!$BF$7))/SQRT(1-Baseline!$AF$11))</f>
        <v>3.6523041614276502E-4</v>
      </c>
      <c r="BM19" s="355">
        <f>NORMSDIST((_xlfn.NORM.S.INV($AD19)-(SQRT(Baseline!$AF$11)*'MacroPD-Cal'!$BF$8))/SQRT(1-Baseline!$AF$11))</f>
        <v>1.1431302646156942E-3</v>
      </c>
      <c r="BN19" s="355">
        <f>NORMSDIST((_xlfn.NORM.S.INV($AE19)-(SQRT(Baseline!$AF$11)*'MacroPD-Cal'!$BF$9))/SQRT(1-Baseline!$AF$11))</f>
        <v>1.8434913080093063E-3</v>
      </c>
      <c r="BO19" s="355">
        <f t="shared" si="15"/>
        <v>4.5751464725721902E-4</v>
      </c>
      <c r="BP19" s="355">
        <f t="shared" si="16"/>
        <v>1.1608241979533807E-3</v>
      </c>
      <c r="BQ19" s="355">
        <f t="shared" si="17"/>
        <v>2.2799159249633494E-3</v>
      </c>
      <c r="BR19" s="355">
        <f t="shared" si="18"/>
        <v>3.8E-3</v>
      </c>
      <c r="BS19" s="355"/>
      <c r="BT19" s="355"/>
      <c r="BU19" s="355"/>
      <c r="BV19" s="355">
        <f>NORMSDIST((_xlfn.NORM.S.INV($AA19)-(SQRT(Baseline!$AF$11)*'MacroPD-Cal'!$BU$2))/SQRT(1-Baseline!$AF$11))</f>
        <v>4.3580402585275779E-4</v>
      </c>
      <c r="BW19" s="355">
        <f>NORMSDIST((_xlfn.NORM.S.INV($AA19)-(SQRT(Baseline!$AF$11)*'MacroPD-Cal'!$BU$3))/SQRT(1-Baseline!$AF$11))</f>
        <v>7.4398392961843869E-4</v>
      </c>
      <c r="BX19" s="355">
        <f>NORMSDIST((_xlfn.NORM.S.INV($AA19)-(SQRT(Baseline!$AF$11)*'MacroPD-Cal'!$BU$4))/SQRT(1-Baseline!$AF$11))</f>
        <v>1.0288626292915232E-3</v>
      </c>
      <c r="BY19" s="355">
        <f>NORMSDIST((_xlfn.NORM.S.INV($AA19)-(SQRT(Baseline!$AF$11)*'MacroPD-Cal'!$BU$5))/SQRT(1-Baseline!$AF$11))</f>
        <v>1.3548637645738291E-3</v>
      </c>
      <c r="BZ19" s="355">
        <f>NORMSDIST((_xlfn.NORM.S.INV($AB19)-(SQRT(Baseline!$AF$11)*'MacroPD-Cal'!$BU$6))/SQRT(1-Baseline!$AF$11))</f>
        <v>2.454595602422077E-3</v>
      </c>
      <c r="CA19" s="355">
        <f>NORMSDIST((_xlfn.NORM.S.INV($AC19)-(SQRT(Baseline!$AF$11)*'MacroPD-Cal'!$BU24))/SQRT(1-Baseline!$AF$11))</f>
        <v>9.8540958115804207E-4</v>
      </c>
      <c r="CB19" s="355">
        <f>NORMSDIST((_xlfn.NORM.S.INV($AD19)-(SQRT(Baseline!$AF$11)*'MacroPD-Cal'!$BU$8))/SQRT(1-Baseline!$AF$11))</f>
        <v>2.2141311990694326E-3</v>
      </c>
      <c r="CC19" s="355">
        <f>NORMSDIST((_xlfn.NORM.S.INV($AE19)-(SQRT(Baseline!$AF$11)*'MacroPD-Cal'!$BU$9))/SQRT(1-Baseline!$AF$11))</f>
        <v>1.8973886542965369E-3</v>
      </c>
      <c r="CD19" s="355">
        <f t="shared" si="19"/>
        <v>4.3580402585275779E-4</v>
      </c>
      <c r="CE19" s="355">
        <f t="shared" si="20"/>
        <v>1.1794637242794614E-3</v>
      </c>
      <c r="CF19" s="355">
        <f t="shared" si="21"/>
        <v>2.2071128474223656E-3</v>
      </c>
      <c r="CG19" s="355">
        <f t="shared" si="22"/>
        <v>3.5000000000000001E-3</v>
      </c>
      <c r="CH19" s="355"/>
      <c r="CI19" s="355"/>
      <c r="CL19" s="168"/>
      <c r="CM19" s="168"/>
      <c r="CN19" s="168"/>
      <c r="CO19" s="168"/>
      <c r="CP19" s="168"/>
      <c r="CR19" s="345">
        <f t="shared" si="23"/>
        <v>0.16156975903329029</v>
      </c>
      <c r="CS19" s="345">
        <f t="shared" si="24"/>
        <v>0.38658248761009717</v>
      </c>
      <c r="CT19" s="345">
        <f t="shared" si="25"/>
        <v>0.64904877237177261</v>
      </c>
      <c r="CU19" s="345">
        <f t="shared" si="26"/>
        <v>1</v>
      </c>
    </row>
    <row r="20" spans="1:99" s="166" customFormat="1" x14ac:dyDescent="0.25">
      <c r="A20" s="464">
        <v>1100000002</v>
      </c>
      <c r="B20" s="470">
        <f>VLOOKUP(A20,'Ref-Data'!A:I,9,FALSE)</f>
        <v>1</v>
      </c>
      <c r="C20" s="445">
        <f>IF(B20="Matured","",VLOOKUP(A20,'Adjustment Factor'!A:C,3,0))</f>
        <v>1.1951755713707852</v>
      </c>
      <c r="D20" s="190">
        <f>VLOOKUP(A20,'Ref-Data'!A:C,2,FALSE)</f>
        <v>1713309.8</v>
      </c>
      <c r="E20" s="471">
        <f>IFERROR(IF(VLOOKUP(A20,'Updated Ncino PD'!$A:$K,4,0)=0,"",VLOOKUP(A20,'Updated Ncino PD'!$A:$K,4,0)),AF20)</f>
        <v>1.7496582002651242E-3</v>
      </c>
      <c r="F20" s="472">
        <f>IFERROR(IF(VLOOKUP(A20,'Updated Ncino PD'!$A:$K,5,0)=0,"",VLOOKUP(A20,'Updated Ncino PD'!$A:$K,5,0)),1-((1-AG20)*(1-E20)))</f>
        <v>4.1017797156421842E-3</v>
      </c>
      <c r="G20" s="472">
        <f>IFERROR(IF(VLOOKUP(A20,'Updated Ncino PD'!$A:$K,6,0)=0,"",VLOOKUP(A20,'Updated Ncino PD'!$A:$K,6,0)),1-((1-AF20)*(1-AG20)*(1-AH20)))</f>
        <v>6.7969165063573866E-3</v>
      </c>
      <c r="H20" s="472">
        <f>IFERROR(IF(VLOOKUP(A20,'Updated Ncino PD'!$A:$K,7,0)=0,"",VLOOKUP(A20,'Updated Ncino PD'!$A:$K,7,0)),IFERROR(VLOOKUP(A20,'Updated Ncino PD'!A:B,2,FALSE),FLOOR(1-((1-AG20)*(1-AH20)*(1-AI20)*(1-AF20)),$R$11)))</f>
        <v>1.03E-2</v>
      </c>
      <c r="I20" s="472">
        <f>IFERROR(IF(VLOOKUP(A20,'Updated Ncino PD'!$A:$K,8,0)=0,"",VLOOKUP(A20,'Updated Ncino PD'!$A:$K,8,0)),FLOOR(1-((1-H20)*(1-AJ20)),$R$11))</f>
        <v>1.55E-2</v>
      </c>
      <c r="J20" s="472">
        <f>IFERROR(IF(VLOOKUP(A20,'Updated Ncino PD'!$A:$K,9,0)=0,"",VLOOKUP(A20,'Updated Ncino PD'!$A:$K,9,0)),FLOOR(1-((1-H20)*(1-AJ20)*(1-AK20)),$R$11))</f>
        <v>1.8600000000000002E-2</v>
      </c>
      <c r="K20" s="472">
        <f>IFERROR(IF(VLOOKUP(A20,'Updated Ncino PD'!$A:$K,10,0)=0,"",VLOOKUP(A20,'Updated Ncino PD'!$A:$K,10,0)),FLOOR(1-((1-H20)*(1-AJ20)*(1-AK20)*(1-AL20)),$R$11))</f>
        <v>2.6100000000000002E-2</v>
      </c>
      <c r="L20" s="472">
        <f>IFERROR(IF(VLOOKUP(A20,'Updated Ncino PD'!$A:$K,11,0)=0,"",VLOOKUP(A20,'Updated Ncino PD'!$A:$K,11,0)),FLOOR(1-((1-H20)*(1-AJ20)*(1-AK20)*(1-AL20)*(1-AM20)),$R$11))</f>
        <v>3.3800000000000004E-2</v>
      </c>
      <c r="M20" s="224">
        <f>VLOOKUP(A20,'Ref-Data'!$A:$F,6,FALSE)</f>
        <v>2.6529774127310062</v>
      </c>
      <c r="N20" s="191">
        <f t="shared" si="3"/>
        <v>1.03E-2</v>
      </c>
      <c r="O20" s="191">
        <f t="shared" si="4"/>
        <v>1.8600000000000002E-2</v>
      </c>
      <c r="P20" s="459" t="str">
        <f>VLOOKUP(A20,'Loan Book Summary'!C:G,5,FALSE)</f>
        <v>0014I00001jTjtP</v>
      </c>
      <c r="S20" s="203"/>
      <c r="T20" s="332">
        <f>IFERROR(VLOOKUP($P20,'Model Output-LoanNameUpdate'!$A:$K,2,FALSE),CL20)</f>
        <v>7.5499999999999986E-3</v>
      </c>
      <c r="U20" s="332">
        <f>1-(1-IFERROR(VLOOKUP($P20,'Model Output-LoanNameUpdate'!$A:$K,2,FALSE),CL20))^(1/4)</f>
        <v>1.8928676430343128E-3</v>
      </c>
      <c r="V20" s="332">
        <f>IFERROR(VLOOKUP($P20,'Model Output-LoanNameUpdate'!$A:$K,3,FALSE),CM20)</f>
        <v>7.1149999999999989E-3</v>
      </c>
      <c r="W20" s="332">
        <f>IFERROR(VLOOKUP($P20,'Model Output-LoanNameUpdate'!$A:$K,4,FALSE),CN20)</f>
        <v>6.8449999999999995E-3</v>
      </c>
      <c r="X20" s="332">
        <f>IFERROR(VLOOKUP($P20,'Model Output-LoanNameUpdate'!$A:$K,5,FALSE),CO20)</f>
        <v>6.6599999999999993E-3</v>
      </c>
      <c r="Y20" s="332">
        <f>IFERROR(VLOOKUP($P20,'Model Output-LoanNameUpdate'!$A:$K,6,FALSE),CP20)</f>
        <v>6.474999999999999E-3</v>
      </c>
      <c r="Z20" s="207">
        <f t="shared" si="5"/>
        <v>1.1951755713707852</v>
      </c>
      <c r="AA20" s="208">
        <f t="shared" si="6"/>
        <v>2.2623091667928062E-3</v>
      </c>
      <c r="AB20" s="208">
        <f t="shared" si="7"/>
        <v>8.5036741903031354E-3</v>
      </c>
      <c r="AC20" s="208">
        <f t="shared" si="8"/>
        <v>8.1809767860330247E-3</v>
      </c>
      <c r="AD20" s="208">
        <f t="shared" si="9"/>
        <v>7.959869305329428E-3</v>
      </c>
      <c r="AE20" s="208">
        <f t="shared" si="10"/>
        <v>7.7387618246258331E-3</v>
      </c>
      <c r="AF20" s="332">
        <f>NORMSDIST((_xlfn.NORM.S.INV(AA20)-(SQRT(Baseline!$AF$11)*'MacroPD-Cal'!$R$2))/SQRT(1-Baseline!$AF$11))</f>
        <v>1.7496582002651242E-3</v>
      </c>
      <c r="AG20" s="332">
        <f>NORMSDIST((_xlfn.NORM.S.INV(AA20)-(SQRT(Baseline!$AF$11)*'MacroPD-Cal'!$R$3))/SQRT(1-Baseline!$AF$11))</f>
        <v>2.3562441372536247E-3</v>
      </c>
      <c r="AH20" s="332">
        <f>NORMSDIST((_xlfn.NORM.S.INV(AA20)-(SQRT(Baseline!$AF$11)*'MacroPD-Cal'!$R$4))/SQRT(1-Baseline!$AF$11))</f>
        <v>2.7062371794836612E-3</v>
      </c>
      <c r="AI20" s="332">
        <f>NORMSDIST((_xlfn.NORM.S.INV(AA20)-(SQRT(Baseline!$AF$11)*'MacroPD-Cal'!$R$5))/SQRT(1-Baseline!$AF$11))</f>
        <v>3.5908575121859406E-3</v>
      </c>
      <c r="AJ20" s="332">
        <f>NORMSDIST((_xlfn.NORM.S.INV(AB20)-(SQRT(Baseline!$AF$11)*'MacroPD-Cal'!$R$6))/SQRT(1-Baseline!$AF$11))</f>
        <v>5.3494477155607931E-3</v>
      </c>
      <c r="AK20" s="332">
        <f>NORMSDIST((_xlfn.NORM.S.INV(AC20)-(SQRT(Baseline!$AF$11)*'MacroPD-Cal'!$R$7))/SQRT(1-Baseline!$AF$11))</f>
        <v>3.1089205684715171E-3</v>
      </c>
      <c r="AL20" s="332">
        <f>NORMSDIST((_xlfn.NORM.S.INV(AD20)-(SQRT(Baseline!$AF$11)*'MacroPD-Cal'!$R$8))/SQRT(1-Baseline!$AF$11))</f>
        <v>7.6648460028267574E-3</v>
      </c>
      <c r="AM20" s="332">
        <f>NORMSDIST((_xlfn.NORM.S.INV(AE20)-(SQRT(Baseline!$AF$11)*'MacroPD-Cal'!$R$9))/SQRT(1-Baseline!$AF$11))</f>
        <v>7.895785832287814E-3</v>
      </c>
      <c r="AO20" s="355"/>
      <c r="AP20" s="355"/>
      <c r="AQ20" s="355">
        <f>NORMSDIST((_xlfn.NORM.S.INV(AA20)-(SQRT(Baseline!$AF$11)*'MacroPD-Cal'!$AP$2))/SQRT(1-Baseline!$AF$11))</f>
        <v>1.820310806872419E-3</v>
      </c>
      <c r="AR20" s="355">
        <f>NORMSDIST((_xlfn.NORM.S.INV(AA20)-(SQRT(Baseline!$AF$11)*'MacroPD-Cal'!$AP$3))/SQRT(1-Baseline!$AF$11))</f>
        <v>2.1869904311765409E-3</v>
      </c>
      <c r="AS20" s="355">
        <f>NORMSDIST((_xlfn.NORM.S.INV(AA20)-(SQRT(Baseline!$AF$11)*'MacroPD-Cal'!$AP$4))/SQRT(1-Baseline!$AF$11))</f>
        <v>2.2388347148363324E-3</v>
      </c>
      <c r="AT20" s="355">
        <f>NORMSDIST((_xlfn.NORM.S.INV(AA20)-(SQRT(Baseline!$AF$11)*'MacroPD-Cal'!$AP$5))/SQRT(1-Baseline!$AF$11))</f>
        <v>3.032269943021491E-3</v>
      </c>
      <c r="AU20" s="355">
        <f>NORMSDIST((_xlfn.NORM.S.INV(AB20)-(SQRT(Baseline!$AF$11)*'MacroPD-Cal'!$AP$6))/SQRT(1-Baseline!$AF$11))</f>
        <v>3.4522013873827095E-3</v>
      </c>
      <c r="AV20" s="355">
        <f>NORMSDIST((_xlfn.NORM.S.INV(AC20)-(SQRT(Baseline!$AF$11)*'MacroPD-Cal'!$AP$7))/SQRT(1-Baseline!$AF$11))</f>
        <v>4.4075873540308057E-3</v>
      </c>
      <c r="AW20" s="355">
        <f>NORMSDIST((_xlfn.NORM.S.INV(AD20)-(SQRT(Baseline!$AF$11)*'MacroPD-Cal'!$AP$8))/SQRT(1-Baseline!$AF$11))</f>
        <v>7.8609031887613232E-3</v>
      </c>
      <c r="AX20" s="355">
        <f>NORMSDIST((_xlfn.NORM.S.INV(AE20)-(SQRT(Baseline!$AF$11)*'MacroPD-Cal'!$AP$9))/SQRT(1-Baseline!$AF$11))</f>
        <v>8.7040108465749246E-3</v>
      </c>
      <c r="AY20" s="355">
        <f t="shared" si="11"/>
        <v>1.820310806872419E-3</v>
      </c>
      <c r="AZ20" s="355">
        <f t="shared" si="12"/>
        <v>4.003320235732577E-3</v>
      </c>
      <c r="BA20" s="355">
        <f t="shared" si="13"/>
        <v>6.2331921782505795E-3</v>
      </c>
      <c r="BB20" s="355">
        <f t="shared" si="14"/>
        <v>9.1999999999999998E-3</v>
      </c>
      <c r="BC20" s="355"/>
      <c r="BD20" s="355"/>
      <c r="BE20" s="355"/>
      <c r="BF20" s="355"/>
      <c r="BG20" s="355">
        <f>NORMSDIST((_xlfn.NORM.S.INV($AA20)-(SQRT(Baseline!$AF$11)*'MacroPD-Cal'!$BF$2))/SQRT(1-Baseline!$AF$11))</f>
        <v>1.7125778280729616E-3</v>
      </c>
      <c r="BH20" s="355">
        <f>NORMSDIST((_xlfn.NORM.S.INV($AA20)-(SQRT(Baseline!$AF$11)*'MacroPD-Cal'!$BF$3))/SQRT(1-Baseline!$AF$11))</f>
        <v>2.5198356425803997E-3</v>
      </c>
      <c r="BI20" s="355">
        <f>NORMSDIST((_xlfn.NORM.S.INV($AA20)-(SQRT(Baseline!$AF$11)*'MacroPD-Cal'!$BF$4))/SQRT(1-Baseline!$AF$11))</f>
        <v>3.8192900681531029E-3</v>
      </c>
      <c r="BJ20" s="355">
        <f>NORMSDIST((_xlfn.NORM.S.INV($AA20)-(SQRT(Baseline!$AF$11)*'MacroPD-Cal'!$BF$5))/SQRT(1-Baseline!$AF$11))</f>
        <v>5.1850537269275921E-3</v>
      </c>
      <c r="BK20" s="355">
        <f>NORMSDIST((_xlfn.NORM.S.INV($AB20)-(SQRT(Baseline!$AF$11)*'MacroPD-Cal'!$BF$6))/SQRT(1-Baseline!$AF$11))</f>
        <v>2.0961706764256734E-2</v>
      </c>
      <c r="BL20" s="355">
        <f>NORMSDIST((_xlfn.NORM.S.INV($AC20)-(SQRT(Baseline!$AF$11)*'MacroPD-Cal'!$BF$7))/SQRT(1-Baseline!$AF$11))</f>
        <v>1.6706305019092197E-3</v>
      </c>
      <c r="BM20" s="355">
        <f>NORMSDIST((_xlfn.NORM.S.INV($AD20)-(SQRT(Baseline!$AF$11)*'MacroPD-Cal'!$BF$8))/SQRT(1-Baseline!$AF$11))</f>
        <v>4.4342117352110279E-3</v>
      </c>
      <c r="BN20" s="355">
        <f>NORMSDIST((_xlfn.NORM.S.INV($AE20)-(SQRT(Baseline!$AF$11)*'MacroPD-Cal'!$BF$9))/SQRT(1-Baseline!$AF$11))</f>
        <v>6.6583244690018913E-3</v>
      </c>
      <c r="BO20" s="355">
        <f t="shared" si="15"/>
        <v>1.7125778280729616E-3</v>
      </c>
      <c r="BP20" s="355">
        <f t="shared" si="16"/>
        <v>4.2280980560015502E-3</v>
      </c>
      <c r="BQ20" s="355">
        <f t="shared" si="17"/>
        <v>8.0312397912422062E-3</v>
      </c>
      <c r="BR20" s="355">
        <f t="shared" si="18"/>
        <v>1.3100000000000001E-2</v>
      </c>
      <c r="BS20" s="355"/>
      <c r="BT20" s="355"/>
      <c r="BU20" s="355"/>
      <c r="BV20" s="355">
        <f>NORMSDIST((_xlfn.NORM.S.INV($AA20)-(SQRT(Baseline!$AF$11)*'MacroPD-Cal'!$BU$2))/SQRT(1-Baseline!$AF$11))</f>
        <v>1.6393559126623273E-3</v>
      </c>
      <c r="BW20" s="355">
        <f>NORMSDIST((_xlfn.NORM.S.INV($AA20)-(SQRT(Baseline!$AF$11)*'MacroPD-Cal'!$BU$3))/SQRT(1-Baseline!$AF$11))</f>
        <v>2.6488654982003354E-3</v>
      </c>
      <c r="BX20" s="355">
        <f>NORMSDIST((_xlfn.NORM.S.INV($AA20)-(SQRT(Baseline!$AF$11)*'MacroPD-Cal'!$BU$4))/SQRT(1-Baseline!$AF$11))</f>
        <v>3.5395346765587426E-3</v>
      </c>
      <c r="BY20" s="355">
        <f>NORMSDIST((_xlfn.NORM.S.INV($AA20)-(SQRT(Baseline!$AF$11)*'MacroPD-Cal'!$BU$5))/SQRT(1-Baseline!$AF$11))</f>
        <v>4.5243167034338871E-3</v>
      </c>
      <c r="BZ20" s="355">
        <f>NORMSDIST((_xlfn.NORM.S.INV($AB20)-(SQRT(Baseline!$AF$11)*'MacroPD-Cal'!$BU$6))/SQRT(1-Baseline!$AF$11))</f>
        <v>8.8723154163869618E-3</v>
      </c>
      <c r="CA20" s="355">
        <f>NORMSDIST((_xlfn.NORM.S.INV($AC20)-(SQRT(Baseline!$AF$11)*'MacroPD-Cal'!$BU25))/SQRT(1-Baseline!$AF$11))</f>
        <v>4.0106263405372084E-3</v>
      </c>
      <c r="CB20" s="355">
        <f>NORMSDIST((_xlfn.NORM.S.INV($AD20)-(SQRT(Baseline!$AF$11)*'MacroPD-Cal'!$BU$8))/SQRT(1-Baseline!$AF$11))</f>
        <v>7.9168291618990482E-3</v>
      </c>
      <c r="CC20" s="355">
        <f>NORMSDIST((_xlfn.NORM.S.INV($AE20)-(SQRT(Baseline!$AF$11)*'MacroPD-Cal'!$BU$9))/SQRT(1-Baseline!$AF$11))</f>
        <v>6.8286657738619973E-3</v>
      </c>
      <c r="CD20" s="355">
        <f t="shared" si="19"/>
        <v>1.6393559126623273E-3</v>
      </c>
      <c r="CE20" s="355">
        <f t="shared" si="20"/>
        <v>4.2838789775462294E-3</v>
      </c>
      <c r="CF20" s="355">
        <f t="shared" si="21"/>
        <v>7.8082507159137338E-3</v>
      </c>
      <c r="CG20" s="355">
        <f t="shared" si="22"/>
        <v>1.2200000000000001E-2</v>
      </c>
      <c r="CH20" s="355"/>
      <c r="CI20" s="355"/>
      <c r="CL20" s="168"/>
      <c r="CM20" s="168"/>
      <c r="CN20" s="168"/>
      <c r="CO20" s="168"/>
      <c r="CP20" s="168"/>
      <c r="CR20" s="345">
        <f t="shared" si="23"/>
        <v>0.16986972818108001</v>
      </c>
      <c r="CS20" s="345">
        <f t="shared" si="24"/>
        <v>0.39823104035361012</v>
      </c>
      <c r="CT20" s="345">
        <f t="shared" si="25"/>
        <v>0.65989480644246468</v>
      </c>
      <c r="CU20" s="345">
        <f t="shared" si="26"/>
        <v>1</v>
      </c>
    </row>
    <row r="21" spans="1:99" s="166" customFormat="1" x14ac:dyDescent="0.25">
      <c r="A21" s="464">
        <v>1100000202</v>
      </c>
      <c r="B21" s="470">
        <f>VLOOKUP(A21,'Ref-Data'!A:I,9,FALSE)</f>
        <v>1</v>
      </c>
      <c r="C21" s="445">
        <f>IF(B21="Matured","",VLOOKUP(A21,'Adjustment Factor'!A:C,3,0))</f>
        <v>0.79</v>
      </c>
      <c r="D21" s="190">
        <f>VLOOKUP(A21,'Ref-Data'!A:C,2,FALSE)</f>
        <v>1875502.42</v>
      </c>
      <c r="E21" s="471">
        <f>IFERROR(IF(VLOOKUP(A21,'Updated Ncino PD'!$A:$K,4,0)=0,"",VLOOKUP(A21,'Updated Ncino PD'!$A:$K,4,0)),AF21)</f>
        <v>3.0533239664205943E-3</v>
      </c>
      <c r="F21" s="472">
        <f>IFERROR(IF(VLOOKUP(A21,'Updated Ncino PD'!$A:$K,5,0)=0,"",VLOOKUP(A21,'Updated Ncino PD'!$A:$K,5,0)),1-((1-AG21)*(1-E21)))</f>
        <v>7.0898280603686192E-3</v>
      </c>
      <c r="G21" s="472">
        <f>IFERROR(IF(VLOOKUP(A21,'Updated Ncino PD'!$A:$K,6,0)=0,"",VLOOKUP(A21,'Updated Ncino PD'!$A:$K,6,0)),1-((1-AF21)*(1-AG21)*(1-AH21)))</f>
        <v>1.1673493116970968E-2</v>
      </c>
      <c r="H21" s="472">
        <f>IFERROR(IF(VLOOKUP(A21,'Updated Ncino PD'!$A:$K,7,0)=0,"",VLOOKUP(A21,'Updated Ncino PD'!$A:$K,7,0)),IFERROR(VLOOKUP(A21,'Updated Ncino PD'!A:B,2,FALSE),FLOOR(1-((1-AG21)*(1-AH21)*(1-AI21)*(1-AF21)),$R$11)))</f>
        <v>1.7600000000000001E-2</v>
      </c>
      <c r="I21" s="472">
        <f>IFERROR(IF(VLOOKUP(A21,'Updated Ncino PD'!$A:$K,8,0)=0,"",VLOOKUP(A21,'Updated Ncino PD'!$A:$K,8,0)),FLOOR(1-((1-H21)*(1-AJ21)),$R$11))</f>
        <v>2.7200000000000002E-2</v>
      </c>
      <c r="J21" s="472">
        <f>IFERROR(IF(VLOOKUP(A21,'Updated Ncino PD'!$A:$K,9,0)=0,"",VLOOKUP(A21,'Updated Ncino PD'!$A:$K,9,0)),FLOOR(1-((1-H21)*(1-AJ21)*(1-AK21)),$R$11))</f>
        <v>3.3100000000000004E-2</v>
      </c>
      <c r="K21" s="472">
        <f>IFERROR(IF(VLOOKUP(A21,'Updated Ncino PD'!$A:$K,10,0)=0,"",VLOOKUP(A21,'Updated Ncino PD'!$A:$K,10,0)),FLOOR(1-((1-H21)*(1-AJ21)*(1-AK21)*(1-AL21)),$R$11))</f>
        <v>4.6900000000000004E-2</v>
      </c>
      <c r="L21" s="472">
        <f>IFERROR(IF(VLOOKUP(A21,'Updated Ncino PD'!$A:$K,11,0)=0,"",VLOOKUP(A21,'Updated Ncino PD'!$A:$K,11,0)),FLOOR(1-((1-H21)*(1-AJ21)*(1-AK21)*(1-AL21)*(1-AM21)),$R$11))</f>
        <v>6.1100000000000002E-2</v>
      </c>
      <c r="M21" s="224">
        <f>VLOOKUP(A21,'Ref-Data'!$A:$F,6,FALSE)</f>
        <v>2.5681040383299112</v>
      </c>
      <c r="N21" s="191">
        <f t="shared" si="3"/>
        <v>1.7600000000000001E-2</v>
      </c>
      <c r="O21" s="191">
        <f t="shared" si="4"/>
        <v>3.3100000000000004E-2</v>
      </c>
      <c r="P21" s="459" t="str">
        <f>VLOOKUP(A21,'Loan Book Summary'!C:G,5,FALSE)</f>
        <v>0015800001VjgTF</v>
      </c>
      <c r="S21" s="203"/>
      <c r="T21" s="332">
        <f>IFERROR(VLOOKUP($P21,'Model Output-LoanNameUpdate'!$A:$K,2,FALSE),CL21)</f>
        <v>1.8629999999999997E-2</v>
      </c>
      <c r="U21" s="332">
        <f>1-(1-IFERROR(VLOOKUP($P21,'Model Output-LoanNameUpdate'!$A:$K,2,FALSE),CL21))^(1/4)</f>
        <v>4.6903966644159523E-3</v>
      </c>
      <c r="V21" s="332">
        <f>IFERROR(VLOOKUP($P21,'Model Output-LoanNameUpdate'!$A:$K,3,FALSE),CM21)</f>
        <v>1.8149999999999999E-2</v>
      </c>
      <c r="W21" s="332">
        <f>IFERROR(VLOOKUP($P21,'Model Output-LoanNameUpdate'!$A:$K,4,FALSE),CN21)</f>
        <v>1.7859999999999997E-2</v>
      </c>
      <c r="X21" s="332">
        <f>IFERROR(VLOOKUP($P21,'Model Output-LoanNameUpdate'!$A:$K,5,FALSE),CO21)</f>
        <v>1.7660000000000002E-2</v>
      </c>
      <c r="Y21" s="332">
        <f>IFERROR(VLOOKUP($P21,'Model Output-LoanNameUpdate'!$A:$K,6,FALSE),CP21)</f>
        <v>1.7539999999999997E-2</v>
      </c>
      <c r="Z21" s="207">
        <f t="shared" si="5"/>
        <v>0.79</v>
      </c>
      <c r="AA21" s="208">
        <f t="shared" si="6"/>
        <v>3.7054133648886023E-3</v>
      </c>
      <c r="AB21" s="208">
        <f t="shared" si="7"/>
        <v>1.4338500000000001E-2</v>
      </c>
      <c r="AC21" s="208">
        <f t="shared" si="8"/>
        <v>1.4109399999999999E-2</v>
      </c>
      <c r="AD21" s="208">
        <f t="shared" si="9"/>
        <v>1.3951400000000003E-2</v>
      </c>
      <c r="AE21" s="208">
        <f t="shared" si="10"/>
        <v>1.3856599999999998E-2</v>
      </c>
      <c r="AF21" s="332">
        <f>NORMSDIST((_xlfn.NORM.S.INV(AA21)-(SQRT(Baseline!$AF$11)*'MacroPD-Cal'!$R$2))/SQRT(1-Baseline!$AF$11))</f>
        <v>3.0533239664205943E-3</v>
      </c>
      <c r="AG21" s="332">
        <f>NORMSDIST((_xlfn.NORM.S.INV(AA21)-(SQRT(Baseline!$AF$11)*'MacroPD-Cal'!$R$3))/SQRT(1-Baseline!$AF$11))</f>
        <v>4.0488665953605021E-3</v>
      </c>
      <c r="AH21" s="332">
        <f>NORMSDIST((_xlfn.NORM.S.INV(AA21)-(SQRT(Baseline!$AF$11)*'MacroPD-Cal'!$R$4))/SQRT(1-Baseline!$AF$11))</f>
        <v>4.6163944998651426E-3</v>
      </c>
      <c r="AI21" s="332">
        <f>NORMSDIST((_xlfn.NORM.S.INV(AA21)-(SQRT(Baseline!$AF$11)*'MacroPD-Cal'!$R$5))/SQRT(1-Baseline!$AF$11))</f>
        <v>6.0329860120738087E-3</v>
      </c>
      <c r="AJ21" s="332">
        <f>NORMSDIST((_xlfn.NORM.S.INV(AB21)-(SQRT(Baseline!$AF$11)*'MacroPD-Cal'!$R$6))/SQRT(1-Baseline!$AF$11))</f>
        <v>9.8238110822147003E-3</v>
      </c>
      <c r="AK21" s="332">
        <f>NORMSDIST((_xlfn.NORM.S.INV(AC21)-(SQRT(Baseline!$AF$11)*'MacroPD-Cal'!$R$7))/SQRT(1-Baseline!$AF$11))</f>
        <v>6.070563154423312E-3</v>
      </c>
      <c r="AL21" s="332">
        <f>NORMSDIST((_xlfn.NORM.S.INV(AD21)-(SQRT(Baseline!$AF$11)*'MacroPD-Cal'!$R$8))/SQRT(1-Baseline!$AF$11))</f>
        <v>1.4252344126831386E-2</v>
      </c>
      <c r="AM21" s="332">
        <f>NORMSDIST((_xlfn.NORM.S.INV(AE21)-(SQRT(Baseline!$AF$11)*'MacroPD-Cal'!$R$9))/SQRT(1-Baseline!$AF$11))</f>
        <v>1.4961995228509229E-2</v>
      </c>
      <c r="AO21" s="355"/>
      <c r="AP21" s="355"/>
      <c r="AQ21" s="355">
        <f>NORMSDIST((_xlfn.NORM.S.INV(AA21)-(SQRT(Baseline!$AF$11)*'MacroPD-Cal'!$AP$2))/SQRT(1-Baseline!$AF$11))</f>
        <v>3.1701688786681631E-3</v>
      </c>
      <c r="AR21" s="355">
        <f>NORMSDIST((_xlfn.NORM.S.INV(AA21)-(SQRT(Baseline!$AF$11)*'MacroPD-Cal'!$AP$3))/SQRT(1-Baseline!$AF$11))</f>
        <v>3.7727211569687619E-3</v>
      </c>
      <c r="AS21" s="355">
        <f>NORMSDIST((_xlfn.NORM.S.INV(AA21)-(SQRT(Baseline!$AF$11)*'MacroPD-Cal'!$AP$4))/SQRT(1-Baseline!$AF$11))</f>
        <v>3.8574324335617261E-3</v>
      </c>
      <c r="AT21" s="355">
        <f>NORMSDIST((_xlfn.NORM.S.INV(AA21)-(SQRT(Baseline!$AF$11)*'MacroPD-Cal'!$AP$5))/SQRT(1-Baseline!$AF$11))</f>
        <v>5.1412471475945605E-3</v>
      </c>
      <c r="AU21" s="355">
        <f>NORMSDIST((_xlfn.NORM.S.INV(AB21)-(SQRT(Baseline!$AF$11)*'MacroPD-Cal'!$AP$6))/SQRT(1-Baseline!$AF$11))</f>
        <v>6.5314904280568782E-3</v>
      </c>
      <c r="AV21" s="355">
        <f>NORMSDIST((_xlfn.NORM.S.INV(AC21)-(SQRT(Baseline!$AF$11)*'MacroPD-Cal'!$AP$7))/SQRT(1-Baseline!$AF$11))</f>
        <v>8.3992394176671935E-3</v>
      </c>
      <c r="AW21" s="355">
        <f>NORMSDIST((_xlfn.NORM.S.INV(AD21)-(SQRT(Baseline!$AF$11)*'MacroPD-Cal'!$AP$8))/SQRT(1-Baseline!$AF$11))</f>
        <v>1.4588567106266383E-2</v>
      </c>
      <c r="AX21" s="355">
        <f>NORMSDIST((_xlfn.NORM.S.INV(AE21)-(SQRT(Baseline!$AF$11)*'MacroPD-Cal'!$AP$9))/SQRT(1-Baseline!$AF$11))</f>
        <v>1.6365305739898788E-2</v>
      </c>
      <c r="AY21" s="355">
        <f t="shared" si="11"/>
        <v>3.1701688786681631E-3</v>
      </c>
      <c r="AZ21" s="355">
        <f t="shared" si="12"/>
        <v>6.9309298724372637E-3</v>
      </c>
      <c r="BA21" s="355">
        <f t="shared" si="13"/>
        <v>1.0761626712314287E-2</v>
      </c>
      <c r="BB21" s="355">
        <f t="shared" si="14"/>
        <v>1.5800000000000002E-2</v>
      </c>
      <c r="BC21" s="355"/>
      <c r="BD21" s="355"/>
      <c r="BE21" s="355"/>
      <c r="BF21" s="355"/>
      <c r="BG21" s="355">
        <f>NORMSDIST((_xlfn.NORM.S.INV($AA21)-(SQRT(Baseline!$AF$11)*'MacroPD-Cal'!$BF$2))/SQRT(1-Baseline!$AF$11))</f>
        <v>2.9918963741095224E-3</v>
      </c>
      <c r="BH21" s="355">
        <f>NORMSDIST((_xlfn.NORM.S.INV($AA21)-(SQRT(Baseline!$AF$11)*'MacroPD-Cal'!$BF$3))/SQRT(1-Baseline!$AF$11))</f>
        <v>4.3146990596412537E-3</v>
      </c>
      <c r="BI21" s="355">
        <f>NORMSDIST((_xlfn.NORM.S.INV($AA21)-(SQRT(Baseline!$AF$11)*'MacroPD-Cal'!$BF$4))/SQRT(1-Baseline!$AF$11))</f>
        <v>6.3952180995725328E-3</v>
      </c>
      <c r="BJ21" s="355">
        <f>NORMSDIST((_xlfn.NORM.S.INV($AA21)-(SQRT(Baseline!$AF$11)*'MacroPD-Cal'!$BF$5))/SQRT(1-Baseline!$AF$11))</f>
        <v>8.5361263451736152E-3</v>
      </c>
      <c r="BK21" s="355">
        <f>NORMSDIST((_xlfn.NORM.S.INV($AB21)-(SQRT(Baseline!$AF$11)*'MacroPD-Cal'!$BF$6))/SQRT(1-Baseline!$AF$11))</f>
        <v>3.4769105603703464E-2</v>
      </c>
      <c r="BL21" s="355">
        <f>NORMSDIST((_xlfn.NORM.S.INV($AC21)-(SQRT(Baseline!$AF$11)*'MacroPD-Cal'!$BF$7))/SQRT(1-Baseline!$AF$11))</f>
        <v>3.4007373500093379E-3</v>
      </c>
      <c r="BM21" s="355">
        <f>NORMSDIST((_xlfn.NORM.S.INV($AD21)-(SQRT(Baseline!$AF$11)*'MacroPD-Cal'!$BF$8))/SQRT(1-Baseline!$AF$11))</f>
        <v>8.5893713183220911E-3</v>
      </c>
      <c r="BN21" s="355">
        <f>NORMSDIST((_xlfn.NORM.S.INV($AE21)-(SQRT(Baseline!$AF$11)*'MacroPD-Cal'!$BF$9))/SQRT(1-Baseline!$AF$11))</f>
        <v>1.2788179565695973E-2</v>
      </c>
      <c r="BO21" s="355">
        <f t="shared" si="15"/>
        <v>2.9918963741095224E-3</v>
      </c>
      <c r="BP21" s="355">
        <f t="shared" si="16"/>
        <v>7.2936863012789122E-3</v>
      </c>
      <c r="BQ21" s="355">
        <f t="shared" si="17"/>
        <v>1.3642259686204916E-2</v>
      </c>
      <c r="BR21" s="355">
        <f t="shared" si="18"/>
        <v>2.2000000000000002E-2</v>
      </c>
      <c r="BS21" s="355"/>
      <c r="BT21" s="355"/>
      <c r="BU21" s="355"/>
      <c r="BV21" s="355">
        <f>NORMSDIST((_xlfn.NORM.S.INV($AA21)-(SQRT(Baseline!$AF$11)*'MacroPD-Cal'!$BU$2))/SQRT(1-Baseline!$AF$11))</f>
        <v>2.8703784367751619E-3</v>
      </c>
      <c r="BW21" s="355">
        <f>NORMSDIST((_xlfn.NORM.S.INV($AA21)-(SQRT(Baseline!$AF$11)*'MacroPD-Cal'!$BU$3))/SQRT(1-Baseline!$AF$11))</f>
        <v>4.5236685633948835E-3</v>
      </c>
      <c r="BX21" s="355">
        <f>NORMSDIST((_xlfn.NORM.S.INV($AA21)-(SQRT(Baseline!$AF$11)*'MacroPD-Cal'!$BU$4))/SQRT(1-Baseline!$AF$11))</f>
        <v>5.9514159308227841E-3</v>
      </c>
      <c r="BY21" s="355">
        <f>NORMSDIST((_xlfn.NORM.S.INV($AA21)-(SQRT(Baseline!$AF$11)*'MacroPD-Cal'!$BU$5))/SQRT(1-Baseline!$AF$11))</f>
        <v>7.505332196137712E-3</v>
      </c>
      <c r="BZ21" s="355">
        <f>NORMSDIST((_xlfn.NORM.S.INV($AB21)-(SQRT(Baseline!$AF$11)*'MacroPD-Cal'!$BU$6))/SQRT(1-Baseline!$AF$11))</f>
        <v>1.5717135008047351E-2</v>
      </c>
      <c r="CA21" s="355">
        <f>NORMSDIST((_xlfn.NORM.S.INV($AC21)-(SQRT(Baseline!$AF$11)*'MacroPD-Cal'!$BU26))/SQRT(1-Baseline!$AF$11))</f>
        <v>7.6938602163573707E-3</v>
      </c>
      <c r="CB21" s="355">
        <f>NORMSDIST((_xlfn.NORM.S.INV($AD21)-(SQRT(Baseline!$AF$11)*'MacroPD-Cal'!$BU$8))/SQRT(1-Baseline!$AF$11))</f>
        <v>1.4684344093745423E-2</v>
      </c>
      <c r="CC21" s="355">
        <f>NORMSDIST((_xlfn.NORM.S.INV($AE21)-(SQRT(Baseline!$AF$11)*'MacroPD-Cal'!$BU$9))/SQRT(1-Baseline!$AF$11))</f>
        <v>1.3089375964893494E-2</v>
      </c>
      <c r="CD21" s="355">
        <f t="shared" si="19"/>
        <v>2.8703784367751619E-3</v>
      </c>
      <c r="CE21" s="355">
        <f t="shared" si="20"/>
        <v>7.3810623594706692E-3</v>
      </c>
      <c r="CF21" s="355">
        <f t="shared" si="21"/>
        <v>1.3288550518180897E-2</v>
      </c>
      <c r="CG21" s="355">
        <f t="shared" si="22"/>
        <v>2.06E-2</v>
      </c>
      <c r="CH21" s="355"/>
      <c r="CI21" s="355"/>
      <c r="CL21" s="168"/>
      <c r="CM21" s="168"/>
      <c r="CN21" s="168"/>
      <c r="CO21" s="168"/>
      <c r="CP21" s="168"/>
      <c r="CR21" s="345">
        <f t="shared" si="23"/>
        <v>0.1734843162738974</v>
      </c>
      <c r="CS21" s="345">
        <f t="shared" si="24"/>
        <v>0.40283113979367152</v>
      </c>
      <c r="CT21" s="345">
        <f t="shared" si="25"/>
        <v>0.66326665437335042</v>
      </c>
      <c r="CU21" s="345">
        <f t="shared" si="26"/>
        <v>1</v>
      </c>
    </row>
    <row r="22" spans="1:99" s="166" customFormat="1" x14ac:dyDescent="0.25">
      <c r="A22" s="464">
        <v>1100000203</v>
      </c>
      <c r="B22" s="470">
        <f>VLOOKUP(A22,'Ref-Data'!A:I,9,FALSE)</f>
        <v>1</v>
      </c>
      <c r="C22" s="445">
        <f>IF(B22="Matured","",VLOOKUP(A22,'Adjustment Factor'!A:C,3,0))</f>
        <v>1.89</v>
      </c>
      <c r="D22" s="190">
        <f>VLOOKUP(A22,'Ref-Data'!A:C,2,FALSE)</f>
        <v>420249.57</v>
      </c>
      <c r="E22" s="471">
        <f>IFERROR(IF(VLOOKUP(A22,'Updated Ncino PD'!$A:$K,4,0)=0,"",VLOOKUP(A22,'Updated Ncino PD'!$A:$K,4,0)),AF22)</f>
        <v>5.78851447579404E-4</v>
      </c>
      <c r="F22" s="472">
        <f>IFERROR(IF(VLOOKUP(A22,'Updated Ncino PD'!$A:$K,5,0)=0,"",VLOOKUP(A22,'Updated Ncino PD'!$A:$K,5,0)),1-((1-AG22)*(1-E22)))</f>
        <v>1.3806868792907157E-3</v>
      </c>
      <c r="G22" s="472">
        <f>IFERROR(IF(VLOOKUP(A22,'Updated Ncino PD'!$A:$K,6,0)=0,"",VLOOKUP(A22,'Updated Ncino PD'!$A:$K,6,0)),1-((1-AF22)*(1-AG22)*(1-AH22)))</f>
        <v>2.3135238382311352E-3</v>
      </c>
      <c r="H22" s="472">
        <f>IFERROR(IF(VLOOKUP(A22,'Updated Ncino PD'!$A:$K,7,0)=0,"",VLOOKUP(A22,'Updated Ncino PD'!$A:$K,7,0)),IFERROR(VLOOKUP(A22,'Updated Ncino PD'!A:B,2,FALSE),FLOOR(1-((1-AG22)*(1-AH22)*(1-AI22)*(1-AF22)),$R$11)))</f>
        <v>3.5000000000000001E-3</v>
      </c>
      <c r="I22" s="472">
        <f>IFERROR(IF(VLOOKUP(A22,'Updated Ncino PD'!$A:$K,8,0)=0,"",VLOOKUP(A22,'Updated Ncino PD'!$A:$K,8,0)),FLOOR(1-((1-H22)*(1-AJ22)),$R$11))</f>
        <v>5.5000000000000005E-3</v>
      </c>
      <c r="J22" s="472">
        <f>IFERROR(IF(VLOOKUP(A22,'Updated Ncino PD'!$A:$K,9,0)=0,"",VLOOKUP(A22,'Updated Ncino PD'!$A:$K,9,0)),FLOOR(1-((1-H22)*(1-AJ22)*(1-AK22)),$R$11))</f>
        <v>6.8000000000000005E-3</v>
      </c>
      <c r="K22" s="472">
        <f>IFERROR(IF(VLOOKUP(A22,'Updated Ncino PD'!$A:$K,10,0)=0,"",VLOOKUP(A22,'Updated Ncino PD'!$A:$K,10,0)),FLOOR(1-((1-H22)*(1-AJ22)*(1-AK22)*(1-AL22)),$R$11))</f>
        <v>1.0700000000000001E-2</v>
      </c>
      <c r="L22" s="472">
        <f>IFERROR(IF(VLOOKUP(A22,'Updated Ncino PD'!$A:$K,11,0)=0,"",VLOOKUP(A22,'Updated Ncino PD'!$A:$K,11,0)),FLOOR(1-((1-H22)*(1-AJ22)*(1-AK22)*(1-AL22)*(1-AM22)),$R$11))</f>
        <v>1.49E-2</v>
      </c>
      <c r="M22" s="224">
        <f>VLOOKUP(A22,'Ref-Data'!$A:$F,6,FALSE)</f>
        <v>2.3655030800821355</v>
      </c>
      <c r="N22" s="191">
        <f t="shared" si="3"/>
        <v>3.5000000000000001E-3</v>
      </c>
      <c r="O22" s="191">
        <f t="shared" si="4"/>
        <v>6.8000000000000005E-3</v>
      </c>
      <c r="P22" s="459" t="str">
        <f>VLOOKUP(A22,'Loan Book Summary'!C:G,5,FALSE)</f>
        <v>0014I00001pussv</v>
      </c>
      <c r="S22" s="203"/>
      <c r="T22" s="332">
        <f>IFERROR(VLOOKUP($P22,'Model Output-LoanNameUpdate'!$A:$K,2,FALSE),CL22)</f>
        <v>1.805E-3</v>
      </c>
      <c r="U22" s="332">
        <f>1-(1-IFERROR(VLOOKUP($P22,'Model Output-LoanNameUpdate'!$A:$K,2,FALSE),CL22))^(1/4)</f>
        <v>4.515557618460786E-4</v>
      </c>
      <c r="V22" s="332">
        <f>IFERROR(VLOOKUP($P22,'Model Output-LoanNameUpdate'!$A:$K,3,FALSE),CM22)</f>
        <v>2.0049999999999998E-3</v>
      </c>
      <c r="W22" s="332">
        <f>IFERROR(VLOOKUP($P22,'Model Output-LoanNameUpdate'!$A:$K,4,FALSE),CN22)</f>
        <v>2.1449999999999998E-3</v>
      </c>
      <c r="X22" s="332">
        <f>IFERROR(VLOOKUP($P22,'Model Output-LoanNameUpdate'!$A:$K,5,FALSE),CO22)</f>
        <v>2.3049999999999998E-3</v>
      </c>
      <c r="Y22" s="332">
        <f>IFERROR(VLOOKUP($P22,'Model Output-LoanNameUpdate'!$A:$K,6,FALSE),CP22)</f>
        <v>2.3449999999999999E-3</v>
      </c>
      <c r="Z22" s="207">
        <f t="shared" si="5"/>
        <v>1.89</v>
      </c>
      <c r="AA22" s="208">
        <f t="shared" si="6"/>
        <v>8.5344038988908848E-4</v>
      </c>
      <c r="AB22" s="208">
        <f t="shared" si="7"/>
        <v>3.7894499999999993E-3</v>
      </c>
      <c r="AC22" s="208">
        <f t="shared" si="8"/>
        <v>4.0540499999999991E-3</v>
      </c>
      <c r="AD22" s="208">
        <f t="shared" si="9"/>
        <v>4.3564499999999996E-3</v>
      </c>
      <c r="AE22" s="208">
        <f t="shared" si="10"/>
        <v>4.4320499999999999E-3</v>
      </c>
      <c r="AF22" s="332">
        <f>NORMSDIST((_xlfn.NORM.S.INV(AA22)-(SQRT(Baseline!$AF$11)*'MacroPD-Cal'!$R$2))/SQRT(1-Baseline!$AF$11))</f>
        <v>5.78851447579404E-4</v>
      </c>
      <c r="AG22" s="332">
        <f>NORMSDIST((_xlfn.NORM.S.INV(AA22)-(SQRT(Baseline!$AF$11)*'MacroPD-Cal'!$R$3))/SQRT(1-Baseline!$AF$11))</f>
        <v>8.0229984413748802E-4</v>
      </c>
      <c r="AH22" s="332">
        <f>NORMSDIST((_xlfn.NORM.S.INV(AA22)-(SQRT(Baseline!$AF$11)*'MacroPD-Cal'!$R$4))/SQRT(1-Baseline!$AF$11))</f>
        <v>9.3412669541242358E-4</v>
      </c>
      <c r="AI22" s="332">
        <f>NORMSDIST((_xlfn.NORM.S.INV(AA22)-(SQRT(Baseline!$AF$11)*'MacroPD-Cal'!$R$5))/SQRT(1-Baseline!$AF$11))</f>
        <v>1.2751403480472901E-3</v>
      </c>
      <c r="AJ22" s="332">
        <f>NORMSDIST((_xlfn.NORM.S.INV(AB22)-(SQRT(Baseline!$AF$11)*'MacroPD-Cal'!$R$6))/SQRT(1-Baseline!$AF$11))</f>
        <v>2.0803992418813124E-3</v>
      </c>
      <c r="AK22" s="332">
        <f>NORMSDIST((_xlfn.NORM.S.INV(AC22)-(SQRT(Baseline!$AF$11)*'MacroPD-Cal'!$R$7))/SQRT(1-Baseline!$AF$11))</f>
        <v>1.3122462006346974E-3</v>
      </c>
      <c r="AL22" s="332">
        <f>NORMSDIST((_xlfn.NORM.S.INV(AD22)-(SQRT(Baseline!$AF$11)*'MacroPD-Cal'!$R$8))/SQRT(1-Baseline!$AF$11))</f>
        <v>3.9184595591160642E-3</v>
      </c>
      <c r="AM22" s="332">
        <f>NORMSDIST((_xlfn.NORM.S.INV(AE22)-(SQRT(Baseline!$AF$11)*'MacroPD-Cal'!$R$9))/SQRT(1-Baseline!$AF$11))</f>
        <v>4.26407526736838E-3</v>
      </c>
      <c r="AO22" s="355"/>
      <c r="AP22" s="355"/>
      <c r="AQ22" s="355">
        <f>NORMSDIST((_xlfn.NORM.S.INV(AA22)-(SQRT(Baseline!$AF$11)*'MacroPD-Cal'!$AP$2))/SQRT(1-Baseline!$AF$11))</f>
        <v>6.0451190125946112E-4</v>
      </c>
      <c r="AR22" s="355">
        <f>NORMSDIST((_xlfn.NORM.S.INV(AA22)-(SQRT(Baseline!$AF$11)*'MacroPD-Cal'!$AP$3))/SQRT(1-Baseline!$AF$11))</f>
        <v>7.3927058870392728E-4</v>
      </c>
      <c r="AS22" s="355">
        <f>NORMSDIST((_xlfn.NORM.S.INV(AA22)-(SQRT(Baseline!$AF$11)*'MacroPD-Cal'!$AP$4))/SQRT(1-Baseline!$AF$11))</f>
        <v>7.5852453399561737E-4</v>
      </c>
      <c r="AT22" s="355">
        <f>NORMSDIST((_xlfn.NORM.S.INV(AA22)-(SQRT(Baseline!$AF$11)*'MacroPD-Cal'!$AP$5))/SQRT(1-Baseline!$AF$11))</f>
        <v>1.058585724993631E-3</v>
      </c>
      <c r="AU22" s="355">
        <f>NORMSDIST((_xlfn.NORM.S.INV(AB22)-(SQRT(Baseline!$AF$11)*'MacroPD-Cal'!$AP$6))/SQRT(1-Baseline!$AF$11))</f>
        <v>1.2859805987086128E-3</v>
      </c>
      <c r="AV22" s="355">
        <f>NORMSDIST((_xlfn.NORM.S.INV(AC22)-(SQRT(Baseline!$AF$11)*'MacroPD-Cal'!$AP$7))/SQRT(1-Baseline!$AF$11))</f>
        <v>1.9159444153645545E-3</v>
      </c>
      <c r="AW22" s="355">
        <f>NORMSDIST((_xlfn.NORM.S.INV(AD22)-(SQRT(Baseline!$AF$11)*'MacroPD-Cal'!$AP$8))/SQRT(1-Baseline!$AF$11))</f>
        <v>4.0265958183606449E-3</v>
      </c>
      <c r="AX22" s="355">
        <f>NORMSDIST((_xlfn.NORM.S.INV(AE22)-(SQRT(Baseline!$AF$11)*'MacroPD-Cal'!$AP$9))/SQRT(1-Baseline!$AF$11))</f>
        <v>4.7338266330474825E-3</v>
      </c>
      <c r="AY22" s="355">
        <f t="shared" si="11"/>
        <v>6.0451190125946112E-4</v>
      </c>
      <c r="AZ22" s="355">
        <f t="shared" si="12"/>
        <v>1.3433355920942081E-3</v>
      </c>
      <c r="BA22" s="355">
        <f t="shared" si="13"/>
        <v>2.1008411730858434E-3</v>
      </c>
      <c r="BB22" s="355">
        <f t="shared" si="14"/>
        <v>3.1000000000000003E-3</v>
      </c>
      <c r="BC22" s="355"/>
      <c r="BD22" s="355"/>
      <c r="BE22" s="355"/>
      <c r="BF22" s="355"/>
      <c r="BG22" s="355">
        <f>NORMSDIST((_xlfn.NORM.S.INV($AA22)-(SQRT(Baseline!$AF$11)*'MacroPD-Cal'!$BF$2))/SQRT(1-Baseline!$AF$11))</f>
        <v>5.6542636813658464E-4</v>
      </c>
      <c r="BH22" s="355">
        <f>NORMSDIST((_xlfn.NORM.S.INV($AA22)-(SQRT(Baseline!$AF$11)*'MacroPD-Cal'!$BF$3))/SQRT(1-Baseline!$AF$11))</f>
        <v>8.6367631978229696E-4</v>
      </c>
      <c r="BI22" s="355">
        <f>NORMSDIST((_xlfn.NORM.S.INV($AA22)-(SQRT(Baseline!$AF$11)*'MacroPD-Cal'!$BF$4))/SQRT(1-Baseline!$AF$11))</f>
        <v>1.3648039122755929E-3</v>
      </c>
      <c r="BJ22" s="355">
        <f>NORMSDIST((_xlfn.NORM.S.INV($AA22)-(SQRT(Baseline!$AF$11)*'MacroPD-Cal'!$BF$5))/SQRT(1-Baseline!$AF$11))</f>
        <v>1.9124678715486802E-3</v>
      </c>
      <c r="BK22" s="355">
        <f>NORMSDIST((_xlfn.NORM.S.INV($AB22)-(SQRT(Baseline!$AF$11)*'MacroPD-Cal'!$BF$6))/SQRT(1-Baseline!$AF$11))</f>
        <v>9.4473128464280659E-3</v>
      </c>
      <c r="BL22" s="355">
        <f>NORMSDIST((_xlfn.NORM.S.INV($AC22)-(SQRT(Baseline!$AF$11)*'MacroPD-Cal'!$BF$7))/SQRT(1-Baseline!$AF$11))</f>
        <v>6.7063131345746808E-4</v>
      </c>
      <c r="BM22" s="355">
        <f>NORMSDIST((_xlfn.NORM.S.INV($AD22)-(SQRT(Baseline!$AF$11)*'MacroPD-Cal'!$BF$8))/SQRT(1-Baseline!$AF$11))</f>
        <v>2.1749474237649944E-3</v>
      </c>
      <c r="BN22" s="355">
        <f>NORMSDIST((_xlfn.NORM.S.INV($AE22)-(SQRT(Baseline!$AF$11)*'MacroPD-Cal'!$BF$9))/SQRT(1-Baseline!$AF$11))</f>
        <v>3.5522993111732288E-3</v>
      </c>
      <c r="BO22" s="355">
        <f t="shared" si="15"/>
        <v>5.6542636813658464E-4</v>
      </c>
      <c r="BP22" s="355">
        <f t="shared" si="16"/>
        <v>1.4286143425542575E-3</v>
      </c>
      <c r="BQ22" s="355">
        <f t="shared" si="17"/>
        <v>2.7914684763860054E-3</v>
      </c>
      <c r="BR22" s="355">
        <f t="shared" si="18"/>
        <v>4.5999999999999999E-3</v>
      </c>
      <c r="BS22" s="355"/>
      <c r="BT22" s="355"/>
      <c r="BU22" s="355"/>
      <c r="BV22" s="355">
        <f>NORMSDIST((_xlfn.NORM.S.INV($AA22)-(SQRT(Baseline!$AF$11)*'MacroPD-Cal'!$BU$2))/SQRT(1-Baseline!$AF$11))</f>
        <v>5.3900389498802795E-4</v>
      </c>
      <c r="BW22" s="355">
        <f>NORMSDIST((_xlfn.NORM.S.INV($AA22)-(SQRT(Baseline!$AF$11)*'MacroPD-Cal'!$BU$3))/SQRT(1-Baseline!$AF$11))</f>
        <v>9.12386309771279E-4</v>
      </c>
      <c r="BX22" s="355">
        <f>NORMSDIST((_xlfn.NORM.S.INV($AA22)-(SQRT(Baseline!$AF$11)*'MacroPD-Cal'!$BU$4))/SQRT(1-Baseline!$AF$11))</f>
        <v>1.255080114557019E-3</v>
      </c>
      <c r="BY22" s="355">
        <f>NORMSDIST((_xlfn.NORM.S.INV($AA22)-(SQRT(Baseline!$AF$11)*'MacroPD-Cal'!$BU$5))/SQRT(1-Baseline!$AF$11))</f>
        <v>1.645178083776943E-3</v>
      </c>
      <c r="BZ22" s="355">
        <f>NORMSDIST((_xlfn.NORM.S.INV($AB22)-(SQRT(Baseline!$AF$11)*'MacroPD-Cal'!$BU$6))/SQRT(1-Baseline!$AF$11))</f>
        <v>3.6348752094393804E-3</v>
      </c>
      <c r="CA22" s="355">
        <f>NORMSDIST((_xlfn.NORM.S.INV($AC22)-(SQRT(Baseline!$AF$11)*'MacroPD-Cal'!$BU27))/SQRT(1-Baseline!$AF$11))</f>
        <v>1.7294166384019501E-3</v>
      </c>
      <c r="CB22" s="355">
        <f>NORMSDIST((_xlfn.NORM.S.INV($AD22)-(SQRT(Baseline!$AF$11)*'MacroPD-Cal'!$BU$8))/SQRT(1-Baseline!$AF$11))</f>
        <v>4.0574845254655462E-3</v>
      </c>
      <c r="CC22" s="355">
        <f>NORMSDIST((_xlfn.NORM.S.INV($AE22)-(SQRT(Baseline!$AF$11)*'MacroPD-Cal'!$BU$9))/SQRT(1-Baseline!$AF$11))</f>
        <v>3.6497060852937239E-3</v>
      </c>
      <c r="CD22" s="355">
        <f t="shared" si="19"/>
        <v>5.3900389498802795E-4</v>
      </c>
      <c r="CE22" s="355">
        <f t="shared" si="20"/>
        <v>1.4508984249846923E-3</v>
      </c>
      <c r="CF22" s="355">
        <f t="shared" si="21"/>
        <v>2.7041575457802391E-3</v>
      </c>
      <c r="CG22" s="355">
        <f t="shared" si="22"/>
        <v>4.3E-3</v>
      </c>
      <c r="CH22" s="355"/>
      <c r="CI22" s="355"/>
      <c r="CL22" s="168"/>
      <c r="CM22" s="168"/>
      <c r="CN22" s="168"/>
      <c r="CO22" s="168"/>
      <c r="CP22" s="168"/>
      <c r="CR22" s="345">
        <f t="shared" si="23"/>
        <v>0.1653861278798297</v>
      </c>
      <c r="CS22" s="345">
        <f t="shared" si="24"/>
        <v>0.39448196551163306</v>
      </c>
      <c r="CT22" s="345">
        <f t="shared" si="25"/>
        <v>0.66100681092318148</v>
      </c>
      <c r="CU22" s="345">
        <f t="shared" si="26"/>
        <v>1</v>
      </c>
    </row>
    <row r="23" spans="1:99" s="166" customFormat="1" x14ac:dyDescent="0.25">
      <c r="A23" s="464">
        <v>1100000184</v>
      </c>
      <c r="B23" s="470">
        <f>VLOOKUP(A23,'Ref-Data'!A:I,9,FALSE)</f>
        <v>1</v>
      </c>
      <c r="C23" s="445">
        <f>IF(B23="Matured","",VLOOKUP(A23,'Adjustment Factor'!A:C,3,0))</f>
        <v>0.76</v>
      </c>
      <c r="D23" s="190">
        <f>VLOOKUP(A23,'Ref-Data'!A:C,2,FALSE)</f>
        <v>5250000</v>
      </c>
      <c r="E23" s="471">
        <f>IFERROR(IF(VLOOKUP(A23,'Updated Ncino PD'!$A:$K,4,0)=0,"",VLOOKUP(A23,'Updated Ncino PD'!$A:$K,4,0)),AF23)</f>
        <v>1.0705050271156204E-2</v>
      </c>
      <c r="F23" s="472">
        <f>IFERROR(IF(VLOOKUP(A23,'Updated Ncino PD'!$A:$K,5,0)=0,"",VLOOKUP(A23,'Updated Ncino PD'!$A:$K,5,0)),1-((1-AG23)*(1-E23)))</f>
        <v>2.4228274039793773E-2</v>
      </c>
      <c r="G23" s="472">
        <f>IFERROR(IF(VLOOKUP(A23,'Updated Ncino PD'!$A:$K,6,0)=0,"",VLOOKUP(A23,'Updated Ncino PD'!$A:$K,6,0)),1-((1-AF23)*(1-AG23)*(1-AH23)))</f>
        <v>3.9166971899740277E-2</v>
      </c>
      <c r="H23" s="472">
        <f>IFERROR(IF(VLOOKUP(A23,'Updated Ncino PD'!$A:$K,7,0)=0,"",VLOOKUP(A23,'Updated Ncino PD'!$A:$K,7,0)),IFERROR(VLOOKUP(A23,'Updated Ncino PD'!A:B,2,FALSE),FLOOR(1-((1-AG23)*(1-AH23)*(1-AI23)*(1-AF23)),$R$11)))</f>
        <v>5.7600000000000005E-2</v>
      </c>
      <c r="I23" s="472">
        <f>IFERROR(IF(VLOOKUP(A23,'Updated Ncino PD'!$A:$K,8,0)=0,"",VLOOKUP(A23,'Updated Ncino PD'!$A:$K,8,0)),FLOOR(1-((1-H23)*(1-AJ23)),$R$11))</f>
        <v>8.2600000000000007E-2</v>
      </c>
      <c r="J23" s="472">
        <f>IFERROR(IF(VLOOKUP(A23,'Updated Ncino PD'!$A:$K,9,0)=0,"",VLOOKUP(A23,'Updated Ncino PD'!$A:$K,9,0)),FLOOR(1-((1-H23)*(1-AJ23)*(1-AK23)),$R$11))</f>
        <v>9.6000000000000002E-2</v>
      </c>
      <c r="K23" s="472">
        <f>IFERROR(IF(VLOOKUP(A23,'Updated Ncino PD'!$A:$K,10,0)=0,"",VLOOKUP(A23,'Updated Ncino PD'!$A:$K,10,0)),FLOOR(1-((1-H23)*(1-AJ23)*(1-AK23)*(1-AL23)),$R$11))</f>
        <v>0.1212</v>
      </c>
      <c r="L23" s="472">
        <f>IFERROR(IF(VLOOKUP(A23,'Updated Ncino PD'!$A:$K,11,0)=0,"",VLOOKUP(A23,'Updated Ncino PD'!$A:$K,11,0)),FLOOR(1-((1-H23)*(1-AJ23)*(1-AK23)*(1-AL23)*(1-AM23)),$R$11))</f>
        <v>0.14460000000000001</v>
      </c>
      <c r="M23" s="224">
        <f>VLOOKUP(A23,'Ref-Data'!$A:$F,6,FALSE)</f>
        <v>2.516084873374401</v>
      </c>
      <c r="N23" s="191">
        <f t="shared" si="3"/>
        <v>5.7600000000000005E-2</v>
      </c>
      <c r="O23" s="191">
        <f t="shared" si="4"/>
        <v>9.6000000000000002E-2</v>
      </c>
      <c r="P23" s="459" t="str">
        <f>VLOOKUP(A23,'Loan Book Summary'!C:G,5,FALSE)</f>
        <v>0014I00001tNfla</v>
      </c>
      <c r="S23" s="203"/>
      <c r="T23" s="332">
        <f>IFERROR(VLOOKUP($P23,'Model Output-LoanNameUpdate'!$A:$K,2,FALSE),CL23)</f>
        <v>5.8454999999999993E-2</v>
      </c>
      <c r="U23" s="332">
        <f>1-(1-IFERROR(VLOOKUP($P23,'Model Output-LoanNameUpdate'!$A:$K,2,FALSE),CL23))^(1/4)</f>
        <v>1.4945474977449691E-2</v>
      </c>
      <c r="V23" s="332">
        <f>IFERROR(VLOOKUP($P23,'Model Output-LoanNameUpdate'!$A:$K,3,FALSE),CM23)</f>
        <v>4.4569999999999999E-2</v>
      </c>
      <c r="W23" s="332">
        <f>IFERROR(VLOOKUP($P23,'Model Output-LoanNameUpdate'!$A:$K,4,FALSE),CN23)</f>
        <v>3.7985000000000005E-2</v>
      </c>
      <c r="X23" s="332">
        <f>IFERROR(VLOOKUP($P23,'Model Output-LoanNameUpdate'!$A:$K,5,FALSE),CO23)</f>
        <v>3.3855000000000003E-2</v>
      </c>
      <c r="Y23" s="332">
        <f>IFERROR(VLOOKUP($P23,'Model Output-LoanNameUpdate'!$A:$K,6,FALSE),CP23)</f>
        <v>3.1035E-2</v>
      </c>
      <c r="Z23" s="207">
        <f t="shared" si="5"/>
        <v>0.76</v>
      </c>
      <c r="AA23" s="208">
        <f t="shared" si="6"/>
        <v>1.1358560982861764E-2</v>
      </c>
      <c r="AB23" s="208">
        <f t="shared" si="7"/>
        <v>3.3873199999999999E-2</v>
      </c>
      <c r="AC23" s="208">
        <f t="shared" si="8"/>
        <v>2.8868600000000005E-2</v>
      </c>
      <c r="AD23" s="208">
        <f t="shared" si="9"/>
        <v>2.5729800000000004E-2</v>
      </c>
      <c r="AE23" s="208">
        <f t="shared" si="10"/>
        <v>2.3586599999999999E-2</v>
      </c>
      <c r="AF23" s="332">
        <f>NORMSDIST((_xlfn.NORM.S.INV(AA23)-(SQRT(Baseline!$AF$11)*'MacroPD-Cal'!$R$2))/SQRT(1-Baseline!$AF$11))</f>
        <v>1.0705050271156204E-2</v>
      </c>
      <c r="AG23" s="332">
        <f>NORMSDIST((_xlfn.NORM.S.INV(AA23)-(SQRT(Baseline!$AF$11)*'MacroPD-Cal'!$R$3))/SQRT(1-Baseline!$AF$11))</f>
        <v>1.366955706419421E-2</v>
      </c>
      <c r="AH23" s="332">
        <f>NORMSDIST((_xlfn.NORM.S.INV(AA23)-(SQRT(Baseline!$AF$11)*'MacroPD-Cal'!$R$4))/SQRT(1-Baseline!$AF$11))</f>
        <v>1.5309623616370021E-2</v>
      </c>
      <c r="AI23" s="332">
        <f>NORMSDIST((_xlfn.NORM.S.INV(AA23)-(SQRT(Baseline!$AF$11)*'MacroPD-Cal'!$R$5))/SQRT(1-Baseline!$AF$11))</f>
        <v>1.9278527913756883E-2</v>
      </c>
      <c r="AJ23" s="332">
        <f>NORMSDIST((_xlfn.NORM.S.INV(AB23)-(SQRT(Baseline!$AF$11)*'MacroPD-Cal'!$R$6))/SQRT(1-Baseline!$AF$11))</f>
        <v>2.654907053362196E-2</v>
      </c>
      <c r="AK23" s="332">
        <f>NORMSDIST((_xlfn.NORM.S.INV(AC23)-(SQRT(Baseline!$AF$11)*'MacroPD-Cal'!$R$7))/SQRT(1-Baseline!$AF$11))</f>
        <v>1.4608779996262033E-2</v>
      </c>
      <c r="AL23" s="332">
        <f>NORMSDIST((_xlfn.NORM.S.INV(AD23)-(SQRT(Baseline!$AF$11)*'MacroPD-Cal'!$R$8))/SQRT(1-Baseline!$AF$11))</f>
        <v>2.7870128018692111E-2</v>
      </c>
      <c r="AM23" s="332">
        <f>NORMSDIST((_xlfn.NORM.S.INV(AE23)-(SQRT(Baseline!$AF$11)*'MacroPD-Cal'!$R$9))/SQRT(1-Baseline!$AF$11))</f>
        <v>2.6684586349429315E-2</v>
      </c>
      <c r="AO23" s="355"/>
      <c r="AP23" s="355"/>
      <c r="AQ23" s="355">
        <f>NORMSDIST((_xlfn.NORM.S.INV(AA23)-(SQRT(Baseline!$AF$11)*'MacroPD-Cal'!$AP$2))/SQRT(1-Baseline!$AF$11))</f>
        <v>1.1059595996141206E-2</v>
      </c>
      <c r="AR23" s="355">
        <f>NORMSDIST((_xlfn.NORM.S.INV(AA23)-(SQRT(Baseline!$AF$11)*'MacroPD-Cal'!$AP$3))/SQRT(1-Baseline!$AF$11))</f>
        <v>1.2859293557222547E-2</v>
      </c>
      <c r="AS23" s="355">
        <f>NORMSDIST((_xlfn.NORM.S.INV(AA23)-(SQRT(Baseline!$AF$11)*'MacroPD-Cal'!$AP$4))/SQRT(1-Baseline!$AF$11))</f>
        <v>1.3108761496657413E-2</v>
      </c>
      <c r="AT23" s="355">
        <f>NORMSDIST((_xlfn.NORM.S.INV(AA23)-(SQRT(Baseline!$AF$11)*'MacroPD-Cal'!$AP$5))/SQRT(1-Baseline!$AF$11))</f>
        <v>1.6799322291759386E-2</v>
      </c>
      <c r="AU23" s="355">
        <f>NORMSDIST((_xlfn.NORM.S.INV(AB23)-(SQRT(Baseline!$AF$11)*'MacroPD-Cal'!$AP$6))/SQRT(1-Baseline!$AF$11))</f>
        <v>1.861833996780312E-2</v>
      </c>
      <c r="AV23" s="355">
        <f>NORMSDIST((_xlfn.NORM.S.INV(AC23)-(SQRT(Baseline!$AF$11)*'MacroPD-Cal'!$AP$7))/SQRT(1-Baseline!$AF$11))</f>
        <v>1.9527263551917945E-2</v>
      </c>
      <c r="AW23" s="355">
        <f>NORMSDIST((_xlfn.NORM.S.INV(AD23)-(SQRT(Baseline!$AF$11)*'MacroPD-Cal'!$AP$8))/SQRT(1-Baseline!$AF$11))</f>
        <v>2.8463153311710808E-2</v>
      </c>
      <c r="AX23" s="355">
        <f>NORMSDIST((_xlfn.NORM.S.INV(AE23)-(SQRT(Baseline!$AF$11)*'MacroPD-Cal'!$AP$9))/SQRT(1-Baseline!$AF$11))</f>
        <v>2.8966869922836942E-2</v>
      </c>
      <c r="AY23" s="355">
        <f t="shared" si="11"/>
        <v>1.1059595996141206E-2</v>
      </c>
      <c r="AZ23" s="355">
        <f t="shared" si="12"/>
        <v>2.377667096182523E-2</v>
      </c>
      <c r="BA23" s="355">
        <f t="shared" si="13"/>
        <v>3.6573749749659545E-2</v>
      </c>
      <c r="BB23" s="355">
        <f t="shared" si="14"/>
        <v>5.2700000000000004E-2</v>
      </c>
      <c r="BC23" s="355"/>
      <c r="BD23" s="355"/>
      <c r="BE23" s="355"/>
      <c r="BF23" s="355"/>
      <c r="BG23" s="355">
        <f>NORMSDIST((_xlfn.NORM.S.INV($AA23)-(SQRT(Baseline!$AF$11)*'MacroPD-Cal'!$BF$2))/SQRT(1-Baseline!$AF$11))</f>
        <v>1.0517872732318457E-2</v>
      </c>
      <c r="BH23" s="355">
        <f>NORMSDIST((_xlfn.NORM.S.INV($AA23)-(SQRT(Baseline!$AF$11)*'MacroPD-Cal'!$BF$3))/SQRT(1-Baseline!$AF$11))</f>
        <v>1.4441798740667568E-2</v>
      </c>
      <c r="BI23" s="355">
        <f>NORMSDIST((_xlfn.NORM.S.INV($AA23)-(SQRT(Baseline!$AF$11)*'MacroPD-Cal'!$BF$4))/SQRT(1-Baseline!$AF$11))</f>
        <v>2.0268945828766705E-2</v>
      </c>
      <c r="BJ23" s="355">
        <f>NORMSDIST((_xlfn.NORM.S.INV($AA23)-(SQRT(Baseline!$AF$11)*'MacroPD-Cal'!$BF$5))/SQRT(1-Baseline!$AF$11))</f>
        <v>2.5958454813359275E-2</v>
      </c>
      <c r="BK23" s="355">
        <f>NORMSDIST((_xlfn.NORM.S.INV($AB23)-(SQRT(Baseline!$AF$11)*'MacroPD-Cal'!$BF$6))/SQRT(1-Baseline!$AF$11))</f>
        <v>7.8384987940727541E-2</v>
      </c>
      <c r="BL23" s="355">
        <f>NORMSDIST((_xlfn.NORM.S.INV($AC23)-(SQRT(Baseline!$AF$11)*'MacroPD-Cal'!$BF$7))/SQRT(1-Baseline!$AF$11))</f>
        <v>8.6813876125727951E-3</v>
      </c>
      <c r="BM23" s="355">
        <f>NORMSDIST((_xlfn.NORM.S.INV($AD23)-(SQRT(Baseline!$AF$11)*'MacroPD-Cal'!$BF$8))/SQRT(1-Baseline!$AF$11))</f>
        <v>1.7617342930196459E-2</v>
      </c>
      <c r="BN23" s="355">
        <f>NORMSDIST((_xlfn.NORM.S.INV($AE23)-(SQRT(Baseline!$AF$11)*'MacroPD-Cal'!$BF$9))/SQRT(1-Baseline!$AF$11))</f>
        <v>2.3108222676167037E-2</v>
      </c>
      <c r="BO23" s="355">
        <f t="shared" si="15"/>
        <v>1.0517872732318457E-2</v>
      </c>
      <c r="BP23" s="355">
        <f t="shared" si="16"/>
        <v>2.4807774471805821E-2</v>
      </c>
      <c r="BQ23" s="355">
        <f t="shared" si="17"/>
        <v>4.4573892863671194E-2</v>
      </c>
      <c r="BR23" s="355">
        <f t="shared" si="18"/>
        <v>6.93E-2</v>
      </c>
      <c r="BS23" s="355"/>
      <c r="BT23" s="355"/>
      <c r="BU23" s="355"/>
      <c r="BV23" s="355">
        <f>NORMSDIST((_xlfn.NORM.S.INV($AA23)-(SQRT(Baseline!$AF$11)*'MacroPD-Cal'!$BU$2))/SQRT(1-Baseline!$AF$11))</f>
        <v>1.014594035482172E-2</v>
      </c>
      <c r="BW23" s="355">
        <f>NORMSDIST((_xlfn.NORM.S.INV($AA23)-(SQRT(Baseline!$AF$11)*'MacroPD-Cal'!$BU$3))/SQRT(1-Baseline!$AF$11))</f>
        <v>1.5043834840148946E-2</v>
      </c>
      <c r="BX23" s="355">
        <f>NORMSDIST((_xlfn.NORM.S.INV($AA23)-(SQRT(Baseline!$AF$11)*'MacroPD-Cal'!$BU$4))/SQRT(1-Baseline!$AF$11))</f>
        <v>1.9054234201549572E-2</v>
      </c>
      <c r="BY23" s="355">
        <f>NORMSDIST((_xlfn.NORM.S.INV($AA23)-(SQRT(Baseline!$AF$11)*'MacroPD-Cal'!$BU$5))/SQRT(1-Baseline!$AF$11))</f>
        <v>2.3251672335693373E-2</v>
      </c>
      <c r="BZ23" s="355">
        <f>NORMSDIST((_xlfn.NORM.S.INV($AB23)-(SQRT(Baseline!$AF$11)*'MacroPD-Cal'!$BU$6))/SQRT(1-Baseline!$AF$11))</f>
        <v>3.9831612563951742E-2</v>
      </c>
      <c r="CA23" s="355">
        <f>NORMSDIST((_xlfn.NORM.S.INV($AC23)-(SQRT(Baseline!$AF$11)*'MacroPD-Cal'!$BU28))/SQRT(1-Baseline!$AF$11))</f>
        <v>1.8056812892032346E-2</v>
      </c>
      <c r="CB23" s="355">
        <f>NORMSDIST((_xlfn.NORM.S.INV($AD23)-(SQRT(Baseline!$AF$11)*'MacroPD-Cal'!$BU$8))/SQRT(1-Baseline!$AF$11))</f>
        <v>2.8631808705806488E-2</v>
      </c>
      <c r="CC23" s="355">
        <f>NORMSDIST((_xlfn.NORM.S.INV($AE23)-(SQRT(Baseline!$AF$11)*'MacroPD-Cal'!$BU$9))/SQRT(1-Baseline!$AF$11))</f>
        <v>2.3606945963903246E-2</v>
      </c>
      <c r="CD23" s="355">
        <f t="shared" si="19"/>
        <v>1.014594035482172E-2</v>
      </c>
      <c r="CE23" s="355">
        <f t="shared" si="20"/>
        <v>2.5037141343974723E-2</v>
      </c>
      <c r="CF23" s="355">
        <f t="shared" si="21"/>
        <v>4.3614311990618937E-2</v>
      </c>
      <c r="CG23" s="355">
        <f t="shared" si="22"/>
        <v>6.5799999999999997E-2</v>
      </c>
      <c r="CH23" s="355"/>
      <c r="CI23" s="355"/>
      <c r="CL23" s="168"/>
      <c r="CM23" s="168"/>
      <c r="CN23" s="168"/>
      <c r="CO23" s="168"/>
      <c r="CP23" s="168"/>
      <c r="CR23" s="345">
        <f t="shared" si="23"/>
        <v>0.18585156720757298</v>
      </c>
      <c r="CS23" s="345">
        <f t="shared" si="24"/>
        <v>0.42062975763530852</v>
      </c>
      <c r="CT23" s="345">
        <f t="shared" si="25"/>
        <v>0.67998215103715753</v>
      </c>
      <c r="CU23" s="345">
        <f t="shared" si="26"/>
        <v>1</v>
      </c>
    </row>
    <row r="24" spans="1:99" s="166" customFormat="1" x14ac:dyDescent="0.25">
      <c r="A24" s="464">
        <v>1100000182</v>
      </c>
      <c r="B24" s="470">
        <f>VLOOKUP(A24,'Ref-Data'!A:I,9,FALSE)</f>
        <v>1</v>
      </c>
      <c r="C24" s="445">
        <f>IF(B24="Matured","",VLOOKUP(A24,'Adjustment Factor'!A:C,3,0))</f>
        <v>0.76</v>
      </c>
      <c r="D24" s="190">
        <f>VLOOKUP(A24,'Ref-Data'!A:C,2,FALSE)</f>
        <v>1000000</v>
      </c>
      <c r="E24" s="471">
        <f>IFERROR(IF(VLOOKUP(A24,'Updated Ncino PD'!$A:$K,4,0)=0,"",VLOOKUP(A24,'Updated Ncino PD'!$A:$K,4,0)),AF24)</f>
        <v>1.0705050271156204E-2</v>
      </c>
      <c r="F24" s="472">
        <f>IFERROR(IF(VLOOKUP(A24,'Updated Ncino PD'!$A:$K,5,0)=0,"",VLOOKUP(A24,'Updated Ncino PD'!$A:$K,5,0)),1-((1-AG24)*(1-E24)))</f>
        <v>2.4228274039793773E-2</v>
      </c>
      <c r="G24" s="472">
        <f>IFERROR(IF(VLOOKUP(A24,'Updated Ncino PD'!$A:$K,6,0)=0,"",VLOOKUP(A24,'Updated Ncino PD'!$A:$K,6,0)),1-((1-AF24)*(1-AG24)*(1-AH24)))</f>
        <v>3.9166971899740277E-2</v>
      </c>
      <c r="H24" s="472">
        <f>IFERROR(IF(VLOOKUP(A24,'Updated Ncino PD'!$A:$K,7,0)=0,"",VLOOKUP(A24,'Updated Ncino PD'!$A:$K,7,0)),IFERROR(VLOOKUP(A24,'Updated Ncino PD'!A:B,2,FALSE),FLOOR(1-((1-AG24)*(1-AH24)*(1-AI24)*(1-AF24)),$R$11)))</f>
        <v>5.7600000000000005E-2</v>
      </c>
      <c r="I24" s="472">
        <f>IFERROR(IF(VLOOKUP(A24,'Updated Ncino PD'!$A:$K,8,0)=0,"",VLOOKUP(A24,'Updated Ncino PD'!$A:$K,8,0)),FLOOR(1-((1-H24)*(1-AJ24)),$R$11))</f>
        <v>8.2600000000000007E-2</v>
      </c>
      <c r="J24" s="472">
        <f>IFERROR(IF(VLOOKUP(A24,'Updated Ncino PD'!$A:$K,9,0)=0,"",VLOOKUP(A24,'Updated Ncino PD'!$A:$K,9,0)),FLOOR(1-((1-H24)*(1-AJ24)*(1-AK24)),$R$11))</f>
        <v>9.6000000000000002E-2</v>
      </c>
      <c r="K24" s="472">
        <f>IFERROR(IF(VLOOKUP(A24,'Updated Ncino PD'!$A:$K,10,0)=0,"",VLOOKUP(A24,'Updated Ncino PD'!$A:$K,10,0)),FLOOR(1-((1-H24)*(1-AJ24)*(1-AK24)*(1-AL24)),$R$11))</f>
        <v>0.1212</v>
      </c>
      <c r="L24" s="472">
        <f>IFERROR(IF(VLOOKUP(A24,'Updated Ncino PD'!$A:$K,11,0)=0,"",VLOOKUP(A24,'Updated Ncino PD'!$A:$K,11,0)),FLOOR(1-((1-H24)*(1-AJ24)*(1-AK24)*(1-AL24)*(1-AM24)),$R$11))</f>
        <v>0.14460000000000001</v>
      </c>
      <c r="M24" s="224">
        <f>VLOOKUP(A24,'Ref-Data'!$A:$F,6,FALSE)</f>
        <v>2.516084873374401</v>
      </c>
      <c r="N24" s="191">
        <f t="shared" si="3"/>
        <v>5.7600000000000005E-2</v>
      </c>
      <c r="O24" s="191">
        <f t="shared" si="4"/>
        <v>9.6000000000000002E-2</v>
      </c>
      <c r="P24" s="459" t="str">
        <f>VLOOKUP(A24,'Loan Book Summary'!C:G,5,FALSE)</f>
        <v>0014I00001tNfla</v>
      </c>
      <c r="S24" s="203"/>
      <c r="T24" s="332">
        <f>IFERROR(VLOOKUP($P24,'Model Output-LoanNameUpdate'!$A:$K,2,FALSE),CL24)</f>
        <v>5.8454999999999993E-2</v>
      </c>
      <c r="U24" s="332">
        <f>1-(1-IFERROR(VLOOKUP($P24,'Model Output-LoanNameUpdate'!$A:$K,2,FALSE),CL24))^(1/4)</f>
        <v>1.4945474977449691E-2</v>
      </c>
      <c r="V24" s="332">
        <f>IFERROR(VLOOKUP($P24,'Model Output-LoanNameUpdate'!$A:$K,3,FALSE),CM24)</f>
        <v>4.4569999999999999E-2</v>
      </c>
      <c r="W24" s="332">
        <f>IFERROR(VLOOKUP($P24,'Model Output-LoanNameUpdate'!$A:$K,4,FALSE),CN24)</f>
        <v>3.7985000000000005E-2</v>
      </c>
      <c r="X24" s="332">
        <f>IFERROR(VLOOKUP($P24,'Model Output-LoanNameUpdate'!$A:$K,5,FALSE),CO24)</f>
        <v>3.3855000000000003E-2</v>
      </c>
      <c r="Y24" s="332">
        <f>IFERROR(VLOOKUP($P24,'Model Output-LoanNameUpdate'!$A:$K,6,FALSE),CP24)</f>
        <v>3.1035E-2</v>
      </c>
      <c r="Z24" s="207">
        <f t="shared" si="5"/>
        <v>0.76</v>
      </c>
      <c r="AA24" s="208">
        <f t="shared" si="6"/>
        <v>1.1358560982861764E-2</v>
      </c>
      <c r="AB24" s="208">
        <f t="shared" si="7"/>
        <v>3.3873199999999999E-2</v>
      </c>
      <c r="AC24" s="208">
        <f t="shared" si="8"/>
        <v>2.8868600000000005E-2</v>
      </c>
      <c r="AD24" s="208">
        <f t="shared" si="9"/>
        <v>2.5729800000000004E-2</v>
      </c>
      <c r="AE24" s="208">
        <f t="shared" si="10"/>
        <v>2.3586599999999999E-2</v>
      </c>
      <c r="AF24" s="332">
        <f>NORMSDIST((_xlfn.NORM.S.INV(AA24)-(SQRT(Baseline!$AF$11)*'MacroPD-Cal'!$R$2))/SQRT(1-Baseline!$AF$11))</f>
        <v>1.0705050271156204E-2</v>
      </c>
      <c r="AG24" s="332">
        <f>NORMSDIST((_xlfn.NORM.S.INV(AA24)-(SQRT(Baseline!$AF$11)*'MacroPD-Cal'!$R$3))/SQRT(1-Baseline!$AF$11))</f>
        <v>1.366955706419421E-2</v>
      </c>
      <c r="AH24" s="332">
        <f>NORMSDIST((_xlfn.NORM.S.INV(AA24)-(SQRT(Baseline!$AF$11)*'MacroPD-Cal'!$R$4))/SQRT(1-Baseline!$AF$11))</f>
        <v>1.5309623616370021E-2</v>
      </c>
      <c r="AI24" s="332">
        <f>NORMSDIST((_xlfn.NORM.S.INV(AA24)-(SQRT(Baseline!$AF$11)*'MacroPD-Cal'!$R$5))/SQRT(1-Baseline!$AF$11))</f>
        <v>1.9278527913756883E-2</v>
      </c>
      <c r="AJ24" s="332">
        <f>NORMSDIST((_xlfn.NORM.S.INV(AB24)-(SQRT(Baseline!$AF$11)*'MacroPD-Cal'!$R$6))/SQRT(1-Baseline!$AF$11))</f>
        <v>2.654907053362196E-2</v>
      </c>
      <c r="AK24" s="332">
        <f>NORMSDIST((_xlfn.NORM.S.INV(AC24)-(SQRT(Baseline!$AF$11)*'MacroPD-Cal'!$R$7))/SQRT(1-Baseline!$AF$11))</f>
        <v>1.4608779996262033E-2</v>
      </c>
      <c r="AL24" s="332">
        <f>NORMSDIST((_xlfn.NORM.S.INV(AD24)-(SQRT(Baseline!$AF$11)*'MacroPD-Cal'!$R$8))/SQRT(1-Baseline!$AF$11))</f>
        <v>2.7870128018692111E-2</v>
      </c>
      <c r="AM24" s="332">
        <f>NORMSDIST((_xlfn.NORM.S.INV(AE24)-(SQRT(Baseline!$AF$11)*'MacroPD-Cal'!$R$9))/SQRT(1-Baseline!$AF$11))</f>
        <v>2.6684586349429315E-2</v>
      </c>
      <c r="AO24" s="355"/>
      <c r="AP24" s="355"/>
      <c r="AQ24" s="355">
        <f>NORMSDIST((_xlfn.NORM.S.INV(AA24)-(SQRT(Baseline!$AF$11)*'MacroPD-Cal'!$AP$2))/SQRT(1-Baseline!$AF$11))</f>
        <v>1.1059595996141206E-2</v>
      </c>
      <c r="AR24" s="355">
        <f>NORMSDIST((_xlfn.NORM.S.INV(AA24)-(SQRT(Baseline!$AF$11)*'MacroPD-Cal'!$AP$3))/SQRT(1-Baseline!$AF$11))</f>
        <v>1.2859293557222547E-2</v>
      </c>
      <c r="AS24" s="355">
        <f>NORMSDIST((_xlfn.NORM.S.INV(AA24)-(SQRT(Baseline!$AF$11)*'MacroPD-Cal'!$AP$4))/SQRT(1-Baseline!$AF$11))</f>
        <v>1.3108761496657413E-2</v>
      </c>
      <c r="AT24" s="355">
        <f>NORMSDIST((_xlfn.NORM.S.INV(AA24)-(SQRT(Baseline!$AF$11)*'MacroPD-Cal'!$AP$5))/SQRT(1-Baseline!$AF$11))</f>
        <v>1.6799322291759386E-2</v>
      </c>
      <c r="AU24" s="355">
        <f>NORMSDIST((_xlfn.NORM.S.INV(AB24)-(SQRT(Baseline!$AF$11)*'MacroPD-Cal'!$AP$6))/SQRT(1-Baseline!$AF$11))</f>
        <v>1.861833996780312E-2</v>
      </c>
      <c r="AV24" s="355">
        <f>NORMSDIST((_xlfn.NORM.S.INV(AC24)-(SQRT(Baseline!$AF$11)*'MacroPD-Cal'!$AP$7))/SQRT(1-Baseline!$AF$11))</f>
        <v>1.9527263551917945E-2</v>
      </c>
      <c r="AW24" s="355">
        <f>NORMSDIST((_xlfn.NORM.S.INV(AD24)-(SQRT(Baseline!$AF$11)*'MacroPD-Cal'!$AP$8))/SQRT(1-Baseline!$AF$11))</f>
        <v>2.8463153311710808E-2</v>
      </c>
      <c r="AX24" s="355">
        <f>NORMSDIST((_xlfn.NORM.S.INV(AE24)-(SQRT(Baseline!$AF$11)*'MacroPD-Cal'!$AP$9))/SQRT(1-Baseline!$AF$11))</f>
        <v>2.8966869922836942E-2</v>
      </c>
      <c r="AY24" s="355">
        <f t="shared" si="11"/>
        <v>1.1059595996141206E-2</v>
      </c>
      <c r="AZ24" s="355">
        <f t="shared" si="12"/>
        <v>2.377667096182523E-2</v>
      </c>
      <c r="BA24" s="355">
        <f t="shared" si="13"/>
        <v>3.6573749749659545E-2</v>
      </c>
      <c r="BB24" s="355">
        <f t="shared" si="14"/>
        <v>5.2700000000000004E-2</v>
      </c>
      <c r="BC24" s="355"/>
      <c r="BD24" s="355"/>
      <c r="BE24" s="355"/>
      <c r="BF24" s="355"/>
      <c r="BG24" s="355">
        <f>NORMSDIST((_xlfn.NORM.S.INV($AA24)-(SQRT(Baseline!$AF$11)*'MacroPD-Cal'!$BF$2))/SQRT(1-Baseline!$AF$11))</f>
        <v>1.0517872732318457E-2</v>
      </c>
      <c r="BH24" s="355">
        <f>NORMSDIST((_xlfn.NORM.S.INV($AA24)-(SQRT(Baseline!$AF$11)*'MacroPD-Cal'!$BF$3))/SQRT(1-Baseline!$AF$11))</f>
        <v>1.4441798740667568E-2</v>
      </c>
      <c r="BI24" s="355">
        <f>NORMSDIST((_xlfn.NORM.S.INV($AA24)-(SQRT(Baseline!$AF$11)*'MacroPD-Cal'!$BF$4))/SQRT(1-Baseline!$AF$11))</f>
        <v>2.0268945828766705E-2</v>
      </c>
      <c r="BJ24" s="355">
        <f>NORMSDIST((_xlfn.NORM.S.INV($AA24)-(SQRT(Baseline!$AF$11)*'MacroPD-Cal'!$BF$5))/SQRT(1-Baseline!$AF$11))</f>
        <v>2.5958454813359275E-2</v>
      </c>
      <c r="BK24" s="355">
        <f>NORMSDIST((_xlfn.NORM.S.INV($AB24)-(SQRT(Baseline!$AF$11)*'MacroPD-Cal'!$BF$6))/SQRT(1-Baseline!$AF$11))</f>
        <v>7.8384987940727541E-2</v>
      </c>
      <c r="BL24" s="355">
        <f>NORMSDIST((_xlfn.NORM.S.INV($AC24)-(SQRT(Baseline!$AF$11)*'MacroPD-Cal'!$BF$7))/SQRT(1-Baseline!$AF$11))</f>
        <v>8.6813876125727951E-3</v>
      </c>
      <c r="BM24" s="355">
        <f>NORMSDIST((_xlfn.NORM.S.INV($AD24)-(SQRT(Baseline!$AF$11)*'MacroPD-Cal'!$BF$8))/SQRT(1-Baseline!$AF$11))</f>
        <v>1.7617342930196459E-2</v>
      </c>
      <c r="BN24" s="355">
        <f>NORMSDIST((_xlfn.NORM.S.INV($AE24)-(SQRT(Baseline!$AF$11)*'MacroPD-Cal'!$BF$9))/SQRT(1-Baseline!$AF$11))</f>
        <v>2.3108222676167037E-2</v>
      </c>
      <c r="BO24" s="355">
        <f t="shared" si="15"/>
        <v>1.0517872732318457E-2</v>
      </c>
      <c r="BP24" s="355">
        <f t="shared" si="16"/>
        <v>2.4807774471805821E-2</v>
      </c>
      <c r="BQ24" s="355">
        <f t="shared" si="17"/>
        <v>4.4573892863671194E-2</v>
      </c>
      <c r="BR24" s="355">
        <f t="shared" si="18"/>
        <v>6.93E-2</v>
      </c>
      <c r="BS24" s="355"/>
      <c r="BT24" s="355"/>
      <c r="BU24" s="355"/>
      <c r="BV24" s="355">
        <f>NORMSDIST((_xlfn.NORM.S.INV($AA24)-(SQRT(Baseline!$AF$11)*'MacroPD-Cal'!$BU$2))/SQRT(1-Baseline!$AF$11))</f>
        <v>1.014594035482172E-2</v>
      </c>
      <c r="BW24" s="355">
        <f>NORMSDIST((_xlfn.NORM.S.INV($AA24)-(SQRT(Baseline!$AF$11)*'MacroPD-Cal'!$BU$3))/SQRT(1-Baseline!$AF$11))</f>
        <v>1.5043834840148946E-2</v>
      </c>
      <c r="BX24" s="355">
        <f>NORMSDIST((_xlfn.NORM.S.INV($AA24)-(SQRT(Baseline!$AF$11)*'MacroPD-Cal'!$BU$4))/SQRT(1-Baseline!$AF$11))</f>
        <v>1.9054234201549572E-2</v>
      </c>
      <c r="BY24" s="355">
        <f>NORMSDIST((_xlfn.NORM.S.INV($AA24)-(SQRT(Baseline!$AF$11)*'MacroPD-Cal'!$BU$5))/SQRT(1-Baseline!$AF$11))</f>
        <v>2.3251672335693373E-2</v>
      </c>
      <c r="BZ24" s="355">
        <f>NORMSDIST((_xlfn.NORM.S.INV($AB24)-(SQRT(Baseline!$AF$11)*'MacroPD-Cal'!$BU$6))/SQRT(1-Baseline!$AF$11))</f>
        <v>3.9831612563951742E-2</v>
      </c>
      <c r="CA24" s="355">
        <f>NORMSDIST((_xlfn.NORM.S.INV($AC24)-(SQRT(Baseline!$AF$11)*'MacroPD-Cal'!$BU29))/SQRT(1-Baseline!$AF$11))</f>
        <v>1.8056812892032346E-2</v>
      </c>
      <c r="CB24" s="355">
        <f>NORMSDIST((_xlfn.NORM.S.INV($AD24)-(SQRT(Baseline!$AF$11)*'MacroPD-Cal'!$BU$8))/SQRT(1-Baseline!$AF$11))</f>
        <v>2.8631808705806488E-2</v>
      </c>
      <c r="CC24" s="355">
        <f>NORMSDIST((_xlfn.NORM.S.INV($AE24)-(SQRT(Baseline!$AF$11)*'MacroPD-Cal'!$BU$9))/SQRT(1-Baseline!$AF$11))</f>
        <v>2.3606945963903246E-2</v>
      </c>
      <c r="CD24" s="355">
        <f t="shared" si="19"/>
        <v>1.014594035482172E-2</v>
      </c>
      <c r="CE24" s="355">
        <f t="shared" si="20"/>
        <v>2.5037141343974723E-2</v>
      </c>
      <c r="CF24" s="355">
        <f t="shared" si="21"/>
        <v>4.3614311990618937E-2</v>
      </c>
      <c r="CG24" s="355">
        <f t="shared" si="22"/>
        <v>6.5799999999999997E-2</v>
      </c>
      <c r="CH24" s="355"/>
      <c r="CI24" s="355"/>
      <c r="CL24" s="168"/>
      <c r="CM24" s="168"/>
      <c r="CN24" s="168"/>
      <c r="CO24" s="168"/>
      <c r="CP24" s="168"/>
      <c r="CR24" s="345">
        <f t="shared" si="23"/>
        <v>0.18585156720757298</v>
      </c>
      <c r="CS24" s="345">
        <f t="shared" si="24"/>
        <v>0.42062975763530852</v>
      </c>
      <c r="CT24" s="345">
        <f t="shared" si="25"/>
        <v>0.67998215103715753</v>
      </c>
      <c r="CU24" s="345">
        <f t="shared" si="26"/>
        <v>1</v>
      </c>
    </row>
    <row r="25" spans="1:99" s="166" customFormat="1" x14ac:dyDescent="0.25">
      <c r="A25" s="464">
        <v>1100000130</v>
      </c>
      <c r="B25" s="470">
        <f>VLOOKUP(A25,'Ref-Data'!A:I,9,FALSE)</f>
        <v>1</v>
      </c>
      <c r="C25" s="445">
        <f>IF(B25="Matured","",VLOOKUP(A25,'Adjustment Factor'!A:C,3,0))</f>
        <v>2.6166702291271653</v>
      </c>
      <c r="D25" s="190">
        <f>VLOOKUP(A25,'Ref-Data'!A:C,2,FALSE)</f>
        <v>2306250</v>
      </c>
      <c r="E25" s="471">
        <f>IFERROR(IF(VLOOKUP(A25,'Updated Ncino PD'!$A:$K,4,0)=0,"",VLOOKUP(A25,'Updated Ncino PD'!$A:$K,4,0)),AF25)</f>
        <v>1.000614881276481E-3</v>
      </c>
      <c r="F25" s="472">
        <f>IFERROR(IF(VLOOKUP(A25,'Updated Ncino PD'!$A:$K,5,0)=0,"",VLOOKUP(A25,'Updated Ncino PD'!$A:$K,5,0)),1-((1-AG25)*(1-E25)))</f>
        <v>2.3668983149693901E-3</v>
      </c>
      <c r="G25" s="472">
        <f>IFERROR(IF(VLOOKUP(A25,'Updated Ncino PD'!$A:$K,6,0)=0,"",VLOOKUP(A25,'Updated Ncino PD'!$A:$K,6,0)),1-((1-AF25)*(1-AG25)*(1-AH25)))</f>
        <v>3.9450311402998706E-3</v>
      </c>
      <c r="H25" s="472">
        <f>IFERROR(IF(VLOOKUP(A25,'Updated Ncino PD'!$A:$K,7,0)=0,"",VLOOKUP(A25,'Updated Ncino PD'!$A:$K,7,0)),IFERROR(VLOOKUP(A25,'Updated Ncino PD'!A:B,2,FALSE),FLOOR(1-((1-AG25)*(1-AH25)*(1-AI25)*(1-AF25)),$R$11)))</f>
        <v>6.0000000000000001E-3</v>
      </c>
      <c r="I25" s="472">
        <f>IFERROR(IF(VLOOKUP(A25,'Updated Ncino PD'!$A:$K,8,0)=0,"",VLOOKUP(A25,'Updated Ncino PD'!$A:$K,8,0)),FLOOR(1-((1-H25)*(1-AJ25)),$R$11))</f>
        <v>9.300000000000001E-3</v>
      </c>
      <c r="J25" s="472">
        <f>IFERROR(IF(VLOOKUP(A25,'Updated Ncino PD'!$A:$K,9,0)=0,"",VLOOKUP(A25,'Updated Ncino PD'!$A:$K,9,0)),FLOOR(1-((1-H25)*(1-AJ25)*(1-AK25)),$R$11))</f>
        <v>1.15E-2</v>
      </c>
      <c r="K25" s="472">
        <f>IFERROR(IF(VLOOKUP(A25,'Updated Ncino PD'!$A:$K,10,0)=0,"",VLOOKUP(A25,'Updated Ncino PD'!$A:$K,10,0)),FLOOR(1-((1-H25)*(1-AJ25)*(1-AK25)*(1-AL25)),$R$11))</f>
        <v>1.7000000000000001E-2</v>
      </c>
      <c r="L25" s="472">
        <f>IFERROR(IF(VLOOKUP(A25,'Updated Ncino PD'!$A:$K,11,0)=0,"",VLOOKUP(A25,'Updated Ncino PD'!$A:$K,11,0)),FLOOR(1-((1-H25)*(1-AJ25)*(1-AK25)*(1-AL25)*(1-AM25)),$R$11))</f>
        <v>2.3E-2</v>
      </c>
      <c r="M25" s="224">
        <f>VLOOKUP(A25,'Ref-Data'!$A:$F,6,FALSE)</f>
        <v>5.4757015742642023E-2</v>
      </c>
      <c r="N25" s="191">
        <f t="shared" si="3"/>
        <v>3.2947739147037858E-4</v>
      </c>
      <c r="O25" s="191">
        <f t="shared" si="4"/>
        <v>6.0000000000000001E-3</v>
      </c>
      <c r="P25" s="459" t="str">
        <f>VLOOKUP(A25,'Loan Book Summary'!C:G,5,FALSE)</f>
        <v>0014I00001oqqTN</v>
      </c>
      <c r="S25" s="203"/>
      <c r="T25" s="332">
        <f>IFERROR(VLOOKUP($P25,'Model Output-LoanNameUpdate'!$A:$K,2,FALSE),CL25)</f>
        <v>2.1099999999999999E-3</v>
      </c>
      <c r="U25" s="332">
        <f>1-(1-IFERROR(VLOOKUP($P25,'Model Output-LoanNameUpdate'!$A:$K,2,FALSE),CL25))^(1/4)</f>
        <v>5.279178988519817E-4</v>
      </c>
      <c r="V25" s="332">
        <f>IFERROR(VLOOKUP($P25,'Model Output-LoanNameUpdate'!$A:$K,3,FALSE),CM25)</f>
        <v>2.2099999999999997E-3</v>
      </c>
      <c r="W25" s="332">
        <f>IFERROR(VLOOKUP($P25,'Model Output-LoanNameUpdate'!$A:$K,4,FALSE),CN25)</f>
        <v>2.3049999999999998E-3</v>
      </c>
      <c r="X25" s="332">
        <f>IFERROR(VLOOKUP($P25,'Model Output-LoanNameUpdate'!$A:$K,5,FALSE),CO25)</f>
        <v>2.3049999999999998E-3</v>
      </c>
      <c r="Y25" s="332">
        <f>IFERROR(VLOOKUP($P25,'Model Output-LoanNameUpdate'!$A:$K,6,FALSE),CP25)</f>
        <v>2.3399999999999996E-3</v>
      </c>
      <c r="Z25" s="207">
        <f t="shared" si="5"/>
        <v>2.6166702291271653</v>
      </c>
      <c r="AA25" s="208">
        <f t="shared" si="6"/>
        <v>1.3813870493493466E-3</v>
      </c>
      <c r="AB25" s="208">
        <f t="shared" si="7"/>
        <v>5.7828412063710343E-3</v>
      </c>
      <c r="AC25" s="208">
        <f t="shared" si="8"/>
        <v>6.0314248781381157E-3</v>
      </c>
      <c r="AD25" s="208">
        <f t="shared" si="9"/>
        <v>6.0314248781381157E-3</v>
      </c>
      <c r="AE25" s="208">
        <f t="shared" si="10"/>
        <v>6.1230083361575654E-3</v>
      </c>
      <c r="AF25" s="332">
        <f>NORMSDIST((_xlfn.NORM.S.INV(AA25)-(SQRT(Baseline!$AF$11)*'MacroPD-Cal'!$R$2))/SQRT(1-Baseline!$AF$11))</f>
        <v>1.000614881276481E-3</v>
      </c>
      <c r="AG25" s="332">
        <f>NORMSDIST((_xlfn.NORM.S.INV(AA25)-(SQRT(Baseline!$AF$11)*'MacroPD-Cal'!$R$3))/SQRT(1-Baseline!$AF$11))</f>
        <v>1.3676519265631247E-3</v>
      </c>
      <c r="AH25" s="332">
        <f>NORMSDIST((_xlfn.NORM.S.INV(AA25)-(SQRT(Baseline!$AF$11)*'MacroPD-Cal'!$R$4))/SQRT(1-Baseline!$AF$11))</f>
        <v>1.5818769672587556E-3</v>
      </c>
      <c r="AI25" s="332">
        <f>NORMSDIST((_xlfn.NORM.S.INV(AA25)-(SQRT(Baseline!$AF$11)*'MacroPD-Cal'!$R$5))/SQRT(1-Baseline!$AF$11))</f>
        <v>2.1298594052869147E-3</v>
      </c>
      <c r="AJ25" s="332">
        <f>NORMSDIST((_xlfn.NORM.S.INV(AB25)-(SQRT(Baseline!$AF$11)*'MacroPD-Cal'!$R$6))/SQRT(1-Baseline!$AF$11))</f>
        <v>3.4109505077440402E-3</v>
      </c>
      <c r="AK25" s="332">
        <f>NORMSDIST((_xlfn.NORM.S.INV(AC25)-(SQRT(Baseline!$AF$11)*'MacroPD-Cal'!$R$7))/SQRT(1-Baseline!$AF$11))</f>
        <v>2.1379528003457717E-3</v>
      </c>
      <c r="AL25" s="332">
        <f>NORMSDIST((_xlfn.NORM.S.INV(AD25)-(SQRT(Baseline!$AF$11)*'MacroPD-Cal'!$R$8))/SQRT(1-Baseline!$AF$11))</f>
        <v>5.6315274546579986E-3</v>
      </c>
      <c r="AM25" s="332">
        <f>NORMSDIST((_xlfn.NORM.S.INV(AE25)-(SQRT(Baseline!$AF$11)*'MacroPD-Cal'!$R$9))/SQRT(1-Baseline!$AF$11))</f>
        <v>6.0979858140067372E-3</v>
      </c>
      <c r="AO25" s="355"/>
      <c r="AP25" s="355"/>
      <c r="AQ25" s="355">
        <f>NORMSDIST((_xlfn.NORM.S.INV(AA25)-(SQRT(Baseline!$AF$11)*'MacroPD-Cal'!$AP$2))/SQRT(1-Baseline!$AF$11))</f>
        <v>1.0430547136893269E-3</v>
      </c>
      <c r="AR25" s="355">
        <f>NORMSDIST((_xlfn.NORM.S.INV(AA25)-(SQRT(Baseline!$AF$11)*'MacroPD-Cal'!$AP$3))/SQRT(1-Baseline!$AF$11))</f>
        <v>1.2646613332946582E-3</v>
      </c>
      <c r="AS25" s="355">
        <f>NORMSDIST((_xlfn.NORM.S.INV(AA25)-(SQRT(Baseline!$AF$11)*'MacroPD-Cal'!$AP$4))/SQRT(1-Baseline!$AF$11))</f>
        <v>1.2961640701030055E-3</v>
      </c>
      <c r="AT25" s="355">
        <f>NORMSDIST((_xlfn.NORM.S.INV(AA25)-(SQRT(Baseline!$AF$11)*'MacroPD-Cal'!$AP$5))/SQRT(1-Baseline!$AF$11))</f>
        <v>1.7828228997280838E-3</v>
      </c>
      <c r="AU25" s="355">
        <f>NORMSDIST((_xlfn.NORM.S.INV(AB25)-(SQRT(Baseline!$AF$11)*'MacroPD-Cal'!$AP$6))/SQRT(1-Baseline!$AF$11))</f>
        <v>2.1555495978250331E-3</v>
      </c>
      <c r="AV25" s="355">
        <f>NORMSDIST((_xlfn.NORM.S.INV(AC25)-(SQRT(Baseline!$AF$11)*'MacroPD-Cal'!$AP$7))/SQRT(1-Baseline!$AF$11))</f>
        <v>3.0707520580091161E-3</v>
      </c>
      <c r="AW25" s="355">
        <f>NORMSDIST((_xlfn.NORM.S.INV(AD25)-(SQRT(Baseline!$AF$11)*'MacroPD-Cal'!$AP$8))/SQRT(1-Baseline!$AF$11))</f>
        <v>5.7808837266581301E-3</v>
      </c>
      <c r="AX25" s="355">
        <f>NORMSDIST((_xlfn.NORM.S.INV(AE25)-(SQRT(Baseline!$AF$11)*'MacroPD-Cal'!$AP$9))/SQRT(1-Baseline!$AF$11))</f>
        <v>6.7424446240204865E-3</v>
      </c>
      <c r="AY25" s="355">
        <f t="shared" si="11"/>
        <v>1.0430547136893269E-3</v>
      </c>
      <c r="AZ25" s="355">
        <f t="shared" si="12"/>
        <v>2.3063969360190839E-3</v>
      </c>
      <c r="BA25" s="355">
        <f t="shared" si="13"/>
        <v>3.5995715372822978E-3</v>
      </c>
      <c r="BB25" s="355">
        <f t="shared" si="14"/>
        <v>5.3E-3</v>
      </c>
      <c r="BC25" s="355"/>
      <c r="BD25" s="355"/>
      <c r="BE25" s="355"/>
      <c r="BF25" s="355"/>
      <c r="BG25" s="355">
        <f>NORMSDIST((_xlfn.NORM.S.INV($AA25)-(SQRT(Baseline!$AF$11)*'MacroPD-Cal'!$BF$2))/SQRT(1-Baseline!$AF$11))</f>
        <v>9.7837741386644687E-4</v>
      </c>
      <c r="BH25" s="355">
        <f>NORMSDIST((_xlfn.NORM.S.INV($AA25)-(SQRT(Baseline!$AF$11)*'MacroPD-Cal'!$BF$3))/SQRT(1-Baseline!$AF$11))</f>
        <v>1.467581134505456E-3</v>
      </c>
      <c r="BI25" s="355">
        <f>NORMSDIST((_xlfn.NORM.S.INV($AA25)-(SQRT(Baseline!$AF$11)*'MacroPD-Cal'!$BF$4))/SQRT(1-Baseline!$AF$11))</f>
        <v>2.272690690740349E-3</v>
      </c>
      <c r="BJ25" s="355">
        <f>NORMSDIST((_xlfn.NORM.S.INV($AA25)-(SQRT(Baseline!$AF$11)*'MacroPD-Cal'!$BF$5))/SQRT(1-Baseline!$AF$11))</f>
        <v>3.1361263258887569E-3</v>
      </c>
      <c r="BK25" s="355">
        <f>NORMSDIST((_xlfn.NORM.S.INV($AB25)-(SQRT(Baseline!$AF$11)*'MacroPD-Cal'!$BF$6))/SQRT(1-Baseline!$AF$11))</f>
        <v>1.4359861767818158E-2</v>
      </c>
      <c r="BL25" s="355">
        <f>NORMSDIST((_xlfn.NORM.S.INV($AC25)-(SQRT(Baseline!$AF$11)*'MacroPD-Cal'!$BF$7))/SQRT(1-Baseline!$AF$11))</f>
        <v>1.1236098795540902E-3</v>
      </c>
      <c r="BM25" s="355">
        <f>NORMSDIST((_xlfn.NORM.S.INV($AD25)-(SQRT(Baseline!$AF$11)*'MacroPD-Cal'!$BF$8))/SQRT(1-Baseline!$AF$11))</f>
        <v>3.1954617525155314E-3</v>
      </c>
      <c r="BN25" s="355">
        <f>NORMSDIST((_xlfn.NORM.S.INV($AE25)-(SQRT(Baseline!$AF$11)*'MacroPD-Cal'!$BF$9))/SQRT(1-Baseline!$AF$11))</f>
        <v>5.1156538299317877E-3</v>
      </c>
      <c r="BO25" s="355">
        <f t="shared" si="15"/>
        <v>9.7837741386644687E-4</v>
      </c>
      <c r="BP25" s="355">
        <f t="shared" si="16"/>
        <v>2.4445227001368419E-3</v>
      </c>
      <c r="BQ25" s="355">
        <f t="shared" si="17"/>
        <v>4.7116577468933052E-3</v>
      </c>
      <c r="BR25" s="355">
        <f t="shared" si="18"/>
        <v>7.8000000000000005E-3</v>
      </c>
      <c r="BS25" s="355"/>
      <c r="BT25" s="355"/>
      <c r="BU25" s="355"/>
      <c r="BV25" s="355">
        <f>NORMSDIST((_xlfn.NORM.S.INV($AA25)-(SQRT(Baseline!$AF$11)*'MacroPD-Cal'!$BU$2))/SQRT(1-Baseline!$AF$11))</f>
        <v>9.3454068123255223E-4</v>
      </c>
      <c r="BW25" s="355">
        <f>NORMSDIST((_xlfn.NORM.S.INV($AA25)-(SQRT(Baseline!$AF$11)*'MacroPD-Cal'!$BU$3))/SQRT(1-Baseline!$AF$11))</f>
        <v>1.5466507934251111E-3</v>
      </c>
      <c r="BX25" s="355">
        <f>NORMSDIST((_xlfn.NORM.S.INV($AA25)-(SQRT(Baseline!$AF$11)*'MacroPD-Cal'!$BU$4))/SQRT(1-Baseline!$AF$11))</f>
        <v>2.0978388047309185E-3</v>
      </c>
      <c r="BY25" s="355">
        <f>NORMSDIST((_xlfn.NORM.S.INV($AA25)-(SQRT(Baseline!$AF$11)*'MacroPD-Cal'!$BU$5))/SQRT(1-Baseline!$AF$11))</f>
        <v>2.7165044736572864E-3</v>
      </c>
      <c r="BZ25" s="355">
        <f>NORMSDIST((_xlfn.NORM.S.INV($AB25)-(SQRT(Baseline!$AF$11)*'MacroPD-Cal'!$BU$6))/SQRT(1-Baseline!$AF$11))</f>
        <v>5.8024358585000053E-3</v>
      </c>
      <c r="CA25" s="355">
        <f>NORMSDIST((_xlfn.NORM.S.INV($AC25)-(SQRT(Baseline!$AF$11)*'MacroPD-Cal'!$BU30))/SQRT(1-Baseline!$AF$11))</f>
        <v>2.7842569542571301E-3</v>
      </c>
      <c r="CB25" s="355">
        <f>NORMSDIST((_xlfn.NORM.S.INV($AD25)-(SQRT(Baseline!$AF$11)*'MacroPD-Cal'!$BU$8))/SQRT(1-Baseline!$AF$11))</f>
        <v>5.8235155986199466E-3</v>
      </c>
      <c r="CC25" s="355">
        <f>NORMSDIST((_xlfn.NORM.S.INV($AE25)-(SQRT(Baseline!$AF$11)*'MacroPD-Cal'!$BU$9))/SQRT(1-Baseline!$AF$11))</f>
        <v>5.2505375481756286E-3</v>
      </c>
      <c r="CD25" s="355">
        <f t="shared" si="19"/>
        <v>9.3454068123255223E-4</v>
      </c>
      <c r="CE25" s="355">
        <f t="shared" si="20"/>
        <v>2.479746066571531E-3</v>
      </c>
      <c r="CF25" s="355">
        <f t="shared" si="21"/>
        <v>4.5723827637781378E-3</v>
      </c>
      <c r="CG25" s="355">
        <f t="shared" si="22"/>
        <v>7.2000000000000007E-3</v>
      </c>
      <c r="CH25" s="355"/>
      <c r="CI25" s="355"/>
      <c r="CL25" s="168"/>
      <c r="CM25" s="168"/>
      <c r="CN25" s="168"/>
      <c r="CO25" s="168"/>
      <c r="CP25" s="168"/>
      <c r="CR25" s="345">
        <f t="shared" si="23"/>
        <v>0.16676914687941349</v>
      </c>
      <c r="CS25" s="345">
        <f t="shared" si="24"/>
        <v>0.39448305249489835</v>
      </c>
      <c r="CT25" s="345">
        <f t="shared" si="25"/>
        <v>0.65750519004997843</v>
      </c>
      <c r="CU25" s="345">
        <f t="shared" si="26"/>
        <v>1</v>
      </c>
    </row>
    <row r="26" spans="1:99" s="166" customFormat="1" x14ac:dyDescent="0.25">
      <c r="A26" s="464">
        <v>1100000190</v>
      </c>
      <c r="B26" s="470">
        <f>VLOOKUP(A26,'Ref-Data'!A:I,9,FALSE)</f>
        <v>1</v>
      </c>
      <c r="C26" s="445">
        <f>IF(B26="Matured","",VLOOKUP(A26,'Adjustment Factor'!A:C,3,0))</f>
        <v>0.97415395776533398</v>
      </c>
      <c r="D26" s="190">
        <f>VLOOKUP(A26,'Ref-Data'!A:C,2,FALSE)</f>
        <v>16000000</v>
      </c>
      <c r="E26" s="471">
        <f>IFERROR(IF(VLOOKUP(A26,'Updated Ncino PD'!$A:$K,4,0)=0,"",VLOOKUP(A26,'Updated Ncino PD'!$A:$K,4,0)),AF26)</f>
        <v>3.8474532564693634E-3</v>
      </c>
      <c r="F26" s="472">
        <f>IFERROR(IF(VLOOKUP(A26,'Updated Ncino PD'!$A:$K,5,0)=0,"",VLOOKUP(A26,'Updated Ncino PD'!$A:$K,5,0)),1-((1-AG26)*(1-E26)))</f>
        <v>8.8961754244754054E-3</v>
      </c>
      <c r="G26" s="472">
        <f>IFERROR(IF(VLOOKUP(A26,'Updated Ncino PD'!$A:$K,6,0)=0,"",VLOOKUP(A26,'Updated Ncino PD'!$A:$K,6,0)),1-((1-AF26)*(1-AG26)*(1-AH26)))</f>
        <v>1.4605456369044645E-2</v>
      </c>
      <c r="H26" s="472">
        <f>IFERROR(IF(VLOOKUP(A26,'Updated Ncino PD'!$A:$K,7,0)=0,"",VLOOKUP(A26,'Updated Ncino PD'!$A:$K,7,0)),IFERROR(VLOOKUP(A26,'Updated Ncino PD'!A:B,2,FALSE),FLOOR(1-((1-AG26)*(1-AH26)*(1-AI26)*(1-AF26)),$R$11)))</f>
        <v>2.1899999999999999E-2</v>
      </c>
      <c r="I26" s="472">
        <f>IFERROR(IF(VLOOKUP(A26,'Updated Ncino PD'!$A:$K,8,0)=0,"",VLOOKUP(A26,'Updated Ncino PD'!$A:$K,8,0)),FLOOR(1-((1-H26)*(1-AJ26)),$R$11))</f>
        <v>3.1800000000000002E-2</v>
      </c>
      <c r="J26" s="472">
        <f>IFERROR(IF(VLOOKUP(A26,'Updated Ncino PD'!$A:$K,9,0)=0,"",VLOOKUP(A26,'Updated Ncino PD'!$A:$K,9,0)),FLOOR(1-((1-H26)*(1-AJ26)*(1-AK26)),$R$11))</f>
        <v>3.7200000000000004E-2</v>
      </c>
      <c r="K26" s="472">
        <f>IFERROR(IF(VLOOKUP(A26,'Updated Ncino PD'!$A:$K,10,0)=0,"",VLOOKUP(A26,'Updated Ncino PD'!$A:$K,10,0)),FLOOR(1-((1-H26)*(1-AJ26)*(1-AK26)*(1-AL26)),$R$11))</f>
        <v>4.8899999999999999E-2</v>
      </c>
      <c r="L26" s="472">
        <f>IFERROR(IF(VLOOKUP(A26,'Updated Ncino PD'!$A:$K,11,0)=0,"",VLOOKUP(A26,'Updated Ncino PD'!$A:$K,11,0)),FLOOR(1-((1-H26)*(1-AJ26)*(1-AK26)*(1-AL26)*(1-AM26)),$R$11))</f>
        <v>6.0299999999999999E-2</v>
      </c>
      <c r="M26" s="224">
        <f>VLOOKUP(A26,'Ref-Data'!$A:$F,6,FALSE)</f>
        <v>0.75564681724845995</v>
      </c>
      <c r="N26" s="191">
        <f t="shared" si="3"/>
        <v>1.6593351253015531E-2</v>
      </c>
      <c r="O26" s="191">
        <f t="shared" si="4"/>
        <v>2.1899999999999999E-2</v>
      </c>
      <c r="P26" s="459" t="str">
        <f>VLOOKUP(A26,'Loan Book Summary'!C:G,5,FALSE)</f>
        <v>0014I00001wCsHB</v>
      </c>
      <c r="S26" s="203"/>
      <c r="T26" s="332">
        <f>IFERROR(VLOOKUP($P26,'Model Output-LoanNameUpdate'!$A:$K,2,FALSE),CL26)</f>
        <v>1.8554999999999999E-2</v>
      </c>
      <c r="U26" s="332">
        <f>1-(1-IFERROR(VLOOKUP($P26,'Model Output-LoanNameUpdate'!$A:$K,2,FALSE),CL26))^(1/4)</f>
        <v>4.6713808801021051E-3</v>
      </c>
      <c r="V26" s="332">
        <f>IFERROR(VLOOKUP($P26,'Model Output-LoanNameUpdate'!$A:$K,3,FALSE),CM26)</f>
        <v>1.5204999999999998E-2</v>
      </c>
      <c r="W26" s="332">
        <f>IFERROR(VLOOKUP($P26,'Model Output-LoanNameUpdate'!$A:$K,4,FALSE),CN26)</f>
        <v>1.3475000000000001E-2</v>
      </c>
      <c r="X26" s="332">
        <f>IFERROR(VLOOKUP($P26,'Model Output-LoanNameUpdate'!$A:$K,5,FALSE),CO26)</f>
        <v>1.2364999999999999E-2</v>
      </c>
      <c r="Y26" s="332">
        <f>IFERROR(VLOOKUP($P26,'Model Output-LoanNameUpdate'!$A:$K,6,FALSE),CP26)</f>
        <v>1.1635E-2</v>
      </c>
      <c r="Z26" s="207">
        <f t="shared" si="5"/>
        <v>0.97415395776533398</v>
      </c>
      <c r="AA26" s="208">
        <f t="shared" si="6"/>
        <v>4.5506441725807747E-3</v>
      </c>
      <c r="AB26" s="208">
        <f t="shared" si="7"/>
        <v>1.4812010927821901E-2</v>
      </c>
      <c r="AC26" s="208">
        <f t="shared" si="8"/>
        <v>1.3126724580887875E-2</v>
      </c>
      <c r="AD26" s="208">
        <f t="shared" si="9"/>
        <v>1.2045413687768354E-2</v>
      </c>
      <c r="AE26" s="208">
        <f t="shared" si="10"/>
        <v>1.133428129859966E-2</v>
      </c>
      <c r="AF26" s="332">
        <f>NORMSDIST((_xlfn.NORM.S.INV(AA26)-(SQRT(Baseline!$AF$11)*'MacroPD-Cal'!$R$2))/SQRT(1-Baseline!$AF$11))</f>
        <v>3.8474532564693634E-3</v>
      </c>
      <c r="AG26" s="332">
        <f>NORMSDIST((_xlfn.NORM.S.INV(AA26)-(SQRT(Baseline!$AF$11)*'MacroPD-Cal'!$R$3))/SQRT(1-Baseline!$AF$11))</f>
        <v>5.0682219149171181E-3</v>
      </c>
      <c r="AH26" s="332">
        <f>NORMSDIST((_xlfn.NORM.S.INV(AA26)-(SQRT(Baseline!$AF$11)*'MacroPD-Cal'!$R$4))/SQRT(1-Baseline!$AF$11))</f>
        <v>5.7605276087139123E-3</v>
      </c>
      <c r="AI26" s="332">
        <f>NORMSDIST((_xlfn.NORM.S.INV(AA26)-(SQRT(Baseline!$AF$11)*'MacroPD-Cal'!$R$5))/SQRT(1-Baseline!$AF$11))</f>
        <v>7.4792701334362235E-3</v>
      </c>
      <c r="AJ26" s="332">
        <f>NORMSDIST((_xlfn.NORM.S.INV(AB26)-(SQRT(Baseline!$AF$11)*'MacroPD-Cal'!$R$6))/SQRT(1-Baseline!$AF$11))</f>
        <v>1.0201427419140244E-2</v>
      </c>
      <c r="AK26" s="332">
        <f>NORMSDIST((_xlfn.NORM.S.INV(AC26)-(SQRT(Baseline!$AF$11)*'MacroPD-Cal'!$R$7))/SQRT(1-Baseline!$AF$11))</f>
        <v>5.5557993085786003E-3</v>
      </c>
      <c r="AL26" s="332">
        <f>NORMSDIST((_xlfn.NORM.S.INV(AD26)-(SQRT(Baseline!$AF$11)*'MacroPD-Cal'!$R$8))/SQRT(1-Baseline!$AF$11))</f>
        <v>1.2121826904772393E-2</v>
      </c>
      <c r="AM26" s="332">
        <f>NORMSDIST((_xlfn.NORM.S.INV(AE26)-(SQRT(Baseline!$AF$11)*'MacroPD-Cal'!$R$9))/SQRT(1-Baseline!$AF$11))</f>
        <v>1.2008798503822667E-2</v>
      </c>
      <c r="AO26" s="355"/>
      <c r="AP26" s="355"/>
      <c r="AQ26" s="355">
        <f>NORMSDIST((_xlfn.NORM.S.INV(AA26)-(SQRT(Baseline!$AF$11)*'MacroPD-Cal'!$AP$2))/SQRT(1-Baseline!$AF$11))</f>
        <v>3.9912039493173708E-3</v>
      </c>
      <c r="AR26" s="355">
        <f>NORMSDIST((_xlfn.NORM.S.INV(AA26)-(SQRT(Baseline!$AF$11)*'MacroPD-Cal'!$AP$3))/SQRT(1-Baseline!$AF$11))</f>
        <v>4.7304677618404904E-3</v>
      </c>
      <c r="AS26" s="355">
        <f>NORMSDIST((_xlfn.NORM.S.INV(AA26)-(SQRT(Baseline!$AF$11)*'MacroPD-Cal'!$AP$4))/SQRT(1-Baseline!$AF$11))</f>
        <v>4.8341442436338729E-3</v>
      </c>
      <c r="AT26" s="355">
        <f>NORMSDIST((_xlfn.NORM.S.INV(AA26)-(SQRT(Baseline!$AF$11)*'MacroPD-Cal'!$AP$5))/SQRT(1-Baseline!$AF$11))</f>
        <v>6.398773801317089E-3</v>
      </c>
      <c r="AU26" s="355">
        <f>NORMSDIST((_xlfn.NORM.S.INV(AB26)-(SQRT(Baseline!$AF$11)*'MacroPD-Cal'!$AP$6))/SQRT(1-Baseline!$AF$11))</f>
        <v>6.7955373774272135E-3</v>
      </c>
      <c r="AV26" s="355">
        <f>NORMSDIST((_xlfn.NORM.S.INV(AC26)-(SQRT(Baseline!$AF$11)*'MacroPD-Cal'!$AP$7))/SQRT(1-Baseline!$AF$11))</f>
        <v>7.7125209862789808E-3</v>
      </c>
      <c r="AW26" s="355">
        <f>NORMSDIST((_xlfn.NORM.S.INV(AD26)-(SQRT(Baseline!$AF$11)*'MacroPD-Cal'!$AP$8))/SQRT(1-Baseline!$AF$11))</f>
        <v>1.2414233977081739E-2</v>
      </c>
      <c r="AX26" s="355">
        <f>NORMSDIST((_xlfn.NORM.S.INV(AE26)-(SQRT(Baseline!$AF$11)*'MacroPD-Cal'!$AP$9))/SQRT(1-Baseline!$AF$11))</f>
        <v>1.3171250942441131E-2</v>
      </c>
      <c r="AY26" s="355">
        <f t="shared" si="11"/>
        <v>3.9912039493173708E-3</v>
      </c>
      <c r="AZ26" s="355">
        <f t="shared" si="12"/>
        <v>8.7027914495446668E-3</v>
      </c>
      <c r="BA26" s="355">
        <f t="shared" si="13"/>
        <v>1.3494865143989121E-2</v>
      </c>
      <c r="BB26" s="355">
        <f t="shared" si="14"/>
        <v>1.9800000000000002E-2</v>
      </c>
      <c r="BC26" s="355"/>
      <c r="BD26" s="355"/>
      <c r="BE26" s="355"/>
      <c r="BF26" s="355"/>
      <c r="BG26" s="355">
        <f>NORMSDIST((_xlfn.NORM.S.INV($AA26)-(SQRT(Baseline!$AF$11)*'MacroPD-Cal'!$BF$2))/SQRT(1-Baseline!$AF$11))</f>
        <v>3.7718253850305629E-3</v>
      </c>
      <c r="BH26" s="355">
        <f>NORMSDIST((_xlfn.NORM.S.INV($AA26)-(SQRT(Baseline!$AF$11)*'MacroPD-Cal'!$BF$3))/SQRT(1-Baseline!$AF$11))</f>
        <v>5.3927967264659846E-3</v>
      </c>
      <c r="BI26" s="355">
        <f>NORMSDIST((_xlfn.NORM.S.INV($AA26)-(SQRT(Baseline!$AF$11)*'MacroPD-Cal'!$BF$4))/SQRT(1-Baseline!$AF$11))</f>
        <v>7.9169060441020411E-3</v>
      </c>
      <c r="BJ26" s="355">
        <f>NORMSDIST((_xlfn.NORM.S.INV($AA26)-(SQRT(Baseline!$AF$11)*'MacroPD-Cal'!$BF$5))/SQRT(1-Baseline!$AF$11))</f>
        <v>1.0490665879680621E-2</v>
      </c>
      <c r="BK26" s="355">
        <f>NORMSDIST((_xlfn.NORM.S.INV($AB26)-(SQRT(Baseline!$AF$11)*'MacroPD-Cal'!$BF$6))/SQRT(1-Baseline!$AF$11))</f>
        <v>3.5870925251020237E-2</v>
      </c>
      <c r="BL26" s="355">
        <f>NORMSDIST((_xlfn.NORM.S.INV($AC26)-(SQRT(Baseline!$AF$11)*'MacroPD-Cal'!$BF$7))/SQRT(1-Baseline!$AF$11))</f>
        <v>3.0947938962949196E-3</v>
      </c>
      <c r="BM26" s="355">
        <f>NORMSDIST((_xlfn.NORM.S.INV($AD26)-(SQRT(Baseline!$AF$11)*'MacroPD-Cal'!$BF$8))/SQRT(1-Baseline!$AF$11))</f>
        <v>7.2258392612193122E-3</v>
      </c>
      <c r="BN26" s="355">
        <f>NORMSDIST((_xlfn.NORM.S.INV($AE26)-(SQRT(Baseline!$AF$11)*'MacroPD-Cal'!$BF$9))/SQRT(1-Baseline!$AF$11))</f>
        <v>1.0215504163713527E-2</v>
      </c>
      <c r="BO26" s="355">
        <f t="shared" si="15"/>
        <v>3.7718253850305629E-3</v>
      </c>
      <c r="BP26" s="355">
        <f t="shared" si="16"/>
        <v>9.14428142390733E-3</v>
      </c>
      <c r="BQ26" s="355">
        <f t="shared" si="17"/>
        <v>1.6988793051135431E-2</v>
      </c>
      <c r="BR26" s="355">
        <f t="shared" si="18"/>
        <v>2.7300000000000001E-2</v>
      </c>
      <c r="BS26" s="355"/>
      <c r="BT26" s="355"/>
      <c r="BU26" s="355"/>
      <c r="BV26" s="355">
        <f>NORMSDIST((_xlfn.NORM.S.INV($AA26)-(SQRT(Baseline!$AF$11)*'MacroPD-Cal'!$BU$2))/SQRT(1-Baseline!$AF$11))</f>
        <v>3.6221000584731205E-3</v>
      </c>
      <c r="BW26" s="355">
        <f>NORMSDIST((_xlfn.NORM.S.INV($AA26)-(SQRT(Baseline!$AF$11)*'MacroPD-Cal'!$BU$3))/SQRT(1-Baseline!$AF$11))</f>
        <v>5.647574850270949E-3</v>
      </c>
      <c r="BX26" s="355">
        <f>NORMSDIST((_xlfn.NORM.S.INV($AA26)-(SQRT(Baseline!$AF$11)*'MacroPD-Cal'!$BU$4))/SQRT(1-Baseline!$AF$11))</f>
        <v>7.3806230057158967E-3</v>
      </c>
      <c r="BY26" s="355">
        <f>NORMSDIST((_xlfn.NORM.S.INV($AA26)-(SQRT(Baseline!$AF$11)*'MacroPD-Cal'!$BU$5))/SQRT(1-Baseline!$AF$11))</f>
        <v>9.2540299057801059E-3</v>
      </c>
      <c r="BZ26" s="355">
        <f>NORMSDIST((_xlfn.NORM.S.INV($AB26)-(SQRT(Baseline!$AF$11)*'MacroPD-Cal'!$BU$6))/SQRT(1-Baseline!$AF$11))</f>
        <v>1.6283654442813041E-2</v>
      </c>
      <c r="CA26" s="355">
        <f>NORMSDIST((_xlfn.NORM.S.INV($AC26)-(SQRT(Baseline!$AF$11)*'MacroPD-Cal'!$BU31))/SQRT(1-Baseline!$AF$11))</f>
        <v>7.0584169853510218E-3</v>
      </c>
      <c r="CB26" s="355">
        <f>NORMSDIST((_xlfn.NORM.S.INV($AD26)-(SQRT(Baseline!$AF$11)*'MacroPD-Cal'!$BU$8))/SQRT(1-Baseline!$AF$11))</f>
        <v>1.2497560293735466E-2</v>
      </c>
      <c r="CC26" s="355">
        <f>NORMSDIST((_xlfn.NORM.S.INV($AE26)-(SQRT(Baseline!$AF$11)*'MacroPD-Cal'!$BU$9))/SQRT(1-Baseline!$AF$11))</f>
        <v>1.0463403937277417E-2</v>
      </c>
      <c r="CD26" s="355">
        <f t="shared" si="19"/>
        <v>3.6221000584731205E-3</v>
      </c>
      <c r="CE26" s="355">
        <f t="shared" si="20"/>
        <v>9.2492188275485887E-3</v>
      </c>
      <c r="CF26" s="355">
        <f t="shared" si="21"/>
        <v>1.6561576836000902E-2</v>
      </c>
      <c r="CG26" s="355">
        <f t="shared" si="22"/>
        <v>2.5600000000000001E-2</v>
      </c>
      <c r="CH26" s="355"/>
      <c r="CI26" s="355"/>
      <c r="CL26" s="168"/>
      <c r="CM26" s="168"/>
      <c r="CN26" s="168"/>
      <c r="CO26" s="168"/>
      <c r="CP26" s="168"/>
      <c r="CR26" s="345">
        <f t="shared" si="23"/>
        <v>0.17568279709905768</v>
      </c>
      <c r="CS26" s="345">
        <f t="shared" si="24"/>
        <v>0.40621805591211896</v>
      </c>
      <c r="CT26" s="345">
        <f t="shared" si="25"/>
        <v>0.66691581593811167</v>
      </c>
      <c r="CU26" s="345">
        <f t="shared" si="26"/>
        <v>1</v>
      </c>
    </row>
    <row r="27" spans="1:99" s="166" customFormat="1" x14ac:dyDescent="0.25">
      <c r="A27" s="464">
        <v>1100000191</v>
      </c>
      <c r="B27" s="470">
        <f>VLOOKUP(A27,'Ref-Data'!A:I,9,FALSE)</f>
        <v>1</v>
      </c>
      <c r="C27" s="445">
        <f>IF(B27="Matured","",VLOOKUP(A27,'Adjustment Factor'!A:C,3,0))</f>
        <v>0.97415395776533398</v>
      </c>
      <c r="D27" s="190">
        <f>VLOOKUP(A27,'Ref-Data'!A:C,2,FALSE)</f>
        <v>3950000</v>
      </c>
      <c r="E27" s="471">
        <f>IFERROR(IF(VLOOKUP(A27,'Updated Ncino PD'!$A:$K,4,0)=0,"",VLOOKUP(A27,'Updated Ncino PD'!$A:$K,4,0)),AF27)</f>
        <v>3.8474532564693634E-3</v>
      </c>
      <c r="F27" s="472">
        <f>IFERROR(IF(VLOOKUP(A27,'Updated Ncino PD'!$A:$K,5,0)=0,"",VLOOKUP(A27,'Updated Ncino PD'!$A:$K,5,0)),1-((1-AG27)*(1-E27)))</f>
        <v>8.8961754244754054E-3</v>
      </c>
      <c r="G27" s="472">
        <f>IFERROR(IF(VLOOKUP(A27,'Updated Ncino PD'!$A:$K,6,0)=0,"",VLOOKUP(A27,'Updated Ncino PD'!$A:$K,6,0)),1-((1-AF27)*(1-AG27)*(1-AH27)))</f>
        <v>1.4605456369044645E-2</v>
      </c>
      <c r="H27" s="472">
        <f>IFERROR(IF(VLOOKUP(A27,'Updated Ncino PD'!$A:$K,7,0)=0,"",VLOOKUP(A27,'Updated Ncino PD'!$A:$K,7,0)),IFERROR(VLOOKUP(A27,'Updated Ncino PD'!A:B,2,FALSE),FLOOR(1-((1-AG27)*(1-AH27)*(1-AI27)*(1-AF27)),$R$11)))</f>
        <v>2.1899999999999999E-2</v>
      </c>
      <c r="I27" s="472">
        <f>IFERROR(IF(VLOOKUP(A27,'Updated Ncino PD'!$A:$K,8,0)=0,"",VLOOKUP(A27,'Updated Ncino PD'!$A:$K,8,0)),FLOOR(1-((1-H27)*(1-AJ27)),$R$11))</f>
        <v>3.1800000000000002E-2</v>
      </c>
      <c r="J27" s="472">
        <f>IFERROR(IF(VLOOKUP(A27,'Updated Ncino PD'!$A:$K,9,0)=0,"",VLOOKUP(A27,'Updated Ncino PD'!$A:$K,9,0)),FLOOR(1-((1-H27)*(1-AJ27)*(1-AK27)),$R$11))</f>
        <v>3.7200000000000004E-2</v>
      </c>
      <c r="K27" s="472">
        <f>IFERROR(IF(VLOOKUP(A27,'Updated Ncino PD'!$A:$K,10,0)=0,"",VLOOKUP(A27,'Updated Ncino PD'!$A:$K,10,0)),FLOOR(1-((1-H27)*(1-AJ27)*(1-AK27)*(1-AL27)),$R$11))</f>
        <v>4.8899999999999999E-2</v>
      </c>
      <c r="L27" s="472">
        <f>IFERROR(IF(VLOOKUP(A27,'Updated Ncino PD'!$A:$K,11,0)=0,"",VLOOKUP(A27,'Updated Ncino PD'!$A:$K,11,0)),FLOOR(1-((1-H27)*(1-AJ27)*(1-AK27)*(1-AL27)*(1-AM27)),$R$11))</f>
        <v>6.0299999999999999E-2</v>
      </c>
      <c r="M27" s="224">
        <f>VLOOKUP(A27,'Ref-Data'!$A:$F,6,FALSE)</f>
        <v>0.75564681724845995</v>
      </c>
      <c r="N27" s="191">
        <f t="shared" si="3"/>
        <v>1.6593351253015531E-2</v>
      </c>
      <c r="O27" s="191">
        <f t="shared" si="4"/>
        <v>2.1899999999999999E-2</v>
      </c>
      <c r="P27" s="459" t="str">
        <f>VLOOKUP(A27,'Loan Book Summary'!C:G,5,FALSE)</f>
        <v>0014I00001wCsHB</v>
      </c>
      <c r="S27" s="203"/>
      <c r="T27" s="332">
        <f>IFERROR(VLOOKUP($P27,'Model Output-LoanNameUpdate'!$A:$K,2,FALSE),CL27)</f>
        <v>1.8554999999999999E-2</v>
      </c>
      <c r="U27" s="332">
        <f>1-(1-IFERROR(VLOOKUP($P27,'Model Output-LoanNameUpdate'!$A:$K,2,FALSE),CL27))^(1/4)</f>
        <v>4.6713808801021051E-3</v>
      </c>
      <c r="V27" s="332">
        <f>IFERROR(VLOOKUP($P27,'Model Output-LoanNameUpdate'!$A:$K,3,FALSE),CM27)</f>
        <v>1.5204999999999998E-2</v>
      </c>
      <c r="W27" s="332">
        <f>IFERROR(VLOOKUP($P27,'Model Output-LoanNameUpdate'!$A:$K,4,FALSE),CN27)</f>
        <v>1.3475000000000001E-2</v>
      </c>
      <c r="X27" s="332">
        <f>IFERROR(VLOOKUP($P27,'Model Output-LoanNameUpdate'!$A:$K,5,FALSE),CO27)</f>
        <v>1.2364999999999999E-2</v>
      </c>
      <c r="Y27" s="332">
        <f>IFERROR(VLOOKUP($P27,'Model Output-LoanNameUpdate'!$A:$K,6,FALSE),CP27)</f>
        <v>1.1635E-2</v>
      </c>
      <c r="Z27" s="207">
        <f t="shared" si="5"/>
        <v>0.97415395776533398</v>
      </c>
      <c r="AA27" s="208">
        <f t="shared" si="6"/>
        <v>4.5506441725807747E-3</v>
      </c>
      <c r="AB27" s="208">
        <f t="shared" si="7"/>
        <v>1.4812010927821901E-2</v>
      </c>
      <c r="AC27" s="208">
        <f t="shared" si="8"/>
        <v>1.3126724580887875E-2</v>
      </c>
      <c r="AD27" s="208">
        <f t="shared" si="9"/>
        <v>1.2045413687768354E-2</v>
      </c>
      <c r="AE27" s="208">
        <f t="shared" si="10"/>
        <v>1.133428129859966E-2</v>
      </c>
      <c r="AF27" s="332">
        <f>NORMSDIST((_xlfn.NORM.S.INV(AA27)-(SQRT(Baseline!$AF$11)*'MacroPD-Cal'!$R$2))/SQRT(1-Baseline!$AF$11))</f>
        <v>3.8474532564693634E-3</v>
      </c>
      <c r="AG27" s="332">
        <f>NORMSDIST((_xlfn.NORM.S.INV(AA27)-(SQRT(Baseline!$AF$11)*'MacroPD-Cal'!$R$3))/SQRT(1-Baseline!$AF$11))</f>
        <v>5.0682219149171181E-3</v>
      </c>
      <c r="AH27" s="332">
        <f>NORMSDIST((_xlfn.NORM.S.INV(AA27)-(SQRT(Baseline!$AF$11)*'MacroPD-Cal'!$R$4))/SQRT(1-Baseline!$AF$11))</f>
        <v>5.7605276087139123E-3</v>
      </c>
      <c r="AI27" s="332">
        <f>NORMSDIST((_xlfn.NORM.S.INV(AA27)-(SQRT(Baseline!$AF$11)*'MacroPD-Cal'!$R$5))/SQRT(1-Baseline!$AF$11))</f>
        <v>7.4792701334362235E-3</v>
      </c>
      <c r="AJ27" s="332">
        <f>NORMSDIST((_xlfn.NORM.S.INV(AB27)-(SQRT(Baseline!$AF$11)*'MacroPD-Cal'!$R$6))/SQRT(1-Baseline!$AF$11))</f>
        <v>1.0201427419140244E-2</v>
      </c>
      <c r="AK27" s="332">
        <f>NORMSDIST((_xlfn.NORM.S.INV(AC27)-(SQRT(Baseline!$AF$11)*'MacroPD-Cal'!$R$7))/SQRT(1-Baseline!$AF$11))</f>
        <v>5.5557993085786003E-3</v>
      </c>
      <c r="AL27" s="332">
        <f>NORMSDIST((_xlfn.NORM.S.INV(AD27)-(SQRT(Baseline!$AF$11)*'MacroPD-Cal'!$R$8))/SQRT(1-Baseline!$AF$11))</f>
        <v>1.2121826904772393E-2</v>
      </c>
      <c r="AM27" s="332">
        <f>NORMSDIST((_xlfn.NORM.S.INV(AE27)-(SQRT(Baseline!$AF$11)*'MacroPD-Cal'!$R$9))/SQRT(1-Baseline!$AF$11))</f>
        <v>1.2008798503822667E-2</v>
      </c>
      <c r="AO27" s="355"/>
      <c r="AP27" s="355"/>
      <c r="AQ27" s="355">
        <f>NORMSDIST((_xlfn.NORM.S.INV(AA27)-(SQRT(Baseline!$AF$11)*'MacroPD-Cal'!$AP$2))/SQRT(1-Baseline!$AF$11))</f>
        <v>3.9912039493173708E-3</v>
      </c>
      <c r="AR27" s="355">
        <f>NORMSDIST((_xlfn.NORM.S.INV(AA27)-(SQRT(Baseline!$AF$11)*'MacroPD-Cal'!$AP$3))/SQRT(1-Baseline!$AF$11))</f>
        <v>4.7304677618404904E-3</v>
      </c>
      <c r="AS27" s="355">
        <f>NORMSDIST((_xlfn.NORM.S.INV(AA27)-(SQRT(Baseline!$AF$11)*'MacroPD-Cal'!$AP$4))/SQRT(1-Baseline!$AF$11))</f>
        <v>4.8341442436338729E-3</v>
      </c>
      <c r="AT27" s="355">
        <f>NORMSDIST((_xlfn.NORM.S.INV(AA27)-(SQRT(Baseline!$AF$11)*'MacroPD-Cal'!$AP$5))/SQRT(1-Baseline!$AF$11))</f>
        <v>6.398773801317089E-3</v>
      </c>
      <c r="AU27" s="355">
        <f>NORMSDIST((_xlfn.NORM.S.INV(AB27)-(SQRT(Baseline!$AF$11)*'MacroPD-Cal'!$AP$6))/SQRT(1-Baseline!$AF$11))</f>
        <v>6.7955373774272135E-3</v>
      </c>
      <c r="AV27" s="355">
        <f>NORMSDIST((_xlfn.NORM.S.INV(AC27)-(SQRT(Baseline!$AF$11)*'MacroPD-Cal'!$AP$7))/SQRT(1-Baseline!$AF$11))</f>
        <v>7.7125209862789808E-3</v>
      </c>
      <c r="AW27" s="355">
        <f>NORMSDIST((_xlfn.NORM.S.INV(AD27)-(SQRT(Baseline!$AF$11)*'MacroPD-Cal'!$AP$8))/SQRT(1-Baseline!$AF$11))</f>
        <v>1.2414233977081739E-2</v>
      </c>
      <c r="AX27" s="355">
        <f>NORMSDIST((_xlfn.NORM.S.INV(AE27)-(SQRT(Baseline!$AF$11)*'MacroPD-Cal'!$AP$9))/SQRT(1-Baseline!$AF$11))</f>
        <v>1.3171250942441131E-2</v>
      </c>
      <c r="AY27" s="355">
        <f t="shared" si="11"/>
        <v>3.9912039493173708E-3</v>
      </c>
      <c r="AZ27" s="355">
        <f t="shared" si="12"/>
        <v>8.7027914495446668E-3</v>
      </c>
      <c r="BA27" s="355">
        <f t="shared" si="13"/>
        <v>1.3494865143989121E-2</v>
      </c>
      <c r="BB27" s="355">
        <f t="shared" si="14"/>
        <v>1.9800000000000002E-2</v>
      </c>
      <c r="BC27" s="355"/>
      <c r="BD27" s="355"/>
      <c r="BE27" s="355"/>
      <c r="BF27" s="355"/>
      <c r="BG27" s="355">
        <f>NORMSDIST((_xlfn.NORM.S.INV($AA27)-(SQRT(Baseline!$AF$11)*'MacroPD-Cal'!$BF$2))/SQRT(1-Baseline!$AF$11))</f>
        <v>3.7718253850305629E-3</v>
      </c>
      <c r="BH27" s="355">
        <f>NORMSDIST((_xlfn.NORM.S.INV($AA27)-(SQRT(Baseline!$AF$11)*'MacroPD-Cal'!$BF$3))/SQRT(1-Baseline!$AF$11))</f>
        <v>5.3927967264659846E-3</v>
      </c>
      <c r="BI27" s="355">
        <f>NORMSDIST((_xlfn.NORM.S.INV($AA27)-(SQRT(Baseline!$AF$11)*'MacroPD-Cal'!$BF$4))/SQRT(1-Baseline!$AF$11))</f>
        <v>7.9169060441020411E-3</v>
      </c>
      <c r="BJ27" s="355">
        <f>NORMSDIST((_xlfn.NORM.S.INV($AA27)-(SQRT(Baseline!$AF$11)*'MacroPD-Cal'!$BF$5))/SQRT(1-Baseline!$AF$11))</f>
        <v>1.0490665879680621E-2</v>
      </c>
      <c r="BK27" s="355">
        <f>NORMSDIST((_xlfn.NORM.S.INV($AB27)-(SQRT(Baseline!$AF$11)*'MacroPD-Cal'!$BF$6))/SQRT(1-Baseline!$AF$11))</f>
        <v>3.5870925251020237E-2</v>
      </c>
      <c r="BL27" s="355">
        <f>NORMSDIST((_xlfn.NORM.S.INV($AC27)-(SQRT(Baseline!$AF$11)*'MacroPD-Cal'!$BF$7))/SQRT(1-Baseline!$AF$11))</f>
        <v>3.0947938962949196E-3</v>
      </c>
      <c r="BM27" s="355">
        <f>NORMSDIST((_xlfn.NORM.S.INV($AD27)-(SQRT(Baseline!$AF$11)*'MacroPD-Cal'!$BF$8))/SQRT(1-Baseline!$AF$11))</f>
        <v>7.2258392612193122E-3</v>
      </c>
      <c r="BN27" s="355">
        <f>NORMSDIST((_xlfn.NORM.S.INV($AE27)-(SQRT(Baseline!$AF$11)*'MacroPD-Cal'!$BF$9))/SQRT(1-Baseline!$AF$11))</f>
        <v>1.0215504163713527E-2</v>
      </c>
      <c r="BO27" s="355">
        <f t="shared" si="15"/>
        <v>3.7718253850305629E-3</v>
      </c>
      <c r="BP27" s="355">
        <f t="shared" si="16"/>
        <v>9.14428142390733E-3</v>
      </c>
      <c r="BQ27" s="355">
        <f t="shared" si="17"/>
        <v>1.6988793051135431E-2</v>
      </c>
      <c r="BR27" s="355">
        <f t="shared" si="18"/>
        <v>2.7300000000000001E-2</v>
      </c>
      <c r="BS27" s="355"/>
      <c r="BT27" s="355"/>
      <c r="BU27" s="355"/>
      <c r="BV27" s="355">
        <f>NORMSDIST((_xlfn.NORM.S.INV($AA27)-(SQRT(Baseline!$AF$11)*'MacroPD-Cal'!$BU$2))/SQRT(1-Baseline!$AF$11))</f>
        <v>3.6221000584731205E-3</v>
      </c>
      <c r="BW27" s="355">
        <f>NORMSDIST((_xlfn.NORM.S.INV($AA27)-(SQRT(Baseline!$AF$11)*'MacroPD-Cal'!$BU$3))/SQRT(1-Baseline!$AF$11))</f>
        <v>5.647574850270949E-3</v>
      </c>
      <c r="BX27" s="355">
        <f>NORMSDIST((_xlfn.NORM.S.INV($AA27)-(SQRT(Baseline!$AF$11)*'MacroPD-Cal'!$BU$4))/SQRT(1-Baseline!$AF$11))</f>
        <v>7.3806230057158967E-3</v>
      </c>
      <c r="BY27" s="355">
        <f>NORMSDIST((_xlfn.NORM.S.INV($AA27)-(SQRT(Baseline!$AF$11)*'MacroPD-Cal'!$BU$5))/SQRT(1-Baseline!$AF$11))</f>
        <v>9.2540299057801059E-3</v>
      </c>
      <c r="BZ27" s="355">
        <f>NORMSDIST((_xlfn.NORM.S.INV($AB27)-(SQRT(Baseline!$AF$11)*'MacroPD-Cal'!$BU$6))/SQRT(1-Baseline!$AF$11))</f>
        <v>1.6283654442813041E-2</v>
      </c>
      <c r="CA27" s="355">
        <f>NORMSDIST((_xlfn.NORM.S.INV($AC27)-(SQRT(Baseline!$AF$11)*'MacroPD-Cal'!$BU32))/SQRT(1-Baseline!$AF$11))</f>
        <v>7.0584169853510218E-3</v>
      </c>
      <c r="CB27" s="355">
        <f>NORMSDIST((_xlfn.NORM.S.INV($AD27)-(SQRT(Baseline!$AF$11)*'MacroPD-Cal'!$BU$8))/SQRT(1-Baseline!$AF$11))</f>
        <v>1.2497560293735466E-2</v>
      </c>
      <c r="CC27" s="355">
        <f>NORMSDIST((_xlfn.NORM.S.INV($AE27)-(SQRT(Baseline!$AF$11)*'MacroPD-Cal'!$BU$9))/SQRT(1-Baseline!$AF$11))</f>
        <v>1.0463403937277417E-2</v>
      </c>
      <c r="CD27" s="355">
        <f t="shared" si="19"/>
        <v>3.6221000584731205E-3</v>
      </c>
      <c r="CE27" s="355">
        <f t="shared" si="20"/>
        <v>9.2492188275485887E-3</v>
      </c>
      <c r="CF27" s="355">
        <f t="shared" si="21"/>
        <v>1.6561576836000902E-2</v>
      </c>
      <c r="CG27" s="355">
        <f t="shared" si="22"/>
        <v>2.5600000000000001E-2</v>
      </c>
      <c r="CH27" s="355"/>
      <c r="CI27" s="355"/>
      <c r="CL27" s="168"/>
      <c r="CM27" s="168"/>
      <c r="CN27" s="168"/>
      <c r="CO27" s="168"/>
      <c r="CP27" s="168"/>
      <c r="CR27" s="345">
        <f t="shared" si="23"/>
        <v>0.17568279709905768</v>
      </c>
      <c r="CS27" s="345">
        <f t="shared" si="24"/>
        <v>0.40621805591211896</v>
      </c>
      <c r="CT27" s="345">
        <f t="shared" si="25"/>
        <v>0.66691581593811167</v>
      </c>
      <c r="CU27" s="345">
        <f t="shared" si="26"/>
        <v>1</v>
      </c>
    </row>
    <row r="28" spans="1:99" s="166" customFormat="1" x14ac:dyDescent="0.25">
      <c r="A28" s="464">
        <v>1100000004</v>
      </c>
      <c r="B28" s="470">
        <f>VLOOKUP(A28,'Ref-Data'!A:I,9,FALSE)</f>
        <v>1</v>
      </c>
      <c r="C28" s="445">
        <f>IF(B28="Matured","",VLOOKUP(A28,'Adjustment Factor'!A:C,3,0))</f>
        <v>0.58871431438411448</v>
      </c>
      <c r="D28" s="190">
        <f>VLOOKUP(A28,'Ref-Data'!A:C,2,FALSE)</f>
        <v>1254060</v>
      </c>
      <c r="E28" s="471">
        <f>IFERROR(IF(VLOOKUP(A28,'Updated Ncino PD'!$A:$K,4,0)=0,"",VLOOKUP(A28,'Updated Ncino PD'!$A:$K,4,0)),AF28)</f>
        <v>4.2347194781534484E-4</v>
      </c>
      <c r="F28" s="472">
        <f>IFERROR(IF(VLOOKUP(A28,'Updated Ncino PD'!$A:$K,5,0)=0,"",VLOOKUP(A28,'Updated Ncino PD'!$A:$K,5,0)),1-((1-AG28)*(1-E28)))</f>
        <v>1.0147225220171752E-3</v>
      </c>
      <c r="G28" s="472">
        <f>IFERROR(IF(VLOOKUP(A28,'Updated Ncino PD'!$A:$K,6,0)=0,"",VLOOKUP(A28,'Updated Ncino PD'!$A:$K,6,0)),1-((1-AF28)*(1-AG28)*(1-AH28)))</f>
        <v>1.7052431932231826E-3</v>
      </c>
      <c r="H28" s="472">
        <f>IFERROR(IF(VLOOKUP(A28,'Updated Ncino PD'!$A:$K,7,0)=0,"",VLOOKUP(A28,'Updated Ncino PD'!$A:$K,7,0)),IFERROR(VLOOKUP(A28,'Updated Ncino PD'!A:B,2,FALSE),FLOOR(1-((1-AG28)*(1-AH28)*(1-AI28)*(1-AF28)),$R$11)))</f>
        <v>2.6000000000000003E-3</v>
      </c>
      <c r="I28" s="472">
        <f>IFERROR(IF(VLOOKUP(A28,'Updated Ncino PD'!$A:$K,8,0)=0,"",VLOOKUP(A28,'Updated Ncino PD'!$A:$K,8,0)),FLOOR(1-((1-H28)*(1-AJ28)),$R$11))</f>
        <v>4.1000000000000003E-3</v>
      </c>
      <c r="J28" s="472">
        <f>IFERROR(IF(VLOOKUP(A28,'Updated Ncino PD'!$A:$K,9,0)=0,"",VLOOKUP(A28,'Updated Ncino PD'!$A:$K,9,0)),FLOOR(1-((1-H28)*(1-AJ28)*(1-AK28)),$R$11))</f>
        <v>5.1000000000000004E-3</v>
      </c>
      <c r="K28" s="472">
        <f>IFERROR(IF(VLOOKUP(A28,'Updated Ncino PD'!$A:$K,10,0)=0,"",VLOOKUP(A28,'Updated Ncino PD'!$A:$K,10,0)),FLOOR(1-((1-H28)*(1-AJ28)*(1-AK28)*(1-AL28)),$R$11))</f>
        <v>8.0999999999999996E-3</v>
      </c>
      <c r="L28" s="472">
        <f>IFERROR(IF(VLOOKUP(A28,'Updated Ncino PD'!$A:$K,11,0)=0,"",VLOOKUP(A28,'Updated Ncino PD'!$A:$K,11,0)),FLOOR(1-((1-H28)*(1-AJ28)*(1-AK28)*(1-AL28)*(1-AM28)),$R$11))</f>
        <v>1.15E-2</v>
      </c>
      <c r="M28" s="224">
        <f>VLOOKUP(A28,'Ref-Data'!$A:$F,6,FALSE)</f>
        <v>3.3347022587268995</v>
      </c>
      <c r="N28" s="191">
        <f t="shared" si="3"/>
        <v>2.6000000000000003E-3</v>
      </c>
      <c r="O28" s="191">
        <f t="shared" si="4"/>
        <v>8.0999999999999996E-3</v>
      </c>
      <c r="P28" s="459" t="str">
        <f>VLOOKUP(A28,'Loan Book Summary'!C:G,5,FALSE)</f>
        <v>0014I00001rYqrM</v>
      </c>
      <c r="S28" s="203"/>
      <c r="T28" s="332">
        <f>IFERROR(VLOOKUP($P28,'Model Output-LoanNameUpdate'!$A:$K,2,FALSE),CL28)</f>
        <v>4.3999999999999994E-3</v>
      </c>
      <c r="U28" s="332">
        <f>1-(1-IFERROR(VLOOKUP($P28,'Model Output-LoanNameUpdate'!$A:$K,2,FALSE),CL28))^(1/4)</f>
        <v>1.1018196726386709E-3</v>
      </c>
      <c r="V28" s="332">
        <f>IFERROR(VLOOKUP($P28,'Model Output-LoanNameUpdate'!$A:$K,3,FALSE),CM28)</f>
        <v>5.0799999999999994E-3</v>
      </c>
      <c r="W28" s="332">
        <f>IFERROR(VLOOKUP($P28,'Model Output-LoanNameUpdate'!$A:$K,4,FALSE),CN28)</f>
        <v>5.5599999999999998E-3</v>
      </c>
      <c r="X28" s="332">
        <f>IFERROR(VLOOKUP($P28,'Model Output-LoanNameUpdate'!$A:$K,5,FALSE),CO28)</f>
        <v>5.8399999999999997E-3</v>
      </c>
      <c r="Y28" s="332">
        <f>IFERROR(VLOOKUP($P28,'Model Output-LoanNameUpdate'!$A:$K,6,FALSE),CP28)</f>
        <v>6.1399999999999996E-3</v>
      </c>
      <c r="Z28" s="207">
        <f t="shared" si="5"/>
        <v>0.58871431438411448</v>
      </c>
      <c r="AA28" s="208">
        <f t="shared" si="6"/>
        <v>6.4865701315240459E-4</v>
      </c>
      <c r="AB28" s="208">
        <f t="shared" si="7"/>
        <v>2.9906687170713014E-3</v>
      </c>
      <c r="AC28" s="208">
        <f t="shared" si="8"/>
        <v>3.2732515879756764E-3</v>
      </c>
      <c r="AD28" s="208">
        <f t="shared" si="9"/>
        <v>3.4380915960032284E-3</v>
      </c>
      <c r="AE28" s="208">
        <f t="shared" si="10"/>
        <v>3.6147058903184628E-3</v>
      </c>
      <c r="AF28" s="332">
        <f>NORMSDIST((_xlfn.NORM.S.INV(AA28)-(SQRT(Baseline!$AF$11)*'MacroPD-Cal'!$R$2))/SQRT(1-Baseline!$AF$11))</f>
        <v>4.2347194781534484E-4</v>
      </c>
      <c r="AG28" s="332">
        <f>NORMSDIST((_xlfn.NORM.S.INV(AA28)-(SQRT(Baseline!$AF$11)*'MacroPD-Cal'!$R$3))/SQRT(1-Baseline!$AF$11))</f>
        <v>5.9150105830713682E-4</v>
      </c>
      <c r="AH28" s="332">
        <f>NORMSDIST((_xlfn.NORM.S.INV(AA28)-(SQRT(Baseline!$AF$11)*'MacroPD-Cal'!$R$4))/SQRT(1-Baseline!$AF$11))</f>
        <v>6.912220698080141E-4</v>
      </c>
      <c r="AI28" s="332">
        <f>NORMSDIST((_xlfn.NORM.S.INV(AA28)-(SQRT(Baseline!$AF$11)*'MacroPD-Cal'!$R$5))/SQRT(1-Baseline!$AF$11))</f>
        <v>9.5078861497692924E-4</v>
      </c>
      <c r="AJ28" s="332">
        <f>NORMSDIST((_xlfn.NORM.S.INV(AB28)-(SQRT(Baseline!$AF$11)*'MacroPD-Cal'!$R$6))/SQRT(1-Baseline!$AF$11))</f>
        <v>1.5764426978357082E-3</v>
      </c>
      <c r="AK28" s="332">
        <f>NORMSDIST((_xlfn.NORM.S.INV(AC28)-(SQRT(Baseline!$AF$11)*'MacroPD-Cal'!$R$7))/SQRT(1-Baseline!$AF$11))</f>
        <v>1.0088743773179775E-3</v>
      </c>
      <c r="AL28" s="332">
        <f>NORMSDIST((_xlfn.NORM.S.INV(AD28)-(SQRT(Baseline!$AF$11)*'MacroPD-Cal'!$R$8))/SQRT(1-Baseline!$AF$11))</f>
        <v>3.0072486298632589E-3</v>
      </c>
      <c r="AM28" s="332">
        <f>NORMSDIST((_xlfn.NORM.S.INV(AE28)-(SQRT(Baseline!$AF$11)*'MacroPD-Cal'!$R$9))/SQRT(1-Baseline!$AF$11))</f>
        <v>3.4005605658811943E-3</v>
      </c>
      <c r="AO28" s="355"/>
      <c r="AP28" s="355"/>
      <c r="AQ28" s="355">
        <f>NORMSDIST((_xlfn.NORM.S.INV(AA28)-(SQRT(Baseline!$AF$11)*'MacroPD-Cal'!$AP$2))/SQRT(1-Baseline!$AF$11))</f>
        <v>4.4269505451262071E-4</v>
      </c>
      <c r="AR28" s="355">
        <f>NORMSDIST((_xlfn.NORM.S.INV(AA28)-(SQRT(Baseline!$AF$11)*'MacroPD-Cal'!$AP$3))/SQRT(1-Baseline!$AF$11))</f>
        <v>5.4396704880908797E-4</v>
      </c>
      <c r="AS28" s="355">
        <f>NORMSDIST((_xlfn.NORM.S.INV(AA28)-(SQRT(Baseline!$AF$11)*'MacroPD-Cal'!$AP$4))/SQRT(1-Baseline!$AF$11))</f>
        <v>5.5847697231983947E-4</v>
      </c>
      <c r="AT28" s="355">
        <f>NORMSDIST((_xlfn.NORM.S.INV(AA28)-(SQRT(Baseline!$AF$11)*'MacroPD-Cal'!$AP$5))/SQRT(1-Baseline!$AF$11))</f>
        <v>7.8570720316779147E-4</v>
      </c>
      <c r="AU28" s="355">
        <f>NORMSDIST((_xlfn.NORM.S.INV(AB28)-(SQRT(Baseline!$AF$11)*'MacroPD-Cal'!$AP$6))/SQRT(1-Baseline!$AF$11))</f>
        <v>9.6283538219632753E-4</v>
      </c>
      <c r="AV28" s="355">
        <f>NORMSDIST((_xlfn.NORM.S.INV(AC28)-(SQRT(Baseline!$AF$11)*'MacroPD-Cal'!$AP$7))/SQRT(1-Baseline!$AF$11))</f>
        <v>1.4857029026503219E-3</v>
      </c>
      <c r="AW28" s="355">
        <f>NORMSDIST((_xlfn.NORM.S.INV(AD28)-(SQRT(Baseline!$AF$11)*'MacroPD-Cal'!$AP$8))/SQRT(1-Baseline!$AF$11))</f>
        <v>3.0925341267941881E-3</v>
      </c>
      <c r="AX28" s="355">
        <f>NORMSDIST((_xlfn.NORM.S.INV(AE28)-(SQRT(Baseline!$AF$11)*'MacroPD-Cal'!$AP$9))/SQRT(1-Baseline!$AF$11))</f>
        <v>3.7845971959031793E-3</v>
      </c>
      <c r="AY28" s="355">
        <f t="shared" si="11"/>
        <v>4.4269505451262071E-4</v>
      </c>
      <c r="AZ28" s="355">
        <f t="shared" si="12"/>
        <v>9.8642129179948856E-4</v>
      </c>
      <c r="BA28" s="355">
        <f t="shared" si="13"/>
        <v>1.5443473705428756E-3</v>
      </c>
      <c r="BB28" s="355">
        <f t="shared" si="14"/>
        <v>2.3E-3</v>
      </c>
      <c r="BC28" s="355"/>
      <c r="BD28" s="355"/>
      <c r="BE28" s="355"/>
      <c r="BF28" s="355"/>
      <c r="BG28" s="355">
        <f>NORMSDIST((_xlfn.NORM.S.INV($AA28)-(SQRT(Baseline!$AF$11)*'MacroPD-Cal'!$BF$2))/SQRT(1-Baseline!$AF$11))</f>
        <v>4.1342320130309892E-4</v>
      </c>
      <c r="BH28" s="355">
        <f>NORMSDIST((_xlfn.NORM.S.INV($AA28)-(SQRT(Baseline!$AF$11)*'MacroPD-Cal'!$BF$3))/SQRT(1-Baseline!$AF$11))</f>
        <v>6.3788085014100258E-4</v>
      </c>
      <c r="BI28" s="355">
        <f>NORMSDIST((_xlfn.NORM.S.INV($AA28)-(SQRT(Baseline!$AF$11)*'MacroPD-Cal'!$BF$4))/SQRT(1-Baseline!$AF$11))</f>
        <v>1.0193662301010854E-3</v>
      </c>
      <c r="BJ28" s="355">
        <f>NORMSDIST((_xlfn.NORM.S.INV($AA28)-(SQRT(Baseline!$AF$11)*'MacroPD-Cal'!$BF$5))/SQRT(1-Baseline!$AF$11))</f>
        <v>1.440641783092191E-3</v>
      </c>
      <c r="BK28" s="355">
        <f>NORMSDIST((_xlfn.NORM.S.INV($AB28)-(SQRT(Baseline!$AF$11)*'MacroPD-Cal'!$BF$6))/SQRT(1-Baseline!$AF$11))</f>
        <v>7.4598562353593769E-3</v>
      </c>
      <c r="BL28" s="355">
        <f>NORMSDIST((_xlfn.NORM.S.INV($AC28)-(SQRT(Baseline!$AF$11)*'MacroPD-Cal'!$BF$7))/SQRT(1-Baseline!$AF$11))</f>
        <v>5.0809974643970662E-4</v>
      </c>
      <c r="BM28" s="355">
        <f>NORMSDIST((_xlfn.NORM.S.INV($AD28)-(SQRT(Baseline!$AF$11)*'MacroPD-Cal'!$BF$8))/SQRT(1-Baseline!$AF$11))</f>
        <v>1.6432871005426896E-3</v>
      </c>
      <c r="BN28" s="355">
        <f>NORMSDIST((_xlfn.NORM.S.INV($AE28)-(SQRT(Baseline!$AF$11)*'MacroPD-Cal'!$BF$9))/SQRT(1-Baseline!$AF$11))</f>
        <v>2.8207822042464986E-3</v>
      </c>
      <c r="BO28" s="355">
        <f t="shared" si="15"/>
        <v>4.1342320130309892E-4</v>
      </c>
      <c r="BP28" s="355">
        <f t="shared" si="16"/>
        <v>1.0510403367010035E-3</v>
      </c>
      <c r="BQ28" s="355">
        <f t="shared" si="17"/>
        <v>2.0693351717764319E-3</v>
      </c>
      <c r="BR28" s="355">
        <f t="shared" si="18"/>
        <v>3.5000000000000001E-3</v>
      </c>
      <c r="BS28" s="355"/>
      <c r="BT28" s="355"/>
      <c r="BU28" s="355"/>
      <c r="BV28" s="355">
        <f>NORMSDIST((_xlfn.NORM.S.INV($AA28)-(SQRT(Baseline!$AF$11)*'MacroPD-Cal'!$BU$2))/SQRT(1-Baseline!$AF$11))</f>
        <v>3.9366334144059221E-4</v>
      </c>
      <c r="BW28" s="355">
        <f>NORMSDIST((_xlfn.NORM.S.INV($AA28)-(SQRT(Baseline!$AF$11)*'MacroPD-Cal'!$BU$3))/SQRT(1-Baseline!$AF$11))</f>
        <v>6.7474993343142025E-4</v>
      </c>
      <c r="BX28" s="355">
        <f>NORMSDIST((_xlfn.NORM.S.INV($AA28)-(SQRT(Baseline!$AF$11)*'MacroPD-Cal'!$BU$4))/SQRT(1-Baseline!$AF$11))</f>
        <v>9.3546318738012074E-4</v>
      </c>
      <c r="BY28" s="355">
        <f>NORMSDIST((_xlfn.NORM.S.INV($AA28)-(SQRT(Baseline!$AF$11)*'MacroPD-Cal'!$BU$5))/SQRT(1-Baseline!$AF$11))</f>
        <v>1.2345561431517116E-3</v>
      </c>
      <c r="BZ28" s="355">
        <f>NORMSDIST((_xlfn.NORM.S.INV($AB28)-(SQRT(Baseline!$AF$11)*'MacroPD-Cal'!$BU$6))/SQRT(1-Baseline!$AF$11))</f>
        <v>2.794679019068342E-3</v>
      </c>
      <c r="CA28" s="355">
        <f>NORMSDIST((_xlfn.NORM.S.INV($AC28)-(SQRT(Baseline!$AF$11)*'MacroPD-Cal'!$BU33))/SQRT(1-Baseline!$AF$11))</f>
        <v>1.3379165766887928E-3</v>
      </c>
      <c r="CB28" s="355">
        <f>NORMSDIST((_xlfn.NORM.S.INV($AD28)-(SQRT(Baseline!$AF$11)*'MacroPD-Cal'!$BU$8))/SQRT(1-Baseline!$AF$11))</f>
        <v>3.116908177295501E-3</v>
      </c>
      <c r="CC28" s="355">
        <f>NORMSDIST((_xlfn.NORM.S.INV($AE28)-(SQRT(Baseline!$AF$11)*'MacroPD-Cal'!$BU$9))/SQRT(1-Baseline!$AF$11))</f>
        <v>2.8999620296685717E-3</v>
      </c>
      <c r="CD28" s="355">
        <f t="shared" si="19"/>
        <v>3.9366334144059221E-4</v>
      </c>
      <c r="CE28" s="355">
        <f t="shared" si="20"/>
        <v>1.0681476505586263E-3</v>
      </c>
      <c r="CF28" s="355">
        <f t="shared" si="21"/>
        <v>2.0026116251329329E-3</v>
      </c>
      <c r="CG28" s="355">
        <f t="shared" si="22"/>
        <v>3.2000000000000002E-3</v>
      </c>
      <c r="CH28" s="355"/>
      <c r="CI28" s="355"/>
      <c r="CL28" s="168"/>
      <c r="CM28" s="168"/>
      <c r="CN28" s="168"/>
      <c r="CO28" s="168"/>
      <c r="CP28" s="168"/>
      <c r="CR28" s="345">
        <f t="shared" si="23"/>
        <v>0.16287382608282491</v>
      </c>
      <c r="CS28" s="345">
        <f t="shared" si="24"/>
        <v>0.39027789308352884</v>
      </c>
      <c r="CT28" s="345">
        <f t="shared" si="25"/>
        <v>0.65586276662430099</v>
      </c>
      <c r="CU28" s="345">
        <f t="shared" si="26"/>
        <v>1</v>
      </c>
    </row>
    <row r="29" spans="1:99" s="166" customFormat="1" x14ac:dyDescent="0.25">
      <c r="A29" s="464">
        <v>1100000005</v>
      </c>
      <c r="B29" s="470">
        <f>VLOOKUP(A29,'Ref-Data'!A:I,9,FALSE)</f>
        <v>1</v>
      </c>
      <c r="C29" s="445">
        <f>IF(B29="Matured","",VLOOKUP(A29,'Adjustment Factor'!A:C,3,0))</f>
        <v>1.1661702555310061</v>
      </c>
      <c r="D29" s="190">
        <f>VLOOKUP(A29,'Ref-Data'!A:C,2,FALSE)</f>
        <v>2107734</v>
      </c>
      <c r="E29" s="471">
        <f>IFERROR(IF(VLOOKUP(A29,'Updated Ncino PD'!$A:$K,4,0)=0,"",VLOOKUP(A29,'Updated Ncino PD'!$A:$K,4,0)),AF29)</f>
        <v>1.5668594320357343E-3</v>
      </c>
      <c r="F29" s="472">
        <f>IFERROR(IF(VLOOKUP(A29,'Updated Ncino PD'!$A:$K,5,0)=0,"",VLOOKUP(A29,'Updated Ncino PD'!$A:$K,5,0)),1-((1-AG29)*(1-E29)))</f>
        <v>3.6799099708146876E-3</v>
      </c>
      <c r="G29" s="472">
        <f>IFERROR(IF(VLOOKUP(A29,'Updated Ncino PD'!$A:$K,6,0)=0,"",VLOOKUP(A29,'Updated Ncino PD'!$A:$K,6,0)),1-((1-AF29)*(1-AG29)*(1-AH29)))</f>
        <v>6.1051135059940753E-3</v>
      </c>
      <c r="H29" s="472">
        <f>IFERROR(IF(VLOOKUP(A29,'Updated Ncino PD'!$A:$K,7,0)=0,"",VLOOKUP(A29,'Updated Ncino PD'!$A:$K,7,0)),IFERROR(VLOOKUP(A29,'Updated Ncino PD'!A:B,2,FALSE),FLOOR(1-((1-AG29)*(1-AH29)*(1-AI29)*(1-AF29)),$R$11)))</f>
        <v>9.300000000000001E-3</v>
      </c>
      <c r="I29" s="472">
        <f>IFERROR(IF(VLOOKUP(A29,'Updated Ncino PD'!$A:$K,8,0)=0,"",VLOOKUP(A29,'Updated Ncino PD'!$A:$K,8,0)),FLOOR(1-((1-H29)*(1-AJ29)),$R$11))</f>
        <v>1.4200000000000001E-2</v>
      </c>
      <c r="J29" s="472">
        <f>IFERROR(IF(VLOOKUP(A29,'Updated Ncino PD'!$A:$K,9,0)=0,"",VLOOKUP(A29,'Updated Ncino PD'!$A:$K,9,0)),FLOOR(1-((1-H29)*(1-AJ29)*(1-AK29)),$R$11))</f>
        <v>1.7000000000000001E-2</v>
      </c>
      <c r="K29" s="472">
        <f>IFERROR(IF(VLOOKUP(A29,'Updated Ncino PD'!$A:$K,10,0)=0,"",VLOOKUP(A29,'Updated Ncino PD'!$A:$K,10,0)),FLOOR(1-((1-H29)*(1-AJ29)*(1-AK29)*(1-AL29)),$R$11))</f>
        <v>2.4300000000000002E-2</v>
      </c>
      <c r="L29" s="472">
        <f>IFERROR(IF(VLOOKUP(A29,'Updated Ncino PD'!$A:$K,11,0)=0,"",VLOOKUP(A29,'Updated Ncino PD'!$A:$K,11,0)),FLOOR(1-((1-H29)*(1-AJ29)*(1-AK29)*(1-AL29)*(1-AM29)),$R$11))</f>
        <v>3.1900000000000005E-2</v>
      </c>
      <c r="M29" s="224">
        <f>VLOOKUP(A29,'Ref-Data'!$A:$F,6,FALSE)</f>
        <v>4.470910335386721</v>
      </c>
      <c r="N29" s="191">
        <f t="shared" si="3"/>
        <v>9.300000000000001E-3</v>
      </c>
      <c r="O29" s="191">
        <f t="shared" si="4"/>
        <v>3.1900000000000005E-2</v>
      </c>
      <c r="P29" s="459" t="str">
        <f>VLOOKUP(A29,'Loan Book Summary'!C:G,5,FALSE)</f>
        <v>0014I00001or3M2</v>
      </c>
      <c r="S29" s="203"/>
      <c r="T29" s="332">
        <f>IFERROR(VLOOKUP($P29,'Model Output-LoanNameUpdate'!$A:$K,2,FALSE),CL29)</f>
        <v>7.0200000000000002E-3</v>
      </c>
      <c r="U29" s="332">
        <f>1-(1-IFERROR(VLOOKUP($P29,'Model Output-LoanNameUpdate'!$A:$K,2,FALSE),CL29))^(1/4)</f>
        <v>1.7596390483450852E-3</v>
      </c>
      <c r="V29" s="332">
        <f>IFERROR(VLOOKUP($P29,'Model Output-LoanNameUpdate'!$A:$K,3,FALSE),CM29)</f>
        <v>6.8299999999999993E-3</v>
      </c>
      <c r="W29" s="332">
        <f>IFERROR(VLOOKUP($P29,'Model Output-LoanNameUpdate'!$A:$K,4,FALSE),CN29)</f>
        <v>6.685E-3</v>
      </c>
      <c r="X29" s="332">
        <f>IFERROR(VLOOKUP($P29,'Model Output-LoanNameUpdate'!$A:$K,5,FALSE),CO29)</f>
        <v>6.5799999999999999E-3</v>
      </c>
      <c r="Y29" s="332">
        <f>IFERROR(VLOOKUP($P29,'Model Output-LoanNameUpdate'!$A:$K,6,FALSE),CP29)</f>
        <v>6.5399999999999998E-3</v>
      </c>
      <c r="Z29" s="207">
        <f t="shared" si="5"/>
        <v>1.1661702555310061</v>
      </c>
      <c r="AA29" s="208">
        <f t="shared" si="6"/>
        <v>2.0520387186509243E-3</v>
      </c>
      <c r="AB29" s="208">
        <f t="shared" si="7"/>
        <v>7.9649428452767713E-3</v>
      </c>
      <c r="AC29" s="208">
        <f t="shared" si="8"/>
        <v>7.7958481582247755E-3</v>
      </c>
      <c r="AD29" s="208">
        <f t="shared" si="9"/>
        <v>7.6734002813940196E-3</v>
      </c>
      <c r="AE29" s="208">
        <f t="shared" si="10"/>
        <v>7.6267534711727796E-3</v>
      </c>
      <c r="AF29" s="332">
        <f>NORMSDIST((_xlfn.NORM.S.INV(AA29)-(SQRT(Baseline!$AF$11)*'MacroPD-Cal'!$R$2))/SQRT(1-Baseline!$AF$11))</f>
        <v>1.5668594320357343E-3</v>
      </c>
      <c r="AG29" s="332">
        <f>NORMSDIST((_xlfn.NORM.S.INV(AA29)-(SQRT(Baseline!$AF$11)*'MacroPD-Cal'!$R$3))/SQRT(1-Baseline!$AF$11))</f>
        <v>2.1163665877286333E-3</v>
      </c>
      <c r="AH29" s="332">
        <f>NORMSDIST((_xlfn.NORM.S.INV(AA29)-(SQRT(Baseline!$AF$11)*'MacroPD-Cal'!$R$4))/SQRT(1-Baseline!$AF$11))</f>
        <v>2.4341610286191221E-3</v>
      </c>
      <c r="AI29" s="332">
        <f>NORMSDIST((_xlfn.NORM.S.INV(AA29)-(SQRT(Baseline!$AF$11)*'MacroPD-Cal'!$R$5))/SQRT(1-Baseline!$AF$11))</f>
        <v>3.2393354006386319E-3</v>
      </c>
      <c r="AJ29" s="332">
        <f>NORMSDIST((_xlfn.NORM.S.INV(AB29)-(SQRT(Baseline!$AF$11)*'MacroPD-Cal'!$R$6))/SQRT(1-Baseline!$AF$11))</f>
        <v>4.9564606519559096E-3</v>
      </c>
      <c r="AK29" s="332">
        <f>NORMSDIST((_xlfn.NORM.S.INV(AC29)-(SQRT(Baseline!$AF$11)*'MacroPD-Cal'!$R$7))/SQRT(1-Baseline!$AF$11))</f>
        <v>2.9301470053982835E-3</v>
      </c>
      <c r="AL29" s="332">
        <f>NORMSDIST((_xlfn.NORM.S.INV(AD29)-(SQRT(Baseline!$AF$11)*'MacroPD-Cal'!$R$8))/SQRT(1-Baseline!$AF$11))</f>
        <v>7.3593759946292839E-3</v>
      </c>
      <c r="AM29" s="332">
        <f>NORMSDIST((_xlfn.NORM.S.INV(AE29)-(SQRT(Baseline!$AF$11)*'MacroPD-Cal'!$R$9))/SQRT(1-Baseline!$AF$11))</f>
        <v>7.7699692507445933E-3</v>
      </c>
      <c r="AO29" s="355"/>
      <c r="AP29" s="355"/>
      <c r="AQ29" s="355">
        <f>NORMSDIST((_xlfn.NORM.S.INV(AA29)-(SQRT(Baseline!$AF$11)*'MacroPD-Cal'!$AP$2))/SQRT(1-Baseline!$AF$11))</f>
        <v>1.6307697960240388E-3</v>
      </c>
      <c r="AR29" s="355">
        <f>NORMSDIST((_xlfn.NORM.S.INV(AA29)-(SQRT(Baseline!$AF$11)*'MacroPD-Cal'!$AP$3))/SQRT(1-Baseline!$AF$11))</f>
        <v>1.962865482710555E-3</v>
      </c>
      <c r="AS29" s="355">
        <f>NORMSDIST((_xlfn.NORM.S.INV(AA29)-(SQRT(Baseline!$AF$11)*'MacroPD-Cal'!$AP$4))/SQRT(1-Baseline!$AF$11))</f>
        <v>2.0098712376961313E-3</v>
      </c>
      <c r="AT29" s="355">
        <f>NORMSDIST((_xlfn.NORM.S.INV(AA29)-(SQRT(Baseline!$AF$11)*'MacroPD-Cal'!$AP$5))/SQRT(1-Baseline!$AF$11))</f>
        <v>2.7306125029187742E-3</v>
      </c>
      <c r="AU29" s="355">
        <f>NORMSDIST((_xlfn.NORM.S.INV(AB29)-(SQRT(Baseline!$AF$11)*'MacroPD-Cal'!$AP$6))/SQRT(1-Baseline!$AF$11))</f>
        <v>3.1870449704498776E-3</v>
      </c>
      <c r="AV29" s="355">
        <f>NORMSDIST((_xlfn.NORM.S.INV(AC29)-(SQRT(Baseline!$AF$11)*'MacroPD-Cal'!$AP$7))/SQRT(1-Baseline!$AF$11))</f>
        <v>4.1628148015159499E-3</v>
      </c>
      <c r="AW29" s="355">
        <f>NORMSDIST((_xlfn.NORM.S.INV(AD29)-(SQRT(Baseline!$AF$11)*'MacroPD-Cal'!$AP$8))/SQRT(1-Baseline!$AF$11))</f>
        <v>7.5485467754376019E-3</v>
      </c>
      <c r="AX29" s="355">
        <f>NORMSDIST((_xlfn.NORM.S.INV(AE29)-(SQRT(Baseline!$AF$11)*'MacroPD-Cal'!$AP$9))/SQRT(1-Baseline!$AF$11))</f>
        <v>8.5669376417025246E-3</v>
      </c>
      <c r="AY29" s="355">
        <f t="shared" si="11"/>
        <v>1.6307697960240388E-3</v>
      </c>
      <c r="AZ29" s="355">
        <f t="shared" si="12"/>
        <v>3.5904342969916847E-3</v>
      </c>
      <c r="BA29" s="355">
        <f t="shared" si="13"/>
        <v>5.59308922406343E-3</v>
      </c>
      <c r="BB29" s="355">
        <f t="shared" si="14"/>
        <v>8.3000000000000001E-3</v>
      </c>
      <c r="BC29" s="355"/>
      <c r="BD29" s="355"/>
      <c r="BE29" s="355"/>
      <c r="BF29" s="355"/>
      <c r="BG29" s="355">
        <f>NORMSDIST((_xlfn.NORM.S.INV($AA29)-(SQRT(Baseline!$AF$11)*'MacroPD-Cal'!$BF$2))/SQRT(1-Baseline!$AF$11))</f>
        <v>1.5333285164576091E-3</v>
      </c>
      <c r="BH29" s="355">
        <f>NORMSDIST((_xlfn.NORM.S.INV($AA29)-(SQRT(Baseline!$AF$11)*'MacroPD-Cal'!$BF$3))/SQRT(1-Baseline!$AF$11))</f>
        <v>2.2648475477239742E-3</v>
      </c>
      <c r="BI29" s="355">
        <f>NORMSDIST((_xlfn.NORM.S.INV($AA29)-(SQRT(Baseline!$AF$11)*'MacroPD-Cal'!$BF$4))/SQRT(1-Baseline!$AF$11))</f>
        <v>3.4476444981684814E-3</v>
      </c>
      <c r="BJ29" s="355">
        <f>NORMSDIST((_xlfn.NORM.S.INV($AA29)-(SQRT(Baseline!$AF$11)*'MacroPD-Cal'!$BF$5))/SQRT(1-Baseline!$AF$11))</f>
        <v>4.6958586504012231E-3</v>
      </c>
      <c r="BK29" s="355">
        <f>NORMSDIST((_xlfn.NORM.S.INV($AB29)-(SQRT(Baseline!$AF$11)*'MacroPD-Cal'!$BF$6))/SQRT(1-Baseline!$AF$11))</f>
        <v>1.9663491572400112E-2</v>
      </c>
      <c r="BL29" s="355">
        <f>NORMSDIST((_xlfn.NORM.S.INV($AC29)-(SQRT(Baseline!$AF$11)*'MacroPD-Cal'!$BF$7))/SQRT(1-Baseline!$AF$11))</f>
        <v>1.5689631433776919E-3</v>
      </c>
      <c r="BM29" s="355">
        <f>NORMSDIST((_xlfn.NORM.S.INV($AD29)-(SQRT(Baseline!$AF$11)*'MacroPD-Cal'!$BF$8))/SQRT(1-Baseline!$AF$11))</f>
        <v>4.2464895999110921E-3</v>
      </c>
      <c r="BN29" s="355">
        <f>NORMSDIST((_xlfn.NORM.S.INV($AE29)-(SQRT(Baseline!$AF$11)*'MacroPD-Cal'!$BF$9))/SQRT(1-Baseline!$AF$11))</f>
        <v>6.5500858325154487E-3</v>
      </c>
      <c r="BO29" s="355">
        <f t="shared" si="15"/>
        <v>1.5333285164576091E-3</v>
      </c>
      <c r="BP29" s="355">
        <f t="shared" si="16"/>
        <v>3.7947033088512327E-3</v>
      </c>
      <c r="BQ29" s="355">
        <f t="shared" si="17"/>
        <v>7.2292650190347585E-3</v>
      </c>
      <c r="BR29" s="355">
        <f t="shared" si="18"/>
        <v>1.18E-2</v>
      </c>
      <c r="BS29" s="355"/>
      <c r="BT29" s="355"/>
      <c r="BU29" s="355"/>
      <c r="BV29" s="355">
        <f>NORMSDIST((_xlfn.NORM.S.INV($AA29)-(SQRT(Baseline!$AF$11)*'MacroPD-Cal'!$BU$2))/SQRT(1-Baseline!$AF$11))</f>
        <v>1.4671384859835045E-3</v>
      </c>
      <c r="BW29" s="355">
        <f>NORMSDIST((_xlfn.NORM.S.INV($AA29)-(SQRT(Baseline!$AF$11)*'MacroPD-Cal'!$BU$3))/SQRT(1-Baseline!$AF$11))</f>
        <v>2.382034614912292E-3</v>
      </c>
      <c r="BX29" s="355">
        <f>NORMSDIST((_xlfn.NORM.S.INV($AA29)-(SQRT(Baseline!$AF$11)*'MacroPD-Cal'!$BU$4))/SQRT(1-Baseline!$AF$11))</f>
        <v>3.1925543089136353E-3</v>
      </c>
      <c r="BY29" s="355">
        <f>NORMSDIST((_xlfn.NORM.S.INV($AA29)-(SQRT(Baseline!$AF$11)*'MacroPD-Cal'!$BU$5))/SQRT(1-Baseline!$AF$11))</f>
        <v>4.0914362441451758E-3</v>
      </c>
      <c r="BZ29" s="355">
        <f>NORMSDIST((_xlfn.NORM.S.INV($AB29)-(SQRT(Baseline!$AF$11)*'MacroPD-Cal'!$BU$6))/SQRT(1-Baseline!$AF$11))</f>
        <v>8.2565368080617773E-3</v>
      </c>
      <c r="CA29" s="355">
        <f>NORMSDIST((_xlfn.NORM.S.INV($AC29)-(SQRT(Baseline!$AF$11)*'MacroPD-Cal'!$BU34))/SQRT(1-Baseline!$AF$11))</f>
        <v>3.7857374131569071E-3</v>
      </c>
      <c r="CB29" s="355">
        <f>NORMSDIST((_xlfn.NORM.S.INV($AD29)-(SQRT(Baseline!$AF$11)*'MacroPD-Cal'!$BU$8))/SQRT(1-Baseline!$AF$11))</f>
        <v>7.6025130431704377E-3</v>
      </c>
      <c r="CC29" s="355">
        <f>NORMSDIST((_xlfn.NORM.S.INV($AE29)-(SQRT(Baseline!$AF$11)*'MacroPD-Cal'!$BU$9))/SQRT(1-Baseline!$AF$11))</f>
        <v>6.7179809739527909E-3</v>
      </c>
      <c r="CD29" s="355">
        <f t="shared" si="19"/>
        <v>1.4671384859835045E-3</v>
      </c>
      <c r="CE29" s="355">
        <f t="shared" si="20"/>
        <v>3.8456783262372785E-3</v>
      </c>
      <c r="CF29" s="355">
        <f t="shared" si="21"/>
        <v>7.0259550982397778E-3</v>
      </c>
      <c r="CG29" s="355">
        <f t="shared" si="22"/>
        <v>1.1000000000000001E-2</v>
      </c>
      <c r="CH29" s="355"/>
      <c r="CI29" s="355"/>
      <c r="CL29" s="168"/>
      <c r="CM29" s="168"/>
      <c r="CN29" s="168"/>
      <c r="CO29" s="168"/>
      <c r="CP29" s="168"/>
      <c r="CR29" s="345">
        <f t="shared" si="23"/>
        <v>0.16847950882104668</v>
      </c>
      <c r="CS29" s="345">
        <f t="shared" si="24"/>
        <v>0.39568924417362228</v>
      </c>
      <c r="CT29" s="345">
        <f t="shared" si="25"/>
        <v>0.65646381784882524</v>
      </c>
      <c r="CU29" s="345">
        <f t="shared" si="26"/>
        <v>1</v>
      </c>
    </row>
    <row r="30" spans="1:99" s="166" customFormat="1" x14ac:dyDescent="0.25">
      <c r="A30" s="464">
        <v>1200000152</v>
      </c>
      <c r="B30" s="470">
        <f>VLOOKUP(A30,'Ref-Data'!A:I,9,FALSE)</f>
        <v>1</v>
      </c>
      <c r="C30" s="445">
        <f>IF(B30="Matured","",VLOOKUP(A30,'Adjustment Factor'!A:C,3,0))</f>
        <v>1.01</v>
      </c>
      <c r="D30" s="190">
        <f>VLOOKUP(A30,'Ref-Data'!A:C,2,FALSE)</f>
        <v>3500000</v>
      </c>
      <c r="E30" s="471">
        <f>IFERROR(IF(VLOOKUP(A30,'Updated Ncino PD'!$A:$K,4,0)=0,"",VLOOKUP(A30,'Updated Ncino PD'!$A:$K,4,0)),AF30)</f>
        <v>4.0228091930422216E-3</v>
      </c>
      <c r="F30" s="472">
        <f>IFERROR(IF(VLOOKUP(A30,'Updated Ncino PD'!$A:$K,5,0)=0,"",VLOOKUP(A30,'Updated Ncino PD'!$A:$K,5,0)),1-((1-AG30)*(1-E30)))</f>
        <v>9.2938867723136864E-3</v>
      </c>
      <c r="G30" s="472">
        <f>IFERROR(IF(VLOOKUP(A30,'Updated Ncino PD'!$A:$K,6,0)=0,"",VLOOKUP(A30,'Updated Ncino PD'!$A:$K,6,0)),1-((1-AF30)*(1-AG30)*(1-AH30)))</f>
        <v>1.5249624684039231E-2</v>
      </c>
      <c r="H30" s="472">
        <f>IFERROR(IF(VLOOKUP(A30,'Updated Ncino PD'!$A:$K,7,0)=0,"",VLOOKUP(A30,'Updated Ncino PD'!$A:$K,7,0)),IFERROR(VLOOKUP(A30,'Updated Ncino PD'!A:B,2,FALSE),FLOOR(1-((1-AG30)*(1-AH30)*(1-AI30)*(1-AF30)),$R$11)))</f>
        <v>2.29E-2</v>
      </c>
      <c r="I30" s="472">
        <f>IFERROR(IF(VLOOKUP(A30,'Updated Ncino PD'!$A:$K,8,0)=0,"",VLOOKUP(A30,'Updated Ncino PD'!$A:$K,8,0)),FLOOR(1-((1-H30)*(1-AJ30)),$R$11))</f>
        <v>3.2899999999999999E-2</v>
      </c>
      <c r="J30" s="472">
        <f>IFERROR(IF(VLOOKUP(A30,'Updated Ncino PD'!$A:$K,9,0)=0,"",VLOOKUP(A30,'Updated Ncino PD'!$A:$K,9,0)),FLOOR(1-((1-H30)*(1-AJ30)*(1-AK30)),$R$11))</f>
        <v>3.8300000000000001E-2</v>
      </c>
      <c r="K30" s="472">
        <f>IFERROR(IF(VLOOKUP(A30,'Updated Ncino PD'!$A:$K,10,0)=0,"",VLOOKUP(A30,'Updated Ncino PD'!$A:$K,10,0)),FLOOR(1-((1-H30)*(1-AJ30)*(1-AK30)*(1-AL30)),$R$11))</f>
        <v>4.9700000000000001E-2</v>
      </c>
      <c r="L30" s="472">
        <f>IFERROR(IF(VLOOKUP(A30,'Updated Ncino PD'!$A:$K,11,0)=0,"",VLOOKUP(A30,'Updated Ncino PD'!$A:$K,11,0)),FLOOR(1-((1-H30)*(1-AJ30)*(1-AK30)*(1-AL30)*(1-AM30)),$R$11))</f>
        <v>6.08E-2</v>
      </c>
      <c r="M30" s="224">
        <f>VLOOKUP(A30,'Ref-Data'!$A:$F,6,FALSE)</f>
        <v>0.99657768651608492</v>
      </c>
      <c r="N30" s="191">
        <f t="shared" si="3"/>
        <v>2.2822530227254667E-2</v>
      </c>
      <c r="O30" s="191">
        <f t="shared" si="4"/>
        <v>2.29E-2</v>
      </c>
      <c r="P30" s="459" t="str">
        <f>VLOOKUP(A30,'Loan Book Summary'!C:G,5,FALSE)</f>
        <v>0015800000z8vOY</v>
      </c>
      <c r="S30" s="203"/>
      <c r="T30" s="332">
        <f>IFERROR(VLOOKUP($P30,'Model Output-LoanNameUpdate'!$A:$K,2,FALSE),CL30)</f>
        <v>1.8619999999999998E-2</v>
      </c>
      <c r="U30" s="332">
        <f>1-(1-IFERROR(VLOOKUP($P30,'Model Output-LoanNameUpdate'!$A:$K,2,FALSE),CL30))^(1/4)</f>
        <v>4.6878611635342571E-3</v>
      </c>
      <c r="V30" s="332">
        <f>IFERROR(VLOOKUP($P30,'Model Output-LoanNameUpdate'!$A:$K,3,FALSE),CM30)</f>
        <v>1.4779999999999998E-2</v>
      </c>
      <c r="W30" s="332">
        <f>IFERROR(VLOOKUP($P30,'Model Output-LoanNameUpdate'!$A:$K,4,FALSE),CN30)</f>
        <v>1.2939999999999998E-2</v>
      </c>
      <c r="X30" s="332">
        <f>IFERROR(VLOOKUP($P30,'Model Output-LoanNameUpdate'!$A:$K,5,FALSE),CO30)</f>
        <v>1.174E-2</v>
      </c>
      <c r="Y30" s="332">
        <f>IFERROR(VLOOKUP($P30,'Model Output-LoanNameUpdate'!$A:$K,6,FALSE),CP30)</f>
        <v>1.094E-2</v>
      </c>
      <c r="Z30" s="207">
        <f t="shared" si="5"/>
        <v>1.01</v>
      </c>
      <c r="AA30" s="208">
        <f t="shared" si="6"/>
        <v>4.7347397751695995E-3</v>
      </c>
      <c r="AB30" s="208">
        <f t="shared" si="7"/>
        <v>1.4927799999999998E-2</v>
      </c>
      <c r="AC30" s="208">
        <f t="shared" si="8"/>
        <v>1.3069399999999998E-2</v>
      </c>
      <c r="AD30" s="208">
        <f t="shared" si="9"/>
        <v>1.1857400000000001E-2</v>
      </c>
      <c r="AE30" s="208">
        <f t="shared" si="10"/>
        <v>1.1049400000000001E-2</v>
      </c>
      <c r="AF30" s="332">
        <f>NORMSDIST((_xlfn.NORM.S.INV(AA30)-(SQRT(Baseline!$AF$11)*'MacroPD-Cal'!$R$2))/SQRT(1-Baseline!$AF$11))</f>
        <v>4.0228091930422216E-3</v>
      </c>
      <c r="AG30" s="332">
        <f>NORMSDIST((_xlfn.NORM.S.INV(AA30)-(SQRT(Baseline!$AF$11)*'MacroPD-Cal'!$R$3))/SQRT(1-Baseline!$AF$11))</f>
        <v>5.2923677649693692E-3</v>
      </c>
      <c r="AH30" s="332">
        <f>NORMSDIST((_xlfn.NORM.S.INV(AA30)-(SQRT(Baseline!$AF$11)*'MacroPD-Cal'!$R$4))/SQRT(1-Baseline!$AF$11))</f>
        <v>6.0116091262644306E-3</v>
      </c>
      <c r="AI30" s="332">
        <f>NORMSDIST((_xlfn.NORM.S.INV(AA30)-(SQRT(Baseline!$AF$11)*'MacroPD-Cal'!$R$5))/SQRT(1-Baseline!$AF$11))</f>
        <v>7.7953399622171914E-3</v>
      </c>
      <c r="AJ30" s="332">
        <f>NORMSDIST((_xlfn.NORM.S.INV(AB30)-(SQRT(Baseline!$AF$11)*'MacroPD-Cal'!$R$6))/SQRT(1-Baseline!$AF$11))</f>
        <v>1.0294050029941305E-2</v>
      </c>
      <c r="AK30" s="332">
        <f>NORMSDIST((_xlfn.NORM.S.INV(AC30)-(SQRT(Baseline!$AF$11)*'MacroPD-Cal'!$R$7))/SQRT(1-Baseline!$AF$11))</f>
        <v>5.5260325011350416E-3</v>
      </c>
      <c r="AL30" s="332">
        <f>NORMSDIST((_xlfn.NORM.S.INV(AD30)-(SQRT(Baseline!$AF$11)*'MacroPD-Cal'!$R$8))/SQRT(1-Baseline!$AF$11))</f>
        <v>1.1913205653924893E-2</v>
      </c>
      <c r="AM30" s="332">
        <f>NORMSDIST((_xlfn.NORM.S.INV(AE30)-(SQRT(Baseline!$AF$11)*'MacroPD-Cal'!$R$9))/SQRT(1-Baseline!$AF$11))</f>
        <v>1.1678351059135632E-2</v>
      </c>
      <c r="AO30" s="355"/>
      <c r="AP30" s="355"/>
      <c r="AQ30" s="355">
        <f>NORMSDIST((_xlfn.NORM.S.INV(AA30)-(SQRT(Baseline!$AF$11)*'MacroPD-Cal'!$AP$2))/SQRT(1-Baseline!$AF$11))</f>
        <v>4.1724010834586133E-3</v>
      </c>
      <c r="AR30" s="355">
        <f>NORMSDIST((_xlfn.NORM.S.INV(AA30)-(SQRT(Baseline!$AF$11)*'MacroPD-Cal'!$AP$3))/SQRT(1-Baseline!$AF$11))</f>
        <v>4.9412905123306415E-3</v>
      </c>
      <c r="AS30" s="355">
        <f>NORMSDIST((_xlfn.NORM.S.INV(AA30)-(SQRT(Baseline!$AF$11)*'MacroPD-Cal'!$AP$4))/SQRT(1-Baseline!$AF$11))</f>
        <v>5.049070030349676E-3</v>
      </c>
      <c r="AT30" s="355">
        <f>NORMSDIST((_xlfn.NORM.S.INV(AA30)-(SQRT(Baseline!$AF$11)*'MacroPD-Cal'!$AP$5))/SQRT(1-Baseline!$AF$11))</f>
        <v>6.6742818246545736E-3</v>
      </c>
      <c r="AU30" s="355">
        <f>NORMSDIST((_xlfn.NORM.S.INV(AB30)-(SQRT(Baseline!$AF$11)*'MacroPD-Cal'!$AP$6))/SQRT(1-Baseline!$AF$11))</f>
        <v>6.8603878461768984E-3</v>
      </c>
      <c r="AV30" s="355">
        <f>NORMSDIST((_xlfn.NORM.S.INV(AC30)-(SQRT(Baseline!$AF$11)*'MacroPD-Cal'!$AP$7))/SQRT(1-Baseline!$AF$11))</f>
        <v>7.6727330220681825E-3</v>
      </c>
      <c r="AW30" s="355">
        <f>NORMSDIST((_xlfn.NORM.S.INV(AD30)-(SQRT(Baseline!$AF$11)*'MacroPD-Cal'!$AP$8))/SQRT(1-Baseline!$AF$11))</f>
        <v>1.2201252726122113E-2</v>
      </c>
      <c r="AX30" s="355">
        <f>NORMSDIST((_xlfn.NORM.S.INV(AE30)-(SQRT(Baseline!$AF$11)*'MacroPD-Cal'!$AP$9))/SQRT(1-Baseline!$AF$11))</f>
        <v>1.2813219544542375E-2</v>
      </c>
      <c r="AY30" s="355">
        <f t="shared" si="11"/>
        <v>4.1724010834586133E-3</v>
      </c>
      <c r="AZ30" s="355">
        <f t="shared" si="12"/>
        <v>9.0930745499019361E-3</v>
      </c>
      <c r="BA30" s="355">
        <f t="shared" si="13"/>
        <v>1.4096233010058024E-2</v>
      </c>
      <c r="BB30" s="355">
        <f t="shared" si="14"/>
        <v>2.06E-2</v>
      </c>
      <c r="BC30" s="355"/>
      <c r="BD30" s="355"/>
      <c r="BE30" s="355"/>
      <c r="BF30" s="355"/>
      <c r="BG30" s="355">
        <f>NORMSDIST((_xlfn.NORM.S.INV($AA30)-(SQRT(Baseline!$AF$11)*'MacroPD-Cal'!$BF$2))/SQRT(1-Baseline!$AF$11))</f>
        <v>3.9440969651976746E-3</v>
      </c>
      <c r="BH30" s="355">
        <f>NORMSDIST((_xlfn.NORM.S.INV($AA30)-(SQRT(Baseline!$AF$11)*'MacroPD-Cal'!$BF$3))/SQRT(1-Baseline!$AF$11))</f>
        <v>5.6296309820173763E-3</v>
      </c>
      <c r="BI30" s="355">
        <f>NORMSDIST((_xlfn.NORM.S.INV($AA30)-(SQRT(Baseline!$AF$11)*'MacroPD-Cal'!$BF$4))/SQRT(1-Baseline!$AF$11))</f>
        <v>8.2491472216107992E-3</v>
      </c>
      <c r="BJ30" s="355">
        <f>NORMSDIST((_xlfn.NORM.S.INV($AA30)-(SQRT(Baseline!$AF$11)*'MacroPD-Cal'!$BF$5))/SQRT(1-Baseline!$AF$11))</f>
        <v>1.0915423763353868E-2</v>
      </c>
      <c r="BK30" s="355">
        <f>NORMSDIST((_xlfn.NORM.S.INV($AB30)-(SQRT(Baseline!$AF$11)*'MacroPD-Cal'!$BF$6))/SQRT(1-Baseline!$AF$11))</f>
        <v>3.6139960350530811E-2</v>
      </c>
      <c r="BL30" s="355">
        <f>NORMSDIST((_xlfn.NORM.S.INV($AC30)-(SQRT(Baseline!$AF$11)*'MacroPD-Cal'!$BF$7))/SQRT(1-Baseline!$AF$11))</f>
        <v>3.0771609818599664E-3</v>
      </c>
      <c r="BM30" s="355">
        <f>NORMSDIST((_xlfn.NORM.S.INV($AD30)-(SQRT(Baseline!$AF$11)*'MacroPD-Cal'!$BF$8))/SQRT(1-Baseline!$AF$11))</f>
        <v>7.0932333584278187E-3</v>
      </c>
      <c r="BN30" s="355">
        <f>NORMSDIST((_xlfn.NORM.S.INV($AE30)-(SQRT(Baseline!$AF$11)*'MacroPD-Cal'!$BF$9))/SQRT(1-Baseline!$AF$11))</f>
        <v>9.9285113540520144E-3</v>
      </c>
      <c r="BO30" s="355">
        <f t="shared" si="15"/>
        <v>3.9440969651976746E-3</v>
      </c>
      <c r="BP30" s="355">
        <f t="shared" si="16"/>
        <v>9.5515241367437609E-3</v>
      </c>
      <c r="BQ30" s="355">
        <f t="shared" si="17"/>
        <v>1.7721879429559828E-2</v>
      </c>
      <c r="BR30" s="355">
        <f t="shared" si="18"/>
        <v>2.8400000000000002E-2</v>
      </c>
      <c r="BS30" s="355"/>
      <c r="BT30" s="355"/>
      <c r="BU30" s="355"/>
      <c r="BV30" s="355">
        <f>NORMSDIST((_xlfn.NORM.S.INV($AA30)-(SQRT(Baseline!$AF$11)*'MacroPD-Cal'!$BU$2))/SQRT(1-Baseline!$AF$11))</f>
        <v>3.7882417299993747E-3</v>
      </c>
      <c r="BW30" s="355">
        <f>NORMSDIST((_xlfn.NORM.S.INV($AA30)-(SQRT(Baseline!$AF$11)*'MacroPD-Cal'!$BU$3))/SQRT(1-Baseline!$AF$11))</f>
        <v>5.8942941980605667E-3</v>
      </c>
      <c r="BX30" s="355">
        <f>NORMSDIST((_xlfn.NORM.S.INV($AA30)-(SQRT(Baseline!$AF$11)*'MacroPD-Cal'!$BU$4))/SQRT(1-Baseline!$AF$11))</f>
        <v>7.6930279763403036E-3</v>
      </c>
      <c r="BY30" s="355">
        <f>NORMSDIST((_xlfn.NORM.S.INV($AA30)-(SQRT(Baseline!$AF$11)*'MacroPD-Cal'!$BU$5))/SQRT(1-Baseline!$AF$11))</f>
        <v>9.6348551622583174E-3</v>
      </c>
      <c r="BZ30" s="355">
        <f>NORMSDIST((_xlfn.NORM.S.INV($AB30)-(SQRT(Baseline!$AF$11)*'MacroPD-Cal'!$BU$6))/SQRT(1-Baseline!$AF$11))</f>
        <v>1.6422391344119405E-2</v>
      </c>
      <c r="CA30" s="355">
        <f>NORMSDIST((_xlfn.NORM.S.INV($AC30)-(SQRT(Baseline!$AF$11)*'MacroPD-Cal'!$BU35))/SQRT(1-Baseline!$AF$11))</f>
        <v>7.0216195729503987E-3</v>
      </c>
      <c r="CB30" s="355">
        <f>NORMSDIST((_xlfn.NORM.S.INV($AD30)-(SQRT(Baseline!$AF$11)*'MacroPD-Cal'!$BU$8))/SQRT(1-Baseline!$AF$11))</f>
        <v>1.2283339801343747E-2</v>
      </c>
      <c r="CC30" s="355">
        <f>NORMSDIST((_xlfn.NORM.S.INV($AE30)-(SQRT(Baseline!$AF$11)*'MacroPD-Cal'!$BU$9))/SQRT(1-Baseline!$AF$11))</f>
        <v>1.0170334374885646E-2</v>
      </c>
      <c r="CD30" s="355">
        <f t="shared" si="19"/>
        <v>3.7882417299993747E-3</v>
      </c>
      <c r="CE30" s="355">
        <f t="shared" si="20"/>
        <v>9.6602069168099103E-3</v>
      </c>
      <c r="CF30" s="355">
        <f t="shared" si="21"/>
        <v>1.7278918651081998E-2</v>
      </c>
      <c r="CG30" s="355">
        <f t="shared" si="22"/>
        <v>2.6700000000000002E-2</v>
      </c>
      <c r="CH30" s="355"/>
      <c r="CI30" s="355"/>
      <c r="CL30" s="168"/>
      <c r="CM30" s="168"/>
      <c r="CN30" s="168"/>
      <c r="CO30" s="168"/>
      <c r="CP30" s="168"/>
      <c r="CR30" s="345">
        <f t="shared" si="23"/>
        <v>0.17566852371363412</v>
      </c>
      <c r="CS30" s="345">
        <f t="shared" si="24"/>
        <v>0.40584658394382911</v>
      </c>
      <c r="CT30" s="345">
        <f t="shared" si="25"/>
        <v>0.66592247528555593</v>
      </c>
      <c r="CU30" s="345">
        <f t="shared" si="26"/>
        <v>1</v>
      </c>
    </row>
    <row r="31" spans="1:99" s="166" customFormat="1" x14ac:dyDescent="0.25">
      <c r="A31" s="464">
        <v>1200000128</v>
      </c>
      <c r="B31" s="470">
        <f>VLOOKUP(A31,'Ref-Data'!A:I,9,FALSE)</f>
        <v>1</v>
      </c>
      <c r="C31" s="445">
        <f>IF(B31="Matured","",VLOOKUP(A31,'Adjustment Factor'!A:C,3,0))</f>
        <v>0.67840752834901008</v>
      </c>
      <c r="D31" s="190">
        <f>VLOOKUP(A31,'Ref-Data'!A:C,2,FALSE)</f>
        <v>1027839.57</v>
      </c>
      <c r="E31" s="471">
        <f>IFERROR(IF(VLOOKUP(A31,'Updated Ncino PD'!$A:$K,4,0)=0,"",VLOOKUP(A31,'Updated Ncino PD'!$A:$K,4,0)),AF31)</f>
        <v>1.6716101123373638E-3</v>
      </c>
      <c r="F31" s="472">
        <f>IFERROR(IF(VLOOKUP(A31,'Updated Ncino PD'!$A:$K,5,0)=0,"",VLOOKUP(A31,'Updated Ncino PD'!$A:$K,5,0)),1-((1-AG31)*(1-E31)))</f>
        <v>3.9217621703806493E-3</v>
      </c>
      <c r="G31" s="472">
        <f>IFERROR(IF(VLOOKUP(A31,'Updated Ncino PD'!$A:$K,6,0)=0,"",VLOOKUP(A31,'Updated Ncino PD'!$A:$K,6,0)),1-((1-AF31)*(1-AG31)*(1-AH31)))</f>
        <v>6.5018324531470606E-3</v>
      </c>
      <c r="H31" s="472">
        <f>IFERROR(IF(VLOOKUP(A31,'Updated Ncino PD'!$A:$K,7,0)=0,"",VLOOKUP(A31,'Updated Ncino PD'!$A:$K,7,0)),IFERROR(VLOOKUP(A31,'Updated Ncino PD'!A:B,2,FALSE),FLOOR(1-((1-AG31)*(1-AH31)*(1-AI31)*(1-AF31)),$R$11)))</f>
        <v>9.9000000000000008E-3</v>
      </c>
      <c r="I31" s="472">
        <f>IFERROR(IF(VLOOKUP(A31,'Updated Ncino PD'!$A:$K,8,0)=0,"",VLOOKUP(A31,'Updated Ncino PD'!$A:$K,8,0)),FLOOR(1-((1-H31)*(1-AJ31)),$R$11))</f>
        <v>1.52E-2</v>
      </c>
      <c r="J31" s="472">
        <f>IFERROR(IF(VLOOKUP(A31,'Updated Ncino PD'!$A:$K,9,0)=0,"",VLOOKUP(A31,'Updated Ncino PD'!$A:$K,9,0)),FLOOR(1-((1-H31)*(1-AJ31)*(1-AK31)),$R$11))</f>
        <v>1.8500000000000003E-2</v>
      </c>
      <c r="K31" s="472">
        <f>IFERROR(IF(VLOOKUP(A31,'Updated Ncino PD'!$A:$K,10,0)=0,"",VLOOKUP(A31,'Updated Ncino PD'!$A:$K,10,0)),FLOOR(1-((1-H31)*(1-AJ31)*(1-AK31)*(1-AL31)),$R$11))</f>
        <v>2.6700000000000002E-2</v>
      </c>
      <c r="L31" s="472">
        <f>IFERROR(IF(VLOOKUP(A31,'Updated Ncino PD'!$A:$K,11,0)=0,"",VLOOKUP(A31,'Updated Ncino PD'!$A:$K,11,0)),FLOOR(1-((1-H31)*(1-AJ31)*(1-AK31)*(1-AL31)*(1-AM31)),$R$11))</f>
        <v>3.5400000000000001E-2</v>
      </c>
      <c r="M31" s="224">
        <f>VLOOKUP(A31,'Ref-Data'!$A:$F,6,FALSE)</f>
        <v>1.9548254620123204</v>
      </c>
      <c r="N31" s="191">
        <f t="shared" si="3"/>
        <v>9.9000000000000008E-3</v>
      </c>
      <c r="O31" s="191">
        <f t="shared" si="4"/>
        <v>1.52E-2</v>
      </c>
      <c r="P31" s="459" t="str">
        <f>VLOOKUP(A31,'Loan Book Summary'!C:G,5,FALSE)</f>
        <v>0015800000QSQGI</v>
      </c>
      <c r="S31" s="203"/>
      <c r="T31" s="332">
        <f>IFERROR(VLOOKUP($P31,'Model Output-LoanNameUpdate'!$A:$K,2,FALSE),CL31)</f>
        <v>1.2749999999999999E-2</v>
      </c>
      <c r="U31" s="332">
        <f>1-(1-IFERROR(VLOOKUP($P31,'Model Output-LoanNameUpdate'!$A:$K,2,FALSE),CL31))^(1/4)</f>
        <v>3.2028545867931468E-3</v>
      </c>
      <c r="V31" s="332">
        <f>IFERROR(VLOOKUP($P31,'Model Output-LoanNameUpdate'!$A:$K,3,FALSE),CM31)</f>
        <v>1.2699999999999999E-2</v>
      </c>
      <c r="W31" s="332">
        <f>IFERROR(VLOOKUP($P31,'Model Output-LoanNameUpdate'!$A:$K,4,FALSE),CN31)</f>
        <v>1.2685E-2</v>
      </c>
      <c r="X31" s="332">
        <f>IFERROR(VLOOKUP($P31,'Model Output-LoanNameUpdate'!$A:$K,5,FALSE),CO31)</f>
        <v>1.2684999999999998E-2</v>
      </c>
      <c r="Y31" s="332">
        <f>IFERROR(VLOOKUP($P31,'Model Output-LoanNameUpdate'!$A:$K,6,FALSE),CP31)</f>
        <v>1.2725E-2</v>
      </c>
      <c r="Z31" s="207">
        <f t="shared" si="5"/>
        <v>0.67840752834901008</v>
      </c>
      <c r="AA31" s="208">
        <f t="shared" si="6"/>
        <v>2.1728406638876286E-3</v>
      </c>
      <c r="AB31" s="208">
        <f t="shared" si="7"/>
        <v>8.6157756100324282E-3</v>
      </c>
      <c r="AC31" s="208">
        <f t="shared" si="8"/>
        <v>8.6055994971071924E-3</v>
      </c>
      <c r="AD31" s="208">
        <f t="shared" si="9"/>
        <v>8.6055994971071924E-3</v>
      </c>
      <c r="AE31" s="208">
        <f t="shared" si="10"/>
        <v>8.6327357982411528E-3</v>
      </c>
      <c r="AF31" s="332">
        <f>NORMSDIST((_xlfn.NORM.S.INV(AA31)-(SQRT(Baseline!$AF$11)*'MacroPD-Cal'!$R$2))/SQRT(1-Baseline!$AF$11))</f>
        <v>1.6716101123373638E-3</v>
      </c>
      <c r="AG31" s="332">
        <f>NORMSDIST((_xlfn.NORM.S.INV(AA31)-(SQRT(Baseline!$AF$11)*'MacroPD-Cal'!$R$3))/SQRT(1-Baseline!$AF$11))</f>
        <v>2.2539197330614098E-3</v>
      </c>
      <c r="AH31" s="332">
        <f>NORMSDIST((_xlfn.NORM.S.INV(AA31)-(SQRT(Baseline!$AF$11)*'MacroPD-Cal'!$R$4))/SQRT(1-Baseline!$AF$11))</f>
        <v>2.5902285430793462E-3</v>
      </c>
      <c r="AI31" s="332">
        <f>NORMSDIST((_xlfn.NORM.S.INV(AA31)-(SQRT(Baseline!$AF$11)*'MacroPD-Cal'!$R$5))/SQRT(1-Baseline!$AF$11))</f>
        <v>3.4411110374081913E-3</v>
      </c>
      <c r="AJ31" s="332">
        <f>NORMSDIST((_xlfn.NORM.S.INV(AB31)-(SQRT(Baseline!$AF$11)*'MacroPD-Cal'!$R$6))/SQRT(1-Baseline!$AF$11))</f>
        <v>5.4317296141082952E-3</v>
      </c>
      <c r="AK31" s="332">
        <f>NORMSDIST((_xlfn.NORM.S.INV(AC31)-(SQRT(Baseline!$AF$11)*'MacroPD-Cal'!$R$7))/SQRT(1-Baseline!$AF$11))</f>
        <v>3.3082528156149196E-3</v>
      </c>
      <c r="AL31" s="332">
        <f>NORMSDIST((_xlfn.NORM.S.INV(AD31)-(SQRT(Baseline!$AF$11)*'MacroPD-Cal'!$R$8))/SQRT(1-Baseline!$AF$11))</f>
        <v>8.3572742448102273E-3</v>
      </c>
      <c r="AM31" s="332">
        <f>NORMSDIST((_xlfn.NORM.S.INV(AE31)-(SQRT(Baseline!$AF$11)*'MacroPD-Cal'!$R$9))/SQRT(1-Baseline!$AF$11))</f>
        <v>8.9055652836882507E-3</v>
      </c>
      <c r="AO31" s="355"/>
      <c r="AP31" s="355"/>
      <c r="AQ31" s="355">
        <f>NORMSDIST((_xlfn.NORM.S.INV(AA31)-(SQRT(Baseline!$AF$11)*'MacroPD-Cal'!$AP$2))/SQRT(1-Baseline!$AF$11))</f>
        <v>1.7393938162274677E-3</v>
      </c>
      <c r="AR31" s="355">
        <f>NORMSDIST((_xlfn.NORM.S.INV(AA31)-(SQRT(Baseline!$AF$11)*'MacroPD-Cal'!$AP$3))/SQRT(1-Baseline!$AF$11))</f>
        <v>2.0913633476812546E-3</v>
      </c>
      <c r="AS31" s="355">
        <f>NORMSDIST((_xlfn.NORM.S.INV(AA31)-(SQRT(Baseline!$AF$11)*'MacroPD-Cal'!$AP$4))/SQRT(1-Baseline!$AF$11))</f>
        <v>2.1411503119898915E-3</v>
      </c>
      <c r="AT31" s="355">
        <f>NORMSDIST((_xlfn.NORM.S.INV(AA31)-(SQRT(Baseline!$AF$11)*'MacroPD-Cal'!$AP$5))/SQRT(1-Baseline!$AF$11))</f>
        <v>2.9036950886143099E-3</v>
      </c>
      <c r="AU31" s="355">
        <f>NORMSDIST((_xlfn.NORM.S.INV(AB31)-(SQRT(Baseline!$AF$11)*'MacroPD-Cal'!$AP$6))/SQRT(1-Baseline!$AF$11))</f>
        <v>3.5078491222634246E-3</v>
      </c>
      <c r="AV31" s="355">
        <f>NORMSDIST((_xlfn.NORM.S.INV(AC31)-(SQRT(Baseline!$AF$11)*'MacroPD-Cal'!$AP$7))/SQRT(1-Baseline!$AF$11))</f>
        <v>4.6798714899945965E-3</v>
      </c>
      <c r="AW31" s="355">
        <f>NORMSDIST((_xlfn.NORM.S.INV(AD31)-(SQRT(Baseline!$AF$11)*'MacroPD-Cal'!$AP$8))/SQRT(1-Baseline!$AF$11))</f>
        <v>8.5687897425324889E-3</v>
      </c>
      <c r="AX31" s="355">
        <f>NORMSDIST((_xlfn.NORM.S.INV(AE31)-(SQRT(Baseline!$AF$11)*'MacroPD-Cal'!$AP$9))/SQRT(1-Baseline!$AF$11))</f>
        <v>9.8031363741552264E-3</v>
      </c>
      <c r="AY31" s="355">
        <f t="shared" si="11"/>
        <v>1.7393938162274677E-3</v>
      </c>
      <c r="AZ31" s="355">
        <f t="shared" si="12"/>
        <v>3.8271194594342584E-3</v>
      </c>
      <c r="BA31" s="355">
        <f t="shared" si="13"/>
        <v>5.9600753333995948E-3</v>
      </c>
      <c r="BB31" s="355">
        <f t="shared" si="14"/>
        <v>8.8000000000000005E-3</v>
      </c>
      <c r="BC31" s="355"/>
      <c r="BD31" s="355"/>
      <c r="BE31" s="355"/>
      <c r="BF31" s="355"/>
      <c r="BG31" s="355">
        <f>NORMSDIST((_xlfn.NORM.S.INV($AA31)-(SQRT(Baseline!$AF$11)*'MacroPD-Cal'!$BF$2))/SQRT(1-Baseline!$AF$11))</f>
        <v>1.6360402328737505E-3</v>
      </c>
      <c r="BH31" s="355">
        <f>NORMSDIST((_xlfn.NORM.S.INV($AA31)-(SQRT(Baseline!$AF$11)*'MacroPD-Cal'!$BF$3))/SQRT(1-Baseline!$AF$11))</f>
        <v>2.4110884967638193E-3</v>
      </c>
      <c r="BI31" s="355">
        <f>NORMSDIST((_xlfn.NORM.S.INV($AA31)-(SQRT(Baseline!$AF$11)*'MacroPD-Cal'!$BF$4))/SQRT(1-Baseline!$AF$11))</f>
        <v>3.6610031441315378E-3</v>
      </c>
      <c r="BJ31" s="355">
        <f>NORMSDIST((_xlfn.NORM.S.INV($AA31)-(SQRT(Baseline!$AF$11)*'MacroPD-Cal'!$BF$5))/SQRT(1-Baseline!$AF$11))</f>
        <v>4.9769145756069976E-3</v>
      </c>
      <c r="BK31" s="355">
        <f>NORMSDIST((_xlfn.NORM.S.INV($AB31)-(SQRT(Baseline!$AF$11)*'MacroPD-Cal'!$BF$6))/SQRT(1-Baseline!$AF$11))</f>
        <v>2.1231310010240066E-2</v>
      </c>
      <c r="BL31" s="355">
        <f>NORMSDIST((_xlfn.NORM.S.INV($AC31)-(SQRT(Baseline!$AF$11)*'MacroPD-Cal'!$BF$7))/SQRT(1-Baseline!$AF$11))</f>
        <v>1.7844397242548866E-3</v>
      </c>
      <c r="BM31" s="355">
        <f>NORMSDIST((_xlfn.NORM.S.INV($AD31)-(SQRT(Baseline!$AF$11)*'MacroPD-Cal'!$BF$8))/SQRT(1-Baseline!$AF$11))</f>
        <v>4.8616481212196251E-3</v>
      </c>
      <c r="BN31" s="355">
        <f>NORMSDIST((_xlfn.NORM.S.INV($AE31)-(SQRT(Baseline!$AF$11)*'MacroPD-Cal'!$BF$9))/SQRT(1-Baseline!$AF$11))</f>
        <v>7.5283845056686458E-3</v>
      </c>
      <c r="BO31" s="355">
        <f t="shared" si="15"/>
        <v>1.6360402328737505E-3</v>
      </c>
      <c r="BP31" s="355">
        <f t="shared" si="16"/>
        <v>4.0431840918518924E-3</v>
      </c>
      <c r="BQ31" s="355">
        <f t="shared" si="17"/>
        <v>7.6893851263108992E-3</v>
      </c>
      <c r="BR31" s="355">
        <f t="shared" si="18"/>
        <v>1.26E-2</v>
      </c>
      <c r="BS31" s="355"/>
      <c r="BT31" s="355"/>
      <c r="BU31" s="355"/>
      <c r="BV31" s="355">
        <f>NORMSDIST((_xlfn.NORM.S.INV($AA31)-(SQRT(Baseline!$AF$11)*'MacroPD-Cal'!$BU$2))/SQRT(1-Baseline!$AF$11))</f>
        <v>1.5658111086287495E-3</v>
      </c>
      <c r="BW31" s="355">
        <f>NORMSDIST((_xlfn.NORM.S.INV($AA31)-(SQRT(Baseline!$AF$11)*'MacroPD-Cal'!$BU$3))/SQRT(1-Baseline!$AF$11))</f>
        <v>2.5350856175905398E-3</v>
      </c>
      <c r="BX31" s="355">
        <f>NORMSDIST((_xlfn.NORM.S.INV($AA31)-(SQRT(Baseline!$AF$11)*'MacroPD-Cal'!$BU$4))/SQRT(1-Baseline!$AF$11))</f>
        <v>3.3917160058425091E-3</v>
      </c>
      <c r="BY31" s="355">
        <f>NORMSDIST((_xlfn.NORM.S.INV($AA31)-(SQRT(Baseline!$AF$11)*'MacroPD-Cal'!$BU$5))/SQRT(1-Baseline!$AF$11))</f>
        <v>4.3400530545799213E-3</v>
      </c>
      <c r="BZ31" s="355">
        <f>NORMSDIST((_xlfn.NORM.S.INV($AB31)-(SQRT(Baseline!$AF$11)*'MacroPD-Cal'!$BU$6))/SQRT(1-Baseline!$AF$11))</f>
        <v>9.0008762703200178E-3</v>
      </c>
      <c r="CA31" s="355">
        <f>NORMSDIST((_xlfn.NORM.S.INV($AC31)-(SQRT(Baseline!$AF$11)*'MacroPD-Cal'!$BU36))/SQRT(1-Baseline!$AF$11))</f>
        <v>4.2609521737909332E-3</v>
      </c>
      <c r="CB31" s="355">
        <f>NORMSDIST((_xlfn.NORM.S.INV($AD31)-(SQRT(Baseline!$AF$11)*'MacroPD-Cal'!$BU$8))/SQRT(1-Baseline!$AF$11))</f>
        <v>8.6291140752256194E-3</v>
      </c>
      <c r="CC31" s="355">
        <f>NORMSDIST((_xlfn.NORM.S.INV($AE31)-(SQRT(Baseline!$AF$11)*'MacroPD-Cal'!$BU$9))/SQRT(1-Baseline!$AF$11))</f>
        <v>7.7181847530190945E-3</v>
      </c>
      <c r="CD31" s="355">
        <f t="shared" si="19"/>
        <v>1.5658111086287495E-3</v>
      </c>
      <c r="CE31" s="355">
        <f t="shared" si="20"/>
        <v>4.0969272609979734E-3</v>
      </c>
      <c r="CF31" s="355">
        <f t="shared" si="21"/>
        <v>7.4747476530746537E-3</v>
      </c>
      <c r="CG31" s="355">
        <f t="shared" si="22"/>
        <v>1.17E-2</v>
      </c>
      <c r="CH31" s="355"/>
      <c r="CI31" s="355"/>
      <c r="CL31" s="168"/>
      <c r="CM31" s="168"/>
      <c r="CN31" s="168"/>
      <c r="CO31" s="168"/>
      <c r="CP31" s="168"/>
      <c r="CR31" s="345">
        <f t="shared" si="23"/>
        <v>0.16884950629670339</v>
      </c>
      <c r="CS31" s="345">
        <f t="shared" si="24"/>
        <v>0.39613759296774231</v>
      </c>
      <c r="CT31" s="345">
        <f t="shared" si="25"/>
        <v>0.65675075284313733</v>
      </c>
      <c r="CU31" s="345">
        <f t="shared" si="26"/>
        <v>1</v>
      </c>
    </row>
    <row r="32" spans="1:99" s="166" customFormat="1" x14ac:dyDescent="0.25">
      <c r="A32" s="464">
        <v>1200000130</v>
      </c>
      <c r="B32" s="470">
        <f>VLOOKUP(A32,'Ref-Data'!A:I,9,FALSE)</f>
        <v>1</v>
      </c>
      <c r="C32" s="445">
        <f>IF(B32="Matured","",VLOOKUP(A32,'Adjustment Factor'!A:C,3,0))</f>
        <v>0.67840752834901008</v>
      </c>
      <c r="D32" s="190">
        <f>VLOOKUP(A32,'Ref-Data'!A:C,2,FALSE)</f>
        <v>1974999.96</v>
      </c>
      <c r="E32" s="471">
        <f>IFERROR(IF(VLOOKUP(A32,'Updated Ncino PD'!$A:$K,4,0)=0,"",VLOOKUP(A32,'Updated Ncino PD'!$A:$K,4,0)),AF32)</f>
        <v>1.6716101123373638E-3</v>
      </c>
      <c r="F32" s="472">
        <f>IFERROR(IF(VLOOKUP(A32,'Updated Ncino PD'!$A:$K,5,0)=0,"",VLOOKUP(A32,'Updated Ncino PD'!$A:$K,5,0)),1-((1-AG32)*(1-E32)))</f>
        <v>3.9217621703806493E-3</v>
      </c>
      <c r="G32" s="472">
        <f>IFERROR(IF(VLOOKUP(A32,'Updated Ncino PD'!$A:$K,6,0)=0,"",VLOOKUP(A32,'Updated Ncino PD'!$A:$K,6,0)),1-((1-AF32)*(1-AG32)*(1-AH32)))</f>
        <v>6.5018324531470606E-3</v>
      </c>
      <c r="H32" s="472">
        <f>IFERROR(IF(VLOOKUP(A32,'Updated Ncino PD'!$A:$K,7,0)=0,"",VLOOKUP(A32,'Updated Ncino PD'!$A:$K,7,0)),IFERROR(VLOOKUP(A32,'Updated Ncino PD'!A:B,2,FALSE),FLOOR(1-((1-AG32)*(1-AH32)*(1-AI32)*(1-AF32)),$R$11)))</f>
        <v>9.9000000000000008E-3</v>
      </c>
      <c r="I32" s="472">
        <f>IFERROR(IF(VLOOKUP(A32,'Updated Ncino PD'!$A:$K,8,0)=0,"",VLOOKUP(A32,'Updated Ncino PD'!$A:$K,8,0)),FLOOR(1-((1-H32)*(1-AJ32)),$R$11))</f>
        <v>1.52E-2</v>
      </c>
      <c r="J32" s="472">
        <f>IFERROR(IF(VLOOKUP(A32,'Updated Ncino PD'!$A:$K,9,0)=0,"",VLOOKUP(A32,'Updated Ncino PD'!$A:$K,9,0)),FLOOR(1-((1-H32)*(1-AJ32)*(1-AK32)),$R$11))</f>
        <v>1.8500000000000003E-2</v>
      </c>
      <c r="K32" s="472">
        <f>IFERROR(IF(VLOOKUP(A32,'Updated Ncino PD'!$A:$K,10,0)=0,"",VLOOKUP(A32,'Updated Ncino PD'!$A:$K,10,0)),FLOOR(1-((1-H32)*(1-AJ32)*(1-AK32)*(1-AL32)),$R$11))</f>
        <v>2.6700000000000002E-2</v>
      </c>
      <c r="L32" s="472">
        <f>IFERROR(IF(VLOOKUP(A32,'Updated Ncino PD'!$A:$K,11,0)=0,"",VLOOKUP(A32,'Updated Ncino PD'!$A:$K,11,0)),FLOOR(1-((1-H32)*(1-AJ32)*(1-AK32)*(1-AL32)*(1-AM32)),$R$11))</f>
        <v>3.5400000000000001E-2</v>
      </c>
      <c r="M32" s="224">
        <f>VLOOKUP(A32,'Ref-Data'!$A:$F,6,FALSE)</f>
        <v>1.9548254620123204</v>
      </c>
      <c r="N32" s="191">
        <f t="shared" si="3"/>
        <v>9.9000000000000008E-3</v>
      </c>
      <c r="O32" s="191">
        <f t="shared" si="4"/>
        <v>1.52E-2</v>
      </c>
      <c r="P32" s="459" t="str">
        <f>VLOOKUP(A32,'Loan Book Summary'!C:G,5,FALSE)</f>
        <v>0015800000QSQGI</v>
      </c>
      <c r="S32" s="203"/>
      <c r="T32" s="332">
        <f>IFERROR(VLOOKUP($P32,'Model Output-LoanNameUpdate'!$A:$K,2,FALSE),CL32)</f>
        <v>1.2749999999999999E-2</v>
      </c>
      <c r="U32" s="332">
        <f>1-(1-IFERROR(VLOOKUP($P32,'Model Output-LoanNameUpdate'!$A:$K,2,FALSE),CL32))^(1/4)</f>
        <v>3.2028545867931468E-3</v>
      </c>
      <c r="V32" s="332">
        <f>IFERROR(VLOOKUP($P32,'Model Output-LoanNameUpdate'!$A:$K,3,FALSE),CM32)</f>
        <v>1.2699999999999999E-2</v>
      </c>
      <c r="W32" s="332">
        <f>IFERROR(VLOOKUP($P32,'Model Output-LoanNameUpdate'!$A:$K,4,FALSE),CN32)</f>
        <v>1.2685E-2</v>
      </c>
      <c r="X32" s="332">
        <f>IFERROR(VLOOKUP($P32,'Model Output-LoanNameUpdate'!$A:$K,5,FALSE),CO32)</f>
        <v>1.2684999999999998E-2</v>
      </c>
      <c r="Y32" s="332">
        <f>IFERROR(VLOOKUP($P32,'Model Output-LoanNameUpdate'!$A:$K,6,FALSE),CP32)</f>
        <v>1.2725E-2</v>
      </c>
      <c r="Z32" s="207">
        <f t="shared" si="5"/>
        <v>0.67840752834901008</v>
      </c>
      <c r="AA32" s="208">
        <f t="shared" si="6"/>
        <v>2.1728406638876286E-3</v>
      </c>
      <c r="AB32" s="208">
        <f t="shared" si="7"/>
        <v>8.6157756100324282E-3</v>
      </c>
      <c r="AC32" s="208">
        <f t="shared" si="8"/>
        <v>8.6055994971071924E-3</v>
      </c>
      <c r="AD32" s="208">
        <f t="shared" si="9"/>
        <v>8.6055994971071924E-3</v>
      </c>
      <c r="AE32" s="208">
        <f t="shared" si="10"/>
        <v>8.6327357982411528E-3</v>
      </c>
      <c r="AF32" s="332">
        <f>NORMSDIST((_xlfn.NORM.S.INV(AA32)-(SQRT(Baseline!$AF$11)*'MacroPD-Cal'!$R$2))/SQRT(1-Baseline!$AF$11))</f>
        <v>1.6716101123373638E-3</v>
      </c>
      <c r="AG32" s="332">
        <f>NORMSDIST((_xlfn.NORM.S.INV(AA32)-(SQRT(Baseline!$AF$11)*'MacroPD-Cal'!$R$3))/SQRT(1-Baseline!$AF$11))</f>
        <v>2.2539197330614098E-3</v>
      </c>
      <c r="AH32" s="332">
        <f>NORMSDIST((_xlfn.NORM.S.INV(AA32)-(SQRT(Baseline!$AF$11)*'MacroPD-Cal'!$R$4))/SQRT(1-Baseline!$AF$11))</f>
        <v>2.5902285430793462E-3</v>
      </c>
      <c r="AI32" s="332">
        <f>NORMSDIST((_xlfn.NORM.S.INV(AA32)-(SQRT(Baseline!$AF$11)*'MacroPD-Cal'!$R$5))/SQRT(1-Baseline!$AF$11))</f>
        <v>3.4411110374081913E-3</v>
      </c>
      <c r="AJ32" s="332">
        <f>NORMSDIST((_xlfn.NORM.S.INV(AB32)-(SQRT(Baseline!$AF$11)*'MacroPD-Cal'!$R$6))/SQRT(1-Baseline!$AF$11))</f>
        <v>5.4317296141082952E-3</v>
      </c>
      <c r="AK32" s="332">
        <f>NORMSDIST((_xlfn.NORM.S.INV(AC32)-(SQRT(Baseline!$AF$11)*'MacroPD-Cal'!$R$7))/SQRT(1-Baseline!$AF$11))</f>
        <v>3.3082528156149196E-3</v>
      </c>
      <c r="AL32" s="332">
        <f>NORMSDIST((_xlfn.NORM.S.INV(AD32)-(SQRT(Baseline!$AF$11)*'MacroPD-Cal'!$R$8))/SQRT(1-Baseline!$AF$11))</f>
        <v>8.3572742448102273E-3</v>
      </c>
      <c r="AM32" s="332">
        <f>NORMSDIST((_xlfn.NORM.S.INV(AE32)-(SQRT(Baseline!$AF$11)*'MacroPD-Cal'!$R$9))/SQRT(1-Baseline!$AF$11))</f>
        <v>8.9055652836882507E-3</v>
      </c>
      <c r="AO32" s="355"/>
      <c r="AP32" s="355"/>
      <c r="AQ32" s="355">
        <f>NORMSDIST((_xlfn.NORM.S.INV(AA32)-(SQRT(Baseline!$AF$11)*'MacroPD-Cal'!$AP$2))/SQRT(1-Baseline!$AF$11))</f>
        <v>1.7393938162274677E-3</v>
      </c>
      <c r="AR32" s="355">
        <f>NORMSDIST((_xlfn.NORM.S.INV(AA32)-(SQRT(Baseline!$AF$11)*'MacroPD-Cal'!$AP$3))/SQRT(1-Baseline!$AF$11))</f>
        <v>2.0913633476812546E-3</v>
      </c>
      <c r="AS32" s="355">
        <f>NORMSDIST((_xlfn.NORM.S.INV(AA32)-(SQRT(Baseline!$AF$11)*'MacroPD-Cal'!$AP$4))/SQRT(1-Baseline!$AF$11))</f>
        <v>2.1411503119898915E-3</v>
      </c>
      <c r="AT32" s="355">
        <f>NORMSDIST((_xlfn.NORM.S.INV(AA32)-(SQRT(Baseline!$AF$11)*'MacroPD-Cal'!$AP$5))/SQRT(1-Baseline!$AF$11))</f>
        <v>2.9036950886143099E-3</v>
      </c>
      <c r="AU32" s="355">
        <f>NORMSDIST((_xlfn.NORM.S.INV(AB32)-(SQRT(Baseline!$AF$11)*'MacroPD-Cal'!$AP$6))/SQRT(1-Baseline!$AF$11))</f>
        <v>3.5078491222634246E-3</v>
      </c>
      <c r="AV32" s="355">
        <f>NORMSDIST((_xlfn.NORM.S.INV(AC32)-(SQRT(Baseline!$AF$11)*'MacroPD-Cal'!$AP$7))/SQRT(1-Baseline!$AF$11))</f>
        <v>4.6798714899945965E-3</v>
      </c>
      <c r="AW32" s="355">
        <f>NORMSDIST((_xlfn.NORM.S.INV(AD32)-(SQRT(Baseline!$AF$11)*'MacroPD-Cal'!$AP$8))/SQRT(1-Baseline!$AF$11))</f>
        <v>8.5687897425324889E-3</v>
      </c>
      <c r="AX32" s="355">
        <f>NORMSDIST((_xlfn.NORM.S.INV(AE32)-(SQRT(Baseline!$AF$11)*'MacroPD-Cal'!$AP$9))/SQRT(1-Baseline!$AF$11))</f>
        <v>9.8031363741552264E-3</v>
      </c>
      <c r="AY32" s="355">
        <f t="shared" si="11"/>
        <v>1.7393938162274677E-3</v>
      </c>
      <c r="AZ32" s="355">
        <f t="shared" si="12"/>
        <v>3.8271194594342584E-3</v>
      </c>
      <c r="BA32" s="355">
        <f t="shared" si="13"/>
        <v>5.9600753333995948E-3</v>
      </c>
      <c r="BB32" s="355">
        <f t="shared" si="14"/>
        <v>8.8000000000000005E-3</v>
      </c>
      <c r="BC32" s="355"/>
      <c r="BD32" s="355"/>
      <c r="BE32" s="355"/>
      <c r="BF32" s="355"/>
      <c r="BG32" s="355">
        <f>NORMSDIST((_xlfn.NORM.S.INV($AA32)-(SQRT(Baseline!$AF$11)*'MacroPD-Cal'!$BF$2))/SQRT(1-Baseline!$AF$11))</f>
        <v>1.6360402328737505E-3</v>
      </c>
      <c r="BH32" s="355">
        <f>NORMSDIST((_xlfn.NORM.S.INV($AA32)-(SQRT(Baseline!$AF$11)*'MacroPD-Cal'!$BF$3))/SQRT(1-Baseline!$AF$11))</f>
        <v>2.4110884967638193E-3</v>
      </c>
      <c r="BI32" s="355">
        <f>NORMSDIST((_xlfn.NORM.S.INV($AA32)-(SQRT(Baseline!$AF$11)*'MacroPD-Cal'!$BF$4))/SQRT(1-Baseline!$AF$11))</f>
        <v>3.6610031441315378E-3</v>
      </c>
      <c r="BJ32" s="355">
        <f>NORMSDIST((_xlfn.NORM.S.INV($AA32)-(SQRT(Baseline!$AF$11)*'MacroPD-Cal'!$BF$5))/SQRT(1-Baseline!$AF$11))</f>
        <v>4.9769145756069976E-3</v>
      </c>
      <c r="BK32" s="355">
        <f>NORMSDIST((_xlfn.NORM.S.INV($AB32)-(SQRT(Baseline!$AF$11)*'MacroPD-Cal'!$BF$6))/SQRT(1-Baseline!$AF$11))</f>
        <v>2.1231310010240066E-2</v>
      </c>
      <c r="BL32" s="355">
        <f>NORMSDIST((_xlfn.NORM.S.INV($AC32)-(SQRT(Baseline!$AF$11)*'MacroPD-Cal'!$BF$7))/SQRT(1-Baseline!$AF$11))</f>
        <v>1.7844397242548866E-3</v>
      </c>
      <c r="BM32" s="355">
        <f>NORMSDIST((_xlfn.NORM.S.INV($AD32)-(SQRT(Baseline!$AF$11)*'MacroPD-Cal'!$BF$8))/SQRT(1-Baseline!$AF$11))</f>
        <v>4.8616481212196251E-3</v>
      </c>
      <c r="BN32" s="355">
        <f>NORMSDIST((_xlfn.NORM.S.INV($AE32)-(SQRT(Baseline!$AF$11)*'MacroPD-Cal'!$BF$9))/SQRT(1-Baseline!$AF$11))</f>
        <v>7.5283845056686458E-3</v>
      </c>
      <c r="BO32" s="355">
        <f t="shared" si="15"/>
        <v>1.6360402328737505E-3</v>
      </c>
      <c r="BP32" s="355">
        <f t="shared" si="16"/>
        <v>4.0431840918518924E-3</v>
      </c>
      <c r="BQ32" s="355">
        <f t="shared" si="17"/>
        <v>7.6893851263108992E-3</v>
      </c>
      <c r="BR32" s="355">
        <f t="shared" si="18"/>
        <v>1.26E-2</v>
      </c>
      <c r="BS32" s="355"/>
      <c r="BT32" s="355"/>
      <c r="BU32" s="355"/>
      <c r="BV32" s="355">
        <f>NORMSDIST((_xlfn.NORM.S.INV($AA32)-(SQRT(Baseline!$AF$11)*'MacroPD-Cal'!$BU$2))/SQRT(1-Baseline!$AF$11))</f>
        <v>1.5658111086287495E-3</v>
      </c>
      <c r="BW32" s="355">
        <f>NORMSDIST((_xlfn.NORM.S.INV($AA32)-(SQRT(Baseline!$AF$11)*'MacroPD-Cal'!$BU$3))/SQRT(1-Baseline!$AF$11))</f>
        <v>2.5350856175905398E-3</v>
      </c>
      <c r="BX32" s="355">
        <f>NORMSDIST((_xlfn.NORM.S.INV($AA32)-(SQRT(Baseline!$AF$11)*'MacroPD-Cal'!$BU$4))/SQRT(1-Baseline!$AF$11))</f>
        <v>3.3917160058425091E-3</v>
      </c>
      <c r="BY32" s="355">
        <f>NORMSDIST((_xlfn.NORM.S.INV($AA32)-(SQRT(Baseline!$AF$11)*'MacroPD-Cal'!$BU$5))/SQRT(1-Baseline!$AF$11))</f>
        <v>4.3400530545799213E-3</v>
      </c>
      <c r="BZ32" s="355">
        <f>NORMSDIST((_xlfn.NORM.S.INV($AB32)-(SQRT(Baseline!$AF$11)*'MacroPD-Cal'!$BU$6))/SQRT(1-Baseline!$AF$11))</f>
        <v>9.0008762703200178E-3</v>
      </c>
      <c r="CA32" s="355">
        <f>NORMSDIST((_xlfn.NORM.S.INV($AC32)-(SQRT(Baseline!$AF$11)*'MacroPD-Cal'!$BU37))/SQRT(1-Baseline!$AF$11))</f>
        <v>4.2609521737909332E-3</v>
      </c>
      <c r="CB32" s="355">
        <f>NORMSDIST((_xlfn.NORM.S.INV($AD32)-(SQRT(Baseline!$AF$11)*'MacroPD-Cal'!$BU$8))/SQRT(1-Baseline!$AF$11))</f>
        <v>8.6291140752256194E-3</v>
      </c>
      <c r="CC32" s="355">
        <f>NORMSDIST((_xlfn.NORM.S.INV($AE32)-(SQRT(Baseline!$AF$11)*'MacroPD-Cal'!$BU$9))/SQRT(1-Baseline!$AF$11))</f>
        <v>7.7181847530190945E-3</v>
      </c>
      <c r="CD32" s="355">
        <f t="shared" si="19"/>
        <v>1.5658111086287495E-3</v>
      </c>
      <c r="CE32" s="355">
        <f t="shared" si="20"/>
        <v>4.0969272609979734E-3</v>
      </c>
      <c r="CF32" s="355">
        <f t="shared" si="21"/>
        <v>7.4747476530746537E-3</v>
      </c>
      <c r="CG32" s="355">
        <f t="shared" si="22"/>
        <v>1.17E-2</v>
      </c>
      <c r="CH32" s="355"/>
      <c r="CI32" s="355"/>
      <c r="CL32" s="168"/>
      <c r="CM32" s="168"/>
      <c r="CN32" s="168"/>
      <c r="CO32" s="168"/>
      <c r="CP32" s="168"/>
      <c r="CR32" s="345">
        <f t="shared" si="23"/>
        <v>0.16884950629670339</v>
      </c>
      <c r="CS32" s="345">
        <f t="shared" si="24"/>
        <v>0.39613759296774231</v>
      </c>
      <c r="CT32" s="345">
        <f t="shared" si="25"/>
        <v>0.65675075284313733</v>
      </c>
      <c r="CU32" s="345">
        <f t="shared" si="26"/>
        <v>1</v>
      </c>
    </row>
    <row r="33" spans="1:99" s="166" customFormat="1" x14ac:dyDescent="0.25">
      <c r="A33" s="464">
        <v>1200000001</v>
      </c>
      <c r="B33" s="470">
        <f>VLOOKUP(A33,'Ref-Data'!A:I,9,FALSE)</f>
        <v>1</v>
      </c>
      <c r="C33" s="445">
        <f>IF(B33="Matured","",VLOOKUP(A33,'Adjustment Factor'!A:C,3,0))</f>
        <v>1.89</v>
      </c>
      <c r="D33" s="190">
        <f>VLOOKUP(A33,'Ref-Data'!A:C,2,FALSE)</f>
        <v>529567.98</v>
      </c>
      <c r="E33" s="471">
        <f>IFERROR(IF(VLOOKUP(A33,'Updated Ncino PD'!$A:$K,4,0)=0,"",VLOOKUP(A33,'Updated Ncino PD'!$A:$K,4,0)),AF33)</f>
        <v>5.78851447579404E-4</v>
      </c>
      <c r="F33" s="472">
        <f>IFERROR(IF(VLOOKUP(A33,'Updated Ncino PD'!$A:$K,5,0)=0,"",VLOOKUP(A33,'Updated Ncino PD'!$A:$K,5,0)),1-((1-AG33)*(1-E33)))</f>
        <v>1.3806868792907157E-3</v>
      </c>
      <c r="G33" s="472">
        <f>IFERROR(IF(VLOOKUP(A33,'Updated Ncino PD'!$A:$K,6,0)=0,"",VLOOKUP(A33,'Updated Ncino PD'!$A:$K,6,0)),1-((1-AF33)*(1-AG33)*(1-AH33)))</f>
        <v>2.3135238382311352E-3</v>
      </c>
      <c r="H33" s="472">
        <f>IFERROR(IF(VLOOKUP(A33,'Updated Ncino PD'!$A:$K,7,0)=0,"",VLOOKUP(A33,'Updated Ncino PD'!$A:$K,7,0)),IFERROR(VLOOKUP(A33,'Updated Ncino PD'!A:B,2,FALSE),FLOOR(1-((1-AG33)*(1-AH33)*(1-AI33)*(1-AF33)),$R$11)))</f>
        <v>3.5000000000000001E-3</v>
      </c>
      <c r="I33" s="472">
        <f>IFERROR(IF(VLOOKUP(A33,'Updated Ncino PD'!$A:$K,8,0)=0,"",VLOOKUP(A33,'Updated Ncino PD'!$A:$K,8,0)),FLOOR(1-((1-H33)*(1-AJ33)),$R$11))</f>
        <v>5.5000000000000005E-3</v>
      </c>
      <c r="J33" s="472">
        <f>IFERROR(IF(VLOOKUP(A33,'Updated Ncino PD'!$A:$K,9,0)=0,"",VLOOKUP(A33,'Updated Ncino PD'!$A:$K,9,0)),FLOOR(1-((1-H33)*(1-AJ33)*(1-AK33)),$R$11))</f>
        <v>6.8000000000000005E-3</v>
      </c>
      <c r="K33" s="472">
        <f>IFERROR(IF(VLOOKUP(A33,'Updated Ncino PD'!$A:$K,10,0)=0,"",VLOOKUP(A33,'Updated Ncino PD'!$A:$K,10,0)),FLOOR(1-((1-H33)*(1-AJ33)*(1-AK33)*(1-AL33)),$R$11))</f>
        <v>1.0700000000000001E-2</v>
      </c>
      <c r="L33" s="472">
        <f>IFERROR(IF(VLOOKUP(A33,'Updated Ncino PD'!$A:$K,11,0)=0,"",VLOOKUP(A33,'Updated Ncino PD'!$A:$K,11,0)),FLOOR(1-((1-H33)*(1-AJ33)*(1-AK33)*(1-AL33)*(1-AM33)),$R$11))</f>
        <v>1.49E-2</v>
      </c>
      <c r="M33" s="224">
        <f>VLOOKUP(A33,'Ref-Data'!$A:$F,6,FALSE)</f>
        <v>2.3655030800821355</v>
      </c>
      <c r="N33" s="191">
        <f t="shared" si="3"/>
        <v>3.5000000000000001E-3</v>
      </c>
      <c r="O33" s="191">
        <f t="shared" si="4"/>
        <v>6.8000000000000005E-3</v>
      </c>
      <c r="P33" s="459" t="str">
        <f>VLOOKUP(A33,'Loan Book Summary'!C:G,5,FALSE)</f>
        <v>0014I00001pussv</v>
      </c>
      <c r="S33" s="203"/>
      <c r="T33" s="332">
        <f>IFERROR(VLOOKUP($P33,'Model Output-LoanNameUpdate'!$A:$K,2,FALSE),CL33)</f>
        <v>1.805E-3</v>
      </c>
      <c r="U33" s="332">
        <f>1-(1-IFERROR(VLOOKUP($P33,'Model Output-LoanNameUpdate'!$A:$K,2,FALSE),CL33))^(1/4)</f>
        <v>4.515557618460786E-4</v>
      </c>
      <c r="V33" s="332">
        <f>IFERROR(VLOOKUP($P33,'Model Output-LoanNameUpdate'!$A:$K,3,FALSE),CM33)</f>
        <v>2.0049999999999998E-3</v>
      </c>
      <c r="W33" s="332">
        <f>IFERROR(VLOOKUP($P33,'Model Output-LoanNameUpdate'!$A:$K,4,FALSE),CN33)</f>
        <v>2.1449999999999998E-3</v>
      </c>
      <c r="X33" s="332">
        <f>IFERROR(VLOOKUP($P33,'Model Output-LoanNameUpdate'!$A:$K,5,FALSE),CO33)</f>
        <v>2.3049999999999998E-3</v>
      </c>
      <c r="Y33" s="332">
        <f>IFERROR(VLOOKUP($P33,'Model Output-LoanNameUpdate'!$A:$K,6,FALSE),CP33)</f>
        <v>2.3449999999999999E-3</v>
      </c>
      <c r="Z33" s="207">
        <f t="shared" si="5"/>
        <v>1.89</v>
      </c>
      <c r="AA33" s="208">
        <f t="shared" si="6"/>
        <v>8.5344038988908848E-4</v>
      </c>
      <c r="AB33" s="208">
        <f t="shared" si="7"/>
        <v>3.7894499999999993E-3</v>
      </c>
      <c r="AC33" s="208">
        <f t="shared" si="8"/>
        <v>4.0540499999999991E-3</v>
      </c>
      <c r="AD33" s="208">
        <f t="shared" si="9"/>
        <v>4.3564499999999996E-3</v>
      </c>
      <c r="AE33" s="208">
        <f t="shared" si="10"/>
        <v>4.4320499999999999E-3</v>
      </c>
      <c r="AF33" s="332">
        <f>NORMSDIST((_xlfn.NORM.S.INV(AA33)-(SQRT(Baseline!$AF$11)*'MacroPD-Cal'!$R$2))/SQRT(1-Baseline!$AF$11))</f>
        <v>5.78851447579404E-4</v>
      </c>
      <c r="AG33" s="332">
        <f>NORMSDIST((_xlfn.NORM.S.INV(AA33)-(SQRT(Baseline!$AF$11)*'MacroPD-Cal'!$R$3))/SQRT(1-Baseline!$AF$11))</f>
        <v>8.0229984413748802E-4</v>
      </c>
      <c r="AH33" s="332">
        <f>NORMSDIST((_xlfn.NORM.S.INV(AA33)-(SQRT(Baseline!$AF$11)*'MacroPD-Cal'!$R$4))/SQRT(1-Baseline!$AF$11))</f>
        <v>9.3412669541242358E-4</v>
      </c>
      <c r="AI33" s="332">
        <f>NORMSDIST((_xlfn.NORM.S.INV(AA33)-(SQRT(Baseline!$AF$11)*'MacroPD-Cal'!$R$5))/SQRT(1-Baseline!$AF$11))</f>
        <v>1.2751403480472901E-3</v>
      </c>
      <c r="AJ33" s="332">
        <f>NORMSDIST((_xlfn.NORM.S.INV(AB33)-(SQRT(Baseline!$AF$11)*'MacroPD-Cal'!$R$6))/SQRT(1-Baseline!$AF$11))</f>
        <v>2.0803992418813124E-3</v>
      </c>
      <c r="AK33" s="332">
        <f>NORMSDIST((_xlfn.NORM.S.INV(AC33)-(SQRT(Baseline!$AF$11)*'MacroPD-Cal'!$R$7))/SQRT(1-Baseline!$AF$11))</f>
        <v>1.3122462006346974E-3</v>
      </c>
      <c r="AL33" s="332">
        <f>NORMSDIST((_xlfn.NORM.S.INV(AD33)-(SQRT(Baseline!$AF$11)*'MacroPD-Cal'!$R$8))/SQRT(1-Baseline!$AF$11))</f>
        <v>3.9184595591160642E-3</v>
      </c>
      <c r="AM33" s="332">
        <f>NORMSDIST((_xlfn.NORM.S.INV(AE33)-(SQRT(Baseline!$AF$11)*'MacroPD-Cal'!$R$9))/SQRT(1-Baseline!$AF$11))</f>
        <v>4.26407526736838E-3</v>
      </c>
      <c r="AO33" s="355"/>
      <c r="AP33" s="355"/>
      <c r="AQ33" s="355">
        <f>NORMSDIST((_xlfn.NORM.S.INV(AA33)-(SQRT(Baseline!$AF$11)*'MacroPD-Cal'!$AP$2))/SQRT(1-Baseline!$AF$11))</f>
        <v>6.0451190125946112E-4</v>
      </c>
      <c r="AR33" s="355">
        <f>NORMSDIST((_xlfn.NORM.S.INV(AA33)-(SQRT(Baseline!$AF$11)*'MacroPD-Cal'!$AP$3))/SQRT(1-Baseline!$AF$11))</f>
        <v>7.3927058870392728E-4</v>
      </c>
      <c r="AS33" s="355">
        <f>NORMSDIST((_xlfn.NORM.S.INV(AA33)-(SQRT(Baseline!$AF$11)*'MacroPD-Cal'!$AP$4))/SQRT(1-Baseline!$AF$11))</f>
        <v>7.5852453399561737E-4</v>
      </c>
      <c r="AT33" s="355">
        <f>NORMSDIST((_xlfn.NORM.S.INV(AA33)-(SQRT(Baseline!$AF$11)*'MacroPD-Cal'!$AP$5))/SQRT(1-Baseline!$AF$11))</f>
        <v>1.058585724993631E-3</v>
      </c>
      <c r="AU33" s="355">
        <f>NORMSDIST((_xlfn.NORM.S.INV(AB33)-(SQRT(Baseline!$AF$11)*'MacroPD-Cal'!$AP$6))/SQRT(1-Baseline!$AF$11))</f>
        <v>1.2859805987086128E-3</v>
      </c>
      <c r="AV33" s="355">
        <f>NORMSDIST((_xlfn.NORM.S.INV(AC33)-(SQRT(Baseline!$AF$11)*'MacroPD-Cal'!$AP$7))/SQRT(1-Baseline!$AF$11))</f>
        <v>1.9159444153645545E-3</v>
      </c>
      <c r="AW33" s="355">
        <f>NORMSDIST((_xlfn.NORM.S.INV(AD33)-(SQRT(Baseline!$AF$11)*'MacroPD-Cal'!$AP$8))/SQRT(1-Baseline!$AF$11))</f>
        <v>4.0265958183606449E-3</v>
      </c>
      <c r="AX33" s="355">
        <f>NORMSDIST((_xlfn.NORM.S.INV(AE33)-(SQRT(Baseline!$AF$11)*'MacroPD-Cal'!$AP$9))/SQRT(1-Baseline!$AF$11))</f>
        <v>4.7338266330474825E-3</v>
      </c>
      <c r="AY33" s="355">
        <f t="shared" si="11"/>
        <v>6.0451190125946112E-4</v>
      </c>
      <c r="AZ33" s="355">
        <f t="shared" si="12"/>
        <v>1.3433355920942081E-3</v>
      </c>
      <c r="BA33" s="355">
        <f t="shared" si="13"/>
        <v>2.1008411730858434E-3</v>
      </c>
      <c r="BB33" s="355">
        <f t="shared" si="14"/>
        <v>3.1000000000000003E-3</v>
      </c>
      <c r="BC33" s="355"/>
      <c r="BD33" s="355"/>
      <c r="BE33" s="355"/>
      <c r="BF33" s="355"/>
      <c r="BG33" s="355">
        <f>NORMSDIST((_xlfn.NORM.S.INV($AA33)-(SQRT(Baseline!$AF$11)*'MacroPD-Cal'!$BF$2))/SQRT(1-Baseline!$AF$11))</f>
        <v>5.6542636813658464E-4</v>
      </c>
      <c r="BH33" s="355">
        <f>NORMSDIST((_xlfn.NORM.S.INV($AA33)-(SQRT(Baseline!$AF$11)*'MacroPD-Cal'!$BF$3))/SQRT(1-Baseline!$AF$11))</f>
        <v>8.6367631978229696E-4</v>
      </c>
      <c r="BI33" s="355">
        <f>NORMSDIST((_xlfn.NORM.S.INV($AA33)-(SQRT(Baseline!$AF$11)*'MacroPD-Cal'!$BF$4))/SQRT(1-Baseline!$AF$11))</f>
        <v>1.3648039122755929E-3</v>
      </c>
      <c r="BJ33" s="355">
        <f>NORMSDIST((_xlfn.NORM.S.INV($AA33)-(SQRT(Baseline!$AF$11)*'MacroPD-Cal'!$BF$5))/SQRT(1-Baseline!$AF$11))</f>
        <v>1.9124678715486802E-3</v>
      </c>
      <c r="BK33" s="355">
        <f>NORMSDIST((_xlfn.NORM.S.INV($AB33)-(SQRT(Baseline!$AF$11)*'MacroPD-Cal'!$BF$6))/SQRT(1-Baseline!$AF$11))</f>
        <v>9.4473128464280659E-3</v>
      </c>
      <c r="BL33" s="355">
        <f>NORMSDIST((_xlfn.NORM.S.INV($AC33)-(SQRT(Baseline!$AF$11)*'MacroPD-Cal'!$BF$7))/SQRT(1-Baseline!$AF$11))</f>
        <v>6.7063131345746808E-4</v>
      </c>
      <c r="BM33" s="355">
        <f>NORMSDIST((_xlfn.NORM.S.INV($AD33)-(SQRT(Baseline!$AF$11)*'MacroPD-Cal'!$BF$8))/SQRT(1-Baseline!$AF$11))</f>
        <v>2.1749474237649944E-3</v>
      </c>
      <c r="BN33" s="355">
        <f>NORMSDIST((_xlfn.NORM.S.INV($AE33)-(SQRT(Baseline!$AF$11)*'MacroPD-Cal'!$BF$9))/SQRT(1-Baseline!$AF$11))</f>
        <v>3.5522993111732288E-3</v>
      </c>
      <c r="BO33" s="355">
        <f t="shared" si="15"/>
        <v>5.6542636813658464E-4</v>
      </c>
      <c r="BP33" s="355">
        <f t="shared" si="16"/>
        <v>1.4286143425542575E-3</v>
      </c>
      <c r="BQ33" s="355">
        <f t="shared" si="17"/>
        <v>2.7914684763860054E-3</v>
      </c>
      <c r="BR33" s="355">
        <f t="shared" si="18"/>
        <v>4.5999999999999999E-3</v>
      </c>
      <c r="BS33" s="355"/>
      <c r="BT33" s="355"/>
      <c r="BU33" s="355"/>
      <c r="BV33" s="355">
        <f>NORMSDIST((_xlfn.NORM.S.INV($AA33)-(SQRT(Baseline!$AF$11)*'MacroPD-Cal'!$BU$2))/SQRT(1-Baseline!$AF$11))</f>
        <v>5.3900389498802795E-4</v>
      </c>
      <c r="BW33" s="355">
        <f>NORMSDIST((_xlfn.NORM.S.INV($AA33)-(SQRT(Baseline!$AF$11)*'MacroPD-Cal'!$BU$3))/SQRT(1-Baseline!$AF$11))</f>
        <v>9.12386309771279E-4</v>
      </c>
      <c r="BX33" s="355">
        <f>NORMSDIST((_xlfn.NORM.S.INV($AA33)-(SQRT(Baseline!$AF$11)*'MacroPD-Cal'!$BU$4))/SQRT(1-Baseline!$AF$11))</f>
        <v>1.255080114557019E-3</v>
      </c>
      <c r="BY33" s="355">
        <f>NORMSDIST((_xlfn.NORM.S.INV($AA33)-(SQRT(Baseline!$AF$11)*'MacroPD-Cal'!$BU$5))/SQRT(1-Baseline!$AF$11))</f>
        <v>1.645178083776943E-3</v>
      </c>
      <c r="BZ33" s="355">
        <f>NORMSDIST((_xlfn.NORM.S.INV($AB33)-(SQRT(Baseline!$AF$11)*'MacroPD-Cal'!$BU$6))/SQRT(1-Baseline!$AF$11))</f>
        <v>3.6348752094393804E-3</v>
      </c>
      <c r="CA33" s="355">
        <f>NORMSDIST((_xlfn.NORM.S.INV($AC33)-(SQRT(Baseline!$AF$11)*'MacroPD-Cal'!$BU38))/SQRT(1-Baseline!$AF$11))</f>
        <v>1.7294166384019501E-3</v>
      </c>
      <c r="CB33" s="355">
        <f>NORMSDIST((_xlfn.NORM.S.INV($AD33)-(SQRT(Baseline!$AF$11)*'MacroPD-Cal'!$BU$8))/SQRT(1-Baseline!$AF$11))</f>
        <v>4.0574845254655462E-3</v>
      </c>
      <c r="CC33" s="355">
        <f>NORMSDIST((_xlfn.NORM.S.INV($AE33)-(SQRT(Baseline!$AF$11)*'MacroPD-Cal'!$BU$9))/SQRT(1-Baseline!$AF$11))</f>
        <v>3.6497060852937239E-3</v>
      </c>
      <c r="CD33" s="355">
        <f t="shared" si="19"/>
        <v>5.3900389498802795E-4</v>
      </c>
      <c r="CE33" s="355">
        <f t="shared" si="20"/>
        <v>1.4508984249846923E-3</v>
      </c>
      <c r="CF33" s="355">
        <f t="shared" si="21"/>
        <v>2.7041575457802391E-3</v>
      </c>
      <c r="CG33" s="355">
        <f t="shared" si="22"/>
        <v>4.3E-3</v>
      </c>
      <c r="CH33" s="355"/>
      <c r="CI33" s="355"/>
      <c r="CL33" s="168"/>
      <c r="CM33" s="168"/>
      <c r="CN33" s="168"/>
      <c r="CO33" s="168"/>
      <c r="CP33" s="168"/>
      <c r="CR33" s="345">
        <f t="shared" si="23"/>
        <v>0.1653861278798297</v>
      </c>
      <c r="CS33" s="345">
        <f t="shared" si="24"/>
        <v>0.39448196551163306</v>
      </c>
      <c r="CT33" s="345">
        <f t="shared" si="25"/>
        <v>0.66100681092318148</v>
      </c>
      <c r="CU33" s="345">
        <f t="shared" si="26"/>
        <v>1</v>
      </c>
    </row>
    <row r="34" spans="1:99" s="166" customFormat="1" x14ac:dyDescent="0.25">
      <c r="A34" s="464">
        <v>1200000131</v>
      </c>
      <c r="B34" s="470">
        <f>VLOOKUP(A34,'Ref-Data'!A:I,9,FALSE)</f>
        <v>1</v>
      </c>
      <c r="C34" s="445">
        <f>IF(B34="Matured","",VLOOKUP(A34,'Adjustment Factor'!A:C,3,0))</f>
        <v>0.65</v>
      </c>
      <c r="D34" s="190">
        <f>VLOOKUP(A34,'Ref-Data'!A:C,2,FALSE)</f>
        <v>4262424.9000000004</v>
      </c>
      <c r="E34" s="471">
        <f>IFERROR(IF(VLOOKUP(A34,'Updated Ncino PD'!$A:$K,4,0)=0,"",VLOOKUP(A34,'Updated Ncino PD'!$A:$K,4,0)),AF34)</f>
        <v>2.4783737762410296E-3</v>
      </c>
      <c r="F34" s="472">
        <f>IFERROR(IF(VLOOKUP(A34,'Updated Ncino PD'!$A:$K,5,0)=0,"",VLOOKUP(A34,'Updated Ncino PD'!$A:$K,5,0)),1-((1-AG34)*(1-E34)))</f>
        <v>5.77597863222723E-3</v>
      </c>
      <c r="G34" s="472">
        <f>IFERROR(IF(VLOOKUP(A34,'Updated Ncino PD'!$A:$K,6,0)=0,"",VLOOKUP(A34,'Updated Ncino PD'!$A:$K,6,0)),1-((1-AF34)*(1-AG34)*(1-AH34)))</f>
        <v>9.5338075769022534E-3</v>
      </c>
      <c r="H34" s="472">
        <f>IFERROR(IF(VLOOKUP(A34,'Updated Ncino PD'!$A:$K,7,0)=0,"",VLOOKUP(A34,'Updated Ncino PD'!$A:$K,7,0)),IFERROR(VLOOKUP(A34,'Updated Ncino PD'!A:B,2,FALSE),FLOOR(1-((1-AG34)*(1-AH34)*(1-AI34)*(1-AF34)),$R$11)))</f>
        <v>1.4400000000000001E-2</v>
      </c>
      <c r="I34" s="472">
        <f>IFERROR(IF(VLOOKUP(A34,'Updated Ncino PD'!$A:$K,8,0)=0,"",VLOOKUP(A34,'Updated Ncino PD'!$A:$K,8,0)),FLOOR(1-((1-H34)*(1-AJ34)),$R$11))</f>
        <v>2.1600000000000001E-2</v>
      </c>
      <c r="J34" s="472">
        <f>IFERROR(IF(VLOOKUP(A34,'Updated Ncino PD'!$A:$K,9,0)=0,"",VLOOKUP(A34,'Updated Ncino PD'!$A:$K,9,0)),FLOOR(1-((1-H34)*(1-AJ34)*(1-AK34)),$R$11))</f>
        <v>2.5700000000000001E-2</v>
      </c>
      <c r="K34" s="472">
        <f>IFERROR(IF(VLOOKUP(A34,'Updated Ncino PD'!$A:$K,10,0)=0,"",VLOOKUP(A34,'Updated Ncino PD'!$A:$K,10,0)),FLOOR(1-((1-H34)*(1-AJ34)*(1-AK34)*(1-AL34)),$R$11))</f>
        <v>3.5500000000000004E-2</v>
      </c>
      <c r="L34" s="472">
        <f>IFERROR(IF(VLOOKUP(A34,'Updated Ncino PD'!$A:$K,11,0)=0,"",VLOOKUP(A34,'Updated Ncino PD'!$A:$K,11,0)),FLOOR(1-((1-H34)*(1-AJ34)*(1-AK34)*(1-AL34)*(1-AM34)),$R$11))</f>
        <v>4.5400000000000003E-2</v>
      </c>
      <c r="M34" s="224">
        <f>VLOOKUP(A34,'Ref-Data'!$A:$F,6,FALSE)</f>
        <v>4.0027378507871321</v>
      </c>
      <c r="N34" s="191">
        <f t="shared" si="3"/>
        <v>1.4400000000000001E-2</v>
      </c>
      <c r="O34" s="191">
        <f t="shared" si="4"/>
        <v>4.5400000000000003E-2</v>
      </c>
      <c r="P34" s="459" t="str">
        <f>VLOOKUP(A34,'Loan Book Summary'!C:G,5,FALSE)</f>
        <v>0014I00001lzk4N</v>
      </c>
      <c r="S34" s="203"/>
      <c r="T34" s="332">
        <f>IFERROR(VLOOKUP($P34,'Model Output-LoanNameUpdate'!$A:$K,2,FALSE),CL34)</f>
        <v>1.8814999999999998E-2</v>
      </c>
      <c r="U34" s="332">
        <f>1-(1-IFERROR(VLOOKUP($P34,'Model Output-LoanNameUpdate'!$A:$K,2,FALSE),CL34))^(1/4)</f>
        <v>4.7373069262759415E-3</v>
      </c>
      <c r="V34" s="332">
        <f>IFERROR(VLOOKUP($P34,'Model Output-LoanNameUpdate'!$A:$K,3,FALSE),CM34)</f>
        <v>1.7129999999999999E-2</v>
      </c>
      <c r="W34" s="332">
        <f>IFERROR(VLOOKUP($P34,'Model Output-LoanNameUpdate'!$A:$K,4,FALSE),CN34)</f>
        <v>1.6215E-2</v>
      </c>
      <c r="X34" s="332">
        <f>IFERROR(VLOOKUP($P34,'Model Output-LoanNameUpdate'!$A:$K,5,FALSE),CO34)</f>
        <v>1.5569999999999999E-2</v>
      </c>
      <c r="Y34" s="332">
        <f>IFERROR(VLOOKUP($P34,'Model Output-LoanNameUpdate'!$A:$K,6,FALSE),CP34)</f>
        <v>1.5119999999999998E-2</v>
      </c>
      <c r="Z34" s="207">
        <f t="shared" si="5"/>
        <v>0.65</v>
      </c>
      <c r="AA34" s="208">
        <f t="shared" si="6"/>
        <v>3.0792495020793621E-3</v>
      </c>
      <c r="AB34" s="208">
        <f t="shared" si="7"/>
        <v>1.11345E-2</v>
      </c>
      <c r="AC34" s="208">
        <f t="shared" si="8"/>
        <v>1.0539750000000001E-2</v>
      </c>
      <c r="AD34" s="208">
        <f t="shared" si="9"/>
        <v>1.0120499999999999E-2</v>
      </c>
      <c r="AE34" s="208">
        <f t="shared" si="10"/>
        <v>9.8279999999999982E-3</v>
      </c>
      <c r="AF34" s="332">
        <f>NORMSDIST((_xlfn.NORM.S.INV(AA34)-(SQRT(Baseline!$AF$11)*'MacroPD-Cal'!$R$2))/SQRT(1-Baseline!$AF$11))</f>
        <v>2.4783737762410296E-3</v>
      </c>
      <c r="AG34" s="332">
        <f>NORMSDIST((_xlfn.NORM.S.INV(AA34)-(SQRT(Baseline!$AF$11)*'MacroPD-Cal'!$R$3))/SQRT(1-Baseline!$AF$11))</f>
        <v>3.3057978587087882E-3</v>
      </c>
      <c r="AH34" s="332">
        <f>NORMSDIST((_xlfn.NORM.S.INV(AA34)-(SQRT(Baseline!$AF$11)*'MacroPD-Cal'!$R$4))/SQRT(1-Baseline!$AF$11))</f>
        <v>3.7796601811182291E-3</v>
      </c>
      <c r="AI34" s="332">
        <f>NORMSDIST((_xlfn.NORM.S.INV(AA34)-(SQRT(Baseline!$AF$11)*'MacroPD-Cal'!$R$5))/SQRT(1-Baseline!$AF$11))</f>
        <v>4.9681097443208498E-3</v>
      </c>
      <c r="AJ34" s="332">
        <f>NORMSDIST((_xlfn.NORM.S.INV(AB34)-(SQRT(Baseline!$AF$11)*'MacroPD-Cal'!$R$6))/SQRT(1-Baseline!$AF$11))</f>
        <v>7.321972522888678E-3</v>
      </c>
      <c r="AK34" s="332">
        <f>NORMSDIST((_xlfn.NORM.S.INV(AC34)-(SQRT(Baseline!$AF$11)*'MacroPD-Cal'!$R$7))/SQRT(1-Baseline!$AF$11))</f>
        <v>4.2434497884171786E-3</v>
      </c>
      <c r="AL34" s="332">
        <f>NORMSDIST((_xlfn.NORM.S.INV(AD34)-(SQRT(Baseline!$AF$11)*'MacroPD-Cal'!$R$8))/SQRT(1-Baseline!$AF$11))</f>
        <v>1.0000709337490523E-2</v>
      </c>
      <c r="AM34" s="332">
        <f>NORMSDIST((_xlfn.NORM.S.INV(AE34)-(SQRT(Baseline!$AF$11)*'MacroPD-Cal'!$R$9))/SQRT(1-Baseline!$AF$11))</f>
        <v>1.0269767733380267E-2</v>
      </c>
      <c r="AO34" s="355"/>
      <c r="AP34" s="355"/>
      <c r="AQ34" s="355">
        <f>NORMSDIST((_xlfn.NORM.S.INV(AA34)-(SQRT(Baseline!$AF$11)*'MacroPD-Cal'!$AP$2))/SQRT(1-Baseline!$AF$11))</f>
        <v>2.5752053473047046E-3</v>
      </c>
      <c r="AR34" s="355">
        <f>NORMSDIST((_xlfn.NORM.S.INV(AA34)-(SQRT(Baseline!$AF$11)*'MacroPD-Cal'!$AP$3))/SQRT(1-Baseline!$AF$11))</f>
        <v>3.0757674021760981E-3</v>
      </c>
      <c r="AS34" s="355">
        <f>NORMSDIST((_xlfn.NORM.S.INV(AA34)-(SQRT(Baseline!$AF$11)*'MacroPD-Cal'!$AP$4))/SQRT(1-Baseline!$AF$11))</f>
        <v>3.1462926699083026E-3</v>
      </c>
      <c r="AT34" s="355">
        <f>NORMSDIST((_xlfn.NORM.S.INV(AA34)-(SQRT(Baseline!$AF$11)*'MacroPD-Cal'!$AP$5))/SQRT(1-Baseline!$AF$11))</f>
        <v>4.2191034958129576E-3</v>
      </c>
      <c r="AU34" s="355">
        <f>NORMSDIST((_xlfn.NORM.S.INV(AB34)-(SQRT(Baseline!$AF$11)*'MacroPD-Cal'!$AP$6))/SQRT(1-Baseline!$AF$11))</f>
        <v>4.797340170466572E-3</v>
      </c>
      <c r="AV34" s="355">
        <f>NORMSDIST((_xlfn.NORM.S.INV(AC34)-(SQRT(Baseline!$AF$11)*'MacroPD-Cal'!$AP$7))/SQRT(1-Baseline!$AF$11))</f>
        <v>5.9493775170135228E-3</v>
      </c>
      <c r="AW34" s="355">
        <f>NORMSDIST((_xlfn.NORM.S.INV(AD34)-(SQRT(Baseline!$AF$11)*'MacroPD-Cal'!$AP$8))/SQRT(1-Baseline!$AF$11))</f>
        <v>1.0248146518629412E-2</v>
      </c>
      <c r="AX34" s="355">
        <f>NORMSDIST((_xlfn.NORM.S.INV(AE34)-(SQRT(Baseline!$AF$11)*'MacroPD-Cal'!$AP$9))/SQRT(1-Baseline!$AF$11))</f>
        <v>1.1285456127195392E-2</v>
      </c>
      <c r="AY34" s="355">
        <f t="shared" si="11"/>
        <v>2.5752053473047046E-3</v>
      </c>
      <c r="AZ34" s="355">
        <f t="shared" si="12"/>
        <v>5.643052016819583E-3</v>
      </c>
      <c r="BA34" s="355">
        <f t="shared" si="13"/>
        <v>8.7715899935314479E-3</v>
      </c>
      <c r="BB34" s="355">
        <f t="shared" si="14"/>
        <v>1.29E-2</v>
      </c>
      <c r="BC34" s="355"/>
      <c r="BD34" s="355"/>
      <c r="BE34" s="355"/>
      <c r="BF34" s="355"/>
      <c r="BG34" s="355">
        <f>NORMSDIST((_xlfn.NORM.S.INV($AA34)-(SQRT(Baseline!$AF$11)*'MacroPD-Cal'!$BF$2))/SQRT(1-Baseline!$AF$11))</f>
        <v>2.427500505018497E-3</v>
      </c>
      <c r="BH34" s="355">
        <f>NORMSDIST((_xlfn.NORM.S.INV($AA34)-(SQRT(Baseline!$AF$11)*'MacroPD-Cal'!$BF$3))/SQRT(1-Baseline!$AF$11))</f>
        <v>3.5275781615864144E-3</v>
      </c>
      <c r="BI34" s="355">
        <f>NORMSDIST((_xlfn.NORM.S.INV($AA34)-(SQRT(Baseline!$AF$11)*'MacroPD-Cal'!$BF$4))/SQRT(1-Baseline!$AF$11))</f>
        <v>5.2731423552247756E-3</v>
      </c>
      <c r="BJ34" s="355">
        <f>NORMSDIST((_xlfn.NORM.S.INV($AA34)-(SQRT(Baseline!$AF$11)*'MacroPD-Cal'!$BF$5))/SQRT(1-Baseline!$AF$11))</f>
        <v>7.083910628676162E-3</v>
      </c>
      <c r="BK34" s="355">
        <f>NORMSDIST((_xlfn.NORM.S.INV($AB34)-(SQRT(Baseline!$AF$11)*'MacroPD-Cal'!$BF$6))/SQRT(1-Baseline!$AF$11))</f>
        <v>2.7242298544812169E-2</v>
      </c>
      <c r="BL34" s="355">
        <f>NORMSDIST((_xlfn.NORM.S.INV($AC34)-(SQRT(Baseline!$AF$11)*'MacroPD-Cal'!$BF$7))/SQRT(1-Baseline!$AF$11))</f>
        <v>2.3240917837220451E-3</v>
      </c>
      <c r="BM34" s="355">
        <f>NORMSDIST((_xlfn.NORM.S.INV($AD34)-(SQRT(Baseline!$AF$11)*'MacroPD-Cal'!$BF$8))/SQRT(1-Baseline!$AF$11))</f>
        <v>5.8859157293262958E-3</v>
      </c>
      <c r="BN34" s="355">
        <f>NORMSDIST((_xlfn.NORM.S.INV($AE34)-(SQRT(Baseline!$AF$11)*'MacroPD-Cal'!$BF$9))/SQRT(1-Baseline!$AF$11))</f>
        <v>8.7073628587609284E-3</v>
      </c>
      <c r="BO34" s="355">
        <f t="shared" si="15"/>
        <v>2.427500505018497E-3</v>
      </c>
      <c r="BP34" s="355">
        <f t="shared" si="16"/>
        <v>5.9465154688361777E-3</v>
      </c>
      <c r="BQ34" s="355">
        <f t="shared" si="17"/>
        <v>1.1188301001476275E-2</v>
      </c>
      <c r="BR34" s="355">
        <f t="shared" si="18"/>
        <v>1.8100000000000002E-2</v>
      </c>
      <c r="BS34" s="355"/>
      <c r="BT34" s="355"/>
      <c r="BU34" s="355"/>
      <c r="BV34" s="355">
        <f>NORMSDIST((_xlfn.NORM.S.INV($AA34)-(SQRT(Baseline!$AF$11)*'MacroPD-Cal'!$BU$2))/SQRT(1-Baseline!$AF$11))</f>
        <v>2.3269302644014045E-3</v>
      </c>
      <c r="BW34" s="355">
        <f>NORMSDIST((_xlfn.NORM.S.INV($AA34)-(SQRT(Baseline!$AF$11)*'MacroPD-Cal'!$BU$3))/SQRT(1-Baseline!$AF$11))</f>
        <v>3.702141050496181E-3</v>
      </c>
      <c r="BX34" s="355">
        <f>NORMSDIST((_xlfn.NORM.S.INV($AA34)-(SQRT(Baseline!$AF$11)*'MacroPD-Cal'!$BU$4))/SQRT(1-Baseline!$AF$11))</f>
        <v>4.8994799468481866E-3</v>
      </c>
      <c r="BY34" s="355">
        <f>NORMSDIST((_xlfn.NORM.S.INV($AA34)-(SQRT(Baseline!$AF$11)*'MacroPD-Cal'!$BU$5))/SQRT(1-Baseline!$AF$11))</f>
        <v>6.2104770615038522E-3</v>
      </c>
      <c r="BZ34" s="355">
        <f>NORMSDIST((_xlfn.NORM.S.INV($AB34)-(SQRT(Baseline!$AF$11)*'MacroPD-Cal'!$BU$6))/SQRT(1-Baseline!$AF$11))</f>
        <v>1.1923404789419771E-2</v>
      </c>
      <c r="CA34" s="355">
        <f>NORMSDIST((_xlfn.NORM.S.INV($AC34)-(SQRT(Baseline!$AF$11)*'MacroPD-Cal'!$BU39))/SQRT(1-Baseline!$AF$11))</f>
        <v>5.4300775115203401E-3</v>
      </c>
      <c r="CB34" s="355">
        <f>NORMSDIST((_xlfn.NORM.S.INV($AD34)-(SQRT(Baseline!$AF$11)*'MacroPD-Cal'!$BU$8))/SQRT(1-Baseline!$AF$11))</f>
        <v>1.0318688155561527E-2</v>
      </c>
      <c r="CC34" s="355">
        <f>NORMSDIST((_xlfn.NORM.S.INV($AE34)-(SQRT(Baseline!$AF$11)*'MacroPD-Cal'!$BU$9))/SQRT(1-Baseline!$AF$11))</f>
        <v>8.9229992292961437E-3</v>
      </c>
      <c r="CD34" s="355">
        <f t="shared" si="19"/>
        <v>2.3269302644014045E-3</v>
      </c>
      <c r="CE34" s="355">
        <f t="shared" si="20"/>
        <v>6.020456690844167E-3</v>
      </c>
      <c r="CF34" s="355">
        <f t="shared" si="21"/>
        <v>1.089043953086466E-2</v>
      </c>
      <c r="CG34" s="355">
        <f t="shared" si="22"/>
        <v>1.7000000000000001E-2</v>
      </c>
      <c r="CH34" s="355"/>
      <c r="CI34" s="355"/>
      <c r="CL34" s="168"/>
      <c r="CM34" s="168"/>
      <c r="CN34" s="168"/>
      <c r="CO34" s="168"/>
      <c r="CP34" s="168"/>
      <c r="CR34" s="345">
        <f t="shared" si="23"/>
        <v>0.17210929001673816</v>
      </c>
      <c r="CS34" s="345">
        <f t="shared" si="24"/>
        <v>0.40110962723800203</v>
      </c>
      <c r="CT34" s="345">
        <f t="shared" si="25"/>
        <v>0.66206997061821193</v>
      </c>
      <c r="CU34" s="345">
        <f t="shared" si="26"/>
        <v>1</v>
      </c>
    </row>
    <row r="35" spans="1:99" s="166" customFormat="1" x14ac:dyDescent="0.25">
      <c r="A35" s="464">
        <v>1200000149</v>
      </c>
      <c r="B35" s="470">
        <f>VLOOKUP(A35,'Ref-Data'!A:I,9,FALSE)</f>
        <v>1</v>
      </c>
      <c r="C35" s="445">
        <f>IF(B35="Matured","",VLOOKUP(A35,'Adjustment Factor'!A:C,3,0))</f>
        <v>0.66190383661082652</v>
      </c>
      <c r="D35" s="190">
        <f>VLOOKUP(A35,'Ref-Data'!A:C,2,FALSE)</f>
        <v>998648</v>
      </c>
      <c r="E35" s="471">
        <f>IFERROR(IF(VLOOKUP(A35,'Updated Ncino PD'!$A:$K,4,0)=0,"",VLOOKUP(A35,'Updated Ncino PD'!$A:$K,4,0)),AF35)</f>
        <v>1.7494248871209371E-3</v>
      </c>
      <c r="F35" s="472">
        <f>IFERROR(IF(VLOOKUP(A35,'Updated Ncino PD'!$A:$K,5,0)=0,"",VLOOKUP(A35,'Updated Ncino PD'!$A:$K,5,0)),1-((1-AG35)*(1-E35)))</f>
        <v>4.1012418054688915E-3</v>
      </c>
      <c r="G35" s="472">
        <f>IFERROR(IF(VLOOKUP(A35,'Updated Ncino PD'!$A:$K,6,0)=0,"",VLOOKUP(A35,'Updated Ncino PD'!$A:$K,6,0)),1-((1-AF35)*(1-AG35)*(1-AH35)))</f>
        <v>6.7960350200328978E-3</v>
      </c>
      <c r="H35" s="472">
        <f>IFERROR(IF(VLOOKUP(A35,'Updated Ncino PD'!$A:$K,7,0)=0,"",VLOOKUP(A35,'Updated Ncino PD'!$A:$K,7,0)),IFERROR(VLOOKUP(A35,'Updated Ncino PD'!A:B,2,FALSE),FLOOR(1-((1-AG35)*(1-AH35)*(1-AI35)*(1-AF35)),$R$11)))</f>
        <v>1.03E-2</v>
      </c>
      <c r="I35" s="472">
        <f>IFERROR(IF(VLOOKUP(A35,'Updated Ncino PD'!$A:$K,8,0)=0,"",VLOOKUP(A35,'Updated Ncino PD'!$A:$K,8,0)),FLOOR(1-((1-H35)*(1-AJ35)),$R$11))</f>
        <v>1.5700000000000002E-2</v>
      </c>
      <c r="J35" s="472">
        <f>IFERROR(IF(VLOOKUP(A35,'Updated Ncino PD'!$A:$K,9,0)=0,"",VLOOKUP(A35,'Updated Ncino PD'!$A:$K,9,0)),FLOOR(1-((1-H35)*(1-AJ35)*(1-AK35)),$R$11))</f>
        <v>1.89E-2</v>
      </c>
      <c r="K35" s="472">
        <f>IFERROR(IF(VLOOKUP(A35,'Updated Ncino PD'!$A:$K,10,0)=0,"",VLOOKUP(A35,'Updated Ncino PD'!$A:$K,10,0)),FLOOR(1-((1-H35)*(1-AJ35)*(1-AK35)*(1-AL35)),$R$11))</f>
        <v>2.6800000000000001E-2</v>
      </c>
      <c r="L35" s="472">
        <f>IFERROR(IF(VLOOKUP(A35,'Updated Ncino PD'!$A:$K,11,0)=0,"",VLOOKUP(A35,'Updated Ncino PD'!$A:$K,11,0)),FLOOR(1-((1-H35)*(1-AJ35)*(1-AK35)*(1-AL35)*(1-AM35)),$R$11))</f>
        <v>3.5099999999999999E-2</v>
      </c>
      <c r="M35" s="224">
        <f>VLOOKUP(A35,'Ref-Data'!$A:$F,6,FALSE)</f>
        <v>4.046543463381246</v>
      </c>
      <c r="N35" s="191">
        <f t="shared" si="3"/>
        <v>1.03E-2</v>
      </c>
      <c r="O35" s="191">
        <f t="shared" si="4"/>
        <v>3.5099999999999999E-2</v>
      </c>
      <c r="P35" s="459" t="str">
        <f>VLOOKUP(A35,'Loan Book Summary'!C:G,5,FALSE)</f>
        <v>0015800000dRt2K</v>
      </c>
      <c r="S35" s="203"/>
      <c r="T35" s="332">
        <f>IFERROR(VLOOKUP($P35,'Model Output-LoanNameUpdate'!$A:$K,2,FALSE),CL35)</f>
        <v>1.3599999999999999E-2</v>
      </c>
      <c r="U35" s="332">
        <f>1-(1-IFERROR(VLOOKUP($P35,'Model Output-LoanNameUpdate'!$A:$K,2,FALSE),CL35))^(1/4)</f>
        <v>3.4174788634857567E-3</v>
      </c>
      <c r="V35" s="332">
        <f>IFERROR(VLOOKUP($P35,'Model Output-LoanNameUpdate'!$A:$K,3,FALSE),CM35)</f>
        <v>1.3094999999999999E-2</v>
      </c>
      <c r="W35" s="332">
        <f>IFERROR(VLOOKUP($P35,'Model Output-LoanNameUpdate'!$A:$K,4,FALSE),CN35)</f>
        <v>1.286E-2</v>
      </c>
      <c r="X35" s="332">
        <f>IFERROR(VLOOKUP($P35,'Model Output-LoanNameUpdate'!$A:$K,5,FALSE),CO35)</f>
        <v>1.2644999999999998E-2</v>
      </c>
      <c r="Y35" s="332">
        <f>IFERROR(VLOOKUP($P35,'Model Output-LoanNameUpdate'!$A:$K,6,FALSE),CP35)</f>
        <v>1.2539999999999999E-2</v>
      </c>
      <c r="Z35" s="207">
        <f t="shared" si="5"/>
        <v>0.66190383661082652</v>
      </c>
      <c r="AA35" s="208">
        <f t="shared" si="6"/>
        <v>2.2620423712776294E-3</v>
      </c>
      <c r="AB35" s="208">
        <f t="shared" si="7"/>
        <v>8.6676307404187723E-3</v>
      </c>
      <c r="AC35" s="208">
        <f t="shared" si="8"/>
        <v>8.5120833388152295E-3</v>
      </c>
      <c r="AD35" s="208">
        <f t="shared" si="9"/>
        <v>8.3697740139438998E-3</v>
      </c>
      <c r="AE35" s="208">
        <f t="shared" si="10"/>
        <v>8.3002741110997647E-3</v>
      </c>
      <c r="AF35" s="332">
        <f>NORMSDIST((_xlfn.NORM.S.INV(AA35)-(SQRT(Baseline!$AF$11)*'MacroPD-Cal'!$R$2))/SQRT(1-Baseline!$AF$11))</f>
        <v>1.7494248871209371E-3</v>
      </c>
      <c r="AG35" s="332">
        <f>NORMSDIST((_xlfn.NORM.S.INV(AA35)-(SQRT(Baseline!$AF$11)*'MacroPD-Cal'!$R$3))/SQRT(1-Baseline!$AF$11))</f>
        <v>2.355938455714887E-3</v>
      </c>
      <c r="AH35" s="332">
        <f>NORMSDIST((_xlfn.NORM.S.INV(AA35)-(SQRT(Baseline!$AF$11)*'MacroPD-Cal'!$R$4))/SQRT(1-Baseline!$AF$11))</f>
        <v>2.70589072673352E-3</v>
      </c>
      <c r="AI35" s="332">
        <f>NORMSDIST((_xlfn.NORM.S.INV(AA35)-(SQRT(Baseline!$AF$11)*'MacroPD-Cal'!$R$5))/SQRT(1-Baseline!$AF$11))</f>
        <v>3.5904105959966184E-3</v>
      </c>
      <c r="AJ35" s="332">
        <f>NORMSDIST((_xlfn.NORM.S.INV(AB35)-(SQRT(Baseline!$AF$11)*'MacroPD-Cal'!$R$6))/SQRT(1-Baseline!$AF$11))</f>
        <v>5.4698486985220807E-3</v>
      </c>
      <c r="AK35" s="332">
        <f>NORMSDIST((_xlfn.NORM.S.INV(AC35)-(SQRT(Baseline!$AF$11)*'MacroPD-Cal'!$R$7))/SQRT(1-Baseline!$AF$11))</f>
        <v>3.2641572108408922E-3</v>
      </c>
      <c r="AL35" s="332">
        <f>NORMSDIST((_xlfn.NORM.S.INV(AD35)-(SQRT(Baseline!$AF$11)*'MacroPD-Cal'!$R$8))/SQRT(1-Baseline!$AF$11))</f>
        <v>8.1037921617215705E-3</v>
      </c>
      <c r="AM35" s="332">
        <f>NORMSDIST((_xlfn.NORM.S.INV(AE35)-(SQRT(Baseline!$AF$11)*'MacroPD-Cal'!$R$9))/SQRT(1-Baseline!$AF$11))</f>
        <v>8.5289104571917018E-3</v>
      </c>
      <c r="AO35" s="355"/>
      <c r="AP35" s="355"/>
      <c r="AQ35" s="355">
        <f>NORMSDIST((_xlfn.NORM.S.INV(AA35)-(SQRT(Baseline!$AF$11)*'MacroPD-Cal'!$AP$2))/SQRT(1-Baseline!$AF$11))</f>
        <v>1.820068938573037E-3</v>
      </c>
      <c r="AR35" s="355">
        <f>NORMSDIST((_xlfn.NORM.S.INV(AA35)-(SQRT(Baseline!$AF$11)*'MacroPD-Cal'!$AP$3))/SQRT(1-Baseline!$AF$11))</f>
        <v>2.1867047092881016E-3</v>
      </c>
      <c r="AS35" s="355">
        <f>NORMSDIST((_xlfn.NORM.S.INV(AA35)-(SQRT(Baseline!$AF$11)*'MacroPD-Cal'!$AP$4))/SQRT(1-Baseline!$AF$11))</f>
        <v>2.2385428612332562E-3</v>
      </c>
      <c r="AT35" s="355">
        <f>NORMSDIST((_xlfn.NORM.S.INV(AA35)-(SQRT(Baseline!$AF$11)*'MacroPD-Cal'!$AP$5))/SQRT(1-Baseline!$AF$11))</f>
        <v>3.0318860622190755E-3</v>
      </c>
      <c r="AU35" s="355">
        <f>NORMSDIST((_xlfn.NORM.S.INV(AB35)-(SQRT(Baseline!$AF$11)*'MacroPD-Cal'!$AP$6))/SQRT(1-Baseline!$AF$11))</f>
        <v>3.5336441845275875E-3</v>
      </c>
      <c r="AV35" s="355">
        <f>NORMSDIST((_xlfn.NORM.S.INV(AC35)-(SQRT(Baseline!$AF$11)*'MacroPD-Cal'!$AP$7))/SQRT(1-Baseline!$AF$11))</f>
        <v>4.6196936619259128E-3</v>
      </c>
      <c r="AW35" s="355">
        <f>NORMSDIST((_xlfn.NORM.S.INV(AD35)-(SQRT(Baseline!$AF$11)*'MacroPD-Cal'!$AP$8))/SQRT(1-Baseline!$AF$11))</f>
        <v>8.3096724544425415E-3</v>
      </c>
      <c r="AX35" s="355">
        <f>NORMSDIST((_xlfn.NORM.S.INV(AE35)-(SQRT(Baseline!$AF$11)*'MacroPD-Cal'!$AP$9))/SQRT(1-Baseline!$AF$11))</f>
        <v>9.3933566477029055E-3</v>
      </c>
      <c r="AY35" s="355">
        <f t="shared" si="11"/>
        <v>1.820068938573037E-3</v>
      </c>
      <c r="AZ35" s="355">
        <f t="shared" si="12"/>
        <v>4.0027936945418174E-3</v>
      </c>
      <c r="BA35" s="355">
        <f t="shared" si="13"/>
        <v>6.2323761305251857E-3</v>
      </c>
      <c r="BB35" s="355">
        <f t="shared" si="14"/>
        <v>9.1999999999999998E-3</v>
      </c>
      <c r="BC35" s="355"/>
      <c r="BD35" s="355"/>
      <c r="BE35" s="355"/>
      <c r="BF35" s="355"/>
      <c r="BG35" s="355">
        <f>NORMSDIST((_xlfn.NORM.S.INV($AA35)-(SQRT(Baseline!$AF$11)*'MacroPD-Cal'!$BF$2))/SQRT(1-Baseline!$AF$11))</f>
        <v>1.7123490196014847E-3</v>
      </c>
      <c r="BH35" s="355">
        <f>NORMSDIST((_xlfn.NORM.S.INV($AA35)-(SQRT(Baseline!$AF$11)*'MacroPD-Cal'!$BF$3))/SQRT(1-Baseline!$AF$11))</f>
        <v>2.5195108231348836E-3</v>
      </c>
      <c r="BI35" s="355">
        <f>NORMSDIST((_xlfn.NORM.S.INV($AA35)-(SQRT(Baseline!$AF$11)*'MacroPD-Cal'!$BF$4))/SQRT(1-Baseline!$AF$11))</f>
        <v>3.8188177317145791E-3</v>
      </c>
      <c r="BJ35" s="355">
        <f>NORMSDIST((_xlfn.NORM.S.INV($AA35)-(SQRT(Baseline!$AF$11)*'MacroPD-Cal'!$BF$5))/SQRT(1-Baseline!$AF$11))</f>
        <v>5.1844330845994676E-3</v>
      </c>
      <c r="BK35" s="355">
        <f>NORMSDIST((_xlfn.NORM.S.INV($AB35)-(SQRT(Baseline!$AF$11)*'MacroPD-Cal'!$BF$6))/SQRT(1-Baseline!$AF$11))</f>
        <v>2.1355959587945325E-2</v>
      </c>
      <c r="BL35" s="355">
        <f>NORMSDIST((_xlfn.NORM.S.INV($AC35)-(SQRT(Baseline!$AF$11)*'MacroPD-Cal'!$BF$7))/SQRT(1-Baseline!$AF$11))</f>
        <v>1.7592235323406677E-3</v>
      </c>
      <c r="BM35" s="355">
        <f>NORMSDIST((_xlfn.NORM.S.INV($AD35)-(SQRT(Baseline!$AF$11)*'MacroPD-Cal'!$BF$8))/SQRT(1-Baseline!$AF$11))</f>
        <v>4.7048729637683652E-3</v>
      </c>
      <c r="BN35" s="355">
        <f>NORMSDIST((_xlfn.NORM.S.INV($AE35)-(SQRT(Baseline!$AF$11)*'MacroPD-Cal'!$BF$9))/SQRT(1-Baseline!$AF$11))</f>
        <v>7.2035709699340474E-3</v>
      </c>
      <c r="BO35" s="355">
        <f t="shared" si="15"/>
        <v>1.7123490196014847E-3</v>
      </c>
      <c r="BP35" s="355">
        <f t="shared" si="16"/>
        <v>4.227545560848478E-3</v>
      </c>
      <c r="BQ35" s="355">
        <f t="shared" si="17"/>
        <v>8.0302190666136086E-3</v>
      </c>
      <c r="BR35" s="355">
        <f t="shared" si="18"/>
        <v>1.3100000000000001E-2</v>
      </c>
      <c r="BS35" s="355"/>
      <c r="BT35" s="355"/>
      <c r="BU35" s="355"/>
      <c r="BV35" s="355">
        <f>NORMSDIST((_xlfn.NORM.S.INV($AA35)-(SQRT(Baseline!$AF$11)*'MacroPD-Cal'!$BU$2))/SQRT(1-Baseline!$AF$11))</f>
        <v>1.6391360301603105E-3</v>
      </c>
      <c r="BW35" s="355">
        <f>NORMSDIST((_xlfn.NORM.S.INV($AA35)-(SQRT(Baseline!$AF$11)*'MacroPD-Cal'!$BU$3))/SQRT(1-Baseline!$AF$11))</f>
        <v>2.6485256849002868E-3</v>
      </c>
      <c r="BX35" s="355">
        <f>NORMSDIST((_xlfn.NORM.S.INV($AA35)-(SQRT(Baseline!$AF$11)*'MacroPD-Cal'!$BU$4))/SQRT(1-Baseline!$AF$11))</f>
        <v>3.5390934989770911E-3</v>
      </c>
      <c r="BY35" s="355">
        <f>NORMSDIST((_xlfn.NORM.S.INV($AA35)-(SQRT(Baseline!$AF$11)*'MacroPD-Cal'!$BU$5))/SQRT(1-Baseline!$AF$11))</f>
        <v>4.5237670730609294E-3</v>
      </c>
      <c r="BZ35" s="355">
        <f>NORMSDIST((_xlfn.NORM.S.INV($AB35)-(SQRT(Baseline!$AF$11)*'MacroPD-Cal'!$BU$6))/SQRT(1-Baseline!$AF$11))</f>
        <v>9.0603933109358343E-3</v>
      </c>
      <c r="CA35" s="355">
        <f>NORMSDIST((_xlfn.NORM.S.INV($AC35)-(SQRT(Baseline!$AF$11)*'MacroPD-Cal'!$BU40))/SQRT(1-Baseline!$AF$11))</f>
        <v>4.2056132862050418E-3</v>
      </c>
      <c r="CB35" s="355">
        <f>NORMSDIST((_xlfn.NORM.S.INV($AD35)-(SQRT(Baseline!$AF$11)*'MacroPD-Cal'!$BU$8))/SQRT(1-Baseline!$AF$11))</f>
        <v>8.3683935105041858E-3</v>
      </c>
      <c r="CC35" s="355">
        <f>NORMSDIST((_xlfn.NORM.S.INV($AE35)-(SQRT(Baseline!$AF$11)*'MacroPD-Cal'!$BU$9))/SQRT(1-Baseline!$AF$11))</f>
        <v>7.3861480623324443E-3</v>
      </c>
      <c r="CD35" s="355">
        <f t="shared" si="19"/>
        <v>1.6391360301603105E-3</v>
      </c>
      <c r="CE35" s="355">
        <f t="shared" si="20"/>
        <v>4.2833204211836229E-3</v>
      </c>
      <c r="CF35" s="355">
        <f t="shared" si="21"/>
        <v>7.8072548487040372E-3</v>
      </c>
      <c r="CG35" s="355">
        <f t="shared" si="22"/>
        <v>1.2200000000000001E-2</v>
      </c>
      <c r="CH35" s="355"/>
      <c r="CI35" s="355"/>
      <c r="CL35" s="168"/>
      <c r="CM35" s="168"/>
      <c r="CN35" s="168"/>
      <c r="CO35" s="168"/>
      <c r="CP35" s="168"/>
      <c r="CR35" s="345">
        <f t="shared" si="23"/>
        <v>0.16984707641950847</v>
      </c>
      <c r="CS35" s="345">
        <f t="shared" si="24"/>
        <v>0.39817881606494093</v>
      </c>
      <c r="CT35" s="345">
        <f t="shared" si="25"/>
        <v>0.65980922524591246</v>
      </c>
      <c r="CU35" s="345">
        <f t="shared" si="26"/>
        <v>1</v>
      </c>
    </row>
    <row r="36" spans="1:99" s="166" customFormat="1" x14ac:dyDescent="0.25">
      <c r="A36" s="464">
        <v>1200000148</v>
      </c>
      <c r="B36" s="470">
        <f>VLOOKUP(A36,'Ref-Data'!A:I,9,FALSE)</f>
        <v>1</v>
      </c>
      <c r="C36" s="445">
        <f>IF(B36="Matured","",VLOOKUP(A36,'Adjustment Factor'!A:C,3,0))</f>
        <v>0.66190383661082652</v>
      </c>
      <c r="D36" s="190">
        <f>VLOOKUP(A36,'Ref-Data'!A:C,2,FALSE)</f>
        <v>2000000</v>
      </c>
      <c r="E36" s="471">
        <f>IFERROR(IF(VLOOKUP(A36,'Updated Ncino PD'!$A:$K,4,0)=0,"",VLOOKUP(A36,'Updated Ncino PD'!$A:$K,4,0)),AF36)</f>
        <v>1.7494248871209371E-3</v>
      </c>
      <c r="F36" s="472">
        <f>IFERROR(IF(VLOOKUP(A36,'Updated Ncino PD'!$A:$K,5,0)=0,"",VLOOKUP(A36,'Updated Ncino PD'!$A:$K,5,0)),1-((1-AG36)*(1-E36)))</f>
        <v>4.1012418054688915E-3</v>
      </c>
      <c r="G36" s="472">
        <f>IFERROR(IF(VLOOKUP(A36,'Updated Ncino PD'!$A:$K,6,0)=0,"",VLOOKUP(A36,'Updated Ncino PD'!$A:$K,6,0)),1-((1-AF36)*(1-AG36)*(1-AH36)))</f>
        <v>6.7960350200328978E-3</v>
      </c>
      <c r="H36" s="472">
        <f>IFERROR(IF(VLOOKUP(A36,'Updated Ncino PD'!$A:$K,7,0)=0,"",VLOOKUP(A36,'Updated Ncino PD'!$A:$K,7,0)),IFERROR(VLOOKUP(A36,'Updated Ncino PD'!A:B,2,FALSE),FLOOR(1-((1-AG36)*(1-AH36)*(1-AI36)*(1-AF36)),$R$11)))</f>
        <v>1.03E-2</v>
      </c>
      <c r="I36" s="472">
        <f>IFERROR(IF(VLOOKUP(A36,'Updated Ncino PD'!$A:$K,8,0)=0,"",VLOOKUP(A36,'Updated Ncino PD'!$A:$K,8,0)),FLOOR(1-((1-H36)*(1-AJ36)),$R$11))</f>
        <v>1.5700000000000002E-2</v>
      </c>
      <c r="J36" s="472">
        <f>IFERROR(IF(VLOOKUP(A36,'Updated Ncino PD'!$A:$K,9,0)=0,"",VLOOKUP(A36,'Updated Ncino PD'!$A:$K,9,0)),FLOOR(1-((1-H36)*(1-AJ36)*(1-AK36)),$R$11))</f>
        <v>1.89E-2</v>
      </c>
      <c r="K36" s="472">
        <f>IFERROR(IF(VLOOKUP(A36,'Updated Ncino PD'!$A:$K,10,0)=0,"",VLOOKUP(A36,'Updated Ncino PD'!$A:$K,10,0)),FLOOR(1-((1-H36)*(1-AJ36)*(1-AK36)*(1-AL36)),$R$11))</f>
        <v>2.6800000000000001E-2</v>
      </c>
      <c r="L36" s="472">
        <f>IFERROR(IF(VLOOKUP(A36,'Updated Ncino PD'!$A:$K,11,0)=0,"",VLOOKUP(A36,'Updated Ncino PD'!$A:$K,11,0)),FLOOR(1-((1-H36)*(1-AJ36)*(1-AK36)*(1-AL36)*(1-AM36)),$R$11))</f>
        <v>3.5099999999999999E-2</v>
      </c>
      <c r="M36" s="224">
        <f>VLOOKUP(A36,'Ref-Data'!$A:$F,6,FALSE)</f>
        <v>4.046543463381246</v>
      </c>
      <c r="N36" s="191">
        <f t="shared" si="3"/>
        <v>1.03E-2</v>
      </c>
      <c r="O36" s="191">
        <f t="shared" si="4"/>
        <v>3.5099999999999999E-2</v>
      </c>
      <c r="P36" s="459" t="str">
        <f>VLOOKUP(A36,'Loan Book Summary'!C:G,5,FALSE)</f>
        <v>0015800000dRt2K</v>
      </c>
      <c r="S36" s="203"/>
      <c r="T36" s="332">
        <f>IFERROR(VLOOKUP($P36,'Model Output-LoanNameUpdate'!$A:$K,2,FALSE),CL36)</f>
        <v>1.3599999999999999E-2</v>
      </c>
      <c r="U36" s="332">
        <f>1-(1-IFERROR(VLOOKUP($P36,'Model Output-LoanNameUpdate'!$A:$K,2,FALSE),CL36))^(1/4)</f>
        <v>3.4174788634857567E-3</v>
      </c>
      <c r="V36" s="332">
        <f>IFERROR(VLOOKUP($P36,'Model Output-LoanNameUpdate'!$A:$K,3,FALSE),CM36)</f>
        <v>1.3094999999999999E-2</v>
      </c>
      <c r="W36" s="332">
        <f>IFERROR(VLOOKUP($P36,'Model Output-LoanNameUpdate'!$A:$K,4,FALSE),CN36)</f>
        <v>1.286E-2</v>
      </c>
      <c r="X36" s="332">
        <f>IFERROR(VLOOKUP($P36,'Model Output-LoanNameUpdate'!$A:$K,5,FALSE),CO36)</f>
        <v>1.2644999999999998E-2</v>
      </c>
      <c r="Y36" s="332">
        <f>IFERROR(VLOOKUP($P36,'Model Output-LoanNameUpdate'!$A:$K,6,FALSE),CP36)</f>
        <v>1.2539999999999999E-2</v>
      </c>
      <c r="Z36" s="207">
        <f t="shared" si="5"/>
        <v>0.66190383661082652</v>
      </c>
      <c r="AA36" s="208">
        <f t="shared" si="6"/>
        <v>2.2620423712776294E-3</v>
      </c>
      <c r="AB36" s="208">
        <f t="shared" si="7"/>
        <v>8.6676307404187723E-3</v>
      </c>
      <c r="AC36" s="208">
        <f t="shared" si="8"/>
        <v>8.5120833388152295E-3</v>
      </c>
      <c r="AD36" s="208">
        <f t="shared" si="9"/>
        <v>8.3697740139438998E-3</v>
      </c>
      <c r="AE36" s="208">
        <f t="shared" si="10"/>
        <v>8.3002741110997647E-3</v>
      </c>
      <c r="AF36" s="332">
        <f>NORMSDIST((_xlfn.NORM.S.INV(AA36)-(SQRT(Baseline!$AF$11)*'MacroPD-Cal'!$R$2))/SQRT(1-Baseline!$AF$11))</f>
        <v>1.7494248871209371E-3</v>
      </c>
      <c r="AG36" s="332">
        <f>NORMSDIST((_xlfn.NORM.S.INV(AA36)-(SQRT(Baseline!$AF$11)*'MacroPD-Cal'!$R$3))/SQRT(1-Baseline!$AF$11))</f>
        <v>2.355938455714887E-3</v>
      </c>
      <c r="AH36" s="332">
        <f>NORMSDIST((_xlfn.NORM.S.INV(AA36)-(SQRT(Baseline!$AF$11)*'MacroPD-Cal'!$R$4))/SQRT(1-Baseline!$AF$11))</f>
        <v>2.70589072673352E-3</v>
      </c>
      <c r="AI36" s="332">
        <f>NORMSDIST((_xlfn.NORM.S.INV(AA36)-(SQRT(Baseline!$AF$11)*'MacroPD-Cal'!$R$5))/SQRT(1-Baseline!$AF$11))</f>
        <v>3.5904105959966184E-3</v>
      </c>
      <c r="AJ36" s="332">
        <f>NORMSDIST((_xlfn.NORM.S.INV(AB36)-(SQRT(Baseline!$AF$11)*'MacroPD-Cal'!$R$6))/SQRT(1-Baseline!$AF$11))</f>
        <v>5.4698486985220807E-3</v>
      </c>
      <c r="AK36" s="332">
        <f>NORMSDIST((_xlfn.NORM.S.INV(AC36)-(SQRT(Baseline!$AF$11)*'MacroPD-Cal'!$R$7))/SQRT(1-Baseline!$AF$11))</f>
        <v>3.2641572108408922E-3</v>
      </c>
      <c r="AL36" s="332">
        <f>NORMSDIST((_xlfn.NORM.S.INV(AD36)-(SQRT(Baseline!$AF$11)*'MacroPD-Cal'!$R$8))/SQRT(1-Baseline!$AF$11))</f>
        <v>8.1037921617215705E-3</v>
      </c>
      <c r="AM36" s="332">
        <f>NORMSDIST((_xlfn.NORM.S.INV(AE36)-(SQRT(Baseline!$AF$11)*'MacroPD-Cal'!$R$9))/SQRT(1-Baseline!$AF$11))</f>
        <v>8.5289104571917018E-3</v>
      </c>
      <c r="AO36" s="355"/>
      <c r="AP36" s="355"/>
      <c r="AQ36" s="355">
        <f>NORMSDIST((_xlfn.NORM.S.INV(AA36)-(SQRT(Baseline!$AF$11)*'MacroPD-Cal'!$AP$2))/SQRT(1-Baseline!$AF$11))</f>
        <v>1.820068938573037E-3</v>
      </c>
      <c r="AR36" s="355">
        <f>NORMSDIST((_xlfn.NORM.S.INV(AA36)-(SQRT(Baseline!$AF$11)*'MacroPD-Cal'!$AP$3))/SQRT(1-Baseline!$AF$11))</f>
        <v>2.1867047092881016E-3</v>
      </c>
      <c r="AS36" s="355">
        <f>NORMSDIST((_xlfn.NORM.S.INV(AA36)-(SQRT(Baseline!$AF$11)*'MacroPD-Cal'!$AP$4))/SQRT(1-Baseline!$AF$11))</f>
        <v>2.2385428612332562E-3</v>
      </c>
      <c r="AT36" s="355">
        <f>NORMSDIST((_xlfn.NORM.S.INV(AA36)-(SQRT(Baseline!$AF$11)*'MacroPD-Cal'!$AP$5))/SQRT(1-Baseline!$AF$11))</f>
        <v>3.0318860622190755E-3</v>
      </c>
      <c r="AU36" s="355">
        <f>NORMSDIST((_xlfn.NORM.S.INV(AB36)-(SQRT(Baseline!$AF$11)*'MacroPD-Cal'!$AP$6))/SQRT(1-Baseline!$AF$11))</f>
        <v>3.5336441845275875E-3</v>
      </c>
      <c r="AV36" s="355">
        <f>NORMSDIST((_xlfn.NORM.S.INV(AC36)-(SQRT(Baseline!$AF$11)*'MacroPD-Cal'!$AP$7))/SQRT(1-Baseline!$AF$11))</f>
        <v>4.6196936619259128E-3</v>
      </c>
      <c r="AW36" s="355">
        <f>NORMSDIST((_xlfn.NORM.S.INV(AD36)-(SQRT(Baseline!$AF$11)*'MacroPD-Cal'!$AP$8))/SQRT(1-Baseline!$AF$11))</f>
        <v>8.3096724544425415E-3</v>
      </c>
      <c r="AX36" s="355">
        <f>NORMSDIST((_xlfn.NORM.S.INV(AE36)-(SQRT(Baseline!$AF$11)*'MacroPD-Cal'!$AP$9))/SQRT(1-Baseline!$AF$11))</f>
        <v>9.3933566477029055E-3</v>
      </c>
      <c r="AY36" s="355">
        <f t="shared" si="11"/>
        <v>1.820068938573037E-3</v>
      </c>
      <c r="AZ36" s="355">
        <f t="shared" si="12"/>
        <v>4.0027936945418174E-3</v>
      </c>
      <c r="BA36" s="355">
        <f t="shared" si="13"/>
        <v>6.2323761305251857E-3</v>
      </c>
      <c r="BB36" s="355">
        <f t="shared" si="14"/>
        <v>9.1999999999999998E-3</v>
      </c>
      <c r="BC36" s="355"/>
      <c r="BD36" s="355"/>
      <c r="BE36" s="355"/>
      <c r="BF36" s="355"/>
      <c r="BG36" s="355">
        <f>NORMSDIST((_xlfn.NORM.S.INV($AA36)-(SQRT(Baseline!$AF$11)*'MacroPD-Cal'!$BF$2))/SQRT(1-Baseline!$AF$11))</f>
        <v>1.7123490196014847E-3</v>
      </c>
      <c r="BH36" s="355">
        <f>NORMSDIST((_xlfn.NORM.S.INV($AA36)-(SQRT(Baseline!$AF$11)*'MacroPD-Cal'!$BF$3))/SQRT(1-Baseline!$AF$11))</f>
        <v>2.5195108231348836E-3</v>
      </c>
      <c r="BI36" s="355">
        <f>NORMSDIST((_xlfn.NORM.S.INV($AA36)-(SQRT(Baseline!$AF$11)*'MacroPD-Cal'!$BF$4))/SQRT(1-Baseline!$AF$11))</f>
        <v>3.8188177317145791E-3</v>
      </c>
      <c r="BJ36" s="355">
        <f>NORMSDIST((_xlfn.NORM.S.INV($AA36)-(SQRT(Baseline!$AF$11)*'MacroPD-Cal'!$BF$5))/SQRT(1-Baseline!$AF$11))</f>
        <v>5.1844330845994676E-3</v>
      </c>
      <c r="BK36" s="355">
        <f>NORMSDIST((_xlfn.NORM.S.INV($AB36)-(SQRT(Baseline!$AF$11)*'MacroPD-Cal'!$BF$6))/SQRT(1-Baseline!$AF$11))</f>
        <v>2.1355959587945325E-2</v>
      </c>
      <c r="BL36" s="355">
        <f>NORMSDIST((_xlfn.NORM.S.INV($AC36)-(SQRT(Baseline!$AF$11)*'MacroPD-Cal'!$BF$7))/SQRT(1-Baseline!$AF$11))</f>
        <v>1.7592235323406677E-3</v>
      </c>
      <c r="BM36" s="355">
        <f>NORMSDIST((_xlfn.NORM.S.INV($AD36)-(SQRT(Baseline!$AF$11)*'MacroPD-Cal'!$BF$8))/SQRT(1-Baseline!$AF$11))</f>
        <v>4.7048729637683652E-3</v>
      </c>
      <c r="BN36" s="355">
        <f>NORMSDIST((_xlfn.NORM.S.INV($AE36)-(SQRT(Baseline!$AF$11)*'MacroPD-Cal'!$BF$9))/SQRT(1-Baseline!$AF$11))</f>
        <v>7.2035709699340474E-3</v>
      </c>
      <c r="BO36" s="355">
        <f t="shared" si="15"/>
        <v>1.7123490196014847E-3</v>
      </c>
      <c r="BP36" s="355">
        <f t="shared" si="16"/>
        <v>4.227545560848478E-3</v>
      </c>
      <c r="BQ36" s="355">
        <f t="shared" si="17"/>
        <v>8.0302190666136086E-3</v>
      </c>
      <c r="BR36" s="355">
        <f t="shared" si="18"/>
        <v>1.3100000000000001E-2</v>
      </c>
      <c r="BS36" s="355"/>
      <c r="BT36" s="355"/>
      <c r="BU36" s="355"/>
      <c r="BV36" s="355">
        <f>NORMSDIST((_xlfn.NORM.S.INV($AA36)-(SQRT(Baseline!$AF$11)*'MacroPD-Cal'!$BU$2))/SQRT(1-Baseline!$AF$11))</f>
        <v>1.6391360301603105E-3</v>
      </c>
      <c r="BW36" s="355">
        <f>NORMSDIST((_xlfn.NORM.S.INV($AA36)-(SQRT(Baseline!$AF$11)*'MacroPD-Cal'!$BU$3))/SQRT(1-Baseline!$AF$11))</f>
        <v>2.6485256849002868E-3</v>
      </c>
      <c r="BX36" s="355">
        <f>NORMSDIST((_xlfn.NORM.S.INV($AA36)-(SQRT(Baseline!$AF$11)*'MacroPD-Cal'!$BU$4))/SQRT(1-Baseline!$AF$11))</f>
        <v>3.5390934989770911E-3</v>
      </c>
      <c r="BY36" s="355">
        <f>NORMSDIST((_xlfn.NORM.S.INV($AA36)-(SQRT(Baseline!$AF$11)*'MacroPD-Cal'!$BU$5))/SQRT(1-Baseline!$AF$11))</f>
        <v>4.5237670730609294E-3</v>
      </c>
      <c r="BZ36" s="355">
        <f>NORMSDIST((_xlfn.NORM.S.INV($AB36)-(SQRT(Baseline!$AF$11)*'MacroPD-Cal'!$BU$6))/SQRT(1-Baseline!$AF$11))</f>
        <v>9.0603933109358343E-3</v>
      </c>
      <c r="CA36" s="355">
        <f>NORMSDIST((_xlfn.NORM.S.INV($AC36)-(SQRT(Baseline!$AF$11)*'MacroPD-Cal'!$BU41))/SQRT(1-Baseline!$AF$11))</f>
        <v>4.2056132862050418E-3</v>
      </c>
      <c r="CB36" s="355">
        <f>NORMSDIST((_xlfn.NORM.S.INV($AD36)-(SQRT(Baseline!$AF$11)*'MacroPD-Cal'!$BU$8))/SQRT(1-Baseline!$AF$11))</f>
        <v>8.3683935105041858E-3</v>
      </c>
      <c r="CC36" s="355">
        <f>NORMSDIST((_xlfn.NORM.S.INV($AE36)-(SQRT(Baseline!$AF$11)*'MacroPD-Cal'!$BU$9))/SQRT(1-Baseline!$AF$11))</f>
        <v>7.3861480623324443E-3</v>
      </c>
      <c r="CD36" s="355">
        <f t="shared" si="19"/>
        <v>1.6391360301603105E-3</v>
      </c>
      <c r="CE36" s="355">
        <f t="shared" si="20"/>
        <v>4.2833204211836229E-3</v>
      </c>
      <c r="CF36" s="355">
        <f t="shared" si="21"/>
        <v>7.8072548487040372E-3</v>
      </c>
      <c r="CG36" s="355">
        <f t="shared" si="22"/>
        <v>1.2200000000000001E-2</v>
      </c>
      <c r="CH36" s="355"/>
      <c r="CI36" s="355"/>
      <c r="CL36" s="168"/>
      <c r="CM36" s="168"/>
      <c r="CN36" s="168"/>
      <c r="CO36" s="168"/>
      <c r="CP36" s="168"/>
      <c r="CR36" s="345">
        <f t="shared" si="23"/>
        <v>0.16984707641950847</v>
      </c>
      <c r="CS36" s="345">
        <f t="shared" si="24"/>
        <v>0.39817881606494093</v>
      </c>
      <c r="CT36" s="345">
        <f t="shared" si="25"/>
        <v>0.65980922524591246</v>
      </c>
      <c r="CU36" s="345">
        <f t="shared" si="26"/>
        <v>1</v>
      </c>
    </row>
    <row r="37" spans="1:99" s="166" customFormat="1" x14ac:dyDescent="0.25">
      <c r="A37" s="464">
        <v>1200000125</v>
      </c>
      <c r="B37" s="470">
        <f>VLOOKUP(A37,'Ref-Data'!A:I,9,FALSE)</f>
        <v>1</v>
      </c>
      <c r="C37" s="445">
        <f>IF(B37="Matured","",VLOOKUP(A37,'Adjustment Factor'!A:C,3,0))</f>
        <v>2.1329919239718182</v>
      </c>
      <c r="D37" s="190">
        <f>VLOOKUP(A37,'Ref-Data'!A:C,2,FALSE)</f>
        <v>980000</v>
      </c>
      <c r="E37" s="471">
        <f>IFERROR(IF(VLOOKUP(A37,'Updated Ncino PD'!$A:$K,4,0)=0,"",VLOOKUP(A37,'Updated Ncino PD'!$A:$K,4,0)),AF37)</f>
        <v>3.4284526556452302E-3</v>
      </c>
      <c r="F37" s="472">
        <f>IFERROR(IF(VLOOKUP(A37,'Updated Ncino PD'!$A:$K,5,0)=0,"",VLOOKUP(A37,'Updated Ncino PD'!$A:$K,5,0)),1-((1-AG37)*(1-E37)))</f>
        <v>7.9442220353370674E-3</v>
      </c>
      <c r="G37" s="472">
        <f>IFERROR(IF(VLOOKUP(A37,'Updated Ncino PD'!$A:$K,6,0)=0,"",VLOOKUP(A37,'Updated Ncino PD'!$A:$K,6,0)),1-((1-AF37)*(1-AG37)*(1-AH37)))</f>
        <v>1.3061619214511988E-2</v>
      </c>
      <c r="H37" s="472">
        <f>IFERROR(IF(VLOOKUP(A37,'Updated Ncino PD'!$A:$K,7,0)=0,"",VLOOKUP(A37,'Updated Ncino PD'!$A:$K,7,0)),IFERROR(VLOOKUP(A37,'Updated Ncino PD'!A:B,2,FALSE),FLOOR(1-((1-AG37)*(1-AH37)*(1-AI37)*(1-AF37)),$R$11)))</f>
        <v>1.9599999999999999E-2</v>
      </c>
      <c r="I37" s="472">
        <f>IFERROR(IF(VLOOKUP(A37,'Updated Ncino PD'!$A:$K,8,0)=0,"",VLOOKUP(A37,'Updated Ncino PD'!$A:$K,8,0)),FLOOR(1-((1-H37)*(1-AJ37)),$R$11))</f>
        <v>3.04E-2</v>
      </c>
      <c r="J37" s="472">
        <f>IFERROR(IF(VLOOKUP(A37,'Updated Ncino PD'!$A:$K,9,0)=0,"",VLOOKUP(A37,'Updated Ncino PD'!$A:$K,9,0)),FLOOR(1-((1-H37)*(1-AJ37)*(1-AK37)),$R$11))</f>
        <v>3.7100000000000001E-2</v>
      </c>
      <c r="K37" s="472">
        <f>IFERROR(IF(VLOOKUP(A37,'Updated Ncino PD'!$A:$K,10,0)=0,"",VLOOKUP(A37,'Updated Ncino PD'!$A:$K,10,0)),FLOOR(1-((1-H37)*(1-AJ37)*(1-AK37)*(1-AL37)),$R$11))</f>
        <v>5.2600000000000001E-2</v>
      </c>
      <c r="L37" s="472">
        <f>IFERROR(IF(VLOOKUP(A37,'Updated Ncino PD'!$A:$K,11,0)=0,"",VLOOKUP(A37,'Updated Ncino PD'!$A:$K,11,0)),FLOOR(1-((1-H37)*(1-AJ37)*(1-AK37)*(1-AL37)*(1-AM37)),$R$11))</f>
        <v>6.8600000000000008E-2</v>
      </c>
      <c r="M37" s="224">
        <f>VLOOKUP(A37,'Ref-Data'!$A:$F,6,FALSE)</f>
        <v>3.0061601642710474</v>
      </c>
      <c r="N37" s="191">
        <f t="shared" si="3"/>
        <v>1.9599999999999999E-2</v>
      </c>
      <c r="O37" s="191">
        <f t="shared" si="4"/>
        <v>5.2600000000000001E-2</v>
      </c>
      <c r="P37" s="459" t="str">
        <f>VLOOKUP(A37,'Loan Book Summary'!C:G,5,FALSE)</f>
        <v>00158000010bEcS</v>
      </c>
      <c r="S37" s="203"/>
      <c r="T37" s="332">
        <f>IFERROR(VLOOKUP($P37,'Model Output-LoanNameUpdate'!$A:$K,2,FALSE),CL37)</f>
        <v>7.6799999999999993E-3</v>
      </c>
      <c r="U37" s="332">
        <f>1-(1-IFERROR(VLOOKUP($P37,'Model Output-LoanNameUpdate'!$A:$K,2,FALSE),CL37))^(1/4)</f>
        <v>1.9255545041654276E-3</v>
      </c>
      <c r="V37" s="332">
        <f>IFERROR(VLOOKUP($P37,'Model Output-LoanNameUpdate'!$A:$K,3,FALSE),CM37)</f>
        <v>7.4449999999999994E-3</v>
      </c>
      <c r="W37" s="332">
        <f>IFERROR(VLOOKUP($P37,'Model Output-LoanNameUpdate'!$A:$K,4,FALSE),CN37)</f>
        <v>7.3399999999999993E-3</v>
      </c>
      <c r="X37" s="332">
        <f>IFERROR(VLOOKUP($P37,'Model Output-LoanNameUpdate'!$A:$K,5,FALSE),CO37)</f>
        <v>7.3100000000000005E-3</v>
      </c>
      <c r="Y37" s="332">
        <f>IFERROR(VLOOKUP($P37,'Model Output-LoanNameUpdate'!$A:$K,6,FALSE),CP37)</f>
        <v>7.2549999999999993E-3</v>
      </c>
      <c r="Z37" s="207">
        <f t="shared" si="5"/>
        <v>2.1329919239718182</v>
      </c>
      <c r="AA37" s="208">
        <f t="shared" si="6"/>
        <v>4.1071922065524158E-3</v>
      </c>
      <c r="AB37" s="208">
        <f t="shared" si="7"/>
        <v>1.5880124873970187E-2</v>
      </c>
      <c r="AC37" s="208">
        <f t="shared" si="8"/>
        <v>1.5656160721953145E-2</v>
      </c>
      <c r="AD37" s="208">
        <f t="shared" si="9"/>
        <v>1.5592170964233992E-2</v>
      </c>
      <c r="AE37" s="208">
        <f t="shared" si="10"/>
        <v>1.547485640841554E-2</v>
      </c>
      <c r="AF37" s="332">
        <f>NORMSDIST((_xlfn.NORM.S.INV(AA37)-(SQRT(Baseline!$AF$11)*'MacroPD-Cal'!$R$2))/SQRT(1-Baseline!$AF$11))</f>
        <v>3.4284526556452302E-3</v>
      </c>
      <c r="AG37" s="332">
        <f>NORMSDIST((_xlfn.NORM.S.INV(AA37)-(SQRT(Baseline!$AF$11)*'MacroPD-Cal'!$R$3))/SQRT(1-Baseline!$AF$11))</f>
        <v>4.531304743473236E-3</v>
      </c>
      <c r="AH37" s="332">
        <f>NORMSDIST((_xlfn.NORM.S.INV(AA37)-(SQRT(Baseline!$AF$11)*'MacroPD-Cal'!$R$4))/SQRT(1-Baseline!$AF$11))</f>
        <v>5.1583764671719436E-3</v>
      </c>
      <c r="AI37" s="332">
        <f>NORMSDIST((_xlfn.NORM.S.INV(AA37)-(SQRT(Baseline!$AF$11)*'MacroPD-Cal'!$R$5))/SQRT(1-Baseline!$AF$11))</f>
        <v>6.7193881931940482E-3</v>
      </c>
      <c r="AJ37" s="332">
        <f>NORMSDIST((_xlfn.NORM.S.INV(AB37)-(SQRT(Baseline!$AF$11)*'MacroPD-Cal'!$R$6))/SQRT(1-Baseline!$AF$11))</f>
        <v>1.105992407293954E-2</v>
      </c>
      <c r="AK37" s="332">
        <f>NORMSDIST((_xlfn.NORM.S.INV(AC37)-(SQRT(Baseline!$AF$11)*'MacroPD-Cal'!$R$7))/SQRT(1-Baseline!$AF$11))</f>
        <v>6.8972057611116641E-3</v>
      </c>
      <c r="AL37" s="332">
        <f>NORMSDIST((_xlfn.NORM.S.INV(AD37)-(SQRT(Baseline!$AF$11)*'MacroPD-Cal'!$R$8))/SQRT(1-Baseline!$AF$11))</f>
        <v>1.6106865128064762E-2</v>
      </c>
      <c r="AM37" s="332">
        <f>NORMSDIST((_xlfn.NORM.S.INV(AE37)-(SQRT(Baseline!$AF$11)*'MacroPD-Cal'!$R$9))/SQRT(1-Baseline!$AF$11))</f>
        <v>1.6879330715143276E-2</v>
      </c>
      <c r="AO37" s="355"/>
      <c r="AP37" s="355"/>
      <c r="AQ37" s="355">
        <f>NORMSDIST((_xlfn.NORM.S.INV(AA37)-(SQRT(Baseline!$AF$11)*'MacroPD-Cal'!$AP$2))/SQRT(1-Baseline!$AF$11))</f>
        <v>3.558104396666646E-3</v>
      </c>
      <c r="AR37" s="355">
        <f>NORMSDIST((_xlfn.NORM.S.INV(AA37)-(SQRT(Baseline!$AF$11)*'MacroPD-Cal'!$AP$3))/SQRT(1-Baseline!$AF$11))</f>
        <v>4.2257830625878822E-3</v>
      </c>
      <c r="AS37" s="355">
        <f>NORMSDIST((_xlfn.NORM.S.INV(AA37)-(SQRT(Baseline!$AF$11)*'MacroPD-Cal'!$AP$4))/SQRT(1-Baseline!$AF$11))</f>
        <v>4.3195356009699346E-3</v>
      </c>
      <c r="AT37" s="355">
        <f>NORMSDIST((_xlfn.NORM.S.INV(AA37)-(SQRT(Baseline!$AF$11)*'MacroPD-Cal'!$AP$5))/SQRT(1-Baseline!$AF$11))</f>
        <v>5.7373914219258975E-3</v>
      </c>
      <c r="AU37" s="355">
        <f>NORMSDIST((_xlfn.NORM.S.INV(AB37)-(SQRT(Baseline!$AF$11)*'MacroPD-Cal'!$AP$6))/SQRT(1-Baseline!$AF$11))</f>
        <v>7.3978544900149623E-3</v>
      </c>
      <c r="AV37" s="355">
        <f>NORMSDIST((_xlfn.NORM.S.INV(AC37)-(SQRT(Baseline!$AF$11)*'MacroPD-Cal'!$AP$7))/SQRT(1-Baseline!$AF$11))</f>
        <v>9.497063023364602E-3</v>
      </c>
      <c r="AW37" s="355">
        <f>NORMSDIST((_xlfn.NORM.S.INV(AD37)-(SQRT(Baseline!$AF$11)*'MacroPD-Cal'!$AP$8))/SQRT(1-Baseline!$AF$11))</f>
        <v>1.6480264417898766E-2</v>
      </c>
      <c r="AX37" s="355">
        <f>NORMSDIST((_xlfn.NORM.S.INV(AE37)-(SQRT(Baseline!$AF$11)*'MacroPD-Cal'!$AP$9))/SQRT(1-Baseline!$AF$11))</f>
        <v>1.8434131244788356E-2</v>
      </c>
      <c r="AY37" s="355">
        <f t="shared" si="11"/>
        <v>3.558104396666646E-3</v>
      </c>
      <c r="AZ37" s="355">
        <f t="shared" si="12"/>
        <v>7.7688516819601761E-3</v>
      </c>
      <c r="BA37" s="355">
        <f t="shared" si="13"/>
        <v>1.2054829451511262E-2</v>
      </c>
      <c r="BB37" s="355">
        <f t="shared" si="14"/>
        <v>1.77E-2</v>
      </c>
      <c r="BC37" s="355"/>
      <c r="BD37" s="355"/>
      <c r="BE37" s="355"/>
      <c r="BF37" s="355"/>
      <c r="BG37" s="355">
        <f>NORMSDIST((_xlfn.NORM.S.INV($AA37)-(SQRT(Baseline!$AF$11)*'MacroPD-Cal'!$BF$2))/SQRT(1-Baseline!$AF$11))</f>
        <v>3.3602673758034969E-3</v>
      </c>
      <c r="BH37" s="355">
        <f>NORMSDIST((_xlfn.NORM.S.INV($AA37)-(SQRT(Baseline!$AF$11)*'MacroPD-Cal'!$BF$3))/SQRT(1-Baseline!$AF$11))</f>
        <v>4.8251613394822571E-3</v>
      </c>
      <c r="BI37" s="355">
        <f>NORMSDIST((_xlfn.NORM.S.INV($AA37)-(SQRT(Baseline!$AF$11)*'MacroPD-Cal'!$BF$4))/SQRT(1-Baseline!$AF$11))</f>
        <v>7.1177078119531029E-3</v>
      </c>
      <c r="BJ37" s="355">
        <f>NORMSDIST((_xlfn.NORM.S.INV($AA37)-(SQRT(Baseline!$AF$11)*'MacroPD-Cal'!$BF$5))/SQRT(1-Baseline!$AF$11))</f>
        <v>9.4660866655831549E-3</v>
      </c>
      <c r="BK37" s="355">
        <f>NORMSDIST((_xlfn.NORM.S.INV($AB37)-(SQRT(Baseline!$AF$11)*'MacroPD-Cal'!$BF$6))/SQRT(1-Baseline!$AF$11))</f>
        <v>3.8346868298718764E-2</v>
      </c>
      <c r="BL37" s="355">
        <f>NORMSDIST((_xlfn.NORM.S.INV($AC37)-(SQRT(Baseline!$AF$11)*'MacroPD-Cal'!$BF$7))/SQRT(1-Baseline!$AF$11))</f>
        <v>3.8958121358624786E-3</v>
      </c>
      <c r="BM37" s="355">
        <f>NORMSDIST((_xlfn.NORM.S.INV($AD37)-(SQRT(Baseline!$AF$11)*'MacroPD-Cal'!$BF$8))/SQRT(1-Baseline!$AF$11))</f>
        <v>9.7890031727596201E-3</v>
      </c>
      <c r="BN37" s="355">
        <f>NORMSDIST((_xlfn.NORM.S.INV($AE37)-(SQRT(Baseline!$AF$11)*'MacroPD-Cal'!$BF$9))/SQRT(1-Baseline!$AF$11))</f>
        <v>1.4465257304531716E-2</v>
      </c>
      <c r="BO37" s="355">
        <f t="shared" si="15"/>
        <v>3.3602673758034969E-3</v>
      </c>
      <c r="BP37" s="355">
        <f t="shared" si="16"/>
        <v>8.169214883053777E-3</v>
      </c>
      <c r="BQ37" s="355">
        <f t="shared" si="17"/>
        <v>1.5228776610416217E-2</v>
      </c>
      <c r="BR37" s="355">
        <f t="shared" si="18"/>
        <v>2.4500000000000001E-2</v>
      </c>
      <c r="BS37" s="355"/>
      <c r="BT37" s="355"/>
      <c r="BU37" s="355"/>
      <c r="BV37" s="355">
        <f>NORMSDIST((_xlfn.NORM.S.INV($AA37)-(SQRT(Baseline!$AF$11)*'MacroPD-Cal'!$BU$2))/SQRT(1-Baseline!$AF$11))</f>
        <v>3.2253290867508412E-3</v>
      </c>
      <c r="BW37" s="355">
        <f>NORMSDIST((_xlfn.NORM.S.INV($AA37)-(SQRT(Baseline!$AF$11)*'MacroPD-Cal'!$BU$3))/SQRT(1-Baseline!$AF$11))</f>
        <v>5.0559941908839348E-3</v>
      </c>
      <c r="BX37" s="355">
        <f>NORMSDIST((_xlfn.NORM.S.INV($AA37)-(SQRT(Baseline!$AF$11)*'MacroPD-Cal'!$BU$4))/SQRT(1-Baseline!$AF$11))</f>
        <v>6.6296476443369456E-3</v>
      </c>
      <c r="BY37" s="355">
        <f>NORMSDIST((_xlfn.NORM.S.INV($AA37)-(SQRT(Baseline!$AF$11)*'MacroPD-Cal'!$BU$5))/SQRT(1-Baseline!$AF$11))</f>
        <v>8.3365670301683657E-3</v>
      </c>
      <c r="BZ37" s="355">
        <f>NORMSDIST((_xlfn.NORM.S.INV($AB37)-(SQRT(Baseline!$AF$11)*'MacroPD-Cal'!$BU$6))/SQRT(1-Baseline!$AF$11))</f>
        <v>1.7566369675314993E-2</v>
      </c>
      <c r="CA37" s="355">
        <f>NORMSDIST((_xlfn.NORM.S.INV($AC37)-(SQRT(Baseline!$AF$11)*'MacroPD-Cal'!$BU42))/SQRT(1-Baseline!$AF$11))</f>
        <v>8.7109666709118093E-3</v>
      </c>
      <c r="CB37" s="355">
        <f>NORMSDIST((_xlfn.NORM.S.INV($AD37)-(SQRT(Baseline!$AF$11)*'MacroPD-Cal'!$BU$8))/SQRT(1-Baseline!$AF$11))</f>
        <v>1.6586601215187961E-2</v>
      </c>
      <c r="CC37" s="355">
        <f>NORMSDIST((_xlfn.NORM.S.INV($AE37)-(SQRT(Baseline!$AF$11)*'MacroPD-Cal'!$BU$9))/SQRT(1-Baseline!$AF$11))</f>
        <v>1.4800176500295192E-2</v>
      </c>
      <c r="CD37" s="355">
        <f t="shared" si="19"/>
        <v>3.2253290867508412E-3</v>
      </c>
      <c r="CE37" s="355">
        <f t="shared" si="20"/>
        <v>8.2650160325085098E-3</v>
      </c>
      <c r="CF37" s="355">
        <f t="shared" si="21"/>
        <v>1.4839869532775163E-2</v>
      </c>
      <c r="CG37" s="355">
        <f t="shared" si="22"/>
        <v>2.3E-2</v>
      </c>
      <c r="CH37" s="355"/>
      <c r="CI37" s="355"/>
      <c r="CL37" s="168"/>
      <c r="CM37" s="168"/>
      <c r="CN37" s="168"/>
      <c r="CO37" s="168"/>
      <c r="CP37" s="168"/>
      <c r="CR37" s="345">
        <f t="shared" si="23"/>
        <v>0.17492105385945053</v>
      </c>
      <c r="CS37" s="345">
        <f t="shared" si="24"/>
        <v>0.40531745078250347</v>
      </c>
      <c r="CT37" s="345">
        <f t="shared" si="25"/>
        <v>0.66640914359755044</v>
      </c>
      <c r="CU37" s="345">
        <f t="shared" si="26"/>
        <v>1</v>
      </c>
    </row>
    <row r="38" spans="1:99" s="166" customFormat="1" x14ac:dyDescent="0.25">
      <c r="A38" s="464">
        <v>1200000124</v>
      </c>
      <c r="B38" s="470">
        <f>VLOOKUP(A38,'Ref-Data'!A:I,9,FALSE)</f>
        <v>1</v>
      </c>
      <c r="C38" s="445">
        <f>IF(B38="Matured","",VLOOKUP(A38,'Adjustment Factor'!A:C,3,0))</f>
        <v>2.1329919239718182</v>
      </c>
      <c r="D38" s="190">
        <f>VLOOKUP(A38,'Ref-Data'!A:C,2,FALSE)</f>
        <v>750000</v>
      </c>
      <c r="E38" s="471">
        <f>IFERROR(IF(VLOOKUP(A38,'Updated Ncino PD'!$A:$K,4,0)=0,"",VLOOKUP(A38,'Updated Ncino PD'!$A:$K,4,0)),AF38)</f>
        <v>3.4284526556452302E-3</v>
      </c>
      <c r="F38" s="472">
        <f>IFERROR(IF(VLOOKUP(A38,'Updated Ncino PD'!$A:$K,5,0)=0,"",VLOOKUP(A38,'Updated Ncino PD'!$A:$K,5,0)),1-((1-AG38)*(1-E38)))</f>
        <v>7.9442220353370674E-3</v>
      </c>
      <c r="G38" s="472">
        <f>IFERROR(IF(VLOOKUP(A38,'Updated Ncino PD'!$A:$K,6,0)=0,"",VLOOKUP(A38,'Updated Ncino PD'!$A:$K,6,0)),1-((1-AF38)*(1-AG38)*(1-AH38)))</f>
        <v>1.3061619214511988E-2</v>
      </c>
      <c r="H38" s="472">
        <f>IFERROR(IF(VLOOKUP(A38,'Updated Ncino PD'!$A:$K,7,0)=0,"",VLOOKUP(A38,'Updated Ncino PD'!$A:$K,7,0)),IFERROR(VLOOKUP(A38,'Updated Ncino PD'!A:B,2,FALSE),FLOOR(1-((1-AG38)*(1-AH38)*(1-AI38)*(1-AF38)),$R$11)))</f>
        <v>1.9599999999999999E-2</v>
      </c>
      <c r="I38" s="472">
        <f>IFERROR(IF(VLOOKUP(A38,'Updated Ncino PD'!$A:$K,8,0)=0,"",VLOOKUP(A38,'Updated Ncino PD'!$A:$K,8,0)),FLOOR(1-((1-H38)*(1-AJ38)),$R$11))</f>
        <v>3.04E-2</v>
      </c>
      <c r="J38" s="472">
        <f>IFERROR(IF(VLOOKUP(A38,'Updated Ncino PD'!$A:$K,9,0)=0,"",VLOOKUP(A38,'Updated Ncino PD'!$A:$K,9,0)),FLOOR(1-((1-H38)*(1-AJ38)*(1-AK38)),$R$11))</f>
        <v>3.7100000000000001E-2</v>
      </c>
      <c r="K38" s="472">
        <f>IFERROR(IF(VLOOKUP(A38,'Updated Ncino PD'!$A:$K,10,0)=0,"",VLOOKUP(A38,'Updated Ncino PD'!$A:$K,10,0)),FLOOR(1-((1-H38)*(1-AJ38)*(1-AK38)*(1-AL38)),$R$11))</f>
        <v>5.2600000000000001E-2</v>
      </c>
      <c r="L38" s="472">
        <f>IFERROR(IF(VLOOKUP(A38,'Updated Ncino PD'!$A:$K,11,0)=0,"",VLOOKUP(A38,'Updated Ncino PD'!$A:$K,11,0)),FLOOR(1-((1-H38)*(1-AJ38)*(1-AK38)*(1-AL38)*(1-AM38)),$R$11))</f>
        <v>6.8600000000000008E-2</v>
      </c>
      <c r="M38" s="224">
        <f>VLOOKUP(A38,'Ref-Data'!$A:$F,6,FALSE)</f>
        <v>3.0061601642710474</v>
      </c>
      <c r="N38" s="191">
        <f t="shared" si="3"/>
        <v>1.9599999999999999E-2</v>
      </c>
      <c r="O38" s="191">
        <f t="shared" si="4"/>
        <v>5.2600000000000001E-2</v>
      </c>
      <c r="P38" s="459" t="str">
        <f>VLOOKUP(A38,'Loan Book Summary'!C:G,5,FALSE)</f>
        <v>00158000010bEcS</v>
      </c>
      <c r="S38" s="203"/>
      <c r="T38" s="332">
        <f>IFERROR(VLOOKUP($P38,'Model Output-LoanNameUpdate'!$A:$K,2,FALSE),CL38)</f>
        <v>7.6799999999999993E-3</v>
      </c>
      <c r="U38" s="332">
        <f>1-(1-IFERROR(VLOOKUP($P38,'Model Output-LoanNameUpdate'!$A:$K,2,FALSE),CL38))^(1/4)</f>
        <v>1.9255545041654276E-3</v>
      </c>
      <c r="V38" s="332">
        <f>IFERROR(VLOOKUP($P38,'Model Output-LoanNameUpdate'!$A:$K,3,FALSE),CM38)</f>
        <v>7.4449999999999994E-3</v>
      </c>
      <c r="W38" s="332">
        <f>IFERROR(VLOOKUP($P38,'Model Output-LoanNameUpdate'!$A:$K,4,FALSE),CN38)</f>
        <v>7.3399999999999993E-3</v>
      </c>
      <c r="X38" s="332">
        <f>IFERROR(VLOOKUP($P38,'Model Output-LoanNameUpdate'!$A:$K,5,FALSE),CO38)</f>
        <v>7.3100000000000005E-3</v>
      </c>
      <c r="Y38" s="332">
        <f>IFERROR(VLOOKUP($P38,'Model Output-LoanNameUpdate'!$A:$K,6,FALSE),CP38)</f>
        <v>7.2549999999999993E-3</v>
      </c>
      <c r="Z38" s="207">
        <f t="shared" si="5"/>
        <v>2.1329919239718182</v>
      </c>
      <c r="AA38" s="208">
        <f t="shared" si="6"/>
        <v>4.1071922065524158E-3</v>
      </c>
      <c r="AB38" s="208">
        <f t="shared" si="7"/>
        <v>1.5880124873970187E-2</v>
      </c>
      <c r="AC38" s="208">
        <f t="shared" si="8"/>
        <v>1.5656160721953145E-2</v>
      </c>
      <c r="AD38" s="208">
        <f t="shared" si="9"/>
        <v>1.5592170964233992E-2</v>
      </c>
      <c r="AE38" s="208">
        <f t="shared" si="10"/>
        <v>1.547485640841554E-2</v>
      </c>
      <c r="AF38" s="332">
        <f>NORMSDIST((_xlfn.NORM.S.INV(AA38)-(SQRT(Baseline!$AF$11)*'MacroPD-Cal'!$R$2))/SQRT(1-Baseline!$AF$11))</f>
        <v>3.4284526556452302E-3</v>
      </c>
      <c r="AG38" s="332">
        <f>NORMSDIST((_xlfn.NORM.S.INV(AA38)-(SQRT(Baseline!$AF$11)*'MacroPD-Cal'!$R$3))/SQRT(1-Baseline!$AF$11))</f>
        <v>4.531304743473236E-3</v>
      </c>
      <c r="AH38" s="332">
        <f>NORMSDIST((_xlfn.NORM.S.INV(AA38)-(SQRT(Baseline!$AF$11)*'MacroPD-Cal'!$R$4))/SQRT(1-Baseline!$AF$11))</f>
        <v>5.1583764671719436E-3</v>
      </c>
      <c r="AI38" s="332">
        <f>NORMSDIST((_xlfn.NORM.S.INV(AA38)-(SQRT(Baseline!$AF$11)*'MacroPD-Cal'!$R$5))/SQRT(1-Baseline!$AF$11))</f>
        <v>6.7193881931940482E-3</v>
      </c>
      <c r="AJ38" s="332">
        <f>NORMSDIST((_xlfn.NORM.S.INV(AB38)-(SQRT(Baseline!$AF$11)*'MacroPD-Cal'!$R$6))/SQRT(1-Baseline!$AF$11))</f>
        <v>1.105992407293954E-2</v>
      </c>
      <c r="AK38" s="332">
        <f>NORMSDIST((_xlfn.NORM.S.INV(AC38)-(SQRT(Baseline!$AF$11)*'MacroPD-Cal'!$R$7))/SQRT(1-Baseline!$AF$11))</f>
        <v>6.8972057611116641E-3</v>
      </c>
      <c r="AL38" s="332">
        <f>NORMSDIST((_xlfn.NORM.S.INV(AD38)-(SQRT(Baseline!$AF$11)*'MacroPD-Cal'!$R$8))/SQRT(1-Baseline!$AF$11))</f>
        <v>1.6106865128064762E-2</v>
      </c>
      <c r="AM38" s="332">
        <f>NORMSDIST((_xlfn.NORM.S.INV(AE38)-(SQRT(Baseline!$AF$11)*'MacroPD-Cal'!$R$9))/SQRT(1-Baseline!$AF$11))</f>
        <v>1.6879330715143276E-2</v>
      </c>
      <c r="AO38" s="355"/>
      <c r="AP38" s="355"/>
      <c r="AQ38" s="355">
        <f>NORMSDIST((_xlfn.NORM.S.INV(AA38)-(SQRT(Baseline!$AF$11)*'MacroPD-Cal'!$AP$2))/SQRT(1-Baseline!$AF$11))</f>
        <v>3.558104396666646E-3</v>
      </c>
      <c r="AR38" s="355">
        <f>NORMSDIST((_xlfn.NORM.S.INV(AA38)-(SQRT(Baseline!$AF$11)*'MacroPD-Cal'!$AP$3))/SQRT(1-Baseline!$AF$11))</f>
        <v>4.2257830625878822E-3</v>
      </c>
      <c r="AS38" s="355">
        <f>NORMSDIST((_xlfn.NORM.S.INV(AA38)-(SQRT(Baseline!$AF$11)*'MacroPD-Cal'!$AP$4))/SQRT(1-Baseline!$AF$11))</f>
        <v>4.3195356009699346E-3</v>
      </c>
      <c r="AT38" s="355">
        <f>NORMSDIST((_xlfn.NORM.S.INV(AA38)-(SQRT(Baseline!$AF$11)*'MacroPD-Cal'!$AP$5))/SQRT(1-Baseline!$AF$11))</f>
        <v>5.7373914219258975E-3</v>
      </c>
      <c r="AU38" s="355">
        <f>NORMSDIST((_xlfn.NORM.S.INV(AB38)-(SQRT(Baseline!$AF$11)*'MacroPD-Cal'!$AP$6))/SQRT(1-Baseline!$AF$11))</f>
        <v>7.3978544900149623E-3</v>
      </c>
      <c r="AV38" s="355">
        <f>NORMSDIST((_xlfn.NORM.S.INV(AC38)-(SQRT(Baseline!$AF$11)*'MacroPD-Cal'!$AP$7))/SQRT(1-Baseline!$AF$11))</f>
        <v>9.497063023364602E-3</v>
      </c>
      <c r="AW38" s="355">
        <f>NORMSDIST((_xlfn.NORM.S.INV(AD38)-(SQRT(Baseline!$AF$11)*'MacroPD-Cal'!$AP$8))/SQRT(1-Baseline!$AF$11))</f>
        <v>1.6480264417898766E-2</v>
      </c>
      <c r="AX38" s="355">
        <f>NORMSDIST((_xlfn.NORM.S.INV(AE38)-(SQRT(Baseline!$AF$11)*'MacroPD-Cal'!$AP$9))/SQRT(1-Baseline!$AF$11))</f>
        <v>1.8434131244788356E-2</v>
      </c>
      <c r="AY38" s="355">
        <f t="shared" si="11"/>
        <v>3.558104396666646E-3</v>
      </c>
      <c r="AZ38" s="355">
        <f t="shared" si="12"/>
        <v>7.7688516819601761E-3</v>
      </c>
      <c r="BA38" s="355">
        <f t="shared" si="13"/>
        <v>1.2054829451511262E-2</v>
      </c>
      <c r="BB38" s="355">
        <f t="shared" si="14"/>
        <v>1.77E-2</v>
      </c>
      <c r="BC38" s="355"/>
      <c r="BD38" s="355"/>
      <c r="BE38" s="355"/>
      <c r="BF38" s="355"/>
      <c r="BG38" s="355">
        <f>NORMSDIST((_xlfn.NORM.S.INV($AA38)-(SQRT(Baseline!$AF$11)*'MacroPD-Cal'!$BF$2))/SQRT(1-Baseline!$AF$11))</f>
        <v>3.3602673758034969E-3</v>
      </c>
      <c r="BH38" s="355">
        <f>NORMSDIST((_xlfn.NORM.S.INV($AA38)-(SQRT(Baseline!$AF$11)*'MacroPD-Cal'!$BF$3))/SQRT(1-Baseline!$AF$11))</f>
        <v>4.8251613394822571E-3</v>
      </c>
      <c r="BI38" s="355">
        <f>NORMSDIST((_xlfn.NORM.S.INV($AA38)-(SQRT(Baseline!$AF$11)*'MacroPD-Cal'!$BF$4))/SQRT(1-Baseline!$AF$11))</f>
        <v>7.1177078119531029E-3</v>
      </c>
      <c r="BJ38" s="355">
        <f>NORMSDIST((_xlfn.NORM.S.INV($AA38)-(SQRT(Baseline!$AF$11)*'MacroPD-Cal'!$BF$5))/SQRT(1-Baseline!$AF$11))</f>
        <v>9.4660866655831549E-3</v>
      </c>
      <c r="BK38" s="355">
        <f>NORMSDIST((_xlfn.NORM.S.INV($AB38)-(SQRT(Baseline!$AF$11)*'MacroPD-Cal'!$BF$6))/SQRT(1-Baseline!$AF$11))</f>
        <v>3.8346868298718764E-2</v>
      </c>
      <c r="BL38" s="355">
        <f>NORMSDIST((_xlfn.NORM.S.INV($AC38)-(SQRT(Baseline!$AF$11)*'MacroPD-Cal'!$BF$7))/SQRT(1-Baseline!$AF$11))</f>
        <v>3.8958121358624786E-3</v>
      </c>
      <c r="BM38" s="355">
        <f>NORMSDIST((_xlfn.NORM.S.INV($AD38)-(SQRT(Baseline!$AF$11)*'MacroPD-Cal'!$BF$8))/SQRT(1-Baseline!$AF$11))</f>
        <v>9.7890031727596201E-3</v>
      </c>
      <c r="BN38" s="355">
        <f>NORMSDIST((_xlfn.NORM.S.INV($AE38)-(SQRT(Baseline!$AF$11)*'MacroPD-Cal'!$BF$9))/SQRT(1-Baseline!$AF$11))</f>
        <v>1.4465257304531716E-2</v>
      </c>
      <c r="BO38" s="355">
        <f t="shared" si="15"/>
        <v>3.3602673758034969E-3</v>
      </c>
      <c r="BP38" s="355">
        <f t="shared" si="16"/>
        <v>8.169214883053777E-3</v>
      </c>
      <c r="BQ38" s="355">
        <f t="shared" si="17"/>
        <v>1.5228776610416217E-2</v>
      </c>
      <c r="BR38" s="355">
        <f t="shared" si="18"/>
        <v>2.4500000000000001E-2</v>
      </c>
      <c r="BS38" s="355"/>
      <c r="BT38" s="355"/>
      <c r="BU38" s="355"/>
      <c r="BV38" s="355">
        <f>NORMSDIST((_xlfn.NORM.S.INV($AA38)-(SQRT(Baseline!$AF$11)*'MacroPD-Cal'!$BU$2))/SQRT(1-Baseline!$AF$11))</f>
        <v>3.2253290867508412E-3</v>
      </c>
      <c r="BW38" s="355">
        <f>NORMSDIST((_xlfn.NORM.S.INV($AA38)-(SQRT(Baseline!$AF$11)*'MacroPD-Cal'!$BU$3))/SQRT(1-Baseline!$AF$11))</f>
        <v>5.0559941908839348E-3</v>
      </c>
      <c r="BX38" s="355">
        <f>NORMSDIST((_xlfn.NORM.S.INV($AA38)-(SQRT(Baseline!$AF$11)*'MacroPD-Cal'!$BU$4))/SQRT(1-Baseline!$AF$11))</f>
        <v>6.6296476443369456E-3</v>
      </c>
      <c r="BY38" s="355">
        <f>NORMSDIST((_xlfn.NORM.S.INV($AA38)-(SQRT(Baseline!$AF$11)*'MacroPD-Cal'!$BU$5))/SQRT(1-Baseline!$AF$11))</f>
        <v>8.3365670301683657E-3</v>
      </c>
      <c r="BZ38" s="355">
        <f>NORMSDIST((_xlfn.NORM.S.INV($AB38)-(SQRT(Baseline!$AF$11)*'MacroPD-Cal'!$BU$6))/SQRT(1-Baseline!$AF$11))</f>
        <v>1.7566369675314993E-2</v>
      </c>
      <c r="CA38" s="355">
        <f>NORMSDIST((_xlfn.NORM.S.INV($AC38)-(SQRT(Baseline!$AF$11)*'MacroPD-Cal'!$BU43))/SQRT(1-Baseline!$AF$11))</f>
        <v>8.7109666709118093E-3</v>
      </c>
      <c r="CB38" s="355">
        <f>NORMSDIST((_xlfn.NORM.S.INV($AD38)-(SQRT(Baseline!$AF$11)*'MacroPD-Cal'!$BU$8))/SQRT(1-Baseline!$AF$11))</f>
        <v>1.6586601215187961E-2</v>
      </c>
      <c r="CC38" s="355">
        <f>NORMSDIST((_xlfn.NORM.S.INV($AE38)-(SQRT(Baseline!$AF$11)*'MacroPD-Cal'!$BU$9))/SQRT(1-Baseline!$AF$11))</f>
        <v>1.4800176500295192E-2</v>
      </c>
      <c r="CD38" s="355">
        <f t="shared" si="19"/>
        <v>3.2253290867508412E-3</v>
      </c>
      <c r="CE38" s="355">
        <f t="shared" si="20"/>
        <v>8.2650160325085098E-3</v>
      </c>
      <c r="CF38" s="355">
        <f t="shared" si="21"/>
        <v>1.4839869532775163E-2</v>
      </c>
      <c r="CG38" s="355">
        <f t="shared" si="22"/>
        <v>2.3E-2</v>
      </c>
      <c r="CH38" s="355"/>
      <c r="CI38" s="355"/>
      <c r="CL38" s="168"/>
      <c r="CM38" s="168"/>
      <c r="CN38" s="168"/>
      <c r="CO38" s="168"/>
      <c r="CP38" s="168"/>
      <c r="CR38" s="345">
        <f t="shared" si="23"/>
        <v>0.17492105385945053</v>
      </c>
      <c r="CS38" s="345">
        <f t="shared" si="24"/>
        <v>0.40531745078250347</v>
      </c>
      <c r="CT38" s="345">
        <f t="shared" si="25"/>
        <v>0.66640914359755044</v>
      </c>
      <c r="CU38" s="345">
        <f t="shared" si="26"/>
        <v>1</v>
      </c>
    </row>
    <row r="39" spans="1:99" s="166" customFormat="1" x14ac:dyDescent="0.25">
      <c r="A39" s="464">
        <v>1200000127</v>
      </c>
      <c r="B39" s="470">
        <f>VLOOKUP(A39,'Ref-Data'!A:I,9,FALSE)</f>
        <v>1</v>
      </c>
      <c r="C39" s="445">
        <f>IF(B39="Matured","",VLOOKUP(A39,'Adjustment Factor'!A:C,3,0))</f>
        <v>2.1329919239718182</v>
      </c>
      <c r="D39" s="190">
        <f>VLOOKUP(A39,'Ref-Data'!A:C,2,FALSE)</f>
        <v>902500</v>
      </c>
      <c r="E39" s="471">
        <f>IFERROR(IF(VLOOKUP(A39,'Updated Ncino PD'!$A:$K,4,0)=0,"",VLOOKUP(A39,'Updated Ncino PD'!$A:$K,4,0)),AF39)</f>
        <v>3.4284526556452302E-3</v>
      </c>
      <c r="F39" s="472">
        <f>IFERROR(IF(VLOOKUP(A39,'Updated Ncino PD'!$A:$K,5,0)=0,"",VLOOKUP(A39,'Updated Ncino PD'!$A:$K,5,0)),1-((1-AG39)*(1-E39)))</f>
        <v>7.9442220353370674E-3</v>
      </c>
      <c r="G39" s="472">
        <f>IFERROR(IF(VLOOKUP(A39,'Updated Ncino PD'!$A:$K,6,0)=0,"",VLOOKUP(A39,'Updated Ncino PD'!$A:$K,6,0)),1-((1-AF39)*(1-AG39)*(1-AH39)))</f>
        <v>1.3061619214511988E-2</v>
      </c>
      <c r="H39" s="472">
        <f>IFERROR(IF(VLOOKUP(A39,'Updated Ncino PD'!$A:$K,7,0)=0,"",VLOOKUP(A39,'Updated Ncino PD'!$A:$K,7,0)),IFERROR(VLOOKUP(A39,'Updated Ncino PD'!A:B,2,FALSE),FLOOR(1-((1-AG39)*(1-AH39)*(1-AI39)*(1-AF39)),$R$11)))</f>
        <v>1.9599999999999999E-2</v>
      </c>
      <c r="I39" s="472">
        <f>IFERROR(IF(VLOOKUP(A39,'Updated Ncino PD'!$A:$K,8,0)=0,"",VLOOKUP(A39,'Updated Ncino PD'!$A:$K,8,0)),FLOOR(1-((1-H39)*(1-AJ39)),$R$11))</f>
        <v>3.04E-2</v>
      </c>
      <c r="J39" s="472">
        <f>IFERROR(IF(VLOOKUP(A39,'Updated Ncino PD'!$A:$K,9,0)=0,"",VLOOKUP(A39,'Updated Ncino PD'!$A:$K,9,0)),FLOOR(1-((1-H39)*(1-AJ39)*(1-AK39)),$R$11))</f>
        <v>3.7100000000000001E-2</v>
      </c>
      <c r="K39" s="472">
        <f>IFERROR(IF(VLOOKUP(A39,'Updated Ncino PD'!$A:$K,10,0)=0,"",VLOOKUP(A39,'Updated Ncino PD'!$A:$K,10,0)),FLOOR(1-((1-H39)*(1-AJ39)*(1-AK39)*(1-AL39)),$R$11))</f>
        <v>5.2600000000000001E-2</v>
      </c>
      <c r="L39" s="472">
        <f>IFERROR(IF(VLOOKUP(A39,'Updated Ncino PD'!$A:$K,11,0)=0,"",VLOOKUP(A39,'Updated Ncino PD'!$A:$K,11,0)),FLOOR(1-((1-H39)*(1-AJ39)*(1-AK39)*(1-AL39)*(1-AM39)),$R$11))</f>
        <v>6.8600000000000008E-2</v>
      </c>
      <c r="M39" s="224">
        <f>VLOOKUP(A39,'Ref-Data'!$A:$F,6,FALSE)</f>
        <v>3.0061601642710474</v>
      </c>
      <c r="N39" s="191">
        <f t="shared" si="3"/>
        <v>1.9599999999999999E-2</v>
      </c>
      <c r="O39" s="191">
        <f t="shared" si="4"/>
        <v>5.2600000000000001E-2</v>
      </c>
      <c r="P39" s="459" t="str">
        <f>VLOOKUP(A39,'Loan Book Summary'!C:G,5,FALSE)</f>
        <v>00158000010bEcS</v>
      </c>
      <c r="S39" s="203"/>
      <c r="T39" s="332">
        <f>IFERROR(VLOOKUP($P39,'Model Output-LoanNameUpdate'!$A:$K,2,FALSE),CL39)</f>
        <v>7.6799999999999993E-3</v>
      </c>
      <c r="U39" s="332">
        <f>1-(1-IFERROR(VLOOKUP($P39,'Model Output-LoanNameUpdate'!$A:$K,2,FALSE),CL39))^(1/4)</f>
        <v>1.9255545041654276E-3</v>
      </c>
      <c r="V39" s="332">
        <f>IFERROR(VLOOKUP($P39,'Model Output-LoanNameUpdate'!$A:$K,3,FALSE),CM39)</f>
        <v>7.4449999999999994E-3</v>
      </c>
      <c r="W39" s="332">
        <f>IFERROR(VLOOKUP($P39,'Model Output-LoanNameUpdate'!$A:$K,4,FALSE),CN39)</f>
        <v>7.3399999999999993E-3</v>
      </c>
      <c r="X39" s="332">
        <f>IFERROR(VLOOKUP($P39,'Model Output-LoanNameUpdate'!$A:$K,5,FALSE),CO39)</f>
        <v>7.3100000000000005E-3</v>
      </c>
      <c r="Y39" s="332">
        <f>IFERROR(VLOOKUP($P39,'Model Output-LoanNameUpdate'!$A:$K,6,FALSE),CP39)</f>
        <v>7.2549999999999993E-3</v>
      </c>
      <c r="Z39" s="207">
        <f t="shared" si="5"/>
        <v>2.1329919239718182</v>
      </c>
      <c r="AA39" s="208">
        <f t="shared" si="6"/>
        <v>4.1071922065524158E-3</v>
      </c>
      <c r="AB39" s="208">
        <f t="shared" si="7"/>
        <v>1.5880124873970187E-2</v>
      </c>
      <c r="AC39" s="208">
        <f t="shared" si="8"/>
        <v>1.5656160721953145E-2</v>
      </c>
      <c r="AD39" s="208">
        <f t="shared" si="9"/>
        <v>1.5592170964233992E-2</v>
      </c>
      <c r="AE39" s="208">
        <f t="shared" si="10"/>
        <v>1.547485640841554E-2</v>
      </c>
      <c r="AF39" s="332">
        <f>NORMSDIST((_xlfn.NORM.S.INV(AA39)-(SQRT(Baseline!$AF$11)*'MacroPD-Cal'!$R$2))/SQRT(1-Baseline!$AF$11))</f>
        <v>3.4284526556452302E-3</v>
      </c>
      <c r="AG39" s="332">
        <f>NORMSDIST((_xlfn.NORM.S.INV(AA39)-(SQRT(Baseline!$AF$11)*'MacroPD-Cal'!$R$3))/SQRT(1-Baseline!$AF$11))</f>
        <v>4.531304743473236E-3</v>
      </c>
      <c r="AH39" s="332">
        <f>NORMSDIST((_xlfn.NORM.S.INV(AA39)-(SQRT(Baseline!$AF$11)*'MacroPD-Cal'!$R$4))/SQRT(1-Baseline!$AF$11))</f>
        <v>5.1583764671719436E-3</v>
      </c>
      <c r="AI39" s="332">
        <f>NORMSDIST((_xlfn.NORM.S.INV(AA39)-(SQRT(Baseline!$AF$11)*'MacroPD-Cal'!$R$5))/SQRT(1-Baseline!$AF$11))</f>
        <v>6.7193881931940482E-3</v>
      </c>
      <c r="AJ39" s="332">
        <f>NORMSDIST((_xlfn.NORM.S.INV(AB39)-(SQRT(Baseline!$AF$11)*'MacroPD-Cal'!$R$6))/SQRT(1-Baseline!$AF$11))</f>
        <v>1.105992407293954E-2</v>
      </c>
      <c r="AK39" s="332">
        <f>NORMSDIST((_xlfn.NORM.S.INV(AC39)-(SQRT(Baseline!$AF$11)*'MacroPD-Cal'!$R$7))/SQRT(1-Baseline!$AF$11))</f>
        <v>6.8972057611116641E-3</v>
      </c>
      <c r="AL39" s="332">
        <f>NORMSDIST((_xlfn.NORM.S.INV(AD39)-(SQRT(Baseline!$AF$11)*'MacroPD-Cal'!$R$8))/SQRT(1-Baseline!$AF$11))</f>
        <v>1.6106865128064762E-2</v>
      </c>
      <c r="AM39" s="332">
        <f>NORMSDIST((_xlfn.NORM.S.INV(AE39)-(SQRT(Baseline!$AF$11)*'MacroPD-Cal'!$R$9))/SQRT(1-Baseline!$AF$11))</f>
        <v>1.6879330715143276E-2</v>
      </c>
      <c r="AO39" s="355"/>
      <c r="AP39" s="355"/>
      <c r="AQ39" s="355">
        <f>NORMSDIST((_xlfn.NORM.S.INV(AA39)-(SQRT(Baseline!$AF$11)*'MacroPD-Cal'!$AP$2))/SQRT(1-Baseline!$AF$11))</f>
        <v>3.558104396666646E-3</v>
      </c>
      <c r="AR39" s="355">
        <f>NORMSDIST((_xlfn.NORM.S.INV(AA39)-(SQRT(Baseline!$AF$11)*'MacroPD-Cal'!$AP$3))/SQRT(1-Baseline!$AF$11))</f>
        <v>4.2257830625878822E-3</v>
      </c>
      <c r="AS39" s="355">
        <f>NORMSDIST((_xlfn.NORM.S.INV(AA39)-(SQRT(Baseline!$AF$11)*'MacroPD-Cal'!$AP$4))/SQRT(1-Baseline!$AF$11))</f>
        <v>4.3195356009699346E-3</v>
      </c>
      <c r="AT39" s="355">
        <f>NORMSDIST((_xlfn.NORM.S.INV(AA39)-(SQRT(Baseline!$AF$11)*'MacroPD-Cal'!$AP$5))/SQRT(1-Baseline!$AF$11))</f>
        <v>5.7373914219258975E-3</v>
      </c>
      <c r="AU39" s="355">
        <f>NORMSDIST((_xlfn.NORM.S.INV(AB39)-(SQRT(Baseline!$AF$11)*'MacroPD-Cal'!$AP$6))/SQRT(1-Baseline!$AF$11))</f>
        <v>7.3978544900149623E-3</v>
      </c>
      <c r="AV39" s="355">
        <f>NORMSDIST((_xlfn.NORM.S.INV(AC39)-(SQRT(Baseline!$AF$11)*'MacroPD-Cal'!$AP$7))/SQRT(1-Baseline!$AF$11))</f>
        <v>9.497063023364602E-3</v>
      </c>
      <c r="AW39" s="355">
        <f>NORMSDIST((_xlfn.NORM.S.INV(AD39)-(SQRT(Baseline!$AF$11)*'MacroPD-Cal'!$AP$8))/SQRT(1-Baseline!$AF$11))</f>
        <v>1.6480264417898766E-2</v>
      </c>
      <c r="AX39" s="355">
        <f>NORMSDIST((_xlfn.NORM.S.INV(AE39)-(SQRT(Baseline!$AF$11)*'MacroPD-Cal'!$AP$9))/SQRT(1-Baseline!$AF$11))</f>
        <v>1.8434131244788356E-2</v>
      </c>
      <c r="AY39" s="355">
        <f t="shared" si="11"/>
        <v>3.558104396666646E-3</v>
      </c>
      <c r="AZ39" s="355">
        <f t="shared" si="12"/>
        <v>7.7688516819601761E-3</v>
      </c>
      <c r="BA39" s="355">
        <f t="shared" si="13"/>
        <v>1.2054829451511262E-2</v>
      </c>
      <c r="BB39" s="355">
        <f t="shared" si="14"/>
        <v>1.77E-2</v>
      </c>
      <c r="BC39" s="355"/>
      <c r="BD39" s="355"/>
      <c r="BE39" s="355"/>
      <c r="BF39" s="355"/>
      <c r="BG39" s="355">
        <f>NORMSDIST((_xlfn.NORM.S.INV($AA39)-(SQRT(Baseline!$AF$11)*'MacroPD-Cal'!$BF$2))/SQRT(1-Baseline!$AF$11))</f>
        <v>3.3602673758034969E-3</v>
      </c>
      <c r="BH39" s="355">
        <f>NORMSDIST((_xlfn.NORM.S.INV($AA39)-(SQRT(Baseline!$AF$11)*'MacroPD-Cal'!$BF$3))/SQRT(1-Baseline!$AF$11))</f>
        <v>4.8251613394822571E-3</v>
      </c>
      <c r="BI39" s="355">
        <f>NORMSDIST((_xlfn.NORM.S.INV($AA39)-(SQRT(Baseline!$AF$11)*'MacroPD-Cal'!$BF$4))/SQRT(1-Baseline!$AF$11))</f>
        <v>7.1177078119531029E-3</v>
      </c>
      <c r="BJ39" s="355">
        <f>NORMSDIST((_xlfn.NORM.S.INV($AA39)-(SQRT(Baseline!$AF$11)*'MacroPD-Cal'!$BF$5))/SQRT(1-Baseline!$AF$11))</f>
        <v>9.4660866655831549E-3</v>
      </c>
      <c r="BK39" s="355">
        <f>NORMSDIST((_xlfn.NORM.S.INV($AB39)-(SQRT(Baseline!$AF$11)*'MacroPD-Cal'!$BF$6))/SQRT(1-Baseline!$AF$11))</f>
        <v>3.8346868298718764E-2</v>
      </c>
      <c r="BL39" s="355">
        <f>NORMSDIST((_xlfn.NORM.S.INV($AC39)-(SQRT(Baseline!$AF$11)*'MacroPD-Cal'!$BF$7))/SQRT(1-Baseline!$AF$11))</f>
        <v>3.8958121358624786E-3</v>
      </c>
      <c r="BM39" s="355">
        <f>NORMSDIST((_xlfn.NORM.S.INV($AD39)-(SQRT(Baseline!$AF$11)*'MacroPD-Cal'!$BF$8))/SQRT(1-Baseline!$AF$11))</f>
        <v>9.7890031727596201E-3</v>
      </c>
      <c r="BN39" s="355">
        <f>NORMSDIST((_xlfn.NORM.S.INV($AE39)-(SQRT(Baseline!$AF$11)*'MacroPD-Cal'!$BF$9))/SQRT(1-Baseline!$AF$11))</f>
        <v>1.4465257304531716E-2</v>
      </c>
      <c r="BO39" s="355">
        <f t="shared" si="15"/>
        <v>3.3602673758034969E-3</v>
      </c>
      <c r="BP39" s="355">
        <f t="shared" si="16"/>
        <v>8.169214883053777E-3</v>
      </c>
      <c r="BQ39" s="355">
        <f t="shared" si="17"/>
        <v>1.5228776610416217E-2</v>
      </c>
      <c r="BR39" s="355">
        <f t="shared" si="18"/>
        <v>2.4500000000000001E-2</v>
      </c>
      <c r="BS39" s="355"/>
      <c r="BT39" s="355"/>
      <c r="BU39" s="355"/>
      <c r="BV39" s="355">
        <f>NORMSDIST((_xlfn.NORM.S.INV($AA39)-(SQRT(Baseline!$AF$11)*'MacroPD-Cal'!$BU$2))/SQRT(1-Baseline!$AF$11))</f>
        <v>3.2253290867508412E-3</v>
      </c>
      <c r="BW39" s="355">
        <f>NORMSDIST((_xlfn.NORM.S.INV($AA39)-(SQRT(Baseline!$AF$11)*'MacroPD-Cal'!$BU$3))/SQRT(1-Baseline!$AF$11))</f>
        <v>5.0559941908839348E-3</v>
      </c>
      <c r="BX39" s="355">
        <f>NORMSDIST((_xlfn.NORM.S.INV($AA39)-(SQRT(Baseline!$AF$11)*'MacroPD-Cal'!$BU$4))/SQRT(1-Baseline!$AF$11))</f>
        <v>6.6296476443369456E-3</v>
      </c>
      <c r="BY39" s="355">
        <f>NORMSDIST((_xlfn.NORM.S.INV($AA39)-(SQRT(Baseline!$AF$11)*'MacroPD-Cal'!$BU$5))/SQRT(1-Baseline!$AF$11))</f>
        <v>8.3365670301683657E-3</v>
      </c>
      <c r="BZ39" s="355">
        <f>NORMSDIST((_xlfn.NORM.S.INV($AB39)-(SQRT(Baseline!$AF$11)*'MacroPD-Cal'!$BU$6))/SQRT(1-Baseline!$AF$11))</f>
        <v>1.7566369675314993E-2</v>
      </c>
      <c r="CA39" s="355">
        <f>NORMSDIST((_xlfn.NORM.S.INV($AC39)-(SQRT(Baseline!$AF$11)*'MacroPD-Cal'!$BU44))/SQRT(1-Baseline!$AF$11))</f>
        <v>8.7109666709118093E-3</v>
      </c>
      <c r="CB39" s="355">
        <f>NORMSDIST((_xlfn.NORM.S.INV($AD39)-(SQRT(Baseline!$AF$11)*'MacroPD-Cal'!$BU$8))/SQRT(1-Baseline!$AF$11))</f>
        <v>1.6586601215187961E-2</v>
      </c>
      <c r="CC39" s="355">
        <f>NORMSDIST((_xlfn.NORM.S.INV($AE39)-(SQRT(Baseline!$AF$11)*'MacroPD-Cal'!$BU$9))/SQRT(1-Baseline!$AF$11))</f>
        <v>1.4800176500295192E-2</v>
      </c>
      <c r="CD39" s="355">
        <f t="shared" si="19"/>
        <v>3.2253290867508412E-3</v>
      </c>
      <c r="CE39" s="355">
        <f t="shared" si="20"/>
        <v>8.2650160325085098E-3</v>
      </c>
      <c r="CF39" s="355">
        <f t="shared" si="21"/>
        <v>1.4839869532775163E-2</v>
      </c>
      <c r="CG39" s="355">
        <f t="shared" si="22"/>
        <v>2.3E-2</v>
      </c>
      <c r="CH39" s="355"/>
      <c r="CI39" s="355"/>
      <c r="CL39" s="168"/>
      <c r="CM39" s="168"/>
      <c r="CN39" s="168"/>
      <c r="CO39" s="168"/>
      <c r="CP39" s="168"/>
      <c r="CR39" s="345">
        <f t="shared" si="23"/>
        <v>0.17492105385945053</v>
      </c>
      <c r="CS39" s="345">
        <f t="shared" si="24"/>
        <v>0.40531745078250347</v>
      </c>
      <c r="CT39" s="345">
        <f t="shared" si="25"/>
        <v>0.66640914359755044</v>
      </c>
      <c r="CU39" s="345">
        <f t="shared" si="26"/>
        <v>1</v>
      </c>
    </row>
    <row r="40" spans="1:99" s="166" customFormat="1" x14ac:dyDescent="0.25">
      <c r="A40" s="464">
        <v>1200000132</v>
      </c>
      <c r="B40" s="470">
        <f>VLOOKUP(A40,'Ref-Data'!A:I,9,FALSE)</f>
        <v>1</v>
      </c>
      <c r="C40" s="445">
        <f>IF(B40="Matured","",VLOOKUP(A40,'Adjustment Factor'!A:C,3,0))</f>
        <v>1.1951755713707852</v>
      </c>
      <c r="D40" s="190">
        <f>VLOOKUP(A40,'Ref-Data'!A:C,2,FALSE)</f>
        <v>3634267.09</v>
      </c>
      <c r="E40" s="471">
        <f>IFERROR(IF(VLOOKUP(A40,'Updated Ncino PD'!$A:$K,4,0)=0,"",VLOOKUP(A40,'Updated Ncino PD'!$A:$K,4,0)),AF40)</f>
        <v>3.9335337154020281E-2</v>
      </c>
      <c r="F40" s="472">
        <f>IFERROR(IF(VLOOKUP(A40,'Updated Ncino PD'!$A:$K,5,0)=0,"",VLOOKUP(A40,'Updated Ncino PD'!$A:$K,5,0)),1-((1-AG40)*(1-E40)))</f>
        <v>8.5460952654883182E-2</v>
      </c>
      <c r="G40" s="472">
        <f>IFERROR(IF(VLOOKUP(A40,'Updated Ncino PD'!$A:$K,6,0)=0,"",VLOOKUP(A40,'Updated Ncino PD'!$A:$K,6,0)),1-((1-AF40)*(1-AG40)*(1-AH40)))</f>
        <v>0.13360360384645742</v>
      </c>
      <c r="H40" s="472">
        <f>IFERROR(IF(VLOOKUP(A40,'Updated Ncino PD'!$A:$K,7,0)=0,"",VLOOKUP(A40,'Updated Ncino PD'!$A:$K,7,0)),IFERROR(VLOOKUP(A40,'Updated Ncino PD'!A:B,2,FALSE),FLOOR(1-((1-AG40)*(1-AH40)*(1-AI40)*(1-AF40)),$R$11)))</f>
        <v>0.1885</v>
      </c>
      <c r="I40" s="472">
        <f>IFERROR(IF(VLOOKUP(A40,'Updated Ncino PD'!$A:$K,8,0)=0,"",VLOOKUP(A40,'Updated Ncino PD'!$A:$K,8,0)),FLOOR(1-((1-H40)*(1-AJ40)),$R$11))</f>
        <v>0.28870000000000001</v>
      </c>
      <c r="J40" s="472">
        <f>IFERROR(IF(VLOOKUP(A40,'Updated Ncino PD'!$A:$K,9,0)=0,"",VLOOKUP(A40,'Updated Ncino PD'!$A:$K,9,0)),FLOOR(1-((1-H40)*(1-AJ40)*(1-AK40)),$R$11))</f>
        <v>0.35089999999999999</v>
      </c>
      <c r="K40" s="472">
        <f>IFERROR(IF(VLOOKUP(A40,'Updated Ncino PD'!$A:$K,10,0)=0,"",VLOOKUP(A40,'Updated Ncino PD'!$A:$K,10,0)),FLOOR(1-((1-H40)*(1-AJ40)*(1-AK40)*(1-AL40)),$R$11))</f>
        <v>0.44540000000000002</v>
      </c>
      <c r="L40" s="472">
        <f>IFERROR(IF(VLOOKUP(A40,'Updated Ncino PD'!$A:$K,11,0)=0,"",VLOOKUP(A40,'Updated Ncino PD'!$A:$K,11,0)),FLOOR(1-((1-H40)*(1-AJ40)*(1-AK40)*(1-AL40)*(1-AM40)),$R$11))</f>
        <v>0.52690000000000003</v>
      </c>
      <c r="M40" s="224">
        <f>VLOOKUP(A40,'Ref-Data'!$A:$F,6,FALSE)</f>
        <v>4.0793976728268309</v>
      </c>
      <c r="N40" s="191">
        <f t="shared" si="3"/>
        <v>0.1885</v>
      </c>
      <c r="O40" s="191">
        <f t="shared" si="4"/>
        <v>0.52690000000000003</v>
      </c>
      <c r="P40" s="459" t="str">
        <f>VLOOKUP(A40,'Loan Book Summary'!C:G,5,FALSE)</f>
        <v>0015800001Enl9O</v>
      </c>
      <c r="S40" s="203"/>
      <c r="T40" s="332">
        <f>IFERROR(VLOOKUP($P40,'Model Output-LoanNameUpdate'!$A:$K,2,FALSE),CL40)</f>
        <v>0.118065</v>
      </c>
      <c r="U40" s="332">
        <f>1-(1-IFERROR(VLOOKUP($P40,'Model Output-LoanNameUpdate'!$A:$K,2,FALSE),CL40))^(1/4)</f>
        <v>3.0921084690017642E-2</v>
      </c>
      <c r="V40" s="332">
        <f>IFERROR(VLOOKUP($P40,'Model Output-LoanNameUpdate'!$A:$K,3,FALSE),CM40)</f>
        <v>0.109255</v>
      </c>
      <c r="W40" s="332">
        <f>IFERROR(VLOOKUP($P40,'Model Output-LoanNameUpdate'!$A:$K,4,FALSE),CN40)</f>
        <v>0.104445</v>
      </c>
      <c r="X40" s="332">
        <f>IFERROR(VLOOKUP($P40,'Model Output-LoanNameUpdate'!$A:$K,5,FALSE),CO40)</f>
        <v>0.10106499999999999</v>
      </c>
      <c r="Y40" s="332">
        <f>IFERROR(VLOOKUP($P40,'Model Output-LoanNameUpdate'!$A:$K,6,FALSE),CP40)</f>
        <v>9.8589999999999983E-2</v>
      </c>
      <c r="Z40" s="207">
        <f t="shared" si="5"/>
        <v>1.1951755713707852</v>
      </c>
      <c r="AA40" s="208">
        <f t="shared" si="6"/>
        <v>3.6956125061796276E-2</v>
      </c>
      <c r="AB40" s="208">
        <f t="shared" si="7"/>
        <v>0.13057890705011516</v>
      </c>
      <c r="AC40" s="208">
        <f t="shared" si="8"/>
        <v>0.12483011255182166</v>
      </c>
      <c r="AD40" s="208">
        <f t="shared" si="9"/>
        <v>0.1207904191205884</v>
      </c>
      <c r="AE40" s="208">
        <f t="shared" si="10"/>
        <v>0.11783235958144569</v>
      </c>
      <c r="AF40" s="332">
        <f>NORMSDIST((_xlfn.NORM.S.INV(AA40)-(SQRT(Baseline!$AF$11)*'MacroPD-Cal'!$R$2))/SQRT(1-Baseline!$AF$11))</f>
        <v>3.9335337154020281E-2</v>
      </c>
      <c r="AG40" s="332">
        <f>NORMSDIST((_xlfn.NORM.S.INV(AA40)-(SQRT(Baseline!$AF$11)*'MacroPD-Cal'!$R$3))/SQRT(1-Baseline!$AF$11))</f>
        <v>4.8014273122335235E-2</v>
      </c>
      <c r="AH40" s="332">
        <f>NORMSDIST((_xlfn.NORM.S.INV(AA40)-(SQRT(Baseline!$AF$11)*'MacroPD-Cal'!$R$4))/SQRT(1-Baseline!$AF$11))</f>
        <v>5.2641438691252262E-2</v>
      </c>
      <c r="AI40" s="332">
        <f>NORMSDIST((_xlfn.NORM.S.INV(AA40)-(SQRT(Baseline!$AF$11)*'MacroPD-Cal'!$R$5))/SQRT(1-Baseline!$AF$11))</f>
        <v>6.3422602254742583E-2</v>
      </c>
      <c r="AJ40" s="332">
        <f>NORMSDIST((_xlfn.NORM.S.INV(AB40)-(SQRT(Baseline!$AF$11)*'MacroPD-Cal'!$R$6))/SQRT(1-Baseline!$AF$11))</f>
        <v>0.12348225206814453</v>
      </c>
      <c r="AK40" s="332">
        <f>NORMSDIST((_xlfn.NORM.S.INV(AC40)-(SQRT(Baseline!$AF$11)*'MacroPD-Cal'!$R$7))/SQRT(1-Baseline!$AF$11))</f>
        <v>8.7525242753174998E-2</v>
      </c>
      <c r="AL40" s="332">
        <f>NORMSDIST((_xlfn.NORM.S.INV(AD40)-(SQRT(Baseline!$AF$11)*'MacroPD-Cal'!$R$8))/SQRT(1-Baseline!$AF$11))</f>
        <v>0.14560543013206578</v>
      </c>
      <c r="AM40" s="332">
        <f>NORMSDIST((_xlfn.NORM.S.INV(AE40)-(SQRT(Baseline!$AF$11)*'MacroPD-Cal'!$R$9))/SQRT(1-Baseline!$AF$11))</f>
        <v>0.14691877456071906</v>
      </c>
      <c r="AO40" s="355"/>
      <c r="AP40" s="355"/>
      <c r="AQ40" s="355">
        <f>NORMSDIST((_xlfn.NORM.S.INV(AA40)-(SQRT(Baseline!$AF$11)*'MacroPD-Cal'!$AP$2))/SQRT(1-Baseline!$AF$11))</f>
        <v>4.0397375729796285E-2</v>
      </c>
      <c r="AR40" s="355">
        <f>NORMSDIST((_xlfn.NORM.S.INV(AA40)-(SQRT(Baseline!$AF$11)*'MacroPD-Cal'!$AP$3))/SQRT(1-Baseline!$AF$11))</f>
        <v>4.5685150490644304E-2</v>
      </c>
      <c r="AS40" s="355">
        <f>NORMSDIST((_xlfn.NORM.S.INV(AA40)-(SQRT(Baseline!$AF$11)*'MacroPD-Cal'!$AP$4))/SQRT(1-Baseline!$AF$11))</f>
        <v>4.6405467026115428E-2</v>
      </c>
      <c r="AT40" s="355">
        <f>NORMSDIST((_xlfn.NORM.S.INV(AA40)-(SQRT(Baseline!$AF$11)*'MacroPD-Cal'!$AP$5))/SQRT(1-Baseline!$AF$11))</f>
        <v>5.6752430394472655E-2</v>
      </c>
      <c r="AU40" s="355">
        <f>NORMSDIST((_xlfn.NORM.S.INV(AB40)-(SQRT(Baseline!$AF$11)*'MacroPD-Cal'!$AP$6))/SQRT(1-Baseline!$AF$11))</f>
        <v>9.5641763260261761E-2</v>
      </c>
      <c r="AV40" s="355">
        <f>NORMSDIST((_xlfn.NORM.S.INV(AC40)-(SQRT(Baseline!$AF$11)*'MacroPD-Cal'!$AP$7))/SQRT(1-Baseline!$AF$11))</f>
        <v>0.10763084709585154</v>
      </c>
      <c r="AW40" s="355">
        <f>NORMSDIST((_xlfn.NORM.S.INV(AD40)-(SQRT(Baseline!$AF$11)*'MacroPD-Cal'!$AP$8))/SQRT(1-Baseline!$AF$11))</f>
        <v>0.14771488183444181</v>
      </c>
      <c r="AX40" s="355">
        <f>NORMSDIST((_xlfn.NORM.S.INV(AE40)-(SQRT(Baseline!$AF$11)*'MacroPD-Cal'!$AP$9))/SQRT(1-Baseline!$AF$11))</f>
        <v>0.15528719184691142</v>
      </c>
      <c r="AY40" s="355">
        <f t="shared" si="11"/>
        <v>4.0397375729796285E-2</v>
      </c>
      <c r="AZ40" s="355">
        <f t="shared" si="12"/>
        <v>8.4236966030797666E-2</v>
      </c>
      <c r="BA40" s="355">
        <f t="shared" si="13"/>
        <v>0.12673337730739098</v>
      </c>
      <c r="BB40" s="355">
        <f t="shared" si="14"/>
        <v>0.1762</v>
      </c>
      <c r="BC40" s="355"/>
      <c r="BD40" s="355"/>
      <c r="BE40" s="355"/>
      <c r="BF40" s="355"/>
      <c r="BG40" s="355">
        <f>NORMSDIST((_xlfn.NORM.S.INV($AA40)-(SQRT(Baseline!$AF$11)*'MacroPD-Cal'!$BF$2))/SQRT(1-Baseline!$AF$11))</f>
        <v>3.8771743118394916E-2</v>
      </c>
      <c r="BH40" s="355">
        <f>NORMSDIST((_xlfn.NORM.S.INV($AA40)-(SQRT(Baseline!$AF$11)*'MacroPD-Cal'!$BF$3))/SQRT(1-Baseline!$AF$11))</f>
        <v>5.0206988257931885E-2</v>
      </c>
      <c r="BI40" s="355">
        <f>NORMSDIST((_xlfn.NORM.S.INV($AA40)-(SQRT(Baseline!$AF$11)*'MacroPD-Cal'!$BF$4))/SQRT(1-Baseline!$AF$11))</f>
        <v>6.6033065779573283E-2</v>
      </c>
      <c r="BJ40" s="355">
        <f>NORMSDIST((_xlfn.NORM.S.INV($AA40)-(SQRT(Baseline!$AF$11)*'MacroPD-Cal'!$BF$5))/SQRT(1-Baseline!$AF$11))</f>
        <v>8.0517293644884996E-2</v>
      </c>
      <c r="BK40" s="355">
        <f>NORMSDIST((_xlfn.NORM.S.INV($AB40)-(SQRT(Baseline!$AF$11)*'MacroPD-Cal'!$BF$6))/SQRT(1-Baseline!$AF$11))</f>
        <v>0.26119981764737382</v>
      </c>
      <c r="BL40" s="355">
        <f>NORMSDIST((_xlfn.NORM.S.INV($AC40)-(SQRT(Baseline!$AF$11)*'MacroPD-Cal'!$BF$7))/SQRT(1-Baseline!$AF$11))</f>
        <v>6.0026805980867189E-2</v>
      </c>
      <c r="BM40" s="355">
        <f>NORMSDIST((_xlfn.NORM.S.INV($AD40)-(SQRT(Baseline!$AF$11)*'MacroPD-Cal'!$BF$8))/SQRT(1-Baseline!$AF$11))</f>
        <v>0.10600471444954986</v>
      </c>
      <c r="BN40" s="355">
        <f>NORMSDIST((_xlfn.NORM.S.INV($AE40)-(SQRT(Baseline!$AF$11)*'MacroPD-Cal'!$BF$9))/SQRT(1-Baseline!$AF$11))</f>
        <v>0.13323474319504144</v>
      </c>
      <c r="BO40" s="355">
        <f t="shared" si="15"/>
        <v>3.8771743118394916E-2</v>
      </c>
      <c r="BP40" s="355">
        <f t="shared" si="16"/>
        <v>8.7032118924842083E-2</v>
      </c>
      <c r="BQ40" s="355">
        <f t="shared" si="17"/>
        <v>0.14731818707051558</v>
      </c>
      <c r="BR40" s="355">
        <f t="shared" si="18"/>
        <v>0.21590000000000001</v>
      </c>
      <c r="BS40" s="355"/>
      <c r="BT40" s="355"/>
      <c r="BU40" s="355"/>
      <c r="BV40" s="355">
        <f>NORMSDIST((_xlfn.NORM.S.INV($AA40)-(SQRT(Baseline!$AF$11)*'MacroPD-Cal'!$BU$2))/SQRT(1-Baseline!$AF$11))</f>
        <v>3.7645704332855516E-2</v>
      </c>
      <c r="BW40" s="355">
        <f>NORMSDIST((_xlfn.NORM.S.INV($AA40)-(SQRT(Baseline!$AF$11)*'MacroPD-Cal'!$BU$3))/SQRT(1-Baseline!$AF$11))</f>
        <v>5.1899063334330295E-2</v>
      </c>
      <c r="BX40" s="355">
        <f>NORMSDIST((_xlfn.NORM.S.INV($AA40)-(SQRT(Baseline!$AF$11)*'MacroPD-Cal'!$BU$4))/SQRT(1-Baseline!$AF$11))</f>
        <v>6.2827312842234251E-2</v>
      </c>
      <c r="BY40" s="355">
        <f>NORMSDIST((_xlfn.NORM.S.INV($AA40)-(SQRT(Baseline!$AF$11)*'MacroPD-Cal'!$BU$5))/SQRT(1-Baseline!$AF$11))</f>
        <v>7.3728271926264244E-2</v>
      </c>
      <c r="BZ40" s="355">
        <f>NORMSDIST((_xlfn.NORM.S.INV($AB40)-(SQRT(Baseline!$AF$11)*'MacroPD-Cal'!$BU$6))/SQRT(1-Baseline!$AF$11))</f>
        <v>0.1644640024963204</v>
      </c>
      <c r="CA40" s="355">
        <f>NORMSDIST((_xlfn.NORM.S.INV($AC40)-(SQRT(Baseline!$AF$11)*'MacroPD-Cal'!$BU45))/SQRT(1-Baseline!$AF$11))</f>
        <v>0.10181805144261226</v>
      </c>
      <c r="CB40" s="355">
        <f>NORMSDIST((_xlfn.NORM.S.INV($AD40)-(SQRT(Baseline!$AF$11)*'MacroPD-Cal'!$BU$8))/SQRT(1-Baseline!$AF$11))</f>
        <v>0.14831179169253839</v>
      </c>
      <c r="CC40" s="355">
        <f>NORMSDIST((_xlfn.NORM.S.INV($AE40)-(SQRT(Baseline!$AF$11)*'MacroPD-Cal'!$BU$9))/SQRT(1-Baseline!$AF$11))</f>
        <v>0.13518845286871498</v>
      </c>
      <c r="CD40" s="355">
        <f t="shared" si="19"/>
        <v>3.7645704332855516E-2</v>
      </c>
      <c r="CE40" s="355">
        <f t="shared" si="20"/>
        <v>8.7590990873749441E-2</v>
      </c>
      <c r="CF40" s="355">
        <f t="shared" si="21"/>
        <v>0.1449151971301974</v>
      </c>
      <c r="CG40" s="355">
        <f t="shared" si="22"/>
        <v>0.2079</v>
      </c>
      <c r="CH40" s="355"/>
      <c r="CI40" s="355"/>
      <c r="CL40" s="168"/>
      <c r="CM40" s="168"/>
      <c r="CN40" s="168"/>
      <c r="CO40" s="168"/>
      <c r="CP40" s="168"/>
      <c r="CR40" s="345">
        <f t="shared" si="23"/>
        <v>0.20867552866854261</v>
      </c>
      <c r="CS40" s="345">
        <f t="shared" si="24"/>
        <v>0.45337375413731129</v>
      </c>
      <c r="CT40" s="345">
        <f t="shared" si="25"/>
        <v>0.70877243419871305</v>
      </c>
      <c r="CU40" s="345">
        <f t="shared" si="26"/>
        <v>1</v>
      </c>
    </row>
    <row r="41" spans="1:99" s="166" customFormat="1" x14ac:dyDescent="0.25">
      <c r="A41" s="464">
        <v>1200000133</v>
      </c>
      <c r="B41" s="470">
        <f>VLOOKUP(A41,'Ref-Data'!A:I,9,FALSE)</f>
        <v>1</v>
      </c>
      <c r="C41" s="445">
        <f>IF(B41="Matured","",VLOOKUP(A41,'Adjustment Factor'!A:C,3,0))</f>
        <v>1.8425777267619361</v>
      </c>
      <c r="D41" s="190">
        <f>VLOOKUP(A41,'Ref-Data'!A:C,2,FALSE)</f>
        <v>500000</v>
      </c>
      <c r="E41" s="471">
        <f>IFERROR(IF(VLOOKUP(A41,'Updated Ncino PD'!$A:$K,4,0)=0,"",VLOOKUP(A41,'Updated Ncino PD'!$A:$K,4,0)),AF41)</f>
        <v>1.4664857435136747E-3</v>
      </c>
      <c r="F41" s="472">
        <f>IFERROR(IF(VLOOKUP(A41,'Updated Ncino PD'!$A:$K,5,0)=0,"",VLOOKUP(A41,'Updated Ncino PD'!$A:$K,5,0)),1-((1-AG41)*(1-E41)))</f>
        <v>3.4478863367868318E-3</v>
      </c>
      <c r="G41" s="472">
        <f>IFERROR(IF(VLOOKUP(A41,'Updated Ncino PD'!$A:$K,6,0)=0,"",VLOOKUP(A41,'Updated Ncino PD'!$A:$K,6,0)),1-((1-AF41)*(1-AG41)*(1-AH41)))</f>
        <v>5.724206043032698E-3</v>
      </c>
      <c r="H41" s="472">
        <f>IFERROR(IF(VLOOKUP(A41,'Updated Ncino PD'!$A:$K,7,0)=0,"",VLOOKUP(A41,'Updated Ncino PD'!$A:$K,7,0)),IFERROR(VLOOKUP(A41,'Updated Ncino PD'!A:B,2,FALSE),FLOOR(1-((1-AG41)*(1-AH41)*(1-AI41)*(1-AF41)),$R$11)))</f>
        <v>8.7000000000000011E-3</v>
      </c>
      <c r="I41" s="472">
        <f>IFERROR(IF(VLOOKUP(A41,'Updated Ncino PD'!$A:$K,8,0)=0,"",VLOOKUP(A41,'Updated Ncino PD'!$A:$K,8,0)),FLOOR(1-((1-H41)*(1-AJ41)),$R$11))</f>
        <v>1.4E-2</v>
      </c>
      <c r="J41" s="472">
        <f>IFERROR(IF(VLOOKUP(A41,'Updated Ncino PD'!$A:$K,9,0)=0,"",VLOOKUP(A41,'Updated Ncino PD'!$A:$K,9,0)),FLOOR(1-((1-H41)*(1-AJ41)*(1-AK41)),$R$11))</f>
        <v>1.7600000000000001E-2</v>
      </c>
      <c r="K41" s="472">
        <f>IFERROR(IF(VLOOKUP(A41,'Updated Ncino PD'!$A:$K,10,0)=0,"",VLOOKUP(A41,'Updated Ncino PD'!$A:$K,10,0)),FLOOR(1-((1-H41)*(1-AJ41)*(1-AK41)*(1-AL41)),$R$11))</f>
        <v>2.69E-2</v>
      </c>
      <c r="L41" s="472">
        <f>IFERROR(IF(VLOOKUP(A41,'Updated Ncino PD'!$A:$K,11,0)=0,"",VLOOKUP(A41,'Updated Ncino PD'!$A:$K,11,0)),FLOOR(1-((1-H41)*(1-AJ41)*(1-AK41)*(1-AL41)*(1-AM41)),$R$11))</f>
        <v>3.7100000000000001E-2</v>
      </c>
      <c r="M41" s="224">
        <f>VLOOKUP(A41,'Ref-Data'!$A:$F,6,FALSE)</f>
        <v>4.0821355236139629</v>
      </c>
      <c r="N41" s="191">
        <f t="shared" si="3"/>
        <v>8.7000000000000011E-3</v>
      </c>
      <c r="O41" s="191">
        <f t="shared" si="4"/>
        <v>3.7100000000000001E-2</v>
      </c>
      <c r="P41" s="459" t="str">
        <f>VLOOKUP(A41,'Loan Book Summary'!C:G,5,FALSE)</f>
        <v>0015800001fFIlI</v>
      </c>
      <c r="S41" s="203"/>
      <c r="T41" s="332">
        <f>IFERROR(VLOOKUP($P41,'Model Output-LoanNameUpdate'!$A:$K,2,FALSE),CL41)</f>
        <v>4.1949999999999999E-3</v>
      </c>
      <c r="U41" s="332">
        <f>1-(1-IFERROR(VLOOKUP($P41,'Model Output-LoanNameUpdate'!$A:$K,2,FALSE),CL41))^(1/4)</f>
        <v>1.0504038637585422E-3</v>
      </c>
      <c r="V41" s="332">
        <f>IFERROR(VLOOKUP($P41,'Model Output-LoanNameUpdate'!$A:$K,3,FALSE),CM41)</f>
        <v>4.6849999999999999E-3</v>
      </c>
      <c r="W41" s="332">
        <f>IFERROR(VLOOKUP($P41,'Model Output-LoanNameUpdate'!$A:$K,4,FALSE),CN41)</f>
        <v>5.0399999999999993E-3</v>
      </c>
      <c r="X41" s="332">
        <f>IFERROR(VLOOKUP($P41,'Model Output-LoanNameUpdate'!$A:$K,5,FALSE),CO41)</f>
        <v>5.2349999999999983E-3</v>
      </c>
      <c r="Y41" s="332">
        <f>IFERROR(VLOOKUP($P41,'Model Output-LoanNameUpdate'!$A:$K,6,FALSE),CP41)</f>
        <v>5.4299999999999999E-3</v>
      </c>
      <c r="Z41" s="207">
        <f t="shared" si="5"/>
        <v>1.8425777267619361</v>
      </c>
      <c r="AA41" s="208">
        <f t="shared" si="6"/>
        <v>1.9354507634661692E-3</v>
      </c>
      <c r="AB41" s="208">
        <f t="shared" si="7"/>
        <v>8.6324766498796709E-3</v>
      </c>
      <c r="AC41" s="208">
        <f t="shared" si="8"/>
        <v>9.286591742880157E-3</v>
      </c>
      <c r="AD41" s="208">
        <f t="shared" si="9"/>
        <v>9.6458943995987329E-3</v>
      </c>
      <c r="AE41" s="208">
        <f t="shared" si="10"/>
        <v>1.0005197056317312E-2</v>
      </c>
      <c r="AF41" s="332">
        <f>NORMSDIST((_xlfn.NORM.S.INV(AA41)-(SQRT(Baseline!$AF$11)*'MacroPD-Cal'!$R$2))/SQRT(1-Baseline!$AF$11))</f>
        <v>1.4664857435136747E-3</v>
      </c>
      <c r="AG41" s="332">
        <f>NORMSDIST((_xlfn.NORM.S.INV(AA41)-(SQRT(Baseline!$AF$11)*'MacroPD-Cal'!$R$3))/SQRT(1-Baseline!$AF$11))</f>
        <v>1.9843105564148417E-3</v>
      </c>
      <c r="AH41" s="332">
        <f>NORMSDIST((_xlfn.NORM.S.INV(AA41)-(SQRT(Baseline!$AF$11)*'MacroPD-Cal'!$R$4))/SQRT(1-Baseline!$AF$11))</f>
        <v>2.2841953521912099E-3</v>
      </c>
      <c r="AI41" s="332">
        <f>NORMSDIST((_xlfn.NORM.S.INV(AA41)-(SQRT(Baseline!$AF$11)*'MacroPD-Cal'!$R$5))/SQRT(1-Baseline!$AF$11))</f>
        <v>3.0450837904095608E-3</v>
      </c>
      <c r="AJ41" s="332">
        <f>NORMSDIST((_xlfn.NORM.S.INV(AB41)-(SQRT(Baseline!$AF$11)*'MacroPD-Cal'!$R$6))/SQRT(1-Baseline!$AF$11))</f>
        <v>5.444002705802661E-3</v>
      </c>
      <c r="AK41" s="332">
        <f>NORMSDIST((_xlfn.NORM.S.INV(AC41)-(SQRT(Baseline!$AF$11)*'MacroPD-Cal'!$R$7))/SQRT(1-Baseline!$AF$11))</f>
        <v>3.6325894473055488E-3</v>
      </c>
      <c r="AL41" s="332">
        <f>NORMSDIST((_xlfn.NORM.S.INV(AD41)-(SQRT(Baseline!$AF$11)*'MacroPD-Cal'!$R$8))/SQRT(1-Baseline!$AF$11))</f>
        <v>9.4831626400493137E-3</v>
      </c>
      <c r="AM41" s="332">
        <f>NORMSDIST((_xlfn.NORM.S.INV(AE41)-(SQRT(Baseline!$AF$11)*'MacroPD-Cal'!$R$9))/SQRT(1-Baseline!$AF$11))</f>
        <v>1.047325727423489E-2</v>
      </c>
      <c r="AO41" s="355"/>
      <c r="AP41" s="355"/>
      <c r="AQ41" s="355">
        <f>NORMSDIST((_xlfn.NORM.S.INV(AA41)-(SQRT(Baseline!$AF$11)*'MacroPD-Cal'!$AP$2))/SQRT(1-Baseline!$AF$11))</f>
        <v>1.5266586346943029E-3</v>
      </c>
      <c r="AR41" s="355">
        <f>NORMSDIST((_xlfn.NORM.S.INV(AA41)-(SQRT(Baseline!$AF$11)*'MacroPD-Cal'!$AP$3))/SQRT(1-Baseline!$AF$11))</f>
        <v>1.8395621108015757E-3</v>
      </c>
      <c r="AS41" s="355">
        <f>NORMSDIST((_xlfn.NORM.S.INV(AA41)-(SQRT(Baseline!$AF$11)*'MacroPD-Cal'!$AP$4))/SQRT(1-Baseline!$AF$11))</f>
        <v>1.8838801059984742E-3</v>
      </c>
      <c r="AT41" s="355">
        <f>NORMSDIST((_xlfn.NORM.S.INV(AA41)-(SQRT(Baseline!$AF$11)*'MacroPD-Cal'!$AP$5))/SQRT(1-Baseline!$AF$11))</f>
        <v>2.5641722466600266E-3</v>
      </c>
      <c r="AU41" s="355">
        <f>NORMSDIST((_xlfn.NORM.S.INV(AB41)-(SQRT(Baseline!$AF$11)*'MacroPD-Cal'!$AP$6))/SQRT(1-Baseline!$AF$11))</f>
        <v>3.5161532592719418E-3</v>
      </c>
      <c r="AV41" s="355">
        <f>NORMSDIST((_xlfn.NORM.S.INV(AC41)-(SQRT(Baseline!$AF$11)*'MacroPD-Cal'!$AP$7))/SQRT(1-Baseline!$AF$11))</f>
        <v>5.1215678748671315E-3</v>
      </c>
      <c r="AW41" s="355">
        <f>NORMSDIST((_xlfn.NORM.S.INV(AD41)-(SQRT(Baseline!$AF$11)*'MacroPD-Cal'!$AP$8))/SQRT(1-Baseline!$AF$11))</f>
        <v>9.7193970899039448E-3</v>
      </c>
      <c r="AX41" s="355">
        <f>NORMSDIST((_xlfn.NORM.S.INV(AE41)-(SQRT(Baseline!$AF$11)*'MacroPD-Cal'!$AP$9))/SQRT(1-Baseline!$AF$11))</f>
        <v>1.1506329630235745E-2</v>
      </c>
      <c r="AY41" s="355">
        <f t="shared" si="11"/>
        <v>1.5266586346943029E-3</v>
      </c>
      <c r="AZ41" s="355">
        <f t="shared" si="12"/>
        <v>3.3634123621153478E-3</v>
      </c>
      <c r="BA41" s="355">
        <f t="shared" si="13"/>
        <v>5.2409562024765544E-3</v>
      </c>
      <c r="BB41" s="355">
        <f t="shared" si="14"/>
        <v>7.7000000000000002E-3</v>
      </c>
      <c r="BC41" s="355"/>
      <c r="BD41" s="355"/>
      <c r="BE41" s="355"/>
      <c r="BF41" s="355"/>
      <c r="BG41" s="355">
        <f>NORMSDIST((_xlfn.NORM.S.INV($AA41)-(SQRT(Baseline!$AF$11)*'MacroPD-Cal'!$BF$2))/SQRT(1-Baseline!$AF$11))</f>
        <v>1.4349218477022949E-3</v>
      </c>
      <c r="BH41" s="355">
        <f>NORMSDIST((_xlfn.NORM.S.INV($AA41)-(SQRT(Baseline!$AF$11)*'MacroPD-Cal'!$BF$3))/SQRT(1-Baseline!$AF$11))</f>
        <v>2.1243897395674459E-3</v>
      </c>
      <c r="BI41" s="355">
        <f>NORMSDIST((_xlfn.NORM.S.INV($AA41)-(SQRT(Baseline!$AF$11)*'MacroPD-Cal'!$BF$4))/SQRT(1-Baseline!$AF$11))</f>
        <v>3.2421560933663125E-3</v>
      </c>
      <c r="BJ41" s="355">
        <f>NORMSDIST((_xlfn.NORM.S.INV($AA41)-(SQRT(Baseline!$AF$11)*'MacroPD-Cal'!$BF$5))/SQRT(1-Baseline!$AF$11))</f>
        <v>4.4245988236105288E-3</v>
      </c>
      <c r="BK41" s="355">
        <f>NORMSDIST((_xlfn.NORM.S.INV($AB41)-(SQRT(Baseline!$AF$11)*'MacroPD-Cal'!$BF$6))/SQRT(1-Baseline!$AF$11))</f>
        <v>2.1271460292442129E-2</v>
      </c>
      <c r="BL41" s="355">
        <f>NORMSDIST((_xlfn.NORM.S.INV($AC41)-(SQRT(Baseline!$AF$11)*'MacroPD-Cal'!$BF$7))/SQRT(1-Baseline!$AF$11))</f>
        <v>1.9705760015830158E-3</v>
      </c>
      <c r="BM41" s="355">
        <f>NORMSDIST((_xlfn.NORM.S.INV($AD41)-(SQRT(Baseline!$AF$11)*'MacroPD-Cal'!$BF$8))/SQRT(1-Baseline!$AF$11))</f>
        <v>5.5619525095555698E-3</v>
      </c>
      <c r="BN41" s="355">
        <f>NORMSDIST((_xlfn.NORM.S.INV($AE41)-(SQRT(Baseline!$AF$11)*'MacroPD-Cal'!$BF$9))/SQRT(1-Baseline!$AF$11))</f>
        <v>8.8835455552141798E-3</v>
      </c>
      <c r="BO41" s="355">
        <f t="shared" si="15"/>
        <v>1.4349218477022949E-3</v>
      </c>
      <c r="BP41" s="355">
        <f t="shared" si="16"/>
        <v>3.556263254019365E-3</v>
      </c>
      <c r="BQ41" s="355">
        <f t="shared" si="17"/>
        <v>6.786889386807049E-3</v>
      </c>
      <c r="BR41" s="355">
        <f t="shared" si="18"/>
        <v>1.11E-2</v>
      </c>
      <c r="BS41" s="355"/>
      <c r="BT41" s="355"/>
      <c r="BU41" s="355"/>
      <c r="BV41" s="355">
        <f>NORMSDIST((_xlfn.NORM.S.INV($AA41)-(SQRT(Baseline!$AF$11)*'MacroPD-Cal'!$BU$2))/SQRT(1-Baseline!$AF$11))</f>
        <v>1.3726275090543752E-3</v>
      </c>
      <c r="BW41" s="355">
        <f>NORMSDIST((_xlfn.NORM.S.INV($AA41)-(SQRT(Baseline!$AF$11)*'MacroPD-Cal'!$BU$3))/SQRT(1-Baseline!$AF$11))</f>
        <v>2.2349881467160467E-3</v>
      </c>
      <c r="BX41" s="355">
        <f>NORMSDIST((_xlfn.NORM.S.INV($AA41)-(SQRT(Baseline!$AF$11)*'MacroPD-Cal'!$BU$4))/SQRT(1-Baseline!$AF$11))</f>
        <v>3.0008377635171841E-3</v>
      </c>
      <c r="BY41" s="355">
        <f>NORMSDIST((_xlfn.NORM.S.INV($AA41)-(SQRT(Baseline!$AF$11)*'MacroPD-Cal'!$BU$5))/SQRT(1-Baseline!$AF$11))</f>
        <v>3.8517123925495022E-3</v>
      </c>
      <c r="BZ41" s="355">
        <f>NORMSDIST((_xlfn.NORM.S.INV($AB41)-(SQRT(Baseline!$AF$11)*'MacroPD-Cal'!$BU$6))/SQRT(1-Baseline!$AF$11))</f>
        <v>9.0200416796458269E-3</v>
      </c>
      <c r="CA41" s="355">
        <f>NORMSDIST((_xlfn.NORM.S.INV($AC41)-(SQRT(Baseline!$AF$11)*'MacroPD-Cal'!$BU46))/SQRT(1-Baseline!$AF$11))</f>
        <v>4.6673655033261782E-3</v>
      </c>
      <c r="CB41" s="355">
        <f>NORMSDIST((_xlfn.NORM.S.INV($AD41)-(SQRT(Baseline!$AF$11)*'MacroPD-Cal'!$BU$8))/SQRT(1-Baseline!$AF$11))</f>
        <v>9.7867528049347188E-3</v>
      </c>
      <c r="CC41" s="355">
        <f>NORMSDIST((_xlfn.NORM.S.INV($AE41)-(SQRT(Baseline!$AF$11)*'MacroPD-Cal'!$BU$9))/SQRT(1-Baseline!$AF$11))</f>
        <v>9.1029944344536325E-3</v>
      </c>
      <c r="CD41" s="355">
        <f t="shared" si="19"/>
        <v>1.3726275090543752E-3</v>
      </c>
      <c r="CE41" s="355">
        <f t="shared" si="20"/>
        <v>3.604547849557882E-3</v>
      </c>
      <c r="CF41" s="355">
        <f t="shared" si="21"/>
        <v>6.5945689497677318E-3</v>
      </c>
      <c r="CG41" s="355">
        <f t="shared" si="22"/>
        <v>1.0400000000000001E-2</v>
      </c>
      <c r="CH41" s="355"/>
      <c r="CI41" s="355"/>
      <c r="CL41" s="168"/>
      <c r="CM41" s="168"/>
      <c r="CN41" s="168"/>
      <c r="CO41" s="168"/>
      <c r="CP41" s="168"/>
      <c r="CR41" s="345">
        <f t="shared" si="23"/>
        <v>0.16856157971421545</v>
      </c>
      <c r="CS41" s="345">
        <f t="shared" si="24"/>
        <v>0.39630877434331396</v>
      </c>
      <c r="CT41" s="345">
        <f t="shared" si="25"/>
        <v>0.65795471758996515</v>
      </c>
      <c r="CU41" s="345">
        <f t="shared" si="26"/>
        <v>1</v>
      </c>
    </row>
    <row r="42" spans="1:99" s="166" customFormat="1" x14ac:dyDescent="0.25">
      <c r="A42" s="464">
        <v>1200000134</v>
      </c>
      <c r="B42" s="470">
        <f>VLOOKUP(A42,'Ref-Data'!A:I,9,FALSE)</f>
        <v>1</v>
      </c>
      <c r="C42" s="445">
        <f>IF(B42="Matured","",VLOOKUP(A42,'Adjustment Factor'!A:C,3,0))</f>
        <v>1.8425777267619361</v>
      </c>
      <c r="D42" s="190">
        <f>VLOOKUP(A42,'Ref-Data'!A:C,2,FALSE)</f>
        <v>487998.51</v>
      </c>
      <c r="E42" s="471">
        <f>IFERROR(IF(VLOOKUP(A42,'Updated Ncino PD'!$A:$K,4,0)=0,"",VLOOKUP(A42,'Updated Ncino PD'!$A:$K,4,0)),AF42)</f>
        <v>1.4664857435136747E-3</v>
      </c>
      <c r="F42" s="472">
        <f>IFERROR(IF(VLOOKUP(A42,'Updated Ncino PD'!$A:$K,5,0)=0,"",VLOOKUP(A42,'Updated Ncino PD'!$A:$K,5,0)),1-((1-AG42)*(1-E42)))</f>
        <v>3.4478863367868318E-3</v>
      </c>
      <c r="G42" s="472">
        <f>IFERROR(IF(VLOOKUP(A42,'Updated Ncino PD'!$A:$K,6,0)=0,"",VLOOKUP(A42,'Updated Ncino PD'!$A:$K,6,0)),1-((1-AF42)*(1-AG42)*(1-AH42)))</f>
        <v>5.724206043032698E-3</v>
      </c>
      <c r="H42" s="472">
        <f>IFERROR(IF(VLOOKUP(A42,'Updated Ncino PD'!$A:$K,7,0)=0,"",VLOOKUP(A42,'Updated Ncino PD'!$A:$K,7,0)),IFERROR(VLOOKUP(A42,'Updated Ncino PD'!A:B,2,FALSE),FLOOR(1-((1-AG42)*(1-AH42)*(1-AI42)*(1-AF42)),$R$11)))</f>
        <v>8.7000000000000011E-3</v>
      </c>
      <c r="I42" s="472">
        <f>IFERROR(IF(VLOOKUP(A42,'Updated Ncino PD'!$A:$K,8,0)=0,"",VLOOKUP(A42,'Updated Ncino PD'!$A:$K,8,0)),FLOOR(1-((1-H42)*(1-AJ42)),$R$11))</f>
        <v>1.4E-2</v>
      </c>
      <c r="J42" s="472">
        <f>IFERROR(IF(VLOOKUP(A42,'Updated Ncino PD'!$A:$K,9,0)=0,"",VLOOKUP(A42,'Updated Ncino PD'!$A:$K,9,0)),FLOOR(1-((1-H42)*(1-AJ42)*(1-AK42)),$R$11))</f>
        <v>1.7600000000000001E-2</v>
      </c>
      <c r="K42" s="472">
        <f>IFERROR(IF(VLOOKUP(A42,'Updated Ncino PD'!$A:$K,10,0)=0,"",VLOOKUP(A42,'Updated Ncino PD'!$A:$K,10,0)),FLOOR(1-((1-H42)*(1-AJ42)*(1-AK42)*(1-AL42)),$R$11))</f>
        <v>2.69E-2</v>
      </c>
      <c r="L42" s="472">
        <f>IFERROR(IF(VLOOKUP(A42,'Updated Ncino PD'!$A:$K,11,0)=0,"",VLOOKUP(A42,'Updated Ncino PD'!$A:$K,11,0)),FLOOR(1-((1-H42)*(1-AJ42)*(1-AK42)*(1-AL42)*(1-AM42)),$R$11))</f>
        <v>3.7100000000000001E-2</v>
      </c>
      <c r="M42" s="224">
        <f>VLOOKUP(A42,'Ref-Data'!$A:$F,6,FALSE)</f>
        <v>4.0821355236139629</v>
      </c>
      <c r="N42" s="191">
        <f t="shared" si="3"/>
        <v>8.7000000000000011E-3</v>
      </c>
      <c r="O42" s="191">
        <f t="shared" si="4"/>
        <v>3.7100000000000001E-2</v>
      </c>
      <c r="P42" s="459" t="str">
        <f>VLOOKUP(A42,'Loan Book Summary'!C:G,5,FALSE)</f>
        <v>0015800001fFIlI</v>
      </c>
      <c r="S42" s="203"/>
      <c r="T42" s="332">
        <f>IFERROR(VLOOKUP($P42,'Model Output-LoanNameUpdate'!$A:$K,2,FALSE),CL42)</f>
        <v>4.1949999999999999E-3</v>
      </c>
      <c r="U42" s="332">
        <f>1-(1-IFERROR(VLOOKUP($P42,'Model Output-LoanNameUpdate'!$A:$K,2,FALSE),CL42))^(1/4)</f>
        <v>1.0504038637585422E-3</v>
      </c>
      <c r="V42" s="332">
        <f>IFERROR(VLOOKUP($P42,'Model Output-LoanNameUpdate'!$A:$K,3,FALSE),CM42)</f>
        <v>4.6849999999999999E-3</v>
      </c>
      <c r="W42" s="332">
        <f>IFERROR(VLOOKUP($P42,'Model Output-LoanNameUpdate'!$A:$K,4,FALSE),CN42)</f>
        <v>5.0399999999999993E-3</v>
      </c>
      <c r="X42" s="332">
        <f>IFERROR(VLOOKUP($P42,'Model Output-LoanNameUpdate'!$A:$K,5,FALSE),CO42)</f>
        <v>5.2349999999999983E-3</v>
      </c>
      <c r="Y42" s="332">
        <f>IFERROR(VLOOKUP($P42,'Model Output-LoanNameUpdate'!$A:$K,6,FALSE),CP42)</f>
        <v>5.4299999999999999E-3</v>
      </c>
      <c r="Z42" s="207">
        <f t="shared" si="5"/>
        <v>1.8425777267619361</v>
      </c>
      <c r="AA42" s="208">
        <f t="shared" si="6"/>
        <v>1.9354507634661692E-3</v>
      </c>
      <c r="AB42" s="208">
        <f t="shared" si="7"/>
        <v>8.6324766498796709E-3</v>
      </c>
      <c r="AC42" s="208">
        <f t="shared" si="8"/>
        <v>9.286591742880157E-3</v>
      </c>
      <c r="AD42" s="208">
        <f t="shared" si="9"/>
        <v>9.6458943995987329E-3</v>
      </c>
      <c r="AE42" s="208">
        <f t="shared" si="10"/>
        <v>1.0005197056317312E-2</v>
      </c>
      <c r="AF42" s="332">
        <f>NORMSDIST((_xlfn.NORM.S.INV(AA42)-(SQRT(Baseline!$AF$11)*'MacroPD-Cal'!$R$2))/SQRT(1-Baseline!$AF$11))</f>
        <v>1.4664857435136747E-3</v>
      </c>
      <c r="AG42" s="332">
        <f>NORMSDIST((_xlfn.NORM.S.INV(AA42)-(SQRT(Baseline!$AF$11)*'MacroPD-Cal'!$R$3))/SQRT(1-Baseline!$AF$11))</f>
        <v>1.9843105564148417E-3</v>
      </c>
      <c r="AH42" s="332">
        <f>NORMSDIST((_xlfn.NORM.S.INV(AA42)-(SQRT(Baseline!$AF$11)*'MacroPD-Cal'!$R$4))/SQRT(1-Baseline!$AF$11))</f>
        <v>2.2841953521912099E-3</v>
      </c>
      <c r="AI42" s="332">
        <f>NORMSDIST((_xlfn.NORM.S.INV(AA42)-(SQRT(Baseline!$AF$11)*'MacroPD-Cal'!$R$5))/SQRT(1-Baseline!$AF$11))</f>
        <v>3.0450837904095608E-3</v>
      </c>
      <c r="AJ42" s="332">
        <f>NORMSDIST((_xlfn.NORM.S.INV(AB42)-(SQRT(Baseline!$AF$11)*'MacroPD-Cal'!$R$6))/SQRT(1-Baseline!$AF$11))</f>
        <v>5.444002705802661E-3</v>
      </c>
      <c r="AK42" s="332">
        <f>NORMSDIST((_xlfn.NORM.S.INV(AC42)-(SQRT(Baseline!$AF$11)*'MacroPD-Cal'!$R$7))/SQRT(1-Baseline!$AF$11))</f>
        <v>3.6325894473055488E-3</v>
      </c>
      <c r="AL42" s="332">
        <f>NORMSDIST((_xlfn.NORM.S.INV(AD42)-(SQRT(Baseline!$AF$11)*'MacroPD-Cal'!$R$8))/SQRT(1-Baseline!$AF$11))</f>
        <v>9.4831626400493137E-3</v>
      </c>
      <c r="AM42" s="332">
        <f>NORMSDIST((_xlfn.NORM.S.INV(AE42)-(SQRT(Baseline!$AF$11)*'MacroPD-Cal'!$R$9))/SQRT(1-Baseline!$AF$11))</f>
        <v>1.047325727423489E-2</v>
      </c>
      <c r="AO42" s="355"/>
      <c r="AP42" s="355"/>
      <c r="AQ42" s="355">
        <f>NORMSDIST((_xlfn.NORM.S.INV(AA42)-(SQRT(Baseline!$AF$11)*'MacroPD-Cal'!$AP$2))/SQRT(1-Baseline!$AF$11))</f>
        <v>1.5266586346943029E-3</v>
      </c>
      <c r="AR42" s="355">
        <f>NORMSDIST((_xlfn.NORM.S.INV(AA42)-(SQRT(Baseline!$AF$11)*'MacroPD-Cal'!$AP$3))/SQRT(1-Baseline!$AF$11))</f>
        <v>1.8395621108015757E-3</v>
      </c>
      <c r="AS42" s="355">
        <f>NORMSDIST((_xlfn.NORM.S.INV(AA42)-(SQRT(Baseline!$AF$11)*'MacroPD-Cal'!$AP$4))/SQRT(1-Baseline!$AF$11))</f>
        <v>1.8838801059984742E-3</v>
      </c>
      <c r="AT42" s="355">
        <f>NORMSDIST((_xlfn.NORM.S.INV(AA42)-(SQRT(Baseline!$AF$11)*'MacroPD-Cal'!$AP$5))/SQRT(1-Baseline!$AF$11))</f>
        <v>2.5641722466600266E-3</v>
      </c>
      <c r="AU42" s="355">
        <f>NORMSDIST((_xlfn.NORM.S.INV(AB42)-(SQRT(Baseline!$AF$11)*'MacroPD-Cal'!$AP$6))/SQRT(1-Baseline!$AF$11))</f>
        <v>3.5161532592719418E-3</v>
      </c>
      <c r="AV42" s="355">
        <f>NORMSDIST((_xlfn.NORM.S.INV(AC42)-(SQRT(Baseline!$AF$11)*'MacroPD-Cal'!$AP$7))/SQRT(1-Baseline!$AF$11))</f>
        <v>5.1215678748671315E-3</v>
      </c>
      <c r="AW42" s="355">
        <f>NORMSDIST((_xlfn.NORM.S.INV(AD42)-(SQRT(Baseline!$AF$11)*'MacroPD-Cal'!$AP$8))/SQRT(1-Baseline!$AF$11))</f>
        <v>9.7193970899039448E-3</v>
      </c>
      <c r="AX42" s="355">
        <f>NORMSDIST((_xlfn.NORM.S.INV(AE42)-(SQRT(Baseline!$AF$11)*'MacroPD-Cal'!$AP$9))/SQRT(1-Baseline!$AF$11))</f>
        <v>1.1506329630235745E-2</v>
      </c>
      <c r="AY42" s="355">
        <f t="shared" si="11"/>
        <v>1.5266586346943029E-3</v>
      </c>
      <c r="AZ42" s="355">
        <f t="shared" si="12"/>
        <v>3.3634123621153478E-3</v>
      </c>
      <c r="BA42" s="355">
        <f t="shared" si="13"/>
        <v>5.2409562024765544E-3</v>
      </c>
      <c r="BB42" s="355">
        <f t="shared" si="14"/>
        <v>7.7000000000000002E-3</v>
      </c>
      <c r="BC42" s="355"/>
      <c r="BD42" s="355"/>
      <c r="BE42" s="355"/>
      <c r="BF42" s="355"/>
      <c r="BG42" s="355">
        <f>NORMSDIST((_xlfn.NORM.S.INV($AA42)-(SQRT(Baseline!$AF$11)*'MacroPD-Cal'!$BF$2))/SQRT(1-Baseline!$AF$11))</f>
        <v>1.4349218477022949E-3</v>
      </c>
      <c r="BH42" s="355">
        <f>NORMSDIST((_xlfn.NORM.S.INV($AA42)-(SQRT(Baseline!$AF$11)*'MacroPD-Cal'!$BF$3))/SQRT(1-Baseline!$AF$11))</f>
        <v>2.1243897395674459E-3</v>
      </c>
      <c r="BI42" s="355">
        <f>NORMSDIST((_xlfn.NORM.S.INV($AA42)-(SQRT(Baseline!$AF$11)*'MacroPD-Cal'!$BF$4))/SQRT(1-Baseline!$AF$11))</f>
        <v>3.2421560933663125E-3</v>
      </c>
      <c r="BJ42" s="355">
        <f>NORMSDIST((_xlfn.NORM.S.INV($AA42)-(SQRT(Baseline!$AF$11)*'MacroPD-Cal'!$BF$5))/SQRT(1-Baseline!$AF$11))</f>
        <v>4.4245988236105288E-3</v>
      </c>
      <c r="BK42" s="355">
        <f>NORMSDIST((_xlfn.NORM.S.INV($AB42)-(SQRT(Baseline!$AF$11)*'MacroPD-Cal'!$BF$6))/SQRT(1-Baseline!$AF$11))</f>
        <v>2.1271460292442129E-2</v>
      </c>
      <c r="BL42" s="355">
        <f>NORMSDIST((_xlfn.NORM.S.INV($AC42)-(SQRT(Baseline!$AF$11)*'MacroPD-Cal'!$BF$7))/SQRT(1-Baseline!$AF$11))</f>
        <v>1.9705760015830158E-3</v>
      </c>
      <c r="BM42" s="355">
        <f>NORMSDIST((_xlfn.NORM.S.INV($AD42)-(SQRT(Baseline!$AF$11)*'MacroPD-Cal'!$BF$8))/SQRT(1-Baseline!$AF$11))</f>
        <v>5.5619525095555698E-3</v>
      </c>
      <c r="BN42" s="355">
        <f>NORMSDIST((_xlfn.NORM.S.INV($AE42)-(SQRT(Baseline!$AF$11)*'MacroPD-Cal'!$BF$9))/SQRT(1-Baseline!$AF$11))</f>
        <v>8.8835455552141798E-3</v>
      </c>
      <c r="BO42" s="355">
        <f t="shared" si="15"/>
        <v>1.4349218477022949E-3</v>
      </c>
      <c r="BP42" s="355">
        <f t="shared" si="16"/>
        <v>3.556263254019365E-3</v>
      </c>
      <c r="BQ42" s="355">
        <f t="shared" si="17"/>
        <v>6.786889386807049E-3</v>
      </c>
      <c r="BR42" s="355">
        <f t="shared" si="18"/>
        <v>1.11E-2</v>
      </c>
      <c r="BS42" s="355"/>
      <c r="BT42" s="355"/>
      <c r="BU42" s="355"/>
      <c r="BV42" s="355">
        <f>NORMSDIST((_xlfn.NORM.S.INV($AA42)-(SQRT(Baseline!$AF$11)*'MacroPD-Cal'!$BU$2))/SQRT(1-Baseline!$AF$11))</f>
        <v>1.3726275090543752E-3</v>
      </c>
      <c r="BW42" s="355">
        <f>NORMSDIST((_xlfn.NORM.S.INV($AA42)-(SQRT(Baseline!$AF$11)*'MacroPD-Cal'!$BU$3))/SQRT(1-Baseline!$AF$11))</f>
        <v>2.2349881467160467E-3</v>
      </c>
      <c r="BX42" s="355">
        <f>NORMSDIST((_xlfn.NORM.S.INV($AA42)-(SQRT(Baseline!$AF$11)*'MacroPD-Cal'!$BU$4))/SQRT(1-Baseline!$AF$11))</f>
        <v>3.0008377635171841E-3</v>
      </c>
      <c r="BY42" s="355">
        <f>NORMSDIST((_xlfn.NORM.S.INV($AA42)-(SQRT(Baseline!$AF$11)*'MacroPD-Cal'!$BU$5))/SQRT(1-Baseline!$AF$11))</f>
        <v>3.8517123925495022E-3</v>
      </c>
      <c r="BZ42" s="355">
        <f>NORMSDIST((_xlfn.NORM.S.INV($AB42)-(SQRT(Baseline!$AF$11)*'MacroPD-Cal'!$BU$6))/SQRT(1-Baseline!$AF$11))</f>
        <v>9.0200416796458269E-3</v>
      </c>
      <c r="CA42" s="355">
        <f>NORMSDIST((_xlfn.NORM.S.INV($AC42)-(SQRT(Baseline!$AF$11)*'MacroPD-Cal'!$BU47))/SQRT(1-Baseline!$AF$11))</f>
        <v>4.6673655033261782E-3</v>
      </c>
      <c r="CB42" s="355">
        <f>NORMSDIST((_xlfn.NORM.S.INV($AD42)-(SQRT(Baseline!$AF$11)*'MacroPD-Cal'!$BU$8))/SQRT(1-Baseline!$AF$11))</f>
        <v>9.7867528049347188E-3</v>
      </c>
      <c r="CC42" s="355">
        <f>NORMSDIST((_xlfn.NORM.S.INV($AE42)-(SQRT(Baseline!$AF$11)*'MacroPD-Cal'!$BU$9))/SQRT(1-Baseline!$AF$11))</f>
        <v>9.1029944344536325E-3</v>
      </c>
      <c r="CD42" s="355">
        <f t="shared" si="19"/>
        <v>1.3726275090543752E-3</v>
      </c>
      <c r="CE42" s="355">
        <f t="shared" si="20"/>
        <v>3.604547849557882E-3</v>
      </c>
      <c r="CF42" s="355">
        <f t="shared" si="21"/>
        <v>6.5945689497677318E-3</v>
      </c>
      <c r="CG42" s="355">
        <f t="shared" si="22"/>
        <v>1.0400000000000001E-2</v>
      </c>
      <c r="CH42" s="355"/>
      <c r="CI42" s="355"/>
      <c r="CL42" s="168"/>
      <c r="CM42" s="168"/>
      <c r="CN42" s="168"/>
      <c r="CO42" s="168"/>
      <c r="CP42" s="168"/>
      <c r="CR42" s="345">
        <f t="shared" si="23"/>
        <v>0.16856157971421545</v>
      </c>
      <c r="CS42" s="345">
        <f t="shared" si="24"/>
        <v>0.39630877434331396</v>
      </c>
      <c r="CT42" s="345">
        <f t="shared" si="25"/>
        <v>0.65795471758996515</v>
      </c>
      <c r="CU42" s="345">
        <f t="shared" si="26"/>
        <v>1</v>
      </c>
    </row>
    <row r="43" spans="1:99" s="166" customFormat="1" x14ac:dyDescent="0.25">
      <c r="A43" s="464">
        <v>1200000157</v>
      </c>
      <c r="B43" s="470">
        <f>VLOOKUP(A43,'Ref-Data'!A:I,9,FALSE)</f>
        <v>1</v>
      </c>
      <c r="C43" s="445">
        <f>IF(B43="Matured","",VLOOKUP(A43,'Adjustment Factor'!A:C,3,0))</f>
        <v>0.85</v>
      </c>
      <c r="D43" s="190">
        <f>VLOOKUP(A43,'Ref-Data'!A:C,2,FALSE)</f>
        <v>1882882.88</v>
      </c>
      <c r="E43" s="471">
        <f>IFERROR(IF(VLOOKUP(A43,'Updated Ncino PD'!$A:$K,4,0)=0,"",VLOOKUP(A43,'Updated Ncino PD'!$A:$K,4,0)),AF43)</f>
        <v>2.105980708150264E-3</v>
      </c>
      <c r="F43" s="472">
        <f>IFERROR(IF(VLOOKUP(A43,'Updated Ncino PD'!$A:$K,5,0)=0,"",VLOOKUP(A43,'Updated Ncino PD'!$A:$K,5,0)),1-((1-AG43)*(1-E43)))</f>
        <v>4.9218148571199549E-3</v>
      </c>
      <c r="G43" s="472">
        <f>IFERROR(IF(VLOOKUP(A43,'Updated Ncino PD'!$A:$K,6,0)=0,"",VLOOKUP(A43,'Updated Ncino PD'!$A:$K,6,0)),1-((1-AF43)*(1-AG43)*(1-AH43)))</f>
        <v>8.139058731977955E-3</v>
      </c>
      <c r="H43" s="472">
        <f>IFERROR(IF(VLOOKUP(A43,'Updated Ncino PD'!$A:$K,7,0)=0,"",VLOOKUP(A43,'Updated Ncino PD'!$A:$K,7,0)),IFERROR(VLOOKUP(A43,'Updated Ncino PD'!A:B,2,FALSE),FLOOR(1-((1-AG43)*(1-AH43)*(1-AI43)*(1-AF43)),$R$11)))</f>
        <v>1.23E-2</v>
      </c>
      <c r="I43" s="472">
        <f>IFERROR(IF(VLOOKUP(A43,'Updated Ncino PD'!$A:$K,8,0)=0,"",VLOOKUP(A43,'Updated Ncino PD'!$A:$K,8,0)),FLOOR(1-((1-H43)*(1-AJ43)),$R$11))</f>
        <v>1.8600000000000002E-2</v>
      </c>
      <c r="J43" s="472">
        <f>IFERROR(IF(VLOOKUP(A43,'Updated Ncino PD'!$A:$K,9,0)=0,"",VLOOKUP(A43,'Updated Ncino PD'!$A:$K,9,0)),FLOOR(1-((1-H43)*(1-AJ43)*(1-AK43)),$R$11))</f>
        <v>2.23E-2</v>
      </c>
      <c r="K43" s="472">
        <f>IFERROR(IF(VLOOKUP(A43,'Updated Ncino PD'!$A:$K,10,0)=0,"",VLOOKUP(A43,'Updated Ncino PD'!$A:$K,10,0)),FLOOR(1-((1-H43)*(1-AJ43)*(1-AK43)*(1-AL43)),$R$11))</f>
        <v>3.1200000000000002E-2</v>
      </c>
      <c r="L43" s="472">
        <f>IFERROR(IF(VLOOKUP(A43,'Updated Ncino PD'!$A:$K,11,0)=0,"",VLOOKUP(A43,'Updated Ncino PD'!$A:$K,11,0)),FLOOR(1-((1-H43)*(1-AJ43)*(1-AK43)*(1-AL43)*(1-AM43)),$R$11))</f>
        <v>4.0500000000000001E-2</v>
      </c>
      <c r="M43" s="224">
        <f>VLOOKUP(A43,'Ref-Data'!$A:$F,6,FALSE)</f>
        <v>3.1676933607118412</v>
      </c>
      <c r="N43" s="191">
        <f t="shared" si="3"/>
        <v>1.23E-2</v>
      </c>
      <c r="O43" s="191">
        <f t="shared" si="4"/>
        <v>3.1200000000000002E-2</v>
      </c>
      <c r="P43" s="459" t="str">
        <f>VLOOKUP(A43,'Loan Book Summary'!C:G,5,FALSE)</f>
        <v>0014I00001zbcqS</v>
      </c>
      <c r="S43" s="203"/>
      <c r="T43" s="332">
        <f>IFERROR(VLOOKUP($P43,'Model Output-LoanNameUpdate'!$A:$K,2,FALSE),CL43)</f>
        <v>1.2485E-2</v>
      </c>
      <c r="U43" s="332">
        <f>1-(1-IFERROR(VLOOKUP($P43,'Model Output-LoanNameUpdate'!$A:$K,2,FALSE),CL43))^(1/4)</f>
        <v>3.1359706519596964E-3</v>
      </c>
      <c r="V43" s="332">
        <f>IFERROR(VLOOKUP($P43,'Model Output-LoanNameUpdate'!$A:$K,3,FALSE),CM43)</f>
        <v>1.1665E-2</v>
      </c>
      <c r="W43" s="332">
        <f>IFERROR(VLOOKUP($P43,'Model Output-LoanNameUpdate'!$A:$K,4,FALSE),CN43)</f>
        <v>1.1294999999999999E-2</v>
      </c>
      <c r="X43" s="332">
        <f>IFERROR(VLOOKUP($P43,'Model Output-LoanNameUpdate'!$A:$K,5,FALSE),CO43)</f>
        <v>1.0964999999999999E-2</v>
      </c>
      <c r="Y43" s="332">
        <f>IFERROR(VLOOKUP($P43,'Model Output-LoanNameUpdate'!$A:$K,6,FALSE),CP43)</f>
        <v>1.0829999999999999E-2</v>
      </c>
      <c r="Z43" s="207">
        <f t="shared" si="5"/>
        <v>0.85</v>
      </c>
      <c r="AA43" s="208">
        <f t="shared" si="6"/>
        <v>2.6655750541657417E-3</v>
      </c>
      <c r="AB43" s="208">
        <f t="shared" si="7"/>
        <v>9.9152500000000005E-3</v>
      </c>
      <c r="AC43" s="208">
        <f t="shared" si="8"/>
        <v>9.6007499999999999E-3</v>
      </c>
      <c r="AD43" s="208">
        <f t="shared" si="9"/>
        <v>9.3202499999999987E-3</v>
      </c>
      <c r="AE43" s="208">
        <f t="shared" si="10"/>
        <v>9.2054999999999984E-3</v>
      </c>
      <c r="AF43" s="332">
        <f>NORMSDIST((_xlfn.NORM.S.INV(AA43)-(SQRT(Baseline!$AF$11)*'MacroPD-Cal'!$R$2))/SQRT(1-Baseline!$AF$11))</f>
        <v>2.105980708150264E-3</v>
      </c>
      <c r="AG43" s="332">
        <f>NORMSDIST((_xlfn.NORM.S.INV(AA43)-(SQRT(Baseline!$AF$11)*'MacroPD-Cal'!$R$3))/SQRT(1-Baseline!$AF$11))</f>
        <v>2.8217767563812799E-3</v>
      </c>
      <c r="AH43" s="332">
        <f>NORMSDIST((_xlfn.NORM.S.INV(AA43)-(SQRT(Baseline!$AF$11)*'MacroPD-Cal'!$R$4))/SQRT(1-Baseline!$AF$11))</f>
        <v>3.2331568743978623E-3</v>
      </c>
      <c r="AI43" s="332">
        <f>NORMSDIST((_xlfn.NORM.S.INV(AA43)-(SQRT(Baseline!$AF$11)*'MacroPD-Cal'!$R$5))/SQRT(1-Baseline!$AF$11))</f>
        <v>4.2686816374298145E-3</v>
      </c>
      <c r="AJ43" s="332">
        <f>NORMSDIST((_xlfn.NORM.S.INV(AB43)-(SQRT(Baseline!$AF$11)*'MacroPD-Cal'!$R$6))/SQRT(1-Baseline!$AF$11))</f>
        <v>6.3974703833859061E-3</v>
      </c>
      <c r="AK43" s="332">
        <f>NORMSDIST((_xlfn.NORM.S.INV(AC43)-(SQRT(Baseline!$AF$11)*'MacroPD-Cal'!$R$7))/SQRT(1-Baseline!$AF$11))</f>
        <v>3.7840683948540794E-3</v>
      </c>
      <c r="AL43" s="332">
        <f>NORMSDIST((_xlfn.NORM.S.INV(AD43)-(SQRT(Baseline!$AF$11)*'MacroPD-Cal'!$R$8))/SQRT(1-Baseline!$AF$11))</f>
        <v>9.1294257037615421E-3</v>
      </c>
      <c r="AM43" s="332">
        <f>NORMSDIST((_xlfn.NORM.S.INV(AE43)-(SQRT(Baseline!$AF$11)*'MacroPD-Cal'!$R$9))/SQRT(1-Baseline!$AF$11))</f>
        <v>9.5573948953060154E-3</v>
      </c>
      <c r="AO43" s="355"/>
      <c r="AP43" s="355"/>
      <c r="AQ43" s="355">
        <f>NORMSDIST((_xlfn.NORM.S.INV(AA43)-(SQRT(Baseline!$AF$11)*'MacroPD-Cal'!$AP$2))/SQRT(1-Baseline!$AF$11))</f>
        <v>2.1895622340182795E-3</v>
      </c>
      <c r="AR43" s="355">
        <f>NORMSDIST((_xlfn.NORM.S.INV(AA43)-(SQRT(Baseline!$AF$11)*'MacroPD-Cal'!$AP$3))/SQRT(1-Baseline!$AF$11))</f>
        <v>2.6224359379304557E-3</v>
      </c>
      <c r="AS43" s="355">
        <f>NORMSDIST((_xlfn.NORM.S.INV(AA43)-(SQRT(Baseline!$AF$11)*'MacroPD-Cal'!$AP$4))/SQRT(1-Baseline!$AF$11))</f>
        <v>2.6835257171808906E-3</v>
      </c>
      <c r="AT43" s="355">
        <f>NORMSDIST((_xlfn.NORM.S.INV(AA43)-(SQRT(Baseline!$AF$11)*'MacroPD-Cal'!$AP$5))/SQRT(1-Baseline!$AF$11))</f>
        <v>3.6154656691279466E-3</v>
      </c>
      <c r="AU43" s="355">
        <f>NORMSDIST((_xlfn.NORM.S.INV(AB43)-(SQRT(Baseline!$AF$11)*'MacroPD-Cal'!$AP$6))/SQRT(1-Baseline!$AF$11))</f>
        <v>4.1641262113722849E-3</v>
      </c>
      <c r="AV43" s="355">
        <f>NORMSDIST((_xlfn.NORM.S.INV(AC43)-(SQRT(Baseline!$AF$11)*'MacroPD-Cal'!$AP$7))/SQRT(1-Baseline!$AF$11))</f>
        <v>5.3273233299771863E-3</v>
      </c>
      <c r="AW43" s="355">
        <f>NORMSDIST((_xlfn.NORM.S.INV(AD43)-(SQRT(Baseline!$AF$11)*'MacroPD-Cal'!$AP$8))/SQRT(1-Baseline!$AF$11))</f>
        <v>9.3579466555969593E-3</v>
      </c>
      <c r="AX43" s="355">
        <f>NORMSDIST((_xlfn.NORM.S.INV(AE43)-(SQRT(Baseline!$AF$11)*'MacroPD-Cal'!$AP$9))/SQRT(1-Baseline!$AF$11))</f>
        <v>1.0511754995937348E-2</v>
      </c>
      <c r="AY43" s="355">
        <f t="shared" si="11"/>
        <v>2.1895622340182795E-3</v>
      </c>
      <c r="AZ43" s="355">
        <f t="shared" si="12"/>
        <v>4.8062561852578733E-3</v>
      </c>
      <c r="BA43" s="355">
        <f t="shared" si="13"/>
        <v>7.4768841903622985E-3</v>
      </c>
      <c r="BB43" s="355">
        <f t="shared" si="14"/>
        <v>1.1000000000000001E-2</v>
      </c>
      <c r="BC43" s="355"/>
      <c r="BD43" s="355"/>
      <c r="BE43" s="355"/>
      <c r="BF43" s="355"/>
      <c r="BG43" s="355">
        <f>NORMSDIST((_xlfn.NORM.S.INV($AA43)-(SQRT(Baseline!$AF$11)*'MacroPD-Cal'!$BF$2))/SQRT(1-Baseline!$AF$11))</f>
        <v>2.0620905102413847E-3</v>
      </c>
      <c r="BH43" s="355">
        <f>NORMSDIST((_xlfn.NORM.S.INV($AA43)-(SQRT(Baseline!$AF$11)*'MacroPD-Cal'!$BF$3))/SQRT(1-Baseline!$AF$11))</f>
        <v>3.0141947085221051E-3</v>
      </c>
      <c r="BI43" s="355">
        <f>NORMSDIST((_xlfn.NORM.S.INV($AA43)-(SQRT(Baseline!$AF$11)*'MacroPD-Cal'!$BF$4))/SQRT(1-Baseline!$AF$11))</f>
        <v>4.5352260220426818E-3</v>
      </c>
      <c r="BJ43" s="355">
        <f>NORMSDIST((_xlfn.NORM.S.INV($AA43)-(SQRT(Baseline!$AF$11)*'MacroPD-Cal'!$BF$5))/SQRT(1-Baseline!$AF$11))</f>
        <v>6.1228518417972338E-3</v>
      </c>
      <c r="BK43" s="355">
        <f>NORMSDIST((_xlfn.NORM.S.INV($AB43)-(SQRT(Baseline!$AF$11)*'MacroPD-Cal'!$BF$6))/SQRT(1-Baseline!$AF$11))</f>
        <v>2.4343449627825999E-2</v>
      </c>
      <c r="BL43" s="355">
        <f>NORMSDIST((_xlfn.NORM.S.INV($AC43)-(SQRT(Baseline!$AF$11)*'MacroPD-Cal'!$BF$7))/SQRT(1-Baseline!$AF$11))</f>
        <v>2.0578935730714417E-3</v>
      </c>
      <c r="BM43" s="355">
        <f>NORMSDIST((_xlfn.NORM.S.INV($AD43)-(SQRT(Baseline!$AF$11)*'MacroPD-Cal'!$BF$8))/SQRT(1-Baseline!$AF$11))</f>
        <v>5.3412530984270554E-3</v>
      </c>
      <c r="BN43" s="355">
        <f>NORMSDIST((_xlfn.NORM.S.INV($AE43)-(SQRT(Baseline!$AF$11)*'MacroPD-Cal'!$BF$9))/SQRT(1-Baseline!$AF$11))</f>
        <v>8.0912311563582379E-3</v>
      </c>
      <c r="BO43" s="355">
        <f t="shared" si="15"/>
        <v>2.0620905102413847E-3</v>
      </c>
      <c r="BP43" s="355">
        <f t="shared" si="16"/>
        <v>5.0700696764590658E-3</v>
      </c>
      <c r="BQ43" s="355">
        <f t="shared" si="17"/>
        <v>9.5823017865714899E-3</v>
      </c>
      <c r="BR43" s="355">
        <f t="shared" si="18"/>
        <v>1.5600000000000001E-2</v>
      </c>
      <c r="BS43" s="355"/>
      <c r="BT43" s="355"/>
      <c r="BU43" s="355"/>
      <c r="BV43" s="355">
        <f>NORMSDIST((_xlfn.NORM.S.INV($AA43)-(SQRT(Baseline!$AF$11)*'MacroPD-Cal'!$BU$2))/SQRT(1-Baseline!$AF$11))</f>
        <v>1.9753704383568904E-3</v>
      </c>
      <c r="BW43" s="355">
        <f>NORMSDIST((_xlfn.NORM.S.INV($AA43)-(SQRT(Baseline!$AF$11)*'MacroPD-Cal'!$BU$3))/SQRT(1-Baseline!$AF$11))</f>
        <v>3.1657947364660639E-3</v>
      </c>
      <c r="BX43" s="355">
        <f>NORMSDIST((_xlfn.NORM.S.INV($AA43)-(SQRT(Baseline!$AF$11)*'MacroPD-Cal'!$BU$4))/SQRT(1-Baseline!$AF$11))</f>
        <v>4.208751330544159E-3</v>
      </c>
      <c r="BY43" s="355">
        <f>NORMSDIST((_xlfn.NORM.S.INV($AA43)-(SQRT(Baseline!$AF$11)*'MacroPD-Cal'!$BU$5))/SQRT(1-Baseline!$AF$11))</f>
        <v>5.3559810066262483E-3</v>
      </c>
      <c r="BZ43" s="355">
        <f>NORMSDIST((_xlfn.NORM.S.INV($AB43)-(SQRT(Baseline!$AF$11)*'MacroPD-Cal'!$BU$6))/SQRT(1-Baseline!$AF$11))</f>
        <v>1.050101554451867E-2</v>
      </c>
      <c r="CA43" s="355">
        <f>NORMSDIST((_xlfn.NORM.S.INV($AC43)-(SQRT(Baseline!$AF$11)*'MacroPD-Cal'!$BU48))/SQRT(1-Baseline!$AF$11))</f>
        <v>4.8568199213933584E-3</v>
      </c>
      <c r="CB43" s="355">
        <f>NORMSDIST((_xlfn.NORM.S.INV($AD43)-(SQRT(Baseline!$AF$11)*'MacroPD-Cal'!$BU$8))/SQRT(1-Baseline!$AF$11))</f>
        <v>9.4231084850969916E-3</v>
      </c>
      <c r="CC43" s="355">
        <f>NORMSDIST((_xlfn.NORM.S.INV($AE43)-(SQRT(Baseline!$AF$11)*'MacroPD-Cal'!$BU$9))/SQRT(1-Baseline!$AF$11))</f>
        <v>8.293437846234545E-3</v>
      </c>
      <c r="CD43" s="355">
        <f t="shared" si="19"/>
        <v>1.9753704383568904E-3</v>
      </c>
      <c r="CE43" s="355">
        <f t="shared" si="20"/>
        <v>5.1349115574866877E-3</v>
      </c>
      <c r="CF43" s="355">
        <f t="shared" si="21"/>
        <v>9.322051322181113E-3</v>
      </c>
      <c r="CG43" s="355">
        <f t="shared" si="22"/>
        <v>1.46E-2</v>
      </c>
      <c r="CH43" s="355"/>
      <c r="CI43" s="355"/>
      <c r="CL43" s="168"/>
      <c r="CM43" s="168"/>
      <c r="CN43" s="168"/>
      <c r="CO43" s="168"/>
      <c r="CP43" s="168"/>
      <c r="CR43" s="345">
        <f t="shared" si="23"/>
        <v>0.17121794375205399</v>
      </c>
      <c r="CS43" s="345">
        <f t="shared" si="24"/>
        <v>0.40014754935934593</v>
      </c>
      <c r="CT43" s="345">
        <f t="shared" si="25"/>
        <v>0.66171209203072801</v>
      </c>
      <c r="CU43" s="345">
        <f t="shared" si="26"/>
        <v>1</v>
      </c>
    </row>
    <row r="44" spans="1:99" s="166" customFormat="1" x14ac:dyDescent="0.25">
      <c r="A44" s="464">
        <v>1200000002</v>
      </c>
      <c r="B44" s="470">
        <f>VLOOKUP(A44,'Ref-Data'!A:I,9,FALSE)</f>
        <v>1</v>
      </c>
      <c r="C44" s="445">
        <f>IF(B44="Matured","",VLOOKUP(A44,'Adjustment Factor'!A:C,3,0))</f>
        <v>0.85</v>
      </c>
      <c r="D44" s="190">
        <f>VLOOKUP(A44,'Ref-Data'!A:C,2,FALSE)</f>
        <v>15000000</v>
      </c>
      <c r="E44" s="471">
        <f>IFERROR(IF(VLOOKUP(A44,'Updated Ncino PD'!$A:$K,4,0)=0,"",VLOOKUP(A44,'Updated Ncino PD'!$A:$K,4,0)),AF44)</f>
        <v>7.7997480051165762E-4</v>
      </c>
      <c r="F44" s="472">
        <f>IFERROR(IF(VLOOKUP(A44,'Updated Ncino PD'!$A:$K,5,0)=0,"",VLOOKUP(A44,'Updated Ncino PD'!$A:$K,5,0)),1-((1-AG44)*(1-E44)))</f>
        <v>1.8520806365800446E-3</v>
      </c>
      <c r="G44" s="472">
        <f>IFERROR(IF(VLOOKUP(A44,'Updated Ncino PD'!$A:$K,6,0)=0,"",VLOOKUP(A44,'Updated Ncino PD'!$A:$K,6,0)),1-((1-AF44)*(1-AG44)*(1-AH44)))</f>
        <v>3.0945601691256819E-3</v>
      </c>
      <c r="H44" s="472">
        <f>IFERROR(IF(VLOOKUP(A44,'Updated Ncino PD'!$A:$K,7,0)=0,"",VLOOKUP(A44,'Updated Ncino PD'!$A:$K,7,0)),IFERROR(VLOOKUP(A44,'Updated Ncino PD'!A:B,2,FALSE),FLOOR(1-((1-AG44)*(1-AH44)*(1-AI44)*(1-AF44)),$R$11)))</f>
        <v>4.7000000000000002E-3</v>
      </c>
      <c r="I44" s="472">
        <f>IFERROR(IF(VLOOKUP(A44,'Updated Ncino PD'!$A:$K,8,0)=0,"",VLOOKUP(A44,'Updated Ncino PD'!$A:$K,8,0)),FLOOR(1-((1-H44)*(1-AJ44)),$R$11))</f>
        <v>6.8000000000000005E-3</v>
      </c>
      <c r="J44" s="472">
        <f>IFERROR(IF(VLOOKUP(A44,'Updated Ncino PD'!$A:$K,9,0)=0,"",VLOOKUP(A44,'Updated Ncino PD'!$A:$K,9,0)),FLOOR(1-((1-H44)*(1-AJ44)*(1-AK44)),$R$11))</f>
        <v>7.9000000000000008E-3</v>
      </c>
      <c r="K44" s="472">
        <f>IFERROR(IF(VLOOKUP(A44,'Updated Ncino PD'!$A:$K,10,0)=0,"",VLOOKUP(A44,'Updated Ncino PD'!$A:$K,10,0)),FLOOR(1-((1-H44)*(1-AJ44)*(1-AK44)*(1-AL44)),$R$11))</f>
        <v>1.0800000000000001E-2</v>
      </c>
      <c r="L44" s="472">
        <f>IFERROR(IF(VLOOKUP(A44,'Updated Ncino PD'!$A:$K,11,0)=0,"",VLOOKUP(A44,'Updated Ncino PD'!$A:$K,11,0)),FLOOR(1-((1-H44)*(1-AJ44)*(1-AK44)*(1-AL44)*(1-AM44)),$R$11))</f>
        <v>1.37E-2</v>
      </c>
      <c r="M44" s="224">
        <f>VLOOKUP(A44,'Ref-Data'!$A:$F,6,FALSE)</f>
        <v>1.1663244353182751</v>
      </c>
      <c r="N44" s="191">
        <f t="shared" si="3"/>
        <v>4.7000000000000002E-3</v>
      </c>
      <c r="O44" s="191">
        <f t="shared" si="4"/>
        <v>6.8000000000000005E-3</v>
      </c>
      <c r="P44" s="459" t="str">
        <f>VLOOKUP(A44,'Loan Book Summary'!C:G,5,FALSE)</f>
        <v>0014I00001zbxX3</v>
      </c>
      <c r="S44" s="203"/>
      <c r="T44" s="332">
        <f>IFERROR(VLOOKUP($P44,'Model Output-LoanNameUpdate'!$A:$K,2,FALSE),CL44)</f>
        <v>5.2099999999999994E-3</v>
      </c>
      <c r="U44" s="332">
        <f>1-(1-IFERROR(VLOOKUP($P44,'Model Output-LoanNameUpdate'!$A:$K,2,FALSE),CL44))^(1/4)</f>
        <v>1.305052521133554E-3</v>
      </c>
      <c r="V44" s="332">
        <f>IFERROR(VLOOKUP($P44,'Model Output-LoanNameUpdate'!$A:$K,3,FALSE),CM44)</f>
        <v>4.535E-3</v>
      </c>
      <c r="W44" s="332">
        <f>IFERROR(VLOOKUP($P44,'Model Output-LoanNameUpdate'!$A:$K,4,FALSE),CN44)</f>
        <v>4.1849999999999995E-3</v>
      </c>
      <c r="X44" s="332">
        <f>IFERROR(VLOOKUP($P44,'Model Output-LoanNameUpdate'!$A:$K,5,FALSE),CO44)</f>
        <v>3.9399999999999999E-3</v>
      </c>
      <c r="Y44" s="332">
        <f>IFERROR(VLOOKUP($P44,'Model Output-LoanNameUpdate'!$A:$K,6,FALSE),CP44)</f>
        <v>3.7949999999999998E-3</v>
      </c>
      <c r="Z44" s="207">
        <f t="shared" si="5"/>
        <v>0.85</v>
      </c>
      <c r="AA44" s="208">
        <f t="shared" si="6"/>
        <v>1.1092946429635208E-3</v>
      </c>
      <c r="AB44" s="208">
        <f t="shared" si="7"/>
        <v>3.8547499999999997E-3</v>
      </c>
      <c r="AC44" s="208">
        <f t="shared" si="8"/>
        <v>3.5572499999999996E-3</v>
      </c>
      <c r="AD44" s="208">
        <f t="shared" si="9"/>
        <v>3.349E-3</v>
      </c>
      <c r="AE44" s="208">
        <f t="shared" si="10"/>
        <v>3.2257499999999999E-3</v>
      </c>
      <c r="AF44" s="332">
        <f>NORMSDIST((_xlfn.NORM.S.INV(AA44)-(SQRT(Baseline!$AF$11)*'MacroPD-Cal'!$R$2))/SQRT(1-Baseline!$AF$11))</f>
        <v>7.7997480051165762E-4</v>
      </c>
      <c r="AG44" s="332">
        <f>NORMSDIST((_xlfn.NORM.S.INV(AA44)-(SQRT(Baseline!$AF$11)*'MacroPD-Cal'!$R$3))/SQRT(1-Baseline!$AF$11))</f>
        <v>1.0729427043402245E-3</v>
      </c>
      <c r="AH44" s="332">
        <f>NORMSDIST((_xlfn.NORM.S.INV(AA44)-(SQRT(Baseline!$AF$11)*'MacroPD-Cal'!$R$4))/SQRT(1-Baseline!$AF$11))</f>
        <v>1.2447849746939476E-3</v>
      </c>
      <c r="AI44" s="332">
        <f>NORMSDIST((_xlfn.NORM.S.INV(AA44)-(SQRT(Baseline!$AF$11)*'MacroPD-Cal'!$R$5))/SQRT(1-Baseline!$AF$11))</f>
        <v>1.6866290016862111E-3</v>
      </c>
      <c r="AJ44" s="332">
        <f>NORMSDIST((_xlfn.NORM.S.INV(AB44)-(SQRT(Baseline!$AF$11)*'MacroPD-Cal'!$R$6))/SQRT(1-Baseline!$AF$11))</f>
        <v>2.1224420635001309E-3</v>
      </c>
      <c r="AK44" s="332">
        <f>NORMSDIST((_xlfn.NORM.S.INV(AC44)-(SQRT(Baseline!$AF$11)*'MacroPD-Cal'!$R$7))/SQRT(1-Baseline!$AF$11))</f>
        <v>1.1174952969799977E-3</v>
      </c>
      <c r="AL44" s="332">
        <f>NORMSDIST((_xlfn.NORM.S.INV(AD44)-(SQRT(Baseline!$AF$11)*'MacroPD-Cal'!$R$8))/SQRT(1-Baseline!$AF$11))</f>
        <v>2.9201544053235368E-3</v>
      </c>
      <c r="AM44" s="332">
        <f>NORMSDIST((_xlfn.NORM.S.INV(AE44)-(SQRT(Baseline!$AF$11)*'MacroPD-Cal'!$R$9))/SQRT(1-Baseline!$AF$11))</f>
        <v>2.9962528538541732E-3</v>
      </c>
      <c r="AO44" s="355"/>
      <c r="AP44" s="355"/>
      <c r="AQ44" s="355">
        <f>NORMSDIST((_xlfn.NORM.S.INV(AA44)-(SQRT(Baseline!$AF$11)*'MacroPD-Cal'!$AP$2))/SQRT(1-Baseline!$AF$11))</f>
        <v>8.137434753901963E-4</v>
      </c>
      <c r="AR44" s="355">
        <f>NORMSDIST((_xlfn.NORM.S.INV(AA44)-(SQRT(Baseline!$AF$11)*'MacroPD-Cal'!$AP$3))/SQRT(1-Baseline!$AF$11))</f>
        <v>9.9053698902668019E-4</v>
      </c>
      <c r="AS44" s="355">
        <f>NORMSDIST((_xlfn.NORM.S.INV(AA44)-(SQRT(Baseline!$AF$11)*'MacroPD-Cal'!$AP$4))/SQRT(1-Baseline!$AF$11))</f>
        <v>1.0157279172481673E-3</v>
      </c>
      <c r="AT44" s="355">
        <f>NORMSDIST((_xlfn.NORM.S.INV(AA44)-(SQRT(Baseline!$AF$11)*'MacroPD-Cal'!$AP$5))/SQRT(1-Baseline!$AF$11))</f>
        <v>1.4064569355940212E-3</v>
      </c>
      <c r="AU44" s="355">
        <f>NORMSDIST((_xlfn.NORM.S.INV(AB44)-(SQRT(Baseline!$AF$11)*'MacroPD-Cal'!$AP$6))/SQRT(1-Baseline!$AF$11))</f>
        <v>1.3131192308243264E-3</v>
      </c>
      <c r="AV44" s="355">
        <f>NORMSDIST((_xlfn.NORM.S.INV(AC44)-(SQRT(Baseline!$AF$11)*'MacroPD-Cal'!$AP$7))/SQRT(1-Baseline!$AF$11))</f>
        <v>1.6402100225719975E-3</v>
      </c>
      <c r="AW44" s="355">
        <f>NORMSDIST((_xlfn.NORM.S.INV(AD44)-(SQRT(Baseline!$AF$11)*'MacroPD-Cal'!$AP$8))/SQRT(1-Baseline!$AF$11))</f>
        <v>3.003214376540483E-3</v>
      </c>
      <c r="AX44" s="355">
        <f>NORMSDIST((_xlfn.NORM.S.INV(AE44)-(SQRT(Baseline!$AF$11)*'MacroPD-Cal'!$AP$9))/SQRT(1-Baseline!$AF$11))</f>
        <v>3.3392068596933178E-3</v>
      </c>
      <c r="AY44" s="355">
        <f t="shared" si="11"/>
        <v>8.137434753901963E-4</v>
      </c>
      <c r="AZ44" s="355">
        <f t="shared" si="12"/>
        <v>1.8034744214048271E-3</v>
      </c>
      <c r="BA44" s="355">
        <f t="shared" si="13"/>
        <v>2.817370499335059E-3</v>
      </c>
      <c r="BB44" s="355">
        <f t="shared" si="14"/>
        <v>4.2000000000000006E-3</v>
      </c>
      <c r="BC44" s="355"/>
      <c r="BD44" s="355"/>
      <c r="BE44" s="355"/>
      <c r="BF44" s="355"/>
      <c r="BG44" s="355">
        <f>NORMSDIST((_xlfn.NORM.S.INV($AA44)-(SQRT(Baseline!$AF$11)*'MacroPD-Cal'!$BF$2))/SQRT(1-Baseline!$AF$11))</f>
        <v>7.6229317601208787E-4</v>
      </c>
      <c r="BH44" s="355">
        <f>NORMSDIST((_xlfn.NORM.S.INV($AA44)-(SQRT(Baseline!$AF$11)*'MacroPD-Cal'!$BF$3))/SQRT(1-Baseline!$AF$11))</f>
        <v>1.1530317033340725E-3</v>
      </c>
      <c r="BI44" s="355">
        <f>NORMSDIST((_xlfn.NORM.S.INV($AA44)-(SQRT(Baseline!$AF$11)*'MacroPD-Cal'!$BF$4))/SQRT(1-Baseline!$AF$11))</f>
        <v>1.8022590738912896E-3</v>
      </c>
      <c r="BJ44" s="355">
        <f>NORMSDIST((_xlfn.NORM.S.INV($AA44)-(SQRT(Baseline!$AF$11)*'MacroPD-Cal'!$BF$5))/SQRT(1-Baseline!$AF$11))</f>
        <v>2.5045945506072865E-3</v>
      </c>
      <c r="BK44" s="355">
        <f>NORMSDIST((_xlfn.NORM.S.INV($AB44)-(SQRT(Baseline!$AF$11)*'MacroPD-Cal'!$BF$6))/SQRT(1-Baseline!$AF$11))</f>
        <v>9.6093065564954866E-3</v>
      </c>
      <c r="BL44" s="355">
        <f>NORMSDIST((_xlfn.NORM.S.INV($AC44)-(SQRT(Baseline!$AF$11)*'MacroPD-Cal'!$BF$7))/SQRT(1-Baseline!$AF$11))</f>
        <v>5.6599829352464346E-4</v>
      </c>
      <c r="BM44" s="355">
        <f>NORMSDIST((_xlfn.NORM.S.INV($AD44)-(SQRT(Baseline!$AF$11)*'MacroPD-Cal'!$BF$8))/SQRT(1-Baseline!$AF$11))</f>
        <v>1.5929632229755317E-3</v>
      </c>
      <c r="BN44" s="355">
        <f>NORMSDIST((_xlfn.NORM.S.INV($AE44)-(SQRT(Baseline!$AF$11)*'MacroPD-Cal'!$BF$9))/SQRT(1-Baseline!$AF$11))</f>
        <v>2.4795341549518272E-3</v>
      </c>
      <c r="BO44" s="355">
        <f t="shared" si="15"/>
        <v>7.6229317601208787E-4</v>
      </c>
      <c r="BP44" s="355">
        <f t="shared" si="16"/>
        <v>1.9144459311468687E-3</v>
      </c>
      <c r="BQ44" s="355">
        <f t="shared" si="17"/>
        <v>3.7132546774872877E-3</v>
      </c>
      <c r="BR44" s="355">
        <f t="shared" si="18"/>
        <v>6.2000000000000006E-3</v>
      </c>
      <c r="BS44" s="355"/>
      <c r="BT44" s="355"/>
      <c r="BU44" s="355"/>
      <c r="BV44" s="355">
        <f>NORMSDIST((_xlfn.NORM.S.INV($AA44)-(SQRT(Baseline!$AF$11)*'MacroPD-Cal'!$BU$2))/SQRT(1-Baseline!$AF$11))</f>
        <v>7.2746310393363646E-4</v>
      </c>
      <c r="BW44" s="355">
        <f>NORMSDIST((_xlfn.NORM.S.INV($AA44)-(SQRT(Baseline!$AF$11)*'MacroPD-Cal'!$BU$3))/SQRT(1-Baseline!$AF$11))</f>
        <v>1.2164899915821793E-3</v>
      </c>
      <c r="BX44" s="355">
        <f>NORMSDIST((_xlfn.NORM.S.INV($AA44)-(SQRT(Baseline!$AF$11)*'MacroPD-Cal'!$BU$4))/SQRT(1-Baseline!$AF$11))</f>
        <v>1.6607308423376255E-3</v>
      </c>
      <c r="BY44" s="355">
        <f>NORMSDIST((_xlfn.NORM.S.INV($AA44)-(SQRT(Baseline!$AF$11)*'MacroPD-Cal'!$BU$5))/SQRT(1-Baseline!$AF$11))</f>
        <v>2.1625985091064358E-3</v>
      </c>
      <c r="BZ44" s="355">
        <f>NORMSDIST((_xlfn.NORM.S.INV($AB44)-(SQRT(Baseline!$AF$11)*'MacroPD-Cal'!$BU$6))/SQRT(1-Baseline!$AF$11))</f>
        <v>3.7044017384792339E-3</v>
      </c>
      <c r="CA44" s="355">
        <f>NORMSDIST((_xlfn.NORM.S.INV($AC44)-(SQRT(Baseline!$AF$11)*'MacroPD-Cal'!$BU49))/SQRT(1-Baseline!$AF$11))</f>
        <v>1.4783959906757972E-3</v>
      </c>
      <c r="CB44" s="355">
        <f>NORMSDIST((_xlfn.NORM.S.INV($AD44)-(SQRT(Baseline!$AF$11)*'MacroPD-Cal'!$BU$8))/SQRT(1-Baseline!$AF$11))</f>
        <v>3.026953726297322E-3</v>
      </c>
      <c r="CC44" s="355">
        <f>NORMSDIST((_xlfn.NORM.S.INV($AE44)-(SQRT(Baseline!$AF$11)*'MacroPD-Cal'!$BU$9))/SQRT(1-Baseline!$AF$11))</f>
        <v>2.5500222240491008E-3</v>
      </c>
      <c r="CD44" s="355">
        <f t="shared" si="19"/>
        <v>7.2746310393363646E-4</v>
      </c>
      <c r="CE44" s="355">
        <f t="shared" si="20"/>
        <v>1.9430681439306374E-3</v>
      </c>
      <c r="CF44" s="355">
        <f t="shared" si="21"/>
        <v>3.6005720730728497E-3</v>
      </c>
      <c r="CG44" s="355">
        <f t="shared" si="22"/>
        <v>5.7000000000000002E-3</v>
      </c>
      <c r="CH44" s="355"/>
      <c r="CI44" s="355"/>
      <c r="CL44" s="168"/>
      <c r="CM44" s="168"/>
      <c r="CN44" s="168"/>
      <c r="CO44" s="168"/>
      <c r="CP44" s="168"/>
      <c r="CR44" s="345">
        <f t="shared" si="23"/>
        <v>0.16595208521524629</v>
      </c>
      <c r="CS44" s="345">
        <f t="shared" si="24"/>
        <v>0.39405970991064776</v>
      </c>
      <c r="CT44" s="345">
        <f t="shared" si="25"/>
        <v>0.65841705726078337</v>
      </c>
      <c r="CU44" s="345">
        <f t="shared" si="26"/>
        <v>1</v>
      </c>
    </row>
    <row r="45" spans="1:99" s="166" customFormat="1" x14ac:dyDescent="0.25">
      <c r="A45" s="464">
        <v>1100000225</v>
      </c>
      <c r="B45" s="470">
        <f>VLOOKUP(A45,'Ref-Data'!A:I,9,FALSE)</f>
        <v>1</v>
      </c>
      <c r="C45" s="445">
        <f>IF(B45="Matured","",VLOOKUP(A45,'Adjustment Factor'!A:C,3,0))</f>
        <v>0.85</v>
      </c>
      <c r="D45" s="190">
        <f>VLOOKUP(A45,'Ref-Data'!A:C,2,FALSE)</f>
        <v>15000000</v>
      </c>
      <c r="E45" s="471">
        <f>IFERROR(IF(VLOOKUP(A45,'Updated Ncino PD'!$A:$K,4,0)=0,"",VLOOKUP(A45,'Updated Ncino PD'!$A:$K,4,0)),AF45)</f>
        <v>7.7997480051165762E-4</v>
      </c>
      <c r="F45" s="472">
        <f>IFERROR(IF(VLOOKUP(A45,'Updated Ncino PD'!$A:$K,5,0)=0,"",VLOOKUP(A45,'Updated Ncino PD'!$A:$K,5,0)),1-((1-AG45)*(1-E45)))</f>
        <v>1.8520806365800446E-3</v>
      </c>
      <c r="G45" s="472">
        <f>IFERROR(IF(VLOOKUP(A45,'Updated Ncino PD'!$A:$K,6,0)=0,"",VLOOKUP(A45,'Updated Ncino PD'!$A:$K,6,0)),1-((1-AF45)*(1-AG45)*(1-AH45)))</f>
        <v>3.0945601691256819E-3</v>
      </c>
      <c r="H45" s="472">
        <f>IFERROR(IF(VLOOKUP(A45,'Updated Ncino PD'!$A:$K,7,0)=0,"",VLOOKUP(A45,'Updated Ncino PD'!$A:$K,7,0)),IFERROR(VLOOKUP(A45,'Updated Ncino PD'!A:B,2,FALSE),FLOOR(1-((1-AG45)*(1-AH45)*(1-AI45)*(1-AF45)),$R$11)))</f>
        <v>4.7000000000000002E-3</v>
      </c>
      <c r="I45" s="472">
        <f>IFERROR(IF(VLOOKUP(A45,'Updated Ncino PD'!$A:$K,8,0)=0,"",VLOOKUP(A45,'Updated Ncino PD'!$A:$K,8,0)),FLOOR(1-((1-H45)*(1-AJ45)),$R$11))</f>
        <v>6.8000000000000005E-3</v>
      </c>
      <c r="J45" s="472">
        <f>IFERROR(IF(VLOOKUP(A45,'Updated Ncino PD'!$A:$K,9,0)=0,"",VLOOKUP(A45,'Updated Ncino PD'!$A:$K,9,0)),FLOOR(1-((1-H45)*(1-AJ45)*(1-AK45)),$R$11))</f>
        <v>7.9000000000000008E-3</v>
      </c>
      <c r="K45" s="472">
        <f>IFERROR(IF(VLOOKUP(A45,'Updated Ncino PD'!$A:$K,10,0)=0,"",VLOOKUP(A45,'Updated Ncino PD'!$A:$K,10,0)),FLOOR(1-((1-H45)*(1-AJ45)*(1-AK45)*(1-AL45)),$R$11))</f>
        <v>1.0800000000000001E-2</v>
      </c>
      <c r="L45" s="472">
        <f>IFERROR(IF(VLOOKUP(A45,'Updated Ncino PD'!$A:$K,11,0)=0,"",VLOOKUP(A45,'Updated Ncino PD'!$A:$K,11,0)),FLOOR(1-((1-H45)*(1-AJ45)*(1-AK45)*(1-AL45)*(1-AM45)),$R$11))</f>
        <v>1.37E-2</v>
      </c>
      <c r="M45" s="224">
        <f>VLOOKUP(A45,'Ref-Data'!$A:$F,6,FALSE)</f>
        <v>1.1663244353182751</v>
      </c>
      <c r="N45" s="191">
        <f t="shared" si="3"/>
        <v>4.7000000000000002E-3</v>
      </c>
      <c r="O45" s="191">
        <f t="shared" si="4"/>
        <v>6.8000000000000005E-3</v>
      </c>
      <c r="P45" s="459" t="str">
        <f>VLOOKUP(A45,'Loan Book Summary'!C:G,5,FALSE)</f>
        <v>0014I00001zbxX3</v>
      </c>
      <c r="S45" s="203"/>
      <c r="T45" s="332">
        <f>IFERROR(VLOOKUP($P45,'Model Output-LoanNameUpdate'!$A:$K,2,FALSE),CL45)</f>
        <v>5.2099999999999994E-3</v>
      </c>
      <c r="U45" s="332">
        <f>1-(1-IFERROR(VLOOKUP($P45,'Model Output-LoanNameUpdate'!$A:$K,2,FALSE),CL45))^(1/4)</f>
        <v>1.305052521133554E-3</v>
      </c>
      <c r="V45" s="332">
        <f>IFERROR(VLOOKUP($P45,'Model Output-LoanNameUpdate'!$A:$K,3,FALSE),CM45)</f>
        <v>4.535E-3</v>
      </c>
      <c r="W45" s="332">
        <f>IFERROR(VLOOKUP($P45,'Model Output-LoanNameUpdate'!$A:$K,4,FALSE),CN45)</f>
        <v>4.1849999999999995E-3</v>
      </c>
      <c r="X45" s="332">
        <f>IFERROR(VLOOKUP($P45,'Model Output-LoanNameUpdate'!$A:$K,5,FALSE),CO45)</f>
        <v>3.9399999999999999E-3</v>
      </c>
      <c r="Y45" s="332">
        <f>IFERROR(VLOOKUP($P45,'Model Output-LoanNameUpdate'!$A:$K,6,FALSE),CP45)</f>
        <v>3.7949999999999998E-3</v>
      </c>
      <c r="Z45" s="207">
        <f t="shared" si="5"/>
        <v>0.85</v>
      </c>
      <c r="AA45" s="208">
        <f t="shared" si="6"/>
        <v>1.1092946429635208E-3</v>
      </c>
      <c r="AB45" s="208">
        <f t="shared" si="7"/>
        <v>3.8547499999999997E-3</v>
      </c>
      <c r="AC45" s="208">
        <f t="shared" si="8"/>
        <v>3.5572499999999996E-3</v>
      </c>
      <c r="AD45" s="208">
        <f t="shared" si="9"/>
        <v>3.349E-3</v>
      </c>
      <c r="AE45" s="208">
        <f t="shared" si="10"/>
        <v>3.2257499999999999E-3</v>
      </c>
      <c r="AF45" s="332">
        <f>NORMSDIST((_xlfn.NORM.S.INV(AA45)-(SQRT(Baseline!$AF$11)*'MacroPD-Cal'!$R$2))/SQRT(1-Baseline!$AF$11))</f>
        <v>7.7997480051165762E-4</v>
      </c>
      <c r="AG45" s="332">
        <f>NORMSDIST((_xlfn.NORM.S.INV(AA45)-(SQRT(Baseline!$AF$11)*'MacroPD-Cal'!$R$3))/SQRT(1-Baseline!$AF$11))</f>
        <v>1.0729427043402245E-3</v>
      </c>
      <c r="AH45" s="332">
        <f>NORMSDIST((_xlfn.NORM.S.INV(AA45)-(SQRT(Baseline!$AF$11)*'MacroPD-Cal'!$R$4))/SQRT(1-Baseline!$AF$11))</f>
        <v>1.2447849746939476E-3</v>
      </c>
      <c r="AI45" s="332">
        <f>NORMSDIST((_xlfn.NORM.S.INV(AA45)-(SQRT(Baseline!$AF$11)*'MacroPD-Cal'!$R$5))/SQRT(1-Baseline!$AF$11))</f>
        <v>1.6866290016862111E-3</v>
      </c>
      <c r="AJ45" s="332">
        <f>NORMSDIST((_xlfn.NORM.S.INV(AB45)-(SQRT(Baseline!$AF$11)*'MacroPD-Cal'!$R$6))/SQRT(1-Baseline!$AF$11))</f>
        <v>2.1224420635001309E-3</v>
      </c>
      <c r="AK45" s="332">
        <f>NORMSDIST((_xlfn.NORM.S.INV(AC45)-(SQRT(Baseline!$AF$11)*'MacroPD-Cal'!$R$7))/SQRT(1-Baseline!$AF$11))</f>
        <v>1.1174952969799977E-3</v>
      </c>
      <c r="AL45" s="332">
        <f>NORMSDIST((_xlfn.NORM.S.INV(AD45)-(SQRT(Baseline!$AF$11)*'MacroPD-Cal'!$R$8))/SQRT(1-Baseline!$AF$11))</f>
        <v>2.9201544053235368E-3</v>
      </c>
      <c r="AM45" s="332">
        <f>NORMSDIST((_xlfn.NORM.S.INV(AE45)-(SQRT(Baseline!$AF$11)*'MacroPD-Cal'!$R$9))/SQRT(1-Baseline!$AF$11))</f>
        <v>2.9962528538541732E-3</v>
      </c>
      <c r="AO45" s="355"/>
      <c r="AP45" s="355"/>
      <c r="AQ45" s="355">
        <f>NORMSDIST((_xlfn.NORM.S.INV(AA45)-(SQRT(Baseline!$AF$11)*'MacroPD-Cal'!$AP$2))/SQRT(1-Baseline!$AF$11))</f>
        <v>8.137434753901963E-4</v>
      </c>
      <c r="AR45" s="355">
        <f>NORMSDIST((_xlfn.NORM.S.INV(AA45)-(SQRT(Baseline!$AF$11)*'MacroPD-Cal'!$AP$3))/SQRT(1-Baseline!$AF$11))</f>
        <v>9.9053698902668019E-4</v>
      </c>
      <c r="AS45" s="355">
        <f>NORMSDIST((_xlfn.NORM.S.INV(AA45)-(SQRT(Baseline!$AF$11)*'MacroPD-Cal'!$AP$4))/SQRT(1-Baseline!$AF$11))</f>
        <v>1.0157279172481673E-3</v>
      </c>
      <c r="AT45" s="355">
        <f>NORMSDIST((_xlfn.NORM.S.INV(AA45)-(SQRT(Baseline!$AF$11)*'MacroPD-Cal'!$AP$5))/SQRT(1-Baseline!$AF$11))</f>
        <v>1.4064569355940212E-3</v>
      </c>
      <c r="AU45" s="355">
        <f>NORMSDIST((_xlfn.NORM.S.INV(AB45)-(SQRT(Baseline!$AF$11)*'MacroPD-Cal'!$AP$6))/SQRT(1-Baseline!$AF$11))</f>
        <v>1.3131192308243264E-3</v>
      </c>
      <c r="AV45" s="355">
        <f>NORMSDIST((_xlfn.NORM.S.INV(AC45)-(SQRT(Baseline!$AF$11)*'MacroPD-Cal'!$AP$7))/SQRT(1-Baseline!$AF$11))</f>
        <v>1.6402100225719975E-3</v>
      </c>
      <c r="AW45" s="355">
        <f>NORMSDIST((_xlfn.NORM.S.INV(AD45)-(SQRT(Baseline!$AF$11)*'MacroPD-Cal'!$AP$8))/SQRT(1-Baseline!$AF$11))</f>
        <v>3.003214376540483E-3</v>
      </c>
      <c r="AX45" s="355">
        <f>NORMSDIST((_xlfn.NORM.S.INV(AE45)-(SQRT(Baseline!$AF$11)*'MacroPD-Cal'!$AP$9))/SQRT(1-Baseline!$AF$11))</f>
        <v>3.3392068596933178E-3</v>
      </c>
      <c r="AY45" s="355">
        <f t="shared" si="11"/>
        <v>8.137434753901963E-4</v>
      </c>
      <c r="AZ45" s="355">
        <f t="shared" si="12"/>
        <v>1.8034744214048271E-3</v>
      </c>
      <c r="BA45" s="355">
        <f t="shared" si="13"/>
        <v>2.817370499335059E-3</v>
      </c>
      <c r="BB45" s="355">
        <f t="shared" si="14"/>
        <v>4.2000000000000006E-3</v>
      </c>
      <c r="BC45" s="355"/>
      <c r="BD45" s="355"/>
      <c r="BE45" s="355"/>
      <c r="BF45" s="355"/>
      <c r="BG45" s="355">
        <f>NORMSDIST((_xlfn.NORM.S.INV($AA45)-(SQRT(Baseline!$AF$11)*'MacroPD-Cal'!$BF$2))/SQRT(1-Baseline!$AF$11))</f>
        <v>7.6229317601208787E-4</v>
      </c>
      <c r="BH45" s="355">
        <f>NORMSDIST((_xlfn.NORM.S.INV($AA45)-(SQRT(Baseline!$AF$11)*'MacroPD-Cal'!$BF$3))/SQRT(1-Baseline!$AF$11))</f>
        <v>1.1530317033340725E-3</v>
      </c>
      <c r="BI45" s="355">
        <f>NORMSDIST((_xlfn.NORM.S.INV($AA45)-(SQRT(Baseline!$AF$11)*'MacroPD-Cal'!$BF$4))/SQRT(1-Baseline!$AF$11))</f>
        <v>1.8022590738912896E-3</v>
      </c>
      <c r="BJ45" s="355">
        <f>NORMSDIST((_xlfn.NORM.S.INV($AA45)-(SQRT(Baseline!$AF$11)*'MacroPD-Cal'!$BF$5))/SQRT(1-Baseline!$AF$11))</f>
        <v>2.5045945506072865E-3</v>
      </c>
      <c r="BK45" s="355">
        <f>NORMSDIST((_xlfn.NORM.S.INV($AB45)-(SQRT(Baseline!$AF$11)*'MacroPD-Cal'!$BF$6))/SQRT(1-Baseline!$AF$11))</f>
        <v>9.6093065564954866E-3</v>
      </c>
      <c r="BL45" s="355">
        <f>NORMSDIST((_xlfn.NORM.S.INV($AC45)-(SQRT(Baseline!$AF$11)*'MacroPD-Cal'!$BF$7))/SQRT(1-Baseline!$AF$11))</f>
        <v>5.6599829352464346E-4</v>
      </c>
      <c r="BM45" s="355">
        <f>NORMSDIST((_xlfn.NORM.S.INV($AD45)-(SQRT(Baseline!$AF$11)*'MacroPD-Cal'!$BF$8))/SQRT(1-Baseline!$AF$11))</f>
        <v>1.5929632229755317E-3</v>
      </c>
      <c r="BN45" s="355">
        <f>NORMSDIST((_xlfn.NORM.S.INV($AE45)-(SQRT(Baseline!$AF$11)*'MacroPD-Cal'!$BF$9))/SQRT(1-Baseline!$AF$11))</f>
        <v>2.4795341549518272E-3</v>
      </c>
      <c r="BO45" s="355">
        <f t="shared" si="15"/>
        <v>7.6229317601208787E-4</v>
      </c>
      <c r="BP45" s="355">
        <f t="shared" si="16"/>
        <v>1.9144459311468687E-3</v>
      </c>
      <c r="BQ45" s="355">
        <f t="shared" si="17"/>
        <v>3.7132546774872877E-3</v>
      </c>
      <c r="BR45" s="355">
        <f t="shared" si="18"/>
        <v>6.2000000000000006E-3</v>
      </c>
      <c r="BS45" s="355"/>
      <c r="BT45" s="355"/>
      <c r="BU45" s="355"/>
      <c r="BV45" s="355">
        <f>NORMSDIST((_xlfn.NORM.S.INV($AA45)-(SQRT(Baseline!$AF$11)*'MacroPD-Cal'!$BU$2))/SQRT(1-Baseline!$AF$11))</f>
        <v>7.2746310393363646E-4</v>
      </c>
      <c r="BW45" s="355">
        <f>NORMSDIST((_xlfn.NORM.S.INV($AA45)-(SQRT(Baseline!$AF$11)*'MacroPD-Cal'!$BU$3))/SQRT(1-Baseline!$AF$11))</f>
        <v>1.2164899915821793E-3</v>
      </c>
      <c r="BX45" s="355">
        <f>NORMSDIST((_xlfn.NORM.S.INV($AA45)-(SQRT(Baseline!$AF$11)*'MacroPD-Cal'!$BU$4))/SQRT(1-Baseline!$AF$11))</f>
        <v>1.6607308423376255E-3</v>
      </c>
      <c r="BY45" s="355">
        <f>NORMSDIST((_xlfn.NORM.S.INV($AA45)-(SQRT(Baseline!$AF$11)*'MacroPD-Cal'!$BU$5))/SQRT(1-Baseline!$AF$11))</f>
        <v>2.1625985091064358E-3</v>
      </c>
      <c r="BZ45" s="355">
        <f>NORMSDIST((_xlfn.NORM.S.INV($AB45)-(SQRT(Baseline!$AF$11)*'MacroPD-Cal'!$BU$6))/SQRT(1-Baseline!$AF$11))</f>
        <v>3.7044017384792339E-3</v>
      </c>
      <c r="CA45" s="355">
        <f>NORMSDIST((_xlfn.NORM.S.INV($AC45)-(SQRT(Baseline!$AF$11)*'MacroPD-Cal'!$BU50))/SQRT(1-Baseline!$AF$11))</f>
        <v>1.4783959906757972E-3</v>
      </c>
      <c r="CB45" s="355">
        <f>NORMSDIST((_xlfn.NORM.S.INV($AD45)-(SQRT(Baseline!$AF$11)*'MacroPD-Cal'!$BU$8))/SQRT(1-Baseline!$AF$11))</f>
        <v>3.026953726297322E-3</v>
      </c>
      <c r="CC45" s="355">
        <f>NORMSDIST((_xlfn.NORM.S.INV($AE45)-(SQRT(Baseline!$AF$11)*'MacroPD-Cal'!$BU$9))/SQRT(1-Baseline!$AF$11))</f>
        <v>2.5500222240491008E-3</v>
      </c>
      <c r="CD45" s="355">
        <f t="shared" si="19"/>
        <v>7.2746310393363646E-4</v>
      </c>
      <c r="CE45" s="355">
        <f t="shared" si="20"/>
        <v>1.9430681439306374E-3</v>
      </c>
      <c r="CF45" s="355">
        <f t="shared" si="21"/>
        <v>3.6005720730728497E-3</v>
      </c>
      <c r="CG45" s="355">
        <f t="shared" si="22"/>
        <v>5.7000000000000002E-3</v>
      </c>
      <c r="CH45" s="355"/>
      <c r="CI45" s="355"/>
      <c r="CL45" s="168"/>
      <c r="CM45" s="168"/>
      <c r="CN45" s="168"/>
      <c r="CO45" s="168"/>
      <c r="CP45" s="168"/>
      <c r="CR45" s="345">
        <f t="shared" si="23"/>
        <v>0.16595208521524629</v>
      </c>
      <c r="CS45" s="345">
        <f t="shared" si="24"/>
        <v>0.39405970991064776</v>
      </c>
      <c r="CT45" s="345">
        <f t="shared" si="25"/>
        <v>0.65841705726078337</v>
      </c>
      <c r="CU45" s="345">
        <f t="shared" si="26"/>
        <v>1</v>
      </c>
    </row>
    <row r="46" spans="1:99" s="166" customFormat="1" x14ac:dyDescent="0.25">
      <c r="A46" s="464">
        <v>1100000111</v>
      </c>
      <c r="B46" s="470">
        <f>VLOOKUP(A46,'Ref-Data'!A:I,9,FALSE)</f>
        <v>1</v>
      </c>
      <c r="C46" s="445">
        <f>IF(B46="Matured","",VLOOKUP(A46,'Adjustment Factor'!A:C,3,0))</f>
        <v>0.85</v>
      </c>
      <c r="D46" s="190">
        <f>VLOOKUP(A46,'Ref-Data'!A:C,2,FALSE)</f>
        <v>1000000</v>
      </c>
      <c r="E46" s="471">
        <f>IFERROR(IF(VLOOKUP(A46,'Updated Ncino PD'!$A:$K,4,0)=0,"",VLOOKUP(A46,'Updated Ncino PD'!$A:$K,4,0)),AF46)</f>
        <v>5.6732262999201807E-4</v>
      </c>
      <c r="F46" s="472">
        <f>IFERROR(IF(VLOOKUP(A46,'Updated Ncino PD'!$A:$K,5,0)=0,"",VLOOKUP(A46,'Updated Ncino PD'!$A:$K,5,0)),1-((1-AG46)*(1-E46)))</f>
        <v>1.353592603147602E-3</v>
      </c>
      <c r="G46" s="472">
        <f>IFERROR(IF(VLOOKUP(A46,'Updated Ncino PD'!$A:$K,6,0)=0,"",VLOOKUP(A46,'Updated Ncino PD'!$A:$K,6,0)),1-((1-AF46)*(1-AG46)*(1-AH46)))</f>
        <v>2.2685534083560777E-3</v>
      </c>
      <c r="H46" s="472">
        <f>IFERROR(IF(VLOOKUP(A46,'Updated Ncino PD'!$A:$K,7,0)=0,"",VLOOKUP(A46,'Updated Ncino PD'!$A:$K,7,0)),IFERROR(VLOOKUP(A46,'Updated Ncino PD'!A:B,2,FALSE),FLOOR(1-((1-AG46)*(1-AH46)*(1-AI46)*(1-AF46)),$R$11)))</f>
        <v>3.5000000000000001E-3</v>
      </c>
      <c r="I46" s="472">
        <f>IFERROR(IF(VLOOKUP(A46,'Updated Ncino PD'!$A:$K,8,0)=0,"",VLOOKUP(A46,'Updated Ncino PD'!$A:$K,8,0)),FLOOR(1-((1-H46)*(1-AJ46)),$R$11))</f>
        <v>5.7000000000000002E-3</v>
      </c>
      <c r="J46" s="472">
        <f>IFERROR(IF(VLOOKUP(A46,'Updated Ncino PD'!$A:$K,9,0)=0,"",VLOOKUP(A46,'Updated Ncino PD'!$A:$K,9,0)),FLOOR(1-((1-H46)*(1-AJ46)*(1-AK46)),$R$11))</f>
        <v>7.2000000000000007E-3</v>
      </c>
      <c r="K46" s="472">
        <f>IFERROR(IF(VLOOKUP(A46,'Updated Ncino PD'!$A:$K,10,0)=0,"",VLOOKUP(A46,'Updated Ncino PD'!$A:$K,10,0)),FLOOR(1-((1-H46)*(1-AJ46)*(1-AK46)*(1-AL46)),$R$11))</f>
        <v>1.1600000000000001E-2</v>
      </c>
      <c r="L46" s="472">
        <f>IFERROR(IF(VLOOKUP(A46,'Updated Ncino PD'!$A:$K,11,0)=0,"",VLOOKUP(A46,'Updated Ncino PD'!$A:$K,11,0)),FLOOR(1-((1-H46)*(1-AJ46)*(1-AK46)*(1-AL46)*(1-AM46)),$R$11))</f>
        <v>1.6500000000000001E-2</v>
      </c>
      <c r="M46" s="224">
        <f>VLOOKUP(A46,'Ref-Data'!$A:$F,6,FALSE)</f>
        <v>1.3963039014373717</v>
      </c>
      <c r="N46" s="191">
        <f t="shared" si="3"/>
        <v>3.5000000000000001E-3</v>
      </c>
      <c r="O46" s="191">
        <f t="shared" si="4"/>
        <v>5.7000000000000002E-3</v>
      </c>
      <c r="P46" s="459" t="str">
        <f>VLOOKUP(A46,'Loan Book Summary'!C:G,5,FALSE)</f>
        <v>0014I000023fvfX</v>
      </c>
      <c r="S46" s="203"/>
      <c r="T46" s="332">
        <f>IFERROR(VLOOKUP($P46,'Model Output-LoanNameUpdate'!$A:$K,2,FALSE),CL46)</f>
        <v>3.9399999999999999E-3</v>
      </c>
      <c r="U46" s="332">
        <f>1-(1-IFERROR(VLOOKUP($P46,'Model Output-LoanNameUpdate'!$A:$K,2,FALSE),CL46))^(1/4)</f>
        <v>9.8645869143787479E-4</v>
      </c>
      <c r="V46" s="332">
        <f>IFERROR(VLOOKUP($P46,'Model Output-LoanNameUpdate'!$A:$K,3,FALSE),CM46)</f>
        <v>4.7799999999999995E-3</v>
      </c>
      <c r="W46" s="332">
        <f>IFERROR(VLOOKUP($P46,'Model Output-LoanNameUpdate'!$A:$K,4,FALSE),CN46)</f>
        <v>5.28E-3</v>
      </c>
      <c r="X46" s="332">
        <f>IFERROR(VLOOKUP($P46,'Model Output-LoanNameUpdate'!$A:$K,5,FALSE),CO46)</f>
        <v>5.7199999999999994E-3</v>
      </c>
      <c r="Y46" s="332">
        <f>IFERROR(VLOOKUP($P46,'Model Output-LoanNameUpdate'!$A:$K,6,FALSE),CP46)</f>
        <v>6.0199999999999993E-3</v>
      </c>
      <c r="Z46" s="207">
        <f t="shared" si="5"/>
        <v>0.85</v>
      </c>
      <c r="AA46" s="208">
        <f t="shared" si="6"/>
        <v>8.3848988772219359E-4</v>
      </c>
      <c r="AB46" s="208">
        <f t="shared" si="7"/>
        <v>4.0629999999999998E-3</v>
      </c>
      <c r="AC46" s="208">
        <f t="shared" si="8"/>
        <v>4.4879999999999998E-3</v>
      </c>
      <c r="AD46" s="208">
        <f t="shared" si="9"/>
        <v>4.8619999999999991E-3</v>
      </c>
      <c r="AE46" s="208">
        <f t="shared" si="10"/>
        <v>5.1169999999999992E-3</v>
      </c>
      <c r="AF46" s="332">
        <f>NORMSDIST((_xlfn.NORM.S.INV(AA46)-(SQRT(Baseline!$AF$11)*'MacroPD-Cal'!$R$2))/SQRT(1-Baseline!$AF$11))</f>
        <v>5.6732262999201807E-4</v>
      </c>
      <c r="AG46" s="332">
        <f>NORMSDIST((_xlfn.NORM.S.INV(AA46)-(SQRT(Baseline!$AF$11)*'MacroPD-Cal'!$R$3))/SQRT(1-Baseline!$AF$11))</f>
        <v>7.8671629511312233E-4</v>
      </c>
      <c r="AH46" s="332">
        <f>NORMSDIST((_xlfn.NORM.S.INV(AA46)-(SQRT(Baseline!$AF$11)*'MacroPD-Cal'!$R$4))/SQRT(1-Baseline!$AF$11))</f>
        <v>9.1620096806189447E-4</v>
      </c>
      <c r="AI46" s="332">
        <f>NORMSDIST((_xlfn.NORM.S.INV(AA46)-(SQRT(Baseline!$AF$11)*'MacroPD-Cal'!$R$5))/SQRT(1-Baseline!$AF$11))</f>
        <v>1.2512909946337321E-3</v>
      </c>
      <c r="AJ46" s="332">
        <f>NORMSDIST((_xlfn.NORM.S.INV(AB46)-(SQRT(Baseline!$AF$11)*'MacroPD-Cal'!$R$6))/SQRT(1-Baseline!$AF$11))</f>
        <v>2.2573037503803481E-3</v>
      </c>
      <c r="AK46" s="332">
        <f>NORMSDIST((_xlfn.NORM.S.INV(AC46)-(SQRT(Baseline!$AF$11)*'MacroPD-Cal'!$R$7))/SQRT(1-Baseline!$AF$11))</f>
        <v>1.4869059622936111E-3</v>
      </c>
      <c r="AL46" s="332">
        <f>NORMSDIST((_xlfn.NORM.S.INV(AD46)-(SQRT(Baseline!$AF$11)*'MacroPD-Cal'!$R$8))/SQRT(1-Baseline!$AF$11))</f>
        <v>4.4292738739388606E-3</v>
      </c>
      <c r="AM46" s="332">
        <f>NORMSDIST((_xlfn.NORM.S.INV(AE46)-(SQRT(Baseline!$AF$11)*'MacroPD-Cal'!$R$9))/SQRT(1-Baseline!$AF$11))</f>
        <v>5.0000645423562218E-3</v>
      </c>
      <c r="AO46" s="355"/>
      <c r="AP46" s="355"/>
      <c r="AQ46" s="355">
        <f>NORMSDIST((_xlfn.NORM.S.INV(AA46)-(SQRT(Baseline!$AF$11)*'MacroPD-Cal'!$AP$2))/SQRT(1-Baseline!$AF$11))</f>
        <v>5.9251122873468049E-4</v>
      </c>
      <c r="AR46" s="355">
        <f>NORMSDIST((_xlfn.NORM.S.INV(AA46)-(SQRT(Baseline!$AF$11)*'MacroPD-Cal'!$AP$3))/SQRT(1-Baseline!$AF$11))</f>
        <v>7.2481913144768274E-4</v>
      </c>
      <c r="AS46" s="355">
        <f>NORMSDIST((_xlfn.NORM.S.INV(AA46)-(SQRT(Baseline!$AF$11)*'MacroPD-Cal'!$AP$4))/SQRT(1-Baseline!$AF$11))</f>
        <v>7.437263520037121E-4</v>
      </c>
      <c r="AT46" s="355">
        <f>NORMSDIST((_xlfn.NORM.S.INV(AA46)-(SQRT(Baseline!$AF$11)*'MacroPD-Cal'!$AP$5))/SQRT(1-Baseline!$AF$11))</f>
        <v>1.0384771969842942E-3</v>
      </c>
      <c r="AU46" s="355">
        <f>NORMSDIST((_xlfn.NORM.S.INV(AB46)-(SQRT(Baseline!$AF$11)*'MacroPD-Cal'!$AP$6))/SQRT(1-Baseline!$AF$11))</f>
        <v>1.400341923878917E-3</v>
      </c>
      <c r="AV46" s="355">
        <f>NORMSDIST((_xlfn.NORM.S.INV(AC46)-(SQRT(Baseline!$AF$11)*'MacroPD-Cal'!$AP$7))/SQRT(1-Baseline!$AF$11))</f>
        <v>2.1619900224482346E-3</v>
      </c>
      <c r="AW46" s="355">
        <f>NORMSDIST((_xlfn.NORM.S.INV(AD46)-(SQRT(Baseline!$AF$11)*'MacroPD-Cal'!$AP$8))/SQRT(1-Baseline!$AF$11))</f>
        <v>4.5499151704133777E-3</v>
      </c>
      <c r="AX46" s="355">
        <f>NORMSDIST((_xlfn.NORM.S.INV(AE46)-(SQRT(Baseline!$AF$11)*'MacroPD-Cal'!$AP$9))/SQRT(1-Baseline!$AF$11))</f>
        <v>5.5410052946076498E-3</v>
      </c>
      <c r="AY46" s="355">
        <f t="shared" si="11"/>
        <v>5.9251122873468049E-4</v>
      </c>
      <c r="AZ46" s="355">
        <f t="shared" si="12"/>
        <v>1.3169008967082174E-3</v>
      </c>
      <c r="BA46" s="355">
        <f t="shared" si="13"/>
        <v>2.0596478348120506E-3</v>
      </c>
      <c r="BB46" s="355">
        <f t="shared" si="14"/>
        <v>3.0000000000000001E-3</v>
      </c>
      <c r="BC46" s="355"/>
      <c r="BD46" s="355"/>
      <c r="BE46" s="355"/>
      <c r="BF46" s="355"/>
      <c r="BG46" s="355">
        <f>NORMSDIST((_xlfn.NORM.S.INV($AA46)-(SQRT(Baseline!$AF$11)*'MacroPD-Cal'!$BF$2))/SQRT(1-Baseline!$AF$11))</f>
        <v>5.5414513549994333E-4</v>
      </c>
      <c r="BH46" s="355">
        <f>NORMSDIST((_xlfn.NORM.S.INV($AA46)-(SQRT(Baseline!$AF$11)*'MacroPD-Cal'!$BF$3))/SQRT(1-Baseline!$AF$11))</f>
        <v>8.4699817354593171E-4</v>
      </c>
      <c r="BI46" s="355">
        <f>NORMSDIST((_xlfn.NORM.S.INV($AA46)-(SQRT(Baseline!$AF$11)*'MacroPD-Cal'!$BF$4))/SQRT(1-Baseline!$AF$11))</f>
        <v>1.3394246456081369E-3</v>
      </c>
      <c r="BJ46" s="355">
        <f>NORMSDIST((_xlfn.NORM.S.INV($AA46)-(SQRT(Baseline!$AF$11)*'MacroPD-Cal'!$BF$5))/SQRT(1-Baseline!$AF$11))</f>
        <v>1.877944326390848E-3</v>
      </c>
      <c r="BK46" s="355">
        <f>NORMSDIST((_xlfn.NORM.S.INV($AB46)-(SQRT(Baseline!$AF$11)*'MacroPD-Cal'!$BF$6))/SQRT(1-Baseline!$AF$11))</f>
        <v>1.0125437882585088E-2</v>
      </c>
      <c r="BL46" s="355">
        <f>NORMSDIST((_xlfn.NORM.S.INV($AC46)-(SQRT(Baseline!$AF$11)*'MacroPD-Cal'!$BF$7))/SQRT(1-Baseline!$AF$11))</f>
        <v>7.652756918804666E-4</v>
      </c>
      <c r="BM46" s="355">
        <f>NORMSDIST((_xlfn.NORM.S.INV($AD46)-(SQRT(Baseline!$AF$11)*'MacroPD-Cal'!$BF$8))/SQRT(1-Baseline!$AF$11))</f>
        <v>2.476648766790913E-3</v>
      </c>
      <c r="BN46" s="355">
        <f>NORMSDIST((_xlfn.NORM.S.INV($AE46)-(SQRT(Baseline!$AF$11)*'MacroPD-Cal'!$BF$9))/SQRT(1-Baseline!$AF$11))</f>
        <v>4.1782683757496109E-3</v>
      </c>
      <c r="BO46" s="355">
        <f t="shared" si="15"/>
        <v>5.5414513549994333E-4</v>
      </c>
      <c r="BP46" s="355">
        <f t="shared" si="16"/>
        <v>1.4006739491282394E-3</v>
      </c>
      <c r="BQ46" s="355">
        <f t="shared" si="17"/>
        <v>2.7382224975284197E-3</v>
      </c>
      <c r="BR46" s="355">
        <f t="shared" si="18"/>
        <v>4.5999999999999999E-3</v>
      </c>
      <c r="BS46" s="355"/>
      <c r="BT46" s="355"/>
      <c r="BU46" s="355"/>
      <c r="BV46" s="355">
        <f>NORMSDIST((_xlfn.NORM.S.INV($AA46)-(SQRT(Baseline!$AF$11)*'MacroPD-Cal'!$BU$2))/SQRT(1-Baseline!$AF$11))</f>
        <v>5.2821143951525546E-4</v>
      </c>
      <c r="BW46" s="355">
        <f>NORMSDIST((_xlfn.NORM.S.INV($AA46)-(SQRT(Baseline!$AF$11)*'MacroPD-Cal'!$BU$3))/SQRT(1-Baseline!$AF$11))</f>
        <v>8.9484460542916784E-4</v>
      </c>
      <c r="BX46" s="355">
        <f>NORMSDIST((_xlfn.NORM.S.INV($AA46)-(SQRT(Baseline!$AF$11)*'MacroPD-Cal'!$BU$4))/SQRT(1-Baseline!$AF$11))</f>
        <v>1.2315744919875701E-3</v>
      </c>
      <c r="BY46" s="355">
        <f>NORMSDIST((_xlfn.NORM.S.INV($AA46)-(SQRT(Baseline!$AF$11)*'MacroPD-Cal'!$BU$5))/SQRT(1-Baseline!$AF$11))</f>
        <v>1.6150774949699972E-3</v>
      </c>
      <c r="BZ46" s="355">
        <f>NORMSDIST((_xlfn.NORM.S.INV($AB46)-(SQRT(Baseline!$AF$11)*'MacroPD-Cal'!$BU$6))/SQRT(1-Baseline!$AF$11))</f>
        <v>3.9268960755535712E-3</v>
      </c>
      <c r="CA46" s="355">
        <f>NORMSDIST((_xlfn.NORM.S.INV($AC46)-(SQRT(Baseline!$AF$11)*'MacroPD-Cal'!$BU51))/SQRT(1-Baseline!$AF$11))</f>
        <v>1.9537189735852893E-3</v>
      </c>
      <c r="CB46" s="355">
        <f>NORMSDIST((_xlfn.NORM.S.INV($AD46)-(SQRT(Baseline!$AF$11)*'MacroPD-Cal'!$BU$8))/SQRT(1-Baseline!$AF$11))</f>
        <v>4.5843674938984801E-3</v>
      </c>
      <c r="CC46" s="355">
        <f>NORMSDIST((_xlfn.NORM.S.INV($AE46)-(SQRT(Baseline!$AF$11)*'MacroPD-Cal'!$BU$9))/SQRT(1-Baseline!$AF$11))</f>
        <v>4.2908975653136701E-3</v>
      </c>
      <c r="CD46" s="355">
        <f t="shared" si="19"/>
        <v>5.2821143951525546E-4</v>
      </c>
      <c r="CE46" s="355">
        <f t="shared" si="20"/>
        <v>1.4225833777872232E-3</v>
      </c>
      <c r="CF46" s="355">
        <f t="shared" si="21"/>
        <v>2.652405852373918E-3</v>
      </c>
      <c r="CG46" s="355">
        <f t="shared" si="22"/>
        <v>4.2000000000000006E-3</v>
      </c>
      <c r="CH46" s="355"/>
      <c r="CI46" s="355"/>
      <c r="CL46" s="168"/>
      <c r="CM46" s="168"/>
      <c r="CN46" s="168"/>
      <c r="CO46" s="168"/>
      <c r="CP46" s="168"/>
      <c r="CR46" s="345">
        <f t="shared" si="23"/>
        <v>0.16209217999771944</v>
      </c>
      <c r="CS46" s="345">
        <f t="shared" si="24"/>
        <v>0.38674074375645773</v>
      </c>
      <c r="CT46" s="345">
        <f t="shared" si="25"/>
        <v>0.64815811667316503</v>
      </c>
      <c r="CU46" s="345">
        <f t="shared" si="26"/>
        <v>1</v>
      </c>
    </row>
    <row r="47" spans="1:99" s="166" customFormat="1" x14ac:dyDescent="0.25">
      <c r="A47" s="464">
        <v>1100000110</v>
      </c>
      <c r="B47" s="470">
        <f>VLOOKUP(A47,'Ref-Data'!A:I,9,FALSE)</f>
        <v>1</v>
      </c>
      <c r="C47" s="445">
        <f>IF(B47="Matured","",VLOOKUP(A47,'Adjustment Factor'!A:C,3,0))</f>
        <v>0.85</v>
      </c>
      <c r="D47" s="190">
        <f>VLOOKUP(A47,'Ref-Data'!A:C,2,FALSE)</f>
        <v>340000</v>
      </c>
      <c r="E47" s="471">
        <f>IFERROR(IF(VLOOKUP(A47,'Updated Ncino PD'!$A:$K,4,0)=0,"",VLOOKUP(A47,'Updated Ncino PD'!$A:$K,4,0)),AF47)</f>
        <v>5.6732262999201807E-4</v>
      </c>
      <c r="F47" s="472">
        <f>IFERROR(IF(VLOOKUP(A47,'Updated Ncino PD'!$A:$K,5,0)=0,"",VLOOKUP(A47,'Updated Ncino PD'!$A:$K,5,0)),1-((1-AG47)*(1-E47)))</f>
        <v>1.353592603147602E-3</v>
      </c>
      <c r="G47" s="472">
        <f>IFERROR(IF(VLOOKUP(A47,'Updated Ncino PD'!$A:$K,6,0)=0,"",VLOOKUP(A47,'Updated Ncino PD'!$A:$K,6,0)),1-((1-AF47)*(1-AG47)*(1-AH47)))</f>
        <v>2.2685534083560777E-3</v>
      </c>
      <c r="H47" s="472">
        <f>IFERROR(IF(VLOOKUP(A47,'Updated Ncino PD'!$A:$K,7,0)=0,"",VLOOKUP(A47,'Updated Ncino PD'!$A:$K,7,0)),IFERROR(VLOOKUP(A47,'Updated Ncino PD'!A:B,2,FALSE),FLOOR(1-((1-AG47)*(1-AH47)*(1-AI47)*(1-AF47)),$R$11)))</f>
        <v>3.5000000000000001E-3</v>
      </c>
      <c r="I47" s="472">
        <f>IFERROR(IF(VLOOKUP(A47,'Updated Ncino PD'!$A:$K,8,0)=0,"",VLOOKUP(A47,'Updated Ncino PD'!$A:$K,8,0)),FLOOR(1-((1-H47)*(1-AJ47)),$R$11))</f>
        <v>5.7000000000000002E-3</v>
      </c>
      <c r="J47" s="472">
        <f>IFERROR(IF(VLOOKUP(A47,'Updated Ncino PD'!$A:$K,9,0)=0,"",VLOOKUP(A47,'Updated Ncino PD'!$A:$K,9,0)),FLOOR(1-((1-H47)*(1-AJ47)*(1-AK47)),$R$11))</f>
        <v>7.2000000000000007E-3</v>
      </c>
      <c r="K47" s="472">
        <f>IFERROR(IF(VLOOKUP(A47,'Updated Ncino PD'!$A:$K,10,0)=0,"",VLOOKUP(A47,'Updated Ncino PD'!$A:$K,10,0)),FLOOR(1-((1-H47)*(1-AJ47)*(1-AK47)*(1-AL47)),$R$11))</f>
        <v>1.1600000000000001E-2</v>
      </c>
      <c r="L47" s="472">
        <f>IFERROR(IF(VLOOKUP(A47,'Updated Ncino PD'!$A:$K,11,0)=0,"",VLOOKUP(A47,'Updated Ncino PD'!$A:$K,11,0)),FLOOR(1-((1-H47)*(1-AJ47)*(1-AK47)*(1-AL47)*(1-AM47)),$R$11))</f>
        <v>1.6500000000000001E-2</v>
      </c>
      <c r="M47" s="224">
        <f>VLOOKUP(A47,'Ref-Data'!$A:$F,6,FALSE)</f>
        <v>1.3963039014373717</v>
      </c>
      <c r="N47" s="191">
        <f t="shared" si="3"/>
        <v>3.5000000000000001E-3</v>
      </c>
      <c r="O47" s="191">
        <f t="shared" si="4"/>
        <v>5.7000000000000002E-3</v>
      </c>
      <c r="P47" s="459" t="str">
        <f>VLOOKUP(A47,'Loan Book Summary'!C:G,5,FALSE)</f>
        <v>0014I000023fvfX</v>
      </c>
      <c r="S47" s="203"/>
      <c r="T47" s="332">
        <f>IFERROR(VLOOKUP($P47,'Model Output-LoanNameUpdate'!$A:$K,2,FALSE),CL47)</f>
        <v>3.9399999999999999E-3</v>
      </c>
      <c r="U47" s="332">
        <f>1-(1-IFERROR(VLOOKUP($P47,'Model Output-LoanNameUpdate'!$A:$K,2,FALSE),CL47))^(1/4)</f>
        <v>9.8645869143787479E-4</v>
      </c>
      <c r="V47" s="332">
        <f>IFERROR(VLOOKUP($P47,'Model Output-LoanNameUpdate'!$A:$K,3,FALSE),CM47)</f>
        <v>4.7799999999999995E-3</v>
      </c>
      <c r="W47" s="332">
        <f>IFERROR(VLOOKUP($P47,'Model Output-LoanNameUpdate'!$A:$K,4,FALSE),CN47)</f>
        <v>5.28E-3</v>
      </c>
      <c r="X47" s="332">
        <f>IFERROR(VLOOKUP($P47,'Model Output-LoanNameUpdate'!$A:$K,5,FALSE),CO47)</f>
        <v>5.7199999999999994E-3</v>
      </c>
      <c r="Y47" s="332">
        <f>IFERROR(VLOOKUP($P47,'Model Output-LoanNameUpdate'!$A:$K,6,FALSE),CP47)</f>
        <v>6.0199999999999993E-3</v>
      </c>
      <c r="Z47" s="207">
        <f t="shared" si="5"/>
        <v>0.85</v>
      </c>
      <c r="AA47" s="208">
        <f t="shared" si="6"/>
        <v>8.3848988772219359E-4</v>
      </c>
      <c r="AB47" s="208">
        <f t="shared" si="7"/>
        <v>4.0629999999999998E-3</v>
      </c>
      <c r="AC47" s="208">
        <f t="shared" si="8"/>
        <v>4.4879999999999998E-3</v>
      </c>
      <c r="AD47" s="208">
        <f t="shared" si="9"/>
        <v>4.8619999999999991E-3</v>
      </c>
      <c r="AE47" s="208">
        <f t="shared" si="10"/>
        <v>5.1169999999999992E-3</v>
      </c>
      <c r="AF47" s="332">
        <f>NORMSDIST((_xlfn.NORM.S.INV(AA47)-(SQRT(Baseline!$AF$11)*'MacroPD-Cal'!$R$2))/SQRT(1-Baseline!$AF$11))</f>
        <v>5.6732262999201807E-4</v>
      </c>
      <c r="AG47" s="332">
        <f>NORMSDIST((_xlfn.NORM.S.INV(AA47)-(SQRT(Baseline!$AF$11)*'MacroPD-Cal'!$R$3))/SQRT(1-Baseline!$AF$11))</f>
        <v>7.8671629511312233E-4</v>
      </c>
      <c r="AH47" s="332">
        <f>NORMSDIST((_xlfn.NORM.S.INV(AA47)-(SQRT(Baseline!$AF$11)*'MacroPD-Cal'!$R$4))/SQRT(1-Baseline!$AF$11))</f>
        <v>9.1620096806189447E-4</v>
      </c>
      <c r="AI47" s="332">
        <f>NORMSDIST((_xlfn.NORM.S.INV(AA47)-(SQRT(Baseline!$AF$11)*'MacroPD-Cal'!$R$5))/SQRT(1-Baseline!$AF$11))</f>
        <v>1.2512909946337321E-3</v>
      </c>
      <c r="AJ47" s="332">
        <f>NORMSDIST((_xlfn.NORM.S.INV(AB47)-(SQRT(Baseline!$AF$11)*'MacroPD-Cal'!$R$6))/SQRT(1-Baseline!$AF$11))</f>
        <v>2.2573037503803481E-3</v>
      </c>
      <c r="AK47" s="332">
        <f>NORMSDIST((_xlfn.NORM.S.INV(AC47)-(SQRT(Baseline!$AF$11)*'MacroPD-Cal'!$R$7))/SQRT(1-Baseline!$AF$11))</f>
        <v>1.4869059622936111E-3</v>
      </c>
      <c r="AL47" s="332">
        <f>NORMSDIST((_xlfn.NORM.S.INV(AD47)-(SQRT(Baseline!$AF$11)*'MacroPD-Cal'!$R$8))/SQRT(1-Baseline!$AF$11))</f>
        <v>4.4292738739388606E-3</v>
      </c>
      <c r="AM47" s="332">
        <f>NORMSDIST((_xlfn.NORM.S.INV(AE47)-(SQRT(Baseline!$AF$11)*'MacroPD-Cal'!$R$9))/SQRT(1-Baseline!$AF$11))</f>
        <v>5.0000645423562218E-3</v>
      </c>
      <c r="AO47" s="355"/>
      <c r="AP47" s="355"/>
      <c r="AQ47" s="355">
        <f>NORMSDIST((_xlfn.NORM.S.INV(AA47)-(SQRT(Baseline!$AF$11)*'MacroPD-Cal'!$AP$2))/SQRT(1-Baseline!$AF$11))</f>
        <v>5.9251122873468049E-4</v>
      </c>
      <c r="AR47" s="355">
        <f>NORMSDIST((_xlfn.NORM.S.INV(AA47)-(SQRT(Baseline!$AF$11)*'MacroPD-Cal'!$AP$3))/SQRT(1-Baseline!$AF$11))</f>
        <v>7.2481913144768274E-4</v>
      </c>
      <c r="AS47" s="355">
        <f>NORMSDIST((_xlfn.NORM.S.INV(AA47)-(SQRT(Baseline!$AF$11)*'MacroPD-Cal'!$AP$4))/SQRT(1-Baseline!$AF$11))</f>
        <v>7.437263520037121E-4</v>
      </c>
      <c r="AT47" s="355">
        <f>NORMSDIST((_xlfn.NORM.S.INV(AA47)-(SQRT(Baseline!$AF$11)*'MacroPD-Cal'!$AP$5))/SQRT(1-Baseline!$AF$11))</f>
        <v>1.0384771969842942E-3</v>
      </c>
      <c r="AU47" s="355">
        <f>NORMSDIST((_xlfn.NORM.S.INV(AB47)-(SQRT(Baseline!$AF$11)*'MacroPD-Cal'!$AP$6))/SQRT(1-Baseline!$AF$11))</f>
        <v>1.400341923878917E-3</v>
      </c>
      <c r="AV47" s="355">
        <f>NORMSDIST((_xlfn.NORM.S.INV(AC47)-(SQRT(Baseline!$AF$11)*'MacroPD-Cal'!$AP$7))/SQRT(1-Baseline!$AF$11))</f>
        <v>2.1619900224482346E-3</v>
      </c>
      <c r="AW47" s="355">
        <f>NORMSDIST((_xlfn.NORM.S.INV(AD47)-(SQRT(Baseline!$AF$11)*'MacroPD-Cal'!$AP$8))/SQRT(1-Baseline!$AF$11))</f>
        <v>4.5499151704133777E-3</v>
      </c>
      <c r="AX47" s="355">
        <f>NORMSDIST((_xlfn.NORM.S.INV(AE47)-(SQRT(Baseline!$AF$11)*'MacroPD-Cal'!$AP$9))/SQRT(1-Baseline!$AF$11))</f>
        <v>5.5410052946076498E-3</v>
      </c>
      <c r="AY47" s="355">
        <f t="shared" si="11"/>
        <v>5.9251122873468049E-4</v>
      </c>
      <c r="AZ47" s="355">
        <f t="shared" si="12"/>
        <v>1.3169008967082174E-3</v>
      </c>
      <c r="BA47" s="355">
        <f t="shared" si="13"/>
        <v>2.0596478348120506E-3</v>
      </c>
      <c r="BB47" s="355">
        <f t="shared" si="14"/>
        <v>3.0000000000000001E-3</v>
      </c>
      <c r="BC47" s="355"/>
      <c r="BD47" s="355"/>
      <c r="BE47" s="355"/>
      <c r="BF47" s="355"/>
      <c r="BG47" s="355">
        <f>NORMSDIST((_xlfn.NORM.S.INV($AA47)-(SQRT(Baseline!$AF$11)*'MacroPD-Cal'!$BF$2))/SQRT(1-Baseline!$AF$11))</f>
        <v>5.5414513549994333E-4</v>
      </c>
      <c r="BH47" s="355">
        <f>NORMSDIST((_xlfn.NORM.S.INV($AA47)-(SQRT(Baseline!$AF$11)*'MacroPD-Cal'!$BF$3))/SQRT(1-Baseline!$AF$11))</f>
        <v>8.4699817354593171E-4</v>
      </c>
      <c r="BI47" s="355">
        <f>NORMSDIST((_xlfn.NORM.S.INV($AA47)-(SQRT(Baseline!$AF$11)*'MacroPD-Cal'!$BF$4))/SQRT(1-Baseline!$AF$11))</f>
        <v>1.3394246456081369E-3</v>
      </c>
      <c r="BJ47" s="355">
        <f>NORMSDIST((_xlfn.NORM.S.INV($AA47)-(SQRT(Baseline!$AF$11)*'MacroPD-Cal'!$BF$5))/SQRT(1-Baseline!$AF$11))</f>
        <v>1.877944326390848E-3</v>
      </c>
      <c r="BK47" s="355">
        <f>NORMSDIST((_xlfn.NORM.S.INV($AB47)-(SQRT(Baseline!$AF$11)*'MacroPD-Cal'!$BF$6))/SQRT(1-Baseline!$AF$11))</f>
        <v>1.0125437882585088E-2</v>
      </c>
      <c r="BL47" s="355">
        <f>NORMSDIST((_xlfn.NORM.S.INV($AC47)-(SQRT(Baseline!$AF$11)*'MacroPD-Cal'!$BF$7))/SQRT(1-Baseline!$AF$11))</f>
        <v>7.652756918804666E-4</v>
      </c>
      <c r="BM47" s="355">
        <f>NORMSDIST((_xlfn.NORM.S.INV($AD47)-(SQRT(Baseline!$AF$11)*'MacroPD-Cal'!$BF$8))/SQRT(1-Baseline!$AF$11))</f>
        <v>2.476648766790913E-3</v>
      </c>
      <c r="BN47" s="355">
        <f>NORMSDIST((_xlfn.NORM.S.INV($AE47)-(SQRT(Baseline!$AF$11)*'MacroPD-Cal'!$BF$9))/SQRT(1-Baseline!$AF$11))</f>
        <v>4.1782683757496109E-3</v>
      </c>
      <c r="BO47" s="355">
        <f t="shared" si="15"/>
        <v>5.5414513549994333E-4</v>
      </c>
      <c r="BP47" s="355">
        <f t="shared" si="16"/>
        <v>1.4006739491282394E-3</v>
      </c>
      <c r="BQ47" s="355">
        <f t="shared" si="17"/>
        <v>2.7382224975284197E-3</v>
      </c>
      <c r="BR47" s="355">
        <f t="shared" si="18"/>
        <v>4.5999999999999999E-3</v>
      </c>
      <c r="BS47" s="355"/>
      <c r="BT47" s="355"/>
      <c r="BU47" s="355"/>
      <c r="BV47" s="355">
        <f>NORMSDIST((_xlfn.NORM.S.INV($AA47)-(SQRT(Baseline!$AF$11)*'MacroPD-Cal'!$BU$2))/SQRT(1-Baseline!$AF$11))</f>
        <v>5.2821143951525546E-4</v>
      </c>
      <c r="BW47" s="355">
        <f>NORMSDIST((_xlfn.NORM.S.INV($AA47)-(SQRT(Baseline!$AF$11)*'MacroPD-Cal'!$BU$3))/SQRT(1-Baseline!$AF$11))</f>
        <v>8.9484460542916784E-4</v>
      </c>
      <c r="BX47" s="355">
        <f>NORMSDIST((_xlfn.NORM.S.INV($AA47)-(SQRT(Baseline!$AF$11)*'MacroPD-Cal'!$BU$4))/SQRT(1-Baseline!$AF$11))</f>
        <v>1.2315744919875701E-3</v>
      </c>
      <c r="BY47" s="355">
        <f>NORMSDIST((_xlfn.NORM.S.INV($AA47)-(SQRT(Baseline!$AF$11)*'MacroPD-Cal'!$BU$5))/SQRT(1-Baseline!$AF$11))</f>
        <v>1.6150774949699972E-3</v>
      </c>
      <c r="BZ47" s="355">
        <f>NORMSDIST((_xlfn.NORM.S.INV($AB47)-(SQRT(Baseline!$AF$11)*'MacroPD-Cal'!$BU$6))/SQRT(1-Baseline!$AF$11))</f>
        <v>3.9268960755535712E-3</v>
      </c>
      <c r="CA47" s="355">
        <f>NORMSDIST((_xlfn.NORM.S.INV($AC47)-(SQRT(Baseline!$AF$11)*'MacroPD-Cal'!$BU52))/SQRT(1-Baseline!$AF$11))</f>
        <v>1.9537189735852893E-3</v>
      </c>
      <c r="CB47" s="355">
        <f>NORMSDIST((_xlfn.NORM.S.INV($AD47)-(SQRT(Baseline!$AF$11)*'MacroPD-Cal'!$BU$8))/SQRT(1-Baseline!$AF$11))</f>
        <v>4.5843674938984801E-3</v>
      </c>
      <c r="CC47" s="355">
        <f>NORMSDIST((_xlfn.NORM.S.INV($AE47)-(SQRT(Baseline!$AF$11)*'MacroPD-Cal'!$BU$9))/SQRT(1-Baseline!$AF$11))</f>
        <v>4.2908975653136701E-3</v>
      </c>
      <c r="CD47" s="355">
        <f t="shared" si="19"/>
        <v>5.2821143951525546E-4</v>
      </c>
      <c r="CE47" s="355">
        <f t="shared" si="20"/>
        <v>1.4225833777872232E-3</v>
      </c>
      <c r="CF47" s="355">
        <f t="shared" si="21"/>
        <v>2.652405852373918E-3</v>
      </c>
      <c r="CG47" s="355">
        <f t="shared" si="22"/>
        <v>4.2000000000000006E-3</v>
      </c>
      <c r="CH47" s="355"/>
      <c r="CI47" s="355"/>
      <c r="CL47" s="168"/>
      <c r="CM47" s="168"/>
      <c r="CN47" s="168"/>
      <c r="CO47" s="168"/>
      <c r="CP47" s="168"/>
      <c r="CR47" s="345">
        <f t="shared" si="23"/>
        <v>0.16209217999771944</v>
      </c>
      <c r="CS47" s="345">
        <f t="shared" si="24"/>
        <v>0.38674074375645773</v>
      </c>
      <c r="CT47" s="345">
        <f t="shared" si="25"/>
        <v>0.64815811667316503</v>
      </c>
      <c r="CU47" s="345">
        <f t="shared" si="26"/>
        <v>1</v>
      </c>
    </row>
    <row r="48" spans="1:99" s="166" customFormat="1" x14ac:dyDescent="0.25">
      <c r="A48" s="464">
        <v>1200000147</v>
      </c>
      <c r="B48" s="470">
        <f>VLOOKUP(A48,'Ref-Data'!A:I,9,FALSE)</f>
        <v>1</v>
      </c>
      <c r="C48" s="445">
        <f>IF(B48="Matured","",VLOOKUP(A48,'Adjustment Factor'!A:C,3,0))</f>
        <v>0.79</v>
      </c>
      <c r="D48" s="190">
        <f>VLOOKUP(A48,'Ref-Data'!A:C,2,FALSE)</f>
        <v>4762825.24</v>
      </c>
      <c r="E48" s="471">
        <f>IFERROR(IF(VLOOKUP(A48,'Updated Ncino PD'!$A:$K,4,0)=0,"",VLOOKUP(A48,'Updated Ncino PD'!$A:$K,4,0)),AF48)</f>
        <v>3.0533239664205943E-3</v>
      </c>
      <c r="F48" s="472">
        <f>IFERROR(IF(VLOOKUP(A48,'Updated Ncino PD'!$A:$K,5,0)=0,"",VLOOKUP(A48,'Updated Ncino PD'!$A:$K,5,0)),1-((1-AG48)*(1-E48)))</f>
        <v>7.0898280603686192E-3</v>
      </c>
      <c r="G48" s="472">
        <f>IFERROR(IF(VLOOKUP(A48,'Updated Ncino PD'!$A:$K,6,0)=0,"",VLOOKUP(A48,'Updated Ncino PD'!$A:$K,6,0)),1-((1-AF48)*(1-AG48)*(1-AH48)))</f>
        <v>1.1673493116970968E-2</v>
      </c>
      <c r="H48" s="472">
        <f>IFERROR(IF(VLOOKUP(A48,'Updated Ncino PD'!$A:$K,7,0)=0,"",VLOOKUP(A48,'Updated Ncino PD'!$A:$K,7,0)),IFERROR(VLOOKUP(A48,'Updated Ncino PD'!A:B,2,FALSE),FLOOR(1-((1-AG48)*(1-AH48)*(1-AI48)*(1-AF48)),$R$11)))</f>
        <v>1.7600000000000001E-2</v>
      </c>
      <c r="I48" s="472">
        <f>IFERROR(IF(VLOOKUP(A48,'Updated Ncino PD'!$A:$K,8,0)=0,"",VLOOKUP(A48,'Updated Ncino PD'!$A:$K,8,0)),FLOOR(1-((1-H48)*(1-AJ48)),$R$11))</f>
        <v>2.7200000000000002E-2</v>
      </c>
      <c r="J48" s="472">
        <f>IFERROR(IF(VLOOKUP(A48,'Updated Ncino PD'!$A:$K,9,0)=0,"",VLOOKUP(A48,'Updated Ncino PD'!$A:$K,9,0)),FLOOR(1-((1-H48)*(1-AJ48)*(1-AK48)),$R$11))</f>
        <v>3.3100000000000004E-2</v>
      </c>
      <c r="K48" s="472">
        <f>IFERROR(IF(VLOOKUP(A48,'Updated Ncino PD'!$A:$K,10,0)=0,"",VLOOKUP(A48,'Updated Ncino PD'!$A:$K,10,0)),FLOOR(1-((1-H48)*(1-AJ48)*(1-AK48)*(1-AL48)),$R$11))</f>
        <v>4.6900000000000004E-2</v>
      </c>
      <c r="L48" s="472">
        <f>IFERROR(IF(VLOOKUP(A48,'Updated Ncino PD'!$A:$K,11,0)=0,"",VLOOKUP(A48,'Updated Ncino PD'!$A:$K,11,0)),FLOOR(1-((1-H48)*(1-AJ48)*(1-AK48)*(1-AL48)*(1-AM48)),$R$11))</f>
        <v>6.1100000000000002E-2</v>
      </c>
      <c r="M48" s="224">
        <f>VLOOKUP(A48,'Ref-Data'!$A:$F,6,FALSE)</f>
        <v>4.4161533196440796</v>
      </c>
      <c r="N48" s="191">
        <f t="shared" si="3"/>
        <v>1.7600000000000001E-2</v>
      </c>
      <c r="O48" s="191">
        <f t="shared" si="4"/>
        <v>6.1100000000000002E-2</v>
      </c>
      <c r="P48" s="459" t="str">
        <f>VLOOKUP(A48,'Loan Book Summary'!C:G,5,FALSE)</f>
        <v>0015800001VjgTF</v>
      </c>
      <c r="S48" s="203"/>
      <c r="T48" s="332">
        <f>IFERROR(VLOOKUP($P48,'Model Output-LoanNameUpdate'!$A:$K,2,FALSE),CL48)</f>
        <v>1.8629999999999997E-2</v>
      </c>
      <c r="U48" s="332">
        <f>1-(1-IFERROR(VLOOKUP($P48,'Model Output-LoanNameUpdate'!$A:$K,2,FALSE),CL48))^(1/4)</f>
        <v>4.6903966644159523E-3</v>
      </c>
      <c r="V48" s="332">
        <f>IFERROR(VLOOKUP($P48,'Model Output-LoanNameUpdate'!$A:$K,3,FALSE),CM48)</f>
        <v>1.8149999999999999E-2</v>
      </c>
      <c r="W48" s="332">
        <f>IFERROR(VLOOKUP($P48,'Model Output-LoanNameUpdate'!$A:$K,4,FALSE),CN48)</f>
        <v>1.7859999999999997E-2</v>
      </c>
      <c r="X48" s="332">
        <f>IFERROR(VLOOKUP($P48,'Model Output-LoanNameUpdate'!$A:$K,5,FALSE),CO48)</f>
        <v>1.7660000000000002E-2</v>
      </c>
      <c r="Y48" s="332">
        <f>IFERROR(VLOOKUP($P48,'Model Output-LoanNameUpdate'!$A:$K,6,FALSE),CP48)</f>
        <v>1.7539999999999997E-2</v>
      </c>
      <c r="Z48" s="207">
        <f t="shared" si="5"/>
        <v>0.79</v>
      </c>
      <c r="AA48" s="208">
        <f t="shared" si="6"/>
        <v>3.7054133648886023E-3</v>
      </c>
      <c r="AB48" s="208">
        <f t="shared" si="7"/>
        <v>1.4338500000000001E-2</v>
      </c>
      <c r="AC48" s="208">
        <f t="shared" si="8"/>
        <v>1.4109399999999999E-2</v>
      </c>
      <c r="AD48" s="208">
        <f t="shared" si="9"/>
        <v>1.3951400000000003E-2</v>
      </c>
      <c r="AE48" s="208">
        <f t="shared" si="10"/>
        <v>1.3856599999999998E-2</v>
      </c>
      <c r="AF48" s="332">
        <f>NORMSDIST((_xlfn.NORM.S.INV(AA48)-(SQRT(Baseline!$AF$11)*'MacroPD-Cal'!$R$2))/SQRT(1-Baseline!$AF$11))</f>
        <v>3.0533239664205943E-3</v>
      </c>
      <c r="AG48" s="332">
        <f>NORMSDIST((_xlfn.NORM.S.INV(AA48)-(SQRT(Baseline!$AF$11)*'MacroPD-Cal'!$R$3))/SQRT(1-Baseline!$AF$11))</f>
        <v>4.0488665953605021E-3</v>
      </c>
      <c r="AH48" s="332">
        <f>NORMSDIST((_xlfn.NORM.S.INV(AA48)-(SQRT(Baseline!$AF$11)*'MacroPD-Cal'!$R$4))/SQRT(1-Baseline!$AF$11))</f>
        <v>4.6163944998651426E-3</v>
      </c>
      <c r="AI48" s="332">
        <f>NORMSDIST((_xlfn.NORM.S.INV(AA48)-(SQRT(Baseline!$AF$11)*'MacroPD-Cal'!$R$5))/SQRT(1-Baseline!$AF$11))</f>
        <v>6.0329860120738087E-3</v>
      </c>
      <c r="AJ48" s="332">
        <f>NORMSDIST((_xlfn.NORM.S.INV(AB48)-(SQRT(Baseline!$AF$11)*'MacroPD-Cal'!$R$6))/SQRT(1-Baseline!$AF$11))</f>
        <v>9.8238110822147003E-3</v>
      </c>
      <c r="AK48" s="332">
        <f>NORMSDIST((_xlfn.NORM.S.INV(AC48)-(SQRT(Baseline!$AF$11)*'MacroPD-Cal'!$R$7))/SQRT(1-Baseline!$AF$11))</f>
        <v>6.070563154423312E-3</v>
      </c>
      <c r="AL48" s="332">
        <f>NORMSDIST((_xlfn.NORM.S.INV(AD48)-(SQRT(Baseline!$AF$11)*'MacroPD-Cal'!$R$8))/SQRT(1-Baseline!$AF$11))</f>
        <v>1.4252344126831386E-2</v>
      </c>
      <c r="AM48" s="332">
        <f>NORMSDIST((_xlfn.NORM.S.INV(AE48)-(SQRT(Baseline!$AF$11)*'MacroPD-Cal'!$R$9))/SQRT(1-Baseline!$AF$11))</f>
        <v>1.4961995228509229E-2</v>
      </c>
      <c r="AO48" s="355"/>
      <c r="AP48" s="355"/>
      <c r="AQ48" s="355">
        <f>NORMSDIST((_xlfn.NORM.S.INV(AA48)-(SQRT(Baseline!$AF$11)*'MacroPD-Cal'!$AP$2))/SQRT(1-Baseline!$AF$11))</f>
        <v>3.1701688786681631E-3</v>
      </c>
      <c r="AR48" s="355">
        <f>NORMSDIST((_xlfn.NORM.S.INV(AA48)-(SQRT(Baseline!$AF$11)*'MacroPD-Cal'!$AP$3))/SQRT(1-Baseline!$AF$11))</f>
        <v>3.7727211569687619E-3</v>
      </c>
      <c r="AS48" s="355">
        <f>NORMSDIST((_xlfn.NORM.S.INV(AA48)-(SQRT(Baseline!$AF$11)*'MacroPD-Cal'!$AP$4))/SQRT(1-Baseline!$AF$11))</f>
        <v>3.8574324335617261E-3</v>
      </c>
      <c r="AT48" s="355">
        <f>NORMSDIST((_xlfn.NORM.S.INV(AA48)-(SQRT(Baseline!$AF$11)*'MacroPD-Cal'!$AP$5))/SQRT(1-Baseline!$AF$11))</f>
        <v>5.1412471475945605E-3</v>
      </c>
      <c r="AU48" s="355">
        <f>NORMSDIST((_xlfn.NORM.S.INV(AB48)-(SQRT(Baseline!$AF$11)*'MacroPD-Cal'!$AP$6))/SQRT(1-Baseline!$AF$11))</f>
        <v>6.5314904280568782E-3</v>
      </c>
      <c r="AV48" s="355">
        <f>NORMSDIST((_xlfn.NORM.S.INV(AC48)-(SQRT(Baseline!$AF$11)*'MacroPD-Cal'!$AP$7))/SQRT(1-Baseline!$AF$11))</f>
        <v>8.3992394176671935E-3</v>
      </c>
      <c r="AW48" s="355">
        <f>NORMSDIST((_xlfn.NORM.S.INV(AD48)-(SQRT(Baseline!$AF$11)*'MacroPD-Cal'!$AP$8))/SQRT(1-Baseline!$AF$11))</f>
        <v>1.4588567106266383E-2</v>
      </c>
      <c r="AX48" s="355">
        <f>NORMSDIST((_xlfn.NORM.S.INV(AE48)-(SQRT(Baseline!$AF$11)*'MacroPD-Cal'!$AP$9))/SQRT(1-Baseline!$AF$11))</f>
        <v>1.6365305739898788E-2</v>
      </c>
      <c r="AY48" s="355">
        <f t="shared" si="11"/>
        <v>3.1701688786681631E-3</v>
      </c>
      <c r="AZ48" s="355">
        <f t="shared" si="12"/>
        <v>6.9309298724372637E-3</v>
      </c>
      <c r="BA48" s="355">
        <f t="shared" si="13"/>
        <v>1.0761626712314287E-2</v>
      </c>
      <c r="BB48" s="355">
        <f t="shared" si="14"/>
        <v>1.5800000000000002E-2</v>
      </c>
      <c r="BC48" s="355"/>
      <c r="BD48" s="355"/>
      <c r="BE48" s="355"/>
      <c r="BF48" s="355"/>
      <c r="BG48" s="355">
        <f>NORMSDIST((_xlfn.NORM.S.INV($AA48)-(SQRT(Baseline!$AF$11)*'MacroPD-Cal'!$BF$2))/SQRT(1-Baseline!$AF$11))</f>
        <v>2.9918963741095224E-3</v>
      </c>
      <c r="BH48" s="355">
        <f>NORMSDIST((_xlfn.NORM.S.INV($AA48)-(SQRT(Baseline!$AF$11)*'MacroPD-Cal'!$BF$3))/SQRT(1-Baseline!$AF$11))</f>
        <v>4.3146990596412537E-3</v>
      </c>
      <c r="BI48" s="355">
        <f>NORMSDIST((_xlfn.NORM.S.INV($AA48)-(SQRT(Baseline!$AF$11)*'MacroPD-Cal'!$BF$4))/SQRT(1-Baseline!$AF$11))</f>
        <v>6.3952180995725328E-3</v>
      </c>
      <c r="BJ48" s="355">
        <f>NORMSDIST((_xlfn.NORM.S.INV($AA48)-(SQRT(Baseline!$AF$11)*'MacroPD-Cal'!$BF$5))/SQRT(1-Baseline!$AF$11))</f>
        <v>8.5361263451736152E-3</v>
      </c>
      <c r="BK48" s="355">
        <f>NORMSDIST((_xlfn.NORM.S.INV($AB48)-(SQRT(Baseline!$AF$11)*'MacroPD-Cal'!$BF$6))/SQRT(1-Baseline!$AF$11))</f>
        <v>3.4769105603703464E-2</v>
      </c>
      <c r="BL48" s="355">
        <f>NORMSDIST((_xlfn.NORM.S.INV($AC48)-(SQRT(Baseline!$AF$11)*'MacroPD-Cal'!$BF$7))/SQRT(1-Baseline!$AF$11))</f>
        <v>3.4007373500093379E-3</v>
      </c>
      <c r="BM48" s="355">
        <f>NORMSDIST((_xlfn.NORM.S.INV($AD48)-(SQRT(Baseline!$AF$11)*'MacroPD-Cal'!$BF$8))/SQRT(1-Baseline!$AF$11))</f>
        <v>8.5893713183220911E-3</v>
      </c>
      <c r="BN48" s="355">
        <f>NORMSDIST((_xlfn.NORM.S.INV($AE48)-(SQRT(Baseline!$AF$11)*'MacroPD-Cal'!$BF$9))/SQRT(1-Baseline!$AF$11))</f>
        <v>1.2788179565695973E-2</v>
      </c>
      <c r="BO48" s="355">
        <f t="shared" si="15"/>
        <v>2.9918963741095224E-3</v>
      </c>
      <c r="BP48" s="355">
        <f t="shared" si="16"/>
        <v>7.2936863012789122E-3</v>
      </c>
      <c r="BQ48" s="355">
        <f t="shared" si="17"/>
        <v>1.3642259686204916E-2</v>
      </c>
      <c r="BR48" s="355">
        <f t="shared" si="18"/>
        <v>2.2000000000000002E-2</v>
      </c>
      <c r="BS48" s="355"/>
      <c r="BT48" s="355"/>
      <c r="BU48" s="355"/>
      <c r="BV48" s="355">
        <f>NORMSDIST((_xlfn.NORM.S.INV($AA48)-(SQRT(Baseline!$AF$11)*'MacroPD-Cal'!$BU$2))/SQRT(1-Baseline!$AF$11))</f>
        <v>2.8703784367751619E-3</v>
      </c>
      <c r="BW48" s="355">
        <f>NORMSDIST((_xlfn.NORM.S.INV($AA48)-(SQRT(Baseline!$AF$11)*'MacroPD-Cal'!$BU$3))/SQRT(1-Baseline!$AF$11))</f>
        <v>4.5236685633948835E-3</v>
      </c>
      <c r="BX48" s="355">
        <f>NORMSDIST((_xlfn.NORM.S.INV($AA48)-(SQRT(Baseline!$AF$11)*'MacroPD-Cal'!$BU$4))/SQRT(1-Baseline!$AF$11))</f>
        <v>5.9514159308227841E-3</v>
      </c>
      <c r="BY48" s="355">
        <f>NORMSDIST((_xlfn.NORM.S.INV($AA48)-(SQRT(Baseline!$AF$11)*'MacroPD-Cal'!$BU$5))/SQRT(1-Baseline!$AF$11))</f>
        <v>7.505332196137712E-3</v>
      </c>
      <c r="BZ48" s="355">
        <f>NORMSDIST((_xlfn.NORM.S.INV($AB48)-(SQRT(Baseline!$AF$11)*'MacroPD-Cal'!$BU$6))/SQRT(1-Baseline!$AF$11))</f>
        <v>1.5717135008047351E-2</v>
      </c>
      <c r="CA48" s="355">
        <f>NORMSDIST((_xlfn.NORM.S.INV($AC48)-(SQRT(Baseline!$AF$11)*'MacroPD-Cal'!$BU53))/SQRT(1-Baseline!$AF$11))</f>
        <v>7.6938602163573707E-3</v>
      </c>
      <c r="CB48" s="355">
        <f>NORMSDIST((_xlfn.NORM.S.INV($AD48)-(SQRT(Baseline!$AF$11)*'MacroPD-Cal'!$BU$8))/SQRT(1-Baseline!$AF$11))</f>
        <v>1.4684344093745423E-2</v>
      </c>
      <c r="CC48" s="355">
        <f>NORMSDIST((_xlfn.NORM.S.INV($AE48)-(SQRT(Baseline!$AF$11)*'MacroPD-Cal'!$BU$9))/SQRT(1-Baseline!$AF$11))</f>
        <v>1.3089375964893494E-2</v>
      </c>
      <c r="CD48" s="355">
        <f t="shared" si="19"/>
        <v>2.8703784367751619E-3</v>
      </c>
      <c r="CE48" s="355">
        <f t="shared" si="20"/>
        <v>7.3810623594706692E-3</v>
      </c>
      <c r="CF48" s="355">
        <f t="shared" si="21"/>
        <v>1.3288550518180897E-2</v>
      </c>
      <c r="CG48" s="355">
        <f t="shared" si="22"/>
        <v>2.06E-2</v>
      </c>
      <c r="CH48" s="355"/>
      <c r="CI48" s="355"/>
      <c r="CL48" s="168"/>
      <c r="CM48" s="168"/>
      <c r="CN48" s="168"/>
      <c r="CO48" s="168"/>
      <c r="CP48" s="168"/>
      <c r="CR48" s="345">
        <f t="shared" si="23"/>
        <v>0.1734843162738974</v>
      </c>
      <c r="CS48" s="345">
        <f t="shared" si="24"/>
        <v>0.40283113979367152</v>
      </c>
      <c r="CT48" s="345">
        <f t="shared" si="25"/>
        <v>0.66326665437335042</v>
      </c>
      <c r="CU48" s="345">
        <f t="shared" si="26"/>
        <v>1</v>
      </c>
    </row>
    <row r="49" spans="1:99" s="166" customFormat="1" x14ac:dyDescent="0.25">
      <c r="A49" s="464">
        <v>1200000146</v>
      </c>
      <c r="B49" s="470">
        <f>VLOOKUP(A49,'Ref-Data'!A:I,9,FALSE)</f>
        <v>1</v>
      </c>
      <c r="C49" s="445">
        <f>IF(B49="Matured","",VLOOKUP(A49,'Adjustment Factor'!A:C,3,0))</f>
        <v>0.87</v>
      </c>
      <c r="D49" s="190">
        <f>VLOOKUP(A49,'Ref-Data'!A:C,2,FALSE)</f>
        <v>2100000</v>
      </c>
      <c r="E49" s="471">
        <f>IFERROR(IF(VLOOKUP(A49,'Updated Ncino PD'!$A:$K,4,0)=0,"",VLOOKUP(A49,'Updated Ncino PD'!$A:$K,4,0)),AF49)</f>
        <v>1.2213071921756953E-3</v>
      </c>
      <c r="F49" s="472">
        <f>IFERROR(IF(VLOOKUP(A49,'Updated Ncino PD'!$A:$K,5,0)=0,"",VLOOKUP(A49,'Updated Ncino PD'!$A:$K,5,0)),1-((1-AG49)*(1-E49)))</f>
        <v>2.8798866476352769E-3</v>
      </c>
      <c r="G49" s="472">
        <f>IFERROR(IF(VLOOKUP(A49,'Updated Ncino PD'!$A:$K,6,0)=0,"",VLOOKUP(A49,'Updated Ncino PD'!$A:$K,6,0)),1-((1-AF49)*(1-AG49)*(1-AH49)))</f>
        <v>4.7903459833295026E-3</v>
      </c>
      <c r="H49" s="472">
        <f>IFERROR(IF(VLOOKUP(A49,'Updated Ncino PD'!$A:$K,7,0)=0,"",VLOOKUP(A49,'Updated Ncino PD'!$A:$K,7,0)),IFERROR(VLOOKUP(A49,'Updated Ncino PD'!A:B,2,FALSE),FLOOR(1-((1-AG49)*(1-AH49)*(1-AI49)*(1-AF49)),$R$11)))</f>
        <v>7.3000000000000001E-3</v>
      </c>
      <c r="I49" s="472">
        <f>IFERROR(IF(VLOOKUP(A49,'Updated Ncino PD'!$A:$K,8,0)=0,"",VLOOKUP(A49,'Updated Ncino PD'!$A:$K,8,0)),FLOOR(1-((1-H49)*(1-AJ49)),$R$11))</f>
        <v>1.17E-2</v>
      </c>
      <c r="J49" s="472">
        <f>IFERROR(IF(VLOOKUP(A49,'Updated Ncino PD'!$A:$K,9,0)=0,"",VLOOKUP(A49,'Updated Ncino PD'!$A:$K,9,0)),FLOOR(1-((1-H49)*(1-AJ49)*(1-AK49)),$R$11))</f>
        <v>1.4500000000000001E-2</v>
      </c>
      <c r="K49" s="472">
        <f>IFERROR(IF(VLOOKUP(A49,'Updated Ncino PD'!$A:$K,10,0)=0,"",VLOOKUP(A49,'Updated Ncino PD'!$A:$K,10,0)),FLOOR(1-((1-H49)*(1-AJ49)*(1-AK49)*(1-AL49)),$R$11))</f>
        <v>2.2100000000000002E-2</v>
      </c>
      <c r="L49" s="472">
        <f>IFERROR(IF(VLOOKUP(A49,'Updated Ncino PD'!$A:$K,11,0)=0,"",VLOOKUP(A49,'Updated Ncino PD'!$A:$K,11,0)),FLOOR(1-((1-H49)*(1-AJ49)*(1-AK49)*(1-AL49)*(1-AM49)),$R$11))</f>
        <v>3.0300000000000001E-2</v>
      </c>
      <c r="M49" s="224">
        <f>VLOOKUP(A49,'Ref-Data'!$A:$F,6,FALSE)</f>
        <v>0.67351129363449691</v>
      </c>
      <c r="N49" s="191">
        <f t="shared" si="3"/>
        <v>4.9225105071935005E-3</v>
      </c>
      <c r="O49" s="191">
        <f t="shared" si="4"/>
        <v>7.3000000000000001E-3</v>
      </c>
      <c r="P49" s="459" t="str">
        <f>VLOOKUP(A49,'Loan Book Summary'!C:G,5,FALSE)</f>
        <v>00158000013gcxO</v>
      </c>
      <c r="S49" s="203"/>
      <c r="T49" s="332">
        <f>IFERROR(VLOOKUP($P49,'Model Output-LoanNameUpdate'!$A:$K,2,FALSE),CL49)</f>
        <v>7.5500000000000012E-3</v>
      </c>
      <c r="U49" s="332">
        <f>1-(1-IFERROR(VLOOKUP($P49,'Model Output-LoanNameUpdate'!$A:$K,2,FALSE),CL49))^(1/4)</f>
        <v>1.8928676430343128E-3</v>
      </c>
      <c r="V49" s="332">
        <f>IFERROR(VLOOKUP($P49,'Model Output-LoanNameUpdate'!$A:$K,3,FALSE),CM49)</f>
        <v>8.3249999999999991E-3</v>
      </c>
      <c r="W49" s="332">
        <f>IFERROR(VLOOKUP($P49,'Model Output-LoanNameUpdate'!$A:$K,4,FALSE),CN49)</f>
        <v>8.8099999999999984E-3</v>
      </c>
      <c r="X49" s="332">
        <f>IFERROR(VLOOKUP($P49,'Model Output-LoanNameUpdate'!$A:$K,5,FALSE),CO49)</f>
        <v>9.1999999999999998E-3</v>
      </c>
      <c r="Y49" s="332">
        <f>IFERROR(VLOOKUP($P49,'Model Output-LoanNameUpdate'!$A:$K,6,FALSE),CP49)</f>
        <v>9.4549999999999999E-3</v>
      </c>
      <c r="Z49" s="207">
        <f t="shared" si="5"/>
        <v>0.87</v>
      </c>
      <c r="AA49" s="208">
        <f t="shared" si="6"/>
        <v>1.646794849439852E-3</v>
      </c>
      <c r="AB49" s="208">
        <f t="shared" si="7"/>
        <v>7.2427499999999992E-3</v>
      </c>
      <c r="AC49" s="208">
        <f t="shared" si="8"/>
        <v>7.6646999999999983E-3</v>
      </c>
      <c r="AD49" s="208">
        <f t="shared" si="9"/>
        <v>8.003999999999999E-3</v>
      </c>
      <c r="AE49" s="208">
        <f t="shared" si="10"/>
        <v>8.2258499999999998E-3</v>
      </c>
      <c r="AF49" s="332">
        <f>NORMSDIST((_xlfn.NORM.S.INV(AA49)-(SQRT(Baseline!$AF$11)*'MacroPD-Cal'!$R$2))/SQRT(1-Baseline!$AF$11))</f>
        <v>1.2213071921756953E-3</v>
      </c>
      <c r="AG49" s="332">
        <f>NORMSDIST((_xlfn.NORM.S.INV(AA49)-(SQRT(Baseline!$AF$11)*'MacroPD-Cal'!$R$3))/SQRT(1-Baseline!$AF$11))</f>
        <v>1.6606075674249908E-3</v>
      </c>
      <c r="AH49" s="332">
        <f>NORMSDIST((_xlfn.NORM.S.INV(AA49)-(SQRT(Baseline!$AF$11)*'MacroPD-Cal'!$R$4))/SQRT(1-Baseline!$AF$11))</f>
        <v>1.9159771326558287E-3</v>
      </c>
      <c r="AI49" s="332">
        <f>NORMSDIST((_xlfn.NORM.S.INV(AA49)-(SQRT(Baseline!$AF$11)*'MacroPD-Cal'!$R$5))/SQRT(1-Baseline!$AF$11))</f>
        <v>2.5664646263181636E-3</v>
      </c>
      <c r="AJ49" s="332">
        <f>NORMSDIST((_xlfn.NORM.S.INV(AB49)-(SQRT(Baseline!$AF$11)*'MacroPD-Cal'!$R$6))/SQRT(1-Baseline!$AF$11))</f>
        <v>4.436314165269563E-3</v>
      </c>
      <c r="AK49" s="332">
        <f>NORMSDIST((_xlfn.NORM.S.INV(AC49)-(SQRT(Baseline!$AF$11)*'MacroPD-Cal'!$R$7))/SQRT(1-Baseline!$AF$11))</f>
        <v>2.8697209098580605E-3</v>
      </c>
      <c r="AL49" s="332">
        <f>NORMSDIST((_xlfn.NORM.S.INV(AD49)-(SQRT(Baseline!$AF$11)*'MacroPD-Cal'!$R$8))/SQRT(1-Baseline!$AF$11))</f>
        <v>7.7120000910839157E-3</v>
      </c>
      <c r="AM49" s="332">
        <f>NORMSDIST((_xlfn.NORM.S.INV(AE49)-(SQRT(Baseline!$AF$11)*'MacroPD-Cal'!$R$9))/SQRT(1-Baseline!$AF$11))</f>
        <v>8.4447719640487716E-3</v>
      </c>
      <c r="AO49" s="355"/>
      <c r="AP49" s="355"/>
      <c r="AQ49" s="355">
        <f>NORMSDIST((_xlfn.NORM.S.INV(AA49)-(SQRT(Baseline!$AF$11)*'MacroPD-Cal'!$AP$2))/SQRT(1-Baseline!$AF$11))</f>
        <v>1.2722332866420666E-3</v>
      </c>
      <c r="AR49" s="355">
        <f>NORMSDIST((_xlfn.NORM.S.INV(AA49)-(SQRT(Baseline!$AF$11)*'MacroPD-Cal'!$AP$3))/SQRT(1-Baseline!$AF$11))</f>
        <v>1.5375827649687103E-3</v>
      </c>
      <c r="AS49" s="355">
        <f>NORMSDIST((_xlfn.NORM.S.INV(AA49)-(SQRT(Baseline!$AF$11)*'MacroPD-Cal'!$AP$4))/SQRT(1-Baseline!$AF$11))</f>
        <v>1.5752321926211857E-3</v>
      </c>
      <c r="AT49" s="355">
        <f>NORMSDIST((_xlfn.NORM.S.INV(AA49)-(SQRT(Baseline!$AF$11)*'MacroPD-Cal'!$AP$5))/SQRT(1-Baseline!$AF$11))</f>
        <v>2.154935429886103E-3</v>
      </c>
      <c r="AU49" s="355">
        <f>NORMSDIST((_xlfn.NORM.S.INV(AB49)-(SQRT(Baseline!$AF$11)*'MacroPD-Cal'!$AP$6))/SQRT(1-Baseline!$AF$11))</f>
        <v>2.837766568412108E-3</v>
      </c>
      <c r="AV49" s="355">
        <f>NORMSDIST((_xlfn.NORM.S.INV(AC49)-(SQRT(Baseline!$AF$11)*'MacroPD-Cal'!$AP$7))/SQRT(1-Baseline!$AF$11))</f>
        <v>4.0799530756744007E-3</v>
      </c>
      <c r="AW49" s="355">
        <f>NORMSDIST((_xlfn.NORM.S.INV(AD49)-(SQRT(Baseline!$AF$11)*'MacroPD-Cal'!$AP$8))/SQRT(1-Baseline!$AF$11))</f>
        <v>7.9091165656336171E-3</v>
      </c>
      <c r="AX49" s="355">
        <f>NORMSDIST((_xlfn.NORM.S.INV(AE49)-(SQRT(Baseline!$AF$11)*'MacroPD-Cal'!$AP$9))/SQRT(1-Baseline!$AF$11))</f>
        <v>9.301786419518298E-3</v>
      </c>
      <c r="AY49" s="355">
        <f t="shared" si="11"/>
        <v>1.2722332866420666E-3</v>
      </c>
      <c r="AZ49" s="355">
        <f t="shared" si="12"/>
        <v>2.8078598876362104E-3</v>
      </c>
      <c r="BA49" s="355">
        <f t="shared" si="13"/>
        <v>4.3786690489701074E-3</v>
      </c>
      <c r="BB49" s="355">
        <f t="shared" si="14"/>
        <v>6.5000000000000006E-3</v>
      </c>
      <c r="BC49" s="355"/>
      <c r="BD49" s="355"/>
      <c r="BE49" s="355"/>
      <c r="BF49" s="355"/>
      <c r="BG49" s="355">
        <f>NORMSDIST((_xlfn.NORM.S.INV($AA49)-(SQRT(Baseline!$AF$11)*'MacroPD-Cal'!$BF$2))/SQRT(1-Baseline!$AF$11))</f>
        <v>1.1946079233923887E-3</v>
      </c>
      <c r="BH49" s="355">
        <f>NORMSDIST((_xlfn.NORM.S.INV($AA49)-(SQRT(Baseline!$AF$11)*'MacroPD-Cal'!$BF$3))/SQRT(1-Baseline!$AF$11))</f>
        <v>1.7798141589921981E-3</v>
      </c>
      <c r="BI49" s="355">
        <f>NORMSDIST((_xlfn.NORM.S.INV($AA49)-(SQRT(Baseline!$AF$11)*'MacroPD-Cal'!$BF$4))/SQRT(1-Baseline!$AF$11))</f>
        <v>2.7354590365739799E-3</v>
      </c>
      <c r="BJ49" s="355">
        <f>NORMSDIST((_xlfn.NORM.S.INV($AA49)-(SQRT(Baseline!$AF$11)*'MacroPD-Cal'!$BF$5))/SQRT(1-Baseline!$AF$11))</f>
        <v>3.753102972317411E-3</v>
      </c>
      <c r="BK49" s="355">
        <f>NORMSDIST((_xlfn.NORM.S.INV($AB49)-(SQRT(Baseline!$AF$11)*'MacroPD-Cal'!$BF$6))/SQRT(1-Baseline!$AF$11))</f>
        <v>1.7916374640853782E-2</v>
      </c>
      <c r="BL49" s="355">
        <f>NORMSDIST((_xlfn.NORM.S.INV($AC49)-(SQRT(Baseline!$AF$11)*'MacroPD-Cal'!$BF$7))/SQRT(1-Baseline!$AF$11))</f>
        <v>1.5346890841155638E-3</v>
      </c>
      <c r="BM49" s="355">
        <f>NORMSDIST((_xlfn.NORM.S.INV($AD49)-(SQRT(Baseline!$AF$11)*'MacroPD-Cal'!$BF$8))/SQRT(1-Baseline!$AF$11))</f>
        <v>4.4632367033432714E-3</v>
      </c>
      <c r="BN49" s="355">
        <f>NORMSDIST((_xlfn.NORM.S.INV($AE49)-(SQRT(Baseline!$AF$11)*'MacroPD-Cal'!$BF$9))/SQRT(1-Baseline!$AF$11))</f>
        <v>7.1310568542366009E-3</v>
      </c>
      <c r="BO49" s="355">
        <f t="shared" si="15"/>
        <v>1.1946079233923887E-3</v>
      </c>
      <c r="BP49" s="355">
        <f t="shared" si="16"/>
        <v>2.9722959022880913E-3</v>
      </c>
      <c r="BQ49" s="355">
        <f t="shared" si="17"/>
        <v>5.6996243451767903E-3</v>
      </c>
      <c r="BR49" s="355">
        <f t="shared" si="18"/>
        <v>9.4000000000000004E-3</v>
      </c>
      <c r="BS49" s="355"/>
      <c r="BT49" s="355"/>
      <c r="BU49" s="355"/>
      <c r="BV49" s="355">
        <f>NORMSDIST((_xlfn.NORM.S.INV($AA49)-(SQRT(Baseline!$AF$11)*'MacroPD-Cal'!$BU$2))/SQRT(1-Baseline!$AF$11))</f>
        <v>1.1419439599891583E-3</v>
      </c>
      <c r="BW49" s="355">
        <f>NORMSDIST((_xlfn.NORM.S.INV($AA49)-(SQRT(Baseline!$AF$11)*'MacroPD-Cal'!$BU$3))/SQRT(1-Baseline!$AF$11))</f>
        <v>1.8740313774423427E-3</v>
      </c>
      <c r="BX49" s="355">
        <f>NORMSDIST((_xlfn.NORM.S.INV($AA49)-(SQRT(Baseline!$AF$11)*'MacroPD-Cal'!$BU$4))/SQRT(1-Baseline!$AF$11))</f>
        <v>2.5285496383031744E-3</v>
      </c>
      <c r="BY49" s="355">
        <f>NORMSDIST((_xlfn.NORM.S.INV($AA49)-(SQRT(Baseline!$AF$11)*'MacroPD-Cal'!$BU$5))/SQRT(1-Baseline!$AF$11))</f>
        <v>3.2593253619817115E-3</v>
      </c>
      <c r="BZ49" s="355">
        <f>NORMSDIST((_xlfn.NORM.S.INV($AB49)-(SQRT(Baseline!$AF$11)*'MacroPD-Cal'!$BU$6))/SQRT(1-Baseline!$AF$11))</f>
        <v>7.4367462225631018E-3</v>
      </c>
      <c r="CA49" s="355">
        <f>NORMSDIST((_xlfn.NORM.S.INV($AC49)-(SQRT(Baseline!$AF$11)*'MacroPD-Cal'!$BU54))/SQRT(1-Baseline!$AF$11))</f>
        <v>3.7096389677638429E-3</v>
      </c>
      <c r="CB49" s="355">
        <f>NORMSDIST((_xlfn.NORM.S.INV($AD49)-(SQRT(Baseline!$AF$11)*'MacroPD-Cal'!$BU$8))/SQRT(1-Baseline!$AF$11))</f>
        <v>7.9653439693631728E-3</v>
      </c>
      <c r="CC49" s="355">
        <f>NORMSDIST((_xlfn.NORM.S.INV($AE49)-(SQRT(Baseline!$AF$11)*'MacroPD-Cal'!$BU$9))/SQRT(1-Baseline!$AF$11))</f>
        <v>7.3120147983216886E-3</v>
      </c>
      <c r="CD49" s="355">
        <f t="shared" si="19"/>
        <v>1.1419439599891583E-3</v>
      </c>
      <c r="CE49" s="355">
        <f t="shared" si="20"/>
        <v>3.0138352986192052E-3</v>
      </c>
      <c r="CF49" s="355">
        <f t="shared" si="21"/>
        <v>5.5347643047681805E-3</v>
      </c>
      <c r="CG49" s="355">
        <f t="shared" si="22"/>
        <v>8.7000000000000011E-3</v>
      </c>
      <c r="CH49" s="355"/>
      <c r="CI49" s="355"/>
      <c r="CL49" s="168"/>
      <c r="CM49" s="168"/>
      <c r="CN49" s="168"/>
      <c r="CO49" s="168"/>
      <c r="CP49" s="168"/>
      <c r="CR49" s="345">
        <f t="shared" si="23"/>
        <v>0.167302355092561</v>
      </c>
      <c r="CS49" s="345">
        <f t="shared" si="24"/>
        <v>0.39450502022401052</v>
      </c>
      <c r="CT49" s="345">
        <f t="shared" si="25"/>
        <v>0.65621177853828805</v>
      </c>
      <c r="CU49" s="345">
        <f t="shared" si="26"/>
        <v>1</v>
      </c>
    </row>
    <row r="50" spans="1:99" s="166" customFormat="1" x14ac:dyDescent="0.25">
      <c r="A50" s="464">
        <v>1200000116</v>
      </c>
      <c r="B50" s="470">
        <f>VLOOKUP(A50,'Ref-Data'!A:I,9,FALSE)</f>
        <v>1</v>
      </c>
      <c r="C50" s="445">
        <f>IF(B50="Matured","",VLOOKUP(A50,'Adjustment Factor'!A:C,3,0))</f>
        <v>0.85</v>
      </c>
      <c r="D50" s="190">
        <f>VLOOKUP(A50,'Ref-Data'!A:C,2,FALSE)</f>
        <v>405001</v>
      </c>
      <c r="E50" s="471">
        <f>IFERROR(IF(VLOOKUP(A50,'Updated Ncino PD'!$A:$K,4,0)=0,"",VLOOKUP(A50,'Updated Ncino PD'!$A:$K,4,0)),AF50)</f>
        <v>9.3334239922107404E-4</v>
      </c>
      <c r="F50" s="472">
        <f>IFERROR(IF(VLOOKUP(A50,'Updated Ncino PD'!$A:$K,5,0)=0,"",VLOOKUP(A50,'Updated Ncino PD'!$A:$K,5,0)),1-((1-AG50)*(1-E50)))</f>
        <v>2.2101569656043374E-3</v>
      </c>
      <c r="G50" s="472">
        <f>IFERROR(IF(VLOOKUP(A50,'Updated Ncino PD'!$A:$K,6,0)=0,"",VLOOKUP(A50,'Updated Ncino PD'!$A:$K,6,0)),1-((1-AF50)*(1-AG50)*(1-AH50)))</f>
        <v>3.6863423460092859E-3</v>
      </c>
      <c r="H50" s="472">
        <f>IFERROR(IF(VLOOKUP(A50,'Updated Ncino PD'!$A:$K,7,0)=0,"",VLOOKUP(A50,'Updated Ncino PD'!$A:$K,7,0)),IFERROR(VLOOKUP(A50,'Updated Ncino PD'!A:B,2,FALSE),FLOOR(1-((1-AG50)*(1-AH50)*(1-AI50)*(1-AF50)),$R$11)))</f>
        <v>5.5999999999999999E-3</v>
      </c>
      <c r="I50" s="472">
        <f>IFERROR(IF(VLOOKUP(A50,'Updated Ncino PD'!$A:$K,8,0)=0,"",VLOOKUP(A50,'Updated Ncino PD'!$A:$K,8,0)),FLOOR(1-((1-H50)*(1-AJ50)),$R$11))</f>
        <v>9.1000000000000004E-3</v>
      </c>
      <c r="J50" s="472">
        <f>IFERROR(IF(VLOOKUP(A50,'Updated Ncino PD'!$A:$K,9,0)=0,"",VLOOKUP(A50,'Updated Ncino PD'!$A:$K,9,0)),FLOOR(1-((1-H50)*(1-AJ50)*(1-AK50)),$R$11))</f>
        <v>1.14E-2</v>
      </c>
      <c r="K50" s="472">
        <f>IFERROR(IF(VLOOKUP(A50,'Updated Ncino PD'!$A:$K,10,0)=0,"",VLOOKUP(A50,'Updated Ncino PD'!$A:$K,10,0)),FLOOR(1-((1-H50)*(1-AJ50)*(1-AK50)*(1-AL50)),$R$11))</f>
        <v>1.78E-2</v>
      </c>
      <c r="L50" s="472">
        <f>IFERROR(IF(VLOOKUP(A50,'Updated Ncino PD'!$A:$K,11,0)=0,"",VLOOKUP(A50,'Updated Ncino PD'!$A:$K,11,0)),FLOOR(1-((1-H50)*(1-AJ50)*(1-AK50)*(1-AL50)*(1-AM50)),$R$11))</f>
        <v>2.5000000000000001E-2</v>
      </c>
      <c r="M50" s="224">
        <f>VLOOKUP(A50,'Ref-Data'!$A:$F,6,FALSE)</f>
        <v>3.2224503764544834</v>
      </c>
      <c r="N50" s="191">
        <f t="shared" si="3"/>
        <v>5.5999999999999999E-3</v>
      </c>
      <c r="O50" s="191">
        <f t="shared" si="4"/>
        <v>1.78E-2</v>
      </c>
      <c r="P50" s="459" t="str">
        <f>VLOOKUP(A50,'Loan Book Summary'!C:G,5,FALSE)</f>
        <v>0015800000bzlGg</v>
      </c>
      <c r="S50" s="203"/>
      <c r="T50" s="332">
        <f>IFERROR(VLOOKUP($P50,'Model Output-LoanNameUpdate'!$A:$K,2,FALSE),CL50)</f>
        <v>6.0999999999999995E-3</v>
      </c>
      <c r="U50" s="332">
        <f>1-(1-IFERROR(VLOOKUP($P50,'Model Output-LoanNameUpdate'!$A:$K,2,FALSE),CL50))^(1/4)</f>
        <v>1.5285009028198626E-3</v>
      </c>
      <c r="V50" s="332">
        <f>IFERROR(VLOOKUP($P50,'Model Output-LoanNameUpdate'!$A:$K,3,FALSE),CM50)</f>
        <v>7.0049999999999999E-3</v>
      </c>
      <c r="W50" s="332">
        <f>IFERROR(VLOOKUP($P50,'Model Output-LoanNameUpdate'!$A:$K,4,FALSE),CN50)</f>
        <v>7.6049999999999998E-3</v>
      </c>
      <c r="X50" s="332">
        <f>IFERROR(VLOOKUP($P50,'Model Output-LoanNameUpdate'!$A:$K,5,FALSE),CO50)</f>
        <v>8.1049999999999994E-3</v>
      </c>
      <c r="Y50" s="332">
        <f>IFERROR(VLOOKUP($P50,'Model Output-LoanNameUpdate'!$A:$K,6,FALSE),CP50)</f>
        <v>8.4999999999999989E-3</v>
      </c>
      <c r="Z50" s="207">
        <f t="shared" si="5"/>
        <v>0.85</v>
      </c>
      <c r="AA50" s="208">
        <f t="shared" si="6"/>
        <v>1.2992257673968832E-3</v>
      </c>
      <c r="AB50" s="208">
        <f t="shared" si="7"/>
        <v>5.9542499999999995E-3</v>
      </c>
      <c r="AC50" s="208">
        <f t="shared" si="8"/>
        <v>6.4642499999999995E-3</v>
      </c>
      <c r="AD50" s="208">
        <f t="shared" si="9"/>
        <v>6.8892499999999995E-3</v>
      </c>
      <c r="AE50" s="208">
        <f t="shared" si="10"/>
        <v>7.2249999999999988E-3</v>
      </c>
      <c r="AF50" s="332">
        <f>NORMSDIST((_xlfn.NORM.S.INV(AA50)-(SQRT(Baseline!$AF$11)*'MacroPD-Cal'!$R$2))/SQRT(1-Baseline!$AF$11))</f>
        <v>9.3334239922107404E-4</v>
      </c>
      <c r="AG50" s="332">
        <f>NORMSDIST((_xlfn.NORM.S.INV(AA50)-(SQRT(Baseline!$AF$11)*'MacroPD-Cal'!$R$3))/SQRT(1-Baseline!$AF$11))</f>
        <v>1.2780073848620533E-3</v>
      </c>
      <c r="AH50" s="332">
        <f>NORMSDIST((_xlfn.NORM.S.INV(AA50)-(SQRT(Baseline!$AF$11)*'MacroPD-Cal'!$R$4))/SQRT(1-Baseline!$AF$11))</f>
        <v>1.4794552086395409E-3</v>
      </c>
      <c r="AI50" s="332">
        <f>NORMSDIST((_xlfn.NORM.S.INV(AA50)-(SQRT(Baseline!$AF$11)*'MacroPD-Cal'!$R$5))/SQRT(1-Baseline!$AF$11))</f>
        <v>1.9955030458836229E-3</v>
      </c>
      <c r="AJ50" s="332">
        <f>NORMSDIST((_xlfn.NORM.S.INV(AB50)-(SQRT(Baseline!$AF$11)*'MacroPD-Cal'!$R$6))/SQRT(1-Baseline!$AF$11))</f>
        <v>3.5293608367231045E-3</v>
      </c>
      <c r="AK50" s="332">
        <f>NORMSDIST((_xlfn.NORM.S.INV(AC50)-(SQRT(Baseline!$AF$11)*'MacroPD-Cal'!$R$7))/SQRT(1-Baseline!$AF$11))</f>
        <v>2.3279422538648644E-3</v>
      </c>
      <c r="AL50" s="332">
        <f>NORMSDIST((_xlfn.NORM.S.INV(AD50)-(SQRT(Baseline!$AF$11)*'MacroPD-Cal'!$R$8))/SQRT(1-Baseline!$AF$11))</f>
        <v>6.5290562153458289E-3</v>
      </c>
      <c r="AM50" s="332">
        <f>NORMSDIST((_xlfn.NORM.S.INV(AE50)-(SQRT(Baseline!$AF$11)*'MacroPD-Cal'!$R$9))/SQRT(1-Baseline!$AF$11))</f>
        <v>7.3200618815153868E-3</v>
      </c>
      <c r="AO50" s="355"/>
      <c r="AP50" s="355"/>
      <c r="AQ50" s="355">
        <f>NORMSDIST((_xlfn.NORM.S.INV(AA50)-(SQRT(Baseline!$AF$11)*'MacroPD-Cal'!$AP$2))/SQRT(1-Baseline!$AF$11))</f>
        <v>9.7316004798680522E-4</v>
      </c>
      <c r="AR50" s="355">
        <f>NORMSDIST((_xlfn.NORM.S.INV(AA50)-(SQRT(Baseline!$AF$11)*'MacroPD-Cal'!$AP$3))/SQRT(1-Baseline!$AF$11))</f>
        <v>1.1812285534143774E-3</v>
      </c>
      <c r="AS50" s="355">
        <f>NORMSDIST((_xlfn.NORM.S.INV(AA50)-(SQRT(Baseline!$AF$11)*'MacroPD-Cal'!$AP$4))/SQRT(1-Baseline!$AF$11))</f>
        <v>1.2108261772035154E-3</v>
      </c>
      <c r="AT50" s="355">
        <f>NORMSDIST((_xlfn.NORM.S.INV(AA50)-(SQRT(Baseline!$AF$11)*'MacroPD-Cal'!$AP$5))/SQRT(1-Baseline!$AF$11))</f>
        <v>1.6685746683546669E-3</v>
      </c>
      <c r="AU50" s="355">
        <f>NORMSDIST((_xlfn.NORM.S.INV(AB50)-(SQRT(Baseline!$AF$11)*'MacroPD-Cal'!$AP$6))/SQRT(1-Baseline!$AF$11))</f>
        <v>2.2338608709478762E-3</v>
      </c>
      <c r="AV50" s="355">
        <f>NORMSDIST((_xlfn.NORM.S.INV(AC50)-(SQRT(Baseline!$AF$11)*'MacroPD-Cal'!$AP$7))/SQRT(1-Baseline!$AF$11))</f>
        <v>3.3338674370378182E-3</v>
      </c>
      <c r="AW50" s="355">
        <f>NORMSDIST((_xlfn.NORM.S.INV(AD50)-(SQRT(Baseline!$AF$11)*'MacroPD-Cal'!$AP$8))/SQRT(1-Baseline!$AF$11))</f>
        <v>6.6992862212140094E-3</v>
      </c>
      <c r="AX50" s="355">
        <f>NORMSDIST((_xlfn.NORM.S.INV(AE50)-(SQRT(Baseline!$AF$11)*'MacroPD-Cal'!$AP$9))/SQRT(1-Baseline!$AF$11))</f>
        <v>8.0765387505365212E-3</v>
      </c>
      <c r="AY50" s="355">
        <f t="shared" si="11"/>
        <v>9.7316004798680522E-4</v>
      </c>
      <c r="AZ50" s="355">
        <f t="shared" si="12"/>
        <v>2.1532390769654075E-3</v>
      </c>
      <c r="BA50" s="355">
        <f t="shared" si="13"/>
        <v>3.36145805592869E-3</v>
      </c>
      <c r="BB50" s="355">
        <f t="shared" si="14"/>
        <v>5.0000000000000001E-3</v>
      </c>
      <c r="BC50" s="355"/>
      <c r="BD50" s="355"/>
      <c r="BE50" s="355"/>
      <c r="BF50" s="355"/>
      <c r="BG50" s="355">
        <f>NORMSDIST((_xlfn.NORM.S.INV($AA50)-(SQRT(Baseline!$AF$11)*'MacroPD-Cal'!$BF$2))/SQRT(1-Baseline!$AF$11))</f>
        <v>9.1248299686126633E-4</v>
      </c>
      <c r="BH50" s="355">
        <f>NORMSDIST((_xlfn.NORM.S.INV($AA50)-(SQRT(Baseline!$AF$11)*'MacroPD-Cal'!$BF$3))/SQRT(1-Baseline!$AF$11))</f>
        <v>1.3719533354925146E-3</v>
      </c>
      <c r="BI50" s="355">
        <f>NORMSDIST((_xlfn.NORM.S.INV($AA50)-(SQRT(Baseline!$AF$11)*'MacroPD-Cal'!$BF$4))/SQRT(1-Baseline!$AF$11))</f>
        <v>2.1301628363983201E-3</v>
      </c>
      <c r="BJ50" s="355">
        <f>NORMSDIST((_xlfn.NORM.S.INV($AA50)-(SQRT(Baseline!$AF$11)*'MacroPD-Cal'!$BF$5))/SQRT(1-Baseline!$AF$11))</f>
        <v>2.9452913786438754E-3</v>
      </c>
      <c r="BK50" s="355">
        <f>NORMSDIST((_xlfn.NORM.S.INV($AB50)-(SQRT(Baseline!$AF$11)*'MacroPD-Cal'!$BF$6))/SQRT(1-Baseline!$AF$11))</f>
        <v>1.4779196537612361E-2</v>
      </c>
      <c r="BL50" s="355">
        <f>NORMSDIST((_xlfn.NORM.S.INV($AC50)-(SQRT(Baseline!$AF$11)*'MacroPD-Cal'!$BF$7))/SQRT(1-Baseline!$AF$11))</f>
        <v>1.2295832637449398E-3</v>
      </c>
      <c r="BM50" s="355">
        <f>NORMSDIST((_xlfn.NORM.S.INV($AD50)-(SQRT(Baseline!$AF$11)*'MacroPD-Cal'!$BF$8))/SQRT(1-Baseline!$AF$11))</f>
        <v>3.7390213010650257E-3</v>
      </c>
      <c r="BN50" s="355">
        <f>NORMSDIST((_xlfn.NORM.S.INV($AE50)-(SQRT(Baseline!$AF$11)*'MacroPD-Cal'!$BF$9))/SQRT(1-Baseline!$AF$11))</f>
        <v>6.163359977127518E-3</v>
      </c>
      <c r="BO50" s="355">
        <f t="shared" si="15"/>
        <v>9.1248299686126633E-4</v>
      </c>
      <c r="BP50" s="355">
        <f t="shared" si="16"/>
        <v>2.2831844482626984E-3</v>
      </c>
      <c r="BQ50" s="355">
        <f t="shared" si="17"/>
        <v>4.4084837300006896E-3</v>
      </c>
      <c r="BR50" s="355">
        <f t="shared" si="18"/>
        <v>7.3000000000000001E-3</v>
      </c>
      <c r="BS50" s="355"/>
      <c r="BT50" s="355"/>
      <c r="BU50" s="355"/>
      <c r="BV50" s="355">
        <f>NORMSDIST((_xlfn.NORM.S.INV($AA50)-(SQRT(Baseline!$AF$11)*'MacroPD-Cal'!$BU$2))/SQRT(1-Baseline!$AF$11))</f>
        <v>8.7137138773547287E-4</v>
      </c>
      <c r="BW50" s="355">
        <f>NORMSDIST((_xlfn.NORM.S.INV($AA50)-(SQRT(Baseline!$AF$11)*'MacroPD-Cal'!$BU$3))/SQRT(1-Baseline!$AF$11))</f>
        <v>1.4463175162011514E-3</v>
      </c>
      <c r="BX50" s="355">
        <f>NORMSDIST((_xlfn.NORM.S.INV($AA50)-(SQRT(Baseline!$AF$11)*'MacroPD-Cal'!$BU$4))/SQRT(1-Baseline!$AF$11))</f>
        <v>1.9653223503609159E-3</v>
      </c>
      <c r="BY50" s="355">
        <f>NORMSDIST((_xlfn.NORM.S.INV($AA50)-(SQRT(Baseline!$AF$11)*'MacroPD-Cal'!$BU$5))/SQRT(1-Baseline!$AF$11))</f>
        <v>2.5489283492257787E-3</v>
      </c>
      <c r="BZ50" s="355">
        <f>NORMSDIST((_xlfn.NORM.S.INV($AB50)-(SQRT(Baseline!$AF$11)*'MacroPD-Cal'!$BU$6))/SQRT(1-Baseline!$AF$11))</f>
        <v>5.9925506299707216E-3</v>
      </c>
      <c r="CA50" s="355">
        <f>NORMSDIST((_xlfn.NORM.S.INV($AC50)-(SQRT(Baseline!$AF$11)*'MacroPD-Cal'!$BU55))/SQRT(1-Baseline!$AF$11))</f>
        <v>3.0252438562161812E-3</v>
      </c>
      <c r="CB50" s="355">
        <f>NORMSDIST((_xlfn.NORM.S.INV($AD50)-(SQRT(Baseline!$AF$11)*'MacroPD-Cal'!$BU$8))/SQRT(1-Baseline!$AF$11))</f>
        <v>6.747861343949061E-3</v>
      </c>
      <c r="CC50" s="355">
        <f>NORMSDIST((_xlfn.NORM.S.INV($AE50)-(SQRT(Baseline!$AF$11)*'MacroPD-Cal'!$BU$9))/SQRT(1-Baseline!$AF$11))</f>
        <v>6.322466475669598E-3</v>
      </c>
      <c r="CD50" s="355">
        <f t="shared" si="19"/>
        <v>8.7137138773547287E-4</v>
      </c>
      <c r="CE50" s="355">
        <f t="shared" si="20"/>
        <v>2.3164286242355336E-3</v>
      </c>
      <c r="CF50" s="355">
        <f t="shared" si="21"/>
        <v>4.2771984456482226E-3</v>
      </c>
      <c r="CG50" s="355">
        <f t="shared" si="22"/>
        <v>6.8000000000000005E-3</v>
      </c>
      <c r="CH50" s="355"/>
      <c r="CI50" s="355"/>
      <c r="CL50" s="168"/>
      <c r="CM50" s="168"/>
      <c r="CN50" s="168"/>
      <c r="CO50" s="168"/>
      <c r="CP50" s="168"/>
      <c r="CR50" s="345">
        <f t="shared" si="23"/>
        <v>0.16666828557519178</v>
      </c>
      <c r="CS50" s="345">
        <f t="shared" si="24"/>
        <v>0.39467088671506023</v>
      </c>
      <c r="CT50" s="345">
        <f t="shared" si="25"/>
        <v>0.65827541893022967</v>
      </c>
      <c r="CU50" s="345">
        <f t="shared" si="26"/>
        <v>1</v>
      </c>
    </row>
    <row r="51" spans="1:99" s="166" customFormat="1" x14ac:dyDescent="0.25">
      <c r="A51" s="464">
        <v>1200000105</v>
      </c>
      <c r="B51" s="470">
        <f>VLOOKUP(A51,'Ref-Data'!A:I,9,FALSE)</f>
        <v>1</v>
      </c>
      <c r="C51" s="445">
        <f>IF(B51="Matured","",VLOOKUP(A51,'Adjustment Factor'!A:C,3,0))</f>
        <v>0.85</v>
      </c>
      <c r="D51" s="190">
        <f>VLOOKUP(A51,'Ref-Data'!A:C,2,FALSE)</f>
        <v>1713000.72</v>
      </c>
      <c r="E51" s="471">
        <f>IFERROR(IF(VLOOKUP(A51,'Updated Ncino PD'!$A:$K,4,0)=0,"",VLOOKUP(A51,'Updated Ncino PD'!$A:$K,4,0)),AF51)</f>
        <v>1.1707437157442793E-3</v>
      </c>
      <c r="F51" s="472">
        <f>IFERROR(IF(VLOOKUP(A51,'Updated Ncino PD'!$A:$K,5,0)=0,"",VLOOKUP(A51,'Updated Ncino PD'!$A:$K,5,0)),1-((1-AG51)*(1-E51)))</f>
        <v>2.7625082037178172E-3</v>
      </c>
      <c r="G51" s="472">
        <f>IFERROR(IF(VLOOKUP(A51,'Updated Ncino PD'!$A:$K,6,0)=0,"",VLOOKUP(A51,'Updated Ncino PD'!$A:$K,6,0)),1-((1-AF51)*(1-AG51)*(1-AH51)))</f>
        <v>4.5970963431510858E-3</v>
      </c>
      <c r="H51" s="472">
        <f>IFERROR(IF(VLOOKUP(A51,'Updated Ncino PD'!$A:$K,7,0)=0,"",VLOOKUP(A51,'Updated Ncino PD'!$A:$K,7,0)),IFERROR(VLOOKUP(A51,'Updated Ncino PD'!A:B,2,FALSE),FLOOR(1-((1-AG51)*(1-AH51)*(1-AI51)*(1-AF51)),$R$11)))</f>
        <v>7.0000000000000001E-3</v>
      </c>
      <c r="I51" s="472">
        <f>IFERROR(IF(VLOOKUP(A51,'Updated Ncino PD'!$A:$K,8,0)=0,"",VLOOKUP(A51,'Updated Ncino PD'!$A:$K,8,0)),FLOOR(1-((1-H51)*(1-AJ51)),$R$11))</f>
        <v>1.0800000000000001E-2</v>
      </c>
      <c r="J51" s="472">
        <f>IFERROR(IF(VLOOKUP(A51,'Updated Ncino PD'!$A:$K,9,0)=0,"",VLOOKUP(A51,'Updated Ncino PD'!$A:$K,9,0)),FLOOR(1-((1-H51)*(1-AJ51)*(1-AK51)),$R$11))</f>
        <v>1.3100000000000001E-2</v>
      </c>
      <c r="K51" s="472">
        <f>IFERROR(IF(VLOOKUP(A51,'Updated Ncino PD'!$A:$K,10,0)=0,"",VLOOKUP(A51,'Updated Ncino PD'!$A:$K,10,0)),FLOOR(1-((1-H51)*(1-AJ51)*(1-AK51)*(1-AL51)),$R$11))</f>
        <v>1.9300000000000001E-2</v>
      </c>
      <c r="L51" s="472">
        <f>IFERROR(IF(VLOOKUP(A51,'Updated Ncino PD'!$A:$K,11,0)=0,"",VLOOKUP(A51,'Updated Ncino PD'!$A:$K,11,0)),FLOOR(1-((1-H51)*(1-AJ51)*(1-AK51)*(1-AL51)*(1-AM51)),$R$11))</f>
        <v>2.58E-2</v>
      </c>
      <c r="M51" s="224">
        <f>VLOOKUP(A51,'Ref-Data'!$A:$F,6,FALSE)</f>
        <v>3.6276522929500343</v>
      </c>
      <c r="N51" s="191">
        <f t="shared" si="3"/>
        <v>7.0000000000000001E-3</v>
      </c>
      <c r="O51" s="191">
        <f t="shared" si="4"/>
        <v>1.9300000000000001E-2</v>
      </c>
      <c r="P51" s="459" t="str">
        <f>VLOOKUP(A51,'Loan Book Summary'!C:G,5,FALSE)</f>
        <v>0014I00001opmrL</v>
      </c>
      <c r="S51" s="203"/>
      <c r="T51" s="332">
        <f>IFERROR(VLOOKUP($P51,'Model Output-LoanNameUpdate'!$A:$K,2,FALSE),CL51)</f>
        <v>7.4450000000000002E-3</v>
      </c>
      <c r="U51" s="332">
        <f>1-(1-IFERROR(VLOOKUP($P51,'Model Output-LoanNameUpdate'!$A:$K,2,FALSE),CL51))^(1/4)</f>
        <v>1.8664690609363488E-3</v>
      </c>
      <c r="V51" s="332">
        <f>IFERROR(VLOOKUP($P51,'Model Output-LoanNameUpdate'!$A:$K,3,FALSE),CM51)</f>
        <v>7.5799999999999999E-3</v>
      </c>
      <c r="W51" s="332">
        <f>IFERROR(VLOOKUP($P51,'Model Output-LoanNameUpdate'!$A:$K,4,FALSE),CN51)</f>
        <v>7.6749999999999995E-3</v>
      </c>
      <c r="X51" s="332">
        <f>IFERROR(VLOOKUP($P51,'Model Output-LoanNameUpdate'!$A:$K,5,FALSE),CO51)</f>
        <v>7.7749999999999989E-3</v>
      </c>
      <c r="Y51" s="332">
        <f>IFERROR(VLOOKUP($P51,'Model Output-LoanNameUpdate'!$A:$K,6,FALSE),CP51)</f>
        <v>7.835E-3</v>
      </c>
      <c r="Z51" s="207">
        <f t="shared" si="5"/>
        <v>0.85</v>
      </c>
      <c r="AA51" s="208">
        <f t="shared" si="6"/>
        <v>1.5864987017958963E-3</v>
      </c>
      <c r="AB51" s="208">
        <f t="shared" si="7"/>
        <v>6.4429999999999999E-3</v>
      </c>
      <c r="AC51" s="208">
        <f t="shared" si="8"/>
        <v>6.5237499999999992E-3</v>
      </c>
      <c r="AD51" s="208">
        <f t="shared" si="9"/>
        <v>6.6087499999999992E-3</v>
      </c>
      <c r="AE51" s="208">
        <f t="shared" si="10"/>
        <v>6.6597499999999999E-3</v>
      </c>
      <c r="AF51" s="332">
        <f>NORMSDIST((_xlfn.NORM.S.INV(AA51)-(SQRT(Baseline!$AF$11)*'MacroPD-Cal'!$R$2))/SQRT(1-Baseline!$AF$11))</f>
        <v>1.1707437157442793E-3</v>
      </c>
      <c r="AG51" s="332">
        <f>NORMSDIST((_xlfn.NORM.S.INV(AA51)-(SQRT(Baseline!$AF$11)*'MacroPD-Cal'!$R$3))/SQRT(1-Baseline!$AF$11))</f>
        <v>1.5936302205393404E-3</v>
      </c>
      <c r="AH51" s="332">
        <f>NORMSDIST((_xlfn.NORM.S.INV(AA51)-(SQRT(Baseline!$AF$11)*'MacroPD-Cal'!$R$4))/SQRT(1-Baseline!$AF$11))</f>
        <v>1.8396702435732693E-3</v>
      </c>
      <c r="AI51" s="332">
        <f>NORMSDIST((_xlfn.NORM.S.INV(AA51)-(SQRT(Baseline!$AF$11)*'MacroPD-Cal'!$R$5))/SQRT(1-Baseline!$AF$11))</f>
        <v>2.4669561955205453E-3</v>
      </c>
      <c r="AJ51" s="332">
        <f>NORMSDIST((_xlfn.NORM.S.INV(AB51)-(SQRT(Baseline!$AF$11)*'MacroPD-Cal'!$R$6))/SQRT(1-Baseline!$AF$11))</f>
        <v>3.8699908046670303E-3</v>
      </c>
      <c r="AK51" s="332">
        <f>NORMSDIST((_xlfn.NORM.S.INV(AC51)-(SQRT(Baseline!$AF$11)*'MacroPD-Cal'!$R$7))/SQRT(1-Baseline!$AF$11))</f>
        <v>2.3542915257713567E-3</v>
      </c>
      <c r="AL51" s="332">
        <f>NORMSDIST((_xlfn.NORM.S.INV(AD51)-(SQRT(Baseline!$AF$11)*'MacroPD-Cal'!$R$8))/SQRT(1-Baseline!$AF$11))</f>
        <v>6.2342615682110993E-3</v>
      </c>
      <c r="AM51" s="332">
        <f>NORMSDIST((_xlfn.NORM.S.INV(AE51)-(SQRT(Baseline!$AF$11)*'MacroPD-Cal'!$R$9))/SQRT(1-Baseline!$AF$11))</f>
        <v>6.6909047271634702E-3</v>
      </c>
      <c r="AO51" s="355"/>
      <c r="AP51" s="355"/>
      <c r="AQ51" s="355">
        <f>NORMSDIST((_xlfn.NORM.S.INV(AA51)-(SQRT(Baseline!$AF$11)*'MacroPD-Cal'!$AP$2))/SQRT(1-Baseline!$AF$11))</f>
        <v>1.219740164740589E-3</v>
      </c>
      <c r="AR51" s="355">
        <f>NORMSDIST((_xlfn.NORM.S.INV(AA51)-(SQRT(Baseline!$AF$11)*'MacroPD-Cal'!$AP$3))/SQRT(1-Baseline!$AF$11))</f>
        <v>1.4751521613227392E-3</v>
      </c>
      <c r="AS51" s="355">
        <f>NORMSDIST((_xlfn.NORM.S.INV(AA51)-(SQRT(Baseline!$AF$11)*'MacroPD-Cal'!$AP$4))/SQRT(1-Baseline!$AF$11))</f>
        <v>1.5114063116860583E-3</v>
      </c>
      <c r="AT51" s="355">
        <f>NORMSDIST((_xlfn.NORM.S.INV(AA51)-(SQRT(Baseline!$AF$11)*'MacroPD-Cal'!$AP$5))/SQRT(1-Baseline!$AF$11))</f>
        <v>2.070018139252732E-3</v>
      </c>
      <c r="AU51" s="355">
        <f>NORMSDIST((_xlfn.NORM.S.INV(AB51)-(SQRT(Baseline!$AF$11)*'MacroPD-Cal'!$AP$6))/SQRT(1-Baseline!$AF$11))</f>
        <v>2.4598542720086223E-3</v>
      </c>
      <c r="AV51" s="355">
        <f>NORMSDIST((_xlfn.NORM.S.INV(AC51)-(SQRT(Baseline!$AF$11)*'MacroPD-Cal'!$AP$7))/SQRT(1-Baseline!$AF$11))</f>
        <v>3.3702936104417791E-3</v>
      </c>
      <c r="AW51" s="355">
        <f>NORMSDIST((_xlfn.NORM.S.INV(AD51)-(SQRT(Baseline!$AF$11)*'MacroPD-Cal'!$AP$8))/SQRT(1-Baseline!$AF$11))</f>
        <v>6.3976837739552813E-3</v>
      </c>
      <c r="AX51" s="355">
        <f>NORMSDIST((_xlfn.NORM.S.INV(AE51)-(SQRT(Baseline!$AF$11)*'MacroPD-Cal'!$AP$9))/SQRT(1-Baseline!$AF$11))</f>
        <v>7.3901000251987113E-3</v>
      </c>
      <c r="AY51" s="355">
        <f t="shared" si="11"/>
        <v>1.219740164740589E-3</v>
      </c>
      <c r="AZ51" s="355">
        <f t="shared" si="12"/>
        <v>2.6930930237231143E-3</v>
      </c>
      <c r="BA51" s="355">
        <f t="shared" si="13"/>
        <v>4.2004289776150783E-3</v>
      </c>
      <c r="BB51" s="355">
        <f t="shared" si="14"/>
        <v>6.2000000000000006E-3</v>
      </c>
      <c r="BC51" s="355"/>
      <c r="BD51" s="355"/>
      <c r="BE51" s="355"/>
      <c r="BF51" s="355"/>
      <c r="BG51" s="355">
        <f>NORMSDIST((_xlfn.NORM.S.INV($AA51)-(SQRT(Baseline!$AF$11)*'MacroPD-Cal'!$BF$2))/SQRT(1-Baseline!$AF$11))</f>
        <v>1.1450592352141682E-3</v>
      </c>
      <c r="BH51" s="355">
        <f>NORMSDIST((_xlfn.NORM.S.INV($AA51)-(SQRT(Baseline!$AF$11)*'MacroPD-Cal'!$BF$3))/SQRT(1-Baseline!$AF$11))</f>
        <v>1.7084643387855149E-3</v>
      </c>
      <c r="BI51" s="355">
        <f>NORMSDIST((_xlfn.NORM.S.INV($AA51)-(SQRT(Baseline!$AF$11)*'MacroPD-Cal'!$BF$4))/SQRT(1-Baseline!$AF$11))</f>
        <v>2.6300370513231831E-3</v>
      </c>
      <c r="BJ51" s="355">
        <f>NORMSDIST((_xlfn.NORM.S.INV($AA51)-(SQRT(Baseline!$AF$11)*'MacroPD-Cal'!$BF$5))/SQRT(1-Baseline!$AF$11))</f>
        <v>3.6128837868298585E-3</v>
      </c>
      <c r="BK51" s="355">
        <f>NORMSDIST((_xlfn.NORM.S.INV($AB51)-(SQRT(Baseline!$AF$11)*'MacroPD-Cal'!$BF$6))/SQRT(1-Baseline!$AF$11))</f>
        <v>1.5972272763507937E-2</v>
      </c>
      <c r="BL51" s="355">
        <f>NORMSDIST((_xlfn.NORM.S.INV($AC51)-(SQRT(Baseline!$AF$11)*'MacroPD-Cal'!$BF$7))/SQRT(1-Baseline!$AF$11))</f>
        <v>1.2443248656021533E-3</v>
      </c>
      <c r="BM51" s="355">
        <f>NORMSDIST((_xlfn.NORM.S.INV($AD51)-(SQRT(Baseline!$AF$11)*'MacroPD-Cal'!$BF$8))/SQRT(1-Baseline!$AF$11))</f>
        <v>3.5598897406678509E-3</v>
      </c>
      <c r="BN51" s="355">
        <f>NORMSDIST((_xlfn.NORM.S.INV($AE51)-(SQRT(Baseline!$AF$11)*'MacroPD-Cal'!$BF$9))/SQRT(1-Baseline!$AF$11))</f>
        <v>5.6234482143185591E-3</v>
      </c>
      <c r="BO51" s="355">
        <f t="shared" si="15"/>
        <v>1.1450592352141682E-3</v>
      </c>
      <c r="BP51" s="355">
        <f t="shared" si="16"/>
        <v>2.8515672811304515E-3</v>
      </c>
      <c r="BQ51" s="355">
        <f t="shared" si="17"/>
        <v>5.474104604849872E-3</v>
      </c>
      <c r="BR51" s="355">
        <f t="shared" si="18"/>
        <v>9.0000000000000011E-3</v>
      </c>
      <c r="BS51" s="355"/>
      <c r="BT51" s="355"/>
      <c r="BU51" s="355"/>
      <c r="BV51" s="355">
        <f>NORMSDIST((_xlfn.NORM.S.INV($AA51)-(SQRT(Baseline!$AF$11)*'MacroPD-Cal'!$BU$2))/SQRT(1-Baseline!$AF$11))</f>
        <v>1.0944034380746342E-3</v>
      </c>
      <c r="BW51" s="355">
        <f>NORMSDIST((_xlfn.NORM.S.INV($AA51)-(SQRT(Baseline!$AF$11)*'MacroPD-Cal'!$BU$3))/SQRT(1-Baseline!$AF$11))</f>
        <v>1.7992474442753347E-3</v>
      </c>
      <c r="BX51" s="355">
        <f>NORMSDIST((_xlfn.NORM.S.INV($AA51)-(SQRT(Baseline!$AF$11)*'MacroPD-Cal'!$BU$4))/SQRT(1-Baseline!$AF$11))</f>
        <v>2.4303739318949566E-3</v>
      </c>
      <c r="BY51" s="355">
        <f>NORMSDIST((_xlfn.NORM.S.INV($AA51)-(SQRT(Baseline!$AF$11)*'MacroPD-Cal'!$BU$5))/SQRT(1-Baseline!$AF$11))</f>
        <v>3.1358278161072702E-3</v>
      </c>
      <c r="BZ51" s="355">
        <f>NORMSDIST((_xlfn.NORM.S.INV($AB51)-(SQRT(Baseline!$AF$11)*'MacroPD-Cal'!$BU$6))/SQRT(1-Baseline!$AF$11))</f>
        <v>6.5373440092753761E-3</v>
      </c>
      <c r="CA51" s="355">
        <f>NORMSDIST((_xlfn.NORM.S.INV($AC51)-(SQRT(Baseline!$AF$11)*'MacroPD-Cal'!$BU56))/SQRT(1-Baseline!$AF$11))</f>
        <v>3.0586227731109784E-3</v>
      </c>
      <c r="CB51" s="355">
        <f>NORMSDIST((_xlfn.NORM.S.INV($AD51)-(SQRT(Baseline!$AF$11)*'MacroPD-Cal'!$BU$8))/SQRT(1-Baseline!$AF$11))</f>
        <v>6.4443207841500243E-3</v>
      </c>
      <c r="CC51" s="355">
        <f>NORMSDIST((_xlfn.NORM.S.INV($AE51)-(SQRT(Baseline!$AF$11)*'MacroPD-Cal'!$BU$9))/SQRT(1-Baseline!$AF$11))</f>
        <v>5.770150948424045E-3</v>
      </c>
      <c r="CD51" s="355">
        <f t="shared" si="19"/>
        <v>1.0944034380746342E-3</v>
      </c>
      <c r="CE51" s="355">
        <f t="shared" si="20"/>
        <v>2.8916817797609573E-3</v>
      </c>
      <c r="CF51" s="355">
        <f t="shared" si="21"/>
        <v>5.3150278436390197E-3</v>
      </c>
      <c r="CG51" s="355">
        <f t="shared" si="22"/>
        <v>8.4000000000000012E-3</v>
      </c>
      <c r="CH51" s="355"/>
      <c r="CI51" s="355"/>
      <c r="CR51" s="345">
        <f t="shared" si="23"/>
        <v>0.16724910224918274</v>
      </c>
      <c r="CS51" s="345">
        <f t="shared" si="24"/>
        <v>0.39464402910254531</v>
      </c>
      <c r="CT51" s="345">
        <f t="shared" si="25"/>
        <v>0.65672804902158366</v>
      </c>
      <c r="CU51" s="345">
        <f t="shared" si="26"/>
        <v>1</v>
      </c>
    </row>
    <row r="52" spans="1:99" s="166" customFormat="1" x14ac:dyDescent="0.25">
      <c r="A52" s="464">
        <v>1200000106</v>
      </c>
      <c r="B52" s="470">
        <f>VLOOKUP(A52,'Ref-Data'!A:I,9,FALSE)</f>
        <v>1</v>
      </c>
      <c r="C52" s="445">
        <f>IF(B52="Matured","",VLOOKUP(A52,'Adjustment Factor'!A:C,3,0))</f>
        <v>1.08</v>
      </c>
      <c r="D52" s="190">
        <f>VLOOKUP(A52,'Ref-Data'!A:C,2,FALSE)</f>
        <v>4156853.67</v>
      </c>
      <c r="E52" s="471">
        <f>IFERROR(IF(VLOOKUP(A52,'Updated Ncino PD'!$A:$K,4,0)=0,"",VLOOKUP(A52,'Updated Ncino PD'!$A:$K,4,0)),AF52)</f>
        <v>2.0181887000557244E-2</v>
      </c>
      <c r="F52" s="472">
        <f>IFERROR(IF(VLOOKUP(A52,'Updated Ncino PD'!$A:$K,5,0)=0,"",VLOOKUP(A52,'Updated Ncino PD'!$A:$K,5,0)),1-((1-AG52)*(1-E52)))</f>
        <v>4.4906672870860809E-2</v>
      </c>
      <c r="G52" s="472">
        <f>IFERROR(IF(VLOOKUP(A52,'Updated Ncino PD'!$A:$K,6,0)=0,"",VLOOKUP(A52,'Updated Ncino PD'!$A:$K,6,0)),1-((1-AF52)*(1-AG52)*(1-AH52)))</f>
        <v>7.1631874074090218E-2</v>
      </c>
      <c r="H52" s="472">
        <f>IFERROR(IF(VLOOKUP(A52,'Updated Ncino PD'!$A:$K,7,0)=0,"",VLOOKUP(A52,'Updated Ncino PD'!$A:$K,7,0)),IFERROR(VLOOKUP(A52,'Updated Ncino PD'!A:B,2,FALSE),FLOOR(1-((1-AG52)*(1-AH52)*(1-AI52)*(1-AF52)),$R$11)))</f>
        <v>0.10360000000000001</v>
      </c>
      <c r="I52" s="472">
        <f>IFERROR(IF(VLOOKUP(A52,'Updated Ncino PD'!$A:$K,8,0)=0,"",VLOOKUP(A52,'Updated Ncino PD'!$A:$K,8,0)),FLOOR(1-((1-H52)*(1-AJ52)),$R$11))</f>
        <v>0.15080000000000002</v>
      </c>
      <c r="J52" s="472">
        <f>IFERROR(IF(VLOOKUP(A52,'Updated Ncino PD'!$A:$K,9,0)=0,"",VLOOKUP(A52,'Updated Ncino PD'!$A:$K,9,0)),FLOOR(1-((1-H52)*(1-AJ52)*(1-AK52)),$R$11))</f>
        <v>0.17730000000000001</v>
      </c>
      <c r="K52" s="472">
        <f>IFERROR(IF(VLOOKUP(A52,'Updated Ncino PD'!$A:$K,10,0)=0,"",VLOOKUP(A52,'Updated Ncino PD'!$A:$K,10,0)),FLOOR(1-((1-H52)*(1-AJ52)*(1-AK52)*(1-AL52)),$R$11))</f>
        <v>0.2228</v>
      </c>
      <c r="L52" s="472">
        <f>IFERROR(IF(VLOOKUP(A52,'Updated Ncino PD'!$A:$K,11,0)=0,"",VLOOKUP(A52,'Updated Ncino PD'!$A:$K,11,0)),FLOOR(1-((1-H52)*(1-AJ52)*(1-AK52)*(1-AL52)*(1-AM52)),$R$11))</f>
        <v>0.26419999999999999</v>
      </c>
      <c r="M52" s="224">
        <f>VLOOKUP(A52,'Ref-Data'!$A:$F,6,FALSE)</f>
        <v>3.378507871321013</v>
      </c>
      <c r="N52" s="191">
        <f t="shared" si="3"/>
        <v>0.10360000000000001</v>
      </c>
      <c r="O52" s="191">
        <f t="shared" si="4"/>
        <v>0.2228</v>
      </c>
      <c r="P52" s="459" t="str">
        <f>VLOOKUP(A52,'Loan Book Summary'!C:G,5,FALSE)</f>
        <v>0014I00001r6hl4</v>
      </c>
      <c r="S52" s="203"/>
      <c r="T52" s="332">
        <f>IFERROR(VLOOKUP($P52,'Model Output-LoanNameUpdate'!$A:$K,2,FALSE),CL52)</f>
        <v>7.2479999999999989E-2</v>
      </c>
      <c r="U52" s="332">
        <f>1-(1-IFERROR(VLOOKUP($P52,'Model Output-LoanNameUpdate'!$A:$K,2,FALSE),CL52))^(1/4)</f>
        <v>1.8634422022267394E-2</v>
      </c>
      <c r="V52" s="332">
        <f>IFERROR(VLOOKUP($P52,'Model Output-LoanNameUpdate'!$A:$K,3,FALSE),CM52)</f>
        <v>5.704999999999999E-2</v>
      </c>
      <c r="W52" s="332">
        <f>IFERROR(VLOOKUP($P52,'Model Output-LoanNameUpdate'!$A:$K,4,FALSE),CN52)</f>
        <v>4.9605000000000003E-2</v>
      </c>
      <c r="X52" s="332">
        <f>IFERROR(VLOOKUP($P52,'Model Output-LoanNameUpdate'!$A:$K,5,FALSE),CO52)</f>
        <v>4.4889999999999999E-2</v>
      </c>
      <c r="Y52" s="332">
        <f>IFERROR(VLOOKUP($P52,'Model Output-LoanNameUpdate'!$A:$K,6,FALSE),CP52)</f>
        <v>4.1540000000000001E-2</v>
      </c>
      <c r="Z52" s="207">
        <f t="shared" si="5"/>
        <v>1.08</v>
      </c>
      <c r="AA52" s="208">
        <f t="shared" si="6"/>
        <v>2.0125175784048786E-2</v>
      </c>
      <c r="AB52" s="208">
        <f t="shared" si="7"/>
        <v>6.1613999999999995E-2</v>
      </c>
      <c r="AC52" s="208">
        <f t="shared" si="8"/>
        <v>5.3573400000000007E-2</v>
      </c>
      <c r="AD52" s="208">
        <f t="shared" si="9"/>
        <v>4.8481200000000002E-2</v>
      </c>
      <c r="AE52" s="208">
        <f t="shared" si="10"/>
        <v>4.4863200000000006E-2</v>
      </c>
      <c r="AF52" s="332">
        <f>NORMSDIST((_xlfn.NORM.S.INV(AA52)-(SQRT(Baseline!$AF$11)*'MacroPD-Cal'!$R$2))/SQRT(1-Baseline!$AF$11))</f>
        <v>2.0181887000557244E-2</v>
      </c>
      <c r="AG52" s="332">
        <f>NORMSDIST((_xlfn.NORM.S.INV(AA52)-(SQRT(Baseline!$AF$11)*'MacroPD-Cal'!$R$3))/SQRT(1-Baseline!$AF$11))</f>
        <v>2.5234056752243005E-2</v>
      </c>
      <c r="AH52" s="332">
        <f>NORMSDIST((_xlfn.NORM.S.INV(AA52)-(SQRT(Baseline!$AF$11)*'MacroPD-Cal'!$R$4))/SQRT(1-Baseline!$AF$11))</f>
        <v>2.7981769366519527E-2</v>
      </c>
      <c r="AI52" s="332">
        <f>NORMSDIST((_xlfn.NORM.S.INV(AA52)-(SQRT(Baseline!$AF$11)*'MacroPD-Cal'!$R$5))/SQRT(1-Baseline!$AF$11))</f>
        <v>3.4515525738898371E-2</v>
      </c>
      <c r="AJ52" s="332">
        <f>NORMSDIST((_xlfn.NORM.S.INV(AB52)-(SQRT(Baseline!$AF$11)*'MacroPD-Cal'!$R$6))/SQRT(1-Baseline!$AF$11))</f>
        <v>5.2720070123780195E-2</v>
      </c>
      <c r="AK52" s="332">
        <f>NORMSDIST((_xlfn.NORM.S.INV(AC52)-(SQRT(Baseline!$AF$11)*'MacroPD-Cal'!$R$7))/SQRT(1-Baseline!$AF$11))</f>
        <v>3.1153020302656775E-2</v>
      </c>
      <c r="AL52" s="332">
        <f>NORMSDIST((_xlfn.NORM.S.INV(AD52)-(SQRT(Baseline!$AF$11)*'MacroPD-Cal'!$R$8))/SQRT(1-Baseline!$AF$11))</f>
        <v>5.5337473760283432E-2</v>
      </c>
      <c r="AM52" s="332">
        <f>NORMSDIST((_xlfn.NORM.S.INV(AE52)-(SQRT(Baseline!$AF$11)*'MacroPD-Cal'!$R$9))/SQRT(1-Baseline!$AF$11))</f>
        <v>5.3264767269349679E-2</v>
      </c>
      <c r="AO52" s="355"/>
      <c r="AP52" s="355"/>
      <c r="AQ52" s="355">
        <f>NORMSDIST((_xlfn.NORM.S.INV(AA52)-(SQRT(Baseline!$AF$11)*'MacroPD-Cal'!$AP$2))/SQRT(1-Baseline!$AF$11))</f>
        <v>2.0792563063244906E-2</v>
      </c>
      <c r="AR52" s="355">
        <f>NORMSDIST((_xlfn.NORM.S.INV(AA52)-(SQRT(Baseline!$AF$11)*'MacroPD-Cal'!$AP$3))/SQRT(1-Baseline!$AF$11))</f>
        <v>2.3864789003752957E-2</v>
      </c>
      <c r="AS52" s="355">
        <f>NORMSDIST((_xlfn.NORM.S.INV(AA52)-(SQRT(Baseline!$AF$11)*'MacroPD-Cal'!$AP$4))/SQRT(1-Baseline!$AF$11))</f>
        <v>2.4287239237995421E-2</v>
      </c>
      <c r="AT52" s="355">
        <f>NORMSDIST((_xlfn.NORM.S.INV(AA52)-(SQRT(Baseline!$AF$11)*'MacroPD-Cal'!$AP$5))/SQRT(1-Baseline!$AF$11))</f>
        <v>3.0452176583983696E-2</v>
      </c>
      <c r="AU52" s="355">
        <f>NORMSDIST((_xlfn.NORM.S.INV(AB52)-(SQRT(Baseline!$AF$11)*'MacroPD-Cal'!$AP$6))/SQRT(1-Baseline!$AF$11))</f>
        <v>3.852453575986458E-2</v>
      </c>
      <c r="AV52" s="355">
        <f>NORMSDIST((_xlfn.NORM.S.INV(AC52)-(SQRT(Baseline!$AF$11)*'MacroPD-Cal'!$AP$7))/SQRT(1-Baseline!$AF$11))</f>
        <v>4.0302639005948236E-2</v>
      </c>
      <c r="AW52" s="355">
        <f>NORMSDIST((_xlfn.NORM.S.INV(AD52)-(SQRT(Baseline!$AF$11)*'MacroPD-Cal'!$AP$8))/SQRT(1-Baseline!$AF$11))</f>
        <v>5.6371686482884528E-2</v>
      </c>
      <c r="AX52" s="355">
        <f>NORMSDIST((_xlfn.NORM.S.INV(AE52)-(SQRT(Baseline!$AF$11)*'MacroPD-Cal'!$AP$9))/SQRT(1-Baseline!$AF$11))</f>
        <v>5.7252077502820367E-2</v>
      </c>
      <c r="AY52" s="355">
        <f t="shared" si="11"/>
        <v>2.0792563063244906E-2</v>
      </c>
      <c r="AZ52" s="355">
        <f t="shared" si="12"/>
        <v>4.4161141936646331E-2</v>
      </c>
      <c r="BA52" s="355">
        <f t="shared" si="13"/>
        <v>6.7375828955403394E-2</v>
      </c>
      <c r="BB52" s="355">
        <f t="shared" si="14"/>
        <v>9.5700000000000007E-2</v>
      </c>
      <c r="BC52" s="355"/>
      <c r="BD52" s="355"/>
      <c r="BE52" s="355"/>
      <c r="BF52" s="355"/>
      <c r="BG52" s="355">
        <f>NORMSDIST((_xlfn.NORM.S.INV($AA52)-(SQRT(Baseline!$AF$11)*'MacroPD-Cal'!$BF$2))/SQRT(1-Baseline!$AF$11))</f>
        <v>1.9858717627292251E-2</v>
      </c>
      <c r="BH52" s="355">
        <f>NORMSDIST((_xlfn.NORM.S.INV($AA52)-(SQRT(Baseline!$AF$11)*'MacroPD-Cal'!$BF$3))/SQRT(1-Baseline!$AF$11))</f>
        <v>2.6531678610383851E-2</v>
      </c>
      <c r="BI52" s="355">
        <f>NORMSDIST((_xlfn.NORM.S.INV($AA52)-(SQRT(Baseline!$AF$11)*'MacroPD-Cal'!$BF$4))/SQRT(1-Baseline!$AF$11))</f>
        <v>3.6123457136172828E-2</v>
      </c>
      <c r="BJ52" s="355">
        <f>NORMSDIST((_xlfn.NORM.S.INV($AA52)-(SQRT(Baseline!$AF$11)*'MacroPD-Cal'!$BF$5))/SQRT(1-Baseline!$AF$11))</f>
        <v>4.5212941206018327E-2</v>
      </c>
      <c r="BK52" s="355">
        <f>NORMSDIST((_xlfn.NORM.S.INV($AB52)-(SQRT(Baseline!$AF$11)*'MacroPD-Cal'!$BF$6))/SQRT(1-Baseline!$AF$11))</f>
        <v>0.13546354416292031</v>
      </c>
      <c r="BL52" s="355">
        <f>NORMSDIST((_xlfn.NORM.S.INV($AC52)-(SQRT(Baseline!$AF$11)*'MacroPD-Cal'!$BF$7))/SQRT(1-Baseline!$AF$11))</f>
        <v>1.9579739441714299E-2</v>
      </c>
      <c r="BM52" s="355">
        <f>NORMSDIST((_xlfn.NORM.S.INV($AD52)-(SQRT(Baseline!$AF$11)*'MacroPD-Cal'!$BF$8))/SQRT(1-Baseline!$AF$11))</f>
        <v>3.6907627642907753E-2</v>
      </c>
      <c r="BN52" s="355">
        <f>NORMSDIST((_xlfn.NORM.S.INV($AE52)-(SQRT(Baseline!$AF$11)*'MacroPD-Cal'!$BF$9))/SQRT(1-Baseline!$AF$11))</f>
        <v>4.6920072281605586E-2</v>
      </c>
      <c r="BO52" s="355">
        <f t="shared" si="15"/>
        <v>1.9858717627292251E-2</v>
      </c>
      <c r="BP52" s="355">
        <f t="shared" si="16"/>
        <v>4.5863511123974465E-2</v>
      </c>
      <c r="BQ52" s="355">
        <f t="shared" si="17"/>
        <v>8.033021968194598E-2</v>
      </c>
      <c r="BR52" s="355">
        <f t="shared" si="18"/>
        <v>0.12190000000000001</v>
      </c>
      <c r="BS52" s="355"/>
      <c r="BT52" s="355"/>
      <c r="BU52" s="355"/>
      <c r="BV52" s="355">
        <f>NORMSDIST((_xlfn.NORM.S.INV($AA52)-(SQRT(Baseline!$AF$11)*'MacroPD-Cal'!$BU$2))/SQRT(1-Baseline!$AF$11))</f>
        <v>1.9214935365215083E-2</v>
      </c>
      <c r="BW52" s="355">
        <f>NORMSDIST((_xlfn.NORM.S.INV($AA52)-(SQRT(Baseline!$AF$11)*'MacroPD-Cal'!$BU$3))/SQRT(1-Baseline!$AF$11))</f>
        <v>2.7538538130681991E-2</v>
      </c>
      <c r="BX52" s="355">
        <f>NORMSDIST((_xlfn.NORM.S.INV($AA52)-(SQRT(Baseline!$AF$11)*'MacroPD-Cal'!$BU$4))/SQRT(1-Baseline!$AF$11))</f>
        <v>3.4150217845017712E-2</v>
      </c>
      <c r="BY52" s="355">
        <f>NORMSDIST((_xlfn.NORM.S.INV($AA52)-(SQRT(Baseline!$AF$11)*'MacroPD-Cal'!$BU$5))/SQRT(1-Baseline!$AF$11))</f>
        <v>4.0918172938689518E-2</v>
      </c>
      <c r="BZ52" s="355">
        <f>NORMSDIST((_xlfn.NORM.S.INV($AB52)-(SQRT(Baseline!$AF$11)*'MacroPD-Cal'!$BU$6))/SQRT(1-Baseline!$AF$11))</f>
        <v>7.5280225710355489E-2</v>
      </c>
      <c r="CA52" s="355">
        <f>NORMSDIST((_xlfn.NORM.S.INV($AC52)-(SQRT(Baseline!$AF$11)*'MacroPD-Cal'!$BU57))/SQRT(1-Baseline!$AF$11))</f>
        <v>3.7601955921132413E-2</v>
      </c>
      <c r="CB52" s="355">
        <f>NORMSDIST((_xlfn.NORM.S.INV($AD52)-(SQRT(Baseline!$AF$11)*'MacroPD-Cal'!$BU$8))/SQRT(1-Baseline!$AF$11))</f>
        <v>5.6665266260707566E-2</v>
      </c>
      <c r="CC52" s="355">
        <f>NORMSDIST((_xlfn.NORM.S.INV($AE52)-(SQRT(Baseline!$AF$11)*'MacroPD-Cal'!$BU$9))/SQRT(1-Baseline!$AF$11))</f>
        <v>4.7812404992313977E-2</v>
      </c>
      <c r="CD52" s="355">
        <f t="shared" si="19"/>
        <v>1.9214935365215083E-2</v>
      </c>
      <c r="CE52" s="355">
        <f t="shared" si="20"/>
        <v>4.6224322265663531E-2</v>
      </c>
      <c r="CF52" s="355">
        <f t="shared" si="21"/>
        <v>7.8795969435570545E-2</v>
      </c>
      <c r="CG52" s="355">
        <f t="shared" si="22"/>
        <v>0.1164</v>
      </c>
      <c r="CH52" s="355"/>
      <c r="CI52" s="355"/>
      <c r="CR52" s="345">
        <f t="shared" si="23"/>
        <v>0.19480585907873785</v>
      </c>
      <c r="CS52" s="345">
        <f t="shared" si="24"/>
        <v>0.43346209334807728</v>
      </c>
      <c r="CT52" s="345">
        <f t="shared" si="25"/>
        <v>0.6914273559275117</v>
      </c>
      <c r="CU52" s="345">
        <f t="shared" si="26"/>
        <v>1</v>
      </c>
    </row>
    <row r="53" spans="1:99" s="166" customFormat="1" x14ac:dyDescent="0.25">
      <c r="A53" s="464">
        <v>1200000135</v>
      </c>
      <c r="B53" s="470">
        <f>VLOOKUP(A53,'Ref-Data'!A:I,9,FALSE)</f>
        <v>2</v>
      </c>
      <c r="C53" s="445">
        <f>IF(B53="Matured","",VLOOKUP(A53,'Adjustment Factor'!A:C,3,0))</f>
        <v>1.0605674153852402</v>
      </c>
      <c r="D53" s="190">
        <f>VLOOKUP(A53,'Ref-Data'!A:C,2,FALSE)</f>
        <v>5000000</v>
      </c>
      <c r="E53" s="471">
        <f>IFERROR(IF(VLOOKUP(A53,'Updated Ncino PD'!$A:$K,4,0)=0,"",VLOOKUP(A53,'Updated Ncino PD'!$A:$K,4,0)),AF53)</f>
        <v>2.8366842468132019E-2</v>
      </c>
      <c r="F53" s="472">
        <f>IFERROR(IF(VLOOKUP(A53,'Updated Ncino PD'!$A:$K,5,0)=0,"",VLOOKUP(A53,'Updated Ncino PD'!$A:$K,5,0)),1-((1-AG53)*(1-E53)))</f>
        <v>6.2417988886168341E-2</v>
      </c>
      <c r="G53" s="472">
        <f>IFERROR(IF(VLOOKUP(A53,'Updated Ncino PD'!$A:$K,6,0)=0,"",VLOOKUP(A53,'Updated Ncino PD'!$A:$K,6,0)),1-((1-AF53)*(1-AG53)*(1-AH53)))</f>
        <v>9.8647826604583044E-2</v>
      </c>
      <c r="H53" s="472">
        <f>IFERROR(IF(VLOOKUP(A53,'Updated Ncino PD'!$A:$K,7,0)=0,"",VLOOKUP(A53,'Updated Ncino PD'!$A:$K,7,0)),IFERROR(VLOOKUP(A53,'Updated Ncino PD'!A:B,2,FALSE),FLOOR(1-((1-AG53)*(1-AH53)*(1-AI53)*(1-AF53)),$R$11)))</f>
        <v>0.1411</v>
      </c>
      <c r="I53" s="472">
        <f>IFERROR(IF(VLOOKUP(A53,'Updated Ncino PD'!$A:$K,8,0)=0,"",VLOOKUP(A53,'Updated Ncino PD'!$A:$K,8,0)),FLOOR(1-((1-H53)*(1-AJ53)),$R$11))</f>
        <v>0.20270000000000002</v>
      </c>
      <c r="J53" s="472">
        <f>IFERROR(IF(VLOOKUP(A53,'Updated Ncino PD'!$A:$K,9,0)=0,"",VLOOKUP(A53,'Updated Ncino PD'!$A:$K,9,0)),FLOOR(1-((1-H53)*(1-AJ53)*(1-AK53)),$R$11))</f>
        <v>0.23670000000000002</v>
      </c>
      <c r="K53" s="472">
        <f>IFERROR(IF(VLOOKUP(A53,'Updated Ncino PD'!$A:$K,10,0)=0,"",VLOOKUP(A53,'Updated Ncino PD'!$A:$K,10,0)),FLOOR(1-((1-H53)*(1-AJ53)*(1-AK53)*(1-AL53)),$R$11))</f>
        <v>0.29139999999999999</v>
      </c>
      <c r="L53" s="472">
        <f>IFERROR(IF(VLOOKUP(A53,'Updated Ncino PD'!$A:$K,11,0)=0,"",VLOOKUP(A53,'Updated Ncino PD'!$A:$K,11,0)),FLOOR(1-((1-H53)*(1-AJ53)*(1-AK53)*(1-AL53)*(1-AM53)),$R$11))</f>
        <v>0.33979999999999999</v>
      </c>
      <c r="M53" s="224">
        <f>VLOOKUP(A53,'Ref-Data'!$A:$F,6,FALSE)</f>
        <v>0.33401779603011633</v>
      </c>
      <c r="N53" s="191">
        <f t="shared" si="3"/>
        <v>4.9536040084954158E-2</v>
      </c>
      <c r="O53" s="191">
        <f t="shared" si="4"/>
        <v>0.1411</v>
      </c>
      <c r="P53" s="459" t="str">
        <f>VLOOKUP(A53,'Loan Book Summary'!C:G,5,FALSE)</f>
        <v>0014I00001oIXfG</v>
      </c>
      <c r="S53" s="203"/>
      <c r="T53" s="332">
        <f>IFERROR(VLOOKUP($P53,'Model Output-LoanNameUpdate'!$A:$K,2,FALSE),CL53)</f>
        <v>9.9464999999999998E-2</v>
      </c>
      <c r="U53" s="332">
        <f>1-(1-IFERROR(VLOOKUP($P53,'Model Output-LoanNameUpdate'!$A:$K,2,FALSE),CL53))^(1/4)</f>
        <v>2.5851538051228751E-2</v>
      </c>
      <c r="V53" s="332">
        <f>IFERROR(VLOOKUP($P53,'Model Output-LoanNameUpdate'!$A:$K,3,FALSE),CM53)</f>
        <v>7.621E-2</v>
      </c>
      <c r="W53" s="332">
        <f>IFERROR(VLOOKUP($P53,'Model Output-LoanNameUpdate'!$A:$K,4,FALSE),CN53)</f>
        <v>6.5194999999999989E-2</v>
      </c>
      <c r="X53" s="332">
        <f>IFERROR(VLOOKUP($P53,'Model Output-LoanNameUpdate'!$A:$K,5,FALSE),CO53)</f>
        <v>5.8264999999999997E-2</v>
      </c>
      <c r="Y53" s="332">
        <f>IFERROR(VLOOKUP($P53,'Model Output-LoanNameUpdate'!$A:$K,6,FALSE),CP53)</f>
        <v>5.3459999999999994E-2</v>
      </c>
      <c r="Z53" s="207">
        <f t="shared" si="5"/>
        <v>1.0605674153852402</v>
      </c>
      <c r="AA53" s="208">
        <f t="shared" si="6"/>
        <v>2.7417298894724867E-2</v>
      </c>
      <c r="AB53" s="208">
        <f t="shared" si="7"/>
        <v>8.0825842726509153E-2</v>
      </c>
      <c r="AC53" s="208">
        <f t="shared" si="8"/>
        <v>6.9143692646040728E-2</v>
      </c>
      <c r="AD53" s="208">
        <f t="shared" si="9"/>
        <v>6.179396045742102E-2</v>
      </c>
      <c r="AE53" s="208">
        <f t="shared" si="10"/>
        <v>5.6697934026494937E-2</v>
      </c>
      <c r="AF53" s="332">
        <f>NORMSDIST((_xlfn.NORM.S.INV(AA53)-(SQRT(Baseline!$AF$11)*'MacroPD-Cal'!$R$2))/SQRT(1-Baseline!$AF$11))</f>
        <v>2.8366842468132019E-2</v>
      </c>
      <c r="AG53" s="332">
        <f>NORMSDIST((_xlfn.NORM.S.INV(AA53)-(SQRT(Baseline!$AF$11)*'MacroPD-Cal'!$R$3))/SQRT(1-Baseline!$AF$11))</f>
        <v>3.5045270073463336E-2</v>
      </c>
      <c r="AH53" s="332">
        <f>NORMSDIST((_xlfn.NORM.S.INV(AA53)-(SQRT(Baseline!$AF$11)*'MacroPD-Cal'!$R$4))/SQRT(1-Baseline!$AF$11))</f>
        <v>3.8641779907204306E-2</v>
      </c>
      <c r="AI53" s="332">
        <f>NORMSDIST((_xlfn.NORM.S.INV(AA53)-(SQRT(Baseline!$AF$11)*'MacroPD-Cal'!$R$5))/SQRT(1-Baseline!$AF$11))</f>
        <v>4.7107891715942582E-2</v>
      </c>
      <c r="AJ53" s="332">
        <f>NORMSDIST((_xlfn.NORM.S.INV(AB53)-(SQRT(Baseline!$AF$11)*'MacroPD-Cal'!$R$6))/SQRT(1-Baseline!$AF$11))</f>
        <v>7.1814228487920184E-2</v>
      </c>
      <c r="AK53" s="332">
        <f>NORMSDIST((_xlfn.NORM.S.INV(AC53)-(SQRT(Baseline!$AF$11)*'MacroPD-Cal'!$R$7))/SQRT(1-Baseline!$AF$11))</f>
        <v>4.2561242702723316E-2</v>
      </c>
      <c r="AL53" s="332">
        <f>NORMSDIST((_xlfn.NORM.S.INV(AD53)-(SQRT(Baseline!$AF$11)*'MacroPD-Cal'!$R$8))/SQRT(1-Baseline!$AF$11))</f>
        <v>7.1762807330204501E-2</v>
      </c>
      <c r="AM53" s="332">
        <f>NORMSDIST((_xlfn.NORM.S.INV(AE53)-(SQRT(Baseline!$AF$11)*'MacroPD-Cal'!$R$9))/SQRT(1-Baseline!$AF$11))</f>
        <v>6.8323238032099332E-2</v>
      </c>
      <c r="AO53" s="355"/>
      <c r="AP53" s="355"/>
      <c r="AQ53" s="355">
        <f>NORMSDIST((_xlfn.NORM.S.INV(AA53)-(SQRT(Baseline!$AF$11)*'MacroPD-Cal'!$AP$2))/SQRT(1-Baseline!$AF$11))</f>
        <v>2.9179037417211031E-2</v>
      </c>
      <c r="AR53" s="355">
        <f>NORMSDIST((_xlfn.NORM.S.INV(AA53)-(SQRT(Baseline!$AF$11)*'MacroPD-Cal'!$AP$3))/SQRT(1-Baseline!$AF$11))</f>
        <v>3.3244069281653771E-2</v>
      </c>
      <c r="AS53" s="355">
        <f>NORMSDIST((_xlfn.NORM.S.INV(AA53)-(SQRT(Baseline!$AF$11)*'MacroPD-Cal'!$AP$4))/SQRT(1-Baseline!$AF$11))</f>
        <v>3.3800444004018444E-2</v>
      </c>
      <c r="AT53" s="355">
        <f>NORMSDIST((_xlfn.NORM.S.INV(AA53)-(SQRT(Baseline!$AF$11)*'MacroPD-Cal'!$AP$5))/SQRT(1-Baseline!$AF$11))</f>
        <v>4.1856297963651805E-2</v>
      </c>
      <c r="AU53" s="355">
        <f>NORMSDIST((_xlfn.NORM.S.INV(AB53)-(SQRT(Baseline!$AF$11)*'MacroPD-Cal'!$AP$6))/SQRT(1-Baseline!$AF$11))</f>
        <v>5.3540919120012458E-2</v>
      </c>
      <c r="AV53" s="355">
        <f>NORMSDIST((_xlfn.NORM.S.INV(AC53)-(SQRT(Baseline!$AF$11)*'MacroPD-Cal'!$AP$7))/SQRT(1-Baseline!$AF$11))</f>
        <v>5.427100629575022E-2</v>
      </c>
      <c r="AW53" s="355">
        <f>NORMSDIST((_xlfn.NORM.S.INV(AD53)-(SQRT(Baseline!$AF$11)*'MacroPD-Cal'!$AP$8))/SQRT(1-Baseline!$AF$11))</f>
        <v>7.3028268272821731E-2</v>
      </c>
      <c r="AX53" s="355">
        <f>NORMSDIST((_xlfn.NORM.S.INV(AE53)-(SQRT(Baseline!$AF$11)*'MacroPD-Cal'!$AP$9))/SQRT(1-Baseline!$AF$11))</f>
        <v>7.3157236756316441E-2</v>
      </c>
      <c r="AY53" s="355">
        <f t="shared" si="11"/>
        <v>2.9179037417211031E-2</v>
      </c>
      <c r="AZ53" s="355">
        <f t="shared" si="12"/>
        <v>6.1453076757395086E-2</v>
      </c>
      <c r="BA53" s="355">
        <f t="shared" si="13"/>
        <v>9.3176379481600624E-2</v>
      </c>
      <c r="BB53" s="355">
        <f t="shared" si="14"/>
        <v>0.13109999999999999</v>
      </c>
      <c r="BC53" s="355"/>
      <c r="BD53" s="355"/>
      <c r="BE53" s="355"/>
      <c r="BF53" s="355"/>
      <c r="BG53" s="355">
        <f>NORMSDIST((_xlfn.NORM.S.INV($AA53)-(SQRT(Baseline!$AF$11)*'MacroPD-Cal'!$BF$2))/SQRT(1-Baseline!$AF$11))</f>
        <v>2.793643642929728E-2</v>
      </c>
      <c r="BH53" s="355">
        <f>NORMSDIST((_xlfn.NORM.S.INV($AA53)-(SQRT(Baseline!$AF$11)*'MacroPD-Cal'!$BF$3))/SQRT(1-Baseline!$AF$11))</f>
        <v>3.674663738734734E-2</v>
      </c>
      <c r="BI53" s="355">
        <f>NORMSDIST((_xlfn.NORM.S.INV($AA53)-(SQRT(Baseline!$AF$11)*'MacroPD-Cal'!$BF$4))/SQRT(1-Baseline!$AF$11))</f>
        <v>4.9174664478474982E-2</v>
      </c>
      <c r="BJ53" s="355">
        <f>NORMSDIST((_xlfn.NORM.S.INV($AA53)-(SQRT(Baseline!$AF$11)*'MacroPD-Cal'!$BF$5))/SQRT(1-Baseline!$AF$11))</f>
        <v>6.0750297101989544E-2</v>
      </c>
      <c r="BK53" s="355">
        <f>NORMSDIST((_xlfn.NORM.S.INV($AB53)-(SQRT(Baseline!$AF$11)*'MacroPD-Cal'!$BF$6))/SQRT(1-Baseline!$AF$11))</f>
        <v>0.17250599639633551</v>
      </c>
      <c r="BL53" s="355">
        <f>NORMSDIST((_xlfn.NORM.S.INV($AC53)-(SQRT(Baseline!$AF$11)*'MacroPD-Cal'!$BF$7))/SQRT(1-Baseline!$AF$11))</f>
        <v>2.7422428561089264E-2</v>
      </c>
      <c r="BM53" s="355">
        <f>NORMSDIST((_xlfn.NORM.S.INV($AD53)-(SQRT(Baseline!$AF$11)*'MacroPD-Cal'!$BF$8))/SQRT(1-Baseline!$AF$11))</f>
        <v>4.892400139421136E-2</v>
      </c>
      <c r="BN53" s="355">
        <f>NORMSDIST((_xlfn.NORM.S.INV($AE53)-(SQRT(Baseline!$AF$11)*'MacroPD-Cal'!$BF$9))/SQRT(1-Baseline!$AF$11))</f>
        <v>6.0584499387698589E-2</v>
      </c>
      <c r="BO53" s="355">
        <f t="shared" si="15"/>
        <v>2.793643642929728E-2</v>
      </c>
      <c r="BP53" s="355">
        <f t="shared" si="16"/>
        <v>6.3656503717282598E-2</v>
      </c>
      <c r="BQ53" s="355">
        <f t="shared" si="17"/>
        <v>0.10970088098358743</v>
      </c>
      <c r="BR53" s="355">
        <f t="shared" si="18"/>
        <v>0.16370000000000001</v>
      </c>
      <c r="BS53" s="355"/>
      <c r="BT53" s="355"/>
      <c r="BU53" s="355"/>
      <c r="BV53" s="355">
        <f>NORMSDIST((_xlfn.NORM.S.INV($AA53)-(SQRT(Baseline!$AF$11)*'MacroPD-Cal'!$BU$2))/SQRT(1-Baseline!$AF$11))</f>
        <v>2.7077776404779201E-2</v>
      </c>
      <c r="BW53" s="355">
        <f>NORMSDIST((_xlfn.NORM.S.INV($AA53)-(SQRT(Baseline!$AF$11)*'MacroPD-Cal'!$BU$3))/SQRT(1-Baseline!$AF$11))</f>
        <v>3.8063184647511114E-2</v>
      </c>
      <c r="BX53" s="355">
        <f>NORMSDIST((_xlfn.NORM.S.INV($AA53)-(SQRT(Baseline!$AF$11)*'MacroPD-Cal'!$BU$4))/SQRT(1-Baseline!$AF$11))</f>
        <v>4.6637469679391051E-2</v>
      </c>
      <c r="BY53" s="355">
        <f>NORMSDIST((_xlfn.NORM.S.INV($AA53)-(SQRT(Baseline!$AF$11)*'MacroPD-Cal'!$BU$5))/SQRT(1-Baseline!$AF$11))</f>
        <v>5.5302539930177516E-2</v>
      </c>
      <c r="BZ53" s="355">
        <f>NORMSDIST((_xlfn.NORM.S.INV($AB53)-(SQRT(Baseline!$AF$11)*'MacroPD-Cal'!$BU$6))/SQRT(1-Baseline!$AF$11))</f>
        <v>0.10010857483278862</v>
      </c>
      <c r="CA53" s="355">
        <f>NORMSDIST((_xlfn.NORM.S.INV($AC53)-(SQRT(Baseline!$AF$11)*'MacroPD-Cal'!$BU58))/SQRT(1-Baseline!$AF$11))</f>
        <v>5.083458206676892E-2</v>
      </c>
      <c r="CB53" s="355">
        <f>NORMSDIST((_xlfn.NORM.S.INV($AD53)-(SQRT(Baseline!$AF$11)*'MacroPD-Cal'!$BU$8))/SQRT(1-Baseline!$AF$11))</f>
        <v>7.3387212772056148E-2</v>
      </c>
      <c r="CC53" s="355">
        <f>NORMSDIST((_xlfn.NORM.S.INV($AE53)-(SQRT(Baseline!$AF$11)*'MacroPD-Cal'!$BU$9))/SQRT(1-Baseline!$AF$11))</f>
        <v>6.1676551581999847E-2</v>
      </c>
      <c r="CD53" s="355">
        <f t="shared" si="19"/>
        <v>2.7077776404779201E-2</v>
      </c>
      <c r="CE53" s="355">
        <f t="shared" si="20"/>
        <v>6.4110294649151189E-2</v>
      </c>
      <c r="CF53" s="355">
        <f t="shared" si="21"/>
        <v>0.10775782240570564</v>
      </c>
      <c r="CG53" s="355">
        <f t="shared" si="22"/>
        <v>0.15710000000000002</v>
      </c>
      <c r="CH53" s="355"/>
      <c r="CI53" s="355"/>
      <c r="CR53" s="345">
        <f t="shared" si="23"/>
        <v>0.20104069786060963</v>
      </c>
      <c r="CS53" s="345">
        <f t="shared" si="24"/>
        <v>0.44236703675526817</v>
      </c>
      <c r="CT53" s="345">
        <f t="shared" si="25"/>
        <v>0.69913413610618735</v>
      </c>
      <c r="CU53" s="345">
        <f t="shared" si="26"/>
        <v>1</v>
      </c>
    </row>
    <row r="54" spans="1:99" s="166" customFormat="1" x14ac:dyDescent="0.25">
      <c r="A54" s="464">
        <v>1100000119</v>
      </c>
      <c r="B54" s="470">
        <f>VLOOKUP(A54,'Ref-Data'!A:I,9,FALSE)</f>
        <v>1</v>
      </c>
      <c r="C54" s="445">
        <f>IF(B54="Matured","",VLOOKUP(A54,'Adjustment Factor'!A:C,3,0))</f>
        <v>1.3625045444878234</v>
      </c>
      <c r="D54" s="190">
        <f>VLOOKUP(A54,'Ref-Data'!A:C,2,FALSE)</f>
        <v>2999999.95</v>
      </c>
      <c r="E54" s="471">
        <f>IFERROR(IF(VLOOKUP(A54,'Updated Ncino PD'!$A:$K,4,0)=0,"",VLOOKUP(A54,'Updated Ncino PD'!$A:$K,4,0)),AF54)</f>
        <v>5.7310757425068741E-3</v>
      </c>
      <c r="F54" s="472">
        <f>IFERROR(IF(VLOOKUP(A54,'Updated Ncino PD'!$A:$K,5,0)=0,"",VLOOKUP(A54,'Updated Ncino PD'!$A:$K,5,0)),1-((1-AG54)*(1-E54)))</f>
        <v>1.3149607536908192E-2</v>
      </c>
      <c r="G54" s="472">
        <f>IFERROR(IF(VLOOKUP(A54,'Updated Ncino PD'!$A:$K,6,0)=0,"",VLOOKUP(A54,'Updated Ncino PD'!$A:$K,6,0)),1-((1-AF54)*(1-AG54)*(1-AH54)))</f>
        <v>2.1472146399617809E-2</v>
      </c>
      <c r="H54" s="472">
        <f>IFERROR(IF(VLOOKUP(A54,'Updated Ncino PD'!$A:$K,7,0)=0,"",VLOOKUP(A54,'Updated Ncino PD'!$A:$K,7,0)),IFERROR(VLOOKUP(A54,'Updated Ncino PD'!A:B,2,FALSE),FLOOR(1-((1-AG54)*(1-AH54)*(1-AI54)*(1-AF54)),$R$11)))</f>
        <v>3.2000000000000001E-2</v>
      </c>
      <c r="I54" s="472">
        <f>IFERROR(IF(VLOOKUP(A54,'Updated Ncino PD'!$A:$K,8,0)=0,"",VLOOKUP(A54,'Updated Ncino PD'!$A:$K,8,0)),FLOOR(1-((1-H54)*(1-AJ54)),$R$11))</f>
        <v>4.8300000000000003E-2</v>
      </c>
      <c r="J54" s="472">
        <f>IFERROR(IF(VLOOKUP(A54,'Updated Ncino PD'!$A:$K,9,0)=0,"",VLOOKUP(A54,'Updated Ncino PD'!$A:$K,9,0)),FLOOR(1-((1-H54)*(1-AJ54)*(1-AK54)),$R$11))</f>
        <v>5.8000000000000003E-2</v>
      </c>
      <c r="K54" s="472">
        <f>IFERROR(IF(VLOOKUP(A54,'Updated Ncino PD'!$A:$K,10,0)=0,"",VLOOKUP(A54,'Updated Ncino PD'!$A:$K,10,0)),FLOOR(1-((1-H54)*(1-AJ54)*(1-AK54)*(1-AL54)),$R$11))</f>
        <v>7.8399999999999997E-2</v>
      </c>
      <c r="L54" s="472">
        <f>IFERROR(IF(VLOOKUP(A54,'Updated Ncino PD'!$A:$K,11,0)=0,"",VLOOKUP(A54,'Updated Ncino PD'!$A:$K,11,0)),FLOOR(1-((1-H54)*(1-AJ54)*(1-AK54)*(1-AL54)*(1-AM54)),$R$11))</f>
        <v>9.8600000000000007E-2</v>
      </c>
      <c r="M54" s="224">
        <f>VLOOKUP(A54,'Ref-Data'!$A:$F,6,FALSE)</f>
        <v>3.7207392197125255</v>
      </c>
      <c r="N54" s="191">
        <f t="shared" si="3"/>
        <v>3.2000000000000001E-2</v>
      </c>
      <c r="O54" s="191">
        <f t="shared" si="4"/>
        <v>7.8399999999999997E-2</v>
      </c>
      <c r="P54" s="459" t="str">
        <f>VLOOKUP(A54,'Loan Book Summary'!C:G,5,FALSE)</f>
        <v>0014I000026umUx</v>
      </c>
      <c r="S54" s="203"/>
      <c r="T54" s="332">
        <f>IFERROR(VLOOKUP($P54,'Model Output-LoanNameUpdate'!$A:$K,2,FALSE),CL54)</f>
        <v>1.8919999999999999E-2</v>
      </c>
      <c r="U54" s="332">
        <f>1-(1-IFERROR(VLOOKUP($P54,'Model Output-LoanNameUpdate'!$A:$K,2,FALSE),CL54))^(1/4)</f>
        <v>4.7639346205252675E-3</v>
      </c>
      <c r="V54" s="332">
        <f>IFERROR(VLOOKUP($P54,'Model Output-LoanNameUpdate'!$A:$K,3,FALSE),CM54)</f>
        <v>1.6840000000000001E-2</v>
      </c>
      <c r="W54" s="332">
        <f>IFERROR(VLOOKUP($P54,'Model Output-LoanNameUpdate'!$A:$K,4,FALSE),CN54)</f>
        <v>1.5740000000000001E-2</v>
      </c>
      <c r="X54" s="332">
        <f>IFERROR(VLOOKUP($P54,'Model Output-LoanNameUpdate'!$A:$K,5,FALSE),CO54)</f>
        <v>1.4999999999999999E-2</v>
      </c>
      <c r="Y54" s="332">
        <f>IFERROR(VLOOKUP($P54,'Model Output-LoanNameUpdate'!$A:$K,6,FALSE),CP54)</f>
        <v>1.444E-2</v>
      </c>
      <c r="Z54" s="207">
        <f t="shared" si="5"/>
        <v>1.3625045444878234</v>
      </c>
      <c r="AA54" s="208">
        <f t="shared" si="6"/>
        <v>6.4908825701085514E-3</v>
      </c>
      <c r="AB54" s="208">
        <f t="shared" si="7"/>
        <v>2.2944576529174948E-2</v>
      </c>
      <c r="AC54" s="208">
        <f t="shared" si="8"/>
        <v>2.1445821530238343E-2</v>
      </c>
      <c r="AD54" s="208">
        <f t="shared" si="9"/>
        <v>2.0437568167317351E-2</v>
      </c>
      <c r="AE54" s="208">
        <f t="shared" si="10"/>
        <v>1.9674565622404171E-2</v>
      </c>
      <c r="AF54" s="332">
        <f>NORMSDIST((_xlfn.NORM.S.INV(AA54)-(SQRT(Baseline!$AF$11)*'MacroPD-Cal'!$R$2))/SQRT(1-Baseline!$AF$11))</f>
        <v>5.7310757425068741E-3</v>
      </c>
      <c r="AG54" s="332">
        <f>NORMSDIST((_xlfn.NORM.S.INV(AA54)-(SQRT(Baseline!$AF$11)*'MacroPD-Cal'!$R$3))/SQRT(1-Baseline!$AF$11))</f>
        <v>7.4612930298927896E-3</v>
      </c>
      <c r="AH54" s="332">
        <f>NORMSDIST((_xlfn.NORM.S.INV(AA54)-(SQRT(Baseline!$AF$11)*'MacroPD-Cal'!$R$4))/SQRT(1-Baseline!$AF$11))</f>
        <v>8.4334352261210346E-3</v>
      </c>
      <c r="AI54" s="332">
        <f>NORMSDIST((_xlfn.NORM.S.INV(AA54)-(SQRT(Baseline!$AF$11)*'MacroPD-Cal'!$R$5))/SQRT(1-Baseline!$AF$11))</f>
        <v>1.0823826219438257E-2</v>
      </c>
      <c r="AJ54" s="332">
        <f>NORMSDIST((_xlfn.NORM.S.INV(AB54)-(SQRT(Baseline!$AF$11)*'MacroPD-Cal'!$R$6))/SQRT(1-Baseline!$AF$11))</f>
        <v>1.6937857669796122E-2</v>
      </c>
      <c r="AK54" s="332">
        <f>NORMSDIST((_xlfn.NORM.S.INV(AC54)-(SQRT(Baseline!$AF$11)*'MacroPD-Cal'!$R$7))/SQRT(1-Baseline!$AF$11))</f>
        <v>1.0146925210552485E-2</v>
      </c>
      <c r="AL54" s="332">
        <f>NORMSDIST((_xlfn.NORM.S.INV(AD54)-(SQRT(Baseline!$AF$11)*'MacroPD-Cal'!$R$8))/SQRT(1-Baseline!$AF$11))</f>
        <v>2.1672811952080547E-2</v>
      </c>
      <c r="AM54" s="332">
        <f>NORMSDIST((_xlfn.NORM.S.INV(AE54)-(SQRT(Baseline!$AF$11)*'MacroPD-Cal'!$R$9))/SQRT(1-Baseline!$AF$11))</f>
        <v>2.1920833072729656E-2</v>
      </c>
      <c r="AO54" s="355"/>
      <c r="AP54" s="355"/>
      <c r="AQ54" s="355">
        <f>NORMSDIST((_xlfn.NORM.S.INV(AA54)-(SQRT(Baseline!$AF$11)*'MacroPD-Cal'!$AP$2))/SQRT(1-Baseline!$AF$11))</f>
        <v>5.936009982829624E-3</v>
      </c>
      <c r="AR54" s="355">
        <f>NORMSDIST((_xlfn.NORM.S.INV(AA54)-(SQRT(Baseline!$AF$11)*'MacroPD-Cal'!$AP$3))/SQRT(1-Baseline!$AF$11))</f>
        <v>6.9847691685201536E-3</v>
      </c>
      <c r="AS54" s="355">
        <f>NORMSDIST((_xlfn.NORM.S.INV(AA54)-(SQRT(Baseline!$AF$11)*'MacroPD-Cal'!$AP$4))/SQRT(1-Baseline!$AF$11))</f>
        <v>7.1312079321363721E-3</v>
      </c>
      <c r="AT54" s="355">
        <f>NORMSDIST((_xlfn.NORM.S.INV(AA54)-(SQRT(Baseline!$AF$11)*'MacroPD-Cal'!$AP$5))/SQRT(1-Baseline!$AF$11))</f>
        <v>9.3246798174804503E-3</v>
      </c>
      <c r="AU54" s="355">
        <f>NORMSDIST((_xlfn.NORM.S.INV(AB54)-(SQRT(Baseline!$AF$11)*'MacroPD-Cal'!$AP$6))/SQRT(1-Baseline!$AF$11))</f>
        <v>1.1586036558223446E-2</v>
      </c>
      <c r="AV54" s="355">
        <f>NORMSDIST((_xlfn.NORM.S.INV(AC54)-(SQRT(Baseline!$AF$11)*'MacroPD-Cal'!$AP$7))/SQRT(1-Baseline!$AF$11))</f>
        <v>1.3764158883259285E-2</v>
      </c>
      <c r="AW54" s="355">
        <f>NORMSDIST((_xlfn.NORM.S.INV(AD54)-(SQRT(Baseline!$AF$11)*'MacroPD-Cal'!$AP$8))/SQRT(1-Baseline!$AF$11))</f>
        <v>2.2153249171495554E-2</v>
      </c>
      <c r="AX54" s="355">
        <f>NORMSDIST((_xlfn.NORM.S.INV(AE54)-(SQRT(Baseline!$AF$11)*'MacroPD-Cal'!$AP$9))/SQRT(1-Baseline!$AF$11))</f>
        <v>2.3858577456250418E-2</v>
      </c>
      <c r="AY54" s="355">
        <f t="shared" si="11"/>
        <v>5.936009982829624E-3</v>
      </c>
      <c r="AZ54" s="355">
        <f t="shared" si="12"/>
        <v>1.2879317491837683E-2</v>
      </c>
      <c r="BA54" s="355">
        <f t="shared" si="13"/>
        <v>1.9918680332915772E-2</v>
      </c>
      <c r="BB54" s="355">
        <f t="shared" si="14"/>
        <v>2.9000000000000001E-2</v>
      </c>
      <c r="BC54" s="355"/>
      <c r="BD54" s="355"/>
      <c r="BE54" s="355"/>
      <c r="BF54" s="355"/>
      <c r="BG54" s="355">
        <f>NORMSDIST((_xlfn.NORM.S.INV($AA54)-(SQRT(Baseline!$AF$11)*'MacroPD-Cal'!$BF$2))/SQRT(1-Baseline!$AF$11))</f>
        <v>5.6231180908698749E-3</v>
      </c>
      <c r="BH54" s="355">
        <f>NORMSDIST((_xlfn.NORM.S.INV($AA54)-(SQRT(Baseline!$AF$11)*'MacroPD-Cal'!$BF$3))/SQRT(1-Baseline!$AF$11))</f>
        <v>7.9178044719891792E-3</v>
      </c>
      <c r="BI54" s="355">
        <f>NORMSDIST((_xlfn.NORM.S.INV($AA54)-(SQRT(Baseline!$AF$11)*'MacroPD-Cal'!$BF$4))/SQRT(1-Baseline!$AF$11))</f>
        <v>1.1427897294900013E-2</v>
      </c>
      <c r="BJ54" s="355">
        <f>NORMSDIST((_xlfn.NORM.S.INV($AA54)-(SQRT(Baseline!$AF$11)*'MacroPD-Cal'!$BF$5))/SQRT(1-Baseline!$AF$11))</f>
        <v>1.4949230119402263E-2</v>
      </c>
      <c r="BK54" s="355">
        <f>NORMSDIST((_xlfn.NORM.S.INV($AB54)-(SQRT(Baseline!$AF$11)*'MacroPD-Cal'!$BF$6))/SQRT(1-Baseline!$AF$11))</f>
        <v>5.4418226977204776E-2</v>
      </c>
      <c r="BL54" s="355">
        <f>NORMSDIST((_xlfn.NORM.S.INV($AC54)-(SQRT(Baseline!$AF$11)*'MacroPD-Cal'!$BF$7))/SQRT(1-Baseline!$AF$11))</f>
        <v>5.8799925336405524E-3</v>
      </c>
      <c r="BM54" s="355">
        <f>NORMSDIST((_xlfn.NORM.S.INV($AD54)-(SQRT(Baseline!$AF$11)*'MacroPD-Cal'!$BF$8))/SQRT(1-Baseline!$AF$11))</f>
        <v>1.3450401037670982E-2</v>
      </c>
      <c r="BN54" s="355">
        <f>NORMSDIST((_xlfn.NORM.S.INV($AE54)-(SQRT(Baseline!$AF$11)*'MacroPD-Cal'!$BF$9))/SQRT(1-Baseline!$AF$11))</f>
        <v>1.8896584272978832E-2</v>
      </c>
      <c r="BO54" s="355">
        <f t="shared" si="15"/>
        <v>5.6231180908698749E-3</v>
      </c>
      <c r="BP54" s="355">
        <f t="shared" si="16"/>
        <v>1.3496399813292648E-2</v>
      </c>
      <c r="BQ54" s="355">
        <f t="shared" si="17"/>
        <v>2.4770061637275465E-2</v>
      </c>
      <c r="BR54" s="355">
        <f t="shared" si="18"/>
        <v>3.9300000000000002E-2</v>
      </c>
      <c r="BS54" s="355"/>
      <c r="BT54" s="355"/>
      <c r="BU54" s="355"/>
      <c r="BV54" s="355">
        <f>NORMSDIST((_xlfn.NORM.S.INV($AA54)-(SQRT(Baseline!$AF$11)*'MacroPD-Cal'!$BU$2))/SQRT(1-Baseline!$AF$11))</f>
        <v>5.4090921358922028E-3</v>
      </c>
      <c r="BW54" s="355">
        <f>NORMSDIST((_xlfn.NORM.S.INV($AA54)-(SQRT(Baseline!$AF$11)*'MacroPD-Cal'!$BU$3))/SQRT(1-Baseline!$AF$11))</f>
        <v>8.2752260000846234E-3</v>
      </c>
      <c r="BX54" s="355">
        <f>NORMSDIST((_xlfn.NORM.S.INV($AA54)-(SQRT(Baseline!$AF$11)*'MacroPD-Cal'!$BU$4))/SQRT(1-Baseline!$AF$11))</f>
        <v>1.0687424122736036E-2</v>
      </c>
      <c r="BY54" s="355">
        <f>NORMSDIST((_xlfn.NORM.S.INV($AA54)-(SQRT(Baseline!$AF$11)*'MacroPD-Cal'!$BU$5))/SQRT(1-Baseline!$AF$11))</f>
        <v>1.3263559488264312E-2</v>
      </c>
      <c r="BZ54" s="355">
        <f>NORMSDIST((_xlfn.NORM.S.INV($AB54)-(SQRT(Baseline!$AF$11)*'MacroPD-Cal'!$BU$6))/SQRT(1-Baseline!$AF$11))</f>
        <v>2.6185620000191107E-2</v>
      </c>
      <c r="CA54" s="355">
        <f>NORMSDIST((_xlfn.NORM.S.INV($AC54)-(SQRT(Baseline!$AF$11)*'MacroPD-Cal'!$BU59))/SQRT(1-Baseline!$AF$11))</f>
        <v>1.2676627189099995E-2</v>
      </c>
      <c r="CB54" s="355">
        <f>NORMSDIST((_xlfn.NORM.S.INV($AD54)-(SQRT(Baseline!$AF$11)*'MacroPD-Cal'!$BU$8))/SQRT(1-Baseline!$AF$11))</f>
        <v>2.2289970813664069E-2</v>
      </c>
      <c r="CC54" s="355">
        <f>NORMSDIST((_xlfn.NORM.S.INV($AE54)-(SQRT(Baseline!$AF$11)*'MacroPD-Cal'!$BU$9))/SQRT(1-Baseline!$AF$11))</f>
        <v>1.9317368935666268E-2</v>
      </c>
      <c r="CD54" s="355">
        <f t="shared" si="19"/>
        <v>5.4090921358922028E-3</v>
      </c>
      <c r="CE54" s="355">
        <f t="shared" si="20"/>
        <v>1.3639556676097175E-2</v>
      </c>
      <c r="CF54" s="355">
        <f t="shared" si="21"/>
        <v>2.4181209071789667E-2</v>
      </c>
      <c r="CG54" s="355">
        <f t="shared" si="22"/>
        <v>3.7100000000000001E-2</v>
      </c>
      <c r="CH54" s="355"/>
      <c r="CI54" s="355"/>
      <c r="CR54" s="345">
        <f t="shared" si="23"/>
        <v>0.17909611695333982</v>
      </c>
      <c r="CS54" s="345">
        <f t="shared" si="24"/>
        <v>0.41092523552838101</v>
      </c>
      <c r="CT54" s="345">
        <f t="shared" si="25"/>
        <v>0.67100457498805655</v>
      </c>
      <c r="CU54" s="345">
        <f t="shared" si="26"/>
        <v>1</v>
      </c>
    </row>
    <row r="55" spans="1:99" s="166" customFormat="1" x14ac:dyDescent="0.25">
      <c r="A55" s="464">
        <v>1200000111</v>
      </c>
      <c r="B55" s="470">
        <f>VLOOKUP(A55,'Ref-Data'!A:I,9,FALSE)</f>
        <v>1</v>
      </c>
      <c r="C55" s="445">
        <f>IF(B55="Matured","",VLOOKUP(A55,'Adjustment Factor'!A:C,3,0))</f>
        <v>2.23</v>
      </c>
      <c r="D55" s="190">
        <f>VLOOKUP(A55,'Ref-Data'!A:C,2,FALSE)</f>
        <v>266666.56</v>
      </c>
      <c r="E55" s="471">
        <f>IFERROR(IF(VLOOKUP(A55,'Updated Ncino PD'!$A:$K,4,0)=0,"",VLOOKUP(A55,'Updated Ncino PD'!$A:$K,4,0)),AF55)</f>
        <v>8.2325963782694243E-4</v>
      </c>
      <c r="F55" s="472">
        <f>IFERROR(IF(VLOOKUP(A55,'Updated Ncino PD'!$A:$K,5,0)=0,"",VLOOKUP(A55,'Updated Ncino PD'!$A:$K,5,0)),1-((1-AG55)*(1-E55)))</f>
        <v>1.9532505345530859E-3</v>
      </c>
      <c r="G55" s="472">
        <f>IFERROR(IF(VLOOKUP(A55,'Updated Ncino PD'!$A:$K,6,0)=0,"",VLOOKUP(A55,'Updated Ncino PD'!$A:$K,6,0)),1-((1-AF55)*(1-AG55)*(1-AH55)))</f>
        <v>3.2618807560202967E-3</v>
      </c>
      <c r="H55" s="472">
        <f>IFERROR(IF(VLOOKUP(A55,'Updated Ncino PD'!$A:$K,7,0)=0,"",VLOOKUP(A55,'Updated Ncino PD'!$A:$K,7,0)),IFERROR(VLOOKUP(A55,'Updated Ncino PD'!A:B,2,FALSE),FLOOR(1-((1-AG55)*(1-AH55)*(1-AI55)*(1-AF55)),$R$11)))</f>
        <v>5.0000000000000001E-3</v>
      </c>
      <c r="I55" s="472">
        <f>IFERROR(IF(VLOOKUP(A55,'Updated Ncino PD'!$A:$K,8,0)=0,"",VLOOKUP(A55,'Updated Ncino PD'!$A:$K,8,0)),FLOOR(1-((1-H55)*(1-AJ55)),$R$11))</f>
        <v>8.3000000000000001E-3</v>
      </c>
      <c r="J55" s="472">
        <f>IFERROR(IF(VLOOKUP(A55,'Updated Ncino PD'!$A:$K,9,0)=0,"",VLOOKUP(A55,'Updated Ncino PD'!$A:$K,9,0)),FLOOR(1-((1-H55)*(1-AJ55)*(1-AK55)),$R$11))</f>
        <v>1.06E-2</v>
      </c>
      <c r="K55" s="472">
        <f>IFERROR(IF(VLOOKUP(A55,'Updated Ncino PD'!$A:$K,10,0)=0,"",VLOOKUP(A55,'Updated Ncino PD'!$A:$K,10,0)),FLOOR(1-((1-H55)*(1-AJ55)*(1-AK55)*(1-AL55)),$R$11))</f>
        <v>1.7100000000000001E-2</v>
      </c>
      <c r="L55" s="472">
        <f>IFERROR(IF(VLOOKUP(A55,'Updated Ncino PD'!$A:$K,11,0)=0,"",VLOOKUP(A55,'Updated Ncino PD'!$A:$K,11,0)),FLOOR(1-((1-H55)*(1-AJ55)*(1-AK55)*(1-AL55)*(1-AM55)),$R$11))</f>
        <v>2.4400000000000002E-2</v>
      </c>
      <c r="M55" s="224">
        <f>VLOOKUP(A55,'Ref-Data'!$A:$F,6,FALSE)</f>
        <v>0.7885010266940452</v>
      </c>
      <c r="N55" s="191">
        <f t="shared" si="3"/>
        <v>3.9445939437432465E-3</v>
      </c>
      <c r="O55" s="191">
        <f t="shared" si="4"/>
        <v>5.0000000000000001E-3</v>
      </c>
      <c r="P55" s="459" t="str">
        <f>VLOOKUP(A55,'Loan Book Summary'!C:G,5,FALSE)</f>
        <v>0015800001RC0fT</v>
      </c>
      <c r="S55" s="203"/>
      <c r="T55" s="332">
        <f>IFERROR(VLOOKUP($P55,'Model Output-LoanNameUpdate'!$A:$K,2,FALSE),CL55)</f>
        <v>2.085E-3</v>
      </c>
      <c r="U55" s="332">
        <f>1-(1-IFERROR(VLOOKUP($P55,'Model Output-LoanNameUpdate'!$A:$K,2,FALSE),CL55))^(1/4)</f>
        <v>5.2165804874093613E-4</v>
      </c>
      <c r="V55" s="332">
        <f>IFERROR(VLOOKUP($P55,'Model Output-LoanNameUpdate'!$A:$K,3,FALSE),CM55)</f>
        <v>2.5850000000000001E-3</v>
      </c>
      <c r="W55" s="332">
        <f>IFERROR(VLOOKUP($P55,'Model Output-LoanNameUpdate'!$A:$K,4,FALSE),CN55)</f>
        <v>2.885E-3</v>
      </c>
      <c r="X55" s="332">
        <f>IFERROR(VLOOKUP($P55,'Model Output-LoanNameUpdate'!$A:$K,5,FALSE),CO55)</f>
        <v>3.0899999999999999E-3</v>
      </c>
      <c r="Y55" s="332">
        <f>IFERROR(VLOOKUP($P55,'Model Output-LoanNameUpdate'!$A:$K,6,FALSE),CP55)</f>
        <v>3.29E-3</v>
      </c>
      <c r="Z55" s="207">
        <f t="shared" si="5"/>
        <v>2.23</v>
      </c>
      <c r="AA55" s="208">
        <f t="shared" si="6"/>
        <v>1.1632974486922875E-3</v>
      </c>
      <c r="AB55" s="208">
        <f t="shared" si="7"/>
        <v>5.7645500000000002E-3</v>
      </c>
      <c r="AC55" s="208">
        <f t="shared" si="8"/>
        <v>6.4335499999999997E-3</v>
      </c>
      <c r="AD55" s="208">
        <f t="shared" si="9"/>
        <v>6.8906999999999996E-3</v>
      </c>
      <c r="AE55" s="208">
        <f t="shared" si="10"/>
        <v>7.3366999999999998E-3</v>
      </c>
      <c r="AF55" s="332">
        <f>NORMSDIST((_xlfn.NORM.S.INV(AA55)-(SQRT(Baseline!$AF$11)*'MacroPD-Cal'!$R$2))/SQRT(1-Baseline!$AF$11))</f>
        <v>8.2325963782694243E-4</v>
      </c>
      <c r="AG55" s="332">
        <f>NORMSDIST((_xlfn.NORM.S.INV(AA55)-(SQRT(Baseline!$AF$11)*'MacroPD-Cal'!$R$3))/SQRT(1-Baseline!$AF$11))</f>
        <v>1.1309219391121401E-3</v>
      </c>
      <c r="AH55" s="332">
        <f>NORMSDIST((_xlfn.NORM.S.INV(AA55)-(SQRT(Baseline!$AF$11)*'MacroPD-Cal'!$R$4))/SQRT(1-Baseline!$AF$11))</f>
        <v>1.311191306587704E-3</v>
      </c>
      <c r="AI55" s="332">
        <f>NORMSDIST((_xlfn.NORM.S.INV(AA55)-(SQRT(Baseline!$AF$11)*'MacroPD-Cal'!$R$5))/SQRT(1-Baseline!$AF$11))</f>
        <v>1.7741885412567236E-3</v>
      </c>
      <c r="AJ55" s="332">
        <f>NORMSDIST((_xlfn.NORM.S.INV(AB55)-(SQRT(Baseline!$AF$11)*'MacroPD-Cal'!$R$6))/SQRT(1-Baseline!$AF$11))</f>
        <v>3.3983481648113627E-3</v>
      </c>
      <c r="AK55" s="332">
        <f>NORMSDIST((_xlfn.NORM.S.INV(AC55)-(SQRT(Baseline!$AF$11)*'MacroPD-Cal'!$R$7))/SQRT(1-Baseline!$AF$11))</f>
        <v>2.3143684528825594E-3</v>
      </c>
      <c r="AL55" s="332">
        <f>NORMSDIST((_xlfn.NORM.S.INV(AD55)-(SQRT(Baseline!$AF$11)*'MacroPD-Cal'!$R$8))/SQRT(1-Baseline!$AF$11))</f>
        <v>6.5305832710493023E-3</v>
      </c>
      <c r="AM55" s="332">
        <f>NORMSDIST((_xlfn.NORM.S.INV(AE55)-(SQRT(Baseline!$AF$11)*'MacroPD-Cal'!$R$9))/SQRT(1-Baseline!$AF$11))</f>
        <v>7.4449302120199517E-3</v>
      </c>
      <c r="AO55" s="355"/>
      <c r="AP55" s="355"/>
      <c r="AQ55" s="355">
        <f>NORMSDIST((_xlfn.NORM.S.INV(AA55)-(SQRT(Baseline!$AF$11)*'MacroPD-Cal'!$AP$2))/SQRT(1-Baseline!$AF$11))</f>
        <v>8.587461293815637E-4</v>
      </c>
      <c r="AR55" s="355">
        <f>NORMSDIST((_xlfn.NORM.S.INV(AA55)-(SQRT(Baseline!$AF$11)*'MacroPD-Cal'!$AP$3))/SQRT(1-Baseline!$AF$11))</f>
        <v>1.0444279521314129E-3</v>
      </c>
      <c r="AS55" s="355">
        <f>NORMSDIST((_xlfn.NORM.S.INV(AA55)-(SQRT(Baseline!$AF$11)*'MacroPD-Cal'!$AP$4))/SQRT(1-Baseline!$AF$11))</f>
        <v>1.0708720970451363E-3</v>
      </c>
      <c r="AT55" s="355">
        <f>NORMSDIST((_xlfn.NORM.S.INV(AA55)-(SQRT(Baseline!$AF$11)*'MacroPD-Cal'!$AP$5))/SQRT(1-Baseline!$AF$11))</f>
        <v>1.4806828048939378E-3</v>
      </c>
      <c r="AU55" s="355">
        <f>NORMSDIST((_xlfn.NORM.S.INV(AB55)-(SQRT(Baseline!$AF$11)*'MacroPD-Cal'!$AP$6))/SQRT(1-Baseline!$AF$11))</f>
        <v>2.1472228225990894E-3</v>
      </c>
      <c r="AV55" s="355">
        <f>NORMSDIST((_xlfn.NORM.S.INV(AC55)-(SQRT(Baseline!$AF$11)*'MacroPD-Cal'!$AP$7))/SQRT(1-Baseline!$AF$11))</f>
        <v>3.3150965198512068E-3</v>
      </c>
      <c r="AW55" s="355">
        <f>NORMSDIST((_xlfn.NORM.S.INV(AD55)-(SQRT(Baseline!$AF$11)*'MacroPD-Cal'!$AP$8))/SQRT(1-Baseline!$AF$11))</f>
        <v>6.7008484241788645E-3</v>
      </c>
      <c r="AX55" s="355">
        <f>NORMSDIST((_xlfn.NORM.S.INV(AE55)-(SQRT(Baseline!$AF$11)*'MacroPD-Cal'!$AP$9))/SQRT(1-Baseline!$AF$11))</f>
        <v>8.2126833027762764E-3</v>
      </c>
      <c r="AY55" s="355">
        <f t="shared" si="11"/>
        <v>8.587461293815637E-4</v>
      </c>
      <c r="AZ55" s="355">
        <f t="shared" si="12"/>
        <v>1.9022771830516927E-3</v>
      </c>
      <c r="BA55" s="355">
        <f t="shared" si="13"/>
        <v>2.971112184540714E-3</v>
      </c>
      <c r="BB55" s="355">
        <f t="shared" si="14"/>
        <v>4.4000000000000003E-3</v>
      </c>
      <c r="BC55" s="355"/>
      <c r="BD55" s="355"/>
      <c r="BE55" s="355"/>
      <c r="BF55" s="355"/>
      <c r="BG55" s="355">
        <f>NORMSDIST((_xlfn.NORM.S.INV($AA55)-(SQRT(Baseline!$AF$11)*'MacroPD-Cal'!$BF$2))/SQRT(1-Baseline!$AF$11))</f>
        <v>8.046757531220861E-4</v>
      </c>
      <c r="BH55" s="355">
        <f>NORMSDIST((_xlfn.NORM.S.INV($AA55)-(SQRT(Baseline!$AF$11)*'MacroPD-Cal'!$BF$3))/SQRT(1-Baseline!$AF$11))</f>
        <v>1.2149542733381497E-3</v>
      </c>
      <c r="BI55" s="355">
        <f>NORMSDIST((_xlfn.NORM.S.INV($AA55)-(SQRT(Baseline!$AF$11)*'MacroPD-Cal'!$BF$4))/SQRT(1-Baseline!$AF$11))</f>
        <v>1.8952497316073785E-3</v>
      </c>
      <c r="BJ55" s="355">
        <f>NORMSDIST((_xlfn.NORM.S.INV($AA55)-(SQRT(Baseline!$AF$11)*'MacroPD-Cal'!$BF$5))/SQRT(1-Baseline!$AF$11))</f>
        <v>2.6298209250147616E-3</v>
      </c>
      <c r="BK55" s="355">
        <f>NORMSDIST((_xlfn.NORM.S.INV($AB55)-(SQRT(Baseline!$AF$11)*'MacroPD-Cal'!$BF$6))/SQRT(1-Baseline!$AF$11))</f>
        <v>1.4315085889290218E-2</v>
      </c>
      <c r="BL55" s="355">
        <f>NORMSDIST((_xlfn.NORM.S.INV($AC55)-(SQRT(Baseline!$AF$11)*'MacroPD-Cal'!$BF$7))/SQRT(1-Baseline!$AF$11))</f>
        <v>1.221993267996181E-3</v>
      </c>
      <c r="BM55" s="355">
        <f>NORMSDIST((_xlfn.NORM.S.INV($AD55)-(SQRT(Baseline!$AF$11)*'MacroPD-Cal'!$BF$8))/SQRT(1-Baseline!$AF$11))</f>
        <v>3.7399506796452686E-3</v>
      </c>
      <c r="BN55" s="355">
        <f>NORMSDIST((_xlfn.NORM.S.INV($AE55)-(SQRT(Baseline!$AF$11)*'MacroPD-Cal'!$BF$9))/SQRT(1-Baseline!$AF$11))</f>
        <v>6.2706410401696449E-3</v>
      </c>
      <c r="BO55" s="355">
        <f t="shared" si="15"/>
        <v>8.046757531220861E-4</v>
      </c>
      <c r="BP55" s="355">
        <f t="shared" si="16"/>
        <v>2.0186523822153246E-3</v>
      </c>
      <c r="BQ55" s="355">
        <f t="shared" si="17"/>
        <v>3.91007626343709E-3</v>
      </c>
      <c r="BR55" s="355">
        <f t="shared" si="18"/>
        <v>6.5000000000000006E-3</v>
      </c>
      <c r="BS55" s="355"/>
      <c r="BT55" s="355"/>
      <c r="BU55" s="355"/>
      <c r="BV55" s="355">
        <f>NORMSDIST((_xlfn.NORM.S.INV($AA55)-(SQRT(Baseline!$AF$11)*'MacroPD-Cal'!$BU$2))/SQRT(1-Baseline!$AF$11))</f>
        <v>7.6806255334268268E-4</v>
      </c>
      <c r="BW55" s="355">
        <f>NORMSDIST((_xlfn.NORM.S.INV($AA55)-(SQRT(Baseline!$AF$11)*'MacroPD-Cal'!$BU$3))/SQRT(1-Baseline!$AF$11))</f>
        <v>1.2815173310997904E-3</v>
      </c>
      <c r="BX55" s="355">
        <f>NORMSDIST((_xlfn.NORM.S.INV($AA55)-(SQRT(Baseline!$AF$11)*'MacroPD-Cal'!$BU$4))/SQRT(1-Baseline!$AF$11))</f>
        <v>1.7470684703028135E-3</v>
      </c>
      <c r="BY55" s="355">
        <f>NORMSDIST((_xlfn.NORM.S.INV($AA55)-(SQRT(Baseline!$AF$11)*'MacroPD-Cal'!$BU$5))/SQRT(1-Baseline!$AF$11))</f>
        <v>2.2722781429384826E-3</v>
      </c>
      <c r="BZ55" s="355">
        <f>NORMSDIST((_xlfn.NORM.S.INV($AB55)-(SQRT(Baseline!$AF$11)*'MacroPD-Cal'!$BU$6))/SQRT(1-Baseline!$AF$11))</f>
        <v>5.7821788347826291E-3</v>
      </c>
      <c r="CA55" s="355">
        <f>NORMSDIST((_xlfn.NORM.S.INV($AC55)-(SQRT(Baseline!$AF$11)*'MacroPD-Cal'!$BU60))/SQRT(1-Baseline!$AF$11))</f>
        <v>3.0080447420503496E-3</v>
      </c>
      <c r="CB55" s="355">
        <f>NORMSDIST((_xlfn.NORM.S.INV($AD55)-(SQRT(Baseline!$AF$11)*'MacroPD-Cal'!$BU$8))/SQRT(1-Baseline!$AF$11))</f>
        <v>6.7494335524271448E-3</v>
      </c>
      <c r="CC55" s="355">
        <f>NORMSDIST((_xlfn.NORM.S.INV($AE55)-(SQRT(Baseline!$AF$11)*'MacroPD-Cal'!$BU$9))/SQRT(1-Baseline!$AF$11))</f>
        <v>6.4321933554235995E-3</v>
      </c>
      <c r="CD55" s="355">
        <f t="shared" si="19"/>
        <v>7.6806255334268268E-4</v>
      </c>
      <c r="CE55" s="355">
        <f t="shared" si="20"/>
        <v>2.0485955989690829E-3</v>
      </c>
      <c r="CF55" s="355">
        <f t="shared" si="21"/>
        <v>3.7920850324925093E-3</v>
      </c>
      <c r="CG55" s="355">
        <f t="shared" si="22"/>
        <v>6.0000000000000001E-3</v>
      </c>
      <c r="CH55" s="355"/>
      <c r="CI55" s="355"/>
      <c r="CR55" s="345">
        <f t="shared" si="23"/>
        <v>0.16465192756538849</v>
      </c>
      <c r="CS55" s="345">
        <f t="shared" si="24"/>
        <v>0.39065010691061719</v>
      </c>
      <c r="CT55" s="345">
        <f t="shared" si="25"/>
        <v>0.65237615120405934</v>
      </c>
      <c r="CU55" s="345">
        <f t="shared" si="26"/>
        <v>1</v>
      </c>
    </row>
    <row r="56" spans="1:99" s="166" customFormat="1" x14ac:dyDescent="0.25">
      <c r="A56" s="464">
        <v>1200000112</v>
      </c>
      <c r="B56" s="470">
        <f>VLOOKUP(A56,'Ref-Data'!A:I,9,FALSE)</f>
        <v>1</v>
      </c>
      <c r="C56" s="445">
        <f>IF(B56="Matured","",VLOOKUP(A56,'Adjustment Factor'!A:C,3,0))</f>
        <v>2.23</v>
      </c>
      <c r="D56" s="190">
        <f>VLOOKUP(A56,'Ref-Data'!A:C,2,FALSE)</f>
        <v>300000</v>
      </c>
      <c r="E56" s="471">
        <f>IFERROR(IF(VLOOKUP(A56,'Updated Ncino PD'!$A:$K,4,0)=0,"",VLOOKUP(A56,'Updated Ncino PD'!$A:$K,4,0)),AF56)</f>
        <v>8.2325963782694243E-4</v>
      </c>
      <c r="F56" s="472">
        <f>IFERROR(IF(VLOOKUP(A56,'Updated Ncino PD'!$A:$K,5,0)=0,"",VLOOKUP(A56,'Updated Ncino PD'!$A:$K,5,0)),1-((1-AG56)*(1-E56)))</f>
        <v>1.9532505345530859E-3</v>
      </c>
      <c r="G56" s="472">
        <f>IFERROR(IF(VLOOKUP(A56,'Updated Ncino PD'!$A:$K,6,0)=0,"",VLOOKUP(A56,'Updated Ncino PD'!$A:$K,6,0)),1-((1-AF56)*(1-AG56)*(1-AH56)))</f>
        <v>3.2618807560202967E-3</v>
      </c>
      <c r="H56" s="472">
        <f>IFERROR(IF(VLOOKUP(A56,'Updated Ncino PD'!$A:$K,7,0)=0,"",VLOOKUP(A56,'Updated Ncino PD'!$A:$K,7,0)),IFERROR(VLOOKUP(A56,'Updated Ncino PD'!A:B,2,FALSE),FLOOR(1-((1-AG56)*(1-AH56)*(1-AI56)*(1-AF56)),$R$11)))</f>
        <v>5.0000000000000001E-3</v>
      </c>
      <c r="I56" s="472">
        <f>IFERROR(IF(VLOOKUP(A56,'Updated Ncino PD'!$A:$K,8,0)=0,"",VLOOKUP(A56,'Updated Ncino PD'!$A:$K,8,0)),FLOOR(1-((1-H56)*(1-AJ56)),$R$11))</f>
        <v>8.3000000000000001E-3</v>
      </c>
      <c r="J56" s="472">
        <f>IFERROR(IF(VLOOKUP(A56,'Updated Ncino PD'!$A:$K,9,0)=0,"",VLOOKUP(A56,'Updated Ncino PD'!$A:$K,9,0)),FLOOR(1-((1-H56)*(1-AJ56)*(1-AK56)),$R$11))</f>
        <v>1.06E-2</v>
      </c>
      <c r="K56" s="472">
        <f>IFERROR(IF(VLOOKUP(A56,'Updated Ncino PD'!$A:$K,10,0)=0,"",VLOOKUP(A56,'Updated Ncino PD'!$A:$K,10,0)),FLOOR(1-((1-H56)*(1-AJ56)*(1-AK56)*(1-AL56)),$R$11))</f>
        <v>1.7100000000000001E-2</v>
      </c>
      <c r="L56" s="472">
        <f>IFERROR(IF(VLOOKUP(A56,'Updated Ncino PD'!$A:$K,11,0)=0,"",VLOOKUP(A56,'Updated Ncino PD'!$A:$K,11,0)),FLOOR(1-((1-H56)*(1-AJ56)*(1-AK56)*(1-AL56)*(1-AM56)),$R$11))</f>
        <v>2.4400000000000002E-2</v>
      </c>
      <c r="M56" s="224">
        <f>VLOOKUP(A56,'Ref-Data'!$A:$F,6,FALSE)</f>
        <v>0.72553045859000687</v>
      </c>
      <c r="N56" s="191">
        <f t="shared" si="3"/>
        <v>3.6301467955345279E-3</v>
      </c>
      <c r="O56" s="191">
        <f t="shared" si="4"/>
        <v>5.0000000000000001E-3</v>
      </c>
      <c r="P56" s="459" t="str">
        <f>VLOOKUP(A56,'Loan Book Summary'!C:G,5,FALSE)</f>
        <v>0015800001RC0fT</v>
      </c>
      <c r="S56" s="203"/>
      <c r="T56" s="332">
        <f>IFERROR(VLOOKUP($P56,'Model Output-LoanNameUpdate'!$A:$K,2,FALSE),CL56)</f>
        <v>2.085E-3</v>
      </c>
      <c r="U56" s="332">
        <f>1-(1-IFERROR(VLOOKUP($P56,'Model Output-LoanNameUpdate'!$A:$K,2,FALSE),CL56))^(1/4)</f>
        <v>5.2165804874093613E-4</v>
      </c>
      <c r="V56" s="332">
        <f>IFERROR(VLOOKUP($P56,'Model Output-LoanNameUpdate'!$A:$K,3,FALSE),CM56)</f>
        <v>2.5850000000000001E-3</v>
      </c>
      <c r="W56" s="332">
        <f>IFERROR(VLOOKUP($P56,'Model Output-LoanNameUpdate'!$A:$K,4,FALSE),CN56)</f>
        <v>2.885E-3</v>
      </c>
      <c r="X56" s="332">
        <f>IFERROR(VLOOKUP($P56,'Model Output-LoanNameUpdate'!$A:$K,5,FALSE),CO56)</f>
        <v>3.0899999999999999E-3</v>
      </c>
      <c r="Y56" s="332">
        <f>IFERROR(VLOOKUP($P56,'Model Output-LoanNameUpdate'!$A:$K,6,FALSE),CP56)</f>
        <v>3.29E-3</v>
      </c>
      <c r="Z56" s="207">
        <f t="shared" si="5"/>
        <v>2.23</v>
      </c>
      <c r="AA56" s="208">
        <f t="shared" si="6"/>
        <v>1.1632974486922875E-3</v>
      </c>
      <c r="AB56" s="208">
        <f t="shared" si="7"/>
        <v>5.7645500000000002E-3</v>
      </c>
      <c r="AC56" s="208">
        <f t="shared" si="8"/>
        <v>6.4335499999999997E-3</v>
      </c>
      <c r="AD56" s="208">
        <f t="shared" si="9"/>
        <v>6.8906999999999996E-3</v>
      </c>
      <c r="AE56" s="208">
        <f t="shared" si="10"/>
        <v>7.3366999999999998E-3</v>
      </c>
      <c r="AF56" s="332">
        <f>NORMSDIST((_xlfn.NORM.S.INV(AA56)-(SQRT(Baseline!$AF$11)*'MacroPD-Cal'!$R$2))/SQRT(1-Baseline!$AF$11))</f>
        <v>8.2325963782694243E-4</v>
      </c>
      <c r="AG56" s="332">
        <f>NORMSDIST((_xlfn.NORM.S.INV(AA56)-(SQRT(Baseline!$AF$11)*'MacroPD-Cal'!$R$3))/SQRT(1-Baseline!$AF$11))</f>
        <v>1.1309219391121401E-3</v>
      </c>
      <c r="AH56" s="332">
        <f>NORMSDIST((_xlfn.NORM.S.INV(AA56)-(SQRT(Baseline!$AF$11)*'MacroPD-Cal'!$R$4))/SQRT(1-Baseline!$AF$11))</f>
        <v>1.311191306587704E-3</v>
      </c>
      <c r="AI56" s="332">
        <f>NORMSDIST((_xlfn.NORM.S.INV(AA56)-(SQRT(Baseline!$AF$11)*'MacroPD-Cal'!$R$5))/SQRT(1-Baseline!$AF$11))</f>
        <v>1.7741885412567236E-3</v>
      </c>
      <c r="AJ56" s="332">
        <f>NORMSDIST((_xlfn.NORM.S.INV(AB56)-(SQRT(Baseline!$AF$11)*'MacroPD-Cal'!$R$6))/SQRT(1-Baseline!$AF$11))</f>
        <v>3.3983481648113627E-3</v>
      </c>
      <c r="AK56" s="332">
        <f>NORMSDIST((_xlfn.NORM.S.INV(AC56)-(SQRT(Baseline!$AF$11)*'MacroPD-Cal'!$R$7))/SQRT(1-Baseline!$AF$11))</f>
        <v>2.3143684528825594E-3</v>
      </c>
      <c r="AL56" s="332">
        <f>NORMSDIST((_xlfn.NORM.S.INV(AD56)-(SQRT(Baseline!$AF$11)*'MacroPD-Cal'!$R$8))/SQRT(1-Baseline!$AF$11))</f>
        <v>6.5305832710493023E-3</v>
      </c>
      <c r="AM56" s="332">
        <f>NORMSDIST((_xlfn.NORM.S.INV(AE56)-(SQRT(Baseline!$AF$11)*'MacroPD-Cal'!$R$9))/SQRT(1-Baseline!$AF$11))</f>
        <v>7.4449302120199517E-3</v>
      </c>
      <c r="AO56" s="355"/>
      <c r="AP56" s="355"/>
      <c r="AQ56" s="355">
        <f>NORMSDIST((_xlfn.NORM.S.INV(AA56)-(SQRT(Baseline!$AF$11)*'MacroPD-Cal'!$AP$2))/SQRT(1-Baseline!$AF$11))</f>
        <v>8.587461293815637E-4</v>
      </c>
      <c r="AR56" s="355">
        <f>NORMSDIST((_xlfn.NORM.S.INV(AA56)-(SQRT(Baseline!$AF$11)*'MacroPD-Cal'!$AP$3))/SQRT(1-Baseline!$AF$11))</f>
        <v>1.0444279521314129E-3</v>
      </c>
      <c r="AS56" s="355">
        <f>NORMSDIST((_xlfn.NORM.S.INV(AA56)-(SQRT(Baseline!$AF$11)*'MacroPD-Cal'!$AP$4))/SQRT(1-Baseline!$AF$11))</f>
        <v>1.0708720970451363E-3</v>
      </c>
      <c r="AT56" s="355">
        <f>NORMSDIST((_xlfn.NORM.S.INV(AA56)-(SQRT(Baseline!$AF$11)*'MacroPD-Cal'!$AP$5))/SQRT(1-Baseline!$AF$11))</f>
        <v>1.4806828048939378E-3</v>
      </c>
      <c r="AU56" s="355">
        <f>NORMSDIST((_xlfn.NORM.S.INV(AB56)-(SQRT(Baseline!$AF$11)*'MacroPD-Cal'!$AP$6))/SQRT(1-Baseline!$AF$11))</f>
        <v>2.1472228225990894E-3</v>
      </c>
      <c r="AV56" s="355">
        <f>NORMSDIST((_xlfn.NORM.S.INV(AC56)-(SQRT(Baseline!$AF$11)*'MacroPD-Cal'!$AP$7))/SQRT(1-Baseline!$AF$11))</f>
        <v>3.3150965198512068E-3</v>
      </c>
      <c r="AW56" s="355">
        <f>NORMSDIST((_xlfn.NORM.S.INV(AD56)-(SQRT(Baseline!$AF$11)*'MacroPD-Cal'!$AP$8))/SQRT(1-Baseline!$AF$11))</f>
        <v>6.7008484241788645E-3</v>
      </c>
      <c r="AX56" s="355">
        <f>NORMSDIST((_xlfn.NORM.S.INV(AE56)-(SQRT(Baseline!$AF$11)*'MacroPD-Cal'!$AP$9))/SQRT(1-Baseline!$AF$11))</f>
        <v>8.2126833027762764E-3</v>
      </c>
      <c r="AY56" s="355">
        <f t="shared" si="11"/>
        <v>8.587461293815637E-4</v>
      </c>
      <c r="AZ56" s="355">
        <f t="shared" si="12"/>
        <v>1.9022771830516927E-3</v>
      </c>
      <c r="BA56" s="355">
        <f t="shared" si="13"/>
        <v>2.971112184540714E-3</v>
      </c>
      <c r="BB56" s="355">
        <f t="shared" si="14"/>
        <v>4.4000000000000003E-3</v>
      </c>
      <c r="BC56" s="355"/>
      <c r="BD56" s="355"/>
      <c r="BE56" s="355"/>
      <c r="BF56" s="355"/>
      <c r="BG56" s="355">
        <f>NORMSDIST((_xlfn.NORM.S.INV($AA56)-(SQRT(Baseline!$AF$11)*'MacroPD-Cal'!$BF$2))/SQRT(1-Baseline!$AF$11))</f>
        <v>8.046757531220861E-4</v>
      </c>
      <c r="BH56" s="355">
        <f>NORMSDIST((_xlfn.NORM.S.INV($AA56)-(SQRT(Baseline!$AF$11)*'MacroPD-Cal'!$BF$3))/SQRT(1-Baseline!$AF$11))</f>
        <v>1.2149542733381497E-3</v>
      </c>
      <c r="BI56" s="355">
        <f>NORMSDIST((_xlfn.NORM.S.INV($AA56)-(SQRT(Baseline!$AF$11)*'MacroPD-Cal'!$BF$4))/SQRT(1-Baseline!$AF$11))</f>
        <v>1.8952497316073785E-3</v>
      </c>
      <c r="BJ56" s="355">
        <f>NORMSDIST((_xlfn.NORM.S.INV($AA56)-(SQRT(Baseline!$AF$11)*'MacroPD-Cal'!$BF$5))/SQRT(1-Baseline!$AF$11))</f>
        <v>2.6298209250147616E-3</v>
      </c>
      <c r="BK56" s="355">
        <f>NORMSDIST((_xlfn.NORM.S.INV($AB56)-(SQRT(Baseline!$AF$11)*'MacroPD-Cal'!$BF$6))/SQRT(1-Baseline!$AF$11))</f>
        <v>1.4315085889290218E-2</v>
      </c>
      <c r="BL56" s="355">
        <f>NORMSDIST((_xlfn.NORM.S.INV($AC56)-(SQRT(Baseline!$AF$11)*'MacroPD-Cal'!$BF$7))/SQRT(1-Baseline!$AF$11))</f>
        <v>1.221993267996181E-3</v>
      </c>
      <c r="BM56" s="355">
        <f>NORMSDIST((_xlfn.NORM.S.INV($AD56)-(SQRT(Baseline!$AF$11)*'MacroPD-Cal'!$BF$8))/SQRT(1-Baseline!$AF$11))</f>
        <v>3.7399506796452686E-3</v>
      </c>
      <c r="BN56" s="355">
        <f>NORMSDIST((_xlfn.NORM.S.INV($AE56)-(SQRT(Baseline!$AF$11)*'MacroPD-Cal'!$BF$9))/SQRT(1-Baseline!$AF$11))</f>
        <v>6.2706410401696449E-3</v>
      </c>
      <c r="BO56" s="355">
        <f t="shared" si="15"/>
        <v>8.046757531220861E-4</v>
      </c>
      <c r="BP56" s="355">
        <f t="shared" si="16"/>
        <v>2.0186523822153246E-3</v>
      </c>
      <c r="BQ56" s="355">
        <f t="shared" si="17"/>
        <v>3.91007626343709E-3</v>
      </c>
      <c r="BR56" s="355">
        <f t="shared" si="18"/>
        <v>6.5000000000000006E-3</v>
      </c>
      <c r="BS56" s="355"/>
      <c r="BT56" s="355"/>
      <c r="BU56" s="355"/>
      <c r="BV56" s="355">
        <f>NORMSDIST((_xlfn.NORM.S.INV($AA56)-(SQRT(Baseline!$AF$11)*'MacroPD-Cal'!$BU$2))/SQRT(1-Baseline!$AF$11))</f>
        <v>7.6806255334268268E-4</v>
      </c>
      <c r="BW56" s="355">
        <f>NORMSDIST((_xlfn.NORM.S.INV($AA56)-(SQRT(Baseline!$AF$11)*'MacroPD-Cal'!$BU$3))/SQRT(1-Baseline!$AF$11))</f>
        <v>1.2815173310997904E-3</v>
      </c>
      <c r="BX56" s="355">
        <f>NORMSDIST((_xlfn.NORM.S.INV($AA56)-(SQRT(Baseline!$AF$11)*'MacroPD-Cal'!$BU$4))/SQRT(1-Baseline!$AF$11))</f>
        <v>1.7470684703028135E-3</v>
      </c>
      <c r="BY56" s="355">
        <f>NORMSDIST((_xlfn.NORM.S.INV($AA56)-(SQRT(Baseline!$AF$11)*'MacroPD-Cal'!$BU$5))/SQRT(1-Baseline!$AF$11))</f>
        <v>2.2722781429384826E-3</v>
      </c>
      <c r="BZ56" s="355">
        <f>NORMSDIST((_xlfn.NORM.S.INV($AB56)-(SQRT(Baseline!$AF$11)*'MacroPD-Cal'!$BU$6))/SQRT(1-Baseline!$AF$11))</f>
        <v>5.7821788347826291E-3</v>
      </c>
      <c r="CA56" s="355">
        <f>NORMSDIST((_xlfn.NORM.S.INV($AC56)-(SQRT(Baseline!$AF$11)*'MacroPD-Cal'!$BU61))/SQRT(1-Baseline!$AF$11))</f>
        <v>3.0080447420503496E-3</v>
      </c>
      <c r="CB56" s="355">
        <f>NORMSDIST((_xlfn.NORM.S.INV($AD56)-(SQRT(Baseline!$AF$11)*'MacroPD-Cal'!$BU$8))/SQRT(1-Baseline!$AF$11))</f>
        <v>6.7494335524271448E-3</v>
      </c>
      <c r="CC56" s="355">
        <f>NORMSDIST((_xlfn.NORM.S.INV($AE56)-(SQRT(Baseline!$AF$11)*'MacroPD-Cal'!$BU$9))/SQRT(1-Baseline!$AF$11))</f>
        <v>6.4321933554235995E-3</v>
      </c>
      <c r="CD56" s="355">
        <f t="shared" si="19"/>
        <v>7.6806255334268268E-4</v>
      </c>
      <c r="CE56" s="355">
        <f t="shared" si="20"/>
        <v>2.0485955989690829E-3</v>
      </c>
      <c r="CF56" s="355">
        <f t="shared" si="21"/>
        <v>3.7920850324925093E-3</v>
      </c>
      <c r="CG56" s="355">
        <f t="shared" si="22"/>
        <v>6.0000000000000001E-3</v>
      </c>
      <c r="CH56" s="355"/>
      <c r="CI56" s="355"/>
      <c r="CR56" s="345">
        <f t="shared" si="23"/>
        <v>0.16465192756538849</v>
      </c>
      <c r="CS56" s="345">
        <f t="shared" si="24"/>
        <v>0.39065010691061719</v>
      </c>
      <c r="CT56" s="345">
        <f t="shared" si="25"/>
        <v>0.65237615120405934</v>
      </c>
      <c r="CU56" s="345">
        <f t="shared" si="26"/>
        <v>1</v>
      </c>
    </row>
    <row r="57" spans="1:99" s="166" customFormat="1" x14ac:dyDescent="0.25">
      <c r="A57" s="464">
        <v>1200000108</v>
      </c>
      <c r="B57" s="470">
        <f>VLOOKUP(A57,'Ref-Data'!A:I,9,FALSE)</f>
        <v>1</v>
      </c>
      <c r="C57" s="445">
        <f>IF(B57="Matured","",VLOOKUP(A57,'Adjustment Factor'!A:C,3,0))</f>
        <v>1.38</v>
      </c>
      <c r="D57" s="190">
        <f>VLOOKUP(A57,'Ref-Data'!A:C,2,FALSE)</f>
        <v>992000</v>
      </c>
      <c r="E57" s="471">
        <f>IFERROR(IF(VLOOKUP(A57,'Updated Ncino PD'!$A:$K,4,0)=0,"",VLOOKUP(A57,'Updated Ncino PD'!$A:$K,4,0)),AF57)</f>
        <v>2.3728324537306083E-3</v>
      </c>
      <c r="F57" s="472">
        <f>IFERROR(IF(VLOOKUP(A57,'Updated Ncino PD'!$A:$K,5,0)=0,"",VLOOKUP(A57,'Updated Ncino PD'!$A:$K,5,0)),1-((1-AG57)*(1-E57)))</f>
        <v>5.5341704239845191E-3</v>
      </c>
      <c r="G57" s="472">
        <f>IFERROR(IF(VLOOKUP(A57,'Updated Ncino PD'!$A:$K,6,0)=0,"",VLOOKUP(A57,'Updated Ncino PD'!$A:$K,6,0)),1-((1-AF57)*(1-AG57)*(1-AH57)))</f>
        <v>9.1392772221348118E-3</v>
      </c>
      <c r="H57" s="472">
        <f>IFERROR(IF(VLOOKUP(A57,'Updated Ncino PD'!$A:$K,7,0)=0,"",VLOOKUP(A57,'Updated Ncino PD'!$A:$K,7,0)),IFERROR(VLOOKUP(A57,'Updated Ncino PD'!A:B,2,FALSE),FLOOR(1-((1-AG57)*(1-AH57)*(1-AI57)*(1-AF57)),$R$11)))</f>
        <v>1.3800000000000002E-2</v>
      </c>
      <c r="I57" s="472">
        <f>IFERROR(IF(VLOOKUP(A57,'Updated Ncino PD'!$A:$K,8,0)=0,"",VLOOKUP(A57,'Updated Ncino PD'!$A:$K,8,0)),FLOOR(1-((1-H57)*(1-AJ57)),$R$11))</f>
        <v>2.1700000000000001E-2</v>
      </c>
      <c r="J57" s="472">
        <f>IFERROR(IF(VLOOKUP(A57,'Updated Ncino PD'!$A:$K,9,0)=0,"",VLOOKUP(A57,'Updated Ncino PD'!$A:$K,9,0)),FLOOR(1-((1-H57)*(1-AJ57)*(1-AK57)),$R$11))</f>
        <v>2.6700000000000002E-2</v>
      </c>
      <c r="K57" s="472">
        <f>IFERROR(IF(VLOOKUP(A57,'Updated Ncino PD'!$A:$K,10,0)=0,"",VLOOKUP(A57,'Updated Ncino PD'!$A:$K,10,0)),FLOOR(1-((1-H57)*(1-AJ57)*(1-AK57)*(1-AL57)),$R$11))</f>
        <v>3.8800000000000001E-2</v>
      </c>
      <c r="L57" s="472">
        <f>IFERROR(IF(VLOOKUP(A57,'Updated Ncino PD'!$A:$K,11,0)=0,"",VLOOKUP(A57,'Updated Ncino PD'!$A:$K,11,0)),FLOOR(1-((1-H57)*(1-AJ57)*(1-AK57)*(1-AL57)*(1-AM57)),$R$11))</f>
        <v>5.1700000000000003E-2</v>
      </c>
      <c r="M57" s="224">
        <f>VLOOKUP(A57,'Ref-Data'!$A:$F,6,FALSE)</f>
        <v>2.0670773442847366</v>
      </c>
      <c r="N57" s="191">
        <f t="shared" si="3"/>
        <v>1.3800000000000002E-2</v>
      </c>
      <c r="O57" s="191">
        <f t="shared" si="4"/>
        <v>2.6700000000000002E-2</v>
      </c>
      <c r="P57" s="459" t="str">
        <f>VLOOKUP(A57,'Loan Book Summary'!C:G,5,FALSE)</f>
        <v>0015800001cfgV5</v>
      </c>
      <c r="S57" s="203"/>
      <c r="T57" s="332">
        <f>IFERROR(VLOOKUP($P57,'Model Output-LoanNameUpdate'!$A:$K,2,FALSE),CL57)</f>
        <v>8.5599999999999982E-3</v>
      </c>
      <c r="U57" s="332">
        <f>1-(1-IFERROR(VLOOKUP($P57,'Model Output-LoanNameUpdate'!$A:$K,2,FALSE),CL57))^(1/4)</f>
        <v>2.1469039043714444E-3</v>
      </c>
      <c r="V57" s="332">
        <f>IFERROR(VLOOKUP($P57,'Model Output-LoanNameUpdate'!$A:$K,3,FALSE),CM57)</f>
        <v>8.7399999999999995E-3</v>
      </c>
      <c r="W57" s="332">
        <f>IFERROR(VLOOKUP($P57,'Model Output-LoanNameUpdate'!$A:$K,4,FALSE),CN57)</f>
        <v>8.8600000000000016E-3</v>
      </c>
      <c r="X57" s="332">
        <f>IFERROR(VLOOKUP($P57,'Model Output-LoanNameUpdate'!$A:$K,5,FALSE),CO57)</f>
        <v>8.9849999999999982E-3</v>
      </c>
      <c r="Y57" s="332">
        <f>IFERROR(VLOOKUP($P57,'Model Output-LoanNameUpdate'!$A:$K,6,FALSE),CP57)</f>
        <v>9.0550000000000005E-3</v>
      </c>
      <c r="Z57" s="207">
        <f t="shared" si="5"/>
        <v>1.38</v>
      </c>
      <c r="AA57" s="208">
        <f t="shared" si="6"/>
        <v>2.9627273880325931E-3</v>
      </c>
      <c r="AB57" s="208">
        <f t="shared" si="7"/>
        <v>1.2061199999999998E-2</v>
      </c>
      <c r="AC57" s="208">
        <f t="shared" si="8"/>
        <v>1.2226800000000001E-2</v>
      </c>
      <c r="AD57" s="208">
        <f t="shared" si="9"/>
        <v>1.2399299999999997E-2</v>
      </c>
      <c r="AE57" s="208">
        <f t="shared" si="10"/>
        <v>1.2495899999999999E-2</v>
      </c>
      <c r="AF57" s="332">
        <f>NORMSDIST((_xlfn.NORM.S.INV(AA57)-(SQRT(Baseline!$AF$11)*'MacroPD-Cal'!$R$2))/SQRT(1-Baseline!$AF$11))</f>
        <v>2.3728324537306083E-3</v>
      </c>
      <c r="AG57" s="332">
        <f>NORMSDIST((_xlfn.NORM.S.INV(AA57)-(SQRT(Baseline!$AF$11)*'MacroPD-Cal'!$R$3))/SQRT(1-Baseline!$AF$11))</f>
        <v>3.1688571373105169E-3</v>
      </c>
      <c r="AH57" s="332">
        <f>NORMSDIST((_xlfn.NORM.S.INV(AA57)-(SQRT(Baseline!$AF$11)*'MacroPD-Cal'!$R$4))/SQRT(1-Baseline!$AF$11))</f>
        <v>3.6251691017752871E-3</v>
      </c>
      <c r="AI57" s="332">
        <f>NORMSDIST((_xlfn.NORM.S.INV(AA57)-(SQRT(Baseline!$AF$11)*'MacroPD-Cal'!$R$5))/SQRT(1-Baseline!$AF$11))</f>
        <v>4.7707278409008938E-3</v>
      </c>
      <c r="AJ57" s="332">
        <f>NORMSDIST((_xlfn.NORM.S.INV(AB57)-(SQRT(Baseline!$AF$11)*'MacroPD-Cal'!$R$6))/SQRT(1-Baseline!$AF$11))</f>
        <v>8.0354030782959444E-3</v>
      </c>
      <c r="AK57" s="332">
        <f>NORMSDIST((_xlfn.NORM.S.INV(AC57)-(SQRT(Baseline!$AF$11)*'MacroPD-Cal'!$R$7))/SQRT(1-Baseline!$AF$11))</f>
        <v>5.091957890448545E-3</v>
      </c>
      <c r="AL57" s="332">
        <f>NORMSDIST((_xlfn.NORM.S.INV(AD57)-(SQRT(Baseline!$AF$11)*'MacroPD-Cal'!$R$8))/SQRT(1-Baseline!$AF$11))</f>
        <v>1.2515287842680698E-2</v>
      </c>
      <c r="AM57" s="332">
        <f>NORMSDIST((_xlfn.NORM.S.INV(AE57)-(SQRT(Baseline!$AF$11)*'MacroPD-Cal'!$R$9))/SQRT(1-Baseline!$AF$11))</f>
        <v>1.3363014085186196E-2</v>
      </c>
      <c r="AO57" s="355"/>
      <c r="AP57" s="355"/>
      <c r="AQ57" s="355">
        <f>NORMSDIST((_xlfn.NORM.S.INV(AA57)-(SQRT(Baseline!$AF$11)*'MacroPD-Cal'!$AP$2))/SQRT(1-Baseline!$AF$11))</f>
        <v>2.4659336591830654E-3</v>
      </c>
      <c r="AR57" s="355">
        <f>NORMSDIST((_xlfn.NORM.S.INV(AA57)-(SQRT(Baseline!$AF$11)*'MacroPD-Cal'!$AP$3))/SQRT(1-Baseline!$AF$11))</f>
        <v>2.9474532096746137E-3</v>
      </c>
      <c r="AS57" s="355">
        <f>NORMSDIST((_xlfn.NORM.S.INV(AA57)-(SQRT(Baseline!$AF$11)*'MacroPD-Cal'!$AP$4))/SQRT(1-Baseline!$AF$11))</f>
        <v>3.0153258029324476E-3</v>
      </c>
      <c r="AT57" s="355">
        <f>NORMSDIST((_xlfn.NORM.S.INV(AA57)-(SQRT(Baseline!$AF$11)*'MacroPD-Cal'!$AP$5))/SQRT(1-Baseline!$AF$11))</f>
        <v>4.0485779300732652E-3</v>
      </c>
      <c r="AU57" s="355">
        <f>NORMSDIST((_xlfn.NORM.S.INV(AB57)-(SQRT(Baseline!$AF$11)*'MacroPD-Cal'!$AP$6))/SQRT(1-Baseline!$AF$11))</f>
        <v>5.2889667468017324E-3</v>
      </c>
      <c r="AV57" s="355">
        <f>NORMSDIST((_xlfn.NORM.S.INV(AC57)-(SQRT(Baseline!$AF$11)*'MacroPD-Cal'!$AP$7))/SQRT(1-Baseline!$AF$11))</f>
        <v>7.0915057854842034E-3</v>
      </c>
      <c r="AW57" s="355">
        <f>NORMSDIST((_xlfn.NORM.S.INV(AD57)-(SQRT(Baseline!$AF$11)*'MacroPD-Cal'!$AP$8))/SQRT(1-Baseline!$AF$11))</f>
        <v>1.2815882805773069E-2</v>
      </c>
      <c r="AX57" s="355">
        <f>NORMSDIST((_xlfn.NORM.S.INV(AE57)-(SQRT(Baseline!$AF$11)*'MacroPD-Cal'!$AP$9))/SQRT(1-Baseline!$AF$11))</f>
        <v>1.4637130108480143E-2</v>
      </c>
      <c r="AY57" s="355">
        <f t="shared" si="11"/>
        <v>2.4659336591830654E-3</v>
      </c>
      <c r="AZ57" s="355">
        <f t="shared" si="12"/>
        <v>5.4061186447790233E-3</v>
      </c>
      <c r="BA57" s="355">
        <f t="shared" si="13"/>
        <v>8.4051432386681446E-3</v>
      </c>
      <c r="BB57" s="355">
        <f t="shared" si="14"/>
        <v>1.2400000000000001E-2</v>
      </c>
      <c r="BC57" s="355"/>
      <c r="BD57" s="355"/>
      <c r="BE57" s="355"/>
      <c r="BF57" s="355"/>
      <c r="BG57" s="355">
        <f>NORMSDIST((_xlfn.NORM.S.INV($AA57)-(SQRT(Baseline!$AF$11)*'MacroPD-Cal'!$BF$2))/SQRT(1-Baseline!$AF$11))</f>
        <v>2.3239255595615045E-3</v>
      </c>
      <c r="BH57" s="355">
        <f>NORMSDIST((_xlfn.NORM.S.INV($AA57)-(SQRT(Baseline!$AF$11)*'MacroPD-Cal'!$BF$3))/SQRT(1-Baseline!$AF$11))</f>
        <v>3.3823879214543067E-3</v>
      </c>
      <c r="BI57" s="355">
        <f>NORMSDIST((_xlfn.NORM.S.INV($AA57)-(SQRT(Baseline!$AF$11)*'MacroPD-Cal'!$BF$4))/SQRT(1-Baseline!$AF$11))</f>
        <v>5.0649783343984459E-3</v>
      </c>
      <c r="BJ57" s="355">
        <f>NORMSDIST((_xlfn.NORM.S.INV($AA57)-(SQRT(Baseline!$AF$11)*'MacroPD-Cal'!$BF$5))/SQRT(1-Baseline!$AF$11))</f>
        <v>6.8133214558798423E-3</v>
      </c>
      <c r="BK57" s="355">
        <f>NORMSDIST((_xlfn.NORM.S.INV($AB57)-(SQRT(Baseline!$AF$11)*'MacroPD-Cal'!$BF$6))/SQRT(1-Baseline!$AF$11))</f>
        <v>2.9432482578533752E-2</v>
      </c>
      <c r="BL57" s="355">
        <f>NORMSDIST((_xlfn.NORM.S.INV($AC57)-(SQRT(Baseline!$AF$11)*'MacroPD-Cal'!$BF$7))/SQRT(1-Baseline!$AF$11))</f>
        <v>2.8207928585343564E-3</v>
      </c>
      <c r="BM57" s="355">
        <f>NORMSDIST((_xlfn.NORM.S.INV($AD57)-(SQRT(Baseline!$AF$11)*'MacroPD-Cal'!$BF$8))/SQRT(1-Baseline!$AF$11))</f>
        <v>7.4763934673773413E-3</v>
      </c>
      <c r="BN57" s="355">
        <f>NORMSDIST((_xlfn.NORM.S.INV($AE57)-(SQRT(Baseline!$AF$11)*'MacroPD-Cal'!$BF$9))/SQRT(1-Baseline!$AF$11))</f>
        <v>1.1393542678821773E-2</v>
      </c>
      <c r="BO57" s="355">
        <f t="shared" si="15"/>
        <v>2.3239255595615045E-3</v>
      </c>
      <c r="BP57" s="355">
        <f t="shared" si="16"/>
        <v>5.6984530632727681E-3</v>
      </c>
      <c r="BQ57" s="355">
        <f t="shared" si="17"/>
        <v>1.0734568856366145E-2</v>
      </c>
      <c r="BR57" s="355">
        <f t="shared" si="18"/>
        <v>1.7400000000000002E-2</v>
      </c>
      <c r="BS57" s="355"/>
      <c r="BT57" s="355"/>
      <c r="BU57" s="355"/>
      <c r="BV57" s="355">
        <f>NORMSDIST((_xlfn.NORM.S.INV($AA57)-(SQRT(Baseline!$AF$11)*'MacroPD-Cal'!$BU$2))/SQRT(1-Baseline!$AF$11))</f>
        <v>2.2272562323753754E-3</v>
      </c>
      <c r="BW57" s="355">
        <f>NORMSDIST((_xlfn.NORM.S.INV($AA57)-(SQRT(Baseline!$AF$11)*'MacroPD-Cal'!$BU$3))/SQRT(1-Baseline!$AF$11))</f>
        <v>3.5505018162444021E-3</v>
      </c>
      <c r="BX57" s="355">
        <f>NORMSDIST((_xlfn.NORM.S.INV($AA57)-(SQRT(Baseline!$AF$11)*'MacroPD-Cal'!$BU$4))/SQRT(1-Baseline!$AF$11))</f>
        <v>4.7045357894531124E-3</v>
      </c>
      <c r="BY57" s="355">
        <f>NORMSDIST((_xlfn.NORM.S.INV($AA57)-(SQRT(Baseline!$AF$11)*'MacroPD-Cal'!$BU$5))/SQRT(1-Baseline!$AF$11))</f>
        <v>5.9696819202746743E-3</v>
      </c>
      <c r="BZ57" s="355">
        <f>NORMSDIST((_xlfn.NORM.S.INV($AB57)-(SQRT(Baseline!$AF$11)*'MacroPD-Cal'!$BU$6))/SQRT(1-Baseline!$AF$11))</f>
        <v>1.3012949303598427E-2</v>
      </c>
      <c r="CA57" s="355">
        <f>NORMSDIST((_xlfn.NORM.S.INV($AC57)-(SQRT(Baseline!$AF$11)*'MacroPD-Cal'!$BU62))/SQRT(1-Baseline!$AF$11))</f>
        <v>6.4843370834568792E-3</v>
      </c>
      <c r="CB57" s="355">
        <f>NORMSDIST((_xlfn.NORM.S.INV($AD57)-(SQRT(Baseline!$AF$11)*'MacroPD-Cal'!$BU$8))/SQRT(1-Baseline!$AF$11))</f>
        <v>1.2901536208249992E-2</v>
      </c>
      <c r="CC57" s="355">
        <f>NORMSDIST((_xlfn.NORM.S.INV($AE57)-(SQRT(Baseline!$AF$11)*'MacroPD-Cal'!$BU$9))/SQRT(1-Baseline!$AF$11))</f>
        <v>1.1666099956938762E-2</v>
      </c>
      <c r="CD57" s="355">
        <f t="shared" si="19"/>
        <v>2.2272562323753754E-3</v>
      </c>
      <c r="CE57" s="355">
        <f t="shared" si="20"/>
        <v>5.7698501713214778E-3</v>
      </c>
      <c r="CF57" s="355">
        <f t="shared" si="21"/>
        <v>1.0447241494143777E-2</v>
      </c>
      <c r="CG57" s="355">
        <f t="shared" si="22"/>
        <v>1.6300000000000002E-2</v>
      </c>
      <c r="CH57" s="355"/>
      <c r="CI57" s="355"/>
      <c r="CR57" s="345">
        <f t="shared" si="23"/>
        <v>0.17194438070511653</v>
      </c>
      <c r="CS57" s="345">
        <f t="shared" si="24"/>
        <v>0.40102684231771873</v>
      </c>
      <c r="CT57" s="345">
        <f t="shared" si="25"/>
        <v>0.66226646537208778</v>
      </c>
      <c r="CU57" s="345">
        <f t="shared" si="26"/>
        <v>1</v>
      </c>
    </row>
    <row r="58" spans="1:99" s="166" customFormat="1" x14ac:dyDescent="0.25">
      <c r="A58" s="464">
        <v>1100000126</v>
      </c>
      <c r="B58" s="470">
        <f>VLOOKUP(A58,'Ref-Data'!A:I,9,FALSE)</f>
        <v>1</v>
      </c>
      <c r="C58" s="445">
        <f>IF(B58="Matured","",VLOOKUP(A58,'Adjustment Factor'!A:C,3,0))</f>
        <v>1.04</v>
      </c>
      <c r="D58" s="190">
        <f>VLOOKUP(A58,'Ref-Data'!A:C,2,FALSE)</f>
        <v>833332</v>
      </c>
      <c r="E58" s="471">
        <f>IFERROR(IF(VLOOKUP(A58,'Updated Ncino PD'!$A:$K,4,0)=0,"",VLOOKUP(A58,'Updated Ncino PD'!$A:$K,4,0)),AF58)</f>
        <v>5.6309620499244404E-4</v>
      </c>
      <c r="F58" s="472">
        <f>IFERROR(IF(VLOOKUP(A58,'Updated Ncino PD'!$A:$K,5,0)=0,"",VLOOKUP(A58,'Updated Ncino PD'!$A:$K,5,0)),1-((1-AG58)*(1-E58)))</f>
        <v>1.343657735008108E-3</v>
      </c>
      <c r="G58" s="472">
        <f>IFERROR(IF(VLOOKUP(A58,'Updated Ncino PD'!$A:$K,6,0)=0,"",VLOOKUP(A58,'Updated Ncino PD'!$A:$K,6,0)),1-((1-AF58)*(1-AG58)*(1-AH58)))</f>
        <v>2.2520613860200767E-3</v>
      </c>
      <c r="H58" s="472">
        <f>IFERROR(IF(VLOOKUP(A58,'Updated Ncino PD'!$A:$K,7,0)=0,"",VLOOKUP(A58,'Updated Ncino PD'!$A:$K,7,0)),IFERROR(VLOOKUP(A58,'Updated Ncino PD'!A:B,2,FALSE),FLOOR(1-((1-AG58)*(1-AH58)*(1-AI58)*(1-AF58)),$R$11)))</f>
        <v>3.4000000000000002E-3</v>
      </c>
      <c r="I58" s="472">
        <f>IFERROR(IF(VLOOKUP(A58,'Updated Ncino PD'!$A:$K,8,0)=0,"",VLOOKUP(A58,'Updated Ncino PD'!$A:$K,8,0)),FLOOR(1-((1-H58)*(1-AJ58)),$R$11))</f>
        <v>5.7000000000000002E-3</v>
      </c>
      <c r="J58" s="472">
        <f>IFERROR(IF(VLOOKUP(A58,'Updated Ncino PD'!$A:$K,9,0)=0,"",VLOOKUP(A58,'Updated Ncino PD'!$A:$K,9,0)),FLOOR(1-((1-H58)*(1-AJ58)*(1-AK58)),$R$11))</f>
        <v>7.3000000000000001E-3</v>
      </c>
      <c r="K58" s="472">
        <f>IFERROR(IF(VLOOKUP(A58,'Updated Ncino PD'!$A:$K,10,0)=0,"",VLOOKUP(A58,'Updated Ncino PD'!$A:$K,10,0)),FLOOR(1-((1-H58)*(1-AJ58)*(1-AK58)*(1-AL58)),$R$11))</f>
        <v>1.2200000000000001E-2</v>
      </c>
      <c r="L58" s="472">
        <f>IFERROR(IF(VLOOKUP(A58,'Updated Ncino PD'!$A:$K,11,0)=0,"",VLOOKUP(A58,'Updated Ncino PD'!$A:$K,11,0)),FLOOR(1-((1-H58)*(1-AJ58)*(1-AK58)*(1-AL58)*(1-AM58)),$R$11))</f>
        <v>1.78E-2</v>
      </c>
      <c r="M58" s="224">
        <f>VLOOKUP(A58,'Ref-Data'!$A:$F,6,FALSE)</f>
        <v>1.7522245037645447</v>
      </c>
      <c r="N58" s="191">
        <f t="shared" si="3"/>
        <v>3.4000000000000002E-3</v>
      </c>
      <c r="O58" s="191">
        <f t="shared" si="4"/>
        <v>5.7000000000000002E-3</v>
      </c>
      <c r="P58" s="459" t="str">
        <f>VLOOKUP(A58,'Loan Book Summary'!C:G,5,FALSE)</f>
        <v>0014I0000279PJU</v>
      </c>
      <c r="S58" s="203"/>
      <c r="T58" s="332">
        <f>IFERROR(VLOOKUP($P58,'Model Output-LoanNameUpdate'!$A:$K,2,FALSE),CL58)</f>
        <v>3.2000000000000002E-3</v>
      </c>
      <c r="U58" s="332">
        <f>1-(1-IFERROR(VLOOKUP($P58,'Model Output-LoanNameUpdate'!$A:$K,2,FALSE),CL58))^(1/4)</f>
        <v>8.0096179595190442E-4</v>
      </c>
      <c r="V58" s="332">
        <f>IFERROR(VLOOKUP($P58,'Model Output-LoanNameUpdate'!$A:$K,3,FALSE),CM58)</f>
        <v>4.1000000000000003E-3</v>
      </c>
      <c r="W58" s="332">
        <f>IFERROR(VLOOKUP($P58,'Model Output-LoanNameUpdate'!$A:$K,4,FALSE),CN58)</f>
        <v>4.6049999999999997E-3</v>
      </c>
      <c r="X58" s="332">
        <f>IFERROR(VLOOKUP($P58,'Model Output-LoanNameUpdate'!$A:$K,5,FALSE),CO58)</f>
        <v>5.1050000000000002E-3</v>
      </c>
      <c r="Y58" s="332">
        <f>IFERROR(VLOOKUP($P58,'Model Output-LoanNameUpdate'!$A:$K,6,FALSE),CP58)</f>
        <v>5.5049999999999995E-3</v>
      </c>
      <c r="Z58" s="207">
        <f t="shared" si="5"/>
        <v>1.04</v>
      </c>
      <c r="AA58" s="208">
        <f t="shared" si="6"/>
        <v>8.3300026778998059E-4</v>
      </c>
      <c r="AB58" s="208">
        <f t="shared" si="7"/>
        <v>4.2640000000000004E-3</v>
      </c>
      <c r="AC58" s="208">
        <f t="shared" si="8"/>
        <v>4.7891999999999995E-3</v>
      </c>
      <c r="AD58" s="208">
        <f t="shared" si="9"/>
        <v>5.3092E-3</v>
      </c>
      <c r="AE58" s="208">
        <f t="shared" si="10"/>
        <v>5.7251999999999997E-3</v>
      </c>
      <c r="AF58" s="332">
        <f>NORMSDIST((_xlfn.NORM.S.INV(AA58)-(SQRT(Baseline!$AF$11)*'MacroPD-Cal'!$R$2))/SQRT(1-Baseline!$AF$11))</f>
        <v>5.6309620499244404E-4</v>
      </c>
      <c r="AG58" s="332">
        <f>NORMSDIST((_xlfn.NORM.S.INV(AA58)-(SQRT(Baseline!$AF$11)*'MacroPD-Cal'!$R$3))/SQRT(1-Baseline!$AF$11))</f>
        <v>7.8100130888875585E-4</v>
      </c>
      <c r="AH58" s="332">
        <f>NORMSDIST((_xlfn.NORM.S.INV(AA58)-(SQRT(Baseline!$AF$11)*'MacroPD-Cal'!$R$4))/SQRT(1-Baseline!$AF$11))</f>
        <v>9.0962587685733799E-4</v>
      </c>
      <c r="AI58" s="332">
        <f>NORMSDIST((_xlfn.NORM.S.INV(AA58)-(SQRT(Baseline!$AF$11)*'MacroPD-Cal'!$R$5))/SQRT(1-Baseline!$AF$11))</f>
        <v>1.24253993942379E-3</v>
      </c>
      <c r="AJ58" s="332">
        <f>NORMSDIST((_xlfn.NORM.S.INV(AB58)-(SQRT(Baseline!$AF$11)*'MacroPD-Cal'!$R$6))/SQRT(1-Baseline!$AF$11))</f>
        <v>2.3885606090651257E-3</v>
      </c>
      <c r="AK58" s="332">
        <f>NORMSDIST((_xlfn.NORM.S.INV(AC58)-(SQRT(Baseline!$AF$11)*'MacroPD-Cal'!$R$7))/SQRT(1-Baseline!$AF$11))</f>
        <v>1.6104454059736274E-3</v>
      </c>
      <c r="AL58" s="332">
        <f>NORMSDIST((_xlfn.NORM.S.INV(AD58)-(SQRT(Baseline!$AF$11)*'MacroPD-Cal'!$R$8))/SQRT(1-Baseline!$AF$11))</f>
        <v>4.8858395325023663E-3</v>
      </c>
      <c r="AM58" s="332">
        <f>NORMSDIST((_xlfn.NORM.S.INV(AE58)-(SQRT(Baseline!$AF$11)*'MacroPD-Cal'!$R$9))/SQRT(1-Baseline!$AF$11))</f>
        <v>5.6616255081432696E-3</v>
      </c>
      <c r="AO58" s="355"/>
      <c r="AP58" s="355"/>
      <c r="AQ58" s="355">
        <f>NORMSDIST((_xlfn.NORM.S.INV(AA58)-(SQRT(Baseline!$AF$11)*'MacroPD-Cal'!$AP$2))/SQRT(1-Baseline!$AF$11))</f>
        <v>5.8811160974646729E-4</v>
      </c>
      <c r="AR58" s="355">
        <f>NORMSDIST((_xlfn.NORM.S.INV(AA58)-(SQRT(Baseline!$AF$11)*'MacroPD-Cal'!$AP$3))/SQRT(1-Baseline!$AF$11))</f>
        <v>7.1951981482266958E-4</v>
      </c>
      <c r="AS58" s="355">
        <f>NORMSDIST((_xlfn.NORM.S.INV(AA58)-(SQRT(Baseline!$AF$11)*'MacroPD-Cal'!$AP$4))/SQRT(1-Baseline!$AF$11))</f>
        <v>7.3829973317673415E-4</v>
      </c>
      <c r="AT58" s="355">
        <f>NORMSDIST((_xlfn.NORM.S.INV(AA58)-(SQRT(Baseline!$AF$11)*'MacroPD-Cal'!$AP$5))/SQRT(1-Baseline!$AF$11))</f>
        <v>1.0311003866915027E-3</v>
      </c>
      <c r="AU58" s="355">
        <f>NORMSDIST((_xlfn.NORM.S.INV(AB58)-(SQRT(Baseline!$AF$11)*'MacroPD-Cal'!$AP$6))/SQRT(1-Baseline!$AF$11))</f>
        <v>1.4854716566818614E-3</v>
      </c>
      <c r="AV58" s="355">
        <f>NORMSDIST((_xlfn.NORM.S.INV(AC58)-(SQRT(Baseline!$AF$11)*'MacroPD-Cal'!$AP$7))/SQRT(1-Baseline!$AF$11))</f>
        <v>2.3353884453283518E-3</v>
      </c>
      <c r="AW58" s="355">
        <f>NORMSDIST((_xlfn.NORM.S.INV(AD58)-(SQRT(Baseline!$AF$11)*'MacroPD-Cal'!$AP$8))/SQRT(1-Baseline!$AF$11))</f>
        <v>5.0174968747852761E-3</v>
      </c>
      <c r="AX58" s="355">
        <f>NORMSDIST((_xlfn.NORM.S.INV(AE58)-(SQRT(Baseline!$AF$11)*'MacroPD-Cal'!$AP$9))/SQRT(1-Baseline!$AF$11))</f>
        <v>6.2652958879837201E-3</v>
      </c>
      <c r="AY58" s="355">
        <f t="shared" si="11"/>
        <v>5.8811160974646729E-4</v>
      </c>
      <c r="AZ58" s="355">
        <f t="shared" si="12"/>
        <v>1.3072082666125695E-3</v>
      </c>
      <c r="BA58" s="355">
        <f t="shared" si="13"/>
        <v>2.0445428882748251E-3</v>
      </c>
      <c r="BB58" s="355">
        <f t="shared" si="14"/>
        <v>3.0000000000000001E-3</v>
      </c>
      <c r="BC58" s="355"/>
      <c r="BD58" s="355"/>
      <c r="BE58" s="355"/>
      <c r="BF58" s="355"/>
      <c r="BG58" s="355">
        <f>NORMSDIST((_xlfn.NORM.S.INV($AA58)-(SQRT(Baseline!$AF$11)*'MacroPD-Cal'!$BF$2))/SQRT(1-Baseline!$AF$11))</f>
        <v>5.5000958263736117E-4</v>
      </c>
      <c r="BH58" s="355">
        <f>NORMSDIST((_xlfn.NORM.S.INV($AA58)-(SQRT(Baseline!$AF$11)*'MacroPD-Cal'!$BF$3))/SQRT(1-Baseline!$AF$11))</f>
        <v>8.4088124523636922E-4</v>
      </c>
      <c r="BI58" s="355">
        <f>NORMSDIST((_xlfn.NORM.S.INV($AA58)-(SQRT(Baseline!$AF$11)*'MacroPD-Cal'!$BF$4))/SQRT(1-Baseline!$AF$11))</f>
        <v>1.3301114629488155E-3</v>
      </c>
      <c r="BJ58" s="355">
        <f>NORMSDIST((_xlfn.NORM.S.INV($AA58)-(SQRT(Baseline!$AF$11)*'MacroPD-Cal'!$BF$5))/SQRT(1-Baseline!$AF$11))</f>
        <v>1.8652703608458795E-3</v>
      </c>
      <c r="BK58" s="355">
        <f>NORMSDIST((_xlfn.NORM.S.INV($AB58)-(SQRT(Baseline!$AF$11)*'MacroPD-Cal'!$BF$6))/SQRT(1-Baseline!$AF$11))</f>
        <v>1.0622897541723492E-2</v>
      </c>
      <c r="BL58" s="355">
        <f>NORMSDIST((_xlfn.NORM.S.INV($AC58)-(SQRT(Baseline!$AF$11)*'MacroPD-Cal'!$BF$7))/SQRT(1-Baseline!$AF$11))</f>
        <v>8.3263428707883343E-4</v>
      </c>
      <c r="BM58" s="355">
        <f>NORMSDIST((_xlfn.NORM.S.INV($AD58)-(SQRT(Baseline!$AF$11)*'MacroPD-Cal'!$BF$8))/SQRT(1-Baseline!$AF$11))</f>
        <v>2.7482621406850322E-3</v>
      </c>
      <c r="BN58" s="355">
        <f>NORMSDIST((_xlfn.NORM.S.INV($AE58)-(SQRT(Baseline!$AF$11)*'MacroPD-Cal'!$BF$9))/SQRT(1-Baseline!$AF$11))</f>
        <v>4.7426216994199862E-3</v>
      </c>
      <c r="BO58" s="355">
        <f t="shared" si="15"/>
        <v>5.5000958263736117E-4</v>
      </c>
      <c r="BP58" s="355">
        <f t="shared" si="16"/>
        <v>1.3904283351310331E-3</v>
      </c>
      <c r="BQ58" s="355">
        <f t="shared" si="17"/>
        <v>2.7186903734128798E-3</v>
      </c>
      <c r="BR58" s="355">
        <f t="shared" si="18"/>
        <v>4.5000000000000005E-3</v>
      </c>
      <c r="BS58" s="355"/>
      <c r="BT58" s="355"/>
      <c r="BU58" s="355"/>
      <c r="BV58" s="355">
        <f>NORMSDIST((_xlfn.NORM.S.INV($AA58)-(SQRT(Baseline!$AF$11)*'MacroPD-Cal'!$BU$2))/SQRT(1-Baseline!$AF$11))</f>
        <v>5.2425527680233361E-4</v>
      </c>
      <c r="BW58" s="355">
        <f>NORMSDIST((_xlfn.NORM.S.INV($AA58)-(SQRT(Baseline!$AF$11)*'MacroPD-Cal'!$BU$3))/SQRT(1-Baseline!$AF$11))</f>
        <v>8.8841054806298374E-4</v>
      </c>
      <c r="BX58" s="355">
        <f>NORMSDIST((_xlfn.NORM.S.INV($AA58)-(SQRT(Baseline!$AF$11)*'MacroPD-Cal'!$BU$4))/SQRT(1-Baseline!$AF$11))</f>
        <v>1.2229497248176346E-3</v>
      </c>
      <c r="BY58" s="355">
        <f>NORMSDIST((_xlfn.NORM.S.INV($AA58)-(SQRT(Baseline!$AF$11)*'MacroPD-Cal'!$BU$5))/SQRT(1-Baseline!$AF$11))</f>
        <v>1.60402928284631E-3</v>
      </c>
      <c r="BZ58" s="355">
        <f>NORMSDIST((_xlfn.NORM.S.INV($AB58)-(SQRT(Baseline!$AF$11)*'MacroPD-Cal'!$BU$6))/SQRT(1-Baseline!$AF$11))</f>
        <v>4.1427046819132347E-3</v>
      </c>
      <c r="CA58" s="355">
        <f>NORMSDIST((_xlfn.NORM.S.INV($AC58)-(SQRT(Baseline!$AF$11)*'MacroPD-Cal'!$BU63))/SQRT(1-Baseline!$AF$11))</f>
        <v>2.1119519947324049E-3</v>
      </c>
      <c r="CB58" s="355">
        <f>NORMSDIST((_xlfn.NORM.S.INV($AD58)-(SQRT(Baseline!$AF$11)*'MacroPD-Cal'!$BU$8))/SQRT(1-Baseline!$AF$11))</f>
        <v>5.055087698234169E-3</v>
      </c>
      <c r="CC58" s="355">
        <f>NORMSDIST((_xlfn.NORM.S.INV($AE58)-(SQRT(Baseline!$AF$11)*'MacroPD-Cal'!$BU$9))/SQRT(1-Baseline!$AF$11))</f>
        <v>4.8687207762690378E-3</v>
      </c>
      <c r="CD58" s="355">
        <f t="shared" si="19"/>
        <v>5.2425527680233361E-4</v>
      </c>
      <c r="CE58" s="355">
        <f t="shared" si="20"/>
        <v>1.4122000709475557E-3</v>
      </c>
      <c r="CF58" s="355">
        <f t="shared" si="21"/>
        <v>2.6334227460770299E-3</v>
      </c>
      <c r="CG58" s="355">
        <f t="shared" si="22"/>
        <v>4.2000000000000006E-3</v>
      </c>
      <c r="CH58" s="355"/>
      <c r="CI58" s="355"/>
      <c r="CR58" s="345">
        <f t="shared" si="23"/>
        <v>0.16561653088013059</v>
      </c>
      <c r="CS58" s="345">
        <f t="shared" si="24"/>
        <v>0.39519345147297291</v>
      </c>
      <c r="CT58" s="345">
        <f t="shared" si="25"/>
        <v>0.66237099588825776</v>
      </c>
      <c r="CU58" s="345">
        <f t="shared" si="26"/>
        <v>1</v>
      </c>
    </row>
    <row r="59" spans="1:99" s="166" customFormat="1" x14ac:dyDescent="0.25">
      <c r="A59" s="464">
        <v>1100000128</v>
      </c>
      <c r="B59" s="470">
        <f>VLOOKUP(A59,'Ref-Data'!A:I,9,FALSE)</f>
        <v>1</v>
      </c>
      <c r="C59" s="445">
        <f>IF(B59="Matured","",VLOOKUP(A59,'Adjustment Factor'!A:C,3,0))</f>
        <v>1.28</v>
      </c>
      <c r="D59" s="190">
        <f>VLOOKUP(A59,'Ref-Data'!A:C,2,FALSE)</f>
        <v>5000000</v>
      </c>
      <c r="E59" s="471">
        <f>IFERROR(IF(VLOOKUP(A59,'Updated Ncino PD'!$A:$K,4,0)=0,"",VLOOKUP(A59,'Updated Ncino PD'!$A:$K,4,0)),AF59)</f>
        <v>1.2223033272755343E-3</v>
      </c>
      <c r="F59" s="472">
        <f>IFERROR(IF(VLOOKUP(A59,'Updated Ncino PD'!$A:$K,5,0)=0,"",VLOOKUP(A59,'Updated Ncino PD'!$A:$K,5,0)),1-((1-AG59)*(1-E59)))</f>
        <v>2.8821982155246006E-3</v>
      </c>
      <c r="G59" s="472">
        <f>IFERROR(IF(VLOOKUP(A59,'Updated Ncino PD'!$A:$K,6,0)=0,"",VLOOKUP(A59,'Updated Ncino PD'!$A:$K,6,0)),1-((1-AF59)*(1-AG59)*(1-AH59)))</f>
        <v>4.7941507459240418E-3</v>
      </c>
      <c r="H59" s="472">
        <f>IFERROR(IF(VLOOKUP(A59,'Updated Ncino PD'!$A:$K,7,0)=0,"",VLOOKUP(A59,'Updated Ncino PD'!$A:$K,7,0)),IFERROR(VLOOKUP(A59,'Updated Ncino PD'!A:B,2,FALSE),FLOOR(1-((1-AG59)*(1-AH59)*(1-AI59)*(1-AF59)),$R$11)))</f>
        <v>7.3000000000000001E-3</v>
      </c>
      <c r="I59" s="472">
        <f>IFERROR(IF(VLOOKUP(A59,'Updated Ncino PD'!$A:$K,8,0)=0,"",VLOOKUP(A59,'Updated Ncino PD'!$A:$K,8,0)),FLOOR(1-((1-H59)*(1-AJ59)),$R$11))</f>
        <v>1.0800000000000001E-2</v>
      </c>
      <c r="J59" s="472">
        <f>IFERROR(IF(VLOOKUP(A59,'Updated Ncino PD'!$A:$K,9,0)=0,"",VLOOKUP(A59,'Updated Ncino PD'!$A:$K,9,0)),FLOOR(1-((1-H59)*(1-AJ59)*(1-AK59)),$R$11))</f>
        <v>1.2800000000000001E-2</v>
      </c>
      <c r="K59" s="472">
        <f>IFERROR(IF(VLOOKUP(A59,'Updated Ncino PD'!$A:$K,10,0)=0,"",VLOOKUP(A59,'Updated Ncino PD'!$A:$K,10,0)),FLOOR(1-((1-H59)*(1-AJ59)*(1-AK59)*(1-AL59)),$R$11))</f>
        <v>1.77E-2</v>
      </c>
      <c r="L59" s="472">
        <f>IFERROR(IF(VLOOKUP(A59,'Updated Ncino PD'!$A:$K,11,0)=0,"",VLOOKUP(A59,'Updated Ncino PD'!$A:$K,11,0)),FLOOR(1-((1-H59)*(1-AJ59)*(1-AK59)*(1-AL59)*(1-AM59)),$R$11))</f>
        <v>2.2800000000000001E-2</v>
      </c>
      <c r="M59" s="224">
        <f>VLOOKUP(A59,'Ref-Data'!$A:$F,6,FALSE)</f>
        <v>3.5455167693360714</v>
      </c>
      <c r="N59" s="191">
        <f t="shared" si="3"/>
        <v>7.3000000000000001E-3</v>
      </c>
      <c r="O59" s="191">
        <f t="shared" si="4"/>
        <v>1.77E-2</v>
      </c>
      <c r="P59" s="459" t="str">
        <f>VLOOKUP(A59,'Loan Book Summary'!C:G,5,FALSE)</f>
        <v>0014I000023R1Ij</v>
      </c>
      <c r="S59" s="203"/>
      <c r="T59" s="332">
        <f>IFERROR(VLOOKUP($P59,'Model Output-LoanNameUpdate'!$A:$K,2,FALSE),CL59)</f>
        <v>5.1399999999999996E-3</v>
      </c>
      <c r="U59" s="332">
        <f>1-(1-IFERROR(VLOOKUP($P59,'Model Output-LoanNameUpdate'!$A:$K,2,FALSE),CL59))^(1/4)</f>
        <v>1.2874842902289574E-3</v>
      </c>
      <c r="V59" s="332">
        <f>IFERROR(VLOOKUP($P59,'Model Output-LoanNameUpdate'!$A:$K,3,FALSE),CM59)</f>
        <v>4.6999999999999993E-3</v>
      </c>
      <c r="W59" s="332">
        <f>IFERROR(VLOOKUP($P59,'Model Output-LoanNameUpdate'!$A:$K,4,FALSE),CN59)</f>
        <v>4.4599999999999996E-3</v>
      </c>
      <c r="X59" s="332">
        <f>IFERROR(VLOOKUP($P59,'Model Output-LoanNameUpdate'!$A:$K,5,FALSE),CO59)</f>
        <v>4.2199999999999998E-3</v>
      </c>
      <c r="Y59" s="332">
        <f>IFERROR(VLOOKUP($P59,'Model Output-LoanNameUpdate'!$A:$K,6,FALSE),CP59)</f>
        <v>4.1199999999999995E-3</v>
      </c>
      <c r="Z59" s="207">
        <f t="shared" si="5"/>
        <v>1.28</v>
      </c>
      <c r="AA59" s="208">
        <f t="shared" si="6"/>
        <v>1.6479798914930655E-3</v>
      </c>
      <c r="AB59" s="208">
        <f t="shared" si="7"/>
        <v>6.0159999999999996E-3</v>
      </c>
      <c r="AC59" s="208">
        <f t="shared" si="8"/>
        <v>5.7087999999999991E-3</v>
      </c>
      <c r="AD59" s="208">
        <f t="shared" si="9"/>
        <v>5.4015999999999995E-3</v>
      </c>
      <c r="AE59" s="208">
        <f t="shared" si="10"/>
        <v>5.2735999999999998E-3</v>
      </c>
      <c r="AF59" s="332">
        <f>NORMSDIST((_xlfn.NORM.S.INV(AA59)-(SQRT(Baseline!$AF$11)*'MacroPD-Cal'!$R$2))/SQRT(1-Baseline!$AF$11))</f>
        <v>1.2223033272755343E-3</v>
      </c>
      <c r="AG59" s="332">
        <f>NORMSDIST((_xlfn.NORM.S.INV(AA59)-(SQRT(Baseline!$AF$11)*'MacroPD-Cal'!$R$3))/SQRT(1-Baseline!$AF$11))</f>
        <v>1.6619262662538991E-3</v>
      </c>
      <c r="AH59" s="332">
        <f>NORMSDIST((_xlfn.NORM.S.INV(AA59)-(SQRT(Baseline!$AF$11)*'MacroPD-Cal'!$R$4))/SQRT(1-Baseline!$AF$11))</f>
        <v>1.9174790851971236E-3</v>
      </c>
      <c r="AI59" s="332">
        <f>NORMSDIST((_xlfn.NORM.S.INV(AA59)-(SQRT(Baseline!$AF$11)*'MacroPD-Cal'!$R$5))/SQRT(1-Baseline!$AF$11))</f>
        <v>2.5684220788118836E-3</v>
      </c>
      <c r="AJ59" s="332">
        <f>NORMSDIST((_xlfn.NORM.S.INV(AB59)-(SQRT(Baseline!$AF$11)*'MacroPD-Cal'!$R$6))/SQRT(1-Baseline!$AF$11))</f>
        <v>3.5721547510857011E-3</v>
      </c>
      <c r="AK59" s="332">
        <f>NORMSDIST((_xlfn.NORM.S.INV(AC59)-(SQRT(Baseline!$AF$11)*'MacroPD-Cal'!$R$7))/SQRT(1-Baseline!$AF$11))</f>
        <v>1.9983305209671379E-3</v>
      </c>
      <c r="AL59" s="332">
        <f>NORMSDIST((_xlfn.NORM.S.INV(AD59)-(SQRT(Baseline!$AF$11)*'MacroPD-Cal'!$R$8))/SQRT(1-Baseline!$AF$11))</f>
        <v>4.9806868357287169E-3</v>
      </c>
      <c r="AM59" s="332">
        <f>NORMSDIST((_xlfn.NORM.S.INV(AE59)-(SQRT(Baseline!$AF$11)*'MacroPD-Cal'!$R$9))/SQRT(1-Baseline!$AF$11))</f>
        <v>5.1697228839862738E-3</v>
      </c>
      <c r="AO59" s="355"/>
      <c r="AP59" s="355"/>
      <c r="AQ59" s="355">
        <f>NORMSDIST((_xlfn.NORM.S.INV(AA59)-(SQRT(Baseline!$AF$11)*'MacroPD-Cal'!$AP$2))/SQRT(1-Baseline!$AF$11))</f>
        <v>1.2732673545807636E-3</v>
      </c>
      <c r="AR59" s="355">
        <f>NORMSDIST((_xlfn.NORM.S.INV(AA59)-(SQRT(Baseline!$AF$11)*'MacroPD-Cal'!$AP$3))/SQRT(1-Baseline!$AF$11))</f>
        <v>1.5388121330377888E-3</v>
      </c>
      <c r="AS59" s="355">
        <f>NORMSDIST((_xlfn.NORM.S.INV(AA59)-(SQRT(Baseline!$AF$11)*'MacroPD-Cal'!$AP$4))/SQRT(1-Baseline!$AF$11))</f>
        <v>1.5764889756120634E-3</v>
      </c>
      <c r="AT59" s="355">
        <f>NORMSDIST((_xlfn.NORM.S.INV(AA59)-(SQRT(Baseline!$AF$11)*'MacroPD-Cal'!$AP$5))/SQRT(1-Baseline!$AF$11))</f>
        <v>2.1566064607237687E-3</v>
      </c>
      <c r="AU59" s="355">
        <f>NORMSDIST((_xlfn.NORM.S.INV(AB59)-(SQRT(Baseline!$AF$11)*'MacroPD-Cal'!$AP$6))/SQRT(1-Baseline!$AF$11))</f>
        <v>2.262195176004224E-3</v>
      </c>
      <c r="AV59" s="355">
        <f>NORMSDIST((_xlfn.NORM.S.INV(AC59)-(SQRT(Baseline!$AF$11)*'MacroPD-Cal'!$AP$7))/SQRT(1-Baseline!$AF$11))</f>
        <v>2.876839412969279E-3</v>
      </c>
      <c r="AW59" s="355">
        <f>NORMSDIST((_xlfn.NORM.S.INV(AD59)-(SQRT(Baseline!$AF$11)*'MacroPD-Cal'!$AP$8))/SQRT(1-Baseline!$AF$11))</f>
        <v>5.1146148955046478E-3</v>
      </c>
      <c r="AX59" s="355">
        <f>NORMSDIST((_xlfn.NORM.S.INV(AE59)-(SQRT(Baseline!$AF$11)*'MacroPD-Cal'!$AP$9))/SQRT(1-Baseline!$AF$11))</f>
        <v>5.7268583969388269E-3</v>
      </c>
      <c r="AY59" s="355">
        <f t="shared" si="11"/>
        <v>1.2732673545807636E-3</v>
      </c>
      <c r="AZ59" s="355">
        <f t="shared" si="12"/>
        <v>2.8101201683646826E-3</v>
      </c>
      <c r="BA59" s="355">
        <f t="shared" si="13"/>
        <v>4.3821790205110789E-3</v>
      </c>
      <c r="BB59" s="355">
        <f t="shared" si="14"/>
        <v>6.5000000000000006E-3</v>
      </c>
      <c r="BC59" s="355"/>
      <c r="BD59" s="355"/>
      <c r="BE59" s="355"/>
      <c r="BF59" s="355"/>
      <c r="BG59" s="355">
        <f>NORMSDIST((_xlfn.NORM.S.INV($AA59)-(SQRT(Baseline!$AF$11)*'MacroPD-Cal'!$BF$2))/SQRT(1-Baseline!$AF$11))</f>
        <v>1.1955841084912951E-3</v>
      </c>
      <c r="BH59" s="355">
        <f>NORMSDIST((_xlfn.NORM.S.INV($AA59)-(SQRT(Baseline!$AF$11)*'MacroPD-Cal'!$BF$3))/SQRT(1-Baseline!$AF$11))</f>
        <v>1.7812187506361561E-3</v>
      </c>
      <c r="BI59" s="355">
        <f>NORMSDIST((_xlfn.NORM.S.INV($AA59)-(SQRT(Baseline!$AF$11)*'MacroPD-Cal'!$BF$4))/SQRT(1-Baseline!$AF$11))</f>
        <v>2.7375325392609111E-3</v>
      </c>
      <c r="BJ59" s="355">
        <f>NORMSDIST((_xlfn.NORM.S.INV($AA59)-(SQRT(Baseline!$AF$11)*'MacroPD-Cal'!$BF$5))/SQRT(1-Baseline!$AF$11))</f>
        <v>3.7558590279360413E-3</v>
      </c>
      <c r="BK59" s="355">
        <f>NORMSDIST((_xlfn.NORM.S.INV($AB59)-(SQRT(Baseline!$AF$11)*'MacroPD-Cal'!$BF$6))/SQRT(1-Baseline!$AF$11))</f>
        <v>1.4930145051320886E-2</v>
      </c>
      <c r="BL59" s="355">
        <f>NORMSDIST((_xlfn.NORM.S.INV($AC59)-(SQRT(Baseline!$AF$11)*'MacroPD-Cal'!$BF$7))/SQRT(1-Baseline!$AF$11))</f>
        <v>1.0461054018097661E-3</v>
      </c>
      <c r="BM59" s="355">
        <f>NORMSDIST((_xlfn.NORM.S.INV($AD59)-(SQRT(Baseline!$AF$11)*'MacroPD-Cal'!$BF$8))/SQRT(1-Baseline!$AF$11))</f>
        <v>2.8049040268334907E-3</v>
      </c>
      <c r="BN59" s="355">
        <f>NORMSDIST((_xlfn.NORM.S.INV($AE59)-(SQRT(Baseline!$AF$11)*'MacroPD-Cal'!$BF$9))/SQRT(1-Baseline!$AF$11))</f>
        <v>4.3228533369033722E-3</v>
      </c>
      <c r="BO59" s="355">
        <f t="shared" si="15"/>
        <v>1.1955841084912951E-3</v>
      </c>
      <c r="BP59" s="355">
        <f t="shared" si="16"/>
        <v>2.9746732622955019E-3</v>
      </c>
      <c r="BQ59" s="355">
        <f t="shared" si="17"/>
        <v>5.7040625367071884E-3</v>
      </c>
      <c r="BR59" s="355">
        <f t="shared" si="18"/>
        <v>9.4000000000000004E-3</v>
      </c>
      <c r="BS59" s="355"/>
      <c r="BT59" s="355"/>
      <c r="BU59" s="355"/>
      <c r="BV59" s="355">
        <f>NORMSDIST((_xlfn.NORM.S.INV($AA59)-(SQRT(Baseline!$AF$11)*'MacroPD-Cal'!$BU$2))/SQRT(1-Baseline!$AF$11))</f>
        <v>1.1428806631464711E-3</v>
      </c>
      <c r="BW59" s="355">
        <f>NORMSDIST((_xlfn.NORM.S.INV($AA59)-(SQRT(Baseline!$AF$11)*'MacroPD-Cal'!$BU$3))/SQRT(1-Baseline!$AF$11))</f>
        <v>1.8755034196024452E-3</v>
      </c>
      <c r="BX59" s="355">
        <f>NORMSDIST((_xlfn.NORM.S.INV($AA59)-(SQRT(Baseline!$AF$11)*'MacroPD-Cal'!$BU$4))/SQRT(1-Baseline!$AF$11))</f>
        <v>2.5304809343847938E-3</v>
      </c>
      <c r="BY59" s="355">
        <f>NORMSDIST((_xlfn.NORM.S.INV($AA59)-(SQRT(Baseline!$AF$11)*'MacroPD-Cal'!$BU$5))/SQRT(1-Baseline!$AF$11))</f>
        <v>3.2617534847663734E-3</v>
      </c>
      <c r="BZ59" s="355">
        <f>NORMSDIST((_xlfn.NORM.S.INV($AB59)-(SQRT(Baseline!$AF$11)*'MacroPD-Cal'!$BU$6))/SQRT(1-Baseline!$AF$11))</f>
        <v>6.061163309106189E-3</v>
      </c>
      <c r="CA59" s="355">
        <f>NORMSDIST((_xlfn.NORM.S.INV($AC59)-(SQRT(Baseline!$AF$11)*'MacroPD-Cal'!$BU64))/SQRT(1-Baseline!$AF$11))</f>
        <v>2.6067909816661879E-3</v>
      </c>
      <c r="CB59" s="355">
        <f>NORMSDIST((_xlfn.NORM.S.INV($AD59)-(SQRT(Baseline!$AF$11)*'MacroPD-Cal'!$BU$8))/SQRT(1-Baseline!$AF$11))</f>
        <v>5.1528525651707031E-3</v>
      </c>
      <c r="CC59" s="355">
        <f>NORMSDIST((_xlfn.NORM.S.INV($AE59)-(SQRT(Baseline!$AF$11)*'MacroPD-Cal'!$BU$9))/SQRT(1-Baseline!$AF$11))</f>
        <v>4.4389551636590217E-3</v>
      </c>
      <c r="CD59" s="355">
        <f t="shared" si="19"/>
        <v>1.1428806631464711E-3</v>
      </c>
      <c r="CE59" s="355">
        <f t="shared" si="20"/>
        <v>3.0162406061570168E-3</v>
      </c>
      <c r="CF59" s="355">
        <f t="shared" si="21"/>
        <v>5.539089001194375E-3</v>
      </c>
      <c r="CG59" s="355">
        <f t="shared" si="22"/>
        <v>8.7000000000000011E-3</v>
      </c>
      <c r="CH59" s="355"/>
      <c r="CI59" s="355"/>
      <c r="CR59" s="345">
        <f t="shared" si="23"/>
        <v>0.16743881195555263</v>
      </c>
      <c r="CS59" s="345">
        <f t="shared" si="24"/>
        <v>0.39482167335953433</v>
      </c>
      <c r="CT59" s="345">
        <f t="shared" si="25"/>
        <v>0.6567329788937043</v>
      </c>
      <c r="CU59" s="345">
        <f t="shared" si="26"/>
        <v>1</v>
      </c>
    </row>
    <row r="60" spans="1:99" s="166" customFormat="1" x14ac:dyDescent="0.25">
      <c r="A60" s="464">
        <v>1100000136</v>
      </c>
      <c r="B60" s="470">
        <f>VLOOKUP(A60,'Ref-Data'!A:I,9,FALSE)</f>
        <v>1</v>
      </c>
      <c r="C60" s="445">
        <f>IF(B60="Matured","",VLOOKUP(A60,'Adjustment Factor'!A:C,3,0))</f>
        <v>1.3259653369230906</v>
      </c>
      <c r="D60" s="190">
        <f>VLOOKUP(A60,'Ref-Data'!A:C,2,FALSE)</f>
        <v>2312500</v>
      </c>
      <c r="E60" s="471">
        <f>IFERROR(IF(VLOOKUP(A60,'Updated Ncino PD'!$A:$K,4,0)=0,"",VLOOKUP(A60,'Updated Ncino PD'!$A:$K,4,0)),AF60)</f>
        <v>3.3648550417315079E-3</v>
      </c>
      <c r="F60" s="472">
        <f>IFERROR(IF(VLOOKUP(A60,'Updated Ncino PD'!$A:$K,5,0)=0,"",VLOOKUP(A60,'Updated Ncino PD'!$A:$K,5,0)),1-((1-AG60)*(1-E60)))</f>
        <v>7.7995178142969968E-3</v>
      </c>
      <c r="G60" s="472">
        <f>IFERROR(IF(VLOOKUP(A60,'Updated Ncino PD'!$A:$K,6,0)=0,"",VLOOKUP(A60,'Updated Ncino PD'!$A:$K,6,0)),1-((1-AF60)*(1-AG60)*(1-AH60)))</f>
        <v>1.2826691456277572E-2</v>
      </c>
      <c r="H60" s="472">
        <f>IFERROR(IF(VLOOKUP(A60,'Updated Ncino PD'!$A:$K,7,0)=0,"",VLOOKUP(A60,'Updated Ncino PD'!$A:$K,7,0)),IFERROR(VLOOKUP(A60,'Updated Ncino PD'!A:B,2,FALSE),FLOOR(1-((1-AG60)*(1-AH60)*(1-AI60)*(1-AF60)),$R$11)))</f>
        <v>1.9300000000000001E-2</v>
      </c>
      <c r="I60" s="472">
        <f>IFERROR(IF(VLOOKUP(A60,'Updated Ncino PD'!$A:$K,8,0)=0,"",VLOOKUP(A60,'Updated Ncino PD'!$A:$K,8,0)),FLOOR(1-((1-H60)*(1-AJ60)),$R$11))</f>
        <v>3.0500000000000003E-2</v>
      </c>
      <c r="J60" s="472">
        <f>IFERROR(IF(VLOOKUP(A60,'Updated Ncino PD'!$A:$K,9,0)=0,"",VLOOKUP(A60,'Updated Ncino PD'!$A:$K,9,0)),FLOOR(1-((1-H60)*(1-AJ60)*(1-AK60)),$R$11))</f>
        <v>3.7600000000000001E-2</v>
      </c>
      <c r="K60" s="472">
        <f>IFERROR(IF(VLOOKUP(A60,'Updated Ncino PD'!$A:$K,10,0)=0,"",VLOOKUP(A60,'Updated Ncino PD'!$A:$K,10,0)),FLOOR(1-((1-H60)*(1-AJ60)*(1-AK60)*(1-AL60)),$R$11))</f>
        <v>5.4300000000000001E-2</v>
      </c>
      <c r="L60" s="472">
        <f>IFERROR(IF(VLOOKUP(A60,'Updated Ncino PD'!$A:$K,11,0)=0,"",VLOOKUP(A60,'Updated Ncino PD'!$A:$K,11,0)),FLOOR(1-((1-H60)*(1-AJ60)*(1-AK60)*(1-AL60)*(1-AM60)),$R$11))</f>
        <v>7.1599999999999997E-2</v>
      </c>
      <c r="M60" s="224">
        <f>VLOOKUP(A60,'Ref-Data'!$A:$F,6,FALSE)</f>
        <v>3.8193018480492813</v>
      </c>
      <c r="N60" s="191">
        <f t="shared" si="3"/>
        <v>1.9300000000000001E-2</v>
      </c>
      <c r="O60" s="191">
        <f t="shared" si="4"/>
        <v>5.4300000000000001E-2</v>
      </c>
      <c r="P60" s="459" t="str">
        <f>VLOOKUP(A60,'Loan Book Summary'!C:G,5,FALSE)</f>
        <v>0014I00001z5rPw</v>
      </c>
      <c r="S60" s="203"/>
      <c r="T60" s="332">
        <f>IFERROR(VLOOKUP($P60,'Model Output-LoanNameUpdate'!$A:$K,2,FALSE),CL60)</f>
        <v>1.2129999999999998E-2</v>
      </c>
      <c r="U60" s="332">
        <f>1-(1-IFERROR(VLOOKUP($P60,'Model Output-LoanNameUpdate'!$A:$K,2,FALSE),CL60))^(1/4)</f>
        <v>3.0463925104555756E-3</v>
      </c>
      <c r="V60" s="332">
        <f>IFERROR(VLOOKUP($P60,'Model Output-LoanNameUpdate'!$A:$K,3,FALSE),CM60)</f>
        <v>1.2319999999999999E-2</v>
      </c>
      <c r="W60" s="332">
        <f>IFERROR(VLOOKUP($P60,'Model Output-LoanNameUpdate'!$A:$K,4,FALSE),CN60)</f>
        <v>1.2455000000000001E-2</v>
      </c>
      <c r="X60" s="332">
        <f>IFERROR(VLOOKUP($P60,'Model Output-LoanNameUpdate'!$A:$K,5,FALSE),CO60)</f>
        <v>1.257E-2</v>
      </c>
      <c r="Y60" s="332">
        <f>IFERROR(VLOOKUP($P60,'Model Output-LoanNameUpdate'!$A:$K,6,FALSE),CP60)</f>
        <v>1.259E-2</v>
      </c>
      <c r="Z60" s="207">
        <f t="shared" si="5"/>
        <v>1.3259653369230906</v>
      </c>
      <c r="AA60" s="208">
        <f t="shared" si="6"/>
        <v>4.0394108715262073E-3</v>
      </c>
      <c r="AB60" s="208">
        <f t="shared" si="7"/>
        <v>1.6335892950892477E-2</v>
      </c>
      <c r="AC60" s="208">
        <f t="shared" si="8"/>
        <v>1.6514898271377094E-2</v>
      </c>
      <c r="AD60" s="208">
        <f t="shared" si="9"/>
        <v>1.6667384285123248E-2</v>
      </c>
      <c r="AE60" s="208">
        <f t="shared" si="10"/>
        <v>1.6693903591861712E-2</v>
      </c>
      <c r="AF60" s="332">
        <f>NORMSDIST((_xlfn.NORM.S.INV(AA60)-(SQRT(Baseline!$AF$11)*'MacroPD-Cal'!$R$2))/SQRT(1-Baseline!$AF$11))</f>
        <v>3.3648550417315079E-3</v>
      </c>
      <c r="AG60" s="332">
        <f>NORMSDIST((_xlfn.NORM.S.INV(AA60)-(SQRT(Baseline!$AF$11)*'MacroPD-Cal'!$R$3))/SQRT(1-Baseline!$AF$11))</f>
        <v>4.4496351498331688E-3</v>
      </c>
      <c r="AH60" s="332">
        <f>NORMSDIST((_xlfn.NORM.S.INV(AA60)-(SQRT(Baseline!$AF$11)*'MacroPD-Cal'!$R$4))/SQRT(1-Baseline!$AF$11))</f>
        <v>5.0666913917501426E-3</v>
      </c>
      <c r="AI60" s="332">
        <f>NORMSDIST((_xlfn.NORM.S.INV(AA60)-(SQRT(Baseline!$AF$11)*'MacroPD-Cal'!$R$5))/SQRT(1-Baseline!$AF$11))</f>
        <v>6.6034420383599534E-3</v>
      </c>
      <c r="AJ60" s="332">
        <f>NORMSDIST((_xlfn.NORM.S.INV(AB60)-(SQRT(Baseline!$AF$11)*'MacroPD-Cal'!$R$6))/SQRT(1-Baseline!$AF$11))</f>
        <v>1.1428959343645462E-2</v>
      </c>
      <c r="AK60" s="332">
        <f>NORMSDIST((_xlfn.NORM.S.INV(AC60)-(SQRT(Baseline!$AF$11)*'MacroPD-Cal'!$R$7))/SQRT(1-Baseline!$AF$11))</f>
        <v>7.3642943564504217E-3</v>
      </c>
      <c r="AL60" s="332">
        <f>NORMSDIST((_xlfn.NORM.S.INV(AD60)-(SQRT(Baseline!$AF$11)*'MacroPD-Cal'!$R$8))/SQRT(1-Baseline!$AF$11))</f>
        <v>1.7331207384732809E-2</v>
      </c>
      <c r="AM60" s="332">
        <f>NORMSDIST((_xlfn.NORM.S.INV(AE60)-(SQRT(Baseline!$AF$11)*'MacroPD-Cal'!$R$9))/SQRT(1-Baseline!$AF$11))</f>
        <v>1.8333676253321923E-2</v>
      </c>
      <c r="AO60" s="355"/>
      <c r="AP60" s="355"/>
      <c r="AQ60" s="355">
        <f>NORMSDIST((_xlfn.NORM.S.INV(AA60)-(SQRT(Baseline!$AF$11)*'MacroPD-Cal'!$AP$2))/SQRT(1-Baseline!$AF$11))</f>
        <v>3.4923483397755273E-3</v>
      </c>
      <c r="AR60" s="355">
        <f>NORMSDIST((_xlfn.NORM.S.INV(AA60)-(SQRT(Baseline!$AF$11)*'MacroPD-Cal'!$AP$3))/SQRT(1-Baseline!$AF$11))</f>
        <v>4.1490577372546309E-3</v>
      </c>
      <c r="AS60" s="355">
        <f>NORMSDIST((_xlfn.NORM.S.INV(AA60)-(SQRT(Baseline!$AF$11)*'MacroPD-Cal'!$AP$4))/SQRT(1-Baseline!$AF$11))</f>
        <v>4.2412883286402237E-3</v>
      </c>
      <c r="AT60" s="355">
        <f>NORMSDIST((_xlfn.NORM.S.INV(AA60)-(SQRT(Baseline!$AF$11)*'MacroPD-Cal'!$AP$5))/SQRT(1-Baseline!$AF$11))</f>
        <v>5.6366027894574578E-3</v>
      </c>
      <c r="AU60" s="355">
        <f>NORMSDIST((_xlfn.NORM.S.INV(AB60)-(SQRT(Baseline!$AF$11)*'MacroPD-Cal'!$AP$6))/SQRT(1-Baseline!$AF$11))</f>
        <v>7.6575939138150573E-3</v>
      </c>
      <c r="AV60" s="355">
        <f>NORMSDIST((_xlfn.NORM.S.INV(AC60)-(SQRT(Baseline!$AF$11)*'MacroPD-Cal'!$AP$7))/SQRT(1-Baseline!$AF$11))</f>
        <v>1.0114904264790312E-2</v>
      </c>
      <c r="AW60" s="355">
        <f>NORMSDIST((_xlfn.NORM.S.INV(AD60)-(SQRT(Baseline!$AF$11)*'MacroPD-Cal'!$AP$8))/SQRT(1-Baseline!$AF$11))</f>
        <v>1.7728706111263835E-2</v>
      </c>
      <c r="AX60" s="355">
        <f>NORMSDIST((_xlfn.NORM.S.INV(AE60)-(SQRT(Baseline!$AF$11)*'MacroPD-Cal'!$AP$9))/SQRT(1-Baseline!$AF$11))</f>
        <v>2.0001110938547891E-2</v>
      </c>
      <c r="AY60" s="355">
        <f t="shared" si="11"/>
        <v>3.4923483397755273E-3</v>
      </c>
      <c r="AZ60" s="355">
        <f t="shared" si="12"/>
        <v>7.6269161221297344E-3</v>
      </c>
      <c r="BA60" s="355">
        <f t="shared" si="13"/>
        <v>1.1835856500437614E-2</v>
      </c>
      <c r="BB60" s="355">
        <f t="shared" si="14"/>
        <v>1.7400000000000002E-2</v>
      </c>
      <c r="BC60" s="355"/>
      <c r="BD60" s="355"/>
      <c r="BE60" s="355"/>
      <c r="BF60" s="355"/>
      <c r="BG60" s="355">
        <f>NORMSDIST((_xlfn.NORM.S.INV($AA60)-(SQRT(Baseline!$AF$11)*'MacroPD-Cal'!$BF$2))/SQRT(1-Baseline!$AF$11))</f>
        <v>3.2978088863022136E-3</v>
      </c>
      <c r="BH60" s="355">
        <f>NORMSDIST((_xlfn.NORM.S.INV($AA60)-(SQRT(Baseline!$AF$11)*'MacroPD-Cal'!$BF$3))/SQRT(1-Baseline!$AF$11))</f>
        <v>4.7387769785524588E-3</v>
      </c>
      <c r="BI60" s="355">
        <f>NORMSDIST((_xlfn.NORM.S.INV($AA60)-(SQRT(Baseline!$AF$11)*'MacroPD-Cal'!$BF$4))/SQRT(1-Baseline!$AF$11))</f>
        <v>6.9957054711800798E-3</v>
      </c>
      <c r="BJ60" s="355">
        <f>NORMSDIST((_xlfn.NORM.S.INV($AA60)-(SQRT(Baseline!$AF$11)*'MacroPD-Cal'!$BF$5))/SQRT(1-Baseline!$AF$11))</f>
        <v>9.3093080060473055E-3</v>
      </c>
      <c r="BK60" s="355">
        <f>NORMSDIST((_xlfn.NORM.S.INV($AB60)-(SQRT(Baseline!$AF$11)*'MacroPD-Cal'!$BF$6))/SQRT(1-Baseline!$AF$11))</f>
        <v>3.9399450232776564E-2</v>
      </c>
      <c r="BL60" s="355">
        <f>NORMSDIST((_xlfn.NORM.S.INV($AC60)-(SQRT(Baseline!$AF$11)*'MacroPD-Cal'!$BF$7))/SQRT(1-Baseline!$AF$11))</f>
        <v>4.1774545696863941E-3</v>
      </c>
      <c r="BM60" s="355">
        <f>NORMSDIST((_xlfn.NORM.S.INV($AD60)-(SQRT(Baseline!$AF$11)*'MacroPD-Cal'!$BF$8))/SQRT(1-Baseline!$AF$11))</f>
        <v>1.058691877793945E-2</v>
      </c>
      <c r="BN60" s="355">
        <f>NORMSDIST((_xlfn.NORM.S.INV($AE60)-(SQRT(Baseline!$AF$11)*'MacroPD-Cal'!$BF$9))/SQRT(1-Baseline!$AF$11))</f>
        <v>1.5740541420231648E-2</v>
      </c>
      <c r="BO60" s="355">
        <f t="shared" si="15"/>
        <v>3.2978088863022136E-3</v>
      </c>
      <c r="BP60" s="355">
        <f t="shared" si="16"/>
        <v>8.0209582840246041E-3</v>
      </c>
      <c r="BQ60" s="355">
        <f t="shared" si="17"/>
        <v>1.49605514934531E-2</v>
      </c>
      <c r="BR60" s="355">
        <f t="shared" si="18"/>
        <v>2.41E-2</v>
      </c>
      <c r="BS60" s="355"/>
      <c r="BT60" s="355"/>
      <c r="BU60" s="355"/>
      <c r="BV60" s="355">
        <f>NORMSDIST((_xlfn.NORM.S.INV($AA60)-(SQRT(Baseline!$AF$11)*'MacroPD-Cal'!$BU$2))/SQRT(1-Baseline!$AF$11))</f>
        <v>3.1651332361634608E-3</v>
      </c>
      <c r="BW60" s="355">
        <f>NORMSDIST((_xlfn.NORM.S.INV($AA60)-(SQRT(Baseline!$AF$11)*'MacroPD-Cal'!$BU$3))/SQRT(1-Baseline!$AF$11))</f>
        <v>4.9659328022083572E-3</v>
      </c>
      <c r="BX60" s="355">
        <f>NORMSDIST((_xlfn.NORM.S.INV($AA60)-(SQRT(Baseline!$AF$11)*'MacroPD-Cal'!$BU$4))/SQRT(1-Baseline!$AF$11))</f>
        <v>6.5150729741348511E-3</v>
      </c>
      <c r="BY60" s="355">
        <f>NORMSDIST((_xlfn.NORM.S.INV($AA60)-(SQRT(Baseline!$AF$11)*'MacroPD-Cal'!$BU$5))/SQRT(1-Baseline!$AF$11))</f>
        <v>8.1963284313945062E-3</v>
      </c>
      <c r="BZ60" s="355">
        <f>NORMSDIST((_xlfn.NORM.S.INV($AB60)-(SQRT(Baseline!$AF$11)*'MacroPD-Cal'!$BU$6))/SQRT(1-Baseline!$AF$11))</f>
        <v>1.8115624846454355E-2</v>
      </c>
      <c r="CA60" s="355">
        <f>NORMSDIST((_xlfn.NORM.S.INV($AC60)-(SQRT(Baseline!$AF$11)*'MacroPD-Cal'!$BU65))/SQRT(1-Baseline!$AF$11))</f>
        <v>9.2840090383655254E-3</v>
      </c>
      <c r="CB60" s="355">
        <f>NORMSDIST((_xlfn.NORM.S.INV($AD60)-(SQRT(Baseline!$AF$11)*'MacroPD-Cal'!$BU$8))/SQRT(1-Baseline!$AF$11))</f>
        <v>1.7841886375928089E-2</v>
      </c>
      <c r="CC60" s="355">
        <f>NORMSDIST((_xlfn.NORM.S.INV($AE60)-(SQRT(Baseline!$AF$11)*'MacroPD-Cal'!$BU$9))/SQRT(1-Baseline!$AF$11))</f>
        <v>1.6100627017922999E-2</v>
      </c>
      <c r="CD60" s="355">
        <f t="shared" si="19"/>
        <v>3.1651332361634608E-3</v>
      </c>
      <c r="CE60" s="355">
        <f t="shared" si="20"/>
        <v>8.1153481994109544E-3</v>
      </c>
      <c r="CF60" s="355">
        <f t="shared" si="21"/>
        <v>1.4577549087816166E-2</v>
      </c>
      <c r="CG60" s="355">
        <f t="shared" si="22"/>
        <v>2.2600000000000002E-2</v>
      </c>
      <c r="CH60" s="355"/>
      <c r="CI60" s="355"/>
      <c r="CR60" s="345">
        <f t="shared" si="23"/>
        <v>0.17434482081510402</v>
      </c>
      <c r="CS60" s="345">
        <f t="shared" si="24"/>
        <v>0.40412009400502569</v>
      </c>
      <c r="CT60" s="345">
        <f t="shared" si="25"/>
        <v>0.66459541224236118</v>
      </c>
      <c r="CU60" s="345">
        <f t="shared" si="26"/>
        <v>1</v>
      </c>
    </row>
    <row r="61" spans="1:99" s="166" customFormat="1" x14ac:dyDescent="0.25">
      <c r="A61" s="464">
        <v>1200000117</v>
      </c>
      <c r="B61" s="470">
        <f>VLOOKUP(A61,'Ref-Data'!A:I,9,FALSE)</f>
        <v>1</v>
      </c>
      <c r="C61" s="445">
        <f>IF(B61="Matured","",VLOOKUP(A61,'Adjustment Factor'!A:C,3,0))</f>
        <v>1.0153914978799519</v>
      </c>
      <c r="D61" s="190">
        <f>VLOOKUP(A61,'Ref-Data'!A:C,2,FALSE)</f>
        <v>3000000</v>
      </c>
      <c r="E61" s="471">
        <f>IFERROR(IF(VLOOKUP(A61,'Updated Ncino PD'!$A:$K,4,0)=0,"",VLOOKUP(A61,'Updated Ncino PD'!$A:$K,4,0)),AF61)</f>
        <v>2.0650728731724174E-3</v>
      </c>
      <c r="F61" s="472">
        <f>IFERROR(IF(VLOOKUP(A61,'Updated Ncino PD'!$A:$K,5,0)=0,"",VLOOKUP(A61,'Updated Ncino PD'!$A:$K,5,0)),1-((1-AG61)*(1-E61)))</f>
        <v>4.8278134180611554E-3</v>
      </c>
      <c r="G61" s="472">
        <f>IFERROR(IF(VLOOKUP(A61,'Updated Ncino PD'!$A:$K,6,0)=0,"",VLOOKUP(A61,'Updated Ncino PD'!$A:$K,6,0)),1-((1-AF61)*(1-AG61)*(1-AH61)))</f>
        <v>7.9853702124685899E-3</v>
      </c>
      <c r="H61" s="472">
        <f>IFERROR(IF(VLOOKUP(A61,'Updated Ncino PD'!$A:$K,7,0)=0,"",VLOOKUP(A61,'Updated Ncino PD'!$A:$K,7,0)),IFERROR(VLOOKUP(A61,'Updated Ncino PD'!A:B,2,FALSE),FLOOR(1-((1-AG61)*(1-AH61)*(1-AI61)*(1-AF61)),$R$11)))</f>
        <v>1.2100000000000001E-2</v>
      </c>
      <c r="I61" s="472">
        <f>IFERROR(IF(VLOOKUP(A61,'Updated Ncino PD'!$A:$K,8,0)=0,"",VLOOKUP(A61,'Updated Ncino PD'!$A:$K,8,0)),FLOOR(1-((1-H61)*(1-AJ61)),$R$11))</f>
        <v>1.8800000000000001E-2</v>
      </c>
      <c r="J61" s="472">
        <f>IFERROR(IF(VLOOKUP(A61,'Updated Ncino PD'!$A:$K,9,0)=0,"",VLOOKUP(A61,'Updated Ncino PD'!$A:$K,9,0)),FLOOR(1-((1-H61)*(1-AJ61)*(1-AK61)),$R$11))</f>
        <v>2.29E-2</v>
      </c>
      <c r="K61" s="472">
        <f>IFERROR(IF(VLOOKUP(A61,'Updated Ncino PD'!$A:$K,10,0)=0,"",VLOOKUP(A61,'Updated Ncino PD'!$A:$K,10,0)),FLOOR(1-((1-H61)*(1-AJ61)*(1-AK61)*(1-AL61)),$R$11))</f>
        <v>3.3100000000000004E-2</v>
      </c>
      <c r="L61" s="472">
        <f>IFERROR(IF(VLOOKUP(A61,'Updated Ncino PD'!$A:$K,11,0)=0,"",VLOOKUP(A61,'Updated Ncino PD'!$A:$K,11,0)),FLOOR(1-((1-H61)*(1-AJ61)*(1-AK61)*(1-AL61)*(1-AM61)),$R$11))</f>
        <v>4.3700000000000003E-2</v>
      </c>
      <c r="M61" s="224">
        <f>VLOOKUP(A61,'Ref-Data'!$A:$F,6,FALSE)</f>
        <v>4.8651608487337441</v>
      </c>
      <c r="N61" s="191">
        <f t="shared" si="3"/>
        <v>1.2100000000000001E-2</v>
      </c>
      <c r="O61" s="191">
        <f t="shared" si="4"/>
        <v>4.3700000000000003E-2</v>
      </c>
      <c r="P61" s="459" t="str">
        <f>VLOOKUP(A61,'Loan Book Summary'!C:G,5,FALSE)</f>
        <v>0014I00001xvXvo</v>
      </c>
      <c r="S61" s="203"/>
      <c r="T61" s="332">
        <f>IFERROR(VLOOKUP($P61,'Model Output-LoanNameUpdate'!$A:$K,2,FALSE),CL61)</f>
        <v>1.0279999999999999E-2</v>
      </c>
      <c r="U61" s="332">
        <f>1-(1-IFERROR(VLOOKUP($P61,'Model Output-LoanNameUpdate'!$A:$K,2,FALSE),CL61))^(1/4)</f>
        <v>2.5799671842271499E-3</v>
      </c>
      <c r="V61" s="332">
        <f>IFERROR(VLOOKUP($P61,'Model Output-LoanNameUpdate'!$A:$K,3,FALSE),CM61)</f>
        <v>1.0305E-2</v>
      </c>
      <c r="W61" s="332">
        <f>IFERROR(VLOOKUP($P61,'Model Output-LoanNameUpdate'!$A:$K,4,FALSE),CN61)</f>
        <v>1.0315000000000001E-2</v>
      </c>
      <c r="X61" s="332">
        <f>IFERROR(VLOOKUP($P61,'Model Output-LoanNameUpdate'!$A:$K,5,FALSE),CO61)</f>
        <v>1.0329999999999999E-2</v>
      </c>
      <c r="Y61" s="332">
        <f>IFERROR(VLOOKUP($P61,'Model Output-LoanNameUpdate'!$A:$K,6,FALSE),CP61)</f>
        <v>1.0289999999999999E-2</v>
      </c>
      <c r="Z61" s="207">
        <f t="shared" si="5"/>
        <v>1.0153914978799519</v>
      </c>
      <c r="AA61" s="208">
        <f t="shared" si="6"/>
        <v>2.6196767436735273E-3</v>
      </c>
      <c r="AB61" s="208">
        <f t="shared" si="7"/>
        <v>1.0463609385652904E-2</v>
      </c>
      <c r="AC61" s="208">
        <f t="shared" si="8"/>
        <v>1.0473763300631704E-2</v>
      </c>
      <c r="AD61" s="208">
        <f t="shared" si="9"/>
        <v>1.0488994173099902E-2</v>
      </c>
      <c r="AE61" s="208">
        <f t="shared" si="10"/>
        <v>1.0448378513184704E-2</v>
      </c>
      <c r="AF61" s="332">
        <f>NORMSDIST((_xlfn.NORM.S.INV(AA61)-(SQRT(Baseline!$AF$11)*'MacroPD-Cal'!$R$2))/SQRT(1-Baseline!$AF$11))</f>
        <v>2.0650728731724174E-3</v>
      </c>
      <c r="AG61" s="332">
        <f>NORMSDIST((_xlfn.NORM.S.INV(AA61)-(SQRT(Baseline!$AF$11)*'MacroPD-Cal'!$R$3))/SQRT(1-Baseline!$AF$11))</f>
        <v>2.7684576116030653E-3</v>
      </c>
      <c r="AH61" s="332">
        <f>NORMSDIST((_xlfn.NORM.S.INV(AA61)-(SQRT(Baseline!$AF$11)*'MacroPD-Cal'!$R$4))/SQRT(1-Baseline!$AF$11))</f>
        <v>3.1728748421441222E-3</v>
      </c>
      <c r="AI61" s="332">
        <f>NORMSDIST((_xlfn.NORM.S.INV(AA61)-(SQRT(Baseline!$AF$11)*'MacroPD-Cal'!$R$5))/SQRT(1-Baseline!$AF$11))</f>
        <v>4.1913176383945039E-3</v>
      </c>
      <c r="AJ61" s="332">
        <f>NORMSDIST((_xlfn.NORM.S.INV(AB61)-(SQRT(Baseline!$AF$11)*'MacroPD-Cal'!$R$6))/SQRT(1-Baseline!$AF$11))</f>
        <v>6.8111864040238815E-3</v>
      </c>
      <c r="AK61" s="332">
        <f>NORMSDIST((_xlfn.NORM.S.INV(AC61)-(SQRT(Baseline!$AF$11)*'MacroPD-Cal'!$R$7))/SQRT(1-Baseline!$AF$11))</f>
        <v>4.2108533554231914E-3</v>
      </c>
      <c r="AL61" s="332">
        <f>NORMSDIST((_xlfn.NORM.S.INV(AD61)-(SQRT(Baseline!$AF$11)*'MacroPD-Cal'!$R$8))/SQRT(1-Baseline!$AF$11))</f>
        <v>1.0404108389503125E-2</v>
      </c>
      <c r="AM61" s="332">
        <f>NORMSDIST((_xlfn.NORM.S.INV(AE61)-(SQRT(Baseline!$AF$11)*'MacroPD-Cal'!$R$9))/SQRT(1-Baseline!$AF$11))</f>
        <v>1.0983509890475137E-2</v>
      </c>
      <c r="AO61" s="355"/>
      <c r="AP61" s="355"/>
      <c r="AQ61" s="355">
        <f>NORMSDIST((_xlfn.NORM.S.INV(AA61)-(SQRT(Baseline!$AF$11)*'MacroPD-Cal'!$AP$2))/SQRT(1-Baseline!$AF$11))</f>
        <v>2.1471832942828025E-3</v>
      </c>
      <c r="AR61" s="355">
        <f>NORMSDIST((_xlfn.NORM.S.INV(AA61)-(SQRT(Baseline!$AF$11)*'MacroPD-Cal'!$AP$3))/SQRT(1-Baseline!$AF$11))</f>
        <v>2.5725328241652636E-3</v>
      </c>
      <c r="AS61" s="355">
        <f>NORMSDIST((_xlfn.NORM.S.INV(AA61)-(SQRT(Baseline!$AF$11)*'MacroPD-Cal'!$AP$4))/SQRT(1-Baseline!$AF$11))</f>
        <v>2.6325726402225049E-3</v>
      </c>
      <c r="AT61" s="355">
        <f>NORMSDIST((_xlfn.NORM.S.INV(AA61)-(SQRT(Baseline!$AF$11)*'MacroPD-Cal'!$AP$5))/SQRT(1-Baseline!$AF$11))</f>
        <v>3.5488079417021006E-3</v>
      </c>
      <c r="AU61" s="355">
        <f>NORMSDIST((_xlfn.NORM.S.INV(AB61)-(SQRT(Baseline!$AF$11)*'MacroPD-Cal'!$AP$6))/SQRT(1-Baseline!$AF$11))</f>
        <v>4.4469254326460301E-3</v>
      </c>
      <c r="AV61" s="355">
        <f>NORMSDIST((_xlfn.NORM.S.INV(AC61)-(SQRT(Baseline!$AF$11)*'MacroPD-Cal'!$AP$7))/SQRT(1-Baseline!$AF$11))</f>
        <v>5.9053296075014796E-3</v>
      </c>
      <c r="AW61" s="355">
        <f>NORMSDIST((_xlfn.NORM.S.INV(AD61)-(SQRT(Baseline!$AF$11)*'MacroPD-Cal'!$AP$8))/SQRT(1-Baseline!$AF$11))</f>
        <v>1.0660211853062204E-2</v>
      </c>
      <c r="AX61" s="355">
        <f>NORMSDIST((_xlfn.NORM.S.INV(AE61)-(SQRT(Baseline!$AF$11)*'MacroPD-Cal'!$AP$9))/SQRT(1-Baseline!$AF$11))</f>
        <v>1.2059920475327401E-2</v>
      </c>
      <c r="AY61" s="355">
        <f t="shared" si="11"/>
        <v>2.1471832942828025E-3</v>
      </c>
      <c r="AZ61" s="355">
        <f t="shared" si="12"/>
        <v>4.7141924189439965E-3</v>
      </c>
      <c r="BA61" s="355">
        <f t="shared" si="13"/>
        <v>7.3343546051837238E-3</v>
      </c>
      <c r="BB61" s="355">
        <f t="shared" si="14"/>
        <v>1.0800000000000001E-2</v>
      </c>
      <c r="BC61" s="355"/>
      <c r="BD61" s="355"/>
      <c r="BE61" s="355"/>
      <c r="BF61" s="355"/>
      <c r="BG61" s="355">
        <f>NORMSDIST((_xlfn.NORM.S.INV($AA61)-(SQRT(Baseline!$AF$11)*'MacroPD-Cal'!$BF$2))/SQRT(1-Baseline!$AF$11))</f>
        <v>2.0219577343793247E-3</v>
      </c>
      <c r="BH61" s="355">
        <f>NORMSDIST((_xlfn.NORM.S.INV($AA61)-(SQRT(Baseline!$AF$11)*'MacroPD-Cal'!$BF$3))/SQRT(1-Baseline!$AF$11))</f>
        <v>2.9576047862619036E-3</v>
      </c>
      <c r="BI61" s="355">
        <f>NORMSDIST((_xlfn.NORM.S.INV($AA61)-(SQRT(Baseline!$AF$11)*'MacroPD-Cal'!$BF$4))/SQRT(1-Baseline!$AF$11))</f>
        <v>4.4535547618204559E-3</v>
      </c>
      <c r="BJ61" s="355">
        <f>NORMSDIST((_xlfn.NORM.S.INV($AA61)-(SQRT(Baseline!$AF$11)*'MacroPD-Cal'!$BF$5))/SQRT(1-Baseline!$AF$11))</f>
        <v>6.0161535742295422E-3</v>
      </c>
      <c r="BK61" s="355">
        <f>NORMSDIST((_xlfn.NORM.S.INV($AB61)-(SQRT(Baseline!$AF$11)*'MacroPD-Cal'!$BF$6))/SQRT(1-Baseline!$AF$11))</f>
        <v>2.5649684877304308E-2</v>
      </c>
      <c r="BL61" s="355">
        <f>NORMSDIST((_xlfn.NORM.S.INV($AC61)-(SQRT(Baseline!$AF$11)*'MacroPD-Cal'!$BF$7))/SQRT(1-Baseline!$AF$11))</f>
        <v>2.3051366649918538E-3</v>
      </c>
      <c r="BM61" s="355">
        <f>NORMSDIST((_xlfn.NORM.S.INV($AD61)-(SQRT(Baseline!$AF$11)*'MacroPD-Cal'!$BF$8))/SQRT(1-Baseline!$AF$11))</f>
        <v>6.1392717069705897E-3</v>
      </c>
      <c r="BN61" s="355">
        <f>NORMSDIST((_xlfn.NORM.S.INV($AE61)-(SQRT(Baseline!$AF$11)*'MacroPD-Cal'!$BF$9))/SQRT(1-Baseline!$AF$11))</f>
        <v>9.325672537282689E-3</v>
      </c>
      <c r="BO61" s="355">
        <f t="shared" si="15"/>
        <v>2.0219577343793247E-3</v>
      </c>
      <c r="BP61" s="355">
        <f t="shared" si="16"/>
        <v>4.9735823687684366E-3</v>
      </c>
      <c r="BQ61" s="355">
        <f t="shared" si="17"/>
        <v>9.4049870091471588E-3</v>
      </c>
      <c r="BR61" s="355">
        <f t="shared" si="18"/>
        <v>1.5300000000000001E-2</v>
      </c>
      <c r="BS61" s="355"/>
      <c r="BT61" s="355"/>
      <c r="BU61" s="355"/>
      <c r="BV61" s="355">
        <f>NORMSDIST((_xlfn.NORM.S.INV($AA61)-(SQRT(Baseline!$AF$11)*'MacroPD-Cal'!$BU$2))/SQRT(1-Baseline!$AF$11))</f>
        <v>1.9367743919256359E-3</v>
      </c>
      <c r="BW61" s="355">
        <f>NORMSDIST((_xlfn.NORM.S.INV($AA61)-(SQRT(Baseline!$AF$11)*'MacroPD-Cal'!$BU$3))/SQRT(1-Baseline!$AF$11))</f>
        <v>3.1066452814933472E-3</v>
      </c>
      <c r="BX61" s="355">
        <f>NORMSDIST((_xlfn.NORM.S.INV($AA61)-(SQRT(Baseline!$AF$11)*'MacroPD-Cal'!$BU$4))/SQRT(1-Baseline!$AF$11))</f>
        <v>4.1323604782831482E-3</v>
      </c>
      <c r="BY61" s="355">
        <f>NORMSDIST((_xlfn.NORM.S.INV($AA61)-(SQRT(Baseline!$AF$11)*'MacroPD-Cal'!$BU$5))/SQRT(1-Baseline!$AF$11))</f>
        <v>5.2612455981193851E-3</v>
      </c>
      <c r="BZ61" s="355">
        <f>NORMSDIST((_xlfn.NORM.S.INV($AB61)-(SQRT(Baseline!$AF$11)*'MacroPD-Cal'!$BU$6))/SQRT(1-Baseline!$AF$11))</f>
        <v>1.1139082456121375E-2</v>
      </c>
      <c r="CA61" s="355">
        <f>NORMSDIST((_xlfn.NORM.S.INV($AC61)-(SQRT(Baseline!$AF$11)*'MacroPD-Cal'!$BU66))/SQRT(1-Baseline!$AF$11))</f>
        <v>5.3894618596042132E-3</v>
      </c>
      <c r="CB61" s="355">
        <f>NORMSDIST((_xlfn.NORM.S.INV($AD61)-(SQRT(Baseline!$AF$11)*'MacroPD-Cal'!$BU$8))/SQRT(1-Baseline!$AF$11))</f>
        <v>1.0733217778795838E-2</v>
      </c>
      <c r="CC61" s="355">
        <f>NORMSDIST((_xlfn.NORM.S.INV($AE61)-(SQRT(Baseline!$AF$11)*'MacroPD-Cal'!$BU$9))/SQRT(1-Baseline!$AF$11))</f>
        <v>9.5546367794408973E-3</v>
      </c>
      <c r="CD61" s="355">
        <f t="shared" si="19"/>
        <v>1.9367743919256359E-3</v>
      </c>
      <c r="CE61" s="355">
        <f t="shared" si="20"/>
        <v>5.037402802392954E-3</v>
      </c>
      <c r="CF61" s="355">
        <f t="shared" si="21"/>
        <v>9.1489469164223181E-3</v>
      </c>
      <c r="CG61" s="355">
        <f t="shared" si="22"/>
        <v>1.43E-2</v>
      </c>
      <c r="CH61" s="355"/>
      <c r="CI61" s="355"/>
      <c r="CR61" s="345">
        <f t="shared" si="23"/>
        <v>0.1706671796010262</v>
      </c>
      <c r="CS61" s="345">
        <f t="shared" si="24"/>
        <v>0.39899284446786404</v>
      </c>
      <c r="CT61" s="345">
        <f t="shared" si="25"/>
        <v>0.65994795144368501</v>
      </c>
      <c r="CU61" s="345">
        <f t="shared" si="26"/>
        <v>1</v>
      </c>
    </row>
    <row r="62" spans="1:99" s="166" customFormat="1" x14ac:dyDescent="0.25">
      <c r="A62" s="464">
        <v>1100000150</v>
      </c>
      <c r="B62" s="470">
        <f>VLOOKUP(A62,'Ref-Data'!A:I,9,FALSE)</f>
        <v>1</v>
      </c>
      <c r="C62" s="445">
        <f>IF(B62="Matured","",VLOOKUP(A62,'Adjustment Factor'!A:C,3,0))</f>
        <v>1.0153914978799519</v>
      </c>
      <c r="D62" s="190">
        <f>VLOOKUP(A62,'Ref-Data'!A:C,2,FALSE)</f>
        <v>3300873.9</v>
      </c>
      <c r="E62" s="471">
        <f>IFERROR(IF(VLOOKUP(A62,'Updated Ncino PD'!$A:$K,4,0)=0,"",VLOOKUP(A62,'Updated Ncino PD'!$A:$K,4,0)),AF62)</f>
        <v>2.0650728731724174E-3</v>
      </c>
      <c r="F62" s="472">
        <f>IFERROR(IF(VLOOKUP(A62,'Updated Ncino PD'!$A:$K,5,0)=0,"",VLOOKUP(A62,'Updated Ncino PD'!$A:$K,5,0)),1-((1-AG62)*(1-E62)))</f>
        <v>4.8278134180611554E-3</v>
      </c>
      <c r="G62" s="472">
        <f>IFERROR(IF(VLOOKUP(A62,'Updated Ncino PD'!$A:$K,6,0)=0,"",VLOOKUP(A62,'Updated Ncino PD'!$A:$K,6,0)),1-((1-AF62)*(1-AG62)*(1-AH62)))</f>
        <v>7.9853702124685899E-3</v>
      </c>
      <c r="H62" s="472">
        <f>IFERROR(IF(VLOOKUP(A62,'Updated Ncino PD'!$A:$K,7,0)=0,"",VLOOKUP(A62,'Updated Ncino PD'!$A:$K,7,0)),IFERROR(VLOOKUP(A62,'Updated Ncino PD'!A:B,2,FALSE),FLOOR(1-((1-AG62)*(1-AH62)*(1-AI62)*(1-AF62)),$R$11)))</f>
        <v>1.2100000000000001E-2</v>
      </c>
      <c r="I62" s="472">
        <f>IFERROR(IF(VLOOKUP(A62,'Updated Ncino PD'!$A:$K,8,0)=0,"",VLOOKUP(A62,'Updated Ncino PD'!$A:$K,8,0)),FLOOR(1-((1-H62)*(1-AJ62)),$R$11))</f>
        <v>1.8800000000000001E-2</v>
      </c>
      <c r="J62" s="472">
        <f>IFERROR(IF(VLOOKUP(A62,'Updated Ncino PD'!$A:$K,9,0)=0,"",VLOOKUP(A62,'Updated Ncino PD'!$A:$K,9,0)),FLOOR(1-((1-H62)*(1-AJ62)*(1-AK62)),$R$11))</f>
        <v>2.29E-2</v>
      </c>
      <c r="K62" s="472">
        <f>IFERROR(IF(VLOOKUP(A62,'Updated Ncino PD'!$A:$K,10,0)=0,"",VLOOKUP(A62,'Updated Ncino PD'!$A:$K,10,0)),FLOOR(1-((1-H62)*(1-AJ62)*(1-AK62)*(1-AL62)),$R$11))</f>
        <v>3.3100000000000004E-2</v>
      </c>
      <c r="L62" s="472">
        <f>IFERROR(IF(VLOOKUP(A62,'Updated Ncino PD'!$A:$K,11,0)=0,"",VLOOKUP(A62,'Updated Ncino PD'!$A:$K,11,0)),FLOOR(1-((1-H62)*(1-AJ62)*(1-AK62)*(1-AL62)*(1-AM62)),$R$11))</f>
        <v>4.3700000000000003E-2</v>
      </c>
      <c r="M62" s="224">
        <f>VLOOKUP(A62,'Ref-Data'!$A:$F,6,FALSE)</f>
        <v>3.868583162217659</v>
      </c>
      <c r="N62" s="191">
        <f t="shared" si="3"/>
        <v>1.2100000000000001E-2</v>
      </c>
      <c r="O62" s="191">
        <f t="shared" si="4"/>
        <v>3.3100000000000004E-2</v>
      </c>
      <c r="P62" s="459" t="str">
        <f>VLOOKUP(A62,'Loan Book Summary'!C:G,5,FALSE)</f>
        <v>0014I00001xvXvo</v>
      </c>
      <c r="S62" s="203"/>
      <c r="T62" s="332">
        <f>IFERROR(VLOOKUP($P62,'Model Output-LoanNameUpdate'!$A:$K,2,FALSE),CL62)</f>
        <v>1.0279999999999999E-2</v>
      </c>
      <c r="U62" s="332">
        <f>1-(1-IFERROR(VLOOKUP($P62,'Model Output-LoanNameUpdate'!$A:$K,2,FALSE),CL62))^(1/4)</f>
        <v>2.5799671842271499E-3</v>
      </c>
      <c r="V62" s="332">
        <f>IFERROR(VLOOKUP($P62,'Model Output-LoanNameUpdate'!$A:$K,3,FALSE),CM62)</f>
        <v>1.0305E-2</v>
      </c>
      <c r="W62" s="332">
        <f>IFERROR(VLOOKUP($P62,'Model Output-LoanNameUpdate'!$A:$K,4,FALSE),CN62)</f>
        <v>1.0315000000000001E-2</v>
      </c>
      <c r="X62" s="332">
        <f>IFERROR(VLOOKUP($P62,'Model Output-LoanNameUpdate'!$A:$K,5,FALSE),CO62)</f>
        <v>1.0329999999999999E-2</v>
      </c>
      <c r="Y62" s="332">
        <f>IFERROR(VLOOKUP($P62,'Model Output-LoanNameUpdate'!$A:$K,6,FALSE),CP62)</f>
        <v>1.0289999999999999E-2</v>
      </c>
      <c r="Z62" s="207">
        <f t="shared" si="5"/>
        <v>1.0153914978799519</v>
      </c>
      <c r="AA62" s="208">
        <f t="shared" si="6"/>
        <v>2.6196767436735273E-3</v>
      </c>
      <c r="AB62" s="208">
        <f t="shared" si="7"/>
        <v>1.0463609385652904E-2</v>
      </c>
      <c r="AC62" s="208">
        <f t="shared" si="8"/>
        <v>1.0473763300631704E-2</v>
      </c>
      <c r="AD62" s="208">
        <f t="shared" si="9"/>
        <v>1.0488994173099902E-2</v>
      </c>
      <c r="AE62" s="208">
        <f t="shared" si="10"/>
        <v>1.0448378513184704E-2</v>
      </c>
      <c r="AF62" s="332">
        <f>NORMSDIST((_xlfn.NORM.S.INV(AA62)-(SQRT(Baseline!$AF$11)*'MacroPD-Cal'!$R$2))/SQRT(1-Baseline!$AF$11))</f>
        <v>2.0650728731724174E-3</v>
      </c>
      <c r="AG62" s="332">
        <f>NORMSDIST((_xlfn.NORM.S.INV(AA62)-(SQRT(Baseline!$AF$11)*'MacroPD-Cal'!$R$3))/SQRT(1-Baseline!$AF$11))</f>
        <v>2.7684576116030653E-3</v>
      </c>
      <c r="AH62" s="332">
        <f>NORMSDIST((_xlfn.NORM.S.INV(AA62)-(SQRT(Baseline!$AF$11)*'MacroPD-Cal'!$R$4))/SQRT(1-Baseline!$AF$11))</f>
        <v>3.1728748421441222E-3</v>
      </c>
      <c r="AI62" s="332">
        <f>NORMSDIST((_xlfn.NORM.S.INV(AA62)-(SQRT(Baseline!$AF$11)*'MacroPD-Cal'!$R$5))/SQRT(1-Baseline!$AF$11))</f>
        <v>4.1913176383945039E-3</v>
      </c>
      <c r="AJ62" s="332">
        <f>NORMSDIST((_xlfn.NORM.S.INV(AB62)-(SQRT(Baseline!$AF$11)*'MacroPD-Cal'!$R$6))/SQRT(1-Baseline!$AF$11))</f>
        <v>6.8111864040238815E-3</v>
      </c>
      <c r="AK62" s="332">
        <f>NORMSDIST((_xlfn.NORM.S.INV(AC62)-(SQRT(Baseline!$AF$11)*'MacroPD-Cal'!$R$7))/SQRT(1-Baseline!$AF$11))</f>
        <v>4.2108533554231914E-3</v>
      </c>
      <c r="AL62" s="332">
        <f>NORMSDIST((_xlfn.NORM.S.INV(AD62)-(SQRT(Baseline!$AF$11)*'MacroPD-Cal'!$R$8))/SQRT(1-Baseline!$AF$11))</f>
        <v>1.0404108389503125E-2</v>
      </c>
      <c r="AM62" s="332">
        <f>NORMSDIST((_xlfn.NORM.S.INV(AE62)-(SQRT(Baseline!$AF$11)*'MacroPD-Cal'!$R$9))/SQRT(1-Baseline!$AF$11))</f>
        <v>1.0983509890475137E-2</v>
      </c>
      <c r="AO62" s="355"/>
      <c r="AP62" s="355"/>
      <c r="AQ62" s="355">
        <f>NORMSDIST((_xlfn.NORM.S.INV(AA62)-(SQRT(Baseline!$AF$11)*'MacroPD-Cal'!$AP$2))/SQRT(1-Baseline!$AF$11))</f>
        <v>2.1471832942828025E-3</v>
      </c>
      <c r="AR62" s="355">
        <f>NORMSDIST((_xlfn.NORM.S.INV(AA62)-(SQRT(Baseline!$AF$11)*'MacroPD-Cal'!$AP$3))/SQRT(1-Baseline!$AF$11))</f>
        <v>2.5725328241652636E-3</v>
      </c>
      <c r="AS62" s="355">
        <f>NORMSDIST((_xlfn.NORM.S.INV(AA62)-(SQRT(Baseline!$AF$11)*'MacroPD-Cal'!$AP$4))/SQRT(1-Baseline!$AF$11))</f>
        <v>2.6325726402225049E-3</v>
      </c>
      <c r="AT62" s="355">
        <f>NORMSDIST((_xlfn.NORM.S.INV(AA62)-(SQRT(Baseline!$AF$11)*'MacroPD-Cal'!$AP$5))/SQRT(1-Baseline!$AF$11))</f>
        <v>3.5488079417021006E-3</v>
      </c>
      <c r="AU62" s="355">
        <f>NORMSDIST((_xlfn.NORM.S.INV(AB62)-(SQRT(Baseline!$AF$11)*'MacroPD-Cal'!$AP$6))/SQRT(1-Baseline!$AF$11))</f>
        <v>4.4469254326460301E-3</v>
      </c>
      <c r="AV62" s="355">
        <f>NORMSDIST((_xlfn.NORM.S.INV(AC62)-(SQRT(Baseline!$AF$11)*'MacroPD-Cal'!$AP$7))/SQRT(1-Baseline!$AF$11))</f>
        <v>5.9053296075014796E-3</v>
      </c>
      <c r="AW62" s="355">
        <f>NORMSDIST((_xlfn.NORM.S.INV(AD62)-(SQRT(Baseline!$AF$11)*'MacroPD-Cal'!$AP$8))/SQRT(1-Baseline!$AF$11))</f>
        <v>1.0660211853062204E-2</v>
      </c>
      <c r="AX62" s="355">
        <f>NORMSDIST((_xlfn.NORM.S.INV(AE62)-(SQRT(Baseline!$AF$11)*'MacroPD-Cal'!$AP$9))/SQRT(1-Baseline!$AF$11))</f>
        <v>1.2059920475327401E-2</v>
      </c>
      <c r="AY62" s="355">
        <f t="shared" si="11"/>
        <v>2.1471832942828025E-3</v>
      </c>
      <c r="AZ62" s="355">
        <f t="shared" si="12"/>
        <v>4.7141924189439965E-3</v>
      </c>
      <c r="BA62" s="355">
        <f t="shared" si="13"/>
        <v>7.3343546051837238E-3</v>
      </c>
      <c r="BB62" s="355">
        <f t="shared" si="14"/>
        <v>1.0800000000000001E-2</v>
      </c>
      <c r="BC62" s="355"/>
      <c r="BD62" s="355"/>
      <c r="BE62" s="355"/>
      <c r="BF62" s="355"/>
      <c r="BG62" s="355">
        <f>NORMSDIST((_xlfn.NORM.S.INV($AA62)-(SQRT(Baseline!$AF$11)*'MacroPD-Cal'!$BF$2))/SQRT(1-Baseline!$AF$11))</f>
        <v>2.0219577343793247E-3</v>
      </c>
      <c r="BH62" s="355">
        <f>NORMSDIST((_xlfn.NORM.S.INV($AA62)-(SQRT(Baseline!$AF$11)*'MacroPD-Cal'!$BF$3))/SQRT(1-Baseline!$AF$11))</f>
        <v>2.9576047862619036E-3</v>
      </c>
      <c r="BI62" s="355">
        <f>NORMSDIST((_xlfn.NORM.S.INV($AA62)-(SQRT(Baseline!$AF$11)*'MacroPD-Cal'!$BF$4))/SQRT(1-Baseline!$AF$11))</f>
        <v>4.4535547618204559E-3</v>
      </c>
      <c r="BJ62" s="355">
        <f>NORMSDIST((_xlfn.NORM.S.INV($AA62)-(SQRT(Baseline!$AF$11)*'MacroPD-Cal'!$BF$5))/SQRT(1-Baseline!$AF$11))</f>
        <v>6.0161535742295422E-3</v>
      </c>
      <c r="BK62" s="355">
        <f>NORMSDIST((_xlfn.NORM.S.INV($AB62)-(SQRT(Baseline!$AF$11)*'MacroPD-Cal'!$BF$6))/SQRT(1-Baseline!$AF$11))</f>
        <v>2.5649684877304308E-2</v>
      </c>
      <c r="BL62" s="355">
        <f>NORMSDIST((_xlfn.NORM.S.INV($AC62)-(SQRT(Baseline!$AF$11)*'MacroPD-Cal'!$BF$7))/SQRT(1-Baseline!$AF$11))</f>
        <v>2.3051366649918538E-3</v>
      </c>
      <c r="BM62" s="355">
        <f>NORMSDIST((_xlfn.NORM.S.INV($AD62)-(SQRT(Baseline!$AF$11)*'MacroPD-Cal'!$BF$8))/SQRT(1-Baseline!$AF$11))</f>
        <v>6.1392717069705897E-3</v>
      </c>
      <c r="BN62" s="355">
        <f>NORMSDIST((_xlfn.NORM.S.INV($AE62)-(SQRT(Baseline!$AF$11)*'MacroPD-Cal'!$BF$9))/SQRT(1-Baseline!$AF$11))</f>
        <v>9.325672537282689E-3</v>
      </c>
      <c r="BO62" s="355">
        <f t="shared" si="15"/>
        <v>2.0219577343793247E-3</v>
      </c>
      <c r="BP62" s="355">
        <f t="shared" si="16"/>
        <v>4.9735823687684366E-3</v>
      </c>
      <c r="BQ62" s="355">
        <f t="shared" si="17"/>
        <v>9.4049870091471588E-3</v>
      </c>
      <c r="BR62" s="355">
        <f t="shared" si="18"/>
        <v>1.5300000000000001E-2</v>
      </c>
      <c r="BS62" s="355"/>
      <c r="BT62" s="355"/>
      <c r="BU62" s="355"/>
      <c r="BV62" s="355">
        <f>NORMSDIST((_xlfn.NORM.S.INV($AA62)-(SQRT(Baseline!$AF$11)*'MacroPD-Cal'!$BU$2))/SQRT(1-Baseline!$AF$11))</f>
        <v>1.9367743919256359E-3</v>
      </c>
      <c r="BW62" s="355">
        <f>NORMSDIST((_xlfn.NORM.S.INV($AA62)-(SQRT(Baseline!$AF$11)*'MacroPD-Cal'!$BU$3))/SQRT(1-Baseline!$AF$11))</f>
        <v>3.1066452814933472E-3</v>
      </c>
      <c r="BX62" s="355">
        <f>NORMSDIST((_xlfn.NORM.S.INV($AA62)-(SQRT(Baseline!$AF$11)*'MacroPD-Cal'!$BU$4))/SQRT(1-Baseline!$AF$11))</f>
        <v>4.1323604782831482E-3</v>
      </c>
      <c r="BY62" s="355">
        <f>NORMSDIST((_xlfn.NORM.S.INV($AA62)-(SQRT(Baseline!$AF$11)*'MacroPD-Cal'!$BU$5))/SQRT(1-Baseline!$AF$11))</f>
        <v>5.2612455981193851E-3</v>
      </c>
      <c r="BZ62" s="355">
        <f>NORMSDIST((_xlfn.NORM.S.INV($AB62)-(SQRT(Baseline!$AF$11)*'MacroPD-Cal'!$BU$6))/SQRT(1-Baseline!$AF$11))</f>
        <v>1.1139082456121375E-2</v>
      </c>
      <c r="CA62" s="355">
        <f>NORMSDIST((_xlfn.NORM.S.INV($AC62)-(SQRT(Baseline!$AF$11)*'MacroPD-Cal'!$BU67))/SQRT(1-Baseline!$AF$11))</f>
        <v>5.3894618596042132E-3</v>
      </c>
      <c r="CB62" s="355">
        <f>NORMSDIST((_xlfn.NORM.S.INV($AD62)-(SQRT(Baseline!$AF$11)*'MacroPD-Cal'!$BU$8))/SQRT(1-Baseline!$AF$11))</f>
        <v>1.0733217778795838E-2</v>
      </c>
      <c r="CC62" s="355">
        <f>NORMSDIST((_xlfn.NORM.S.INV($AE62)-(SQRT(Baseline!$AF$11)*'MacroPD-Cal'!$BU$9))/SQRT(1-Baseline!$AF$11))</f>
        <v>9.5546367794408973E-3</v>
      </c>
      <c r="CD62" s="355">
        <f t="shared" si="19"/>
        <v>1.9367743919256359E-3</v>
      </c>
      <c r="CE62" s="355">
        <f t="shared" si="20"/>
        <v>5.037402802392954E-3</v>
      </c>
      <c r="CF62" s="355">
        <f t="shared" si="21"/>
        <v>9.1489469164223181E-3</v>
      </c>
      <c r="CG62" s="355">
        <f t="shared" si="22"/>
        <v>1.43E-2</v>
      </c>
      <c r="CH62" s="355"/>
      <c r="CI62" s="355"/>
      <c r="CR62" s="345">
        <f t="shared" si="23"/>
        <v>0.1706671796010262</v>
      </c>
      <c r="CS62" s="345">
        <f t="shared" si="24"/>
        <v>0.39899284446786404</v>
      </c>
      <c r="CT62" s="345">
        <f t="shared" si="25"/>
        <v>0.65994795144368501</v>
      </c>
      <c r="CU62" s="345">
        <f t="shared" si="26"/>
        <v>1</v>
      </c>
    </row>
    <row r="63" spans="1:99" s="166" customFormat="1" x14ac:dyDescent="0.25">
      <c r="A63" s="464">
        <v>1200000118</v>
      </c>
      <c r="B63" s="470">
        <f>VLOOKUP(A63,'Ref-Data'!A:I,9,FALSE)</f>
        <v>1</v>
      </c>
      <c r="C63" s="445">
        <f>IF(B63="Matured","",VLOOKUP(A63,'Adjustment Factor'!A:C,3,0))</f>
        <v>1.174146672397123</v>
      </c>
      <c r="D63" s="190">
        <f>VLOOKUP(A63,'Ref-Data'!A:C,2,FALSE)</f>
        <v>5000000</v>
      </c>
      <c r="E63" s="471">
        <f>IFERROR(IF(VLOOKUP(A63,'Updated Ncino PD'!$A:$K,4,0)=0,"",VLOOKUP(A63,'Updated Ncino PD'!$A:$K,4,0)),AF63)</f>
        <v>3.9243287312251017E-3</v>
      </c>
      <c r="F63" s="472">
        <f>IFERROR(IF(VLOOKUP(A63,'Updated Ncino PD'!$A:$K,5,0)=0,"",VLOOKUP(A63,'Updated Ncino PD'!$A:$K,5,0)),1-((1-AG63)*(1-E63)))</f>
        <v>9.0705793225682729E-3</v>
      </c>
      <c r="G63" s="472">
        <f>IFERROR(IF(VLOOKUP(A63,'Updated Ncino PD'!$A:$K,6,0)=0,"",VLOOKUP(A63,'Updated Ncino PD'!$A:$K,6,0)),1-((1-AF63)*(1-AG63)*(1-AH63)))</f>
        <v>1.4887994365265778E-2</v>
      </c>
      <c r="H63" s="472">
        <f>IFERROR(IF(VLOOKUP(A63,'Updated Ncino PD'!$A:$K,7,0)=0,"",VLOOKUP(A63,'Updated Ncino PD'!$A:$K,7,0)),IFERROR(VLOOKUP(A63,'Updated Ncino PD'!A:B,2,FALSE),FLOOR(1-((1-AG63)*(1-AH63)*(1-AI63)*(1-AF63)),$R$11)))</f>
        <v>2.23E-2</v>
      </c>
      <c r="I63" s="472">
        <f>IFERROR(IF(VLOOKUP(A63,'Updated Ncino PD'!$A:$K,8,0)=0,"",VLOOKUP(A63,'Updated Ncino PD'!$A:$K,8,0)),FLOOR(1-((1-H63)*(1-AJ63)),$R$11))</f>
        <v>3.5200000000000002E-2</v>
      </c>
      <c r="J63" s="472">
        <f>IFERROR(IF(VLOOKUP(A63,'Updated Ncino PD'!$A:$K,9,0)=0,"",VLOOKUP(A63,'Updated Ncino PD'!$A:$K,9,0)),FLOOR(1-((1-H63)*(1-AJ63)*(1-AK63)),$R$11))</f>
        <v>4.36E-2</v>
      </c>
      <c r="K63" s="472">
        <f>IFERROR(IF(VLOOKUP(A63,'Updated Ncino PD'!$A:$K,10,0)=0,"",VLOOKUP(A63,'Updated Ncino PD'!$A:$K,10,0)),FLOOR(1-((1-H63)*(1-AJ63)*(1-AK63)*(1-AL63)),$R$11))</f>
        <v>6.2600000000000003E-2</v>
      </c>
      <c r="L63" s="472">
        <f>IFERROR(IF(VLOOKUP(A63,'Updated Ncino PD'!$A:$K,11,0)=0,"",VLOOKUP(A63,'Updated Ncino PD'!$A:$K,11,0)),FLOOR(1-((1-H63)*(1-AJ63)*(1-AK63)*(1-AL63)*(1-AM63)),$R$11))</f>
        <v>8.2200000000000009E-2</v>
      </c>
      <c r="M63" s="224">
        <f>VLOOKUP(A63,'Ref-Data'!$A:$F,6,FALSE)</f>
        <v>3.9069130732375084</v>
      </c>
      <c r="N63" s="191">
        <f t="shared" si="3"/>
        <v>2.23E-2</v>
      </c>
      <c r="O63" s="191">
        <f t="shared" si="4"/>
        <v>6.2600000000000003E-2</v>
      </c>
      <c r="P63" s="459" t="str">
        <f>VLOOKUP(A63,'Loan Book Summary'!C:G,5,FALSE)</f>
        <v>0014I000027uYyB</v>
      </c>
      <c r="S63" s="203"/>
      <c r="T63" s="332">
        <f>IFERROR(VLOOKUP($P63,'Model Output-LoanNameUpdate'!$A:$K,2,FALSE),CL63)</f>
        <v>1.5685000000000001E-2</v>
      </c>
      <c r="U63" s="332">
        <f>1-(1-IFERROR(VLOOKUP($P63,'Model Output-LoanNameUpdate'!$A:$K,2,FALSE),CL63))^(1/4)</f>
        <v>3.9445276338220259E-3</v>
      </c>
      <c r="V63" s="332">
        <f>IFERROR(VLOOKUP($P63,'Model Output-LoanNameUpdate'!$A:$K,3,FALSE),CM63)</f>
        <v>1.5844999999999998E-2</v>
      </c>
      <c r="W63" s="332">
        <f>IFERROR(VLOOKUP($P63,'Model Output-LoanNameUpdate'!$A:$K,4,FALSE),CN63)</f>
        <v>1.5999999999999997E-2</v>
      </c>
      <c r="X63" s="332">
        <f>IFERROR(VLOOKUP($P63,'Model Output-LoanNameUpdate'!$A:$K,5,FALSE),CO63)</f>
        <v>1.6069999999999997E-2</v>
      </c>
      <c r="Y63" s="332">
        <f>IFERROR(VLOOKUP($P63,'Model Output-LoanNameUpdate'!$A:$K,6,FALSE),CP63)</f>
        <v>1.6115000000000001E-2</v>
      </c>
      <c r="Z63" s="207">
        <f t="shared" si="5"/>
        <v>1.174146672397123</v>
      </c>
      <c r="AA63" s="208">
        <f t="shared" si="6"/>
        <v>4.6314539954306292E-3</v>
      </c>
      <c r="AB63" s="208">
        <f t="shared" si="7"/>
        <v>1.8604354024132411E-2</v>
      </c>
      <c r="AC63" s="208">
        <f t="shared" si="8"/>
        <v>1.8786346758353965E-2</v>
      </c>
      <c r="AD63" s="208">
        <f t="shared" si="9"/>
        <v>1.8868537025421763E-2</v>
      </c>
      <c r="AE63" s="208">
        <f t="shared" si="10"/>
        <v>1.8921373625679638E-2</v>
      </c>
      <c r="AF63" s="332">
        <f>NORMSDIST((_xlfn.NORM.S.INV(AA63)-(SQRT(Baseline!$AF$11)*'MacroPD-Cal'!$R$2))/SQRT(1-Baseline!$AF$11))</f>
        <v>3.9243287312251017E-3</v>
      </c>
      <c r="AG63" s="332">
        <f>NORMSDIST((_xlfn.NORM.S.INV(AA63)-(SQRT(Baseline!$AF$11)*'MacroPD-Cal'!$R$3))/SQRT(1-Baseline!$AF$11))</f>
        <v>5.1665257367324415E-3</v>
      </c>
      <c r="AH63" s="332">
        <f>NORMSDIST((_xlfn.NORM.S.INV(AA63)-(SQRT(Baseline!$AF$11)*'MacroPD-Cal'!$R$4))/SQRT(1-Baseline!$AF$11))</f>
        <v>5.8706653786911554E-3</v>
      </c>
      <c r="AI63" s="332">
        <f>NORMSDIST((_xlfn.NORM.S.INV(AA63)-(SQRT(Baseline!$AF$11)*'MacroPD-Cal'!$R$5))/SQRT(1-Baseline!$AF$11))</f>
        <v>7.617969714849405E-3</v>
      </c>
      <c r="AJ63" s="332">
        <f>NORMSDIST((_xlfn.NORM.S.INV(AB63)-(SQRT(Baseline!$AF$11)*'MacroPD-Cal'!$R$6))/SQRT(1-Baseline!$AF$11))</f>
        <v>1.3288181384223196E-2</v>
      </c>
      <c r="AK63" s="332">
        <f>NORMSDIST((_xlfn.NORM.S.INV(AC63)-(SQRT(Baseline!$AF$11)*'MacroPD-Cal'!$R$7))/SQRT(1-Baseline!$AF$11))</f>
        <v>8.6258026048947316E-3</v>
      </c>
      <c r="AL63" s="332">
        <f>NORMSDIST((_xlfn.NORM.S.INV(AD63)-(SQRT(Baseline!$AF$11)*'MacroPD-Cal'!$R$8))/SQRT(1-Baseline!$AF$11))</f>
        <v>1.9857473611640222E-2</v>
      </c>
      <c r="AM63" s="332">
        <f>NORMSDIST((_xlfn.NORM.S.INV(AE63)-(SQRT(Baseline!$AF$11)*'MacroPD-Cal'!$R$9))/SQRT(1-Baseline!$AF$11))</f>
        <v>2.1010547005833356E-2</v>
      </c>
      <c r="AO63" s="355"/>
      <c r="AP63" s="355"/>
      <c r="AQ63" s="355">
        <f>NORMSDIST((_xlfn.NORM.S.INV(AA63)-(SQRT(Baseline!$AF$11)*'MacroPD-Cal'!$AP$2))/SQRT(1-Baseline!$AF$11))</f>
        <v>4.0706443303919326E-3</v>
      </c>
      <c r="AR63" s="355">
        <f>NORMSDIST((_xlfn.NORM.S.INV(AA63)-(SQRT(Baseline!$AF$11)*'MacroPD-Cal'!$AP$3))/SQRT(1-Baseline!$AF$11))</f>
        <v>4.8229191777326283E-3</v>
      </c>
      <c r="AS63" s="355">
        <f>NORMSDIST((_xlfn.NORM.S.INV(AA63)-(SQRT(Baseline!$AF$11)*'MacroPD-Cal'!$AP$4))/SQRT(1-Baseline!$AF$11))</f>
        <v>4.92839791820742E-3</v>
      </c>
      <c r="AT63" s="355">
        <f>NORMSDIST((_xlfn.NORM.S.INV(AA63)-(SQRT(Baseline!$AF$11)*'MacroPD-Cal'!$AP$5))/SQRT(1-Baseline!$AF$11))</f>
        <v>6.5196452753946057E-3</v>
      </c>
      <c r="AU63" s="355">
        <f>NORMSDIST((_xlfn.NORM.S.INV(AB63)-(SQRT(Baseline!$AF$11)*'MacroPD-Cal'!$AP$6))/SQRT(1-Baseline!$AF$11))</f>
        <v>8.9732034089939974E-3</v>
      </c>
      <c r="AV63" s="355">
        <f>NORMSDIST((_xlfn.NORM.S.INV(AC63)-(SQRT(Baseline!$AF$11)*'MacroPD-Cal'!$AP$7))/SQRT(1-Baseline!$AF$11))</f>
        <v>1.1775549031142959E-2</v>
      </c>
      <c r="AW63" s="355">
        <f>NORMSDIST((_xlfn.NORM.S.INV(AD63)-(SQRT(Baseline!$AF$11)*'MacroPD-Cal'!$AP$8))/SQRT(1-Baseline!$AF$11))</f>
        <v>2.0303683376256224E-2</v>
      </c>
      <c r="AX63" s="355">
        <f>NORMSDIST((_xlfn.NORM.S.INV(AE63)-(SQRT(Baseline!$AF$11)*'MacroPD-Cal'!$AP$9))/SQRT(1-Baseline!$AF$11))</f>
        <v>2.288064748291176E-2</v>
      </c>
      <c r="AY63" s="355">
        <f t="shared" si="11"/>
        <v>4.0706443303919326E-3</v>
      </c>
      <c r="AZ63" s="355">
        <f t="shared" si="12"/>
        <v>8.8739311195177306E-3</v>
      </c>
      <c r="BA63" s="355">
        <f t="shared" si="13"/>
        <v>1.3758594774069377E-2</v>
      </c>
      <c r="BB63" s="355">
        <f t="shared" si="14"/>
        <v>2.01E-2</v>
      </c>
      <c r="BC63" s="355"/>
      <c r="BD63" s="355"/>
      <c r="BE63" s="355"/>
      <c r="BF63" s="355"/>
      <c r="BG63" s="355">
        <f>NORMSDIST((_xlfn.NORM.S.INV($AA63)-(SQRT(Baseline!$AF$11)*'MacroPD-Cal'!$BF$2))/SQRT(1-Baseline!$AF$11))</f>
        <v>3.8473465617841988E-3</v>
      </c>
      <c r="BH63" s="355">
        <f>NORMSDIST((_xlfn.NORM.S.INV($AA63)-(SQRT(Baseline!$AF$11)*'MacroPD-Cal'!$BF$3))/SQRT(1-Baseline!$AF$11))</f>
        <v>5.4966747669212591E-3</v>
      </c>
      <c r="BI63" s="355">
        <f>NORMSDIST((_xlfn.NORM.S.INV($AA63)-(SQRT(Baseline!$AF$11)*'MacroPD-Cal'!$BF$4))/SQRT(1-Baseline!$AF$11))</f>
        <v>8.0627147332632178E-3</v>
      </c>
      <c r="BJ63" s="355">
        <f>NORMSDIST((_xlfn.NORM.S.INV($AA63)-(SQRT(Baseline!$AF$11)*'MacroPD-Cal'!$BF$5))/SQRT(1-Baseline!$AF$11))</f>
        <v>1.0677158904953439E-2</v>
      </c>
      <c r="BK63" s="355">
        <f>NORMSDIST((_xlfn.NORM.S.INV($AB63)-(SQRT(Baseline!$AF$11)*'MacroPD-Cal'!$BF$6))/SQRT(1-Baseline!$AF$11))</f>
        <v>4.4604853620910635E-2</v>
      </c>
      <c r="BL63" s="355">
        <f>NORMSDIST((_xlfn.NORM.S.INV($AC63)-(SQRT(Baseline!$AF$11)*'MacroPD-Cal'!$BF$7))/SQRT(1-Baseline!$AF$11))</f>
        <v>4.9443566821697708E-3</v>
      </c>
      <c r="BM63" s="355">
        <f>NORMSDIST((_xlfn.NORM.S.INV($AD63)-(SQRT(Baseline!$AF$11)*'MacroPD-Cal'!$BF$8))/SQRT(1-Baseline!$AF$11))</f>
        <v>1.2246977358977684E-2</v>
      </c>
      <c r="BN63" s="355">
        <f>NORMSDIST((_xlfn.NORM.S.INV($AE63)-(SQRT(Baseline!$AF$11)*'MacroPD-Cal'!$BF$9))/SQRT(1-Baseline!$AF$11))</f>
        <v>1.8094359344759604E-2</v>
      </c>
      <c r="BO63" s="355">
        <f t="shared" si="15"/>
        <v>3.8473465617841988E-3</v>
      </c>
      <c r="BP63" s="355">
        <f t="shared" si="16"/>
        <v>9.3228737159397612E-3</v>
      </c>
      <c r="BQ63" s="355">
        <f t="shared" si="17"/>
        <v>1.7310420777937208E-2</v>
      </c>
      <c r="BR63" s="355">
        <f t="shared" si="18"/>
        <v>2.7800000000000002E-2</v>
      </c>
      <c r="BS63" s="355"/>
      <c r="BT63" s="355"/>
      <c r="BU63" s="355"/>
      <c r="BV63" s="355">
        <f>NORMSDIST((_xlfn.NORM.S.INV($AA63)-(SQRT(Baseline!$AF$11)*'MacroPD-Cal'!$BU$2))/SQRT(1-Baseline!$AF$11))</f>
        <v>3.6949298081815182E-3</v>
      </c>
      <c r="BW63" s="355">
        <f>NORMSDIST((_xlfn.NORM.S.INV($AA63)-(SQRT(Baseline!$AF$11)*'MacroPD-Cal'!$BU$3))/SQRT(1-Baseline!$AF$11))</f>
        <v>5.7557959667321971E-3</v>
      </c>
      <c r="BX63" s="355">
        <f>NORMSDIST((_xlfn.NORM.S.INV($AA63)-(SQRT(Baseline!$AF$11)*'MacroPD-Cal'!$BU$4))/SQRT(1-Baseline!$AF$11))</f>
        <v>7.5177115756957166E-3</v>
      </c>
      <c r="BY63" s="355">
        <f>NORMSDIST((_xlfn.NORM.S.INV($AA63)-(SQRT(Baseline!$AF$11)*'MacroPD-Cal'!$BU$5))/SQRT(1-Baseline!$AF$11))</f>
        <v>9.4212008800592141E-3</v>
      </c>
      <c r="BZ63" s="355">
        <f>NORMSDIST((_xlfn.NORM.S.INV($AB63)-(SQRT(Baseline!$AF$11)*'MacroPD-Cal'!$BU$6))/SQRT(1-Baseline!$AF$11))</f>
        <v>2.0864842010700092E-2</v>
      </c>
      <c r="CA63" s="355">
        <f>NORMSDIST((_xlfn.NORM.S.INV($AC63)-(SQRT(Baseline!$AF$11)*'MacroPD-Cal'!$BU68))/SQRT(1-Baseline!$AF$11))</f>
        <v>1.082627509353792E-2</v>
      </c>
      <c r="CB63" s="355">
        <f>NORMSDIST((_xlfn.NORM.S.INV($AD63)-(SQRT(Baseline!$AF$11)*'MacroPD-Cal'!$BU$8))/SQRT(1-Baseline!$AF$11))</f>
        <v>2.0430691744632221E-2</v>
      </c>
      <c r="CC63" s="355">
        <f>NORMSDIST((_xlfn.NORM.S.INV($AE63)-(SQRT(Baseline!$AF$11)*'MacroPD-Cal'!$BU$9))/SQRT(1-Baseline!$AF$11))</f>
        <v>1.8499915747638433E-2</v>
      </c>
      <c r="CD63" s="355">
        <f t="shared" si="19"/>
        <v>3.6949298081815182E-3</v>
      </c>
      <c r="CE63" s="355">
        <f t="shared" si="20"/>
        <v>9.4294585128263941E-3</v>
      </c>
      <c r="CF63" s="355">
        <f t="shared" si="21"/>
        <v>1.6876282139107635E-2</v>
      </c>
      <c r="CG63" s="355">
        <f t="shared" si="22"/>
        <v>2.6100000000000002E-2</v>
      </c>
      <c r="CH63" s="355"/>
      <c r="CI63" s="355"/>
      <c r="CR63" s="345">
        <f t="shared" si="23"/>
        <v>0.1759788668710808</v>
      </c>
      <c r="CS63" s="345">
        <f t="shared" si="24"/>
        <v>0.40675243598960864</v>
      </c>
      <c r="CT63" s="345">
        <f t="shared" si="25"/>
        <v>0.66762306570698549</v>
      </c>
      <c r="CU63" s="345">
        <f t="shared" si="26"/>
        <v>1</v>
      </c>
    </row>
    <row r="64" spans="1:99" s="166" customFormat="1" x14ac:dyDescent="0.25">
      <c r="A64" s="464">
        <v>1100000157</v>
      </c>
      <c r="B64" s="470">
        <f>VLOOKUP(A64,'Ref-Data'!A:I,9,FALSE)</f>
        <v>1</v>
      </c>
      <c r="C64" s="445">
        <f>IF(B64="Matured","",VLOOKUP(A64,'Adjustment Factor'!A:C,3,0))</f>
        <v>1.174146672397123</v>
      </c>
      <c r="D64" s="190">
        <f>VLOOKUP(A64,'Ref-Data'!A:C,2,FALSE)</f>
        <v>1500000</v>
      </c>
      <c r="E64" s="471">
        <f>IFERROR(IF(VLOOKUP(A64,'Updated Ncino PD'!$A:$K,4,0)=0,"",VLOOKUP(A64,'Updated Ncino PD'!$A:$K,4,0)),AF64)</f>
        <v>3.9243287312251017E-3</v>
      </c>
      <c r="F64" s="472">
        <f>IFERROR(IF(VLOOKUP(A64,'Updated Ncino PD'!$A:$K,5,0)=0,"",VLOOKUP(A64,'Updated Ncino PD'!$A:$K,5,0)),1-((1-AG64)*(1-E64)))</f>
        <v>9.0705793225682729E-3</v>
      </c>
      <c r="G64" s="472">
        <f>IFERROR(IF(VLOOKUP(A64,'Updated Ncino PD'!$A:$K,6,0)=0,"",VLOOKUP(A64,'Updated Ncino PD'!$A:$K,6,0)),1-((1-AF64)*(1-AG64)*(1-AH64)))</f>
        <v>1.4887994365265778E-2</v>
      </c>
      <c r="H64" s="472">
        <f>IFERROR(IF(VLOOKUP(A64,'Updated Ncino PD'!$A:$K,7,0)=0,"",VLOOKUP(A64,'Updated Ncino PD'!$A:$K,7,0)),IFERROR(VLOOKUP(A64,'Updated Ncino PD'!A:B,2,FALSE),FLOOR(1-((1-AG64)*(1-AH64)*(1-AI64)*(1-AF64)),$R$11)))</f>
        <v>2.23E-2</v>
      </c>
      <c r="I64" s="472">
        <f>IFERROR(IF(VLOOKUP(A64,'Updated Ncino PD'!$A:$K,8,0)=0,"",VLOOKUP(A64,'Updated Ncino PD'!$A:$K,8,0)),FLOOR(1-((1-H64)*(1-AJ64)),$R$11))</f>
        <v>3.5200000000000002E-2</v>
      </c>
      <c r="J64" s="472">
        <f>IFERROR(IF(VLOOKUP(A64,'Updated Ncino PD'!$A:$K,9,0)=0,"",VLOOKUP(A64,'Updated Ncino PD'!$A:$K,9,0)),FLOOR(1-((1-H64)*(1-AJ64)*(1-AK64)),$R$11))</f>
        <v>4.36E-2</v>
      </c>
      <c r="K64" s="472">
        <f>IFERROR(IF(VLOOKUP(A64,'Updated Ncino PD'!$A:$K,10,0)=0,"",VLOOKUP(A64,'Updated Ncino PD'!$A:$K,10,0)),FLOOR(1-((1-H64)*(1-AJ64)*(1-AK64)*(1-AL64)),$R$11))</f>
        <v>6.2600000000000003E-2</v>
      </c>
      <c r="L64" s="472">
        <f>IFERROR(IF(VLOOKUP(A64,'Updated Ncino PD'!$A:$K,11,0)=0,"",VLOOKUP(A64,'Updated Ncino PD'!$A:$K,11,0)),FLOOR(1-((1-H64)*(1-AJ64)*(1-AK64)*(1-AL64)*(1-AM64)),$R$11))</f>
        <v>8.2200000000000009E-2</v>
      </c>
      <c r="M64" s="224">
        <f>VLOOKUP(A64,'Ref-Data'!$A:$F,6,FALSE)</f>
        <v>3.9069130732375084</v>
      </c>
      <c r="N64" s="191">
        <f t="shared" si="3"/>
        <v>2.23E-2</v>
      </c>
      <c r="O64" s="191">
        <f t="shared" si="4"/>
        <v>6.2600000000000003E-2</v>
      </c>
      <c r="P64" s="459" t="str">
        <f>VLOOKUP(A64,'Loan Book Summary'!C:G,5,FALSE)</f>
        <v>0014I000027uYyB</v>
      </c>
      <c r="S64" s="203"/>
      <c r="T64" s="332">
        <f>IFERROR(VLOOKUP($P64,'Model Output-LoanNameUpdate'!$A:$K,2,FALSE),CL64)</f>
        <v>1.5685000000000001E-2</v>
      </c>
      <c r="U64" s="332">
        <f>1-(1-IFERROR(VLOOKUP($P64,'Model Output-LoanNameUpdate'!$A:$K,2,FALSE),CL64))^(1/4)</f>
        <v>3.9445276338220259E-3</v>
      </c>
      <c r="V64" s="332">
        <f>IFERROR(VLOOKUP($P64,'Model Output-LoanNameUpdate'!$A:$K,3,FALSE),CM64)</f>
        <v>1.5844999999999998E-2</v>
      </c>
      <c r="W64" s="332">
        <f>IFERROR(VLOOKUP($P64,'Model Output-LoanNameUpdate'!$A:$K,4,FALSE),CN64)</f>
        <v>1.5999999999999997E-2</v>
      </c>
      <c r="X64" s="332">
        <f>IFERROR(VLOOKUP($P64,'Model Output-LoanNameUpdate'!$A:$K,5,FALSE),CO64)</f>
        <v>1.6069999999999997E-2</v>
      </c>
      <c r="Y64" s="332">
        <f>IFERROR(VLOOKUP($P64,'Model Output-LoanNameUpdate'!$A:$K,6,FALSE),CP64)</f>
        <v>1.6115000000000001E-2</v>
      </c>
      <c r="Z64" s="207">
        <f t="shared" si="5"/>
        <v>1.174146672397123</v>
      </c>
      <c r="AA64" s="208">
        <f t="shared" si="6"/>
        <v>4.6314539954306292E-3</v>
      </c>
      <c r="AB64" s="208">
        <f t="shared" si="7"/>
        <v>1.8604354024132411E-2</v>
      </c>
      <c r="AC64" s="208">
        <f t="shared" si="8"/>
        <v>1.8786346758353965E-2</v>
      </c>
      <c r="AD64" s="208">
        <f t="shared" si="9"/>
        <v>1.8868537025421763E-2</v>
      </c>
      <c r="AE64" s="208">
        <f t="shared" si="10"/>
        <v>1.8921373625679638E-2</v>
      </c>
      <c r="AF64" s="332">
        <f>NORMSDIST((_xlfn.NORM.S.INV(AA64)-(SQRT(Baseline!$AF$11)*'MacroPD-Cal'!$R$2))/SQRT(1-Baseline!$AF$11))</f>
        <v>3.9243287312251017E-3</v>
      </c>
      <c r="AG64" s="332">
        <f>NORMSDIST((_xlfn.NORM.S.INV(AA64)-(SQRT(Baseline!$AF$11)*'MacroPD-Cal'!$R$3))/SQRT(1-Baseline!$AF$11))</f>
        <v>5.1665257367324415E-3</v>
      </c>
      <c r="AH64" s="332">
        <f>NORMSDIST((_xlfn.NORM.S.INV(AA64)-(SQRT(Baseline!$AF$11)*'MacroPD-Cal'!$R$4))/SQRT(1-Baseline!$AF$11))</f>
        <v>5.8706653786911554E-3</v>
      </c>
      <c r="AI64" s="332">
        <f>NORMSDIST((_xlfn.NORM.S.INV(AA64)-(SQRT(Baseline!$AF$11)*'MacroPD-Cal'!$R$5))/SQRT(1-Baseline!$AF$11))</f>
        <v>7.617969714849405E-3</v>
      </c>
      <c r="AJ64" s="332">
        <f>NORMSDIST((_xlfn.NORM.S.INV(AB64)-(SQRT(Baseline!$AF$11)*'MacroPD-Cal'!$R$6))/SQRT(1-Baseline!$AF$11))</f>
        <v>1.3288181384223196E-2</v>
      </c>
      <c r="AK64" s="332">
        <f>NORMSDIST((_xlfn.NORM.S.INV(AC64)-(SQRT(Baseline!$AF$11)*'MacroPD-Cal'!$R$7))/SQRT(1-Baseline!$AF$11))</f>
        <v>8.6258026048947316E-3</v>
      </c>
      <c r="AL64" s="332">
        <f>NORMSDIST((_xlfn.NORM.S.INV(AD64)-(SQRT(Baseline!$AF$11)*'MacroPD-Cal'!$R$8))/SQRT(1-Baseline!$AF$11))</f>
        <v>1.9857473611640222E-2</v>
      </c>
      <c r="AM64" s="332">
        <f>NORMSDIST((_xlfn.NORM.S.INV(AE64)-(SQRT(Baseline!$AF$11)*'MacroPD-Cal'!$R$9))/SQRT(1-Baseline!$AF$11))</f>
        <v>2.1010547005833356E-2</v>
      </c>
      <c r="AO64" s="355"/>
      <c r="AP64" s="355"/>
      <c r="AQ64" s="355">
        <f>NORMSDIST((_xlfn.NORM.S.INV(AA64)-(SQRT(Baseline!$AF$11)*'MacroPD-Cal'!$AP$2))/SQRT(1-Baseline!$AF$11))</f>
        <v>4.0706443303919326E-3</v>
      </c>
      <c r="AR64" s="355">
        <f>NORMSDIST((_xlfn.NORM.S.INV(AA64)-(SQRT(Baseline!$AF$11)*'MacroPD-Cal'!$AP$3))/SQRT(1-Baseline!$AF$11))</f>
        <v>4.8229191777326283E-3</v>
      </c>
      <c r="AS64" s="355">
        <f>NORMSDIST((_xlfn.NORM.S.INV(AA64)-(SQRT(Baseline!$AF$11)*'MacroPD-Cal'!$AP$4))/SQRT(1-Baseline!$AF$11))</f>
        <v>4.92839791820742E-3</v>
      </c>
      <c r="AT64" s="355">
        <f>NORMSDIST((_xlfn.NORM.S.INV(AA64)-(SQRT(Baseline!$AF$11)*'MacroPD-Cal'!$AP$5))/SQRT(1-Baseline!$AF$11))</f>
        <v>6.5196452753946057E-3</v>
      </c>
      <c r="AU64" s="355">
        <f>NORMSDIST((_xlfn.NORM.S.INV(AB64)-(SQRT(Baseline!$AF$11)*'MacroPD-Cal'!$AP$6))/SQRT(1-Baseline!$AF$11))</f>
        <v>8.9732034089939974E-3</v>
      </c>
      <c r="AV64" s="355">
        <f>NORMSDIST((_xlfn.NORM.S.INV(AC64)-(SQRT(Baseline!$AF$11)*'MacroPD-Cal'!$AP$7))/SQRT(1-Baseline!$AF$11))</f>
        <v>1.1775549031142959E-2</v>
      </c>
      <c r="AW64" s="355">
        <f>NORMSDIST((_xlfn.NORM.S.INV(AD64)-(SQRT(Baseline!$AF$11)*'MacroPD-Cal'!$AP$8))/SQRT(1-Baseline!$AF$11))</f>
        <v>2.0303683376256224E-2</v>
      </c>
      <c r="AX64" s="355">
        <f>NORMSDIST((_xlfn.NORM.S.INV(AE64)-(SQRT(Baseline!$AF$11)*'MacroPD-Cal'!$AP$9))/SQRT(1-Baseline!$AF$11))</f>
        <v>2.288064748291176E-2</v>
      </c>
      <c r="AY64" s="355">
        <f t="shared" si="11"/>
        <v>4.0706443303919326E-3</v>
      </c>
      <c r="AZ64" s="355">
        <f t="shared" si="12"/>
        <v>8.8739311195177306E-3</v>
      </c>
      <c r="BA64" s="355">
        <f t="shared" si="13"/>
        <v>1.3758594774069377E-2</v>
      </c>
      <c r="BB64" s="355">
        <f t="shared" si="14"/>
        <v>2.01E-2</v>
      </c>
      <c r="BC64" s="355"/>
      <c r="BD64" s="355"/>
      <c r="BE64" s="355"/>
      <c r="BF64" s="355"/>
      <c r="BG64" s="355">
        <f>NORMSDIST((_xlfn.NORM.S.INV($AA64)-(SQRT(Baseline!$AF$11)*'MacroPD-Cal'!$BF$2))/SQRT(1-Baseline!$AF$11))</f>
        <v>3.8473465617841988E-3</v>
      </c>
      <c r="BH64" s="355">
        <f>NORMSDIST((_xlfn.NORM.S.INV($AA64)-(SQRT(Baseline!$AF$11)*'MacroPD-Cal'!$BF$3))/SQRT(1-Baseline!$AF$11))</f>
        <v>5.4966747669212591E-3</v>
      </c>
      <c r="BI64" s="355">
        <f>NORMSDIST((_xlfn.NORM.S.INV($AA64)-(SQRT(Baseline!$AF$11)*'MacroPD-Cal'!$BF$4))/SQRT(1-Baseline!$AF$11))</f>
        <v>8.0627147332632178E-3</v>
      </c>
      <c r="BJ64" s="355">
        <f>NORMSDIST((_xlfn.NORM.S.INV($AA64)-(SQRT(Baseline!$AF$11)*'MacroPD-Cal'!$BF$5))/SQRT(1-Baseline!$AF$11))</f>
        <v>1.0677158904953439E-2</v>
      </c>
      <c r="BK64" s="355">
        <f>NORMSDIST((_xlfn.NORM.S.INV($AB64)-(SQRT(Baseline!$AF$11)*'MacroPD-Cal'!$BF$6))/SQRT(1-Baseline!$AF$11))</f>
        <v>4.4604853620910635E-2</v>
      </c>
      <c r="BL64" s="355">
        <f>NORMSDIST((_xlfn.NORM.S.INV($AC64)-(SQRT(Baseline!$AF$11)*'MacroPD-Cal'!$BF$7))/SQRT(1-Baseline!$AF$11))</f>
        <v>4.9443566821697708E-3</v>
      </c>
      <c r="BM64" s="355">
        <f>NORMSDIST((_xlfn.NORM.S.INV($AD64)-(SQRT(Baseline!$AF$11)*'MacroPD-Cal'!$BF$8))/SQRT(1-Baseline!$AF$11))</f>
        <v>1.2246977358977684E-2</v>
      </c>
      <c r="BN64" s="355">
        <f>NORMSDIST((_xlfn.NORM.S.INV($AE64)-(SQRT(Baseline!$AF$11)*'MacroPD-Cal'!$BF$9))/SQRT(1-Baseline!$AF$11))</f>
        <v>1.8094359344759604E-2</v>
      </c>
      <c r="BO64" s="355">
        <f t="shared" si="15"/>
        <v>3.8473465617841988E-3</v>
      </c>
      <c r="BP64" s="355">
        <f t="shared" si="16"/>
        <v>9.3228737159397612E-3</v>
      </c>
      <c r="BQ64" s="355">
        <f t="shared" si="17"/>
        <v>1.7310420777937208E-2</v>
      </c>
      <c r="BR64" s="355">
        <f t="shared" si="18"/>
        <v>2.7800000000000002E-2</v>
      </c>
      <c r="BS64" s="355"/>
      <c r="BT64" s="355"/>
      <c r="BU64" s="355"/>
      <c r="BV64" s="355">
        <f>NORMSDIST((_xlfn.NORM.S.INV($AA64)-(SQRT(Baseline!$AF$11)*'MacroPD-Cal'!$BU$2))/SQRT(1-Baseline!$AF$11))</f>
        <v>3.6949298081815182E-3</v>
      </c>
      <c r="BW64" s="355">
        <f>NORMSDIST((_xlfn.NORM.S.INV($AA64)-(SQRT(Baseline!$AF$11)*'MacroPD-Cal'!$BU$3))/SQRT(1-Baseline!$AF$11))</f>
        <v>5.7557959667321971E-3</v>
      </c>
      <c r="BX64" s="355">
        <f>NORMSDIST((_xlfn.NORM.S.INV($AA64)-(SQRT(Baseline!$AF$11)*'MacroPD-Cal'!$BU$4))/SQRT(1-Baseline!$AF$11))</f>
        <v>7.5177115756957166E-3</v>
      </c>
      <c r="BY64" s="355">
        <f>NORMSDIST((_xlfn.NORM.S.INV($AA64)-(SQRT(Baseline!$AF$11)*'MacroPD-Cal'!$BU$5))/SQRT(1-Baseline!$AF$11))</f>
        <v>9.4212008800592141E-3</v>
      </c>
      <c r="BZ64" s="355">
        <f>NORMSDIST((_xlfn.NORM.S.INV($AB64)-(SQRT(Baseline!$AF$11)*'MacroPD-Cal'!$BU$6))/SQRT(1-Baseline!$AF$11))</f>
        <v>2.0864842010700092E-2</v>
      </c>
      <c r="CA64" s="355">
        <f>NORMSDIST((_xlfn.NORM.S.INV($AC64)-(SQRT(Baseline!$AF$11)*'MacroPD-Cal'!$BU69))/SQRT(1-Baseline!$AF$11))</f>
        <v>1.082627509353792E-2</v>
      </c>
      <c r="CB64" s="355">
        <f>NORMSDIST((_xlfn.NORM.S.INV($AD64)-(SQRT(Baseline!$AF$11)*'MacroPD-Cal'!$BU$8))/SQRT(1-Baseline!$AF$11))</f>
        <v>2.0430691744632221E-2</v>
      </c>
      <c r="CC64" s="355">
        <f>NORMSDIST((_xlfn.NORM.S.INV($AE64)-(SQRT(Baseline!$AF$11)*'MacroPD-Cal'!$BU$9))/SQRT(1-Baseline!$AF$11))</f>
        <v>1.8499915747638433E-2</v>
      </c>
      <c r="CD64" s="355">
        <f t="shared" si="19"/>
        <v>3.6949298081815182E-3</v>
      </c>
      <c r="CE64" s="355">
        <f t="shared" si="20"/>
        <v>9.4294585128263941E-3</v>
      </c>
      <c r="CF64" s="355">
        <f t="shared" si="21"/>
        <v>1.6876282139107635E-2</v>
      </c>
      <c r="CG64" s="355">
        <f t="shared" si="22"/>
        <v>2.6100000000000002E-2</v>
      </c>
      <c r="CH64" s="355"/>
      <c r="CI64" s="355"/>
      <c r="CR64" s="345">
        <f t="shared" si="23"/>
        <v>0.1759788668710808</v>
      </c>
      <c r="CS64" s="345">
        <f t="shared" si="24"/>
        <v>0.40675243598960864</v>
      </c>
      <c r="CT64" s="345">
        <f t="shared" si="25"/>
        <v>0.66762306570698549</v>
      </c>
      <c r="CU64" s="345">
        <f t="shared" si="26"/>
        <v>1</v>
      </c>
    </row>
    <row r="65" spans="1:99" s="166" customFormat="1" x14ac:dyDescent="0.25">
      <c r="A65" s="464">
        <v>1200000119</v>
      </c>
      <c r="B65" s="470">
        <f>VLOOKUP(A65,'Ref-Data'!A:I,9,FALSE)</f>
        <v>1</v>
      </c>
      <c r="C65" s="445">
        <f>IF(B65="Matured","",VLOOKUP(A65,'Adjustment Factor'!A:C,3,0))</f>
        <v>1.1951755713707852</v>
      </c>
      <c r="D65" s="190">
        <f>VLOOKUP(A65,'Ref-Data'!A:C,2,FALSE)</f>
        <v>3260403</v>
      </c>
      <c r="E65" s="471">
        <f>IFERROR(IF(VLOOKUP(A65,'Updated Ncino PD'!$A:$K,4,0)=0,"",VLOOKUP(A65,'Updated Ncino PD'!$A:$K,4,0)),AF65)</f>
        <v>1.7496582002651242E-3</v>
      </c>
      <c r="F65" s="472">
        <f>IFERROR(IF(VLOOKUP(A65,'Updated Ncino PD'!$A:$K,5,0)=0,"",VLOOKUP(A65,'Updated Ncino PD'!$A:$K,5,0)),1-((1-AG65)*(1-E65)))</f>
        <v>4.1017797156421842E-3</v>
      </c>
      <c r="G65" s="472">
        <f>IFERROR(IF(VLOOKUP(A65,'Updated Ncino PD'!$A:$K,6,0)=0,"",VLOOKUP(A65,'Updated Ncino PD'!$A:$K,6,0)),1-((1-AF65)*(1-AG65)*(1-AH65)))</f>
        <v>6.7969165063573866E-3</v>
      </c>
      <c r="H65" s="472">
        <f>IFERROR(IF(VLOOKUP(A65,'Updated Ncino PD'!$A:$K,7,0)=0,"",VLOOKUP(A65,'Updated Ncino PD'!$A:$K,7,0)),IFERROR(VLOOKUP(A65,'Updated Ncino PD'!A:B,2,FALSE),FLOOR(1-((1-AG65)*(1-AH65)*(1-AI65)*(1-AF65)),$R$11)))</f>
        <v>1.03E-2</v>
      </c>
      <c r="I65" s="472">
        <f>IFERROR(IF(VLOOKUP(A65,'Updated Ncino PD'!$A:$K,8,0)=0,"",VLOOKUP(A65,'Updated Ncino PD'!$A:$K,8,0)),FLOOR(1-((1-H65)*(1-AJ65)),$R$11))</f>
        <v>1.55E-2</v>
      </c>
      <c r="J65" s="472">
        <f>IFERROR(IF(VLOOKUP(A65,'Updated Ncino PD'!$A:$K,9,0)=0,"",VLOOKUP(A65,'Updated Ncino PD'!$A:$K,9,0)),FLOOR(1-((1-H65)*(1-AJ65)*(1-AK65)),$R$11))</f>
        <v>1.8600000000000002E-2</v>
      </c>
      <c r="K65" s="472">
        <f>IFERROR(IF(VLOOKUP(A65,'Updated Ncino PD'!$A:$K,10,0)=0,"",VLOOKUP(A65,'Updated Ncino PD'!$A:$K,10,0)),FLOOR(1-((1-H65)*(1-AJ65)*(1-AK65)*(1-AL65)),$R$11))</f>
        <v>2.6100000000000002E-2</v>
      </c>
      <c r="L65" s="472">
        <f>IFERROR(IF(VLOOKUP(A65,'Updated Ncino PD'!$A:$K,11,0)=0,"",VLOOKUP(A65,'Updated Ncino PD'!$A:$K,11,0)),FLOOR(1-((1-H65)*(1-AJ65)*(1-AK65)*(1-AL65)*(1-AM65)),$R$11))</f>
        <v>3.3800000000000004E-2</v>
      </c>
      <c r="M65" s="224">
        <f>VLOOKUP(A65,'Ref-Data'!$A:$F,6,FALSE)</f>
        <v>4.8952772073921968</v>
      </c>
      <c r="N65" s="191">
        <f t="shared" si="3"/>
        <v>1.03E-2</v>
      </c>
      <c r="O65" s="191">
        <f t="shared" si="4"/>
        <v>3.3800000000000004E-2</v>
      </c>
      <c r="P65" s="459" t="str">
        <f>VLOOKUP(A65,'Loan Book Summary'!C:G,5,FALSE)</f>
        <v>0014I00001jTjtP</v>
      </c>
      <c r="S65" s="203"/>
      <c r="T65" s="332">
        <f>IFERROR(VLOOKUP($P65,'Model Output-LoanNameUpdate'!$A:$K,2,FALSE),CL65)</f>
        <v>7.5499999999999986E-3</v>
      </c>
      <c r="U65" s="332">
        <f>1-(1-IFERROR(VLOOKUP($P65,'Model Output-LoanNameUpdate'!$A:$K,2,FALSE),CL65))^(1/4)</f>
        <v>1.8928676430343128E-3</v>
      </c>
      <c r="V65" s="332">
        <f>IFERROR(VLOOKUP($P65,'Model Output-LoanNameUpdate'!$A:$K,3,FALSE),CM65)</f>
        <v>7.1149999999999989E-3</v>
      </c>
      <c r="W65" s="332">
        <f>IFERROR(VLOOKUP($P65,'Model Output-LoanNameUpdate'!$A:$K,4,FALSE),CN65)</f>
        <v>6.8449999999999995E-3</v>
      </c>
      <c r="X65" s="332">
        <f>IFERROR(VLOOKUP($P65,'Model Output-LoanNameUpdate'!$A:$K,5,FALSE),CO65)</f>
        <v>6.6599999999999993E-3</v>
      </c>
      <c r="Y65" s="332">
        <f>IFERROR(VLOOKUP($P65,'Model Output-LoanNameUpdate'!$A:$K,6,FALSE),CP65)</f>
        <v>6.474999999999999E-3</v>
      </c>
      <c r="Z65" s="207">
        <f t="shared" si="5"/>
        <v>1.1951755713707852</v>
      </c>
      <c r="AA65" s="208">
        <f t="shared" si="6"/>
        <v>2.2623091667928062E-3</v>
      </c>
      <c r="AB65" s="208">
        <f t="shared" si="7"/>
        <v>8.5036741903031354E-3</v>
      </c>
      <c r="AC65" s="208">
        <f t="shared" si="8"/>
        <v>8.1809767860330247E-3</v>
      </c>
      <c r="AD65" s="208">
        <f t="shared" si="9"/>
        <v>7.959869305329428E-3</v>
      </c>
      <c r="AE65" s="208">
        <f t="shared" si="10"/>
        <v>7.7387618246258331E-3</v>
      </c>
      <c r="AF65" s="332">
        <f>NORMSDIST((_xlfn.NORM.S.INV(AA65)-(SQRT(Baseline!$AF$11)*'MacroPD-Cal'!$R$2))/SQRT(1-Baseline!$AF$11))</f>
        <v>1.7496582002651242E-3</v>
      </c>
      <c r="AG65" s="332">
        <f>NORMSDIST((_xlfn.NORM.S.INV(AA65)-(SQRT(Baseline!$AF$11)*'MacroPD-Cal'!$R$3))/SQRT(1-Baseline!$AF$11))</f>
        <v>2.3562441372536247E-3</v>
      </c>
      <c r="AH65" s="332">
        <f>NORMSDIST((_xlfn.NORM.S.INV(AA65)-(SQRT(Baseline!$AF$11)*'MacroPD-Cal'!$R$4))/SQRT(1-Baseline!$AF$11))</f>
        <v>2.7062371794836612E-3</v>
      </c>
      <c r="AI65" s="332">
        <f>NORMSDIST((_xlfn.NORM.S.INV(AA65)-(SQRT(Baseline!$AF$11)*'MacroPD-Cal'!$R$5))/SQRT(1-Baseline!$AF$11))</f>
        <v>3.5908575121859406E-3</v>
      </c>
      <c r="AJ65" s="332">
        <f>NORMSDIST((_xlfn.NORM.S.INV(AB65)-(SQRT(Baseline!$AF$11)*'MacroPD-Cal'!$R$6))/SQRT(1-Baseline!$AF$11))</f>
        <v>5.3494477155607931E-3</v>
      </c>
      <c r="AK65" s="332">
        <f>NORMSDIST((_xlfn.NORM.S.INV(AC65)-(SQRT(Baseline!$AF$11)*'MacroPD-Cal'!$R$7))/SQRT(1-Baseline!$AF$11))</f>
        <v>3.1089205684715171E-3</v>
      </c>
      <c r="AL65" s="332">
        <f>NORMSDIST((_xlfn.NORM.S.INV(AD65)-(SQRT(Baseline!$AF$11)*'MacroPD-Cal'!$R$8))/SQRT(1-Baseline!$AF$11))</f>
        <v>7.6648460028267574E-3</v>
      </c>
      <c r="AM65" s="332">
        <f>NORMSDIST((_xlfn.NORM.S.INV(AE65)-(SQRT(Baseline!$AF$11)*'MacroPD-Cal'!$R$9))/SQRT(1-Baseline!$AF$11))</f>
        <v>7.895785832287814E-3</v>
      </c>
      <c r="AO65" s="355"/>
      <c r="AP65" s="355"/>
      <c r="AQ65" s="355">
        <f>NORMSDIST((_xlfn.NORM.S.INV(AA65)-(SQRT(Baseline!$AF$11)*'MacroPD-Cal'!$AP$2))/SQRT(1-Baseline!$AF$11))</f>
        <v>1.820310806872419E-3</v>
      </c>
      <c r="AR65" s="355">
        <f>NORMSDIST((_xlfn.NORM.S.INV(AA65)-(SQRT(Baseline!$AF$11)*'MacroPD-Cal'!$AP$3))/SQRT(1-Baseline!$AF$11))</f>
        <v>2.1869904311765409E-3</v>
      </c>
      <c r="AS65" s="355">
        <f>NORMSDIST((_xlfn.NORM.S.INV(AA65)-(SQRT(Baseline!$AF$11)*'MacroPD-Cal'!$AP$4))/SQRT(1-Baseline!$AF$11))</f>
        <v>2.2388347148363324E-3</v>
      </c>
      <c r="AT65" s="355">
        <f>NORMSDIST((_xlfn.NORM.S.INV(AA65)-(SQRT(Baseline!$AF$11)*'MacroPD-Cal'!$AP$5))/SQRT(1-Baseline!$AF$11))</f>
        <v>3.032269943021491E-3</v>
      </c>
      <c r="AU65" s="355">
        <f>NORMSDIST((_xlfn.NORM.S.INV(AB65)-(SQRT(Baseline!$AF$11)*'MacroPD-Cal'!$AP$6))/SQRT(1-Baseline!$AF$11))</f>
        <v>3.4522013873827095E-3</v>
      </c>
      <c r="AV65" s="355">
        <f>NORMSDIST((_xlfn.NORM.S.INV(AC65)-(SQRT(Baseline!$AF$11)*'MacroPD-Cal'!$AP$7))/SQRT(1-Baseline!$AF$11))</f>
        <v>4.4075873540308057E-3</v>
      </c>
      <c r="AW65" s="355">
        <f>NORMSDIST((_xlfn.NORM.S.INV(AD65)-(SQRT(Baseline!$AF$11)*'MacroPD-Cal'!$AP$8))/SQRT(1-Baseline!$AF$11))</f>
        <v>7.8609031887613232E-3</v>
      </c>
      <c r="AX65" s="355">
        <f>NORMSDIST((_xlfn.NORM.S.INV(AE65)-(SQRT(Baseline!$AF$11)*'MacroPD-Cal'!$AP$9))/SQRT(1-Baseline!$AF$11))</f>
        <v>8.7040108465749246E-3</v>
      </c>
      <c r="AY65" s="355">
        <f t="shared" si="11"/>
        <v>1.820310806872419E-3</v>
      </c>
      <c r="AZ65" s="355">
        <f t="shared" si="12"/>
        <v>4.003320235732577E-3</v>
      </c>
      <c r="BA65" s="355">
        <f t="shared" si="13"/>
        <v>6.2331921782505795E-3</v>
      </c>
      <c r="BB65" s="355">
        <f t="shared" si="14"/>
        <v>9.1999999999999998E-3</v>
      </c>
      <c r="BC65" s="355"/>
      <c r="BD65" s="355"/>
      <c r="BE65" s="355"/>
      <c r="BF65" s="355"/>
      <c r="BG65" s="355">
        <f>NORMSDIST((_xlfn.NORM.S.INV($AA65)-(SQRT(Baseline!$AF$11)*'MacroPD-Cal'!$BF$2))/SQRT(1-Baseline!$AF$11))</f>
        <v>1.7125778280729616E-3</v>
      </c>
      <c r="BH65" s="355">
        <f>NORMSDIST((_xlfn.NORM.S.INV($AA65)-(SQRT(Baseline!$AF$11)*'MacroPD-Cal'!$BF$3))/SQRT(1-Baseline!$AF$11))</f>
        <v>2.5198356425803997E-3</v>
      </c>
      <c r="BI65" s="355">
        <f>NORMSDIST((_xlfn.NORM.S.INV($AA65)-(SQRT(Baseline!$AF$11)*'MacroPD-Cal'!$BF$4))/SQRT(1-Baseline!$AF$11))</f>
        <v>3.8192900681531029E-3</v>
      </c>
      <c r="BJ65" s="355">
        <f>NORMSDIST((_xlfn.NORM.S.INV($AA65)-(SQRT(Baseline!$AF$11)*'MacroPD-Cal'!$BF$5))/SQRT(1-Baseline!$AF$11))</f>
        <v>5.1850537269275921E-3</v>
      </c>
      <c r="BK65" s="355">
        <f>NORMSDIST((_xlfn.NORM.S.INV($AB65)-(SQRT(Baseline!$AF$11)*'MacroPD-Cal'!$BF$6))/SQRT(1-Baseline!$AF$11))</f>
        <v>2.0961706764256734E-2</v>
      </c>
      <c r="BL65" s="355">
        <f>NORMSDIST((_xlfn.NORM.S.INV($AC65)-(SQRT(Baseline!$AF$11)*'MacroPD-Cal'!$BF$7))/SQRT(1-Baseline!$AF$11))</f>
        <v>1.6706305019092197E-3</v>
      </c>
      <c r="BM65" s="355">
        <f>NORMSDIST((_xlfn.NORM.S.INV($AD65)-(SQRT(Baseline!$AF$11)*'MacroPD-Cal'!$BF$8))/SQRT(1-Baseline!$AF$11))</f>
        <v>4.4342117352110279E-3</v>
      </c>
      <c r="BN65" s="355">
        <f>NORMSDIST((_xlfn.NORM.S.INV($AE65)-(SQRT(Baseline!$AF$11)*'MacroPD-Cal'!$BF$9))/SQRT(1-Baseline!$AF$11))</f>
        <v>6.6583244690018913E-3</v>
      </c>
      <c r="BO65" s="355">
        <f t="shared" si="15"/>
        <v>1.7125778280729616E-3</v>
      </c>
      <c r="BP65" s="355">
        <f t="shared" si="16"/>
        <v>4.2280980560015502E-3</v>
      </c>
      <c r="BQ65" s="355">
        <f t="shared" si="17"/>
        <v>8.0312397912422062E-3</v>
      </c>
      <c r="BR65" s="355">
        <f t="shared" si="18"/>
        <v>1.3100000000000001E-2</v>
      </c>
      <c r="BS65" s="355"/>
      <c r="BT65" s="355"/>
      <c r="BU65" s="355"/>
      <c r="BV65" s="355">
        <f>NORMSDIST((_xlfn.NORM.S.INV($AA65)-(SQRT(Baseline!$AF$11)*'MacroPD-Cal'!$BU$2))/SQRT(1-Baseline!$AF$11))</f>
        <v>1.6393559126623273E-3</v>
      </c>
      <c r="BW65" s="355">
        <f>NORMSDIST((_xlfn.NORM.S.INV($AA65)-(SQRT(Baseline!$AF$11)*'MacroPD-Cal'!$BU$3))/SQRT(1-Baseline!$AF$11))</f>
        <v>2.6488654982003354E-3</v>
      </c>
      <c r="BX65" s="355">
        <f>NORMSDIST((_xlfn.NORM.S.INV($AA65)-(SQRT(Baseline!$AF$11)*'MacroPD-Cal'!$BU$4))/SQRT(1-Baseline!$AF$11))</f>
        <v>3.5395346765587426E-3</v>
      </c>
      <c r="BY65" s="355">
        <f>NORMSDIST((_xlfn.NORM.S.INV($AA65)-(SQRT(Baseline!$AF$11)*'MacroPD-Cal'!$BU$5))/SQRT(1-Baseline!$AF$11))</f>
        <v>4.5243167034338871E-3</v>
      </c>
      <c r="BZ65" s="355">
        <f>NORMSDIST((_xlfn.NORM.S.INV($AB65)-(SQRT(Baseline!$AF$11)*'MacroPD-Cal'!$BU$6))/SQRT(1-Baseline!$AF$11))</f>
        <v>8.8723154163869618E-3</v>
      </c>
      <c r="CA65" s="355">
        <f>NORMSDIST((_xlfn.NORM.S.INV($AC65)-(SQRT(Baseline!$AF$11)*'MacroPD-Cal'!$BU70))/SQRT(1-Baseline!$AF$11))</f>
        <v>4.0106263405372084E-3</v>
      </c>
      <c r="CB65" s="355">
        <f>NORMSDIST((_xlfn.NORM.S.INV($AD65)-(SQRT(Baseline!$AF$11)*'MacroPD-Cal'!$BU$8))/SQRT(1-Baseline!$AF$11))</f>
        <v>7.9168291618990482E-3</v>
      </c>
      <c r="CC65" s="355">
        <f>NORMSDIST((_xlfn.NORM.S.INV($AE65)-(SQRT(Baseline!$AF$11)*'MacroPD-Cal'!$BU$9))/SQRT(1-Baseline!$AF$11))</f>
        <v>6.8286657738619973E-3</v>
      </c>
      <c r="CD65" s="355">
        <f t="shared" si="19"/>
        <v>1.6393559126623273E-3</v>
      </c>
      <c r="CE65" s="355">
        <f t="shared" si="20"/>
        <v>4.2838789775462294E-3</v>
      </c>
      <c r="CF65" s="355">
        <f t="shared" si="21"/>
        <v>7.8082507159137338E-3</v>
      </c>
      <c r="CG65" s="355">
        <f t="shared" si="22"/>
        <v>1.2200000000000001E-2</v>
      </c>
      <c r="CH65" s="355"/>
      <c r="CI65" s="355"/>
      <c r="CR65" s="345">
        <f t="shared" si="23"/>
        <v>0.16986972818108001</v>
      </c>
      <c r="CS65" s="345">
        <f t="shared" si="24"/>
        <v>0.39823104035361012</v>
      </c>
      <c r="CT65" s="345">
        <f t="shared" si="25"/>
        <v>0.65989480644246468</v>
      </c>
      <c r="CU65" s="345">
        <f t="shared" si="26"/>
        <v>1</v>
      </c>
    </row>
    <row r="66" spans="1:99" s="166" customFormat="1" x14ac:dyDescent="0.25">
      <c r="A66" s="464">
        <v>1200000120</v>
      </c>
      <c r="B66" s="470">
        <f>VLOOKUP(A66,'Ref-Data'!A:I,9,FALSE)</f>
        <v>1</v>
      </c>
      <c r="C66" s="445">
        <f>IF(B66="Matured","",VLOOKUP(A66,'Adjustment Factor'!A:C,3,0))</f>
        <v>1.1951755713707852</v>
      </c>
      <c r="D66" s="190">
        <f>VLOOKUP(A66,'Ref-Data'!A:C,2,FALSE)</f>
        <v>1739597</v>
      </c>
      <c r="E66" s="471">
        <f>IFERROR(IF(VLOOKUP(A66,'Updated Ncino PD'!$A:$K,4,0)=0,"",VLOOKUP(A66,'Updated Ncino PD'!$A:$K,4,0)),AF66)</f>
        <v>1.7496582002651242E-3</v>
      </c>
      <c r="F66" s="472">
        <f>IFERROR(IF(VLOOKUP(A66,'Updated Ncino PD'!$A:$K,5,0)=0,"",VLOOKUP(A66,'Updated Ncino PD'!$A:$K,5,0)),1-((1-AG66)*(1-E66)))</f>
        <v>4.1017797156421842E-3</v>
      </c>
      <c r="G66" s="472">
        <f>IFERROR(IF(VLOOKUP(A66,'Updated Ncino PD'!$A:$K,6,0)=0,"",VLOOKUP(A66,'Updated Ncino PD'!$A:$K,6,0)),1-((1-AF66)*(1-AG66)*(1-AH66)))</f>
        <v>6.7969165063573866E-3</v>
      </c>
      <c r="H66" s="472">
        <f>IFERROR(IF(VLOOKUP(A66,'Updated Ncino PD'!$A:$K,7,0)=0,"",VLOOKUP(A66,'Updated Ncino PD'!$A:$K,7,0)),IFERROR(VLOOKUP(A66,'Updated Ncino PD'!A:B,2,FALSE),FLOOR(1-((1-AG66)*(1-AH66)*(1-AI66)*(1-AF66)),$R$11)))</f>
        <v>1.03E-2</v>
      </c>
      <c r="I66" s="472">
        <f>IFERROR(IF(VLOOKUP(A66,'Updated Ncino PD'!$A:$K,8,0)=0,"",VLOOKUP(A66,'Updated Ncino PD'!$A:$K,8,0)),FLOOR(1-((1-H66)*(1-AJ66)),$R$11))</f>
        <v>1.55E-2</v>
      </c>
      <c r="J66" s="472">
        <f>IFERROR(IF(VLOOKUP(A66,'Updated Ncino PD'!$A:$K,9,0)=0,"",VLOOKUP(A66,'Updated Ncino PD'!$A:$K,9,0)),FLOOR(1-((1-H66)*(1-AJ66)*(1-AK66)),$R$11))</f>
        <v>1.8600000000000002E-2</v>
      </c>
      <c r="K66" s="472">
        <f>IFERROR(IF(VLOOKUP(A66,'Updated Ncino PD'!$A:$K,10,0)=0,"",VLOOKUP(A66,'Updated Ncino PD'!$A:$K,10,0)),FLOOR(1-((1-H66)*(1-AJ66)*(1-AK66)*(1-AL66)),$R$11))</f>
        <v>2.6100000000000002E-2</v>
      </c>
      <c r="L66" s="472">
        <f>IFERROR(IF(VLOOKUP(A66,'Updated Ncino PD'!$A:$K,11,0)=0,"",VLOOKUP(A66,'Updated Ncino PD'!$A:$K,11,0)),FLOOR(1-((1-H66)*(1-AJ66)*(1-AK66)*(1-AL66)*(1-AM66)),$R$11))</f>
        <v>3.3800000000000004E-2</v>
      </c>
      <c r="M66" s="224">
        <f>VLOOKUP(A66,'Ref-Data'!$A:$F,6,FALSE)</f>
        <v>4.8952772073921968</v>
      </c>
      <c r="N66" s="191">
        <f t="shared" si="3"/>
        <v>1.03E-2</v>
      </c>
      <c r="O66" s="191">
        <f t="shared" si="4"/>
        <v>3.3800000000000004E-2</v>
      </c>
      <c r="P66" s="459" t="str">
        <f>VLOOKUP(A66,'Loan Book Summary'!C:G,5,FALSE)</f>
        <v>0014I00001jTjtP</v>
      </c>
      <c r="S66" s="203"/>
      <c r="T66" s="332">
        <f>IFERROR(VLOOKUP($P66,'Model Output-LoanNameUpdate'!$A:$K,2,FALSE),CL66)</f>
        <v>7.5499999999999986E-3</v>
      </c>
      <c r="U66" s="332">
        <f>1-(1-IFERROR(VLOOKUP($P66,'Model Output-LoanNameUpdate'!$A:$K,2,FALSE),CL66))^(1/4)</f>
        <v>1.8928676430343128E-3</v>
      </c>
      <c r="V66" s="332">
        <f>IFERROR(VLOOKUP($P66,'Model Output-LoanNameUpdate'!$A:$K,3,FALSE),CM66)</f>
        <v>7.1149999999999989E-3</v>
      </c>
      <c r="W66" s="332">
        <f>IFERROR(VLOOKUP($P66,'Model Output-LoanNameUpdate'!$A:$K,4,FALSE),CN66)</f>
        <v>6.8449999999999995E-3</v>
      </c>
      <c r="X66" s="332">
        <f>IFERROR(VLOOKUP($P66,'Model Output-LoanNameUpdate'!$A:$K,5,FALSE),CO66)</f>
        <v>6.6599999999999993E-3</v>
      </c>
      <c r="Y66" s="332">
        <f>IFERROR(VLOOKUP($P66,'Model Output-LoanNameUpdate'!$A:$K,6,FALSE),CP66)</f>
        <v>6.474999999999999E-3</v>
      </c>
      <c r="Z66" s="207">
        <f t="shared" si="5"/>
        <v>1.1951755713707852</v>
      </c>
      <c r="AA66" s="208">
        <f t="shared" si="6"/>
        <v>2.2623091667928062E-3</v>
      </c>
      <c r="AB66" s="208">
        <f t="shared" si="7"/>
        <v>8.5036741903031354E-3</v>
      </c>
      <c r="AC66" s="208">
        <f t="shared" si="8"/>
        <v>8.1809767860330247E-3</v>
      </c>
      <c r="AD66" s="208">
        <f t="shared" si="9"/>
        <v>7.959869305329428E-3</v>
      </c>
      <c r="AE66" s="208">
        <f t="shared" si="10"/>
        <v>7.7387618246258331E-3</v>
      </c>
      <c r="AF66" s="332">
        <f>NORMSDIST((_xlfn.NORM.S.INV(AA66)-(SQRT(Baseline!$AF$11)*'MacroPD-Cal'!$R$2))/SQRT(1-Baseline!$AF$11))</f>
        <v>1.7496582002651242E-3</v>
      </c>
      <c r="AG66" s="332">
        <f>NORMSDIST((_xlfn.NORM.S.INV(AA66)-(SQRT(Baseline!$AF$11)*'MacroPD-Cal'!$R$3))/SQRT(1-Baseline!$AF$11))</f>
        <v>2.3562441372536247E-3</v>
      </c>
      <c r="AH66" s="332">
        <f>NORMSDIST((_xlfn.NORM.S.INV(AA66)-(SQRT(Baseline!$AF$11)*'MacroPD-Cal'!$R$4))/SQRT(1-Baseline!$AF$11))</f>
        <v>2.7062371794836612E-3</v>
      </c>
      <c r="AI66" s="332">
        <f>NORMSDIST((_xlfn.NORM.S.INV(AA66)-(SQRT(Baseline!$AF$11)*'MacroPD-Cal'!$R$5))/SQRT(1-Baseline!$AF$11))</f>
        <v>3.5908575121859406E-3</v>
      </c>
      <c r="AJ66" s="332">
        <f>NORMSDIST((_xlfn.NORM.S.INV(AB66)-(SQRT(Baseline!$AF$11)*'MacroPD-Cal'!$R$6))/SQRT(1-Baseline!$AF$11))</f>
        <v>5.3494477155607931E-3</v>
      </c>
      <c r="AK66" s="332">
        <f>NORMSDIST((_xlfn.NORM.S.INV(AC66)-(SQRT(Baseline!$AF$11)*'MacroPD-Cal'!$R$7))/SQRT(1-Baseline!$AF$11))</f>
        <v>3.1089205684715171E-3</v>
      </c>
      <c r="AL66" s="332">
        <f>NORMSDIST((_xlfn.NORM.S.INV(AD66)-(SQRT(Baseline!$AF$11)*'MacroPD-Cal'!$R$8))/SQRT(1-Baseline!$AF$11))</f>
        <v>7.6648460028267574E-3</v>
      </c>
      <c r="AM66" s="332">
        <f>NORMSDIST((_xlfn.NORM.S.INV(AE66)-(SQRT(Baseline!$AF$11)*'MacroPD-Cal'!$R$9))/SQRT(1-Baseline!$AF$11))</f>
        <v>7.895785832287814E-3</v>
      </c>
      <c r="AO66" s="355"/>
      <c r="AP66" s="355"/>
      <c r="AQ66" s="355">
        <f>NORMSDIST((_xlfn.NORM.S.INV(AA66)-(SQRT(Baseline!$AF$11)*'MacroPD-Cal'!$AP$2))/SQRT(1-Baseline!$AF$11))</f>
        <v>1.820310806872419E-3</v>
      </c>
      <c r="AR66" s="355">
        <f>NORMSDIST((_xlfn.NORM.S.INV(AA66)-(SQRT(Baseline!$AF$11)*'MacroPD-Cal'!$AP$3))/SQRT(1-Baseline!$AF$11))</f>
        <v>2.1869904311765409E-3</v>
      </c>
      <c r="AS66" s="355">
        <f>NORMSDIST((_xlfn.NORM.S.INV(AA66)-(SQRT(Baseline!$AF$11)*'MacroPD-Cal'!$AP$4))/SQRT(1-Baseline!$AF$11))</f>
        <v>2.2388347148363324E-3</v>
      </c>
      <c r="AT66" s="355">
        <f>NORMSDIST((_xlfn.NORM.S.INV(AA66)-(SQRT(Baseline!$AF$11)*'MacroPD-Cal'!$AP$5))/SQRT(1-Baseline!$AF$11))</f>
        <v>3.032269943021491E-3</v>
      </c>
      <c r="AU66" s="355">
        <f>NORMSDIST((_xlfn.NORM.S.INV(AB66)-(SQRT(Baseline!$AF$11)*'MacroPD-Cal'!$AP$6))/SQRT(1-Baseline!$AF$11))</f>
        <v>3.4522013873827095E-3</v>
      </c>
      <c r="AV66" s="355">
        <f>NORMSDIST((_xlfn.NORM.S.INV(AC66)-(SQRT(Baseline!$AF$11)*'MacroPD-Cal'!$AP$7))/SQRT(1-Baseline!$AF$11))</f>
        <v>4.4075873540308057E-3</v>
      </c>
      <c r="AW66" s="355">
        <f>NORMSDIST((_xlfn.NORM.S.INV(AD66)-(SQRT(Baseline!$AF$11)*'MacroPD-Cal'!$AP$8))/SQRT(1-Baseline!$AF$11))</f>
        <v>7.8609031887613232E-3</v>
      </c>
      <c r="AX66" s="355">
        <f>NORMSDIST((_xlfn.NORM.S.INV(AE66)-(SQRT(Baseline!$AF$11)*'MacroPD-Cal'!$AP$9))/SQRT(1-Baseline!$AF$11))</f>
        <v>8.7040108465749246E-3</v>
      </c>
      <c r="AY66" s="355">
        <f t="shared" si="11"/>
        <v>1.820310806872419E-3</v>
      </c>
      <c r="AZ66" s="355">
        <f t="shared" si="12"/>
        <v>4.003320235732577E-3</v>
      </c>
      <c r="BA66" s="355">
        <f t="shared" si="13"/>
        <v>6.2331921782505795E-3</v>
      </c>
      <c r="BB66" s="355">
        <f t="shared" si="14"/>
        <v>9.1999999999999998E-3</v>
      </c>
      <c r="BC66" s="355"/>
      <c r="BD66" s="355"/>
      <c r="BE66" s="355"/>
      <c r="BF66" s="355"/>
      <c r="BG66" s="355">
        <f>NORMSDIST((_xlfn.NORM.S.INV($AA66)-(SQRT(Baseline!$AF$11)*'MacroPD-Cal'!$BF$2))/SQRT(1-Baseline!$AF$11))</f>
        <v>1.7125778280729616E-3</v>
      </c>
      <c r="BH66" s="355">
        <f>NORMSDIST((_xlfn.NORM.S.INV($AA66)-(SQRT(Baseline!$AF$11)*'MacroPD-Cal'!$BF$3))/SQRT(1-Baseline!$AF$11))</f>
        <v>2.5198356425803997E-3</v>
      </c>
      <c r="BI66" s="355">
        <f>NORMSDIST((_xlfn.NORM.S.INV($AA66)-(SQRT(Baseline!$AF$11)*'MacroPD-Cal'!$BF$4))/SQRT(1-Baseline!$AF$11))</f>
        <v>3.8192900681531029E-3</v>
      </c>
      <c r="BJ66" s="355">
        <f>NORMSDIST((_xlfn.NORM.S.INV($AA66)-(SQRT(Baseline!$AF$11)*'MacroPD-Cal'!$BF$5))/SQRT(1-Baseline!$AF$11))</f>
        <v>5.1850537269275921E-3</v>
      </c>
      <c r="BK66" s="355">
        <f>NORMSDIST((_xlfn.NORM.S.INV($AB66)-(SQRT(Baseline!$AF$11)*'MacroPD-Cal'!$BF$6))/SQRT(1-Baseline!$AF$11))</f>
        <v>2.0961706764256734E-2</v>
      </c>
      <c r="BL66" s="355">
        <f>NORMSDIST((_xlfn.NORM.S.INV($AC66)-(SQRT(Baseline!$AF$11)*'MacroPD-Cal'!$BF$7))/SQRT(1-Baseline!$AF$11))</f>
        <v>1.6706305019092197E-3</v>
      </c>
      <c r="BM66" s="355">
        <f>NORMSDIST((_xlfn.NORM.S.INV($AD66)-(SQRT(Baseline!$AF$11)*'MacroPD-Cal'!$BF$8))/SQRT(1-Baseline!$AF$11))</f>
        <v>4.4342117352110279E-3</v>
      </c>
      <c r="BN66" s="355">
        <f>NORMSDIST((_xlfn.NORM.S.INV($AE66)-(SQRT(Baseline!$AF$11)*'MacroPD-Cal'!$BF$9))/SQRT(1-Baseline!$AF$11))</f>
        <v>6.6583244690018913E-3</v>
      </c>
      <c r="BO66" s="355">
        <f t="shared" si="15"/>
        <v>1.7125778280729616E-3</v>
      </c>
      <c r="BP66" s="355">
        <f t="shared" si="16"/>
        <v>4.2280980560015502E-3</v>
      </c>
      <c r="BQ66" s="355">
        <f t="shared" si="17"/>
        <v>8.0312397912422062E-3</v>
      </c>
      <c r="BR66" s="355">
        <f t="shared" si="18"/>
        <v>1.3100000000000001E-2</v>
      </c>
      <c r="BS66" s="355"/>
      <c r="BT66" s="355"/>
      <c r="BU66" s="355"/>
      <c r="BV66" s="355">
        <f>NORMSDIST((_xlfn.NORM.S.INV($AA66)-(SQRT(Baseline!$AF$11)*'MacroPD-Cal'!$BU$2))/SQRT(1-Baseline!$AF$11))</f>
        <v>1.6393559126623273E-3</v>
      </c>
      <c r="BW66" s="355">
        <f>NORMSDIST((_xlfn.NORM.S.INV($AA66)-(SQRT(Baseline!$AF$11)*'MacroPD-Cal'!$BU$3))/SQRT(1-Baseline!$AF$11))</f>
        <v>2.6488654982003354E-3</v>
      </c>
      <c r="BX66" s="355">
        <f>NORMSDIST((_xlfn.NORM.S.INV($AA66)-(SQRT(Baseline!$AF$11)*'MacroPD-Cal'!$BU$4))/SQRT(1-Baseline!$AF$11))</f>
        <v>3.5395346765587426E-3</v>
      </c>
      <c r="BY66" s="355">
        <f>NORMSDIST((_xlfn.NORM.S.INV($AA66)-(SQRT(Baseline!$AF$11)*'MacroPD-Cal'!$BU$5))/SQRT(1-Baseline!$AF$11))</f>
        <v>4.5243167034338871E-3</v>
      </c>
      <c r="BZ66" s="355">
        <f>NORMSDIST((_xlfn.NORM.S.INV($AB66)-(SQRT(Baseline!$AF$11)*'MacroPD-Cal'!$BU$6))/SQRT(1-Baseline!$AF$11))</f>
        <v>8.8723154163869618E-3</v>
      </c>
      <c r="CA66" s="355">
        <f>NORMSDIST((_xlfn.NORM.S.INV($AC66)-(SQRT(Baseline!$AF$11)*'MacroPD-Cal'!$BU71))/SQRT(1-Baseline!$AF$11))</f>
        <v>4.0106263405372084E-3</v>
      </c>
      <c r="CB66" s="355">
        <f>NORMSDIST((_xlfn.NORM.S.INV($AD66)-(SQRT(Baseline!$AF$11)*'MacroPD-Cal'!$BU$8))/SQRT(1-Baseline!$AF$11))</f>
        <v>7.9168291618990482E-3</v>
      </c>
      <c r="CC66" s="355">
        <f>NORMSDIST((_xlfn.NORM.S.INV($AE66)-(SQRT(Baseline!$AF$11)*'MacroPD-Cal'!$BU$9))/SQRT(1-Baseline!$AF$11))</f>
        <v>6.8286657738619973E-3</v>
      </c>
      <c r="CD66" s="355">
        <f t="shared" si="19"/>
        <v>1.6393559126623273E-3</v>
      </c>
      <c r="CE66" s="355">
        <f t="shared" si="20"/>
        <v>4.2838789775462294E-3</v>
      </c>
      <c r="CF66" s="355">
        <f t="shared" si="21"/>
        <v>7.8082507159137338E-3</v>
      </c>
      <c r="CG66" s="355">
        <f t="shared" si="22"/>
        <v>1.2200000000000001E-2</v>
      </c>
      <c r="CH66" s="355"/>
      <c r="CI66" s="355"/>
      <c r="CL66" s="177"/>
      <c r="CM66" s="177"/>
      <c r="CN66" s="177"/>
      <c r="CO66" s="177"/>
      <c r="CP66" s="177"/>
      <c r="CR66" s="345">
        <f t="shared" si="23"/>
        <v>0.16986972818108001</v>
      </c>
      <c r="CS66" s="345">
        <f t="shared" si="24"/>
        <v>0.39823104035361012</v>
      </c>
      <c r="CT66" s="345">
        <f t="shared" si="25"/>
        <v>0.65989480644246468</v>
      </c>
      <c r="CU66" s="345">
        <f t="shared" si="26"/>
        <v>1</v>
      </c>
    </row>
    <row r="67" spans="1:99" s="166" customFormat="1" x14ac:dyDescent="0.25">
      <c r="A67" s="464">
        <v>1200000121</v>
      </c>
      <c r="B67" s="470">
        <f>VLOOKUP(A67,'Ref-Data'!A:I,9,FALSE)</f>
        <v>1</v>
      </c>
      <c r="C67" s="445">
        <f>IF(B67="Matured","",VLOOKUP(A67,'Adjustment Factor'!A:C,3,0))</f>
        <v>1.229053529663432</v>
      </c>
      <c r="D67" s="190">
        <f>VLOOKUP(A67,'Ref-Data'!A:C,2,FALSE)</f>
        <v>2300000</v>
      </c>
      <c r="E67" s="471">
        <f>IFERROR(IF(VLOOKUP(A67,'Updated Ncino PD'!$A:$K,4,0)=0,"",VLOOKUP(A67,'Updated Ncino PD'!$A:$K,4,0)),AF67)</f>
        <v>1.3848899098690369E-3</v>
      </c>
      <c r="F67" s="472">
        <f>IFERROR(IF(VLOOKUP(A67,'Updated Ncino PD'!$A:$K,5,0)=0,"",VLOOKUP(A67,'Updated Ncino PD'!$A:$K,5,0)),1-((1-AG67)*(1-E67)))</f>
        <v>3.2590586225322848E-3</v>
      </c>
      <c r="G67" s="472">
        <f>IFERROR(IF(VLOOKUP(A67,'Updated Ncino PD'!$A:$K,6,0)=0,"",VLOOKUP(A67,'Updated Ncino PD'!$A:$K,6,0)),1-((1-AF67)*(1-AG67)*(1-AH67)))</f>
        <v>5.4139766692243851E-3</v>
      </c>
      <c r="H67" s="472">
        <f>IFERROR(IF(VLOOKUP(A67,'Updated Ncino PD'!$A:$K,7,0)=0,"",VLOOKUP(A67,'Updated Ncino PD'!$A:$K,7,0)),IFERROR(VLOOKUP(A67,'Updated Ncino PD'!A:B,2,FALSE),FLOOR(1-((1-AG67)*(1-AH67)*(1-AI67)*(1-AF67)),$R$11)))</f>
        <v>8.2000000000000007E-3</v>
      </c>
      <c r="I67" s="472">
        <f>IFERROR(IF(VLOOKUP(A67,'Updated Ncino PD'!$A:$K,8,0)=0,"",VLOOKUP(A67,'Updated Ncino PD'!$A:$K,8,0)),FLOOR(1-((1-H67)*(1-AJ67)),$R$11))</f>
        <v>1.2800000000000001E-2</v>
      </c>
      <c r="J67" s="472">
        <f>IFERROR(IF(VLOOKUP(A67,'Updated Ncino PD'!$A:$K,9,0)=0,"",VLOOKUP(A67,'Updated Ncino PD'!$A:$K,9,0)),FLOOR(1-((1-H67)*(1-AJ67)*(1-AK67)),$R$11))</f>
        <v>1.5800000000000002E-2</v>
      </c>
      <c r="K67" s="472">
        <f>IFERROR(IF(VLOOKUP(A67,'Updated Ncino PD'!$A:$K,10,0)=0,"",VLOOKUP(A67,'Updated Ncino PD'!$A:$K,10,0)),FLOOR(1-((1-H67)*(1-AJ67)*(1-AK67)*(1-AL67)),$R$11))</f>
        <v>2.35E-2</v>
      </c>
      <c r="L67" s="472">
        <f>IFERROR(IF(VLOOKUP(A67,'Updated Ncino PD'!$A:$K,11,0)=0,"",VLOOKUP(A67,'Updated Ncino PD'!$A:$K,11,0)),FLOOR(1-((1-H67)*(1-AJ67)*(1-AK67)*(1-AL67)*(1-AM67)),$R$11))</f>
        <v>3.1699999999999999E-2</v>
      </c>
      <c r="M67" s="224">
        <f>VLOOKUP(A67,'Ref-Data'!$A:$F,6,FALSE)</f>
        <v>5.1416837782340865</v>
      </c>
      <c r="N67" s="191">
        <f t="shared" ref="N67:N71" si="27">IF(B67=1,IF(M67&gt;=1,H67,1-(1-H67)^M67),IF(M67&gt;=1,O67,1-(1-O67)^M67))</f>
        <v>8.2000000000000007E-3</v>
      </c>
      <c r="O67" s="191">
        <f t="shared" ref="O67:O71" si="28">IF(M67&lt;=1,H67,IF(M67&lt;=2,I67,IF(M67&lt;=3,J67,IF(M67&lt;=4,K67,L67))))</f>
        <v>3.1699999999999999E-2</v>
      </c>
      <c r="P67" s="459" t="str">
        <f>VLOOKUP(A67,'Loan Book Summary'!C:G,5,FALSE)</f>
        <v>0014I000026e8Lr</v>
      </c>
      <c r="S67" s="203"/>
      <c r="T67" s="332">
        <f>IFERROR(VLOOKUP($P67,'Model Output-LoanNameUpdate'!$A:$K,2,FALSE),CL67)</f>
        <v>5.9749999999999994E-3</v>
      </c>
      <c r="U67" s="332">
        <f>1-(1-IFERROR(VLOOKUP($P67,'Model Output-LoanNameUpdate'!$A:$K,2,FALSE),CL67))^(1/4)</f>
        <v>1.4971086471871065E-3</v>
      </c>
      <c r="V67" s="332">
        <f>IFERROR(VLOOKUP($P67,'Model Output-LoanNameUpdate'!$A:$K,3,FALSE),CM67)</f>
        <v>6.2100000000000002E-3</v>
      </c>
      <c r="W67" s="332">
        <f>IFERROR(VLOOKUP($P67,'Model Output-LoanNameUpdate'!$A:$K,4,FALSE),CN67)</f>
        <v>6.4549999999999998E-3</v>
      </c>
      <c r="X67" s="332">
        <f>IFERROR(VLOOKUP($P67,'Model Output-LoanNameUpdate'!$A:$K,5,FALSE),CO67)</f>
        <v>6.6049999999999989E-3</v>
      </c>
      <c r="Y67" s="332">
        <f>IFERROR(VLOOKUP($P67,'Model Output-LoanNameUpdate'!$A:$K,6,FALSE),CP67)</f>
        <v>6.6949999999999996E-3</v>
      </c>
      <c r="Z67" s="207">
        <f t="shared" ref="Z67:Z71" si="29">C67</f>
        <v>1.229053529663432</v>
      </c>
      <c r="AA67" s="208">
        <f t="shared" ref="AA67:AA71" si="30">U67*$Z67</f>
        <v>1.8400266671149588E-3</v>
      </c>
      <c r="AB67" s="208">
        <f t="shared" ref="AB67:AB71" si="31">V67*$Z67</f>
        <v>7.6324224192099131E-3</v>
      </c>
      <c r="AC67" s="208">
        <f t="shared" ref="AC67:AC71" si="32">W67*$Z67</f>
        <v>7.9335405339774536E-3</v>
      </c>
      <c r="AD67" s="208">
        <f t="shared" ref="AD67:AD71" si="33">X67*$Z67</f>
        <v>8.1178985634269667E-3</v>
      </c>
      <c r="AE67" s="208">
        <f t="shared" ref="AE67:AE71" si="34">Y67*$Z67</f>
        <v>8.2285133810966766E-3</v>
      </c>
      <c r="AF67" s="332">
        <f>NORMSDIST((_xlfn.NORM.S.INV(AA67)-(SQRT(Baseline!$AF$11)*'MacroPD-Cal'!$R$2))/SQRT(1-Baseline!$AF$11))</f>
        <v>1.3848899098690369E-3</v>
      </c>
      <c r="AG67" s="332">
        <f>NORMSDIST((_xlfn.NORM.S.INV(AA67)-(SQRT(Baseline!$AF$11)*'MacroPD-Cal'!$R$3))/SQRT(1-Baseline!$AF$11))</f>
        <v>1.8767678294933951E-3</v>
      </c>
      <c r="AH67" s="332">
        <f>NORMSDIST((_xlfn.NORM.S.INV(AA67)-(SQRT(Baseline!$AF$11)*'MacroPD-Cal'!$R$4))/SQRT(1-Baseline!$AF$11))</f>
        <v>2.1619640141540743E-3</v>
      </c>
      <c r="AI67" s="332">
        <f>NORMSDIST((_xlfn.NORM.S.INV(AA67)-(SQRT(Baseline!$AF$11)*'MacroPD-Cal'!$R$5))/SQRT(1-Baseline!$AF$11))</f>
        <v>2.8864768005335958E-3</v>
      </c>
      <c r="AJ67" s="332">
        <f>NORMSDIST((_xlfn.NORM.S.INV(AB67)-(SQRT(Baseline!$AF$11)*'MacroPD-Cal'!$R$6))/SQRT(1-Baseline!$AF$11))</f>
        <v>4.7159876978613039E-3</v>
      </c>
      <c r="AK67" s="332">
        <f>NORMSDIST((_xlfn.NORM.S.INV(AC67)-(SQRT(Baseline!$AF$11)*'MacroPD-Cal'!$R$7))/SQRT(1-Baseline!$AF$11))</f>
        <v>2.9938373502291326E-3</v>
      </c>
      <c r="AL67" s="332">
        <f>NORMSDIST((_xlfn.NORM.S.INV(AD67)-(SQRT(Baseline!$AF$11)*'MacroPD-Cal'!$R$8))/SQRT(1-Baseline!$AF$11))</f>
        <v>7.8338182492968828E-3</v>
      </c>
      <c r="AM67" s="332">
        <f>NORMSDIST((_xlfn.NORM.S.INV(AE67)-(SQRT(Baseline!$AF$11)*'MacroPD-Cal'!$R$9))/SQRT(1-Baseline!$AF$11))</f>
        <v>8.4477818413883805E-3</v>
      </c>
      <c r="AO67" s="355"/>
      <c r="AP67" s="355"/>
      <c r="AQ67" s="355">
        <f>NORMSDIST((_xlfn.NORM.S.INV(AA67)-(SQRT(Baseline!$AF$11)*'MacroPD-Cal'!$AP$2))/SQRT(1-Baseline!$AF$11))</f>
        <v>1.4420046878040216E-3</v>
      </c>
      <c r="AR67" s="355">
        <f>NORMSDIST((_xlfn.NORM.S.INV(AA67)-(SQRT(Baseline!$AF$11)*'MacroPD-Cal'!$AP$3))/SQRT(1-Baseline!$AF$11))</f>
        <v>1.7391926172759641E-3</v>
      </c>
      <c r="AS67" s="355">
        <f>NORMSDIST((_xlfn.NORM.S.INV(AA67)-(SQRT(Baseline!$AF$11)*'MacroPD-Cal'!$AP$4))/SQRT(1-Baseline!$AF$11))</f>
        <v>1.7813082485719526E-3</v>
      </c>
      <c r="AT67" s="355">
        <f>NORMSDIST((_xlfn.NORM.S.INV(AA67)-(SQRT(Baseline!$AF$11)*'MacroPD-Cal'!$AP$5))/SQRT(1-Baseline!$AF$11))</f>
        <v>2.428417519472089E-3</v>
      </c>
      <c r="AU67" s="355">
        <f>NORMSDIST((_xlfn.NORM.S.INV(AB67)-(SQRT(Baseline!$AF$11)*'MacroPD-Cal'!$AP$6))/SQRT(1-Baseline!$AF$11))</f>
        <v>3.025321443180809E-3</v>
      </c>
      <c r="AV67" s="355">
        <f>NORMSDIST((_xlfn.NORM.S.INV(AC67)-(SQRT(Baseline!$AF$11)*'MacroPD-Cal'!$AP$7))/SQRT(1-Baseline!$AF$11))</f>
        <v>4.2500820544825891E-3</v>
      </c>
      <c r="AW67" s="355">
        <f>NORMSDIST((_xlfn.NORM.S.INV(AD67)-(SQRT(Baseline!$AF$11)*'MacroPD-Cal'!$AP$8))/SQRT(1-Baseline!$AF$11))</f>
        <v>8.0336667554889944E-3</v>
      </c>
      <c r="AX67" s="355">
        <f>NORMSDIST((_xlfn.NORM.S.INV(AE67)-(SQRT(Baseline!$AF$11)*'MacroPD-Cal'!$AP$9))/SQRT(1-Baseline!$AF$11))</f>
        <v>9.3050623574079307E-3</v>
      </c>
      <c r="AY67" s="355">
        <f t="shared" ref="AY67:AY71" si="35">AQ67</f>
        <v>1.4420046878040216E-3</v>
      </c>
      <c r="AZ67" s="355">
        <f t="shared" ref="AZ67:AZ71" si="36">1-((1-AR67)*(1-AQ67))</f>
        <v>3.1786893811728278E-3</v>
      </c>
      <c r="BA67" s="355">
        <f t="shared" ref="BA67:BA71" si="37">1-((1-AR67)*(1-AQ67)*(1-AS67))</f>
        <v>4.9543354041303722E-3</v>
      </c>
      <c r="BB67" s="355">
        <f t="shared" ref="BB67:BB71" si="38">FLOOR(1-((1-AR67)*(1-AQ67)*(1-AS67)*(1-AT67)),$AP$11)</f>
        <v>7.3000000000000001E-3</v>
      </c>
      <c r="BC67" s="355"/>
      <c r="BD67" s="355"/>
      <c r="BE67" s="355"/>
      <c r="BF67" s="355"/>
      <c r="BG67" s="355">
        <f>NORMSDIST((_xlfn.NORM.S.INV($AA67)-(SQRT(Baseline!$AF$11)*'MacroPD-Cal'!$BF$2))/SQRT(1-Baseline!$AF$11))</f>
        <v>1.3549351650033875E-3</v>
      </c>
      <c r="BH67" s="355">
        <f>NORMSDIST((_xlfn.NORM.S.INV($AA67)-(SQRT(Baseline!$AF$11)*'MacroPD-Cal'!$BF$3))/SQRT(1-Baseline!$AF$11))</f>
        <v>2.009958027900112E-3</v>
      </c>
      <c r="BI67" s="355">
        <f>NORMSDIST((_xlfn.NORM.S.INV($AA67)-(SQRT(Baseline!$AF$11)*'MacroPD-Cal'!$BF$4))/SQRT(1-Baseline!$AF$11))</f>
        <v>3.074308471805997E-3</v>
      </c>
      <c r="BJ67" s="355">
        <f>NORMSDIST((_xlfn.NORM.S.INV($AA67)-(SQRT(Baseline!$AF$11)*'MacroPD-Cal'!$BF$5))/SQRT(1-Baseline!$AF$11))</f>
        <v>4.2025883828327015E-3</v>
      </c>
      <c r="BK67" s="355">
        <f>NORMSDIST((_xlfn.NORM.S.INV($AB67)-(SQRT(Baseline!$AF$11)*'MacroPD-Cal'!$BF$6))/SQRT(1-Baseline!$AF$11))</f>
        <v>1.8860043524585448E-2</v>
      </c>
      <c r="BL67" s="355">
        <f>NORMSDIST((_xlfn.NORM.S.INV($AC67)-(SQRT(Baseline!$AF$11)*'MacroPD-Cal'!$BF$7))/SQRT(1-Baseline!$AF$11))</f>
        <v>1.605138383592921E-3</v>
      </c>
      <c r="BM67" s="355">
        <f>NORMSDIST((_xlfn.NORM.S.INV($AD67)-(SQRT(Baseline!$AF$11)*'MacroPD-Cal'!$BF$8))/SQRT(1-Baseline!$AF$11))</f>
        <v>4.5382773313252826E-3</v>
      </c>
      <c r="BN67" s="355">
        <f>NORMSDIST((_xlfn.NORM.S.INV($AE67)-(SQRT(Baseline!$AF$11)*'MacroPD-Cal'!$BF$9))/SQRT(1-Baseline!$AF$11))</f>
        <v>7.1336506133374503E-3</v>
      </c>
      <c r="BO67" s="355">
        <f t="shared" ref="BO67:BO71" si="39">BG67</f>
        <v>1.3549351650033875E-3</v>
      </c>
      <c r="BP67" s="355">
        <f t="shared" ref="BP67:BP71" si="40">1-((1-BH67)*(1-BG67))</f>
        <v>3.3621698300914105E-3</v>
      </c>
      <c r="BQ67" s="355">
        <f t="shared" ref="BQ67:BQ71" si="41">1-((1-BH67)*(1-BG67)*(1-BI67))</f>
        <v>6.4261419547051446E-3</v>
      </c>
      <c r="BR67" s="355">
        <f t="shared" ref="BR67:BR71" si="42">FLOOR(1-((1-BH67)*(1-BG67)*(1-BI67)*(1-BJ67)),$AP$11)</f>
        <v>1.06E-2</v>
      </c>
      <c r="BS67" s="355"/>
      <c r="BT67" s="355"/>
      <c r="BU67" s="355"/>
      <c r="BV67" s="355">
        <f>NORMSDIST((_xlfn.NORM.S.INV($AA67)-(SQRT(Baseline!$AF$11)*'MacroPD-Cal'!$BU$2))/SQRT(1-Baseline!$AF$11))</f>
        <v>1.2958270791712798E-3</v>
      </c>
      <c r="BW67" s="355">
        <f>NORMSDIST((_xlfn.NORM.S.INV($AA67)-(SQRT(Baseline!$AF$11)*'MacroPD-Cal'!$BU$3))/SQRT(1-Baseline!$AF$11))</f>
        <v>2.1151519407052008E-3</v>
      </c>
      <c r="BX67" s="355">
        <f>NORMSDIST((_xlfn.NORM.S.INV($AA67)-(SQRT(Baseline!$AF$11)*'MacroPD-Cal'!$BU$4))/SQRT(1-Baseline!$AF$11))</f>
        <v>2.8443149222940052E-3</v>
      </c>
      <c r="BY67" s="355">
        <f>NORMSDIST((_xlfn.NORM.S.INV($AA67)-(SQRT(Baseline!$AF$11)*'MacroPD-Cal'!$BU$5))/SQRT(1-Baseline!$AF$11))</f>
        <v>3.6556870530394556E-3</v>
      </c>
      <c r="BZ67" s="355">
        <f>NORMSDIST((_xlfn.NORM.S.INV($AB67)-(SQRT(Baseline!$AF$11)*'MacroPD-Cal'!$BU$6))/SQRT(1-Baseline!$AF$11))</f>
        <v>7.8782358164390543E-3</v>
      </c>
      <c r="CA67" s="355">
        <f>NORMSDIST((_xlfn.NORM.S.INV($AC67)-(SQRT(Baseline!$AF$11)*'MacroPD-Cal'!$BU72))/SQRT(1-Baseline!$AF$11))</f>
        <v>3.8658995857041964E-3</v>
      </c>
      <c r="CB67" s="355">
        <f>NORMSDIST((_xlfn.NORM.S.INV($AD67)-(SQRT(Baseline!$AF$11)*'MacroPD-Cal'!$BU$8))/SQRT(1-Baseline!$AF$11))</f>
        <v>8.0906715634350649E-3</v>
      </c>
      <c r="CC67" s="355">
        <f>NORMSDIST((_xlfn.NORM.S.INV($AE67)-(SQRT(Baseline!$AF$11)*'MacroPD-Cal'!$BU$9))/SQRT(1-Baseline!$AF$11))</f>
        <v>7.314666514928298E-3</v>
      </c>
      <c r="CD67" s="355">
        <f t="shared" ref="CD67:CD71" si="43">BV67</f>
        <v>1.2958270791712798E-3</v>
      </c>
      <c r="CE67" s="355">
        <f t="shared" ref="CE67:CE71" si="44">1-((1-BW67)*(1-BV67))</f>
        <v>3.4082381487151592E-3</v>
      </c>
      <c r="CF67" s="355">
        <f t="shared" ref="CF67:CF71" si="45">1-((1-BW67)*(1-BV67)*(1-BX67))</f>
        <v>6.2428589683840574E-3</v>
      </c>
      <c r="CG67" s="355">
        <f t="shared" ref="CG67:CG71" si="46">FLOOR(1-((1-BW67)*(1-BV67)*(1-BX67)*(1-BY67)),$AP$11)</f>
        <v>9.7999999999999997E-3</v>
      </c>
      <c r="CH67" s="355"/>
      <c r="CI67" s="355"/>
      <c r="CL67" s="177"/>
      <c r="CM67" s="177"/>
      <c r="CN67" s="177"/>
      <c r="CO67" s="177"/>
      <c r="CP67" s="177"/>
      <c r="CR67" s="345">
        <f t="shared" ref="CR67:CR115" si="47">E67/$H67</f>
        <v>0.16888901339866302</v>
      </c>
      <c r="CS67" s="345">
        <f t="shared" ref="CS67:CS115" si="48">F67/$H67</f>
        <v>0.39744617347954692</v>
      </c>
      <c r="CT67" s="345">
        <f t="shared" ref="CT67:CT115" si="49">G67/$H67</f>
        <v>0.66024105722248594</v>
      </c>
      <c r="CU67" s="345">
        <f t="shared" ref="CU67:CU115" si="50">H67/$H67</f>
        <v>1</v>
      </c>
    </row>
    <row r="68" spans="1:99" s="166" customFormat="1" x14ac:dyDescent="0.25">
      <c r="A68" s="464">
        <v>1200000137</v>
      </c>
      <c r="B68" s="470">
        <f>VLOOKUP(A68,'Ref-Data'!A:I,9,FALSE)</f>
        <v>1</v>
      </c>
      <c r="C68" s="445">
        <f>IF(B68="Matured","",VLOOKUP(A68,'Adjustment Factor'!A:C,3,0))</f>
        <v>2.1329919239718182</v>
      </c>
      <c r="D68" s="190">
        <f>VLOOKUP(A68,'Ref-Data'!A:C,2,FALSE)</f>
        <v>1141302.73</v>
      </c>
      <c r="E68" s="471">
        <f>IFERROR(IF(VLOOKUP(A68,'Updated Ncino PD'!$A:$K,4,0)=0,"",VLOOKUP(A68,'Updated Ncino PD'!$A:$K,4,0)),AF68)</f>
        <v>3.4284526556452302E-3</v>
      </c>
      <c r="F68" s="472">
        <f>IFERROR(IF(VLOOKUP(A68,'Updated Ncino PD'!$A:$K,5,0)=0,"",VLOOKUP(A68,'Updated Ncino PD'!$A:$K,5,0)),1-((1-AG68)*(1-E68)))</f>
        <v>7.9442220353370674E-3</v>
      </c>
      <c r="G68" s="472">
        <f>IFERROR(IF(VLOOKUP(A68,'Updated Ncino PD'!$A:$K,6,0)=0,"",VLOOKUP(A68,'Updated Ncino PD'!$A:$K,6,0)),1-((1-AF68)*(1-AG68)*(1-AH68)))</f>
        <v>1.3061619214511988E-2</v>
      </c>
      <c r="H68" s="472">
        <f>IFERROR(IF(VLOOKUP(A68,'Updated Ncino PD'!$A:$K,7,0)=0,"",VLOOKUP(A68,'Updated Ncino PD'!$A:$K,7,0)),IFERROR(VLOOKUP(A68,'Updated Ncino PD'!A:B,2,FALSE),FLOOR(1-((1-AG68)*(1-AH68)*(1-AI68)*(1-AF68)),$R$11)))</f>
        <v>1.9599999999999999E-2</v>
      </c>
      <c r="I68" s="472">
        <f>IFERROR(IF(VLOOKUP(A68,'Updated Ncino PD'!$A:$K,8,0)=0,"",VLOOKUP(A68,'Updated Ncino PD'!$A:$K,8,0)),FLOOR(1-((1-H68)*(1-AJ68)),$R$11))</f>
        <v>3.04E-2</v>
      </c>
      <c r="J68" s="472">
        <f>IFERROR(IF(VLOOKUP(A68,'Updated Ncino PD'!$A:$K,9,0)=0,"",VLOOKUP(A68,'Updated Ncino PD'!$A:$K,9,0)),FLOOR(1-((1-H68)*(1-AJ68)*(1-AK68)),$R$11))</f>
        <v>3.7100000000000001E-2</v>
      </c>
      <c r="K68" s="472">
        <f>IFERROR(IF(VLOOKUP(A68,'Updated Ncino PD'!$A:$K,10,0)=0,"",VLOOKUP(A68,'Updated Ncino PD'!$A:$K,10,0)),FLOOR(1-((1-H68)*(1-AJ68)*(1-AK68)*(1-AL68)),$R$11))</f>
        <v>5.2600000000000001E-2</v>
      </c>
      <c r="L68" s="472">
        <f>IFERROR(IF(VLOOKUP(A68,'Updated Ncino PD'!$A:$K,11,0)=0,"",VLOOKUP(A68,'Updated Ncino PD'!$A:$K,11,0)),FLOOR(1-((1-H68)*(1-AJ68)*(1-AK68)*(1-AL68)*(1-AM68)),$R$11))</f>
        <v>6.8600000000000008E-2</v>
      </c>
      <c r="M68" s="224">
        <f>VLOOKUP(A68,'Ref-Data'!$A:$F,6,FALSE)</f>
        <v>4.9828884325804248</v>
      </c>
      <c r="N68" s="191">
        <f t="shared" si="27"/>
        <v>1.9599999999999999E-2</v>
      </c>
      <c r="O68" s="191">
        <f t="shared" si="28"/>
        <v>6.8600000000000008E-2</v>
      </c>
      <c r="P68" s="459" t="str">
        <f>VLOOKUP(A68,'Loan Book Summary'!C:G,5,FALSE)</f>
        <v>00158000010bEcS</v>
      </c>
      <c r="S68" s="203"/>
      <c r="T68" s="332">
        <f>IFERROR(VLOOKUP($P68,'Model Output-LoanNameUpdate'!$A:$K,2,FALSE),CL68)</f>
        <v>7.6799999999999993E-3</v>
      </c>
      <c r="U68" s="332">
        <f>1-(1-IFERROR(VLOOKUP($P68,'Model Output-LoanNameUpdate'!$A:$K,2,FALSE),CL68))^(1/4)</f>
        <v>1.9255545041654276E-3</v>
      </c>
      <c r="V68" s="332">
        <f>IFERROR(VLOOKUP($P68,'Model Output-LoanNameUpdate'!$A:$K,3,FALSE),CM68)</f>
        <v>7.4449999999999994E-3</v>
      </c>
      <c r="W68" s="332">
        <f>IFERROR(VLOOKUP($P68,'Model Output-LoanNameUpdate'!$A:$K,4,FALSE),CN68)</f>
        <v>7.3399999999999993E-3</v>
      </c>
      <c r="X68" s="332">
        <f>IFERROR(VLOOKUP($P68,'Model Output-LoanNameUpdate'!$A:$K,5,FALSE),CO68)</f>
        <v>7.3100000000000005E-3</v>
      </c>
      <c r="Y68" s="332">
        <f>IFERROR(VLOOKUP($P68,'Model Output-LoanNameUpdate'!$A:$K,6,FALSE),CP68)</f>
        <v>7.2549999999999993E-3</v>
      </c>
      <c r="Z68" s="207">
        <f t="shared" si="29"/>
        <v>2.1329919239718182</v>
      </c>
      <c r="AA68" s="208">
        <f t="shared" si="30"/>
        <v>4.1071922065524158E-3</v>
      </c>
      <c r="AB68" s="208">
        <f t="shared" si="31"/>
        <v>1.5880124873970187E-2</v>
      </c>
      <c r="AC68" s="208">
        <f t="shared" si="32"/>
        <v>1.5656160721953145E-2</v>
      </c>
      <c r="AD68" s="208">
        <f t="shared" si="33"/>
        <v>1.5592170964233992E-2</v>
      </c>
      <c r="AE68" s="208">
        <f t="shared" si="34"/>
        <v>1.547485640841554E-2</v>
      </c>
      <c r="AF68" s="332">
        <f>NORMSDIST((_xlfn.NORM.S.INV(AA68)-(SQRT(Baseline!$AF$11)*'MacroPD-Cal'!$R$2))/SQRT(1-Baseline!$AF$11))</f>
        <v>3.4284526556452302E-3</v>
      </c>
      <c r="AG68" s="332">
        <f>NORMSDIST((_xlfn.NORM.S.INV(AA68)-(SQRT(Baseline!$AF$11)*'MacroPD-Cal'!$R$3))/SQRT(1-Baseline!$AF$11))</f>
        <v>4.531304743473236E-3</v>
      </c>
      <c r="AH68" s="332">
        <f>NORMSDIST((_xlfn.NORM.S.INV(AA68)-(SQRT(Baseline!$AF$11)*'MacroPD-Cal'!$R$4))/SQRT(1-Baseline!$AF$11))</f>
        <v>5.1583764671719436E-3</v>
      </c>
      <c r="AI68" s="332">
        <f>NORMSDIST((_xlfn.NORM.S.INV(AA68)-(SQRT(Baseline!$AF$11)*'MacroPD-Cal'!$R$5))/SQRT(1-Baseline!$AF$11))</f>
        <v>6.7193881931940482E-3</v>
      </c>
      <c r="AJ68" s="332">
        <f>NORMSDIST((_xlfn.NORM.S.INV(AB68)-(SQRT(Baseline!$AF$11)*'MacroPD-Cal'!$R$6))/SQRT(1-Baseline!$AF$11))</f>
        <v>1.105992407293954E-2</v>
      </c>
      <c r="AK68" s="332">
        <f>NORMSDIST((_xlfn.NORM.S.INV(AC68)-(SQRT(Baseline!$AF$11)*'MacroPD-Cal'!$R$7))/SQRT(1-Baseline!$AF$11))</f>
        <v>6.8972057611116641E-3</v>
      </c>
      <c r="AL68" s="332">
        <f>NORMSDIST((_xlfn.NORM.S.INV(AD68)-(SQRT(Baseline!$AF$11)*'MacroPD-Cal'!$R$8))/SQRT(1-Baseline!$AF$11))</f>
        <v>1.6106865128064762E-2</v>
      </c>
      <c r="AM68" s="332">
        <f>NORMSDIST((_xlfn.NORM.S.INV(AE68)-(SQRT(Baseline!$AF$11)*'MacroPD-Cal'!$R$9))/SQRT(1-Baseline!$AF$11))</f>
        <v>1.6879330715143276E-2</v>
      </c>
      <c r="AO68" s="355"/>
      <c r="AP68" s="355"/>
      <c r="AQ68" s="355">
        <f>NORMSDIST((_xlfn.NORM.S.INV(AA68)-(SQRT(Baseline!$AF$11)*'MacroPD-Cal'!$AP$2))/SQRT(1-Baseline!$AF$11))</f>
        <v>3.558104396666646E-3</v>
      </c>
      <c r="AR68" s="355">
        <f>NORMSDIST((_xlfn.NORM.S.INV(AA68)-(SQRT(Baseline!$AF$11)*'MacroPD-Cal'!$AP$3))/SQRT(1-Baseline!$AF$11))</f>
        <v>4.2257830625878822E-3</v>
      </c>
      <c r="AS68" s="355">
        <f>NORMSDIST((_xlfn.NORM.S.INV(AA68)-(SQRT(Baseline!$AF$11)*'MacroPD-Cal'!$AP$4))/SQRT(1-Baseline!$AF$11))</f>
        <v>4.3195356009699346E-3</v>
      </c>
      <c r="AT68" s="355">
        <f>NORMSDIST((_xlfn.NORM.S.INV(AA68)-(SQRT(Baseline!$AF$11)*'MacroPD-Cal'!$AP$5))/SQRT(1-Baseline!$AF$11))</f>
        <v>5.7373914219258975E-3</v>
      </c>
      <c r="AU68" s="355">
        <f>NORMSDIST((_xlfn.NORM.S.INV(AB68)-(SQRT(Baseline!$AF$11)*'MacroPD-Cal'!$AP$6))/SQRT(1-Baseline!$AF$11))</f>
        <v>7.3978544900149623E-3</v>
      </c>
      <c r="AV68" s="355">
        <f>NORMSDIST((_xlfn.NORM.S.INV(AC68)-(SQRT(Baseline!$AF$11)*'MacroPD-Cal'!$AP$7))/SQRT(1-Baseline!$AF$11))</f>
        <v>9.497063023364602E-3</v>
      </c>
      <c r="AW68" s="355">
        <f>NORMSDIST((_xlfn.NORM.S.INV(AD68)-(SQRT(Baseline!$AF$11)*'MacroPD-Cal'!$AP$8))/SQRT(1-Baseline!$AF$11))</f>
        <v>1.6480264417898766E-2</v>
      </c>
      <c r="AX68" s="355">
        <f>NORMSDIST((_xlfn.NORM.S.INV(AE68)-(SQRT(Baseline!$AF$11)*'MacroPD-Cal'!$AP$9))/SQRT(1-Baseline!$AF$11))</f>
        <v>1.8434131244788356E-2</v>
      </c>
      <c r="AY68" s="355">
        <f t="shared" si="35"/>
        <v>3.558104396666646E-3</v>
      </c>
      <c r="AZ68" s="355">
        <f t="shared" si="36"/>
        <v>7.7688516819601761E-3</v>
      </c>
      <c r="BA68" s="355">
        <f t="shared" si="37"/>
        <v>1.2054829451511262E-2</v>
      </c>
      <c r="BB68" s="355">
        <f t="shared" si="38"/>
        <v>1.77E-2</v>
      </c>
      <c r="BC68" s="355"/>
      <c r="BD68" s="355"/>
      <c r="BE68" s="355"/>
      <c r="BF68" s="355"/>
      <c r="BG68" s="355">
        <f>NORMSDIST((_xlfn.NORM.S.INV($AA68)-(SQRT(Baseline!$AF$11)*'MacroPD-Cal'!$BF$2))/SQRT(1-Baseline!$AF$11))</f>
        <v>3.3602673758034969E-3</v>
      </c>
      <c r="BH68" s="355">
        <f>NORMSDIST((_xlfn.NORM.S.INV($AA68)-(SQRT(Baseline!$AF$11)*'MacroPD-Cal'!$BF$3))/SQRT(1-Baseline!$AF$11))</f>
        <v>4.8251613394822571E-3</v>
      </c>
      <c r="BI68" s="355">
        <f>NORMSDIST((_xlfn.NORM.S.INV($AA68)-(SQRT(Baseline!$AF$11)*'MacroPD-Cal'!$BF$4))/SQRT(1-Baseline!$AF$11))</f>
        <v>7.1177078119531029E-3</v>
      </c>
      <c r="BJ68" s="355">
        <f>NORMSDIST((_xlfn.NORM.S.INV($AA68)-(SQRT(Baseline!$AF$11)*'MacroPD-Cal'!$BF$5))/SQRT(1-Baseline!$AF$11))</f>
        <v>9.4660866655831549E-3</v>
      </c>
      <c r="BK68" s="355">
        <f>NORMSDIST((_xlfn.NORM.S.INV($AB68)-(SQRT(Baseline!$AF$11)*'MacroPD-Cal'!$BF$6))/SQRT(1-Baseline!$AF$11))</f>
        <v>3.8346868298718764E-2</v>
      </c>
      <c r="BL68" s="355">
        <f>NORMSDIST((_xlfn.NORM.S.INV($AC68)-(SQRT(Baseline!$AF$11)*'MacroPD-Cal'!$BF$7))/SQRT(1-Baseline!$AF$11))</f>
        <v>3.8958121358624786E-3</v>
      </c>
      <c r="BM68" s="355">
        <f>NORMSDIST((_xlfn.NORM.S.INV($AD68)-(SQRT(Baseline!$AF$11)*'MacroPD-Cal'!$BF$8))/SQRT(1-Baseline!$AF$11))</f>
        <v>9.7890031727596201E-3</v>
      </c>
      <c r="BN68" s="355">
        <f>NORMSDIST((_xlfn.NORM.S.INV($AE68)-(SQRT(Baseline!$AF$11)*'MacroPD-Cal'!$BF$9))/SQRT(1-Baseline!$AF$11))</f>
        <v>1.4465257304531716E-2</v>
      </c>
      <c r="BO68" s="355">
        <f t="shared" si="39"/>
        <v>3.3602673758034969E-3</v>
      </c>
      <c r="BP68" s="355">
        <f t="shared" si="40"/>
        <v>8.169214883053777E-3</v>
      </c>
      <c r="BQ68" s="355">
        <f t="shared" si="41"/>
        <v>1.5228776610416217E-2</v>
      </c>
      <c r="BR68" s="355">
        <f t="shared" si="42"/>
        <v>2.4500000000000001E-2</v>
      </c>
      <c r="BS68" s="355"/>
      <c r="BT68" s="355"/>
      <c r="BU68" s="355"/>
      <c r="BV68" s="355">
        <f>NORMSDIST((_xlfn.NORM.S.INV($AA68)-(SQRT(Baseline!$AF$11)*'MacroPD-Cal'!$BU$2))/SQRT(1-Baseline!$AF$11))</f>
        <v>3.2253290867508412E-3</v>
      </c>
      <c r="BW68" s="355">
        <f>NORMSDIST((_xlfn.NORM.S.INV($AA68)-(SQRT(Baseline!$AF$11)*'MacroPD-Cal'!$BU$3))/SQRT(1-Baseline!$AF$11))</f>
        <v>5.0559941908839348E-3</v>
      </c>
      <c r="BX68" s="355">
        <f>NORMSDIST((_xlfn.NORM.S.INV($AA68)-(SQRT(Baseline!$AF$11)*'MacroPD-Cal'!$BU$4))/SQRT(1-Baseline!$AF$11))</f>
        <v>6.6296476443369456E-3</v>
      </c>
      <c r="BY68" s="355">
        <f>NORMSDIST((_xlfn.NORM.S.INV($AA68)-(SQRT(Baseline!$AF$11)*'MacroPD-Cal'!$BU$5))/SQRT(1-Baseline!$AF$11))</f>
        <v>8.3365670301683657E-3</v>
      </c>
      <c r="BZ68" s="355">
        <f>NORMSDIST((_xlfn.NORM.S.INV($AB68)-(SQRT(Baseline!$AF$11)*'MacroPD-Cal'!$BU$6))/SQRT(1-Baseline!$AF$11))</f>
        <v>1.7566369675314993E-2</v>
      </c>
      <c r="CA68" s="355">
        <f>NORMSDIST((_xlfn.NORM.S.INV($AC68)-(SQRT(Baseline!$AF$11)*'MacroPD-Cal'!$BU73))/SQRT(1-Baseline!$AF$11))</f>
        <v>8.7109666709118093E-3</v>
      </c>
      <c r="CB68" s="355">
        <f>NORMSDIST((_xlfn.NORM.S.INV($AD68)-(SQRT(Baseline!$AF$11)*'MacroPD-Cal'!$BU$8))/SQRT(1-Baseline!$AF$11))</f>
        <v>1.6586601215187961E-2</v>
      </c>
      <c r="CC68" s="355">
        <f>NORMSDIST((_xlfn.NORM.S.INV($AE68)-(SQRT(Baseline!$AF$11)*'MacroPD-Cal'!$BU$9))/SQRT(1-Baseline!$AF$11))</f>
        <v>1.4800176500295192E-2</v>
      </c>
      <c r="CD68" s="355">
        <f t="shared" si="43"/>
        <v>3.2253290867508412E-3</v>
      </c>
      <c r="CE68" s="355">
        <f t="shared" si="44"/>
        <v>8.2650160325085098E-3</v>
      </c>
      <c r="CF68" s="355">
        <f t="shared" si="45"/>
        <v>1.4839869532775163E-2</v>
      </c>
      <c r="CG68" s="355">
        <f t="shared" si="46"/>
        <v>2.3E-2</v>
      </c>
      <c r="CH68" s="355"/>
      <c r="CI68" s="355"/>
      <c r="CL68" s="177"/>
      <c r="CM68" s="170"/>
      <c r="CN68" s="170"/>
      <c r="CO68" s="170"/>
      <c r="CP68" s="170"/>
      <c r="CR68" s="345">
        <f t="shared" si="47"/>
        <v>0.17492105385945053</v>
      </c>
      <c r="CS68" s="345">
        <f t="shared" si="48"/>
        <v>0.40531745078250347</v>
      </c>
      <c r="CT68" s="345">
        <f t="shared" si="49"/>
        <v>0.66640914359755044</v>
      </c>
      <c r="CU68" s="345">
        <f t="shared" si="50"/>
        <v>1</v>
      </c>
    </row>
    <row r="69" spans="1:99" s="166" customFormat="1" x14ac:dyDescent="0.25">
      <c r="A69" s="464">
        <v>1200000138</v>
      </c>
      <c r="B69" s="470">
        <f>VLOOKUP(A69,'Ref-Data'!A:I,9,FALSE)</f>
        <v>1</v>
      </c>
      <c r="C69" s="445">
        <f>IF(B69="Matured","",VLOOKUP(A69,'Adjustment Factor'!A:C,3,0))</f>
        <v>2.1329919239718182</v>
      </c>
      <c r="D69" s="190">
        <f>VLOOKUP(A69,'Ref-Data'!A:C,2,FALSE)</f>
        <v>418000</v>
      </c>
      <c r="E69" s="471">
        <f>IFERROR(IF(VLOOKUP(A69,'Updated Ncino PD'!$A:$K,4,0)=0,"",VLOOKUP(A69,'Updated Ncino PD'!$A:$K,4,0)),AF69)</f>
        <v>3.4284526556452302E-3</v>
      </c>
      <c r="F69" s="472">
        <f>IFERROR(IF(VLOOKUP(A69,'Updated Ncino PD'!$A:$K,5,0)=0,"",VLOOKUP(A69,'Updated Ncino PD'!$A:$K,5,0)),1-((1-AG69)*(1-E69)))</f>
        <v>7.9442220353370674E-3</v>
      </c>
      <c r="G69" s="472">
        <f>IFERROR(IF(VLOOKUP(A69,'Updated Ncino PD'!$A:$K,6,0)=0,"",VLOOKUP(A69,'Updated Ncino PD'!$A:$K,6,0)),1-((1-AF69)*(1-AG69)*(1-AH69)))</f>
        <v>1.3061619214511988E-2</v>
      </c>
      <c r="H69" s="472">
        <f>IFERROR(IF(VLOOKUP(A69,'Updated Ncino PD'!$A:$K,7,0)=0,"",VLOOKUP(A69,'Updated Ncino PD'!$A:$K,7,0)),IFERROR(VLOOKUP(A69,'Updated Ncino PD'!A:B,2,FALSE),FLOOR(1-((1-AG69)*(1-AH69)*(1-AI69)*(1-AF69)),$R$11)))</f>
        <v>1.9599999999999999E-2</v>
      </c>
      <c r="I69" s="472">
        <f>IFERROR(IF(VLOOKUP(A69,'Updated Ncino PD'!$A:$K,8,0)=0,"",VLOOKUP(A69,'Updated Ncino PD'!$A:$K,8,0)),FLOOR(1-((1-H69)*(1-AJ69)),$R$11))</f>
        <v>3.04E-2</v>
      </c>
      <c r="J69" s="472">
        <f>IFERROR(IF(VLOOKUP(A69,'Updated Ncino PD'!$A:$K,9,0)=0,"",VLOOKUP(A69,'Updated Ncino PD'!$A:$K,9,0)),FLOOR(1-((1-H69)*(1-AJ69)*(1-AK69)),$R$11))</f>
        <v>3.7100000000000001E-2</v>
      </c>
      <c r="K69" s="472">
        <f>IFERROR(IF(VLOOKUP(A69,'Updated Ncino PD'!$A:$K,10,0)=0,"",VLOOKUP(A69,'Updated Ncino PD'!$A:$K,10,0)),FLOOR(1-((1-H69)*(1-AJ69)*(1-AK69)*(1-AL69)),$R$11))</f>
        <v>5.2600000000000001E-2</v>
      </c>
      <c r="L69" s="472">
        <f>IFERROR(IF(VLOOKUP(A69,'Updated Ncino PD'!$A:$K,11,0)=0,"",VLOOKUP(A69,'Updated Ncino PD'!$A:$K,11,0)),FLOOR(1-((1-H69)*(1-AJ69)*(1-AK69)*(1-AL69)*(1-AM69)),$R$11))</f>
        <v>6.8600000000000008E-2</v>
      </c>
      <c r="M69" s="224">
        <f>VLOOKUP(A69,'Ref-Data'!$A:$F,6,FALSE)</f>
        <v>4.9828884325804248</v>
      </c>
      <c r="N69" s="191">
        <f t="shared" si="27"/>
        <v>1.9599999999999999E-2</v>
      </c>
      <c r="O69" s="191">
        <f t="shared" si="28"/>
        <v>6.8600000000000008E-2</v>
      </c>
      <c r="P69" s="459" t="str">
        <f>VLOOKUP(A69,'Loan Book Summary'!C:G,5,FALSE)</f>
        <v>00158000010bEcS</v>
      </c>
      <c r="S69" s="203"/>
      <c r="T69" s="332">
        <f>IFERROR(VLOOKUP($P69,'Model Output-LoanNameUpdate'!$A:$K,2,FALSE),CL69)</f>
        <v>7.6799999999999993E-3</v>
      </c>
      <c r="U69" s="332">
        <f>1-(1-IFERROR(VLOOKUP($P69,'Model Output-LoanNameUpdate'!$A:$K,2,FALSE),CL69))^(1/4)</f>
        <v>1.9255545041654276E-3</v>
      </c>
      <c r="V69" s="332">
        <f>IFERROR(VLOOKUP($P69,'Model Output-LoanNameUpdate'!$A:$K,3,FALSE),CM69)</f>
        <v>7.4449999999999994E-3</v>
      </c>
      <c r="W69" s="332">
        <f>IFERROR(VLOOKUP($P69,'Model Output-LoanNameUpdate'!$A:$K,4,FALSE),CN69)</f>
        <v>7.3399999999999993E-3</v>
      </c>
      <c r="X69" s="332">
        <f>IFERROR(VLOOKUP($P69,'Model Output-LoanNameUpdate'!$A:$K,5,FALSE),CO69)</f>
        <v>7.3100000000000005E-3</v>
      </c>
      <c r="Y69" s="332">
        <f>IFERROR(VLOOKUP($P69,'Model Output-LoanNameUpdate'!$A:$K,6,FALSE),CP69)</f>
        <v>7.2549999999999993E-3</v>
      </c>
      <c r="Z69" s="207">
        <f t="shared" si="29"/>
        <v>2.1329919239718182</v>
      </c>
      <c r="AA69" s="208">
        <f t="shared" si="30"/>
        <v>4.1071922065524158E-3</v>
      </c>
      <c r="AB69" s="208">
        <f t="shared" si="31"/>
        <v>1.5880124873970187E-2</v>
      </c>
      <c r="AC69" s="208">
        <f t="shared" si="32"/>
        <v>1.5656160721953145E-2</v>
      </c>
      <c r="AD69" s="208">
        <f t="shared" si="33"/>
        <v>1.5592170964233992E-2</v>
      </c>
      <c r="AE69" s="208">
        <f t="shared" si="34"/>
        <v>1.547485640841554E-2</v>
      </c>
      <c r="AF69" s="332">
        <f>NORMSDIST((_xlfn.NORM.S.INV(AA69)-(SQRT(Baseline!$AF$11)*'MacroPD-Cal'!$R$2))/SQRT(1-Baseline!$AF$11))</f>
        <v>3.4284526556452302E-3</v>
      </c>
      <c r="AG69" s="332">
        <f>NORMSDIST((_xlfn.NORM.S.INV(AA69)-(SQRT(Baseline!$AF$11)*'MacroPD-Cal'!$R$3))/SQRT(1-Baseline!$AF$11))</f>
        <v>4.531304743473236E-3</v>
      </c>
      <c r="AH69" s="332">
        <f>NORMSDIST((_xlfn.NORM.S.INV(AA69)-(SQRT(Baseline!$AF$11)*'MacroPD-Cal'!$R$4))/SQRT(1-Baseline!$AF$11))</f>
        <v>5.1583764671719436E-3</v>
      </c>
      <c r="AI69" s="332">
        <f>NORMSDIST((_xlfn.NORM.S.INV(AA69)-(SQRT(Baseline!$AF$11)*'MacroPD-Cal'!$R$5))/SQRT(1-Baseline!$AF$11))</f>
        <v>6.7193881931940482E-3</v>
      </c>
      <c r="AJ69" s="332">
        <f>NORMSDIST((_xlfn.NORM.S.INV(AB69)-(SQRT(Baseline!$AF$11)*'MacroPD-Cal'!$R$6))/SQRT(1-Baseline!$AF$11))</f>
        <v>1.105992407293954E-2</v>
      </c>
      <c r="AK69" s="332">
        <f>NORMSDIST((_xlfn.NORM.S.INV(AC69)-(SQRT(Baseline!$AF$11)*'MacroPD-Cal'!$R$7))/SQRT(1-Baseline!$AF$11))</f>
        <v>6.8972057611116641E-3</v>
      </c>
      <c r="AL69" s="332">
        <f>NORMSDIST((_xlfn.NORM.S.INV(AD69)-(SQRT(Baseline!$AF$11)*'MacroPD-Cal'!$R$8))/SQRT(1-Baseline!$AF$11))</f>
        <v>1.6106865128064762E-2</v>
      </c>
      <c r="AM69" s="332">
        <f>NORMSDIST((_xlfn.NORM.S.INV(AE69)-(SQRT(Baseline!$AF$11)*'MacroPD-Cal'!$R$9))/SQRT(1-Baseline!$AF$11))</f>
        <v>1.6879330715143276E-2</v>
      </c>
      <c r="AO69" s="355"/>
      <c r="AP69" s="355"/>
      <c r="AQ69" s="355">
        <f>NORMSDIST((_xlfn.NORM.S.INV(AA69)-(SQRT(Baseline!$AF$11)*'MacroPD-Cal'!$AP$2))/SQRT(1-Baseline!$AF$11))</f>
        <v>3.558104396666646E-3</v>
      </c>
      <c r="AR69" s="355">
        <f>NORMSDIST((_xlfn.NORM.S.INV(AA69)-(SQRT(Baseline!$AF$11)*'MacroPD-Cal'!$AP$3))/SQRT(1-Baseline!$AF$11))</f>
        <v>4.2257830625878822E-3</v>
      </c>
      <c r="AS69" s="355">
        <f>NORMSDIST((_xlfn.NORM.S.INV(AA69)-(SQRT(Baseline!$AF$11)*'MacroPD-Cal'!$AP$4))/SQRT(1-Baseline!$AF$11))</f>
        <v>4.3195356009699346E-3</v>
      </c>
      <c r="AT69" s="355">
        <f>NORMSDIST((_xlfn.NORM.S.INV(AA69)-(SQRT(Baseline!$AF$11)*'MacroPD-Cal'!$AP$5))/SQRT(1-Baseline!$AF$11))</f>
        <v>5.7373914219258975E-3</v>
      </c>
      <c r="AU69" s="355">
        <f>NORMSDIST((_xlfn.NORM.S.INV(AB69)-(SQRT(Baseline!$AF$11)*'MacroPD-Cal'!$AP$6))/SQRT(1-Baseline!$AF$11))</f>
        <v>7.3978544900149623E-3</v>
      </c>
      <c r="AV69" s="355">
        <f>NORMSDIST((_xlfn.NORM.S.INV(AC69)-(SQRT(Baseline!$AF$11)*'MacroPD-Cal'!$AP$7))/SQRT(1-Baseline!$AF$11))</f>
        <v>9.497063023364602E-3</v>
      </c>
      <c r="AW69" s="355">
        <f>NORMSDIST((_xlfn.NORM.S.INV(AD69)-(SQRT(Baseline!$AF$11)*'MacroPD-Cal'!$AP$8))/SQRT(1-Baseline!$AF$11))</f>
        <v>1.6480264417898766E-2</v>
      </c>
      <c r="AX69" s="355">
        <f>NORMSDIST((_xlfn.NORM.S.INV(AE69)-(SQRT(Baseline!$AF$11)*'MacroPD-Cal'!$AP$9))/SQRT(1-Baseline!$AF$11))</f>
        <v>1.8434131244788356E-2</v>
      </c>
      <c r="AY69" s="355">
        <f t="shared" si="35"/>
        <v>3.558104396666646E-3</v>
      </c>
      <c r="AZ69" s="355">
        <f t="shared" si="36"/>
        <v>7.7688516819601761E-3</v>
      </c>
      <c r="BA69" s="355">
        <f t="shared" si="37"/>
        <v>1.2054829451511262E-2</v>
      </c>
      <c r="BB69" s="355">
        <f t="shared" si="38"/>
        <v>1.77E-2</v>
      </c>
      <c r="BC69" s="355"/>
      <c r="BD69" s="355"/>
      <c r="BE69" s="355"/>
      <c r="BF69" s="355"/>
      <c r="BG69" s="355">
        <f>NORMSDIST((_xlfn.NORM.S.INV($AA69)-(SQRT(Baseline!$AF$11)*'MacroPD-Cal'!$BF$2))/SQRT(1-Baseline!$AF$11))</f>
        <v>3.3602673758034969E-3</v>
      </c>
      <c r="BH69" s="355">
        <f>NORMSDIST((_xlfn.NORM.S.INV($AA69)-(SQRT(Baseline!$AF$11)*'MacroPD-Cal'!$BF$3))/SQRT(1-Baseline!$AF$11))</f>
        <v>4.8251613394822571E-3</v>
      </c>
      <c r="BI69" s="355">
        <f>NORMSDIST((_xlfn.NORM.S.INV($AA69)-(SQRT(Baseline!$AF$11)*'MacroPD-Cal'!$BF$4))/SQRT(1-Baseline!$AF$11))</f>
        <v>7.1177078119531029E-3</v>
      </c>
      <c r="BJ69" s="355">
        <f>NORMSDIST((_xlfn.NORM.S.INV($AA69)-(SQRT(Baseline!$AF$11)*'MacroPD-Cal'!$BF$5))/SQRT(1-Baseline!$AF$11))</f>
        <v>9.4660866655831549E-3</v>
      </c>
      <c r="BK69" s="355">
        <f>NORMSDIST((_xlfn.NORM.S.INV($AB69)-(SQRT(Baseline!$AF$11)*'MacroPD-Cal'!$BF$6))/SQRT(1-Baseline!$AF$11))</f>
        <v>3.8346868298718764E-2</v>
      </c>
      <c r="BL69" s="355">
        <f>NORMSDIST((_xlfn.NORM.S.INV($AC69)-(SQRT(Baseline!$AF$11)*'MacroPD-Cal'!$BF$7))/SQRT(1-Baseline!$AF$11))</f>
        <v>3.8958121358624786E-3</v>
      </c>
      <c r="BM69" s="355">
        <f>NORMSDIST((_xlfn.NORM.S.INV($AD69)-(SQRT(Baseline!$AF$11)*'MacroPD-Cal'!$BF$8))/SQRT(1-Baseline!$AF$11))</f>
        <v>9.7890031727596201E-3</v>
      </c>
      <c r="BN69" s="355">
        <f>NORMSDIST((_xlfn.NORM.S.INV($AE69)-(SQRT(Baseline!$AF$11)*'MacroPD-Cal'!$BF$9))/SQRT(1-Baseline!$AF$11))</f>
        <v>1.4465257304531716E-2</v>
      </c>
      <c r="BO69" s="355">
        <f t="shared" si="39"/>
        <v>3.3602673758034969E-3</v>
      </c>
      <c r="BP69" s="355">
        <f t="shared" si="40"/>
        <v>8.169214883053777E-3</v>
      </c>
      <c r="BQ69" s="355">
        <f t="shared" si="41"/>
        <v>1.5228776610416217E-2</v>
      </c>
      <c r="BR69" s="355">
        <f t="shared" si="42"/>
        <v>2.4500000000000001E-2</v>
      </c>
      <c r="BS69" s="355"/>
      <c r="BT69" s="355"/>
      <c r="BU69" s="355"/>
      <c r="BV69" s="355">
        <f>NORMSDIST((_xlfn.NORM.S.INV($AA69)-(SQRT(Baseline!$AF$11)*'MacroPD-Cal'!$BU$2))/SQRT(1-Baseline!$AF$11))</f>
        <v>3.2253290867508412E-3</v>
      </c>
      <c r="BW69" s="355">
        <f>NORMSDIST((_xlfn.NORM.S.INV($AA69)-(SQRT(Baseline!$AF$11)*'MacroPD-Cal'!$BU$3))/SQRT(1-Baseline!$AF$11))</f>
        <v>5.0559941908839348E-3</v>
      </c>
      <c r="BX69" s="355">
        <f>NORMSDIST((_xlfn.NORM.S.INV($AA69)-(SQRT(Baseline!$AF$11)*'MacroPD-Cal'!$BU$4))/SQRT(1-Baseline!$AF$11))</f>
        <v>6.6296476443369456E-3</v>
      </c>
      <c r="BY69" s="355">
        <f>NORMSDIST((_xlfn.NORM.S.INV($AA69)-(SQRT(Baseline!$AF$11)*'MacroPD-Cal'!$BU$5))/SQRT(1-Baseline!$AF$11))</f>
        <v>8.3365670301683657E-3</v>
      </c>
      <c r="BZ69" s="355">
        <f>NORMSDIST((_xlfn.NORM.S.INV($AB69)-(SQRT(Baseline!$AF$11)*'MacroPD-Cal'!$BU$6))/SQRT(1-Baseline!$AF$11))</f>
        <v>1.7566369675314993E-2</v>
      </c>
      <c r="CA69" s="355">
        <f>NORMSDIST((_xlfn.NORM.S.INV($AC69)-(SQRT(Baseline!$AF$11)*'MacroPD-Cal'!$BU74))/SQRT(1-Baseline!$AF$11))</f>
        <v>8.7109666709118093E-3</v>
      </c>
      <c r="CB69" s="355">
        <f>NORMSDIST((_xlfn.NORM.S.INV($AD69)-(SQRT(Baseline!$AF$11)*'MacroPD-Cal'!$BU$8))/SQRT(1-Baseline!$AF$11))</f>
        <v>1.6586601215187961E-2</v>
      </c>
      <c r="CC69" s="355">
        <f>NORMSDIST((_xlfn.NORM.S.INV($AE69)-(SQRT(Baseline!$AF$11)*'MacroPD-Cal'!$BU$9))/SQRT(1-Baseline!$AF$11))</f>
        <v>1.4800176500295192E-2</v>
      </c>
      <c r="CD69" s="355">
        <f t="shared" si="43"/>
        <v>3.2253290867508412E-3</v>
      </c>
      <c r="CE69" s="355">
        <f t="shared" si="44"/>
        <v>8.2650160325085098E-3</v>
      </c>
      <c r="CF69" s="355">
        <f t="shared" si="45"/>
        <v>1.4839869532775163E-2</v>
      </c>
      <c r="CG69" s="355">
        <f t="shared" si="46"/>
        <v>2.3E-2</v>
      </c>
      <c r="CH69" s="355"/>
      <c r="CI69" s="355"/>
      <c r="CL69" s="177"/>
      <c r="CM69" s="170"/>
      <c r="CN69" s="170"/>
      <c r="CO69" s="170"/>
      <c r="CP69" s="170"/>
      <c r="CR69" s="345">
        <f t="shared" si="47"/>
        <v>0.17492105385945053</v>
      </c>
      <c r="CS69" s="345">
        <f t="shared" si="48"/>
        <v>0.40531745078250347</v>
      </c>
      <c r="CT69" s="345">
        <f t="shared" si="49"/>
        <v>0.66640914359755044</v>
      </c>
      <c r="CU69" s="345">
        <f t="shared" si="50"/>
        <v>1</v>
      </c>
    </row>
    <row r="70" spans="1:99" s="166" customFormat="1" x14ac:dyDescent="0.25">
      <c r="A70" s="464">
        <v>1200000142</v>
      </c>
      <c r="B70" s="470">
        <f>VLOOKUP(A70,'Ref-Data'!A:I,9,FALSE)</f>
        <v>1</v>
      </c>
      <c r="C70" s="445">
        <f>IF(B70="Matured","",VLOOKUP(A70,'Adjustment Factor'!A:C,3,0))</f>
        <v>1.1951755713707852</v>
      </c>
      <c r="D70" s="190">
        <f>VLOOKUP(A70,'Ref-Data'!A:C,2,FALSE)</f>
        <v>867000</v>
      </c>
      <c r="E70" s="471">
        <f>IFERROR(IF(VLOOKUP(A70,'Updated Ncino PD'!$A:$K,4,0)=0,"",VLOOKUP(A70,'Updated Ncino PD'!$A:$K,4,0)),AF70)</f>
        <v>3.9335337154020281E-2</v>
      </c>
      <c r="F70" s="472">
        <f>IFERROR(IF(VLOOKUP(A70,'Updated Ncino PD'!$A:$K,5,0)=0,"",VLOOKUP(A70,'Updated Ncino PD'!$A:$K,5,0)),1-((1-AG70)*(1-E70)))</f>
        <v>8.5460952654883182E-2</v>
      </c>
      <c r="G70" s="472">
        <f>IFERROR(IF(VLOOKUP(A70,'Updated Ncino PD'!$A:$K,6,0)=0,"",VLOOKUP(A70,'Updated Ncino PD'!$A:$K,6,0)),1-((1-AF70)*(1-AG70)*(1-AH70)))</f>
        <v>0.13360360384645742</v>
      </c>
      <c r="H70" s="472">
        <f>IFERROR(IF(VLOOKUP(A70,'Updated Ncino PD'!$A:$K,7,0)=0,"",VLOOKUP(A70,'Updated Ncino PD'!$A:$K,7,0)),IFERROR(VLOOKUP(A70,'Updated Ncino PD'!A:B,2,FALSE),FLOOR(1-((1-AG70)*(1-AH70)*(1-AI70)*(1-AF70)),$R$11)))</f>
        <v>0.1885</v>
      </c>
      <c r="I70" s="472">
        <f>IFERROR(IF(VLOOKUP(A70,'Updated Ncino PD'!$A:$K,8,0)=0,"",VLOOKUP(A70,'Updated Ncino PD'!$A:$K,8,0)),FLOOR(1-((1-H70)*(1-AJ70)),$R$11))</f>
        <v>0.28870000000000001</v>
      </c>
      <c r="J70" s="472">
        <f>IFERROR(IF(VLOOKUP(A70,'Updated Ncino PD'!$A:$K,9,0)=0,"",VLOOKUP(A70,'Updated Ncino PD'!$A:$K,9,0)),FLOOR(1-((1-H70)*(1-AJ70)*(1-AK70)),$R$11))</f>
        <v>0.35089999999999999</v>
      </c>
      <c r="K70" s="472">
        <f>IFERROR(IF(VLOOKUP(A70,'Updated Ncino PD'!$A:$K,10,0)=0,"",VLOOKUP(A70,'Updated Ncino PD'!$A:$K,10,0)),FLOOR(1-((1-H70)*(1-AJ70)*(1-AK70)*(1-AL70)),$R$11))</f>
        <v>0.44540000000000002</v>
      </c>
      <c r="L70" s="472">
        <f>IFERROR(IF(VLOOKUP(A70,'Updated Ncino PD'!$A:$K,11,0)=0,"",VLOOKUP(A70,'Updated Ncino PD'!$A:$K,11,0)),FLOOR(1-((1-H70)*(1-AJ70)*(1-AK70)*(1-AL70)*(1-AM70)),$R$11))</f>
        <v>0.52690000000000003</v>
      </c>
      <c r="M70" s="224">
        <f>VLOOKUP(A70,'Ref-Data'!$A:$F,6,FALSE)</f>
        <v>4.0793976728268309</v>
      </c>
      <c r="N70" s="191">
        <f t="shared" si="27"/>
        <v>0.1885</v>
      </c>
      <c r="O70" s="191">
        <f t="shared" si="28"/>
        <v>0.52690000000000003</v>
      </c>
      <c r="P70" s="459" t="str">
        <f>VLOOKUP(A70,'Loan Book Summary'!C:G,5,FALSE)</f>
        <v>0015800001Enl9O</v>
      </c>
      <c r="S70" s="203"/>
      <c r="T70" s="332">
        <f>IFERROR(VLOOKUP($P70,'Model Output-LoanNameUpdate'!$A:$K,2,FALSE),CL70)</f>
        <v>0.118065</v>
      </c>
      <c r="U70" s="332">
        <f>1-(1-IFERROR(VLOOKUP($P70,'Model Output-LoanNameUpdate'!$A:$K,2,FALSE),CL70))^(1/4)</f>
        <v>3.0921084690017642E-2</v>
      </c>
      <c r="V70" s="332">
        <f>IFERROR(VLOOKUP($P70,'Model Output-LoanNameUpdate'!$A:$K,3,FALSE),CM70)</f>
        <v>0.109255</v>
      </c>
      <c r="W70" s="332">
        <f>IFERROR(VLOOKUP($P70,'Model Output-LoanNameUpdate'!$A:$K,4,FALSE),CN70)</f>
        <v>0.104445</v>
      </c>
      <c r="X70" s="332">
        <f>IFERROR(VLOOKUP($P70,'Model Output-LoanNameUpdate'!$A:$K,5,FALSE),CO70)</f>
        <v>0.10106499999999999</v>
      </c>
      <c r="Y70" s="332">
        <f>IFERROR(VLOOKUP($P70,'Model Output-LoanNameUpdate'!$A:$K,6,FALSE),CP70)</f>
        <v>9.8589999999999983E-2</v>
      </c>
      <c r="Z70" s="207">
        <f t="shared" si="29"/>
        <v>1.1951755713707852</v>
      </c>
      <c r="AA70" s="208">
        <f t="shared" si="30"/>
        <v>3.6956125061796276E-2</v>
      </c>
      <c r="AB70" s="208">
        <f t="shared" si="31"/>
        <v>0.13057890705011516</v>
      </c>
      <c r="AC70" s="208">
        <f t="shared" si="32"/>
        <v>0.12483011255182166</v>
      </c>
      <c r="AD70" s="208">
        <f t="shared" si="33"/>
        <v>0.1207904191205884</v>
      </c>
      <c r="AE70" s="208">
        <f t="shared" si="34"/>
        <v>0.11783235958144569</v>
      </c>
      <c r="AF70" s="332">
        <f>NORMSDIST((_xlfn.NORM.S.INV(AA70)-(SQRT(Baseline!$AF$11)*'MacroPD-Cal'!$R$2))/SQRT(1-Baseline!$AF$11))</f>
        <v>3.9335337154020281E-2</v>
      </c>
      <c r="AG70" s="332">
        <f>NORMSDIST((_xlfn.NORM.S.INV(AA70)-(SQRT(Baseline!$AF$11)*'MacroPD-Cal'!$R$3))/SQRT(1-Baseline!$AF$11))</f>
        <v>4.8014273122335235E-2</v>
      </c>
      <c r="AH70" s="332">
        <f>NORMSDIST((_xlfn.NORM.S.INV(AA70)-(SQRT(Baseline!$AF$11)*'MacroPD-Cal'!$R$4))/SQRT(1-Baseline!$AF$11))</f>
        <v>5.2641438691252262E-2</v>
      </c>
      <c r="AI70" s="332">
        <f>NORMSDIST((_xlfn.NORM.S.INV(AA70)-(SQRT(Baseline!$AF$11)*'MacroPD-Cal'!$R$5))/SQRT(1-Baseline!$AF$11))</f>
        <v>6.3422602254742583E-2</v>
      </c>
      <c r="AJ70" s="332">
        <f>NORMSDIST((_xlfn.NORM.S.INV(AB70)-(SQRT(Baseline!$AF$11)*'MacroPD-Cal'!$R$6))/SQRT(1-Baseline!$AF$11))</f>
        <v>0.12348225206814453</v>
      </c>
      <c r="AK70" s="332">
        <f>NORMSDIST((_xlfn.NORM.S.INV(AC70)-(SQRT(Baseline!$AF$11)*'MacroPD-Cal'!$R$7))/SQRT(1-Baseline!$AF$11))</f>
        <v>8.7525242753174998E-2</v>
      </c>
      <c r="AL70" s="332">
        <f>NORMSDIST((_xlfn.NORM.S.INV(AD70)-(SQRT(Baseline!$AF$11)*'MacroPD-Cal'!$R$8))/SQRT(1-Baseline!$AF$11))</f>
        <v>0.14560543013206578</v>
      </c>
      <c r="AM70" s="332">
        <f>NORMSDIST((_xlfn.NORM.S.INV(AE70)-(SQRT(Baseline!$AF$11)*'MacroPD-Cal'!$R$9))/SQRT(1-Baseline!$AF$11))</f>
        <v>0.14691877456071906</v>
      </c>
      <c r="AO70" s="355"/>
      <c r="AP70" s="355"/>
      <c r="AQ70" s="355">
        <f>NORMSDIST((_xlfn.NORM.S.INV(AA70)-(SQRT(Baseline!$AF$11)*'MacroPD-Cal'!$AP$2))/SQRT(1-Baseline!$AF$11))</f>
        <v>4.0397375729796285E-2</v>
      </c>
      <c r="AR70" s="355">
        <f>NORMSDIST((_xlfn.NORM.S.INV(AA70)-(SQRT(Baseline!$AF$11)*'MacroPD-Cal'!$AP$3))/SQRT(1-Baseline!$AF$11))</f>
        <v>4.5685150490644304E-2</v>
      </c>
      <c r="AS70" s="355">
        <f>NORMSDIST((_xlfn.NORM.S.INV(AA70)-(SQRT(Baseline!$AF$11)*'MacroPD-Cal'!$AP$4))/SQRT(1-Baseline!$AF$11))</f>
        <v>4.6405467026115428E-2</v>
      </c>
      <c r="AT70" s="355">
        <f>NORMSDIST((_xlfn.NORM.S.INV(AA70)-(SQRT(Baseline!$AF$11)*'MacroPD-Cal'!$AP$5))/SQRT(1-Baseline!$AF$11))</f>
        <v>5.6752430394472655E-2</v>
      </c>
      <c r="AU70" s="355">
        <f>NORMSDIST((_xlfn.NORM.S.INV(AB70)-(SQRT(Baseline!$AF$11)*'MacroPD-Cal'!$AP$6))/SQRT(1-Baseline!$AF$11))</f>
        <v>9.5641763260261761E-2</v>
      </c>
      <c r="AV70" s="355">
        <f>NORMSDIST((_xlfn.NORM.S.INV(AC70)-(SQRT(Baseline!$AF$11)*'MacroPD-Cal'!$AP$7))/SQRT(1-Baseline!$AF$11))</f>
        <v>0.10763084709585154</v>
      </c>
      <c r="AW70" s="355">
        <f>NORMSDIST((_xlfn.NORM.S.INV(AD70)-(SQRT(Baseline!$AF$11)*'MacroPD-Cal'!$AP$8))/SQRT(1-Baseline!$AF$11))</f>
        <v>0.14771488183444181</v>
      </c>
      <c r="AX70" s="355">
        <f>NORMSDIST((_xlfn.NORM.S.INV(AE70)-(SQRT(Baseline!$AF$11)*'MacroPD-Cal'!$AP$9))/SQRT(1-Baseline!$AF$11))</f>
        <v>0.15528719184691142</v>
      </c>
      <c r="AY70" s="355">
        <f t="shared" si="35"/>
        <v>4.0397375729796285E-2</v>
      </c>
      <c r="AZ70" s="355">
        <f t="shared" si="36"/>
        <v>8.4236966030797666E-2</v>
      </c>
      <c r="BA70" s="355">
        <f t="shared" si="37"/>
        <v>0.12673337730739098</v>
      </c>
      <c r="BB70" s="355">
        <f t="shared" si="38"/>
        <v>0.1762</v>
      </c>
      <c r="BC70" s="355"/>
      <c r="BD70" s="355"/>
      <c r="BE70" s="355"/>
      <c r="BF70" s="355"/>
      <c r="BG70" s="355">
        <f>NORMSDIST((_xlfn.NORM.S.INV($AA70)-(SQRT(Baseline!$AF$11)*'MacroPD-Cal'!$BF$2))/SQRT(1-Baseline!$AF$11))</f>
        <v>3.8771743118394916E-2</v>
      </c>
      <c r="BH70" s="355">
        <f>NORMSDIST((_xlfn.NORM.S.INV($AA70)-(SQRT(Baseline!$AF$11)*'MacroPD-Cal'!$BF$3))/SQRT(1-Baseline!$AF$11))</f>
        <v>5.0206988257931885E-2</v>
      </c>
      <c r="BI70" s="355">
        <f>NORMSDIST((_xlfn.NORM.S.INV($AA70)-(SQRT(Baseline!$AF$11)*'MacroPD-Cal'!$BF$4))/SQRT(1-Baseline!$AF$11))</f>
        <v>6.6033065779573283E-2</v>
      </c>
      <c r="BJ70" s="355">
        <f>NORMSDIST((_xlfn.NORM.S.INV($AA70)-(SQRT(Baseline!$AF$11)*'MacroPD-Cal'!$BF$5))/SQRT(1-Baseline!$AF$11))</f>
        <v>8.0517293644884996E-2</v>
      </c>
      <c r="BK70" s="355">
        <f>NORMSDIST((_xlfn.NORM.S.INV($AB70)-(SQRT(Baseline!$AF$11)*'MacroPD-Cal'!$BF$6))/SQRT(1-Baseline!$AF$11))</f>
        <v>0.26119981764737382</v>
      </c>
      <c r="BL70" s="355">
        <f>NORMSDIST((_xlfn.NORM.S.INV($AC70)-(SQRT(Baseline!$AF$11)*'MacroPD-Cal'!$BF$7))/SQRT(1-Baseline!$AF$11))</f>
        <v>6.0026805980867189E-2</v>
      </c>
      <c r="BM70" s="355">
        <f>NORMSDIST((_xlfn.NORM.S.INV($AD70)-(SQRT(Baseline!$AF$11)*'MacroPD-Cal'!$BF$8))/SQRT(1-Baseline!$AF$11))</f>
        <v>0.10600471444954986</v>
      </c>
      <c r="BN70" s="355">
        <f>NORMSDIST((_xlfn.NORM.S.INV($AE70)-(SQRT(Baseline!$AF$11)*'MacroPD-Cal'!$BF$9))/SQRT(1-Baseline!$AF$11))</f>
        <v>0.13323474319504144</v>
      </c>
      <c r="BO70" s="355">
        <f t="shared" si="39"/>
        <v>3.8771743118394916E-2</v>
      </c>
      <c r="BP70" s="355">
        <f t="shared" si="40"/>
        <v>8.7032118924842083E-2</v>
      </c>
      <c r="BQ70" s="355">
        <f t="shared" si="41"/>
        <v>0.14731818707051558</v>
      </c>
      <c r="BR70" s="355">
        <f t="shared" si="42"/>
        <v>0.21590000000000001</v>
      </c>
      <c r="BS70" s="355"/>
      <c r="BT70" s="355"/>
      <c r="BU70" s="355"/>
      <c r="BV70" s="355">
        <f>NORMSDIST((_xlfn.NORM.S.INV($AA70)-(SQRT(Baseline!$AF$11)*'MacroPD-Cal'!$BU$2))/SQRT(1-Baseline!$AF$11))</f>
        <v>3.7645704332855516E-2</v>
      </c>
      <c r="BW70" s="355">
        <f>NORMSDIST((_xlfn.NORM.S.INV($AA70)-(SQRT(Baseline!$AF$11)*'MacroPD-Cal'!$BU$3))/SQRT(1-Baseline!$AF$11))</f>
        <v>5.1899063334330295E-2</v>
      </c>
      <c r="BX70" s="355">
        <f>NORMSDIST((_xlfn.NORM.S.INV($AA70)-(SQRT(Baseline!$AF$11)*'MacroPD-Cal'!$BU$4))/SQRT(1-Baseline!$AF$11))</f>
        <v>6.2827312842234251E-2</v>
      </c>
      <c r="BY70" s="355">
        <f>NORMSDIST((_xlfn.NORM.S.INV($AA70)-(SQRT(Baseline!$AF$11)*'MacroPD-Cal'!$BU$5))/SQRT(1-Baseline!$AF$11))</f>
        <v>7.3728271926264244E-2</v>
      </c>
      <c r="BZ70" s="355">
        <f>NORMSDIST((_xlfn.NORM.S.INV($AB70)-(SQRT(Baseline!$AF$11)*'MacroPD-Cal'!$BU$6))/SQRT(1-Baseline!$AF$11))</f>
        <v>0.1644640024963204</v>
      </c>
      <c r="CA70" s="355">
        <f>NORMSDIST((_xlfn.NORM.S.INV($AC70)-(SQRT(Baseline!$AF$11)*'MacroPD-Cal'!$BU75))/SQRT(1-Baseline!$AF$11))</f>
        <v>0.10181805144261226</v>
      </c>
      <c r="CB70" s="355">
        <f>NORMSDIST((_xlfn.NORM.S.INV($AD70)-(SQRT(Baseline!$AF$11)*'MacroPD-Cal'!$BU$8))/SQRT(1-Baseline!$AF$11))</f>
        <v>0.14831179169253839</v>
      </c>
      <c r="CC70" s="355">
        <f>NORMSDIST((_xlfn.NORM.S.INV($AE70)-(SQRT(Baseline!$AF$11)*'MacroPD-Cal'!$BU$9))/SQRT(1-Baseline!$AF$11))</f>
        <v>0.13518845286871498</v>
      </c>
      <c r="CD70" s="355">
        <f t="shared" si="43"/>
        <v>3.7645704332855516E-2</v>
      </c>
      <c r="CE70" s="355">
        <f t="shared" si="44"/>
        <v>8.7590990873749441E-2</v>
      </c>
      <c r="CF70" s="355">
        <f t="shared" si="45"/>
        <v>0.1449151971301974</v>
      </c>
      <c r="CG70" s="355">
        <f t="shared" si="46"/>
        <v>0.2079</v>
      </c>
      <c r="CH70" s="355"/>
      <c r="CI70" s="355"/>
      <c r="CL70" s="177"/>
      <c r="CM70" s="170"/>
      <c r="CN70" s="170"/>
      <c r="CO70" s="170"/>
      <c r="CP70" s="170"/>
      <c r="CR70" s="345">
        <f t="shared" si="47"/>
        <v>0.20867552866854261</v>
      </c>
      <c r="CS70" s="345">
        <f t="shared" si="48"/>
        <v>0.45337375413731129</v>
      </c>
      <c r="CT70" s="345">
        <f t="shared" si="49"/>
        <v>0.70877243419871305</v>
      </c>
      <c r="CU70" s="345">
        <f t="shared" si="50"/>
        <v>1</v>
      </c>
    </row>
    <row r="71" spans="1:99" s="166" customFormat="1" x14ac:dyDescent="0.25">
      <c r="A71" s="464">
        <v>1200000143</v>
      </c>
      <c r="B71" s="470">
        <f>VLOOKUP(A71,'Ref-Data'!A:I,9,FALSE)</f>
        <v>1</v>
      </c>
      <c r="C71" s="445">
        <f>IF(B71="Matured","",VLOOKUP(A71,'Adjustment Factor'!A:C,3,0))</f>
        <v>1.8425777267619361</v>
      </c>
      <c r="D71" s="190">
        <f>VLOOKUP(A71,'Ref-Data'!A:C,2,FALSE)</f>
        <v>2462727.33</v>
      </c>
      <c r="E71" s="471">
        <f>IFERROR(IF(VLOOKUP(A71,'Updated Ncino PD'!$A:$K,4,0)=0,"",VLOOKUP(A71,'Updated Ncino PD'!$A:$K,4,0)),AF71)</f>
        <v>1.4664857435136747E-3</v>
      </c>
      <c r="F71" s="472">
        <f>IFERROR(IF(VLOOKUP(A71,'Updated Ncino PD'!$A:$K,5,0)=0,"",VLOOKUP(A71,'Updated Ncino PD'!$A:$K,5,0)),1-((1-AG71)*(1-E71)))</f>
        <v>3.4478863367868318E-3</v>
      </c>
      <c r="G71" s="472">
        <f>IFERROR(IF(VLOOKUP(A71,'Updated Ncino PD'!$A:$K,6,0)=0,"",VLOOKUP(A71,'Updated Ncino PD'!$A:$K,6,0)),1-((1-AF71)*(1-AG71)*(1-AH71)))</f>
        <v>5.724206043032698E-3</v>
      </c>
      <c r="H71" s="472">
        <f>IFERROR(IF(VLOOKUP(A71,'Updated Ncino PD'!$A:$K,7,0)=0,"",VLOOKUP(A71,'Updated Ncino PD'!$A:$K,7,0)),IFERROR(VLOOKUP(A71,'Updated Ncino PD'!A:B,2,FALSE),FLOOR(1-((1-AG71)*(1-AH71)*(1-AI71)*(1-AF71)),$R$11)))</f>
        <v>8.7000000000000011E-3</v>
      </c>
      <c r="I71" s="472">
        <f>IFERROR(IF(VLOOKUP(A71,'Updated Ncino PD'!$A:$K,8,0)=0,"",VLOOKUP(A71,'Updated Ncino PD'!$A:$K,8,0)),FLOOR(1-((1-H71)*(1-AJ71)),$R$11))</f>
        <v>1.4E-2</v>
      </c>
      <c r="J71" s="472">
        <f>IFERROR(IF(VLOOKUP(A71,'Updated Ncino PD'!$A:$K,9,0)=0,"",VLOOKUP(A71,'Updated Ncino PD'!$A:$K,9,0)),FLOOR(1-((1-H71)*(1-AJ71)*(1-AK71)),$R$11))</f>
        <v>1.7600000000000001E-2</v>
      </c>
      <c r="K71" s="472">
        <f>IFERROR(IF(VLOOKUP(A71,'Updated Ncino PD'!$A:$K,10,0)=0,"",VLOOKUP(A71,'Updated Ncino PD'!$A:$K,10,0)),FLOOR(1-((1-H71)*(1-AJ71)*(1-AK71)*(1-AL71)),$R$11))</f>
        <v>2.69E-2</v>
      </c>
      <c r="L71" s="472">
        <f>IFERROR(IF(VLOOKUP(A71,'Updated Ncino PD'!$A:$K,11,0)=0,"",VLOOKUP(A71,'Updated Ncino PD'!$A:$K,11,0)),FLOOR(1-((1-H71)*(1-AJ71)*(1-AK71)*(1-AL71)*(1-AM71)),$R$11))</f>
        <v>3.7100000000000001E-2</v>
      </c>
      <c r="M71" s="224">
        <f>VLOOKUP(A71,'Ref-Data'!$A:$F,6,FALSE)</f>
        <v>4.991101984941821</v>
      </c>
      <c r="N71" s="191">
        <f t="shared" si="27"/>
        <v>8.7000000000000011E-3</v>
      </c>
      <c r="O71" s="191">
        <f t="shared" si="28"/>
        <v>3.7100000000000001E-2</v>
      </c>
      <c r="P71" s="459" t="str">
        <f>VLOOKUP(A71,'Loan Book Summary'!C:G,5,FALSE)</f>
        <v>0015800001fFIlI</v>
      </c>
      <c r="S71" s="203"/>
      <c r="T71" s="332">
        <f>IFERROR(VLOOKUP($P71,'Model Output-LoanNameUpdate'!$A:$K,2,FALSE),CL71)</f>
        <v>4.1949999999999999E-3</v>
      </c>
      <c r="U71" s="332">
        <f>1-(1-IFERROR(VLOOKUP($P71,'Model Output-LoanNameUpdate'!$A:$K,2,FALSE),CL71))^(1/4)</f>
        <v>1.0504038637585422E-3</v>
      </c>
      <c r="V71" s="332">
        <f>IFERROR(VLOOKUP($P71,'Model Output-LoanNameUpdate'!$A:$K,3,FALSE),CM71)</f>
        <v>4.6849999999999999E-3</v>
      </c>
      <c r="W71" s="332">
        <f>IFERROR(VLOOKUP($P71,'Model Output-LoanNameUpdate'!$A:$K,4,FALSE),CN71)</f>
        <v>5.0399999999999993E-3</v>
      </c>
      <c r="X71" s="332">
        <f>IFERROR(VLOOKUP($P71,'Model Output-LoanNameUpdate'!$A:$K,5,FALSE),CO71)</f>
        <v>5.2349999999999983E-3</v>
      </c>
      <c r="Y71" s="332">
        <f>IFERROR(VLOOKUP($P71,'Model Output-LoanNameUpdate'!$A:$K,6,FALSE),CP71)</f>
        <v>5.4299999999999999E-3</v>
      </c>
      <c r="Z71" s="207">
        <f t="shared" si="29"/>
        <v>1.8425777267619361</v>
      </c>
      <c r="AA71" s="208">
        <f t="shared" si="30"/>
        <v>1.9354507634661692E-3</v>
      </c>
      <c r="AB71" s="208">
        <f t="shared" si="31"/>
        <v>8.6324766498796709E-3</v>
      </c>
      <c r="AC71" s="208">
        <f t="shared" si="32"/>
        <v>9.286591742880157E-3</v>
      </c>
      <c r="AD71" s="208">
        <f t="shared" si="33"/>
        <v>9.6458943995987329E-3</v>
      </c>
      <c r="AE71" s="208">
        <f t="shared" si="34"/>
        <v>1.0005197056317312E-2</v>
      </c>
      <c r="AF71" s="332">
        <f>NORMSDIST((_xlfn.NORM.S.INV(AA71)-(SQRT(Baseline!$AF$11)*'MacroPD-Cal'!$R$2))/SQRT(1-Baseline!$AF$11))</f>
        <v>1.4664857435136747E-3</v>
      </c>
      <c r="AG71" s="332">
        <f>NORMSDIST((_xlfn.NORM.S.INV(AA71)-(SQRT(Baseline!$AF$11)*'MacroPD-Cal'!$R$3))/SQRT(1-Baseline!$AF$11))</f>
        <v>1.9843105564148417E-3</v>
      </c>
      <c r="AH71" s="332">
        <f>NORMSDIST((_xlfn.NORM.S.INV(AA71)-(SQRT(Baseline!$AF$11)*'MacroPD-Cal'!$R$4))/SQRT(1-Baseline!$AF$11))</f>
        <v>2.2841953521912099E-3</v>
      </c>
      <c r="AI71" s="332">
        <f>NORMSDIST((_xlfn.NORM.S.INV(AA71)-(SQRT(Baseline!$AF$11)*'MacroPD-Cal'!$R$5))/SQRT(1-Baseline!$AF$11))</f>
        <v>3.0450837904095608E-3</v>
      </c>
      <c r="AJ71" s="332">
        <f>NORMSDIST((_xlfn.NORM.S.INV(AB71)-(SQRT(Baseline!$AF$11)*'MacroPD-Cal'!$R$6))/SQRT(1-Baseline!$AF$11))</f>
        <v>5.444002705802661E-3</v>
      </c>
      <c r="AK71" s="332">
        <f>NORMSDIST((_xlfn.NORM.S.INV(AC71)-(SQRT(Baseline!$AF$11)*'MacroPD-Cal'!$R$7))/SQRT(1-Baseline!$AF$11))</f>
        <v>3.6325894473055488E-3</v>
      </c>
      <c r="AL71" s="332">
        <f>NORMSDIST((_xlfn.NORM.S.INV(AD71)-(SQRT(Baseline!$AF$11)*'MacroPD-Cal'!$R$8))/SQRT(1-Baseline!$AF$11))</f>
        <v>9.4831626400493137E-3</v>
      </c>
      <c r="AM71" s="332">
        <f>NORMSDIST((_xlfn.NORM.S.INV(AE71)-(SQRT(Baseline!$AF$11)*'MacroPD-Cal'!$R$9))/SQRT(1-Baseline!$AF$11))</f>
        <v>1.047325727423489E-2</v>
      </c>
      <c r="AO71" s="355"/>
      <c r="AP71" s="355"/>
      <c r="AQ71" s="355">
        <f>NORMSDIST((_xlfn.NORM.S.INV(AA71)-(SQRT(Baseline!$AF$11)*'MacroPD-Cal'!$AP$2))/SQRT(1-Baseline!$AF$11))</f>
        <v>1.5266586346943029E-3</v>
      </c>
      <c r="AR71" s="355">
        <f>NORMSDIST((_xlfn.NORM.S.INV(AA71)-(SQRT(Baseline!$AF$11)*'MacroPD-Cal'!$AP$3))/SQRT(1-Baseline!$AF$11))</f>
        <v>1.8395621108015757E-3</v>
      </c>
      <c r="AS71" s="355">
        <f>NORMSDIST((_xlfn.NORM.S.INV(AA71)-(SQRT(Baseline!$AF$11)*'MacroPD-Cal'!$AP$4))/SQRT(1-Baseline!$AF$11))</f>
        <v>1.8838801059984742E-3</v>
      </c>
      <c r="AT71" s="355">
        <f>NORMSDIST((_xlfn.NORM.S.INV(AA71)-(SQRT(Baseline!$AF$11)*'MacroPD-Cal'!$AP$5))/SQRT(1-Baseline!$AF$11))</f>
        <v>2.5641722466600266E-3</v>
      </c>
      <c r="AU71" s="355">
        <f>NORMSDIST((_xlfn.NORM.S.INV(AB71)-(SQRT(Baseline!$AF$11)*'MacroPD-Cal'!$AP$6))/SQRT(1-Baseline!$AF$11))</f>
        <v>3.5161532592719418E-3</v>
      </c>
      <c r="AV71" s="355">
        <f>NORMSDIST((_xlfn.NORM.S.INV(AC71)-(SQRT(Baseline!$AF$11)*'MacroPD-Cal'!$AP$7))/SQRT(1-Baseline!$AF$11))</f>
        <v>5.1215678748671315E-3</v>
      </c>
      <c r="AW71" s="355">
        <f>NORMSDIST((_xlfn.NORM.S.INV(AD71)-(SQRT(Baseline!$AF$11)*'MacroPD-Cal'!$AP$8))/SQRT(1-Baseline!$AF$11))</f>
        <v>9.7193970899039448E-3</v>
      </c>
      <c r="AX71" s="355">
        <f>NORMSDIST((_xlfn.NORM.S.INV(AE71)-(SQRT(Baseline!$AF$11)*'MacroPD-Cal'!$AP$9))/SQRT(1-Baseline!$AF$11))</f>
        <v>1.1506329630235745E-2</v>
      </c>
      <c r="AY71" s="355">
        <f t="shared" si="35"/>
        <v>1.5266586346943029E-3</v>
      </c>
      <c r="AZ71" s="355">
        <f t="shared" si="36"/>
        <v>3.3634123621153478E-3</v>
      </c>
      <c r="BA71" s="355">
        <f t="shared" si="37"/>
        <v>5.2409562024765544E-3</v>
      </c>
      <c r="BB71" s="355">
        <f t="shared" si="38"/>
        <v>7.7000000000000002E-3</v>
      </c>
      <c r="BC71" s="355"/>
      <c r="BD71" s="355"/>
      <c r="BE71" s="355"/>
      <c r="BF71" s="355"/>
      <c r="BG71" s="355">
        <f>NORMSDIST((_xlfn.NORM.S.INV($AA71)-(SQRT(Baseline!$AF$11)*'MacroPD-Cal'!$BF$2))/SQRT(1-Baseline!$AF$11))</f>
        <v>1.4349218477022949E-3</v>
      </c>
      <c r="BH71" s="355">
        <f>NORMSDIST((_xlfn.NORM.S.INV($AA71)-(SQRT(Baseline!$AF$11)*'MacroPD-Cal'!$BF$3))/SQRT(1-Baseline!$AF$11))</f>
        <v>2.1243897395674459E-3</v>
      </c>
      <c r="BI71" s="355">
        <f>NORMSDIST((_xlfn.NORM.S.INV($AA71)-(SQRT(Baseline!$AF$11)*'MacroPD-Cal'!$BF$4))/SQRT(1-Baseline!$AF$11))</f>
        <v>3.2421560933663125E-3</v>
      </c>
      <c r="BJ71" s="355">
        <f>NORMSDIST((_xlfn.NORM.S.INV($AA71)-(SQRT(Baseline!$AF$11)*'MacroPD-Cal'!$BF$5))/SQRT(1-Baseline!$AF$11))</f>
        <v>4.4245988236105288E-3</v>
      </c>
      <c r="BK71" s="355">
        <f>NORMSDIST((_xlfn.NORM.S.INV($AB71)-(SQRT(Baseline!$AF$11)*'MacroPD-Cal'!$BF$6))/SQRT(1-Baseline!$AF$11))</f>
        <v>2.1271460292442129E-2</v>
      </c>
      <c r="BL71" s="355">
        <f>NORMSDIST((_xlfn.NORM.S.INV($AC71)-(SQRT(Baseline!$AF$11)*'MacroPD-Cal'!$BF$7))/SQRT(1-Baseline!$AF$11))</f>
        <v>1.9705760015830158E-3</v>
      </c>
      <c r="BM71" s="355">
        <f>NORMSDIST((_xlfn.NORM.S.INV($AD71)-(SQRT(Baseline!$AF$11)*'MacroPD-Cal'!$BF$8))/SQRT(1-Baseline!$AF$11))</f>
        <v>5.5619525095555698E-3</v>
      </c>
      <c r="BN71" s="355">
        <f>NORMSDIST((_xlfn.NORM.S.INV($AE71)-(SQRT(Baseline!$AF$11)*'MacroPD-Cal'!$BF$9))/SQRT(1-Baseline!$AF$11))</f>
        <v>8.8835455552141798E-3</v>
      </c>
      <c r="BO71" s="355">
        <f t="shared" si="39"/>
        <v>1.4349218477022949E-3</v>
      </c>
      <c r="BP71" s="355">
        <f t="shared" si="40"/>
        <v>3.556263254019365E-3</v>
      </c>
      <c r="BQ71" s="355">
        <f t="shared" si="41"/>
        <v>6.786889386807049E-3</v>
      </c>
      <c r="BR71" s="355">
        <f t="shared" si="42"/>
        <v>1.11E-2</v>
      </c>
      <c r="BS71" s="355"/>
      <c r="BT71" s="355"/>
      <c r="BU71" s="355"/>
      <c r="BV71" s="355">
        <f>NORMSDIST((_xlfn.NORM.S.INV($AA71)-(SQRT(Baseline!$AF$11)*'MacroPD-Cal'!$BU$2))/SQRT(1-Baseline!$AF$11))</f>
        <v>1.3726275090543752E-3</v>
      </c>
      <c r="BW71" s="355">
        <f>NORMSDIST((_xlfn.NORM.S.INV($AA71)-(SQRT(Baseline!$AF$11)*'MacroPD-Cal'!$BU$3))/SQRT(1-Baseline!$AF$11))</f>
        <v>2.2349881467160467E-3</v>
      </c>
      <c r="BX71" s="355">
        <f>NORMSDIST((_xlfn.NORM.S.INV($AA71)-(SQRT(Baseline!$AF$11)*'MacroPD-Cal'!$BU$4))/SQRT(1-Baseline!$AF$11))</f>
        <v>3.0008377635171841E-3</v>
      </c>
      <c r="BY71" s="355">
        <f>NORMSDIST((_xlfn.NORM.S.INV($AA71)-(SQRT(Baseline!$AF$11)*'MacroPD-Cal'!$BU$5))/SQRT(1-Baseline!$AF$11))</f>
        <v>3.8517123925495022E-3</v>
      </c>
      <c r="BZ71" s="355">
        <f>NORMSDIST((_xlfn.NORM.S.INV($AB71)-(SQRT(Baseline!$AF$11)*'MacroPD-Cal'!$BU$6))/SQRT(1-Baseline!$AF$11))</f>
        <v>9.0200416796458269E-3</v>
      </c>
      <c r="CA71" s="355">
        <f>NORMSDIST((_xlfn.NORM.S.INV($AC71)-(SQRT(Baseline!$AF$11)*'MacroPD-Cal'!$BU76))/SQRT(1-Baseline!$AF$11))</f>
        <v>4.6673655033261782E-3</v>
      </c>
      <c r="CB71" s="355">
        <f>NORMSDIST((_xlfn.NORM.S.INV($AD71)-(SQRT(Baseline!$AF$11)*'MacroPD-Cal'!$BU$8))/SQRT(1-Baseline!$AF$11))</f>
        <v>9.7867528049347188E-3</v>
      </c>
      <c r="CC71" s="355">
        <f>NORMSDIST((_xlfn.NORM.S.INV($AE71)-(SQRT(Baseline!$AF$11)*'MacroPD-Cal'!$BU$9))/SQRT(1-Baseline!$AF$11))</f>
        <v>9.1029944344536325E-3</v>
      </c>
      <c r="CD71" s="355">
        <f t="shared" si="43"/>
        <v>1.3726275090543752E-3</v>
      </c>
      <c r="CE71" s="355">
        <f t="shared" si="44"/>
        <v>3.604547849557882E-3</v>
      </c>
      <c r="CF71" s="355">
        <f t="shared" si="45"/>
        <v>6.5945689497677318E-3</v>
      </c>
      <c r="CG71" s="355">
        <f t="shared" si="46"/>
        <v>1.0400000000000001E-2</v>
      </c>
      <c r="CH71" s="355"/>
      <c r="CI71" s="355"/>
      <c r="CL71" s="177"/>
      <c r="CM71" s="170"/>
      <c r="CN71" s="170"/>
      <c r="CO71" s="170"/>
      <c r="CP71" s="170"/>
      <c r="CR71" s="345">
        <f t="shared" si="47"/>
        <v>0.16856157971421545</v>
      </c>
      <c r="CS71" s="345">
        <f t="shared" si="48"/>
        <v>0.39630877434331396</v>
      </c>
      <c r="CT71" s="345">
        <f t="shared" si="49"/>
        <v>0.65795471758996515</v>
      </c>
      <c r="CU71" s="345">
        <f t="shared" si="50"/>
        <v>1</v>
      </c>
    </row>
    <row r="72" spans="1:99" x14ac:dyDescent="0.25">
      <c r="A72" s="464">
        <v>1200000144</v>
      </c>
      <c r="B72" s="470">
        <f>VLOOKUP(A72,'Ref-Data'!A:I,9,FALSE)</f>
        <v>1</v>
      </c>
      <c r="C72" s="445">
        <f>IF(B72="Matured","",VLOOKUP(A72,'Adjustment Factor'!A:C,3,0))</f>
        <v>1.38</v>
      </c>
      <c r="D72" s="190">
        <f>VLOOKUP(A72,'Ref-Data'!A:C,2,FALSE)</f>
        <v>203978</v>
      </c>
      <c r="E72" s="471">
        <f>IFERROR(IF(VLOOKUP(A72,'Updated Ncino PD'!$A:$K,4,0)=0,"",VLOOKUP(A72,'Updated Ncino PD'!$A:$K,4,0)),AF72)</f>
        <v>2.3728324537306083E-3</v>
      </c>
      <c r="F72" s="472">
        <f>IFERROR(IF(VLOOKUP(A72,'Updated Ncino PD'!$A:$K,5,0)=0,"",VLOOKUP(A72,'Updated Ncino PD'!$A:$K,5,0)),1-((1-AG72)*(1-E72)))</f>
        <v>5.5341704239845191E-3</v>
      </c>
      <c r="G72" s="472">
        <f>IFERROR(IF(VLOOKUP(A72,'Updated Ncino PD'!$A:$K,6,0)=0,"",VLOOKUP(A72,'Updated Ncino PD'!$A:$K,6,0)),1-((1-AF72)*(1-AG72)*(1-AH72)))</f>
        <v>9.1392772221348118E-3</v>
      </c>
      <c r="H72" s="472">
        <f>IFERROR(IF(VLOOKUP(A72,'Updated Ncino PD'!$A:$K,7,0)=0,"",VLOOKUP(A72,'Updated Ncino PD'!$A:$K,7,0)),IFERROR(VLOOKUP(A72,'Updated Ncino PD'!A:B,2,FALSE),FLOOR(1-((1-AG72)*(1-AH72)*(1-AI72)*(1-AF72)),$R$11)))</f>
        <v>1.3800000000000002E-2</v>
      </c>
      <c r="I72" s="472">
        <f>IFERROR(IF(VLOOKUP(A72,'Updated Ncino PD'!$A:$K,8,0)=0,"",VLOOKUP(A72,'Updated Ncino PD'!$A:$K,8,0)),FLOOR(1-((1-H72)*(1-AJ72)),$R$11))</f>
        <v>2.1700000000000001E-2</v>
      </c>
      <c r="J72" s="472">
        <f>IFERROR(IF(VLOOKUP(A72,'Updated Ncino PD'!$A:$K,9,0)=0,"",VLOOKUP(A72,'Updated Ncino PD'!$A:$K,9,0)),FLOOR(1-((1-H72)*(1-AJ72)*(1-AK72)),$R$11))</f>
        <v>2.6700000000000002E-2</v>
      </c>
      <c r="K72" s="472">
        <f>IFERROR(IF(VLOOKUP(A72,'Updated Ncino PD'!$A:$K,10,0)=0,"",VLOOKUP(A72,'Updated Ncino PD'!$A:$K,10,0)),FLOOR(1-((1-H72)*(1-AJ72)*(1-AK72)*(1-AL72)),$R$11))</f>
        <v>3.8800000000000001E-2</v>
      </c>
      <c r="L72" s="472">
        <f>IFERROR(IF(VLOOKUP(A72,'Updated Ncino PD'!$A:$K,11,0)=0,"",VLOOKUP(A72,'Updated Ncino PD'!$A:$K,11,0)),FLOOR(1-((1-H72)*(1-AJ72)*(1-AK72)*(1-AL72)*(1-AM72)),$R$11))</f>
        <v>5.1700000000000003E-2</v>
      </c>
      <c r="M72" s="224">
        <f>VLOOKUP(A72,'Ref-Data'!$A:$F,6,FALSE)</f>
        <v>2.0670773442847366</v>
      </c>
      <c r="N72" s="191">
        <f t="shared" ref="N72:N115" si="51">IF(B72=1,IF(M72&gt;=1,H72,1-(1-H72)^M72),IF(M72&gt;=1,O72,1-(1-O72)^M72))</f>
        <v>1.3800000000000002E-2</v>
      </c>
      <c r="O72" s="191">
        <f t="shared" ref="O72:O115" si="52">IF(M72&lt;=1,H72,IF(M72&lt;=2,I72,IF(M72&lt;=3,J72,IF(M72&lt;=4,K72,L72))))</f>
        <v>2.6700000000000002E-2</v>
      </c>
      <c r="P72" s="459" t="str">
        <f>VLOOKUP(A72,'Loan Book Summary'!C:G,5,FALSE)</f>
        <v>0015800001cfgV5</v>
      </c>
      <c r="Q72" s="355"/>
      <c r="R72" s="355"/>
      <c r="S72" s="203"/>
      <c r="T72" s="332">
        <f>IFERROR(VLOOKUP($P72,'Model Output-LoanNameUpdate'!$A:$K,2,FALSE),CL72)</f>
        <v>8.5599999999999982E-3</v>
      </c>
      <c r="U72" s="332">
        <f>1-(1-IFERROR(VLOOKUP($P72,'Model Output-LoanNameUpdate'!$A:$K,2,FALSE),CL72))^(1/4)</f>
        <v>2.1469039043714444E-3</v>
      </c>
      <c r="V72" s="332">
        <f>IFERROR(VLOOKUP($P72,'Model Output-LoanNameUpdate'!$A:$K,3,FALSE),CM72)</f>
        <v>8.7399999999999995E-3</v>
      </c>
      <c r="W72" s="332">
        <f>IFERROR(VLOOKUP($P72,'Model Output-LoanNameUpdate'!$A:$K,4,FALSE),CN72)</f>
        <v>8.8600000000000016E-3</v>
      </c>
      <c r="X72" s="332">
        <f>IFERROR(VLOOKUP($P72,'Model Output-LoanNameUpdate'!$A:$K,5,FALSE),CO72)</f>
        <v>8.9849999999999982E-3</v>
      </c>
      <c r="Y72" s="332">
        <f>IFERROR(VLOOKUP($P72,'Model Output-LoanNameUpdate'!$A:$K,6,FALSE),CP72)</f>
        <v>9.0550000000000005E-3</v>
      </c>
      <c r="Z72" s="207">
        <f t="shared" ref="Z72:Z115" si="53">C72</f>
        <v>1.38</v>
      </c>
      <c r="AA72" s="332">
        <f t="shared" ref="AA72:AA115" si="54">U72*$Z72</f>
        <v>2.9627273880325931E-3</v>
      </c>
      <c r="AB72" s="332">
        <f t="shared" ref="AB72:AB115" si="55">V72*$Z72</f>
        <v>1.2061199999999998E-2</v>
      </c>
      <c r="AC72" s="332">
        <f t="shared" ref="AC72:AC115" si="56">W72*$Z72</f>
        <v>1.2226800000000001E-2</v>
      </c>
      <c r="AD72" s="332">
        <f t="shared" ref="AD72:AD115" si="57">X72*$Z72</f>
        <v>1.2399299999999997E-2</v>
      </c>
      <c r="AE72" s="332">
        <f t="shared" ref="AE72:AE115" si="58">Y72*$Z72</f>
        <v>1.2495899999999999E-2</v>
      </c>
      <c r="AF72" s="332">
        <f>NORMSDIST((_xlfn.NORM.S.INV(AA72)-(SQRT(Baseline!$AF$11)*'MacroPD-Cal'!$R$2))/SQRT(1-Baseline!$AF$11))</f>
        <v>2.3728324537306083E-3</v>
      </c>
      <c r="AG72" s="332">
        <f>NORMSDIST((_xlfn.NORM.S.INV(AA72)-(SQRT(Baseline!$AF$11)*'MacroPD-Cal'!$R$3))/SQRT(1-Baseline!$AF$11))</f>
        <v>3.1688571373105169E-3</v>
      </c>
      <c r="AH72" s="332">
        <f>NORMSDIST((_xlfn.NORM.S.INV(AA72)-(SQRT(Baseline!$AF$11)*'MacroPD-Cal'!$R$4))/SQRT(1-Baseline!$AF$11))</f>
        <v>3.6251691017752871E-3</v>
      </c>
      <c r="AI72" s="332">
        <f>NORMSDIST((_xlfn.NORM.S.INV(AA72)-(SQRT(Baseline!$AF$11)*'MacroPD-Cal'!$R$5))/SQRT(1-Baseline!$AF$11))</f>
        <v>4.7707278409008938E-3</v>
      </c>
      <c r="AJ72" s="332">
        <f>NORMSDIST((_xlfn.NORM.S.INV(AB72)-(SQRT(Baseline!$AF$11)*'MacroPD-Cal'!$R$6))/SQRT(1-Baseline!$AF$11))</f>
        <v>8.0354030782959444E-3</v>
      </c>
      <c r="AK72" s="332">
        <f>NORMSDIST((_xlfn.NORM.S.INV(AC72)-(SQRT(Baseline!$AF$11)*'MacroPD-Cal'!$R$7))/SQRT(1-Baseline!$AF$11))</f>
        <v>5.091957890448545E-3</v>
      </c>
      <c r="AL72" s="332">
        <f>NORMSDIST((_xlfn.NORM.S.INV(AD72)-(SQRT(Baseline!$AF$11)*'MacroPD-Cal'!$R$8))/SQRT(1-Baseline!$AF$11))</f>
        <v>1.2515287842680698E-2</v>
      </c>
      <c r="AM72" s="332">
        <f>NORMSDIST((_xlfn.NORM.S.INV(AE72)-(SQRT(Baseline!$AF$11)*'MacroPD-Cal'!$R$9))/SQRT(1-Baseline!$AF$11))</f>
        <v>1.3363014085186196E-2</v>
      </c>
      <c r="CR72" s="345">
        <f t="shared" si="47"/>
        <v>0.17194438070511653</v>
      </c>
      <c r="CS72" s="345">
        <f t="shared" si="48"/>
        <v>0.40102684231771873</v>
      </c>
      <c r="CT72" s="345">
        <f t="shared" si="49"/>
        <v>0.66226646537208778</v>
      </c>
      <c r="CU72" s="345">
        <f t="shared" si="50"/>
        <v>1</v>
      </c>
    </row>
    <row r="73" spans="1:99" x14ac:dyDescent="0.25">
      <c r="A73" s="464">
        <v>1200000139</v>
      </c>
      <c r="B73" s="470">
        <f>VLOOKUP(A73,'Ref-Data'!A:I,9,FALSE)</f>
        <v>1</v>
      </c>
      <c r="C73" s="445">
        <f>IF(B73="Matured","",VLOOKUP(A73,'Adjustment Factor'!A:C,3,0))</f>
        <v>1.78</v>
      </c>
      <c r="D73" s="190">
        <f>VLOOKUP(A73,'Ref-Data'!A:C,2,FALSE)</f>
        <v>5000000</v>
      </c>
      <c r="E73" s="471">
        <f>IFERROR(IF(VLOOKUP(A73,'Updated Ncino PD'!$A:$K,4,0)=0,"",VLOOKUP(A73,'Updated Ncino PD'!$A:$K,4,0)),AF73)</f>
        <v>4.7652832030200265E-3</v>
      </c>
      <c r="F73" s="472">
        <f>IFERROR(IF(VLOOKUP(A73,'Updated Ncino PD'!$A:$K,5,0)=0,"",VLOOKUP(A73,'Updated Ncino PD'!$A:$K,5,0)),1-((1-AG73)*(1-E73)))</f>
        <v>1.0973679517791823E-2</v>
      </c>
      <c r="G73" s="472">
        <f>IFERROR(IF(VLOOKUP(A73,'Updated Ncino PD'!$A:$K,6,0)=0,"",VLOOKUP(A73,'Updated Ncino PD'!$A:$K,6,0)),1-((1-AF73)*(1-AG73)*(1-AH73)))</f>
        <v>1.7965369124224417E-2</v>
      </c>
      <c r="H73" s="472">
        <f>IFERROR(IF(VLOOKUP(A73,'Updated Ncino PD'!$A:$K,7,0)=0,"",VLOOKUP(A73,'Updated Ncino PD'!$A:$K,7,0)),IFERROR(VLOOKUP(A73,'Updated Ncino PD'!A:B,2,FALSE),FLOOR(1-((1-AG73)*(1-AH73)*(1-AI73)*(1-AF73)),$R$11)))</f>
        <v>2.69E-2</v>
      </c>
      <c r="I73" s="472">
        <f>IFERROR(IF(VLOOKUP(A73,'Updated Ncino PD'!$A:$K,8,0)=0,"",VLOOKUP(A73,'Updated Ncino PD'!$A:$K,8,0)),FLOOR(1-((1-H73)*(1-AJ73)),$R$11))</f>
        <v>4.0400000000000005E-2</v>
      </c>
      <c r="J73" s="472">
        <f>IFERROR(IF(VLOOKUP(A73,'Updated Ncino PD'!$A:$K,9,0)=0,"",VLOOKUP(A73,'Updated Ncino PD'!$A:$K,9,0)),FLOOR(1-((1-H73)*(1-AJ73)*(1-AK73)),$R$11))</f>
        <v>4.8300000000000003E-2</v>
      </c>
      <c r="K73" s="472">
        <f>IFERROR(IF(VLOOKUP(A73,'Updated Ncino PD'!$A:$K,10,0)=0,"",VLOOKUP(A73,'Updated Ncino PD'!$A:$K,10,0)),FLOOR(1-((1-H73)*(1-AJ73)*(1-AK73)*(1-AL73)),$R$11))</f>
        <v>6.5299999999999997E-2</v>
      </c>
      <c r="L73" s="472">
        <f>IFERROR(IF(VLOOKUP(A73,'Updated Ncino PD'!$A:$K,11,0)=0,"",VLOOKUP(A73,'Updated Ncino PD'!$A:$K,11,0)),FLOOR(1-((1-H73)*(1-AJ73)*(1-AK73)*(1-AL73)*(1-AM73)),$R$11))</f>
        <v>8.2299999999999998E-2</v>
      </c>
      <c r="M73" s="224">
        <f>VLOOKUP(A73,'Ref-Data'!$A:$F,6,FALSE)</f>
        <v>2.1546885694729636</v>
      </c>
      <c r="N73" s="191">
        <f t="shared" si="51"/>
        <v>2.69E-2</v>
      </c>
      <c r="O73" s="191">
        <f t="shared" si="52"/>
        <v>4.8300000000000003E-2</v>
      </c>
      <c r="P73" s="459" t="str">
        <f>VLOOKUP(A73,'Loan Book Summary'!C:G,5,FALSE)</f>
        <v>0014I0000293MAy</v>
      </c>
      <c r="Q73" s="355"/>
      <c r="R73" s="355"/>
      <c r="S73" s="203"/>
      <c r="T73" s="332">
        <f>IFERROR(VLOOKUP($P73,'Model Output-LoanNameUpdate'!$A:$K,2,FALSE),CL73)</f>
        <v>1.2315000000000001E-2</v>
      </c>
      <c r="U73" s="332">
        <f>1-(1-IFERROR(VLOOKUP($P73,'Model Output-LoanNameUpdate'!$A:$K,2,FALSE),CL73))^(1/4)</f>
        <v>3.0930710641088321E-3</v>
      </c>
      <c r="V73" s="332">
        <f>IFERROR(VLOOKUP($P73,'Model Output-LoanNameUpdate'!$A:$K,3,FALSE),CM73)</f>
        <v>1.089E-2</v>
      </c>
      <c r="W73" s="332">
        <f>IFERROR(VLOOKUP($P73,'Model Output-LoanNameUpdate'!$A:$K,4,FALSE),CN73)</f>
        <v>1.017E-2</v>
      </c>
      <c r="X73" s="332">
        <f>IFERROR(VLOOKUP($P73,'Model Output-LoanNameUpdate'!$A:$K,5,FALSE),CO73)</f>
        <v>9.6299999999999979E-3</v>
      </c>
      <c r="Y73" s="332">
        <f>IFERROR(VLOOKUP($P73,'Model Output-LoanNameUpdate'!$A:$K,6,FALSE),CP73)</f>
        <v>9.2899999999999996E-3</v>
      </c>
      <c r="Z73" s="207">
        <f t="shared" si="53"/>
        <v>1.78</v>
      </c>
      <c r="AA73" s="332">
        <f t="shared" si="54"/>
        <v>5.5056664941137215E-3</v>
      </c>
      <c r="AB73" s="332">
        <f t="shared" si="55"/>
        <v>1.9384200000000001E-2</v>
      </c>
      <c r="AC73" s="332">
        <f t="shared" si="56"/>
        <v>1.81026E-2</v>
      </c>
      <c r="AD73" s="332">
        <f t="shared" si="57"/>
        <v>1.7141399999999998E-2</v>
      </c>
      <c r="AE73" s="332">
        <f t="shared" si="58"/>
        <v>1.6536200000000001E-2</v>
      </c>
      <c r="AF73" s="332">
        <f>NORMSDIST((_xlfn.NORM.S.INV(AA73)-(SQRT(Baseline!$AF$11)*'MacroPD-Cal'!$R$2))/SQRT(1-Baseline!$AF$11))</f>
        <v>4.7652832030200265E-3</v>
      </c>
      <c r="AG73" s="332">
        <f>NORMSDIST((_xlfn.NORM.S.INV(AA73)-(SQRT(Baseline!$AF$11)*'MacroPD-Cal'!$R$3))/SQRT(1-Baseline!$AF$11))</f>
        <v>6.238122736265274E-3</v>
      </c>
      <c r="AH73" s="332">
        <f>NORMSDIST((_xlfn.NORM.S.INV(AA73)-(SQRT(Baseline!$AF$11)*'MacroPD-Cal'!$R$4))/SQRT(1-Baseline!$AF$11))</f>
        <v>7.0692654600170712E-3</v>
      </c>
      <c r="AI73" s="332">
        <f>NORMSDIST((_xlfn.NORM.S.INV(AA73)-(SQRT(Baseline!$AF$11)*'MacroPD-Cal'!$R$5))/SQRT(1-Baseline!$AF$11))</f>
        <v>9.1221734021524233E-3</v>
      </c>
      <c r="AJ73" s="332">
        <f>NORMSDIST((_xlfn.NORM.S.INV(AB73)-(SQRT(Baseline!$AF$11)*'MacroPD-Cal'!$R$6))/SQRT(1-Baseline!$AF$11))</f>
        <v>1.3935450270350015E-2</v>
      </c>
      <c r="AK73" s="332">
        <f>NORMSDIST((_xlfn.NORM.S.INV(AC73)-(SQRT(Baseline!$AF$11)*'MacroPD-Cal'!$R$7))/SQRT(1-Baseline!$AF$11))</f>
        <v>8.2422406418286367E-3</v>
      </c>
      <c r="AL73" s="332">
        <f>NORMSDIST((_xlfn.NORM.S.INV(AD73)-(SQRT(Baseline!$AF$11)*'MacroPD-Cal'!$R$8))/SQRT(1-Baseline!$AF$11))</f>
        <v>1.7873068251926916E-2</v>
      </c>
      <c r="AM73" s="332">
        <f>NORMSDIST((_xlfn.NORM.S.INV(AE73)-(SQRT(Baseline!$AF$11)*'MacroPD-Cal'!$R$9))/SQRT(1-Baseline!$AF$11))</f>
        <v>1.8145083001288073E-2</v>
      </c>
      <c r="CR73" s="345">
        <f t="shared" si="47"/>
        <v>0.17714807446171102</v>
      </c>
      <c r="CS73" s="345">
        <f t="shared" si="48"/>
        <v>0.4079434764978373</v>
      </c>
      <c r="CT73" s="345">
        <f t="shared" si="49"/>
        <v>0.66785758826113073</v>
      </c>
      <c r="CU73" s="345">
        <f t="shared" si="50"/>
        <v>1</v>
      </c>
    </row>
    <row r="74" spans="1:99" x14ac:dyDescent="0.25">
      <c r="A74" s="464">
        <v>1100000195</v>
      </c>
      <c r="B74" s="470">
        <f>VLOOKUP(A74,'Ref-Data'!A:I,9,FALSE)</f>
        <v>1</v>
      </c>
      <c r="C74" s="445">
        <f>IF(B74="Matured","",VLOOKUP(A74,'Adjustment Factor'!A:C,3,0))</f>
        <v>2.7477756207255806</v>
      </c>
      <c r="D74" s="190">
        <f>VLOOKUP(A74,'Ref-Data'!A:C,2,FALSE)</f>
        <v>3000000</v>
      </c>
      <c r="E74" s="471">
        <f>IFERROR(IF(VLOOKUP(A74,'Updated Ncino PD'!$A:$K,4,0)=0,"",VLOOKUP(A74,'Updated Ncino PD'!$A:$K,4,0)),AF74)</f>
        <v>9.0176998350473547E-3</v>
      </c>
      <c r="F74" s="472">
        <f>IFERROR(IF(VLOOKUP(A74,'Updated Ncino PD'!$A:$K,5,0)=0,"",VLOOKUP(A74,'Updated Ncino PD'!$A:$K,5,0)),1-((1-AG74)*(1-E74)))</f>
        <v>2.0491061369928731E-2</v>
      </c>
      <c r="G74" s="472">
        <f>IFERROR(IF(VLOOKUP(A74,'Updated Ncino PD'!$A:$K,6,0)=0,"",VLOOKUP(A74,'Updated Ncino PD'!$A:$K,6,0)),1-((1-AF74)*(1-AG74)*(1-AH74)))</f>
        <v>3.322495541514825E-2</v>
      </c>
      <c r="H74" s="472">
        <f>IFERROR(IF(VLOOKUP(A74,'Updated Ncino PD'!$A:$K,7,0)=0,"",VLOOKUP(A74,'Updated Ncino PD'!$A:$K,7,0)),IFERROR(VLOOKUP(A74,'Updated Ncino PD'!A:B,2,FALSE),FLOOR(1-((1-AG74)*(1-AH74)*(1-AI74)*(1-AF74)),$R$11)))</f>
        <v>4.9100000000000005E-2</v>
      </c>
      <c r="I74" s="472">
        <f>IFERROR(IF(VLOOKUP(A74,'Updated Ncino PD'!$A:$K,8,0)=0,"",VLOOKUP(A74,'Updated Ncino PD'!$A:$K,8,0)),FLOOR(1-((1-H74)*(1-AJ74)),$R$11))</f>
        <v>7.3700000000000002E-2</v>
      </c>
      <c r="J74" s="472">
        <f>IFERROR(IF(VLOOKUP(A74,'Updated Ncino PD'!$A:$K,9,0)=0,"",VLOOKUP(A74,'Updated Ncino PD'!$A:$K,9,0)),FLOOR(1-((1-H74)*(1-AJ74)*(1-AK74)),$R$11))</f>
        <v>8.7900000000000006E-2</v>
      </c>
      <c r="K74" s="472">
        <f>IFERROR(IF(VLOOKUP(A74,'Updated Ncino PD'!$A:$K,10,0)=0,"",VLOOKUP(A74,'Updated Ncino PD'!$A:$K,10,0)),FLOOR(1-((1-H74)*(1-AJ74)*(1-AK74)*(1-AL74)),$R$11))</f>
        <v>0.11620000000000001</v>
      </c>
      <c r="L74" s="472">
        <f>IFERROR(IF(VLOOKUP(A74,'Updated Ncino PD'!$A:$K,11,0)=0,"",VLOOKUP(A74,'Updated Ncino PD'!$A:$K,11,0)),FLOOR(1-((1-H74)*(1-AJ74)*(1-AK74)*(1-AL74)*(1-AM74)),$R$11))</f>
        <v>0.1434</v>
      </c>
      <c r="M74" s="224">
        <f>VLOOKUP(A74,'Ref-Data'!$A:$F,6,FALSE)</f>
        <v>4.0054757015742641</v>
      </c>
      <c r="N74" s="191">
        <f t="shared" si="51"/>
        <v>4.9100000000000005E-2</v>
      </c>
      <c r="O74" s="191">
        <f t="shared" si="52"/>
        <v>0.1434</v>
      </c>
      <c r="P74" s="459" t="str">
        <f>VLOOKUP(A74,'Loan Book Summary'!C:G,5,FALSE)</f>
        <v>0014I000029Mo45</v>
      </c>
      <c r="Q74" s="355"/>
      <c r="R74" s="355"/>
      <c r="S74" s="203"/>
      <c r="T74" s="332">
        <f>IFERROR(VLOOKUP($P74,'Model Output-LoanNameUpdate'!$A:$K,2,FALSE),CL74)</f>
        <v>1.4099999999999998E-2</v>
      </c>
      <c r="U74" s="332">
        <f>1-(1-IFERROR(VLOOKUP($P74,'Model Output-LoanNameUpdate'!$A:$K,2,FALSE),CL74))^(1/4)</f>
        <v>3.543793240604054E-3</v>
      </c>
      <c r="V74" s="332">
        <f>IFERROR(VLOOKUP($P74,'Model Output-LoanNameUpdate'!$A:$K,3,FALSE),CM74)</f>
        <v>1.2060000000000001E-2</v>
      </c>
      <c r="W74" s="332">
        <f>IFERROR(VLOOKUP($P74,'Model Output-LoanNameUpdate'!$A:$K,4,FALSE),CN74)</f>
        <v>1.0959999999999999E-2</v>
      </c>
      <c r="X74" s="332">
        <f>IFERROR(VLOOKUP($P74,'Model Output-LoanNameUpdate'!$A:$K,5,FALSE),CO74)</f>
        <v>1.0319999999999999E-2</v>
      </c>
      <c r="Y74" s="332">
        <f>IFERROR(VLOOKUP($P74,'Model Output-LoanNameUpdate'!$A:$K,6,FALSE),CP74)</f>
        <v>9.8199999999999989E-3</v>
      </c>
      <c r="Z74" s="207">
        <f t="shared" si="53"/>
        <v>2.7477756207255806</v>
      </c>
      <c r="AA74" s="332">
        <f t="shared" si="54"/>
        <v>9.7375486714239203E-3</v>
      </c>
      <c r="AB74" s="332">
        <f t="shared" si="55"/>
        <v>3.3138173985950502E-2</v>
      </c>
      <c r="AC74" s="332">
        <f t="shared" si="56"/>
        <v>3.011562080315236E-2</v>
      </c>
      <c r="AD74" s="332">
        <f t="shared" si="57"/>
        <v>2.8357044405887991E-2</v>
      </c>
      <c r="AE74" s="332">
        <f t="shared" si="58"/>
        <v>2.69831565955252E-2</v>
      </c>
      <c r="AF74" s="332">
        <f>NORMSDIST((_xlfn.NORM.S.INV(AA74)-(SQRT(Baseline!$AF$11)*'MacroPD-Cal'!$R$2))/SQRT(1-Baseline!$AF$11))</f>
        <v>9.0176998350473547E-3</v>
      </c>
      <c r="AG74" s="332">
        <f>NORMSDIST((_xlfn.NORM.S.INV(AA74)-(SQRT(Baseline!$AF$11)*'MacroPD-Cal'!$R$3))/SQRT(1-Baseline!$AF$11))</f>
        <v>1.1577766356646002E-2</v>
      </c>
      <c r="AH74" s="332">
        <f>NORMSDIST((_xlfn.NORM.S.INV(AA74)-(SQRT(Baseline!$AF$11)*'MacroPD-Cal'!$R$4))/SQRT(1-Baseline!$AF$11))</f>
        <v>1.3000283655429384E-2</v>
      </c>
      <c r="AI74" s="332">
        <f>NORMSDIST((_xlfn.NORM.S.INV(AA74)-(SQRT(Baseline!$AF$11)*'MacroPD-Cal'!$R$5))/SQRT(1-Baseline!$AF$11))</f>
        <v>1.6458249092782127E-2</v>
      </c>
      <c r="AJ74" s="332">
        <f>NORMSDIST((_xlfn.NORM.S.INV(AB74)-(SQRT(Baseline!$AF$11)*'MacroPD-Cal'!$R$6))/SQRT(1-Baseline!$AF$11))</f>
        <v>2.5886853869478404E-2</v>
      </c>
      <c r="AK74" s="332">
        <f>NORMSDIST((_xlfn.NORM.S.INV(AC74)-(SQRT(Baseline!$AF$11)*'MacroPD-Cal'!$R$7))/SQRT(1-Baseline!$AF$11))</f>
        <v>1.5386009662722109E-2</v>
      </c>
      <c r="AL74" s="332">
        <f>NORMSDIST((_xlfn.NORM.S.INV(AD74)-(SQRT(Baseline!$AF$11)*'MacroPD-Cal'!$R$8))/SQRT(1-Baseline!$AF$11))</f>
        <v>3.0982369001967752E-2</v>
      </c>
      <c r="AM74" s="332">
        <f>NORMSDIST((_xlfn.NORM.S.INV(AE74)-(SQRT(Baseline!$AF$11)*'MacroPD-Cal'!$R$9))/SQRT(1-Baseline!$AF$11))</f>
        <v>3.0861910020747847E-2</v>
      </c>
      <c r="CR74" s="345">
        <f t="shared" si="47"/>
        <v>0.18365987444088297</v>
      </c>
      <c r="CS74" s="345">
        <f t="shared" si="48"/>
        <v>0.41733322545679691</v>
      </c>
      <c r="CT74" s="345">
        <f t="shared" si="49"/>
        <v>0.67667933635739808</v>
      </c>
      <c r="CU74" s="345">
        <f t="shared" si="50"/>
        <v>1</v>
      </c>
    </row>
    <row r="75" spans="1:99" x14ac:dyDescent="0.25">
      <c r="A75" s="464">
        <v>1100000224</v>
      </c>
      <c r="B75" s="470">
        <f>VLOOKUP(A75,'Ref-Data'!A:I,9,FALSE)</f>
        <v>1</v>
      </c>
      <c r="C75" s="445">
        <f>IF(B75="Matured","",VLOOKUP(A75,'Adjustment Factor'!A:C,3,0))</f>
        <v>0.61490281232571897</v>
      </c>
      <c r="D75" s="190">
        <f>VLOOKUP(A75,'Ref-Data'!A:C,2,FALSE)</f>
        <v>32000000</v>
      </c>
      <c r="E75" s="471">
        <f>IFERROR(IF(VLOOKUP(A75,'Updated Ncino PD'!$A:$K,4,0)=0,"",VLOOKUP(A75,'Updated Ncino PD'!$A:$K,4,0)),AF75)</f>
        <v>4.6295262838880782E-4</v>
      </c>
      <c r="F75" s="472">
        <f>IFERROR(IF(VLOOKUP(A75,'Updated Ncino PD'!$A:$K,5,0)=0,"",VLOOKUP(A75,'Updated Ncino PD'!$A:$K,5,0)),1-((1-AG75)*(1-E75)))</f>
        <v>1.1078858782956891E-3</v>
      </c>
      <c r="G75" s="472">
        <f>IFERROR(IF(VLOOKUP(A75,'Updated Ncino PD'!$A:$K,6,0)=0,"",VLOOKUP(A75,'Updated Ncino PD'!$A:$K,6,0)),1-((1-AF75)*(1-AG75)*(1-AH75)))</f>
        <v>1.8602802571872079E-3</v>
      </c>
      <c r="H75" s="472">
        <f>IFERROR(IF(VLOOKUP(A75,'Updated Ncino PD'!$A:$K,7,0)=0,"",VLOOKUP(A75,'Updated Ncino PD'!$A:$K,7,0)),IFERROR(VLOOKUP(A75,'Updated Ncino PD'!A:B,2,FALSE),FLOOR(1-((1-AG75)*(1-AH75)*(1-AI75)*(1-AF75)),$R$11)))</f>
        <v>2.8E-3</v>
      </c>
      <c r="I75" s="472">
        <f>IFERROR(IF(VLOOKUP(A75,'Updated Ncino PD'!$A:$K,8,0)=0,"",VLOOKUP(A75,'Updated Ncino PD'!$A:$K,8,0)),FLOOR(1-((1-H75)*(1-AJ75)),$R$11))</f>
        <v>4.3E-3</v>
      </c>
      <c r="J75" s="472">
        <f>IFERROR(IF(VLOOKUP(A75,'Updated Ncino PD'!$A:$K,9,0)=0,"",VLOOKUP(A75,'Updated Ncino PD'!$A:$K,9,0)),FLOOR(1-((1-H75)*(1-AJ75)*(1-AK75)),$R$11))</f>
        <v>5.1000000000000004E-3</v>
      </c>
      <c r="K75" s="472">
        <f>IFERROR(IF(VLOOKUP(A75,'Updated Ncino PD'!$A:$K,10,0)=0,"",VLOOKUP(A75,'Updated Ncino PD'!$A:$K,10,0)),FLOOR(1-((1-H75)*(1-AJ75)*(1-AK75)*(1-AL75)),$R$11))</f>
        <v>7.7000000000000002E-3</v>
      </c>
      <c r="L75" s="472">
        <f>IFERROR(IF(VLOOKUP(A75,'Updated Ncino PD'!$A:$K,11,0)=0,"",VLOOKUP(A75,'Updated Ncino PD'!$A:$K,11,0)),FLOOR(1-((1-H75)*(1-AJ75)*(1-AK75)*(1-AL75)*(1-AM75)),$R$11))</f>
        <v>1.0500000000000001E-2</v>
      </c>
      <c r="M75" s="224">
        <f>VLOOKUP(A75,'Ref-Data'!$A:$F,6,FALSE)</f>
        <v>4.4243668720054758</v>
      </c>
      <c r="N75" s="191">
        <f t="shared" si="51"/>
        <v>2.8E-3</v>
      </c>
      <c r="O75" s="191">
        <f t="shared" si="52"/>
        <v>1.0500000000000001E-2</v>
      </c>
      <c r="P75" s="459" t="str">
        <f>VLOOKUP(A75,'Loan Book Summary'!C:G,5,FALSE)</f>
        <v>0014I00002AOsY6</v>
      </c>
      <c r="Q75" s="355"/>
      <c r="R75" s="355"/>
      <c r="S75" s="203"/>
      <c r="T75" s="332">
        <f>IFERROR(VLOOKUP($P75,'Model Output-LoanNameUpdate'!$A:$K,2,FALSE),CL75)</f>
        <v>4.555E-3</v>
      </c>
      <c r="U75" s="332">
        <f>1-(1-IFERROR(VLOOKUP($P75,'Model Output-LoanNameUpdate'!$A:$K,2,FALSE),CL75))^(1/4)</f>
        <v>1.1407003119497938E-3</v>
      </c>
      <c r="V75" s="332">
        <f>IFERROR(VLOOKUP($P75,'Model Output-LoanNameUpdate'!$A:$K,3,FALSE),CM75)</f>
        <v>4.7099999999999998E-3</v>
      </c>
      <c r="W75" s="332">
        <f>IFERROR(VLOOKUP($P75,'Model Output-LoanNameUpdate'!$A:$K,4,FALSE),CN75)</f>
        <v>4.7999999999999996E-3</v>
      </c>
      <c r="X75" s="332">
        <f>IFERROR(VLOOKUP($P75,'Model Output-LoanNameUpdate'!$A:$K,5,FALSE),CO75)</f>
        <v>4.9049999999999996E-3</v>
      </c>
      <c r="Y75" s="332">
        <f>IFERROR(VLOOKUP($P75,'Model Output-LoanNameUpdate'!$A:$K,6,FALSE),CP75)</f>
        <v>4.9749999999999994E-3</v>
      </c>
      <c r="Z75" s="207">
        <f t="shared" si="53"/>
        <v>0.61490281232571897</v>
      </c>
      <c r="AA75" s="332">
        <f t="shared" si="54"/>
        <v>7.0141982983875316E-4</v>
      </c>
      <c r="AB75" s="332">
        <f t="shared" si="55"/>
        <v>2.8961922460541364E-3</v>
      </c>
      <c r="AC75" s="332">
        <f t="shared" si="56"/>
        <v>2.9515334991634507E-3</v>
      </c>
      <c r="AD75" s="332">
        <f t="shared" si="57"/>
        <v>3.0160982944576514E-3</v>
      </c>
      <c r="AE75" s="332">
        <f t="shared" si="58"/>
        <v>3.0591414913204514E-3</v>
      </c>
      <c r="AF75" s="332">
        <f>NORMSDIST((_xlfn.NORM.S.INV(AA75)-(SQRT(Baseline!$AF$11)*'MacroPD-Cal'!$R$2))/SQRT(1-Baseline!$AF$11))</f>
        <v>4.6295262838880782E-4</v>
      </c>
      <c r="AG75" s="332">
        <f>NORMSDIST((_xlfn.NORM.S.INV(AA75)-(SQRT(Baseline!$AF$11)*'MacroPD-Cal'!$R$3))/SQRT(1-Baseline!$AF$11))</f>
        <v>6.4523196173944656E-4</v>
      </c>
      <c r="AH75" s="332">
        <f>NORMSDIST((_xlfn.NORM.S.INV(AA75)-(SQRT(Baseline!$AF$11)*'MacroPD-Cal'!$R$4))/SQRT(1-Baseline!$AF$11))</f>
        <v>7.5322887052031392E-4</v>
      </c>
      <c r="AI75" s="332">
        <f>NORMSDIST((_xlfn.NORM.S.INV(AA75)-(SQRT(Baseline!$AF$11)*'MacroPD-Cal'!$R$5))/SQRT(1-Baseline!$AF$11))</f>
        <v>1.0338440598625753E-3</v>
      </c>
      <c r="AJ75" s="332">
        <f>NORMSDIST((_xlfn.NORM.S.INV(AB75)-(SQRT(Baseline!$AF$11)*'MacroPD-Cal'!$R$6))/SQRT(1-Baseline!$AF$11))</f>
        <v>1.5182098114249073E-3</v>
      </c>
      <c r="AK75" s="332">
        <f>NORMSDIST((_xlfn.NORM.S.INV(AC75)-(SQRT(Baseline!$AF$11)*'MacroPD-Cal'!$R$7))/SQRT(1-Baseline!$AF$11))</f>
        <v>8.8841279735923115E-4</v>
      </c>
      <c r="AL75" s="332">
        <f>NORMSDIST((_xlfn.NORM.S.INV(AD75)-(SQRT(Baseline!$AF$11)*'MacroPD-Cal'!$R$8))/SQRT(1-Baseline!$AF$11))</f>
        <v>2.5970324966536774E-3</v>
      </c>
      <c r="AM75" s="332">
        <f>NORMSDIST((_xlfn.NORM.S.INV(AE75)-(SQRT(Baseline!$AF$11)*'MacroPD-Cal'!$R$9))/SQRT(1-Baseline!$AF$11))</f>
        <v>2.8245576671802912E-3</v>
      </c>
      <c r="CR75" s="345">
        <f t="shared" si="47"/>
        <v>0.16534022442457422</v>
      </c>
      <c r="CS75" s="345">
        <f t="shared" si="48"/>
        <v>0.39567352796274613</v>
      </c>
      <c r="CT75" s="345">
        <f t="shared" si="49"/>
        <v>0.66438580613828857</v>
      </c>
      <c r="CU75" s="345">
        <f t="shared" si="50"/>
        <v>1</v>
      </c>
    </row>
    <row r="76" spans="1:99" x14ac:dyDescent="0.25">
      <c r="A76" s="464">
        <v>1100000226</v>
      </c>
      <c r="B76" s="470">
        <f>VLOOKUP(A76,'Ref-Data'!A:I,9,FALSE)</f>
        <v>1</v>
      </c>
      <c r="C76" s="445">
        <f>IF(B76="Matured","",VLOOKUP(A76,'Adjustment Factor'!A:C,3,0))</f>
        <v>1.03</v>
      </c>
      <c r="D76" s="190">
        <f>VLOOKUP(A76,'Ref-Data'!A:C,2,FALSE)</f>
        <v>41800000</v>
      </c>
      <c r="E76" s="471">
        <f>IFERROR(IF(VLOOKUP(A76,'Updated Ncino PD'!$A:$K,4,0)=0,"",VLOOKUP(A76,'Updated Ncino PD'!$A:$K,4,0)),AF76)</f>
        <v>4.1461660858590921E-3</v>
      </c>
      <c r="F76" s="472">
        <f>IFERROR(IF(VLOOKUP(A76,'Updated Ncino PD'!$A:$K,5,0)=0,"",VLOOKUP(A76,'Updated Ncino PD'!$A:$K,5,0)),1-((1-AG76)*(1-E76)))</f>
        <v>9.5734301230536722E-3</v>
      </c>
      <c r="G76" s="472">
        <f>IFERROR(IF(VLOOKUP(A76,'Updated Ncino PD'!$A:$K,6,0)=0,"",VLOOKUP(A76,'Updated Ncino PD'!$A:$K,6,0)),1-((1-AF76)*(1-AG76)*(1-AH76)))</f>
        <v>1.5702118542660126E-2</v>
      </c>
      <c r="H76" s="472">
        <f>IFERROR(IF(VLOOKUP(A76,'Updated Ncino PD'!$A:$K,7,0)=0,"",VLOOKUP(A76,'Updated Ncino PD'!$A:$K,7,0)),IFERROR(VLOOKUP(A76,'Updated Ncino PD'!A:B,2,FALSE),FLOOR(1-((1-AG76)*(1-AH76)*(1-AI76)*(1-AF76)),$R$11)))</f>
        <v>2.35E-2</v>
      </c>
      <c r="I76" s="472">
        <f>IFERROR(IF(VLOOKUP(A76,'Updated Ncino PD'!$A:$K,8,0)=0,"",VLOOKUP(A76,'Updated Ncino PD'!$A:$K,8,0)),FLOOR(1-((1-H76)*(1-AJ76)),$R$11))</f>
        <v>3.4200000000000001E-2</v>
      </c>
      <c r="J76" s="472">
        <f>IFERROR(IF(VLOOKUP(A76,'Updated Ncino PD'!$A:$K,9,0)=0,"",VLOOKUP(A76,'Updated Ncino PD'!$A:$K,9,0)),FLOOR(1-((1-H76)*(1-AJ76)*(1-AK76)),$R$11))</f>
        <v>0.04</v>
      </c>
      <c r="K76" s="472">
        <f>IFERROR(IF(VLOOKUP(A76,'Updated Ncino PD'!$A:$K,10,0)=0,"",VLOOKUP(A76,'Updated Ncino PD'!$A:$K,10,0)),FLOOR(1-((1-H76)*(1-AJ76)*(1-AK76)*(1-AL76)),$R$11))</f>
        <v>5.2600000000000001E-2</v>
      </c>
      <c r="L76" s="472">
        <f>IFERROR(IF(VLOOKUP(A76,'Updated Ncino PD'!$A:$K,11,0)=0,"",VLOOKUP(A76,'Updated Ncino PD'!$A:$K,11,0)),FLOOR(1-((1-H76)*(1-AJ76)*(1-AK76)*(1-AL76)*(1-AM76)),$R$11))</f>
        <v>6.4799999999999996E-2</v>
      </c>
      <c r="M76" s="224">
        <f>VLOOKUP(A76,'Ref-Data'!$A:$F,6,FALSE)</f>
        <v>0.61054072553045857</v>
      </c>
      <c r="N76" s="191">
        <f t="shared" si="51"/>
        <v>1.4414089072972813E-2</v>
      </c>
      <c r="O76" s="191">
        <f t="shared" si="52"/>
        <v>2.35E-2</v>
      </c>
      <c r="P76" s="459" t="str">
        <f>VLOOKUP(A76,'Loan Book Summary'!C:G,5,FALSE)</f>
        <v>0014I000029MDAV</v>
      </c>
      <c r="Q76" s="355"/>
      <c r="R76" s="355"/>
      <c r="S76" s="203"/>
      <c r="T76" s="332">
        <f>IFERROR(VLOOKUP($P76,'Model Output-LoanNameUpdate'!$A:$K,2,FALSE),CL76)</f>
        <v>1.8755000000000001E-2</v>
      </c>
      <c r="U76" s="332">
        <f>1-(1-IFERROR(VLOOKUP($P76,'Model Output-LoanNameUpdate'!$A:$K,2,FALSE),CL76))^(1/4)</f>
        <v>4.7220920605105521E-3</v>
      </c>
      <c r="V76" s="332">
        <f>IFERROR(VLOOKUP($P76,'Model Output-LoanNameUpdate'!$A:$K,3,FALSE),CM76)</f>
        <v>1.5350000000000001E-2</v>
      </c>
      <c r="W76" s="332">
        <f>IFERROR(VLOOKUP($P76,'Model Output-LoanNameUpdate'!$A:$K,4,FALSE),CN76)</f>
        <v>1.3614999999999997E-2</v>
      </c>
      <c r="X76" s="332">
        <f>IFERROR(VLOOKUP($P76,'Model Output-LoanNameUpdate'!$A:$K,5,FALSE),CO76)</f>
        <v>1.2529999999999999E-2</v>
      </c>
      <c r="Y76" s="332">
        <f>IFERROR(VLOOKUP($P76,'Model Output-LoanNameUpdate'!$A:$K,6,FALSE),CP76)</f>
        <v>1.1729999999999997E-2</v>
      </c>
      <c r="Z76" s="207">
        <f t="shared" si="53"/>
        <v>1.03</v>
      </c>
      <c r="AA76" s="332">
        <f t="shared" si="54"/>
        <v>4.8637548223258685E-3</v>
      </c>
      <c r="AB76" s="332">
        <f t="shared" si="55"/>
        <v>1.5810500000000002E-2</v>
      </c>
      <c r="AC76" s="332">
        <f t="shared" si="56"/>
        <v>1.4023449999999996E-2</v>
      </c>
      <c r="AD76" s="332">
        <f t="shared" si="57"/>
        <v>1.29059E-2</v>
      </c>
      <c r="AE76" s="332">
        <f t="shared" si="58"/>
        <v>1.2081899999999998E-2</v>
      </c>
      <c r="AF76" s="332">
        <f>NORMSDIST((_xlfn.NORM.S.INV(AA76)-(SQRT(Baseline!$AF$11)*'MacroPD-Cal'!$R$2))/SQRT(1-Baseline!$AF$11))</f>
        <v>4.1461660858590921E-3</v>
      </c>
      <c r="AG76" s="332">
        <f>NORMSDIST((_xlfn.NORM.S.INV(AA76)-(SQRT(Baseline!$AF$11)*'MacroPD-Cal'!$R$3))/SQRT(1-Baseline!$AF$11))</f>
        <v>5.449860062157E-3</v>
      </c>
      <c r="AH76" s="332">
        <f>NORMSDIST((_xlfn.NORM.S.INV(AA76)-(SQRT(Baseline!$AF$11)*'MacroPD-Cal'!$R$4))/SQRT(1-Baseline!$AF$11))</f>
        <v>6.1879281170414326E-3</v>
      </c>
      <c r="AI76" s="332">
        <f>NORMSDIST((_xlfn.NORM.S.INV(AA76)-(SQRT(Baseline!$AF$11)*'MacroPD-Cal'!$R$5))/SQRT(1-Baseline!$AF$11))</f>
        <v>8.0170360752188953E-3</v>
      </c>
      <c r="AJ76" s="332">
        <f>NORMSDIST((_xlfn.NORM.S.INV(AB76)-(SQRT(Baseline!$AF$11)*'MacroPD-Cal'!$R$6))/SQRT(1-Baseline!$AF$11))</f>
        <v>1.1003688825625078E-2</v>
      </c>
      <c r="AK76" s="332">
        <f>NORMSDIST((_xlfn.NORM.S.INV(AC76)-(SQRT(Baseline!$AF$11)*'MacroPD-Cal'!$R$7))/SQRT(1-Baseline!$AF$11))</f>
        <v>6.0252065778227792E-3</v>
      </c>
      <c r="AL76" s="332">
        <f>NORMSDIST((_xlfn.NORM.S.INV(AD76)-(SQRT(Baseline!$AF$11)*'MacroPD-Cal'!$R$8))/SQRT(1-Baseline!$AF$11))</f>
        <v>1.3080270587721307E-2</v>
      </c>
      <c r="AM76" s="332">
        <f>NORMSDIST((_xlfn.NORM.S.INV(AE76)-(SQRT(Baseline!$AF$11)*'MacroPD-Cal'!$R$9))/SQRT(1-Baseline!$AF$11))</f>
        <v>1.2879163505186149E-2</v>
      </c>
      <c r="CR76" s="345">
        <f t="shared" si="47"/>
        <v>0.17643259939825923</v>
      </c>
      <c r="CS76" s="345">
        <f t="shared" si="48"/>
        <v>0.4073800052363265</v>
      </c>
      <c r="CT76" s="345">
        <f t="shared" si="49"/>
        <v>0.66817525713447345</v>
      </c>
      <c r="CU76" s="345">
        <f t="shared" si="50"/>
        <v>1</v>
      </c>
    </row>
    <row r="77" spans="1:99" x14ac:dyDescent="0.25">
      <c r="A77" s="464">
        <v>1300000001</v>
      </c>
      <c r="B77" s="470">
        <f>VLOOKUP(A77,'Ref-Data'!A:I,9,FALSE)</f>
        <v>1</v>
      </c>
      <c r="C77" s="445">
        <f>IF(B77="Matured","",VLOOKUP(A77,'Adjustment Factor'!A:C,3,0))</f>
        <v>0.85</v>
      </c>
      <c r="D77" s="190">
        <f>VLOOKUP(A77,'Ref-Data'!A:C,2,FALSE)</f>
        <v>4500000</v>
      </c>
      <c r="E77" s="471">
        <f>IFERROR(IF(VLOOKUP(A77,'Updated Ncino PD'!$A:$K,4,0)=0,"",VLOOKUP(A77,'Updated Ncino PD'!$A:$K,4,0)),AF77)</f>
        <v>2.5522499619300774E-2</v>
      </c>
      <c r="F77" s="472">
        <f>IFERROR(IF(VLOOKUP(A77,'Updated Ncino PD'!$A:$K,5,0)=0,"",VLOOKUP(A77,'Updated Ncino PD'!$A:$K,5,0)),1-((1-AG77)*(1-E77)))</f>
        <v>5.6365334901311459E-2</v>
      </c>
      <c r="G77" s="472">
        <f>IFERROR(IF(VLOOKUP(A77,'Updated Ncino PD'!$A:$K,6,0)=0,"",VLOOKUP(A77,'Updated Ncino PD'!$A:$K,6,0)),1-((1-AF77)*(1-AG77)*(1-AH77)))</f>
        <v>8.9355863861766638E-2</v>
      </c>
      <c r="H77" s="472">
        <f>IFERROR(IF(VLOOKUP(A77,'Updated Ncino PD'!$A:$K,7,0)=0,"",VLOOKUP(A77,'Updated Ncino PD'!$A:$K,7,0)),IFERROR(VLOOKUP(A77,'Updated Ncino PD'!A:B,2,FALSE),FLOOR(1-((1-AG77)*(1-AH77)*(1-AI77)*(1-AF77)),$R$11)))</f>
        <v>0.1283</v>
      </c>
      <c r="I77" s="472">
        <f>IFERROR(IF(VLOOKUP(A77,'Updated Ncino PD'!$A:$K,8,0)=0,"",VLOOKUP(A77,'Updated Ncino PD'!$A:$K,8,0)),FLOOR(1-((1-H77)*(1-AJ77)),$R$11))</f>
        <v>0.1852</v>
      </c>
      <c r="J77" s="472">
        <f>IFERROR(IF(VLOOKUP(A77,'Updated Ncino PD'!$A:$K,9,0)=0,"",VLOOKUP(A77,'Updated Ncino PD'!$A:$K,9,0)),FLOOR(1-((1-H77)*(1-AJ77)*(1-AK77)),$R$11))</f>
        <v>0.21690000000000001</v>
      </c>
      <c r="K77" s="472">
        <f>IFERROR(IF(VLOOKUP(A77,'Updated Ncino PD'!$A:$K,10,0)=0,"",VLOOKUP(A77,'Updated Ncino PD'!$A:$K,10,0)),FLOOR(1-((1-H77)*(1-AJ77)*(1-AK77)*(1-AL77)),$R$11))</f>
        <v>0.26940000000000003</v>
      </c>
      <c r="L77" s="472">
        <f>IFERROR(IF(VLOOKUP(A77,'Updated Ncino PD'!$A:$K,11,0)=0,"",VLOOKUP(A77,'Updated Ncino PD'!$A:$K,11,0)),FLOOR(1-((1-H77)*(1-AJ77)*(1-AK77)*(1-AL77)*(1-AM77)),$R$11))</f>
        <v>0.31620000000000004</v>
      </c>
      <c r="M77" s="224">
        <f>VLOOKUP(A77,'Ref-Data'!$A:$F,6,FALSE)</f>
        <v>0.11225188227241616</v>
      </c>
      <c r="N77" s="191">
        <f t="shared" si="51"/>
        <v>1.5295123479906136E-2</v>
      </c>
      <c r="O77" s="191">
        <f t="shared" si="52"/>
        <v>0.1283</v>
      </c>
      <c r="P77" s="459" t="str">
        <f>VLOOKUP(A77,'Loan Book Summary'!C:G,5,FALSE)</f>
        <v>0015800001b11sC</v>
      </c>
      <c r="Q77" s="355"/>
      <c r="R77" s="355"/>
      <c r="S77" s="203"/>
      <c r="T77" s="332">
        <f>IFERROR(VLOOKUP($P77,'Model Output-LoanNameUpdate'!$A:$K,2,FALSE),CL77)</f>
        <v>0.11214499999999999</v>
      </c>
      <c r="U77" s="332">
        <f>1-(1-IFERROR(VLOOKUP($P77,'Model Output-LoanNameUpdate'!$A:$K,2,FALSE),CL77))^(1/4)</f>
        <v>2.9298923627888218E-2</v>
      </c>
      <c r="V77" s="332">
        <f>IFERROR(VLOOKUP($P77,'Model Output-LoanNameUpdate'!$A:$K,3,FALSE),CM77)</f>
        <v>8.7529999999999997E-2</v>
      </c>
      <c r="W77" s="332">
        <f>IFERROR(VLOOKUP($P77,'Model Output-LoanNameUpdate'!$A:$K,4,FALSE),CN77)</f>
        <v>7.5595000000000009E-2</v>
      </c>
      <c r="X77" s="332">
        <f>IFERROR(VLOOKUP($P77,'Model Output-LoanNameUpdate'!$A:$K,5,FALSE),CO77)</f>
        <v>6.8144999999999997E-2</v>
      </c>
      <c r="Y77" s="332">
        <f>IFERROR(VLOOKUP($P77,'Model Output-LoanNameUpdate'!$A:$K,6,FALSE),CP77)</f>
        <v>6.2839999999999993E-2</v>
      </c>
      <c r="Z77" s="207">
        <f t="shared" si="53"/>
        <v>0.85</v>
      </c>
      <c r="AA77" s="332">
        <f t="shared" si="54"/>
        <v>2.4904085083704983E-2</v>
      </c>
      <c r="AB77" s="332">
        <f t="shared" si="55"/>
        <v>7.4400499999999994E-2</v>
      </c>
      <c r="AC77" s="332">
        <f t="shared" si="56"/>
        <v>6.425575E-2</v>
      </c>
      <c r="AD77" s="332">
        <f t="shared" si="57"/>
        <v>5.7923249999999996E-2</v>
      </c>
      <c r="AE77" s="332">
        <f t="shared" si="58"/>
        <v>5.3413999999999989E-2</v>
      </c>
      <c r="AF77" s="332">
        <f>NORMSDIST((_xlfn.NORM.S.INV(AA77)-(SQRT(Baseline!$AF$11)*'MacroPD-Cal'!$R$2))/SQRT(1-Baseline!$AF$11))</f>
        <v>2.5522499619300774E-2</v>
      </c>
      <c r="AG77" s="332">
        <f>NORMSDIST((_xlfn.NORM.S.INV(AA77)-(SQRT(Baseline!$AF$11)*'MacroPD-Cal'!$R$3))/SQRT(1-Baseline!$AF$11))</f>
        <v>3.1650638696082069E-2</v>
      </c>
      <c r="AH77" s="332">
        <f>NORMSDIST((_xlfn.NORM.S.INV(AA77)-(SQRT(Baseline!$AF$11)*'MacroPD-Cal'!$R$4))/SQRT(1-Baseline!$AF$11))</f>
        <v>3.4961124448522563E-2</v>
      </c>
      <c r="AI77" s="332">
        <f>NORMSDIST((_xlfn.NORM.S.INV(AA77)-(SQRT(Baseline!$AF$11)*'MacroPD-Cal'!$R$5))/SQRT(1-Baseline!$AF$11))</f>
        <v>4.2778876163829527E-2</v>
      </c>
      <c r="AJ77" s="332">
        <f>NORMSDIST((_xlfn.NORM.S.INV(AB77)-(SQRT(Baseline!$AF$11)*'MacroPD-Cal'!$R$6))/SQRT(1-Baseline!$AF$11))</f>
        <v>6.5360079984286668E-2</v>
      </c>
      <c r="AK77" s="332">
        <f>NORMSDIST((_xlfn.NORM.S.INV(AC77)-(SQRT(Baseline!$AF$11)*'MacroPD-Cal'!$R$7))/SQRT(1-Baseline!$AF$11))</f>
        <v>3.8912334091353314E-2</v>
      </c>
      <c r="AL77" s="332">
        <f>NORMSDIST((_xlfn.NORM.S.INV(AD77)-(SQRT(Baseline!$AF$11)*'MacroPD-Cal'!$R$8))/SQRT(1-Baseline!$AF$11))</f>
        <v>6.6969793174944711E-2</v>
      </c>
      <c r="AM77" s="332">
        <f>NORMSDIST((_xlfn.NORM.S.INV(AE77)-(SQRT(Baseline!$AF$11)*'MacroPD-Cal'!$R$9))/SQRT(1-Baseline!$AF$11))</f>
        <v>6.4132776042127151E-2</v>
      </c>
      <c r="CR77" s="345">
        <f t="shared" si="47"/>
        <v>0.19892829009587509</v>
      </c>
      <c r="CS77" s="345">
        <f t="shared" si="48"/>
        <v>0.43932451209128182</v>
      </c>
      <c r="CT77" s="345">
        <f t="shared" si="49"/>
        <v>0.69646035745726143</v>
      </c>
      <c r="CU77" s="345">
        <f t="shared" si="50"/>
        <v>1</v>
      </c>
    </row>
    <row r="78" spans="1:99" x14ac:dyDescent="0.25">
      <c r="A78" s="464">
        <v>1100000234</v>
      </c>
      <c r="B78" s="470">
        <f>VLOOKUP(A78,'Ref-Data'!A:I,9,FALSE)</f>
        <v>1</v>
      </c>
      <c r="C78" s="445">
        <f>IF(B78="Matured","",VLOOKUP(A78,'Adjustment Factor'!A:C,3,0))</f>
        <v>0.84</v>
      </c>
      <c r="D78" s="190">
        <f>VLOOKUP(A78,'Ref-Data'!A:C,2,FALSE)</f>
        <v>4500000</v>
      </c>
      <c r="E78" s="471">
        <f>IFERROR(IF(VLOOKUP(A78,'Updated Ncino PD'!$A:$K,4,0)=0,"",VLOOKUP(A78,'Updated Ncino PD'!$A:$K,4,0)),AF78)</f>
        <v>7.5443478799107203E-4</v>
      </c>
      <c r="F78" s="472">
        <f>IFERROR(IF(VLOOKUP(A78,'Updated Ncino PD'!$A:$K,5,0)=0,"",VLOOKUP(A78,'Updated Ncino PD'!$A:$K,5,0)),1-((1-AG78)*(1-E78)))</f>
        <v>1.7923424326365955E-3</v>
      </c>
      <c r="G78" s="472">
        <f>IFERROR(IF(VLOOKUP(A78,'Updated Ncino PD'!$A:$K,6,0)=0,"",VLOOKUP(A78,'Updated Ncino PD'!$A:$K,6,0)),1-((1-AF78)*(1-AG78)*(1-AH78)))</f>
        <v>2.9957145545816966E-3</v>
      </c>
      <c r="H78" s="472">
        <f>IFERROR(IF(VLOOKUP(A78,'Updated Ncino PD'!$A:$K,7,0)=0,"",VLOOKUP(A78,'Updated Ncino PD'!$A:$K,7,0)),IFERROR(VLOOKUP(A78,'Updated Ncino PD'!A:B,2,FALSE),FLOOR(1-((1-AG78)*(1-AH78)*(1-AI78)*(1-AF78)),$R$11)))</f>
        <v>4.5999999999999999E-3</v>
      </c>
      <c r="I78" s="472">
        <f>IFERROR(IF(VLOOKUP(A78,'Updated Ncino PD'!$A:$K,8,0)=0,"",VLOOKUP(A78,'Updated Ncino PD'!$A:$K,8,0)),FLOOR(1-((1-H78)*(1-AJ78)),$R$11))</f>
        <v>7.2000000000000007E-3</v>
      </c>
      <c r="J78" s="472">
        <f>IFERROR(IF(VLOOKUP(A78,'Updated Ncino PD'!$A:$K,9,0)=0,"",VLOOKUP(A78,'Updated Ncino PD'!$A:$K,9,0)),FLOOR(1-((1-H78)*(1-AJ78)*(1-AK78)),$R$11))</f>
        <v>8.8999999999999999E-3</v>
      </c>
      <c r="K78" s="472">
        <f>IFERROR(IF(VLOOKUP(A78,'Updated Ncino PD'!$A:$K,10,0)=0,"",VLOOKUP(A78,'Updated Ncino PD'!$A:$K,10,0)),FLOOR(1-((1-H78)*(1-AJ78)*(1-AK78)*(1-AL78)),$R$11))</f>
        <v>1.37E-2</v>
      </c>
      <c r="L78" s="472">
        <f>IFERROR(IF(VLOOKUP(A78,'Updated Ncino PD'!$A:$K,11,0)=0,"",VLOOKUP(A78,'Updated Ncino PD'!$A:$K,11,0)),FLOOR(1-((1-H78)*(1-AJ78)*(1-AK78)*(1-AL78)*(1-AM78)),$R$11))</f>
        <v>1.9E-2</v>
      </c>
      <c r="M78" s="224">
        <f>VLOOKUP(A78,'Ref-Data'!$A:$F,6,FALSE)</f>
        <v>4.2546201232032859</v>
      </c>
      <c r="N78" s="191">
        <f t="shared" si="51"/>
        <v>4.5999999999999999E-3</v>
      </c>
      <c r="O78" s="191">
        <f t="shared" si="52"/>
        <v>1.9E-2</v>
      </c>
      <c r="P78" s="459" t="str">
        <f>VLOOKUP(A78,'Loan Book Summary'!C:G,5,FALSE)</f>
        <v>0014I00002789GY</v>
      </c>
      <c r="Q78" s="355"/>
      <c r="R78" s="355"/>
      <c r="S78" s="203"/>
      <c r="T78" s="332">
        <f>IFERROR(VLOOKUP($P78,'Model Output-LoanNameUpdate'!$A:$K,2,FALSE),CL78)</f>
        <v>5.1199999999999996E-3</v>
      </c>
      <c r="U78" s="332">
        <f>1-(1-IFERROR(VLOOKUP($P78,'Model Output-LoanNameUpdate'!$A:$K,2,FALSE),CL78))^(1/4)</f>
        <v>1.2824649659685106E-3</v>
      </c>
      <c r="V78" s="332">
        <f>IFERROR(VLOOKUP($P78,'Model Output-LoanNameUpdate'!$A:$K,3,FALSE),CM78)</f>
        <v>5.62E-3</v>
      </c>
      <c r="W78" s="332">
        <f>IFERROR(VLOOKUP($P78,'Model Output-LoanNameUpdate'!$A:$K,4,FALSE),CN78)</f>
        <v>6.0199999999999993E-3</v>
      </c>
      <c r="X78" s="332">
        <f>IFERROR(VLOOKUP($P78,'Model Output-LoanNameUpdate'!$A:$K,5,FALSE),CO78)</f>
        <v>6.2599999999999999E-3</v>
      </c>
      <c r="Y78" s="332">
        <f>IFERROR(VLOOKUP($P78,'Model Output-LoanNameUpdate'!$A:$K,6,FALSE),CP78)</f>
        <v>6.4600000000000005E-3</v>
      </c>
      <c r="Z78" s="207">
        <f t="shared" si="53"/>
        <v>0.84</v>
      </c>
      <c r="AA78" s="332">
        <f t="shared" si="54"/>
        <v>1.0772705714135488E-3</v>
      </c>
      <c r="AB78" s="332">
        <f t="shared" si="55"/>
        <v>4.7207999999999998E-3</v>
      </c>
      <c r="AC78" s="332">
        <f t="shared" si="56"/>
        <v>5.0567999999999993E-3</v>
      </c>
      <c r="AD78" s="332">
        <f t="shared" si="57"/>
        <v>5.2583999999999999E-3</v>
      </c>
      <c r="AE78" s="332">
        <f t="shared" si="58"/>
        <v>5.4264000000000005E-3</v>
      </c>
      <c r="AF78" s="332">
        <f>NORMSDIST((_xlfn.NORM.S.INV(AA78)-(SQRT(Baseline!$AF$11)*'MacroPD-Cal'!$R$2))/SQRT(1-Baseline!$AF$11))</f>
        <v>7.5443478799107203E-4</v>
      </c>
      <c r="AG78" s="332">
        <f>NORMSDIST((_xlfn.NORM.S.INV(AA78)-(SQRT(Baseline!$AF$11)*'MacroPD-Cal'!$R$3))/SQRT(1-Baseline!$AF$11))</f>
        <v>1.03869126947315E-3</v>
      </c>
      <c r="AH78" s="332">
        <f>NORMSDIST((_xlfn.NORM.S.INV(AA78)-(SQRT(Baseline!$AF$11)*'MacroPD-Cal'!$R$4))/SQRT(1-Baseline!$AF$11))</f>
        <v>1.2055328496253924E-3</v>
      </c>
      <c r="AI78" s="332">
        <f>NORMSDIST((_xlfn.NORM.S.INV(AA78)-(SQRT(Baseline!$AF$11)*'MacroPD-Cal'!$R$5))/SQRT(1-Baseline!$AF$11))</f>
        <v>1.6348119250689608E-3</v>
      </c>
      <c r="AJ78" s="332">
        <f>NORMSDIST((_xlfn.NORM.S.INV(AB78)-(SQRT(Baseline!$AF$11)*'MacroPD-Cal'!$R$6))/SQRT(1-Baseline!$AF$11))</f>
        <v>2.6906098633228122E-3</v>
      </c>
      <c r="AK78" s="332">
        <f>NORMSDIST((_xlfn.NORM.S.INV(AC78)-(SQRT(Baseline!$AF$11)*'MacroPD-Cal'!$R$7))/SQRT(1-Baseline!$AF$11))</f>
        <v>1.7217038168699337E-3</v>
      </c>
      <c r="AL78" s="332">
        <f>NORMSDIST((_xlfn.NORM.S.INV(AD78)-(SQRT(Baseline!$AF$11)*'MacroPD-Cal'!$R$8))/SQRT(1-Baseline!$AF$11))</f>
        <v>4.8337668079575045E-3</v>
      </c>
      <c r="AM78" s="332">
        <f>NORMSDIST((_xlfn.NORM.S.INV(AE78)-(SQRT(Baseline!$AF$11)*'MacroPD-Cal'!$R$9))/SQRT(1-Baseline!$AF$11))</f>
        <v>5.335728693389304E-3</v>
      </c>
      <c r="CR78" s="345">
        <f t="shared" si="47"/>
        <v>0.16400756260675478</v>
      </c>
      <c r="CS78" s="345">
        <f t="shared" si="48"/>
        <v>0.3896396592688251</v>
      </c>
      <c r="CT78" s="345">
        <f t="shared" si="49"/>
        <v>0.65124229447428184</v>
      </c>
      <c r="CU78" s="345">
        <f t="shared" si="50"/>
        <v>1</v>
      </c>
    </row>
    <row r="79" spans="1:99" x14ac:dyDescent="0.25">
      <c r="A79" s="464">
        <v>1100000233</v>
      </c>
      <c r="B79" s="470">
        <f>VLOOKUP(A79,'Ref-Data'!A:I,9,FALSE)</f>
        <v>1</v>
      </c>
      <c r="C79" s="445">
        <f>IF(B79="Matured","",VLOOKUP(A79,'Adjustment Factor'!A:C,3,0))</f>
        <v>0.84</v>
      </c>
      <c r="D79" s="190">
        <f>VLOOKUP(A79,'Ref-Data'!A:C,2,FALSE)</f>
        <v>500000</v>
      </c>
      <c r="E79" s="471">
        <f>IFERROR(IF(VLOOKUP(A79,'Updated Ncino PD'!$A:$K,4,0)=0,"",VLOOKUP(A79,'Updated Ncino PD'!$A:$K,4,0)),AF79)</f>
        <v>7.5443478799107203E-4</v>
      </c>
      <c r="F79" s="472">
        <f>IFERROR(IF(VLOOKUP(A79,'Updated Ncino PD'!$A:$K,5,0)=0,"",VLOOKUP(A79,'Updated Ncino PD'!$A:$K,5,0)),1-((1-AG79)*(1-E79)))</f>
        <v>1.7923424326365955E-3</v>
      </c>
      <c r="G79" s="472">
        <f>IFERROR(IF(VLOOKUP(A79,'Updated Ncino PD'!$A:$K,6,0)=0,"",VLOOKUP(A79,'Updated Ncino PD'!$A:$K,6,0)),1-((1-AF79)*(1-AG79)*(1-AH79)))</f>
        <v>2.9957145545816966E-3</v>
      </c>
      <c r="H79" s="472">
        <f>IFERROR(IF(VLOOKUP(A79,'Updated Ncino PD'!$A:$K,7,0)=0,"",VLOOKUP(A79,'Updated Ncino PD'!$A:$K,7,0)),IFERROR(VLOOKUP(A79,'Updated Ncino PD'!A:B,2,FALSE),FLOOR(1-((1-AG79)*(1-AH79)*(1-AI79)*(1-AF79)),$R$11)))</f>
        <v>4.5999999999999999E-3</v>
      </c>
      <c r="I79" s="472">
        <f>IFERROR(IF(VLOOKUP(A79,'Updated Ncino PD'!$A:$K,8,0)=0,"",VLOOKUP(A79,'Updated Ncino PD'!$A:$K,8,0)),FLOOR(1-((1-H79)*(1-AJ79)),$R$11))</f>
        <v>7.2000000000000007E-3</v>
      </c>
      <c r="J79" s="472">
        <f>IFERROR(IF(VLOOKUP(A79,'Updated Ncino PD'!$A:$K,9,0)=0,"",VLOOKUP(A79,'Updated Ncino PD'!$A:$K,9,0)),FLOOR(1-((1-H79)*(1-AJ79)*(1-AK79)),$R$11))</f>
        <v>8.8999999999999999E-3</v>
      </c>
      <c r="K79" s="472">
        <f>IFERROR(IF(VLOOKUP(A79,'Updated Ncino PD'!$A:$K,10,0)=0,"",VLOOKUP(A79,'Updated Ncino PD'!$A:$K,10,0)),FLOOR(1-((1-H79)*(1-AJ79)*(1-AK79)*(1-AL79)),$R$11))</f>
        <v>1.37E-2</v>
      </c>
      <c r="L79" s="472">
        <f>IFERROR(IF(VLOOKUP(A79,'Updated Ncino PD'!$A:$K,11,0)=0,"",VLOOKUP(A79,'Updated Ncino PD'!$A:$K,11,0)),FLOOR(1-((1-H79)*(1-AJ79)*(1-AK79)*(1-AL79)*(1-AM79)),$R$11))</f>
        <v>1.9E-2</v>
      </c>
      <c r="M79" s="224">
        <f>VLOOKUP(A79,'Ref-Data'!$A:$F,6,FALSE)</f>
        <v>4.2546201232032859</v>
      </c>
      <c r="N79" s="191">
        <f t="shared" si="51"/>
        <v>4.5999999999999999E-3</v>
      </c>
      <c r="O79" s="191">
        <f t="shared" si="52"/>
        <v>1.9E-2</v>
      </c>
      <c r="P79" s="459" t="str">
        <f>VLOOKUP(A79,'Loan Book Summary'!C:G,5,FALSE)</f>
        <v>0014I00002789GY</v>
      </c>
      <c r="Q79" s="355"/>
      <c r="R79" s="355"/>
      <c r="S79" s="203"/>
      <c r="T79" s="332">
        <f>IFERROR(VLOOKUP($P79,'Model Output-LoanNameUpdate'!$A:$K,2,FALSE),CL79)</f>
        <v>5.1199999999999996E-3</v>
      </c>
      <c r="U79" s="332">
        <f>1-(1-IFERROR(VLOOKUP($P79,'Model Output-LoanNameUpdate'!$A:$K,2,FALSE),CL79))^(1/4)</f>
        <v>1.2824649659685106E-3</v>
      </c>
      <c r="V79" s="332">
        <f>IFERROR(VLOOKUP($P79,'Model Output-LoanNameUpdate'!$A:$K,3,FALSE),CM79)</f>
        <v>5.62E-3</v>
      </c>
      <c r="W79" s="332">
        <f>IFERROR(VLOOKUP($P79,'Model Output-LoanNameUpdate'!$A:$K,4,FALSE),CN79)</f>
        <v>6.0199999999999993E-3</v>
      </c>
      <c r="X79" s="332">
        <f>IFERROR(VLOOKUP($P79,'Model Output-LoanNameUpdate'!$A:$K,5,FALSE),CO79)</f>
        <v>6.2599999999999999E-3</v>
      </c>
      <c r="Y79" s="332">
        <f>IFERROR(VLOOKUP($P79,'Model Output-LoanNameUpdate'!$A:$K,6,FALSE),CP79)</f>
        <v>6.4600000000000005E-3</v>
      </c>
      <c r="Z79" s="207">
        <f t="shared" si="53"/>
        <v>0.84</v>
      </c>
      <c r="AA79" s="332">
        <f t="shared" si="54"/>
        <v>1.0772705714135488E-3</v>
      </c>
      <c r="AB79" s="332">
        <f t="shared" si="55"/>
        <v>4.7207999999999998E-3</v>
      </c>
      <c r="AC79" s="332">
        <f t="shared" si="56"/>
        <v>5.0567999999999993E-3</v>
      </c>
      <c r="AD79" s="332">
        <f t="shared" si="57"/>
        <v>5.2583999999999999E-3</v>
      </c>
      <c r="AE79" s="332">
        <f t="shared" si="58"/>
        <v>5.4264000000000005E-3</v>
      </c>
      <c r="AF79" s="332">
        <f>NORMSDIST((_xlfn.NORM.S.INV(AA79)-(SQRT(Baseline!$AF$11)*'MacroPD-Cal'!$R$2))/SQRT(1-Baseline!$AF$11))</f>
        <v>7.5443478799107203E-4</v>
      </c>
      <c r="AG79" s="332">
        <f>NORMSDIST((_xlfn.NORM.S.INV(AA79)-(SQRT(Baseline!$AF$11)*'MacroPD-Cal'!$R$3))/SQRT(1-Baseline!$AF$11))</f>
        <v>1.03869126947315E-3</v>
      </c>
      <c r="AH79" s="332">
        <f>NORMSDIST((_xlfn.NORM.S.INV(AA79)-(SQRT(Baseline!$AF$11)*'MacroPD-Cal'!$R$4))/SQRT(1-Baseline!$AF$11))</f>
        <v>1.2055328496253924E-3</v>
      </c>
      <c r="AI79" s="332">
        <f>NORMSDIST((_xlfn.NORM.S.INV(AA79)-(SQRT(Baseline!$AF$11)*'MacroPD-Cal'!$R$5))/SQRT(1-Baseline!$AF$11))</f>
        <v>1.6348119250689608E-3</v>
      </c>
      <c r="AJ79" s="332">
        <f>NORMSDIST((_xlfn.NORM.S.INV(AB79)-(SQRT(Baseline!$AF$11)*'MacroPD-Cal'!$R$6))/SQRT(1-Baseline!$AF$11))</f>
        <v>2.6906098633228122E-3</v>
      </c>
      <c r="AK79" s="332">
        <f>NORMSDIST((_xlfn.NORM.S.INV(AC79)-(SQRT(Baseline!$AF$11)*'MacroPD-Cal'!$R$7))/SQRT(1-Baseline!$AF$11))</f>
        <v>1.7217038168699337E-3</v>
      </c>
      <c r="AL79" s="332">
        <f>NORMSDIST((_xlfn.NORM.S.INV(AD79)-(SQRT(Baseline!$AF$11)*'MacroPD-Cal'!$R$8))/SQRT(1-Baseline!$AF$11))</f>
        <v>4.8337668079575045E-3</v>
      </c>
      <c r="AM79" s="332">
        <f>NORMSDIST((_xlfn.NORM.S.INV(AE79)-(SQRT(Baseline!$AF$11)*'MacroPD-Cal'!$R$9))/SQRT(1-Baseline!$AF$11))</f>
        <v>5.335728693389304E-3</v>
      </c>
      <c r="CR79" s="345">
        <f t="shared" si="47"/>
        <v>0.16400756260675478</v>
      </c>
      <c r="CS79" s="345">
        <f t="shared" si="48"/>
        <v>0.3896396592688251</v>
      </c>
      <c r="CT79" s="345">
        <f t="shared" si="49"/>
        <v>0.65124229447428184</v>
      </c>
      <c r="CU79" s="345">
        <f t="shared" si="50"/>
        <v>1</v>
      </c>
    </row>
    <row r="80" spans="1:99" x14ac:dyDescent="0.25">
      <c r="A80" s="464">
        <v>1100000235</v>
      </c>
      <c r="B80" s="470">
        <f>VLOOKUP(A80,'Ref-Data'!A:I,9,FALSE)</f>
        <v>1</v>
      </c>
      <c r="C80" s="445">
        <f>IF(B80="Matured","",VLOOKUP(A80,'Adjustment Factor'!A:C,3,0))</f>
        <v>1.31</v>
      </c>
      <c r="D80" s="190">
        <f>VLOOKUP(A80,'Ref-Data'!A:C,2,FALSE)</f>
        <v>10000000</v>
      </c>
      <c r="E80" s="471">
        <f>IFERROR(IF(VLOOKUP(A80,'Updated Ncino PD'!$A:$K,4,0)=0,"",VLOOKUP(A80,'Updated Ncino PD'!$A:$K,4,0)),AF80)</f>
        <v>4.3788111488077281E-3</v>
      </c>
      <c r="F80" s="472">
        <f>IFERROR(IF(VLOOKUP(A80,'Updated Ncino PD'!$A:$K,5,0)=0,"",VLOOKUP(A80,'Updated Ncino PD'!$A:$K,5,0)),1-((1-AG80)*(1-E80)))</f>
        <v>1.010012821314632E-2</v>
      </c>
      <c r="G80" s="472">
        <f>IFERROR(IF(VLOOKUP(A80,'Updated Ncino PD'!$A:$K,6,0)=0,"",VLOOKUP(A80,'Updated Ncino PD'!$A:$K,6,0)),1-((1-AF80)*(1-AG80)*(1-AH80)))</f>
        <v>1.6554069361419788E-2</v>
      </c>
      <c r="H80" s="472">
        <f>IFERROR(IF(VLOOKUP(A80,'Updated Ncino PD'!$A:$K,7,0)=0,"",VLOOKUP(A80,'Updated Ncino PD'!$A:$K,7,0)),IFERROR(VLOOKUP(A80,'Updated Ncino PD'!A:B,2,FALSE),FLOOR(1-((1-AG80)*(1-AH80)*(1-AI80)*(1-AF80)),$R$11)))</f>
        <v>2.4800000000000003E-2</v>
      </c>
      <c r="I80" s="472">
        <f>IFERROR(IF(VLOOKUP(A80,'Updated Ncino PD'!$A:$K,8,0)=0,"",VLOOKUP(A80,'Updated Ncino PD'!$A:$K,8,0)),FLOOR(1-((1-H80)*(1-AJ80)),$R$11))</f>
        <v>3.73E-2</v>
      </c>
      <c r="J80" s="472">
        <f>IFERROR(IF(VLOOKUP(A80,'Updated Ncino PD'!$A:$K,9,0)=0,"",VLOOKUP(A80,'Updated Ncino PD'!$A:$K,9,0)),FLOOR(1-((1-H80)*(1-AJ80)*(1-AK80)),$R$11))</f>
        <v>4.4600000000000001E-2</v>
      </c>
      <c r="K80" s="472">
        <f>IFERROR(IF(VLOOKUP(A80,'Updated Ncino PD'!$A:$K,10,0)=0,"",VLOOKUP(A80,'Updated Ncino PD'!$A:$K,10,0)),FLOOR(1-((1-H80)*(1-AJ80)*(1-AK80)*(1-AL80)),$R$11))</f>
        <v>6.0600000000000001E-2</v>
      </c>
      <c r="L80" s="472">
        <f>IFERROR(IF(VLOOKUP(A80,'Updated Ncino PD'!$A:$K,11,0)=0,"",VLOOKUP(A80,'Updated Ncino PD'!$A:$K,11,0)),FLOOR(1-((1-H80)*(1-AJ80)*(1-AK80)*(1-AL80)*(1-AM80)),$R$11))</f>
        <v>7.6499999999999999E-2</v>
      </c>
      <c r="M80" s="224">
        <f>VLOOKUP(A80,'Ref-Data'!$A:$F,6,FALSE)</f>
        <v>4.2710472279260783</v>
      </c>
      <c r="N80" s="191">
        <f t="shared" si="51"/>
        <v>2.4800000000000003E-2</v>
      </c>
      <c r="O80" s="191">
        <f t="shared" si="52"/>
        <v>7.6499999999999999E-2</v>
      </c>
      <c r="P80" s="459" t="str">
        <f>VLOOKUP(A80,'Loan Book Summary'!C:G,5,FALSE)</f>
        <v>0014I00002BvrLc</v>
      </c>
      <c r="Q80" s="355"/>
      <c r="R80" s="355"/>
      <c r="S80" s="203"/>
      <c r="T80" s="332">
        <f>IFERROR(VLOOKUP($P80,'Model Output-LoanNameUpdate'!$A:$K,2,FALSE),CL80)</f>
        <v>1.55E-2</v>
      </c>
      <c r="U80" s="332">
        <f>1-(1-IFERROR(VLOOKUP($P80,'Model Output-LoanNameUpdate'!$A:$K,2,FALSE),CL80))^(1/4)</f>
        <v>3.8977292825945753E-3</v>
      </c>
      <c r="V80" s="332">
        <f>IFERROR(VLOOKUP($P80,'Model Output-LoanNameUpdate'!$A:$K,3,FALSE),CM80)</f>
        <v>1.38E-2</v>
      </c>
      <c r="W80" s="332">
        <f>IFERROR(VLOOKUP($P80,'Model Output-LoanNameUpdate'!$A:$K,4,FALSE),CN80)</f>
        <v>1.2945E-2</v>
      </c>
      <c r="X80" s="332">
        <f>IFERROR(VLOOKUP($P80,'Model Output-LoanNameUpdate'!$A:$K,5,FALSE),CO80)</f>
        <v>1.2315E-2</v>
      </c>
      <c r="Y80" s="332">
        <f>IFERROR(VLOOKUP($P80,'Model Output-LoanNameUpdate'!$A:$K,6,FALSE),CP80)</f>
        <v>1.183E-2</v>
      </c>
      <c r="Z80" s="207">
        <f t="shared" si="53"/>
        <v>1.31</v>
      </c>
      <c r="AA80" s="332">
        <f t="shared" si="54"/>
        <v>5.1060253601988934E-3</v>
      </c>
      <c r="AB80" s="332">
        <f t="shared" si="55"/>
        <v>1.8078E-2</v>
      </c>
      <c r="AC80" s="332">
        <f t="shared" si="56"/>
        <v>1.6957949999999999E-2</v>
      </c>
      <c r="AD80" s="332">
        <f t="shared" si="57"/>
        <v>1.6132649999999998E-2</v>
      </c>
      <c r="AE80" s="332">
        <f t="shared" si="58"/>
        <v>1.54973E-2</v>
      </c>
      <c r="AF80" s="332">
        <f>NORMSDIST((_xlfn.NORM.S.INV(AA80)-(SQRT(Baseline!$AF$11)*'MacroPD-Cal'!$R$2))/SQRT(1-Baseline!$AF$11))</f>
        <v>4.3788111488077281E-3</v>
      </c>
      <c r="AG80" s="332">
        <f>NORMSDIST((_xlfn.NORM.S.INV(AA80)-(SQRT(Baseline!$AF$11)*'MacroPD-Cal'!$R$3))/SQRT(1-Baseline!$AF$11))</f>
        <v>5.746479814215351E-3</v>
      </c>
      <c r="AH80" s="332">
        <f>NORMSDIST((_xlfn.NORM.S.INV(AA80)-(SQRT(Baseline!$AF$11)*'MacroPD-Cal'!$R$4))/SQRT(1-Baseline!$AF$11))</f>
        <v>6.5197918822067847E-3</v>
      </c>
      <c r="AI80" s="332">
        <f>NORMSDIST((_xlfn.NORM.S.INV(AA80)-(SQRT(Baseline!$AF$11)*'MacroPD-Cal'!$R$5))/SQRT(1-Baseline!$AF$11))</f>
        <v>8.4337471962828842E-3</v>
      </c>
      <c r="AJ80" s="332">
        <f>NORMSDIST((_xlfn.NORM.S.INV(AB80)-(SQRT(Baseline!$AF$11)*'MacroPD-Cal'!$R$6))/SQRT(1-Baseline!$AF$11))</f>
        <v>1.285358407662813E-2</v>
      </c>
      <c r="AK80" s="332">
        <f>NORMSDIST((_xlfn.NORM.S.INV(AC80)-(SQRT(Baseline!$AF$11)*'MacroPD-Cal'!$R$7))/SQRT(1-Baseline!$AF$11))</f>
        <v>7.6074509026663097E-3</v>
      </c>
      <c r="AL80" s="332">
        <f>NORMSDIST((_xlfn.NORM.S.INV(AD80)-(SQRT(Baseline!$AF$11)*'MacroPD-Cal'!$R$8))/SQRT(1-Baseline!$AF$11))</f>
        <v>1.6721459824988086E-2</v>
      </c>
      <c r="AM80" s="332">
        <f>NORMSDIST((_xlfn.NORM.S.INV(AE80)-(SQRT(Baseline!$AF$11)*'MacroPD-Cal'!$R$9))/SQRT(1-Baseline!$AF$11))</f>
        <v>1.6906032132418147E-2</v>
      </c>
      <c r="CR80" s="345">
        <f t="shared" si="47"/>
        <v>0.17656496567773095</v>
      </c>
      <c r="CS80" s="345">
        <f t="shared" si="48"/>
        <v>0.40726323440106127</v>
      </c>
      <c r="CT80" s="345">
        <f t="shared" si="49"/>
        <v>0.66750279683144298</v>
      </c>
      <c r="CU80" s="345">
        <f t="shared" si="50"/>
        <v>1</v>
      </c>
    </row>
    <row r="81" spans="1:99" x14ac:dyDescent="0.25">
      <c r="A81" s="464">
        <v>1100000238</v>
      </c>
      <c r="B81" s="470">
        <f>VLOOKUP(A81,'Ref-Data'!A:I,9,FALSE)</f>
        <v>1</v>
      </c>
      <c r="C81" s="445">
        <f>IF(B81="Matured","",VLOOKUP(A81,'Adjustment Factor'!A:C,3,0))</f>
        <v>2.0299999999999998</v>
      </c>
      <c r="D81" s="190">
        <f>VLOOKUP(A81,'Ref-Data'!A:C,2,FALSE)</f>
        <v>4000000</v>
      </c>
      <c r="E81" s="471">
        <f>IFERROR(IF(VLOOKUP(A81,'Updated Ncino PD'!$A:$K,4,0)=0,"",VLOOKUP(A81,'Updated Ncino PD'!$A:$K,4,0)),AF81)</f>
        <v>1.4794530011509205E-2</v>
      </c>
      <c r="F81" s="472">
        <f>IFERROR(IF(VLOOKUP(A81,'Updated Ncino PD'!$A:$K,5,0)=0,"",VLOOKUP(A81,'Updated Ncino PD'!$A:$K,5,0)),1-((1-AG81)*(1-E81)))</f>
        <v>3.3211305442328087E-2</v>
      </c>
      <c r="G81" s="472">
        <f>IFERROR(IF(VLOOKUP(A81,'Updated Ncino PD'!$A:$K,6,0)=0,"",VLOOKUP(A81,'Updated Ncino PD'!$A:$K,6,0)),1-((1-AF81)*(1-AG81)*(1-AH81)))</f>
        <v>5.3351437527099699E-2</v>
      </c>
      <c r="H81" s="472">
        <f>IFERROR(IF(VLOOKUP(A81,'Updated Ncino PD'!$A:$K,7,0)=0,"",VLOOKUP(A81,'Updated Ncino PD'!$A:$K,7,0)),IFERROR(VLOOKUP(A81,'Updated Ncino PD'!A:B,2,FALSE),FLOOR(1-((1-AG81)*(1-AH81)*(1-AI81)*(1-AF81)),$R$11)))</f>
        <v>7.7899999999999997E-2</v>
      </c>
      <c r="I81" s="472">
        <f>IFERROR(IF(VLOOKUP(A81,'Updated Ncino PD'!$A:$K,8,0)=0,"",VLOOKUP(A81,'Updated Ncino PD'!$A:$K,8,0)),FLOOR(1-((1-H81)*(1-AJ81)),$R$11))</f>
        <v>0.11470000000000001</v>
      </c>
      <c r="J81" s="472">
        <f>IFERROR(IF(VLOOKUP(A81,'Updated Ncino PD'!$A:$K,9,0)=0,"",VLOOKUP(A81,'Updated Ncino PD'!$A:$K,9,0)),FLOOR(1-((1-H81)*(1-AJ81)*(1-AK81)),$R$11))</f>
        <v>0.13550000000000001</v>
      </c>
      <c r="K81" s="472">
        <f>IFERROR(IF(VLOOKUP(A81,'Updated Ncino PD'!$A:$K,10,0)=0,"",VLOOKUP(A81,'Updated Ncino PD'!$A:$K,10,0)),FLOOR(1-((1-H81)*(1-AJ81)*(1-AK81)*(1-AL81)),$R$11))</f>
        <v>0.1734</v>
      </c>
      <c r="L81" s="472">
        <f>IFERROR(IF(VLOOKUP(A81,'Updated Ncino PD'!$A:$K,11,0)=0,"",VLOOKUP(A81,'Updated Ncino PD'!$A:$K,11,0)),FLOOR(1-((1-H81)*(1-AJ81)*(1-AK81)*(1-AL81)*(1-AM81)),$R$11))</f>
        <v>0.20860000000000001</v>
      </c>
      <c r="M81" s="224">
        <f>VLOOKUP(A81,'Ref-Data'!$A:$F,6,FALSE)</f>
        <v>4.2956878850102669</v>
      </c>
      <c r="N81" s="191">
        <f t="shared" si="51"/>
        <v>7.7899999999999997E-2</v>
      </c>
      <c r="O81" s="191">
        <f t="shared" si="52"/>
        <v>0.20860000000000001</v>
      </c>
      <c r="P81" s="459" t="str">
        <f>VLOOKUP(A81,'Loan Book Summary'!C:G,5,FALSE)</f>
        <v>0014I00002BVyev</v>
      </c>
      <c r="Q81" s="355"/>
      <c r="R81" s="355"/>
      <c r="S81" s="203"/>
      <c r="T81" s="332">
        <f>IFERROR(VLOOKUP($P81,'Model Output-LoanNameUpdate'!$A:$K,2,FALSE),CL81)</f>
        <v>2.9614999999999999E-2</v>
      </c>
      <c r="U81" s="332">
        <f>1-(1-IFERROR(VLOOKUP($P81,'Model Output-LoanNameUpdate'!$A:$K,2,FALSE),CL81))^(1/4)</f>
        <v>7.4874232907891081E-3</v>
      </c>
      <c r="V81" s="332">
        <f>IFERROR(VLOOKUP($P81,'Model Output-LoanNameUpdate'!$A:$K,3,FALSE),CM81)</f>
        <v>2.384E-2</v>
      </c>
      <c r="W81" s="332">
        <f>IFERROR(VLOOKUP($P81,'Model Output-LoanNameUpdate'!$A:$K,4,FALSE),CN81)</f>
        <v>2.0969999999999999E-2</v>
      </c>
      <c r="X81" s="332">
        <f>IFERROR(VLOOKUP($P81,'Model Output-LoanNameUpdate'!$A:$K,5,FALSE),CO81)</f>
        <v>1.9209999999999998E-2</v>
      </c>
      <c r="Y81" s="332">
        <f>IFERROR(VLOOKUP($P81,'Model Output-LoanNameUpdate'!$A:$K,6,FALSE),CP81)</f>
        <v>1.7954999999999999E-2</v>
      </c>
      <c r="Z81" s="207">
        <f t="shared" si="53"/>
        <v>2.0299999999999998</v>
      </c>
      <c r="AA81" s="332">
        <f t="shared" si="54"/>
        <v>1.5199469280301888E-2</v>
      </c>
      <c r="AB81" s="332">
        <f t="shared" si="55"/>
        <v>4.8395199999999992E-2</v>
      </c>
      <c r="AC81" s="332">
        <f t="shared" si="56"/>
        <v>4.2569099999999992E-2</v>
      </c>
      <c r="AD81" s="332">
        <f t="shared" si="57"/>
        <v>3.8996299999999991E-2</v>
      </c>
      <c r="AE81" s="332">
        <f t="shared" si="58"/>
        <v>3.6448649999999992E-2</v>
      </c>
      <c r="AF81" s="332">
        <f>NORMSDIST((_xlfn.NORM.S.INV(AA81)-(SQRT(Baseline!$AF$11)*'MacroPD-Cal'!$R$2))/SQRT(1-Baseline!$AF$11))</f>
        <v>1.4794530011509205E-2</v>
      </c>
      <c r="AG81" s="332">
        <f>NORMSDIST((_xlfn.NORM.S.INV(AA81)-(SQRT(Baseline!$AF$11)*'MacroPD-Cal'!$R$3))/SQRT(1-Baseline!$AF$11))</f>
        <v>1.8693334529531213E-2</v>
      </c>
      <c r="AH81" s="332">
        <f>NORMSDIST((_xlfn.NORM.S.INV(AA81)-(SQRT(Baseline!$AF$11)*'MacroPD-Cal'!$R$4))/SQRT(1-Baseline!$AF$11))</f>
        <v>2.0831989656215619E-2</v>
      </c>
      <c r="AI81" s="332">
        <f>NORMSDIST((_xlfn.NORM.S.INV(AA81)-(SQRT(Baseline!$AF$11)*'MacroPD-Cal'!$R$5))/SQRT(1-Baseline!$AF$11))</f>
        <v>2.596232297798615E-2</v>
      </c>
      <c r="AJ81" s="332">
        <f>NORMSDIST((_xlfn.NORM.S.INV(AB81)-(SQRT(Baseline!$AF$11)*'MacroPD-Cal'!$R$6))/SQRT(1-Baseline!$AF$11))</f>
        <v>3.9996647968252641E-2</v>
      </c>
      <c r="AK81" s="332">
        <f>NORMSDIST((_xlfn.NORM.S.INV(AC81)-(SQRT(Baseline!$AF$11)*'MacroPD-Cal'!$R$7))/SQRT(1-Baseline!$AF$11))</f>
        <v>2.3510824066594993E-2</v>
      </c>
      <c r="AL81" s="332">
        <f>NORMSDIST((_xlfn.NORM.S.INV(AD81)-(SQRT(Baseline!$AF$11)*'MacroPD-Cal'!$R$8))/SQRT(1-Baseline!$AF$11))</f>
        <v>4.3765168486951743E-2</v>
      </c>
      <c r="AM81" s="332">
        <f>NORMSDIST((_xlfn.NORM.S.INV(AE81)-(SQRT(Baseline!$AF$11)*'MacroPD-Cal'!$R$9))/SQRT(1-Baseline!$AF$11))</f>
        <v>4.2652570856354273E-2</v>
      </c>
      <c r="CR81" s="345">
        <f t="shared" si="47"/>
        <v>0.18991694494877029</v>
      </c>
      <c r="CS81" s="345">
        <f t="shared" si="48"/>
        <v>0.42633254739830667</v>
      </c>
      <c r="CT81" s="345">
        <f t="shared" si="49"/>
        <v>0.6848708283324737</v>
      </c>
      <c r="CU81" s="345">
        <f t="shared" si="50"/>
        <v>1</v>
      </c>
    </row>
    <row r="82" spans="1:99" x14ac:dyDescent="0.25">
      <c r="A82" s="464">
        <v>1100000236</v>
      </c>
      <c r="B82" s="470">
        <f>VLOOKUP(A82,'Ref-Data'!A:I,9,FALSE)</f>
        <v>1</v>
      </c>
      <c r="C82" s="445">
        <f>IF(B82="Matured","",VLOOKUP(A82,'Adjustment Factor'!A:C,3,0))</f>
        <v>2.0299999999999998</v>
      </c>
      <c r="D82" s="190">
        <f>VLOOKUP(A82,'Ref-Data'!A:C,2,FALSE)</f>
        <v>6750000</v>
      </c>
      <c r="E82" s="471">
        <f>IFERROR(IF(VLOOKUP(A82,'Updated Ncino PD'!$A:$K,4,0)=0,"",VLOOKUP(A82,'Updated Ncino PD'!$A:$K,4,0)),AF82)</f>
        <v>1.4794530011509205E-2</v>
      </c>
      <c r="F82" s="472">
        <f>IFERROR(IF(VLOOKUP(A82,'Updated Ncino PD'!$A:$K,5,0)=0,"",VLOOKUP(A82,'Updated Ncino PD'!$A:$K,5,0)),1-((1-AG82)*(1-E82)))</f>
        <v>3.3211305442328087E-2</v>
      </c>
      <c r="G82" s="472">
        <f>IFERROR(IF(VLOOKUP(A82,'Updated Ncino PD'!$A:$K,6,0)=0,"",VLOOKUP(A82,'Updated Ncino PD'!$A:$K,6,0)),1-((1-AF82)*(1-AG82)*(1-AH82)))</f>
        <v>5.3351437527099699E-2</v>
      </c>
      <c r="H82" s="472">
        <f>IFERROR(IF(VLOOKUP(A82,'Updated Ncino PD'!$A:$K,7,0)=0,"",VLOOKUP(A82,'Updated Ncino PD'!$A:$K,7,0)),IFERROR(VLOOKUP(A82,'Updated Ncino PD'!A:B,2,FALSE),FLOOR(1-((1-AG82)*(1-AH82)*(1-AI82)*(1-AF82)),$R$11)))</f>
        <v>7.7899999999999997E-2</v>
      </c>
      <c r="I82" s="472">
        <f>IFERROR(IF(VLOOKUP(A82,'Updated Ncino PD'!$A:$K,8,0)=0,"",VLOOKUP(A82,'Updated Ncino PD'!$A:$K,8,0)),FLOOR(1-((1-H82)*(1-AJ82)),$R$11))</f>
        <v>0.11470000000000001</v>
      </c>
      <c r="J82" s="472">
        <f>IFERROR(IF(VLOOKUP(A82,'Updated Ncino PD'!$A:$K,9,0)=0,"",VLOOKUP(A82,'Updated Ncino PD'!$A:$K,9,0)),FLOOR(1-((1-H82)*(1-AJ82)*(1-AK82)),$R$11))</f>
        <v>0.13550000000000001</v>
      </c>
      <c r="K82" s="472">
        <f>IFERROR(IF(VLOOKUP(A82,'Updated Ncino PD'!$A:$K,10,0)=0,"",VLOOKUP(A82,'Updated Ncino PD'!$A:$K,10,0)),FLOOR(1-((1-H82)*(1-AJ82)*(1-AK82)*(1-AL82)),$R$11))</f>
        <v>0.1734</v>
      </c>
      <c r="L82" s="472">
        <f>IFERROR(IF(VLOOKUP(A82,'Updated Ncino PD'!$A:$K,11,0)=0,"",VLOOKUP(A82,'Updated Ncino PD'!$A:$K,11,0)),FLOOR(1-((1-H82)*(1-AJ82)*(1-AK82)*(1-AL82)*(1-AM82)),$R$11))</f>
        <v>0.20860000000000001</v>
      </c>
      <c r="M82" s="224">
        <f>VLOOKUP(A82,'Ref-Data'!$A:$F,6,FALSE)</f>
        <v>4.2956878850102669</v>
      </c>
      <c r="N82" s="191">
        <f t="shared" si="51"/>
        <v>7.7899999999999997E-2</v>
      </c>
      <c r="O82" s="191">
        <f t="shared" si="52"/>
        <v>0.20860000000000001</v>
      </c>
      <c r="P82" s="459" t="str">
        <f>VLOOKUP(A82,'Loan Book Summary'!C:G,5,FALSE)</f>
        <v>0014I00002BVyev</v>
      </c>
      <c r="Q82" s="355"/>
      <c r="R82" s="355"/>
      <c r="S82" s="203"/>
      <c r="T82" s="332">
        <f>IFERROR(VLOOKUP($P82,'Model Output-LoanNameUpdate'!$A:$K,2,FALSE),CL82)</f>
        <v>2.9614999999999999E-2</v>
      </c>
      <c r="U82" s="332">
        <f>1-(1-IFERROR(VLOOKUP($P82,'Model Output-LoanNameUpdate'!$A:$K,2,FALSE),CL82))^(1/4)</f>
        <v>7.4874232907891081E-3</v>
      </c>
      <c r="V82" s="332">
        <f>IFERROR(VLOOKUP($P82,'Model Output-LoanNameUpdate'!$A:$K,3,FALSE),CM82)</f>
        <v>2.384E-2</v>
      </c>
      <c r="W82" s="332">
        <f>IFERROR(VLOOKUP($P82,'Model Output-LoanNameUpdate'!$A:$K,4,FALSE),CN82)</f>
        <v>2.0969999999999999E-2</v>
      </c>
      <c r="X82" s="332">
        <f>IFERROR(VLOOKUP($P82,'Model Output-LoanNameUpdate'!$A:$K,5,FALSE),CO82)</f>
        <v>1.9209999999999998E-2</v>
      </c>
      <c r="Y82" s="332">
        <f>IFERROR(VLOOKUP($P82,'Model Output-LoanNameUpdate'!$A:$K,6,FALSE),CP82)</f>
        <v>1.7954999999999999E-2</v>
      </c>
      <c r="Z82" s="207">
        <f t="shared" si="53"/>
        <v>2.0299999999999998</v>
      </c>
      <c r="AA82" s="332">
        <f t="shared" si="54"/>
        <v>1.5199469280301888E-2</v>
      </c>
      <c r="AB82" s="332">
        <f t="shared" si="55"/>
        <v>4.8395199999999992E-2</v>
      </c>
      <c r="AC82" s="332">
        <f t="shared" si="56"/>
        <v>4.2569099999999992E-2</v>
      </c>
      <c r="AD82" s="332">
        <f t="shared" si="57"/>
        <v>3.8996299999999991E-2</v>
      </c>
      <c r="AE82" s="332">
        <f t="shared" si="58"/>
        <v>3.6448649999999992E-2</v>
      </c>
      <c r="AF82" s="332">
        <f>NORMSDIST((_xlfn.NORM.S.INV(AA82)-(SQRT(Baseline!$AF$11)*'MacroPD-Cal'!$R$2))/SQRT(1-Baseline!$AF$11))</f>
        <v>1.4794530011509205E-2</v>
      </c>
      <c r="AG82" s="332">
        <f>NORMSDIST((_xlfn.NORM.S.INV(AA82)-(SQRT(Baseline!$AF$11)*'MacroPD-Cal'!$R$3))/SQRT(1-Baseline!$AF$11))</f>
        <v>1.8693334529531213E-2</v>
      </c>
      <c r="AH82" s="332">
        <f>NORMSDIST((_xlfn.NORM.S.INV(AA82)-(SQRT(Baseline!$AF$11)*'MacroPD-Cal'!$R$4))/SQRT(1-Baseline!$AF$11))</f>
        <v>2.0831989656215619E-2</v>
      </c>
      <c r="AI82" s="332">
        <f>NORMSDIST((_xlfn.NORM.S.INV(AA82)-(SQRT(Baseline!$AF$11)*'MacroPD-Cal'!$R$5))/SQRT(1-Baseline!$AF$11))</f>
        <v>2.596232297798615E-2</v>
      </c>
      <c r="AJ82" s="332">
        <f>NORMSDIST((_xlfn.NORM.S.INV(AB82)-(SQRT(Baseline!$AF$11)*'MacroPD-Cal'!$R$6))/SQRT(1-Baseline!$AF$11))</f>
        <v>3.9996647968252641E-2</v>
      </c>
      <c r="AK82" s="332">
        <f>NORMSDIST((_xlfn.NORM.S.INV(AC82)-(SQRT(Baseline!$AF$11)*'MacroPD-Cal'!$R$7))/SQRT(1-Baseline!$AF$11))</f>
        <v>2.3510824066594993E-2</v>
      </c>
      <c r="AL82" s="332">
        <f>NORMSDIST((_xlfn.NORM.S.INV(AD82)-(SQRT(Baseline!$AF$11)*'MacroPD-Cal'!$R$8))/SQRT(1-Baseline!$AF$11))</f>
        <v>4.3765168486951743E-2</v>
      </c>
      <c r="AM82" s="332">
        <f>NORMSDIST((_xlfn.NORM.S.INV(AE82)-(SQRT(Baseline!$AF$11)*'MacroPD-Cal'!$R$9))/SQRT(1-Baseline!$AF$11))</f>
        <v>4.2652570856354273E-2</v>
      </c>
      <c r="CR82" s="345">
        <f t="shared" si="47"/>
        <v>0.18991694494877029</v>
      </c>
      <c r="CS82" s="345">
        <f t="shared" si="48"/>
        <v>0.42633254739830667</v>
      </c>
      <c r="CT82" s="345">
        <f t="shared" si="49"/>
        <v>0.6848708283324737</v>
      </c>
      <c r="CU82" s="345">
        <f t="shared" si="50"/>
        <v>1</v>
      </c>
    </row>
    <row r="83" spans="1:99" x14ac:dyDescent="0.25">
      <c r="A83" s="464">
        <v>1100000237</v>
      </c>
      <c r="B83" s="470">
        <f>VLOOKUP(A83,'Ref-Data'!A:I,9,FALSE)</f>
        <v>1</v>
      </c>
      <c r="C83" s="445">
        <f>IF(B83="Matured","",VLOOKUP(A83,'Adjustment Factor'!A:C,3,0))</f>
        <v>2.0299999999999998</v>
      </c>
      <c r="D83" s="190">
        <f>VLOOKUP(A83,'Ref-Data'!A:C,2,FALSE)</f>
        <v>7500000</v>
      </c>
      <c r="E83" s="471">
        <f>IFERROR(IF(VLOOKUP(A83,'Updated Ncino PD'!$A:$K,4,0)=0,"",VLOOKUP(A83,'Updated Ncino PD'!$A:$K,4,0)),AF83)</f>
        <v>1.4794530011509205E-2</v>
      </c>
      <c r="F83" s="472">
        <f>IFERROR(IF(VLOOKUP(A83,'Updated Ncino PD'!$A:$K,5,0)=0,"",VLOOKUP(A83,'Updated Ncino PD'!$A:$K,5,0)),1-((1-AG83)*(1-E83)))</f>
        <v>3.3211305442328087E-2</v>
      </c>
      <c r="G83" s="472">
        <f>IFERROR(IF(VLOOKUP(A83,'Updated Ncino PD'!$A:$K,6,0)=0,"",VLOOKUP(A83,'Updated Ncino PD'!$A:$K,6,0)),1-((1-AF83)*(1-AG83)*(1-AH83)))</f>
        <v>5.3351437527099699E-2</v>
      </c>
      <c r="H83" s="472">
        <f>IFERROR(IF(VLOOKUP(A83,'Updated Ncino PD'!$A:$K,7,0)=0,"",VLOOKUP(A83,'Updated Ncino PD'!$A:$K,7,0)),IFERROR(VLOOKUP(A83,'Updated Ncino PD'!A:B,2,FALSE),FLOOR(1-((1-AG83)*(1-AH83)*(1-AI83)*(1-AF83)),$R$11)))</f>
        <v>7.7899999999999997E-2</v>
      </c>
      <c r="I83" s="472">
        <f>IFERROR(IF(VLOOKUP(A83,'Updated Ncino PD'!$A:$K,8,0)=0,"",VLOOKUP(A83,'Updated Ncino PD'!$A:$K,8,0)),FLOOR(1-((1-H83)*(1-AJ83)),$R$11))</f>
        <v>0.11470000000000001</v>
      </c>
      <c r="J83" s="472">
        <f>IFERROR(IF(VLOOKUP(A83,'Updated Ncino PD'!$A:$K,9,0)=0,"",VLOOKUP(A83,'Updated Ncino PD'!$A:$K,9,0)),FLOOR(1-((1-H83)*(1-AJ83)*(1-AK83)),$R$11))</f>
        <v>0.13550000000000001</v>
      </c>
      <c r="K83" s="472">
        <f>IFERROR(IF(VLOOKUP(A83,'Updated Ncino PD'!$A:$K,10,0)=0,"",VLOOKUP(A83,'Updated Ncino PD'!$A:$K,10,0)),FLOOR(1-((1-H83)*(1-AJ83)*(1-AK83)*(1-AL83)),$R$11))</f>
        <v>0.1734</v>
      </c>
      <c r="L83" s="472">
        <f>IFERROR(IF(VLOOKUP(A83,'Updated Ncino PD'!$A:$K,11,0)=0,"",VLOOKUP(A83,'Updated Ncino PD'!$A:$K,11,0)),FLOOR(1-((1-H83)*(1-AJ83)*(1-AK83)*(1-AL83)*(1-AM83)),$R$11))</f>
        <v>0.20860000000000001</v>
      </c>
      <c r="M83" s="224">
        <f>VLOOKUP(A83,'Ref-Data'!$A:$F,6,FALSE)</f>
        <v>4.2956878850102669</v>
      </c>
      <c r="N83" s="191">
        <f t="shared" si="51"/>
        <v>7.7899999999999997E-2</v>
      </c>
      <c r="O83" s="191">
        <f t="shared" si="52"/>
        <v>0.20860000000000001</v>
      </c>
      <c r="P83" s="459" t="str">
        <f>VLOOKUP(A83,'Loan Book Summary'!C:G,5,FALSE)</f>
        <v>0014I00002BVyev</v>
      </c>
      <c r="Q83" s="355"/>
      <c r="R83" s="355"/>
      <c r="S83" s="203"/>
      <c r="T83" s="332">
        <f>IFERROR(VLOOKUP($P83,'Model Output-LoanNameUpdate'!$A:$K,2,FALSE),CL83)</f>
        <v>2.9614999999999999E-2</v>
      </c>
      <c r="U83" s="332">
        <f>1-(1-IFERROR(VLOOKUP($P83,'Model Output-LoanNameUpdate'!$A:$K,2,FALSE),CL83))^(1/4)</f>
        <v>7.4874232907891081E-3</v>
      </c>
      <c r="V83" s="332">
        <f>IFERROR(VLOOKUP($P83,'Model Output-LoanNameUpdate'!$A:$K,3,FALSE),CM83)</f>
        <v>2.384E-2</v>
      </c>
      <c r="W83" s="332">
        <f>IFERROR(VLOOKUP($P83,'Model Output-LoanNameUpdate'!$A:$K,4,FALSE),CN83)</f>
        <v>2.0969999999999999E-2</v>
      </c>
      <c r="X83" s="332">
        <f>IFERROR(VLOOKUP($P83,'Model Output-LoanNameUpdate'!$A:$K,5,FALSE),CO83)</f>
        <v>1.9209999999999998E-2</v>
      </c>
      <c r="Y83" s="332">
        <f>IFERROR(VLOOKUP($P83,'Model Output-LoanNameUpdate'!$A:$K,6,FALSE),CP83)</f>
        <v>1.7954999999999999E-2</v>
      </c>
      <c r="Z83" s="207">
        <f t="shared" si="53"/>
        <v>2.0299999999999998</v>
      </c>
      <c r="AA83" s="332">
        <f t="shared" si="54"/>
        <v>1.5199469280301888E-2</v>
      </c>
      <c r="AB83" s="332">
        <f t="shared" si="55"/>
        <v>4.8395199999999992E-2</v>
      </c>
      <c r="AC83" s="332">
        <f t="shared" si="56"/>
        <v>4.2569099999999992E-2</v>
      </c>
      <c r="AD83" s="332">
        <f t="shared" si="57"/>
        <v>3.8996299999999991E-2</v>
      </c>
      <c r="AE83" s="332">
        <f t="shared" si="58"/>
        <v>3.6448649999999992E-2</v>
      </c>
      <c r="AF83" s="332">
        <f>NORMSDIST((_xlfn.NORM.S.INV(AA83)-(SQRT(Baseline!$AF$11)*'MacroPD-Cal'!$R$2))/SQRT(1-Baseline!$AF$11))</f>
        <v>1.4794530011509205E-2</v>
      </c>
      <c r="AG83" s="332">
        <f>NORMSDIST((_xlfn.NORM.S.INV(AA83)-(SQRT(Baseline!$AF$11)*'MacroPD-Cal'!$R$3))/SQRT(1-Baseline!$AF$11))</f>
        <v>1.8693334529531213E-2</v>
      </c>
      <c r="AH83" s="332">
        <f>NORMSDIST((_xlfn.NORM.S.INV(AA83)-(SQRT(Baseline!$AF$11)*'MacroPD-Cal'!$R$4))/SQRT(1-Baseline!$AF$11))</f>
        <v>2.0831989656215619E-2</v>
      </c>
      <c r="AI83" s="332">
        <f>NORMSDIST((_xlfn.NORM.S.INV(AA83)-(SQRT(Baseline!$AF$11)*'MacroPD-Cal'!$R$5))/SQRT(1-Baseline!$AF$11))</f>
        <v>2.596232297798615E-2</v>
      </c>
      <c r="AJ83" s="332">
        <f>NORMSDIST((_xlfn.NORM.S.INV(AB83)-(SQRT(Baseline!$AF$11)*'MacroPD-Cal'!$R$6))/SQRT(1-Baseline!$AF$11))</f>
        <v>3.9996647968252641E-2</v>
      </c>
      <c r="AK83" s="332">
        <f>NORMSDIST((_xlfn.NORM.S.INV(AC83)-(SQRT(Baseline!$AF$11)*'MacroPD-Cal'!$R$7))/SQRT(1-Baseline!$AF$11))</f>
        <v>2.3510824066594993E-2</v>
      </c>
      <c r="AL83" s="332">
        <f>NORMSDIST((_xlfn.NORM.S.INV(AD83)-(SQRT(Baseline!$AF$11)*'MacroPD-Cal'!$R$8))/SQRT(1-Baseline!$AF$11))</f>
        <v>4.3765168486951743E-2</v>
      </c>
      <c r="AM83" s="332">
        <f>NORMSDIST((_xlfn.NORM.S.INV(AE83)-(SQRT(Baseline!$AF$11)*'MacroPD-Cal'!$R$9))/SQRT(1-Baseline!$AF$11))</f>
        <v>4.2652570856354273E-2</v>
      </c>
      <c r="CR83" s="345">
        <f t="shared" si="47"/>
        <v>0.18991694494877029</v>
      </c>
      <c r="CS83" s="345">
        <f t="shared" si="48"/>
        <v>0.42633254739830667</v>
      </c>
      <c r="CT83" s="345">
        <f t="shared" si="49"/>
        <v>0.6848708283324737</v>
      </c>
      <c r="CU83" s="345">
        <f t="shared" si="50"/>
        <v>1</v>
      </c>
    </row>
    <row r="84" spans="1:99" x14ac:dyDescent="0.25">
      <c r="A84" s="464">
        <v>1100000241</v>
      </c>
      <c r="B84" s="470">
        <f>VLOOKUP(A84,'Ref-Data'!A:I,9,FALSE)</f>
        <v>1</v>
      </c>
      <c r="C84" s="445">
        <f>IF(B84="Matured","",VLOOKUP(A84,'Adjustment Factor'!A:C,3,0))</f>
        <v>1.75</v>
      </c>
      <c r="D84" s="190">
        <f>VLOOKUP(A84,'Ref-Data'!A:C,2,FALSE)</f>
        <v>4953225</v>
      </c>
      <c r="E84" s="471">
        <f>IFERROR(IF(VLOOKUP(A84,'Updated Ncino PD'!$A:$K,4,0)=0,"",VLOOKUP(A84,'Updated Ncino PD'!$A:$K,4,0)),AF84)</f>
        <v>5.8416686889706238E-4</v>
      </c>
      <c r="F84" s="472">
        <f>IFERROR(IF(VLOOKUP(A84,'Updated Ncino PD'!$A:$K,5,0)=0,"",VLOOKUP(A84,'Updated Ncino PD'!$A:$K,5,0)),1-((1-AG84)*(1-E84)))</f>
        <v>1.3931759118497311E-3</v>
      </c>
      <c r="G84" s="472">
        <f>IFERROR(IF(VLOOKUP(A84,'Updated Ncino PD'!$A:$K,6,0)=0,"",VLOOKUP(A84,'Updated Ncino PD'!$A:$K,6,0)),1-((1-AF84)*(1-AG84)*(1-AH84)))</f>
        <v>2.3342496881620933E-3</v>
      </c>
      <c r="H84" s="472">
        <f>IFERROR(IF(VLOOKUP(A84,'Updated Ncino PD'!$A:$K,7,0)=0,"",VLOOKUP(A84,'Updated Ncino PD'!$A:$K,7,0)),IFERROR(VLOOKUP(A84,'Updated Ncino PD'!A:B,2,FALSE),FLOOR(1-((1-AG84)*(1-AH84)*(1-AI84)*(1-AF84)),$R$11)))</f>
        <v>3.6000000000000003E-3</v>
      </c>
      <c r="I84" s="472">
        <f>IFERROR(IF(VLOOKUP(A84,'Updated Ncino PD'!$A:$K,8,0)=0,"",VLOOKUP(A84,'Updated Ncino PD'!$A:$K,8,0)),FLOOR(1-((1-H84)*(1-AJ84)),$R$11))</f>
        <v>5.4000000000000003E-3</v>
      </c>
      <c r="J84" s="472">
        <f>IFERROR(IF(VLOOKUP(A84,'Updated Ncino PD'!$A:$K,9,0)=0,"",VLOOKUP(A84,'Updated Ncino PD'!$A:$K,9,0)),FLOOR(1-((1-H84)*(1-AJ84)*(1-AK84)),$R$11))</f>
        <v>6.4000000000000003E-3</v>
      </c>
      <c r="K84" s="472">
        <f>IFERROR(IF(VLOOKUP(A84,'Updated Ncino PD'!$A:$K,10,0)=0,"",VLOOKUP(A84,'Updated Ncino PD'!$A:$K,10,0)),FLOOR(1-((1-H84)*(1-AJ84)*(1-AK84)*(1-AL84)),$R$11))</f>
        <v>9.1999999999999998E-3</v>
      </c>
      <c r="L84" s="472">
        <f>IFERROR(IF(VLOOKUP(A84,'Updated Ncino PD'!$A:$K,11,0)=0,"",VLOOKUP(A84,'Updated Ncino PD'!$A:$K,11,0)),FLOOR(1-((1-H84)*(1-AJ84)*(1-AK84)*(1-AL84)*(1-AM84)),$R$11))</f>
        <v>1.2200000000000001E-2</v>
      </c>
      <c r="M84" s="224">
        <f>VLOOKUP(A84,'Ref-Data'!$A:$F,6,FALSE)</f>
        <v>4.4052019164955514</v>
      </c>
      <c r="N84" s="191">
        <f t="shared" si="51"/>
        <v>3.6000000000000003E-3</v>
      </c>
      <c r="O84" s="191">
        <f t="shared" si="52"/>
        <v>1.2200000000000001E-2</v>
      </c>
      <c r="P84" s="459" t="str">
        <f>VLOOKUP(A84,'Loan Book Summary'!C:G,5,FALSE)</f>
        <v>0014I000027xjkG</v>
      </c>
      <c r="Q84" s="355"/>
      <c r="R84" s="355"/>
      <c r="S84" s="203"/>
      <c r="T84" s="332">
        <f>IFERROR(VLOOKUP($P84,'Model Output-LoanNameUpdate'!$A:$K,2,FALSE),CL84)</f>
        <v>1.9650000000000002E-3</v>
      </c>
      <c r="U84" s="332">
        <f>1-(1-IFERROR(VLOOKUP($P84,'Model Output-LoanNameUpdate'!$A:$K,2,FALSE),CL84))^(1/4)</f>
        <v>4.9161240533601713E-4</v>
      </c>
      <c r="V84" s="332">
        <f>IFERROR(VLOOKUP($P84,'Model Output-LoanNameUpdate'!$A:$K,3,FALSE),CM84)</f>
        <v>1.9249999999999998E-3</v>
      </c>
      <c r="W84" s="332">
        <f>IFERROR(VLOOKUP($P84,'Model Output-LoanNameUpdate'!$A:$K,4,FALSE),CN84)</f>
        <v>1.885E-3</v>
      </c>
      <c r="X84" s="332">
        <f>IFERROR(VLOOKUP($P84,'Model Output-LoanNameUpdate'!$A:$K,5,FALSE),CO84)</f>
        <v>1.885E-3</v>
      </c>
      <c r="Y84" s="332">
        <f>IFERROR(VLOOKUP($P84,'Model Output-LoanNameUpdate'!$A:$K,6,FALSE),CP84)</f>
        <v>1.8450000000000001E-3</v>
      </c>
      <c r="Z84" s="207">
        <f t="shared" si="53"/>
        <v>1.75</v>
      </c>
      <c r="AA84" s="332">
        <f t="shared" si="54"/>
        <v>8.6032170933802998E-4</v>
      </c>
      <c r="AB84" s="332">
        <f t="shared" si="55"/>
        <v>3.3687499999999998E-3</v>
      </c>
      <c r="AC84" s="332">
        <f t="shared" si="56"/>
        <v>3.29875E-3</v>
      </c>
      <c r="AD84" s="332">
        <f t="shared" si="57"/>
        <v>3.29875E-3</v>
      </c>
      <c r="AE84" s="332">
        <f t="shared" si="58"/>
        <v>3.2287500000000003E-3</v>
      </c>
      <c r="AF84" s="332">
        <f>NORMSDIST((_xlfn.NORM.S.INV(AA84)-(SQRT(Baseline!$AF$11)*'MacroPD-Cal'!$R$2))/SQRT(1-Baseline!$AF$11))</f>
        <v>5.8416686889706238E-4</v>
      </c>
      <c r="AG84" s="332">
        <f>NORMSDIST((_xlfn.NORM.S.INV(AA84)-(SQRT(Baseline!$AF$11)*'MacroPD-Cal'!$R$3))/SQRT(1-Baseline!$AF$11))</f>
        <v>8.0948191546865067E-4</v>
      </c>
      <c r="AH84" s="332">
        <f>NORMSDIST((_xlfn.NORM.S.INV(AA84)-(SQRT(Baseline!$AF$11)*'MacroPD-Cal'!$R$4))/SQRT(1-Baseline!$AF$11))</f>
        <v>9.4238668674398278E-4</v>
      </c>
      <c r="AI84" s="332">
        <f>NORMSDIST((_xlfn.NORM.S.INV(AA84)-(SQRT(Baseline!$AF$11)*'MacroPD-Cal'!$R$5))/SQRT(1-Baseline!$AF$11))</f>
        <v>1.2861256372253191E-3</v>
      </c>
      <c r="AJ84" s="332">
        <f>NORMSDIST((_xlfn.NORM.S.INV(AB84)-(SQRT(Baseline!$AF$11)*'MacroPD-Cal'!$R$6))/SQRT(1-Baseline!$AF$11))</f>
        <v>1.8124977977300872E-3</v>
      </c>
      <c r="AK84" s="332">
        <f>NORMSDIST((_xlfn.NORM.S.INV(AC84)-(SQRT(Baseline!$AF$11)*'MacroPD-Cal'!$R$7))/SQRT(1-Baseline!$AF$11))</f>
        <v>1.0185416896654447E-3</v>
      </c>
      <c r="AL84" s="332">
        <f>NORMSDIST((_xlfn.NORM.S.INV(AD84)-(SQRT(Baseline!$AF$11)*'MacroPD-Cal'!$R$8))/SQRT(1-Baseline!$AF$11))</f>
        <v>2.8711430930863525E-3</v>
      </c>
      <c r="AM84" s="332">
        <f>NORMSDIST((_xlfn.NORM.S.INV(AE84)-(SQRT(Baseline!$AF$11)*'MacroPD-Cal'!$R$9))/SQRT(1-Baseline!$AF$11))</f>
        <v>2.999352965742514E-3</v>
      </c>
      <c r="CR84" s="345">
        <f t="shared" si="47"/>
        <v>0.16226857469362843</v>
      </c>
      <c r="CS84" s="345">
        <f t="shared" si="48"/>
        <v>0.3869933088471475</v>
      </c>
      <c r="CT84" s="345">
        <f t="shared" si="49"/>
        <v>0.64840269115613702</v>
      </c>
      <c r="CU84" s="345">
        <f t="shared" si="50"/>
        <v>1</v>
      </c>
    </row>
    <row r="85" spans="1:99" x14ac:dyDescent="0.25">
      <c r="A85" s="464">
        <v>1100000242</v>
      </c>
      <c r="B85" s="470">
        <f>VLOOKUP(A85,'Ref-Data'!A:I,9,FALSE)</f>
        <v>1</v>
      </c>
      <c r="C85" s="445">
        <f>IF(B85="Matured","",VLOOKUP(A85,'Adjustment Factor'!A:C,3,0))</f>
        <v>1.75</v>
      </c>
      <c r="D85" s="190">
        <f>VLOOKUP(A85,'Ref-Data'!A:C,2,FALSE)</f>
        <v>1691086</v>
      </c>
      <c r="E85" s="471">
        <f>IFERROR(IF(VLOOKUP(A85,'Updated Ncino PD'!$A:$K,4,0)=0,"",VLOOKUP(A85,'Updated Ncino PD'!$A:$K,4,0)),AF85)</f>
        <v>5.8416686889706238E-4</v>
      </c>
      <c r="F85" s="472">
        <f>IFERROR(IF(VLOOKUP(A85,'Updated Ncino PD'!$A:$K,5,0)=0,"",VLOOKUP(A85,'Updated Ncino PD'!$A:$K,5,0)),1-((1-AG85)*(1-E85)))</f>
        <v>1.3931759118497311E-3</v>
      </c>
      <c r="G85" s="472">
        <f>IFERROR(IF(VLOOKUP(A85,'Updated Ncino PD'!$A:$K,6,0)=0,"",VLOOKUP(A85,'Updated Ncino PD'!$A:$K,6,0)),1-((1-AF85)*(1-AG85)*(1-AH85)))</f>
        <v>2.3342496881620933E-3</v>
      </c>
      <c r="H85" s="472">
        <f>IFERROR(IF(VLOOKUP(A85,'Updated Ncino PD'!$A:$K,7,0)=0,"",VLOOKUP(A85,'Updated Ncino PD'!$A:$K,7,0)),IFERROR(VLOOKUP(A85,'Updated Ncino PD'!A:B,2,FALSE),FLOOR(1-((1-AG85)*(1-AH85)*(1-AI85)*(1-AF85)),$R$11)))</f>
        <v>3.6000000000000003E-3</v>
      </c>
      <c r="I85" s="472">
        <f>IFERROR(IF(VLOOKUP(A85,'Updated Ncino PD'!$A:$K,8,0)=0,"",VLOOKUP(A85,'Updated Ncino PD'!$A:$K,8,0)),FLOOR(1-((1-H85)*(1-AJ85)),$R$11))</f>
        <v>5.4000000000000003E-3</v>
      </c>
      <c r="J85" s="472">
        <f>IFERROR(IF(VLOOKUP(A85,'Updated Ncino PD'!$A:$K,9,0)=0,"",VLOOKUP(A85,'Updated Ncino PD'!$A:$K,9,0)),FLOOR(1-((1-H85)*(1-AJ85)*(1-AK85)),$R$11))</f>
        <v>6.4000000000000003E-3</v>
      </c>
      <c r="K85" s="472">
        <f>IFERROR(IF(VLOOKUP(A85,'Updated Ncino PD'!$A:$K,10,0)=0,"",VLOOKUP(A85,'Updated Ncino PD'!$A:$K,10,0)),FLOOR(1-((1-H85)*(1-AJ85)*(1-AK85)*(1-AL85)),$R$11))</f>
        <v>9.1999999999999998E-3</v>
      </c>
      <c r="L85" s="472">
        <f>IFERROR(IF(VLOOKUP(A85,'Updated Ncino PD'!$A:$K,11,0)=0,"",VLOOKUP(A85,'Updated Ncino PD'!$A:$K,11,0)),FLOOR(1-((1-H85)*(1-AJ85)*(1-AK85)*(1-AL85)*(1-AM85)),$R$11))</f>
        <v>1.2200000000000001E-2</v>
      </c>
      <c r="M85" s="224">
        <f>VLOOKUP(A85,'Ref-Data'!$A:$F,6,FALSE)</f>
        <v>4.4052019164955514</v>
      </c>
      <c r="N85" s="191">
        <f t="shared" si="51"/>
        <v>3.6000000000000003E-3</v>
      </c>
      <c r="O85" s="191">
        <f t="shared" si="52"/>
        <v>1.2200000000000001E-2</v>
      </c>
      <c r="P85" s="459" t="str">
        <f>VLOOKUP(A85,'Loan Book Summary'!C:G,5,FALSE)</f>
        <v>0014I000027xjiZ</v>
      </c>
      <c r="Q85" s="355"/>
      <c r="R85" s="355"/>
      <c r="S85" s="203"/>
      <c r="T85" s="332">
        <f>IFERROR(VLOOKUP($P85,'Model Output-LoanNameUpdate'!$A:$K,2,FALSE),CL85)</f>
        <v>1.9650000000000002E-3</v>
      </c>
      <c r="U85" s="332">
        <f>1-(1-IFERROR(VLOOKUP($P85,'Model Output-LoanNameUpdate'!$A:$K,2,FALSE),CL85))^(1/4)</f>
        <v>4.9161240533601713E-4</v>
      </c>
      <c r="V85" s="332">
        <f>IFERROR(VLOOKUP($P85,'Model Output-LoanNameUpdate'!$A:$K,3,FALSE),CM85)</f>
        <v>1.9249999999999998E-3</v>
      </c>
      <c r="W85" s="332">
        <f>IFERROR(VLOOKUP($P85,'Model Output-LoanNameUpdate'!$A:$K,4,FALSE),CN85)</f>
        <v>1.885E-3</v>
      </c>
      <c r="X85" s="332">
        <f>IFERROR(VLOOKUP($P85,'Model Output-LoanNameUpdate'!$A:$K,5,FALSE),CO85)</f>
        <v>1.885E-3</v>
      </c>
      <c r="Y85" s="332">
        <f>IFERROR(VLOOKUP($P85,'Model Output-LoanNameUpdate'!$A:$K,6,FALSE),CP85)</f>
        <v>1.8450000000000001E-3</v>
      </c>
      <c r="Z85" s="207">
        <f t="shared" si="53"/>
        <v>1.75</v>
      </c>
      <c r="AA85" s="332">
        <f t="shared" si="54"/>
        <v>8.6032170933802998E-4</v>
      </c>
      <c r="AB85" s="332">
        <f t="shared" si="55"/>
        <v>3.3687499999999998E-3</v>
      </c>
      <c r="AC85" s="332">
        <f t="shared" si="56"/>
        <v>3.29875E-3</v>
      </c>
      <c r="AD85" s="332">
        <f t="shared" si="57"/>
        <v>3.29875E-3</v>
      </c>
      <c r="AE85" s="332">
        <f t="shared" si="58"/>
        <v>3.2287500000000003E-3</v>
      </c>
      <c r="AF85" s="332">
        <f>NORMSDIST((_xlfn.NORM.S.INV(AA85)-(SQRT(Baseline!$AF$11)*'MacroPD-Cal'!$R$2))/SQRT(1-Baseline!$AF$11))</f>
        <v>5.8416686889706238E-4</v>
      </c>
      <c r="AG85" s="332">
        <f>NORMSDIST((_xlfn.NORM.S.INV(AA85)-(SQRT(Baseline!$AF$11)*'MacroPD-Cal'!$R$3))/SQRT(1-Baseline!$AF$11))</f>
        <v>8.0948191546865067E-4</v>
      </c>
      <c r="AH85" s="332">
        <f>NORMSDIST((_xlfn.NORM.S.INV(AA85)-(SQRT(Baseline!$AF$11)*'MacroPD-Cal'!$R$4))/SQRT(1-Baseline!$AF$11))</f>
        <v>9.4238668674398278E-4</v>
      </c>
      <c r="AI85" s="332">
        <f>NORMSDIST((_xlfn.NORM.S.INV(AA85)-(SQRT(Baseline!$AF$11)*'MacroPD-Cal'!$R$5))/SQRT(1-Baseline!$AF$11))</f>
        <v>1.2861256372253191E-3</v>
      </c>
      <c r="AJ85" s="332">
        <f>NORMSDIST((_xlfn.NORM.S.INV(AB85)-(SQRT(Baseline!$AF$11)*'MacroPD-Cal'!$R$6))/SQRT(1-Baseline!$AF$11))</f>
        <v>1.8124977977300872E-3</v>
      </c>
      <c r="AK85" s="332">
        <f>NORMSDIST((_xlfn.NORM.S.INV(AC85)-(SQRT(Baseline!$AF$11)*'MacroPD-Cal'!$R$7))/SQRT(1-Baseline!$AF$11))</f>
        <v>1.0185416896654447E-3</v>
      </c>
      <c r="AL85" s="332">
        <f>NORMSDIST((_xlfn.NORM.S.INV(AD85)-(SQRT(Baseline!$AF$11)*'MacroPD-Cal'!$R$8))/SQRT(1-Baseline!$AF$11))</f>
        <v>2.8711430930863525E-3</v>
      </c>
      <c r="AM85" s="332">
        <f>NORMSDIST((_xlfn.NORM.S.INV(AE85)-(SQRT(Baseline!$AF$11)*'MacroPD-Cal'!$R$9))/SQRT(1-Baseline!$AF$11))</f>
        <v>2.999352965742514E-3</v>
      </c>
      <c r="CR85" s="345">
        <f t="shared" si="47"/>
        <v>0.16226857469362843</v>
      </c>
      <c r="CS85" s="345">
        <f t="shared" si="48"/>
        <v>0.3869933088471475</v>
      </c>
      <c r="CT85" s="345">
        <f t="shared" si="49"/>
        <v>0.64840269115613702</v>
      </c>
      <c r="CU85" s="345">
        <f t="shared" si="50"/>
        <v>1</v>
      </c>
    </row>
    <row r="86" spans="1:99" x14ac:dyDescent="0.25">
      <c r="A86" s="464">
        <v>1100000243</v>
      </c>
      <c r="B86" s="470">
        <f>VLOOKUP(A86,'Ref-Data'!A:I,9,FALSE)</f>
        <v>1</v>
      </c>
      <c r="C86" s="445">
        <f>IF(B86="Matured","",VLOOKUP(A86,'Adjustment Factor'!A:C,3,0))</f>
        <v>1.75</v>
      </c>
      <c r="D86" s="190">
        <f>VLOOKUP(A86,'Ref-Data'!A:C,2,FALSE)</f>
        <v>3695245</v>
      </c>
      <c r="E86" s="471">
        <f>IFERROR(IF(VLOOKUP(A86,'Updated Ncino PD'!$A:$K,4,0)=0,"",VLOOKUP(A86,'Updated Ncino PD'!$A:$K,4,0)),AF86)</f>
        <v>5.8416686889706238E-4</v>
      </c>
      <c r="F86" s="472">
        <f>IFERROR(IF(VLOOKUP(A86,'Updated Ncino PD'!$A:$K,5,0)=0,"",VLOOKUP(A86,'Updated Ncino PD'!$A:$K,5,0)),1-((1-AG86)*(1-E86)))</f>
        <v>1.3931759118497311E-3</v>
      </c>
      <c r="G86" s="472">
        <f>IFERROR(IF(VLOOKUP(A86,'Updated Ncino PD'!$A:$K,6,0)=0,"",VLOOKUP(A86,'Updated Ncino PD'!$A:$K,6,0)),1-((1-AF86)*(1-AG86)*(1-AH86)))</f>
        <v>2.3342496881620933E-3</v>
      </c>
      <c r="H86" s="472">
        <f>IFERROR(IF(VLOOKUP(A86,'Updated Ncino PD'!$A:$K,7,0)=0,"",VLOOKUP(A86,'Updated Ncino PD'!$A:$K,7,0)),IFERROR(VLOOKUP(A86,'Updated Ncino PD'!A:B,2,FALSE),FLOOR(1-((1-AG86)*(1-AH86)*(1-AI86)*(1-AF86)),$R$11)))</f>
        <v>3.6000000000000003E-3</v>
      </c>
      <c r="I86" s="472">
        <f>IFERROR(IF(VLOOKUP(A86,'Updated Ncino PD'!$A:$K,8,0)=0,"",VLOOKUP(A86,'Updated Ncino PD'!$A:$K,8,0)),FLOOR(1-((1-H86)*(1-AJ86)),$R$11))</f>
        <v>5.4000000000000003E-3</v>
      </c>
      <c r="J86" s="472">
        <f>IFERROR(IF(VLOOKUP(A86,'Updated Ncino PD'!$A:$K,9,0)=0,"",VLOOKUP(A86,'Updated Ncino PD'!$A:$K,9,0)),FLOOR(1-((1-H86)*(1-AJ86)*(1-AK86)),$R$11))</f>
        <v>6.4000000000000003E-3</v>
      </c>
      <c r="K86" s="472">
        <f>IFERROR(IF(VLOOKUP(A86,'Updated Ncino PD'!$A:$K,10,0)=0,"",VLOOKUP(A86,'Updated Ncino PD'!$A:$K,10,0)),FLOOR(1-((1-H86)*(1-AJ86)*(1-AK86)*(1-AL86)),$R$11))</f>
        <v>9.1999999999999998E-3</v>
      </c>
      <c r="L86" s="472">
        <f>IFERROR(IF(VLOOKUP(A86,'Updated Ncino PD'!$A:$K,11,0)=0,"",VLOOKUP(A86,'Updated Ncino PD'!$A:$K,11,0)),FLOOR(1-((1-H86)*(1-AJ86)*(1-AK86)*(1-AL86)*(1-AM86)),$R$11))</f>
        <v>1.2200000000000001E-2</v>
      </c>
      <c r="M86" s="224">
        <f>VLOOKUP(A86,'Ref-Data'!$A:$F,6,FALSE)</f>
        <v>4.4052019164955514</v>
      </c>
      <c r="N86" s="191">
        <f t="shared" si="51"/>
        <v>3.6000000000000003E-3</v>
      </c>
      <c r="O86" s="191">
        <f t="shared" si="52"/>
        <v>1.2200000000000001E-2</v>
      </c>
      <c r="P86" s="459" t="str">
        <f>VLOOKUP(A86,'Loan Book Summary'!C:G,5,FALSE)</f>
        <v>0014I000027xjgR</v>
      </c>
      <c r="Q86" s="355"/>
      <c r="R86" s="355"/>
      <c r="S86" s="203"/>
      <c r="T86" s="332">
        <f>IFERROR(VLOOKUP($P86,'Model Output-LoanNameUpdate'!$A:$K,2,FALSE),CL86)</f>
        <v>1.9650000000000002E-3</v>
      </c>
      <c r="U86" s="332">
        <f>1-(1-IFERROR(VLOOKUP($P86,'Model Output-LoanNameUpdate'!$A:$K,2,FALSE),CL86))^(1/4)</f>
        <v>4.9161240533601713E-4</v>
      </c>
      <c r="V86" s="332">
        <f>IFERROR(VLOOKUP($P86,'Model Output-LoanNameUpdate'!$A:$K,3,FALSE),CM86)</f>
        <v>1.9249999999999998E-3</v>
      </c>
      <c r="W86" s="332">
        <f>IFERROR(VLOOKUP($P86,'Model Output-LoanNameUpdate'!$A:$K,4,FALSE),CN86)</f>
        <v>1.885E-3</v>
      </c>
      <c r="X86" s="332">
        <f>IFERROR(VLOOKUP($P86,'Model Output-LoanNameUpdate'!$A:$K,5,FALSE),CO86)</f>
        <v>1.885E-3</v>
      </c>
      <c r="Y86" s="332">
        <f>IFERROR(VLOOKUP($P86,'Model Output-LoanNameUpdate'!$A:$K,6,FALSE),CP86)</f>
        <v>1.8450000000000001E-3</v>
      </c>
      <c r="Z86" s="207">
        <f t="shared" si="53"/>
        <v>1.75</v>
      </c>
      <c r="AA86" s="332">
        <f t="shared" si="54"/>
        <v>8.6032170933802998E-4</v>
      </c>
      <c r="AB86" s="332">
        <f t="shared" si="55"/>
        <v>3.3687499999999998E-3</v>
      </c>
      <c r="AC86" s="332">
        <f t="shared" si="56"/>
        <v>3.29875E-3</v>
      </c>
      <c r="AD86" s="332">
        <f t="shared" si="57"/>
        <v>3.29875E-3</v>
      </c>
      <c r="AE86" s="332">
        <f t="shared" si="58"/>
        <v>3.2287500000000003E-3</v>
      </c>
      <c r="AF86" s="332">
        <f>NORMSDIST((_xlfn.NORM.S.INV(AA86)-(SQRT(Baseline!$AF$11)*'MacroPD-Cal'!$R$2))/SQRT(1-Baseline!$AF$11))</f>
        <v>5.8416686889706238E-4</v>
      </c>
      <c r="AG86" s="332">
        <f>NORMSDIST((_xlfn.NORM.S.INV(AA86)-(SQRT(Baseline!$AF$11)*'MacroPD-Cal'!$R$3))/SQRT(1-Baseline!$AF$11))</f>
        <v>8.0948191546865067E-4</v>
      </c>
      <c r="AH86" s="332">
        <f>NORMSDIST((_xlfn.NORM.S.INV(AA86)-(SQRT(Baseline!$AF$11)*'MacroPD-Cal'!$R$4))/SQRT(1-Baseline!$AF$11))</f>
        <v>9.4238668674398278E-4</v>
      </c>
      <c r="AI86" s="332">
        <f>NORMSDIST((_xlfn.NORM.S.INV(AA86)-(SQRT(Baseline!$AF$11)*'MacroPD-Cal'!$R$5))/SQRT(1-Baseline!$AF$11))</f>
        <v>1.2861256372253191E-3</v>
      </c>
      <c r="AJ86" s="332">
        <f>NORMSDIST((_xlfn.NORM.S.INV(AB86)-(SQRT(Baseline!$AF$11)*'MacroPD-Cal'!$R$6))/SQRT(1-Baseline!$AF$11))</f>
        <v>1.8124977977300872E-3</v>
      </c>
      <c r="AK86" s="332">
        <f>NORMSDIST((_xlfn.NORM.S.INV(AC86)-(SQRT(Baseline!$AF$11)*'MacroPD-Cal'!$R$7))/SQRT(1-Baseline!$AF$11))</f>
        <v>1.0185416896654447E-3</v>
      </c>
      <c r="AL86" s="332">
        <f>NORMSDIST((_xlfn.NORM.S.INV(AD86)-(SQRT(Baseline!$AF$11)*'MacroPD-Cal'!$R$8))/SQRT(1-Baseline!$AF$11))</f>
        <v>2.8711430930863525E-3</v>
      </c>
      <c r="AM86" s="332">
        <f>NORMSDIST((_xlfn.NORM.S.INV(AE86)-(SQRT(Baseline!$AF$11)*'MacroPD-Cal'!$R$9))/SQRT(1-Baseline!$AF$11))</f>
        <v>2.999352965742514E-3</v>
      </c>
      <c r="CR86" s="345">
        <f t="shared" si="47"/>
        <v>0.16226857469362843</v>
      </c>
      <c r="CS86" s="345">
        <f t="shared" si="48"/>
        <v>0.3869933088471475</v>
      </c>
      <c r="CT86" s="345">
        <f t="shared" si="49"/>
        <v>0.64840269115613702</v>
      </c>
      <c r="CU86" s="345">
        <f t="shared" si="50"/>
        <v>1</v>
      </c>
    </row>
    <row r="87" spans="1:99" x14ac:dyDescent="0.25">
      <c r="A87" s="464">
        <v>1100000245</v>
      </c>
      <c r="B87" s="470">
        <f>VLOOKUP(A87,'Ref-Data'!A:I,9,FALSE)</f>
        <v>1</v>
      </c>
      <c r="C87" s="445">
        <f>IF(B87="Matured","",VLOOKUP(A87,'Adjustment Factor'!A:C,3,0))</f>
        <v>1.75</v>
      </c>
      <c r="D87" s="190">
        <f>VLOOKUP(A87,'Ref-Data'!A:C,2,FALSE)</f>
        <v>2378209</v>
      </c>
      <c r="E87" s="471">
        <f>IFERROR(IF(VLOOKUP(A87,'Updated Ncino PD'!$A:$K,4,0)=0,"",VLOOKUP(A87,'Updated Ncino PD'!$A:$K,4,0)),AF87)</f>
        <v>5.8416686889706238E-4</v>
      </c>
      <c r="F87" s="472">
        <f>IFERROR(IF(VLOOKUP(A87,'Updated Ncino PD'!$A:$K,5,0)=0,"",VLOOKUP(A87,'Updated Ncino PD'!$A:$K,5,0)),1-((1-AG87)*(1-E87)))</f>
        <v>1.3931759118497311E-3</v>
      </c>
      <c r="G87" s="472">
        <f>IFERROR(IF(VLOOKUP(A87,'Updated Ncino PD'!$A:$K,6,0)=0,"",VLOOKUP(A87,'Updated Ncino PD'!$A:$K,6,0)),1-((1-AF87)*(1-AG87)*(1-AH87)))</f>
        <v>2.3342496881620933E-3</v>
      </c>
      <c r="H87" s="472">
        <f>IFERROR(IF(VLOOKUP(A87,'Updated Ncino PD'!$A:$K,7,0)=0,"",VLOOKUP(A87,'Updated Ncino PD'!$A:$K,7,0)),IFERROR(VLOOKUP(A87,'Updated Ncino PD'!A:B,2,FALSE),FLOOR(1-((1-AG87)*(1-AH87)*(1-AI87)*(1-AF87)),$R$11)))</f>
        <v>3.6000000000000003E-3</v>
      </c>
      <c r="I87" s="472">
        <f>IFERROR(IF(VLOOKUP(A87,'Updated Ncino PD'!$A:$K,8,0)=0,"",VLOOKUP(A87,'Updated Ncino PD'!$A:$K,8,0)),FLOOR(1-((1-H87)*(1-AJ87)),$R$11))</f>
        <v>5.4000000000000003E-3</v>
      </c>
      <c r="J87" s="472">
        <f>IFERROR(IF(VLOOKUP(A87,'Updated Ncino PD'!$A:$K,9,0)=0,"",VLOOKUP(A87,'Updated Ncino PD'!$A:$K,9,0)),FLOOR(1-((1-H87)*(1-AJ87)*(1-AK87)),$R$11))</f>
        <v>6.4000000000000003E-3</v>
      </c>
      <c r="K87" s="472">
        <f>IFERROR(IF(VLOOKUP(A87,'Updated Ncino PD'!$A:$K,10,0)=0,"",VLOOKUP(A87,'Updated Ncino PD'!$A:$K,10,0)),FLOOR(1-((1-H87)*(1-AJ87)*(1-AK87)*(1-AL87)),$R$11))</f>
        <v>9.1999999999999998E-3</v>
      </c>
      <c r="L87" s="472">
        <f>IFERROR(IF(VLOOKUP(A87,'Updated Ncino PD'!$A:$K,11,0)=0,"",VLOOKUP(A87,'Updated Ncino PD'!$A:$K,11,0)),FLOOR(1-((1-H87)*(1-AJ87)*(1-AK87)*(1-AL87)*(1-AM87)),$R$11))</f>
        <v>1.2200000000000001E-2</v>
      </c>
      <c r="M87" s="224">
        <f>VLOOKUP(A87,'Ref-Data'!$A:$F,6,FALSE)</f>
        <v>4.4052019164955514</v>
      </c>
      <c r="N87" s="191">
        <f t="shared" si="51"/>
        <v>3.6000000000000003E-3</v>
      </c>
      <c r="O87" s="191">
        <f t="shared" si="52"/>
        <v>1.2200000000000001E-2</v>
      </c>
      <c r="P87" s="459" t="str">
        <f>VLOOKUP(A87,'Loan Book Summary'!C:G,5,FALSE)</f>
        <v>0014I000027xjnF</v>
      </c>
      <c r="Q87" s="355"/>
      <c r="R87" s="355"/>
      <c r="S87" s="203"/>
      <c r="T87" s="332">
        <f>IFERROR(VLOOKUP($P87,'Model Output-LoanNameUpdate'!$A:$K,2,FALSE),CL87)</f>
        <v>1.9650000000000002E-3</v>
      </c>
      <c r="U87" s="332">
        <f>1-(1-IFERROR(VLOOKUP($P87,'Model Output-LoanNameUpdate'!$A:$K,2,FALSE),CL87))^(1/4)</f>
        <v>4.9161240533601713E-4</v>
      </c>
      <c r="V87" s="332">
        <f>IFERROR(VLOOKUP($P87,'Model Output-LoanNameUpdate'!$A:$K,3,FALSE),CM87)</f>
        <v>1.9249999999999998E-3</v>
      </c>
      <c r="W87" s="332">
        <f>IFERROR(VLOOKUP($P87,'Model Output-LoanNameUpdate'!$A:$K,4,FALSE),CN87)</f>
        <v>1.885E-3</v>
      </c>
      <c r="X87" s="332">
        <f>IFERROR(VLOOKUP($P87,'Model Output-LoanNameUpdate'!$A:$K,5,FALSE),CO87)</f>
        <v>1.885E-3</v>
      </c>
      <c r="Y87" s="332">
        <f>IFERROR(VLOOKUP($P87,'Model Output-LoanNameUpdate'!$A:$K,6,FALSE),CP87)</f>
        <v>1.8450000000000001E-3</v>
      </c>
      <c r="Z87" s="207">
        <f t="shared" si="53"/>
        <v>1.75</v>
      </c>
      <c r="AA87" s="332">
        <f t="shared" si="54"/>
        <v>8.6032170933802998E-4</v>
      </c>
      <c r="AB87" s="332">
        <f t="shared" si="55"/>
        <v>3.3687499999999998E-3</v>
      </c>
      <c r="AC87" s="332">
        <f t="shared" si="56"/>
        <v>3.29875E-3</v>
      </c>
      <c r="AD87" s="332">
        <f t="shared" si="57"/>
        <v>3.29875E-3</v>
      </c>
      <c r="AE87" s="332">
        <f t="shared" si="58"/>
        <v>3.2287500000000003E-3</v>
      </c>
      <c r="AF87" s="332">
        <f>NORMSDIST((_xlfn.NORM.S.INV(AA87)-(SQRT(Baseline!$AF$11)*'MacroPD-Cal'!$R$2))/SQRT(1-Baseline!$AF$11))</f>
        <v>5.8416686889706238E-4</v>
      </c>
      <c r="AG87" s="332">
        <f>NORMSDIST((_xlfn.NORM.S.INV(AA87)-(SQRT(Baseline!$AF$11)*'MacroPD-Cal'!$R$3))/SQRT(1-Baseline!$AF$11))</f>
        <v>8.0948191546865067E-4</v>
      </c>
      <c r="AH87" s="332">
        <f>NORMSDIST((_xlfn.NORM.S.INV(AA87)-(SQRT(Baseline!$AF$11)*'MacroPD-Cal'!$R$4))/SQRT(1-Baseline!$AF$11))</f>
        <v>9.4238668674398278E-4</v>
      </c>
      <c r="AI87" s="332">
        <f>NORMSDIST((_xlfn.NORM.S.INV(AA87)-(SQRT(Baseline!$AF$11)*'MacroPD-Cal'!$R$5))/SQRT(1-Baseline!$AF$11))</f>
        <v>1.2861256372253191E-3</v>
      </c>
      <c r="AJ87" s="332">
        <f>NORMSDIST((_xlfn.NORM.S.INV(AB87)-(SQRT(Baseline!$AF$11)*'MacroPD-Cal'!$R$6))/SQRT(1-Baseline!$AF$11))</f>
        <v>1.8124977977300872E-3</v>
      </c>
      <c r="AK87" s="332">
        <f>NORMSDIST((_xlfn.NORM.S.INV(AC87)-(SQRT(Baseline!$AF$11)*'MacroPD-Cal'!$R$7))/SQRT(1-Baseline!$AF$11))</f>
        <v>1.0185416896654447E-3</v>
      </c>
      <c r="AL87" s="332">
        <f>NORMSDIST((_xlfn.NORM.S.INV(AD87)-(SQRT(Baseline!$AF$11)*'MacroPD-Cal'!$R$8))/SQRT(1-Baseline!$AF$11))</f>
        <v>2.8711430930863525E-3</v>
      </c>
      <c r="AM87" s="332">
        <f>NORMSDIST((_xlfn.NORM.S.INV(AE87)-(SQRT(Baseline!$AF$11)*'MacroPD-Cal'!$R$9))/SQRT(1-Baseline!$AF$11))</f>
        <v>2.999352965742514E-3</v>
      </c>
      <c r="CR87" s="345">
        <f t="shared" si="47"/>
        <v>0.16226857469362843</v>
      </c>
      <c r="CS87" s="345">
        <f t="shared" si="48"/>
        <v>0.3869933088471475</v>
      </c>
      <c r="CT87" s="345">
        <f t="shared" si="49"/>
        <v>0.64840269115613702</v>
      </c>
      <c r="CU87" s="345">
        <f t="shared" si="50"/>
        <v>1</v>
      </c>
    </row>
    <row r="88" spans="1:99" x14ac:dyDescent="0.25">
      <c r="A88" s="464">
        <v>1100000244</v>
      </c>
      <c r="B88" s="470">
        <f>VLOOKUP(A88,'Ref-Data'!A:I,9,FALSE)</f>
        <v>1</v>
      </c>
      <c r="C88" s="445">
        <f>IF(B88="Matured","",VLOOKUP(A88,'Adjustment Factor'!A:C,3,0))</f>
        <v>1.75</v>
      </c>
      <c r="D88" s="190">
        <f>VLOOKUP(A88,'Ref-Data'!A:C,2,FALSE)</f>
        <v>2879716</v>
      </c>
      <c r="E88" s="471">
        <f>IFERROR(IF(VLOOKUP(A88,'Updated Ncino PD'!$A:$K,4,0)=0,"",VLOOKUP(A88,'Updated Ncino PD'!$A:$K,4,0)),AF88)</f>
        <v>5.8416686889706238E-4</v>
      </c>
      <c r="F88" s="472">
        <f>IFERROR(IF(VLOOKUP(A88,'Updated Ncino PD'!$A:$K,5,0)=0,"",VLOOKUP(A88,'Updated Ncino PD'!$A:$K,5,0)),1-((1-AG88)*(1-E88)))</f>
        <v>1.3931759118497311E-3</v>
      </c>
      <c r="G88" s="472">
        <f>IFERROR(IF(VLOOKUP(A88,'Updated Ncino PD'!$A:$K,6,0)=0,"",VLOOKUP(A88,'Updated Ncino PD'!$A:$K,6,0)),1-((1-AF88)*(1-AG88)*(1-AH88)))</f>
        <v>2.3342496881620933E-3</v>
      </c>
      <c r="H88" s="472">
        <f>IFERROR(IF(VLOOKUP(A88,'Updated Ncino PD'!$A:$K,7,0)=0,"",VLOOKUP(A88,'Updated Ncino PD'!$A:$K,7,0)),IFERROR(VLOOKUP(A88,'Updated Ncino PD'!A:B,2,FALSE),FLOOR(1-((1-AG88)*(1-AH88)*(1-AI88)*(1-AF88)),$R$11)))</f>
        <v>3.6000000000000003E-3</v>
      </c>
      <c r="I88" s="472">
        <f>IFERROR(IF(VLOOKUP(A88,'Updated Ncino PD'!$A:$K,8,0)=0,"",VLOOKUP(A88,'Updated Ncino PD'!$A:$K,8,0)),FLOOR(1-((1-H88)*(1-AJ88)),$R$11))</f>
        <v>5.4000000000000003E-3</v>
      </c>
      <c r="J88" s="472">
        <f>IFERROR(IF(VLOOKUP(A88,'Updated Ncino PD'!$A:$K,9,0)=0,"",VLOOKUP(A88,'Updated Ncino PD'!$A:$K,9,0)),FLOOR(1-((1-H88)*(1-AJ88)*(1-AK88)),$R$11))</f>
        <v>6.4000000000000003E-3</v>
      </c>
      <c r="K88" s="472">
        <f>IFERROR(IF(VLOOKUP(A88,'Updated Ncino PD'!$A:$K,10,0)=0,"",VLOOKUP(A88,'Updated Ncino PD'!$A:$K,10,0)),FLOOR(1-((1-H88)*(1-AJ88)*(1-AK88)*(1-AL88)),$R$11))</f>
        <v>9.1999999999999998E-3</v>
      </c>
      <c r="L88" s="472">
        <f>IFERROR(IF(VLOOKUP(A88,'Updated Ncino PD'!$A:$K,11,0)=0,"",VLOOKUP(A88,'Updated Ncino PD'!$A:$K,11,0)),FLOOR(1-((1-H88)*(1-AJ88)*(1-AK88)*(1-AL88)*(1-AM88)),$R$11))</f>
        <v>1.2200000000000001E-2</v>
      </c>
      <c r="M88" s="224">
        <f>VLOOKUP(A88,'Ref-Data'!$A:$F,6,FALSE)</f>
        <v>4.4052019164955514</v>
      </c>
      <c r="N88" s="191">
        <f t="shared" si="51"/>
        <v>3.6000000000000003E-3</v>
      </c>
      <c r="O88" s="191">
        <f t="shared" si="52"/>
        <v>1.2200000000000001E-2</v>
      </c>
      <c r="P88" s="459" t="str">
        <f>VLOOKUP(A88,'Loan Book Summary'!C:G,5,FALSE)</f>
        <v>0014I000027xjnt</v>
      </c>
      <c r="Q88" s="355"/>
      <c r="R88" s="355"/>
      <c r="S88" s="203"/>
      <c r="T88" s="332">
        <f>IFERROR(VLOOKUP($P88,'Model Output-LoanNameUpdate'!$A:$K,2,FALSE),CL88)</f>
        <v>1.9650000000000002E-3</v>
      </c>
      <c r="U88" s="332">
        <f>1-(1-IFERROR(VLOOKUP($P88,'Model Output-LoanNameUpdate'!$A:$K,2,FALSE),CL88))^(1/4)</f>
        <v>4.9161240533601713E-4</v>
      </c>
      <c r="V88" s="332">
        <f>IFERROR(VLOOKUP($P88,'Model Output-LoanNameUpdate'!$A:$K,3,FALSE),CM88)</f>
        <v>1.9249999999999998E-3</v>
      </c>
      <c r="W88" s="332">
        <f>IFERROR(VLOOKUP($P88,'Model Output-LoanNameUpdate'!$A:$K,4,FALSE),CN88)</f>
        <v>1.885E-3</v>
      </c>
      <c r="X88" s="332">
        <f>IFERROR(VLOOKUP($P88,'Model Output-LoanNameUpdate'!$A:$K,5,FALSE),CO88)</f>
        <v>1.885E-3</v>
      </c>
      <c r="Y88" s="332">
        <f>IFERROR(VLOOKUP($P88,'Model Output-LoanNameUpdate'!$A:$K,6,FALSE),CP88)</f>
        <v>1.8450000000000001E-3</v>
      </c>
      <c r="Z88" s="207">
        <f t="shared" si="53"/>
        <v>1.75</v>
      </c>
      <c r="AA88" s="332">
        <f t="shared" si="54"/>
        <v>8.6032170933802998E-4</v>
      </c>
      <c r="AB88" s="332">
        <f t="shared" si="55"/>
        <v>3.3687499999999998E-3</v>
      </c>
      <c r="AC88" s="332">
        <f t="shared" si="56"/>
        <v>3.29875E-3</v>
      </c>
      <c r="AD88" s="332">
        <f t="shared" si="57"/>
        <v>3.29875E-3</v>
      </c>
      <c r="AE88" s="332">
        <f t="shared" si="58"/>
        <v>3.2287500000000003E-3</v>
      </c>
      <c r="AF88" s="332">
        <f>NORMSDIST((_xlfn.NORM.S.INV(AA88)-(SQRT(Baseline!$AF$11)*'MacroPD-Cal'!$R$2))/SQRT(1-Baseline!$AF$11))</f>
        <v>5.8416686889706238E-4</v>
      </c>
      <c r="AG88" s="332">
        <f>NORMSDIST((_xlfn.NORM.S.INV(AA88)-(SQRT(Baseline!$AF$11)*'MacroPD-Cal'!$R$3))/SQRT(1-Baseline!$AF$11))</f>
        <v>8.0948191546865067E-4</v>
      </c>
      <c r="AH88" s="332">
        <f>NORMSDIST((_xlfn.NORM.S.INV(AA88)-(SQRT(Baseline!$AF$11)*'MacroPD-Cal'!$R$4))/SQRT(1-Baseline!$AF$11))</f>
        <v>9.4238668674398278E-4</v>
      </c>
      <c r="AI88" s="332">
        <f>NORMSDIST((_xlfn.NORM.S.INV(AA88)-(SQRT(Baseline!$AF$11)*'MacroPD-Cal'!$R$5))/SQRT(1-Baseline!$AF$11))</f>
        <v>1.2861256372253191E-3</v>
      </c>
      <c r="AJ88" s="332">
        <f>NORMSDIST((_xlfn.NORM.S.INV(AB88)-(SQRT(Baseline!$AF$11)*'MacroPD-Cal'!$R$6))/SQRT(1-Baseline!$AF$11))</f>
        <v>1.8124977977300872E-3</v>
      </c>
      <c r="AK88" s="332">
        <f>NORMSDIST((_xlfn.NORM.S.INV(AC88)-(SQRT(Baseline!$AF$11)*'MacroPD-Cal'!$R$7))/SQRT(1-Baseline!$AF$11))</f>
        <v>1.0185416896654447E-3</v>
      </c>
      <c r="AL88" s="332">
        <f>NORMSDIST((_xlfn.NORM.S.INV(AD88)-(SQRT(Baseline!$AF$11)*'MacroPD-Cal'!$R$8))/SQRT(1-Baseline!$AF$11))</f>
        <v>2.8711430930863525E-3</v>
      </c>
      <c r="AM88" s="332">
        <f>NORMSDIST((_xlfn.NORM.S.INV(AE88)-(SQRT(Baseline!$AF$11)*'MacroPD-Cal'!$R$9))/SQRT(1-Baseline!$AF$11))</f>
        <v>2.999352965742514E-3</v>
      </c>
      <c r="CR88" s="345">
        <f t="shared" si="47"/>
        <v>0.16226857469362843</v>
      </c>
      <c r="CS88" s="345">
        <f t="shared" si="48"/>
        <v>0.3869933088471475</v>
      </c>
      <c r="CT88" s="345">
        <f t="shared" si="49"/>
        <v>0.64840269115613702</v>
      </c>
      <c r="CU88" s="345">
        <f t="shared" si="50"/>
        <v>1</v>
      </c>
    </row>
    <row r="89" spans="1:99" x14ac:dyDescent="0.25">
      <c r="A89" s="464">
        <v>1100000248</v>
      </c>
      <c r="B89" s="470">
        <f>VLOOKUP(A89,'Ref-Data'!A:I,9,FALSE)</f>
        <v>1</v>
      </c>
      <c r="C89" s="445">
        <f>IF(B89="Matured","",VLOOKUP(A89,'Adjustment Factor'!A:C,3,0))</f>
        <v>1.01</v>
      </c>
      <c r="D89" s="190">
        <f>VLOOKUP(A89,'Ref-Data'!A:C,2,FALSE)</f>
        <v>17992725.920000002</v>
      </c>
      <c r="E89" s="471">
        <f>IFERROR(IF(VLOOKUP(A89,'Updated Ncino PD'!$A:$K,4,0)=0,"",VLOOKUP(A89,'Updated Ncino PD'!$A:$K,4,0)),AF89)</f>
        <v>4.0228091930422216E-3</v>
      </c>
      <c r="F89" s="472">
        <f>IFERROR(IF(VLOOKUP(A89,'Updated Ncino PD'!$A:$K,5,0)=0,"",VLOOKUP(A89,'Updated Ncino PD'!$A:$K,5,0)),1-((1-AG89)*(1-E89)))</f>
        <v>9.2938867723136864E-3</v>
      </c>
      <c r="G89" s="472">
        <f>IFERROR(IF(VLOOKUP(A89,'Updated Ncino PD'!$A:$K,6,0)=0,"",VLOOKUP(A89,'Updated Ncino PD'!$A:$K,6,0)),1-((1-AF89)*(1-AG89)*(1-AH89)))</f>
        <v>1.5249624684039231E-2</v>
      </c>
      <c r="H89" s="472">
        <f>IFERROR(IF(VLOOKUP(A89,'Updated Ncino PD'!$A:$K,7,0)=0,"",VLOOKUP(A89,'Updated Ncino PD'!$A:$K,7,0)),IFERROR(VLOOKUP(A89,'Updated Ncino PD'!A:B,2,FALSE),FLOOR(1-((1-AG89)*(1-AH89)*(1-AI89)*(1-AF89)),$R$11)))</f>
        <v>2.29E-2</v>
      </c>
      <c r="I89" s="472">
        <f>IFERROR(IF(VLOOKUP(A89,'Updated Ncino PD'!$A:$K,8,0)=0,"",VLOOKUP(A89,'Updated Ncino PD'!$A:$K,8,0)),FLOOR(1-((1-H89)*(1-AJ89)),$R$11))</f>
        <v>3.2899999999999999E-2</v>
      </c>
      <c r="J89" s="472">
        <f>IFERROR(IF(VLOOKUP(A89,'Updated Ncino PD'!$A:$K,9,0)=0,"",VLOOKUP(A89,'Updated Ncino PD'!$A:$K,9,0)),FLOOR(1-((1-H89)*(1-AJ89)*(1-AK89)),$R$11))</f>
        <v>3.8300000000000001E-2</v>
      </c>
      <c r="K89" s="472">
        <f>IFERROR(IF(VLOOKUP(A89,'Updated Ncino PD'!$A:$K,10,0)=0,"",VLOOKUP(A89,'Updated Ncino PD'!$A:$K,10,0)),FLOOR(1-((1-H89)*(1-AJ89)*(1-AK89)*(1-AL89)),$R$11))</f>
        <v>4.9700000000000001E-2</v>
      </c>
      <c r="L89" s="472">
        <f>IFERROR(IF(VLOOKUP(A89,'Updated Ncino PD'!$A:$K,11,0)=0,"",VLOOKUP(A89,'Updated Ncino PD'!$A:$K,11,0)),FLOOR(1-((1-H89)*(1-AJ89)*(1-AK89)*(1-AL89)*(1-AM89)),$R$11))</f>
        <v>6.08E-2</v>
      </c>
      <c r="M89" s="224">
        <f>VLOOKUP(A89,'Ref-Data'!$A:$F,6,FALSE)</f>
        <v>3.5044490075290895</v>
      </c>
      <c r="N89" s="191">
        <f t="shared" si="51"/>
        <v>2.29E-2</v>
      </c>
      <c r="O89" s="191">
        <f t="shared" si="52"/>
        <v>4.9700000000000001E-2</v>
      </c>
      <c r="P89" s="459" t="str">
        <f>VLOOKUP(A89,'Loan Book Summary'!C:G,5,FALSE)</f>
        <v>0015800000z8vOY</v>
      </c>
      <c r="Q89" s="355"/>
      <c r="R89" s="355"/>
      <c r="S89" s="203"/>
      <c r="T89" s="332">
        <f>IFERROR(VLOOKUP($P89,'Model Output-LoanNameUpdate'!$A:$K,2,FALSE),CL89)</f>
        <v>1.8619999999999998E-2</v>
      </c>
      <c r="U89" s="332">
        <f>1-(1-IFERROR(VLOOKUP($P89,'Model Output-LoanNameUpdate'!$A:$K,2,FALSE),CL89))^(1/4)</f>
        <v>4.6878611635342571E-3</v>
      </c>
      <c r="V89" s="332">
        <f>IFERROR(VLOOKUP($P89,'Model Output-LoanNameUpdate'!$A:$K,3,FALSE),CM89)</f>
        <v>1.4779999999999998E-2</v>
      </c>
      <c r="W89" s="332">
        <f>IFERROR(VLOOKUP($P89,'Model Output-LoanNameUpdate'!$A:$K,4,FALSE),CN89)</f>
        <v>1.2939999999999998E-2</v>
      </c>
      <c r="X89" s="332">
        <f>IFERROR(VLOOKUP($P89,'Model Output-LoanNameUpdate'!$A:$K,5,FALSE),CO89)</f>
        <v>1.174E-2</v>
      </c>
      <c r="Y89" s="332">
        <f>IFERROR(VLOOKUP($P89,'Model Output-LoanNameUpdate'!$A:$K,6,FALSE),CP89)</f>
        <v>1.094E-2</v>
      </c>
      <c r="Z89" s="207">
        <f t="shared" si="53"/>
        <v>1.01</v>
      </c>
      <c r="AA89" s="332">
        <f t="shared" si="54"/>
        <v>4.7347397751695995E-3</v>
      </c>
      <c r="AB89" s="332">
        <f t="shared" si="55"/>
        <v>1.4927799999999998E-2</v>
      </c>
      <c r="AC89" s="332">
        <f t="shared" si="56"/>
        <v>1.3069399999999998E-2</v>
      </c>
      <c r="AD89" s="332">
        <f t="shared" si="57"/>
        <v>1.1857400000000001E-2</v>
      </c>
      <c r="AE89" s="332">
        <f t="shared" si="58"/>
        <v>1.1049400000000001E-2</v>
      </c>
      <c r="AF89" s="332">
        <f>NORMSDIST((_xlfn.NORM.S.INV(AA89)-(SQRT(Baseline!$AF$11)*'MacroPD-Cal'!$R$2))/SQRT(1-Baseline!$AF$11))</f>
        <v>4.0228091930422216E-3</v>
      </c>
      <c r="AG89" s="332">
        <f>NORMSDIST((_xlfn.NORM.S.INV(AA89)-(SQRT(Baseline!$AF$11)*'MacroPD-Cal'!$R$3))/SQRT(1-Baseline!$AF$11))</f>
        <v>5.2923677649693692E-3</v>
      </c>
      <c r="AH89" s="332">
        <f>NORMSDIST((_xlfn.NORM.S.INV(AA89)-(SQRT(Baseline!$AF$11)*'MacroPD-Cal'!$R$4))/SQRT(1-Baseline!$AF$11))</f>
        <v>6.0116091262644306E-3</v>
      </c>
      <c r="AI89" s="332">
        <f>NORMSDIST((_xlfn.NORM.S.INV(AA89)-(SQRT(Baseline!$AF$11)*'MacroPD-Cal'!$R$5))/SQRT(1-Baseline!$AF$11))</f>
        <v>7.7953399622171914E-3</v>
      </c>
      <c r="AJ89" s="332">
        <f>NORMSDIST((_xlfn.NORM.S.INV(AB89)-(SQRT(Baseline!$AF$11)*'MacroPD-Cal'!$R$6))/SQRT(1-Baseline!$AF$11))</f>
        <v>1.0294050029941305E-2</v>
      </c>
      <c r="AK89" s="332">
        <f>NORMSDIST((_xlfn.NORM.S.INV(AC89)-(SQRT(Baseline!$AF$11)*'MacroPD-Cal'!$R$7))/SQRT(1-Baseline!$AF$11))</f>
        <v>5.5260325011350416E-3</v>
      </c>
      <c r="AL89" s="332">
        <f>NORMSDIST((_xlfn.NORM.S.INV(AD89)-(SQRT(Baseline!$AF$11)*'MacroPD-Cal'!$R$8))/SQRT(1-Baseline!$AF$11))</f>
        <v>1.1913205653924893E-2</v>
      </c>
      <c r="AM89" s="332">
        <f>NORMSDIST((_xlfn.NORM.S.INV(AE89)-(SQRT(Baseline!$AF$11)*'MacroPD-Cal'!$R$9))/SQRT(1-Baseline!$AF$11))</f>
        <v>1.1678351059135632E-2</v>
      </c>
      <c r="CR89" s="345">
        <f t="shared" si="47"/>
        <v>0.17566852371363412</v>
      </c>
      <c r="CS89" s="345">
        <f t="shared" si="48"/>
        <v>0.40584658394382911</v>
      </c>
      <c r="CT89" s="345">
        <f t="shared" si="49"/>
        <v>0.66592247528555593</v>
      </c>
      <c r="CU89" s="345">
        <f t="shared" si="50"/>
        <v>1</v>
      </c>
    </row>
    <row r="90" spans="1:99" x14ac:dyDescent="0.25">
      <c r="A90" s="464">
        <v>1100000249</v>
      </c>
      <c r="B90" s="470">
        <f>VLOOKUP(A90,'Ref-Data'!A:I,9,FALSE)</f>
        <v>1</v>
      </c>
      <c r="C90" s="445">
        <f>IF(B90="Matured","",VLOOKUP(A90,'Adjustment Factor'!A:C,3,0))</f>
        <v>1.01</v>
      </c>
      <c r="D90" s="190">
        <f>VLOOKUP(A90,'Ref-Data'!A:C,2,FALSE)</f>
        <v>2800000</v>
      </c>
      <c r="E90" s="471">
        <f>IFERROR(IF(VLOOKUP(A90,'Updated Ncino PD'!$A:$K,4,0)=0,"",VLOOKUP(A90,'Updated Ncino PD'!$A:$K,4,0)),AF90)</f>
        <v>4.0228091930422216E-3</v>
      </c>
      <c r="F90" s="472">
        <f>IFERROR(IF(VLOOKUP(A90,'Updated Ncino PD'!$A:$K,5,0)=0,"",VLOOKUP(A90,'Updated Ncino PD'!$A:$K,5,0)),1-((1-AG90)*(1-E90)))</f>
        <v>9.2938867723136864E-3</v>
      </c>
      <c r="G90" s="472">
        <f>IFERROR(IF(VLOOKUP(A90,'Updated Ncino PD'!$A:$K,6,0)=0,"",VLOOKUP(A90,'Updated Ncino PD'!$A:$K,6,0)),1-((1-AF90)*(1-AG90)*(1-AH90)))</f>
        <v>1.5249624684039231E-2</v>
      </c>
      <c r="H90" s="472">
        <f>IFERROR(IF(VLOOKUP(A90,'Updated Ncino PD'!$A:$K,7,0)=0,"",VLOOKUP(A90,'Updated Ncino PD'!$A:$K,7,0)),IFERROR(VLOOKUP(A90,'Updated Ncino PD'!A:B,2,FALSE),FLOOR(1-((1-AG90)*(1-AH90)*(1-AI90)*(1-AF90)),$R$11)))</f>
        <v>2.29E-2</v>
      </c>
      <c r="I90" s="472">
        <f>IFERROR(IF(VLOOKUP(A90,'Updated Ncino PD'!$A:$K,8,0)=0,"",VLOOKUP(A90,'Updated Ncino PD'!$A:$K,8,0)),FLOOR(1-((1-H90)*(1-AJ90)),$R$11))</f>
        <v>3.2899999999999999E-2</v>
      </c>
      <c r="J90" s="472">
        <f>IFERROR(IF(VLOOKUP(A90,'Updated Ncino PD'!$A:$K,9,0)=0,"",VLOOKUP(A90,'Updated Ncino PD'!$A:$K,9,0)),FLOOR(1-((1-H90)*(1-AJ90)*(1-AK90)),$R$11))</f>
        <v>3.8300000000000001E-2</v>
      </c>
      <c r="K90" s="472">
        <f>IFERROR(IF(VLOOKUP(A90,'Updated Ncino PD'!$A:$K,10,0)=0,"",VLOOKUP(A90,'Updated Ncino PD'!$A:$K,10,0)),FLOOR(1-((1-H90)*(1-AJ90)*(1-AK90)*(1-AL90)),$R$11))</f>
        <v>4.9700000000000001E-2</v>
      </c>
      <c r="L90" s="472">
        <f>IFERROR(IF(VLOOKUP(A90,'Updated Ncino PD'!$A:$K,11,0)=0,"",VLOOKUP(A90,'Updated Ncino PD'!$A:$K,11,0)),FLOOR(1-((1-H90)*(1-AJ90)*(1-AK90)*(1-AL90)*(1-AM90)),$R$11))</f>
        <v>6.08E-2</v>
      </c>
      <c r="M90" s="224">
        <f>VLOOKUP(A90,'Ref-Data'!$A:$F,6,FALSE)</f>
        <v>3.5044490075290895</v>
      </c>
      <c r="N90" s="191">
        <f t="shared" si="51"/>
        <v>2.29E-2</v>
      </c>
      <c r="O90" s="191">
        <f t="shared" si="52"/>
        <v>4.9700000000000001E-2</v>
      </c>
      <c r="P90" s="459" t="str">
        <f>VLOOKUP(A90,'Loan Book Summary'!C:G,5,FALSE)</f>
        <v>0015800000z8vOY</v>
      </c>
      <c r="Q90" s="355"/>
      <c r="R90" s="355"/>
      <c r="S90" s="203"/>
      <c r="T90" s="332">
        <f>IFERROR(VLOOKUP($P90,'Model Output-LoanNameUpdate'!$A:$K,2,FALSE),CL90)</f>
        <v>1.8619999999999998E-2</v>
      </c>
      <c r="U90" s="332">
        <f>1-(1-IFERROR(VLOOKUP($P90,'Model Output-LoanNameUpdate'!$A:$K,2,FALSE),CL90))^(1/4)</f>
        <v>4.6878611635342571E-3</v>
      </c>
      <c r="V90" s="332">
        <f>IFERROR(VLOOKUP($P90,'Model Output-LoanNameUpdate'!$A:$K,3,FALSE),CM90)</f>
        <v>1.4779999999999998E-2</v>
      </c>
      <c r="W90" s="332">
        <f>IFERROR(VLOOKUP($P90,'Model Output-LoanNameUpdate'!$A:$K,4,FALSE),CN90)</f>
        <v>1.2939999999999998E-2</v>
      </c>
      <c r="X90" s="332">
        <f>IFERROR(VLOOKUP($P90,'Model Output-LoanNameUpdate'!$A:$K,5,FALSE),CO90)</f>
        <v>1.174E-2</v>
      </c>
      <c r="Y90" s="332">
        <f>IFERROR(VLOOKUP($P90,'Model Output-LoanNameUpdate'!$A:$K,6,FALSE),CP90)</f>
        <v>1.094E-2</v>
      </c>
      <c r="Z90" s="207">
        <f t="shared" si="53"/>
        <v>1.01</v>
      </c>
      <c r="AA90" s="332">
        <f t="shared" si="54"/>
        <v>4.7347397751695995E-3</v>
      </c>
      <c r="AB90" s="332">
        <f t="shared" si="55"/>
        <v>1.4927799999999998E-2</v>
      </c>
      <c r="AC90" s="332">
        <f t="shared" si="56"/>
        <v>1.3069399999999998E-2</v>
      </c>
      <c r="AD90" s="332">
        <f t="shared" si="57"/>
        <v>1.1857400000000001E-2</v>
      </c>
      <c r="AE90" s="332">
        <f t="shared" si="58"/>
        <v>1.1049400000000001E-2</v>
      </c>
      <c r="AF90" s="332">
        <f>NORMSDIST((_xlfn.NORM.S.INV(AA90)-(SQRT(Baseline!$AF$11)*'MacroPD-Cal'!$R$2))/SQRT(1-Baseline!$AF$11))</f>
        <v>4.0228091930422216E-3</v>
      </c>
      <c r="AG90" s="332">
        <f>NORMSDIST((_xlfn.NORM.S.INV(AA90)-(SQRT(Baseline!$AF$11)*'MacroPD-Cal'!$R$3))/SQRT(1-Baseline!$AF$11))</f>
        <v>5.2923677649693692E-3</v>
      </c>
      <c r="AH90" s="332">
        <f>NORMSDIST((_xlfn.NORM.S.INV(AA90)-(SQRT(Baseline!$AF$11)*'MacroPD-Cal'!$R$4))/SQRT(1-Baseline!$AF$11))</f>
        <v>6.0116091262644306E-3</v>
      </c>
      <c r="AI90" s="332">
        <f>NORMSDIST((_xlfn.NORM.S.INV(AA90)-(SQRT(Baseline!$AF$11)*'MacroPD-Cal'!$R$5))/SQRT(1-Baseline!$AF$11))</f>
        <v>7.7953399622171914E-3</v>
      </c>
      <c r="AJ90" s="332">
        <f>NORMSDIST((_xlfn.NORM.S.INV(AB90)-(SQRT(Baseline!$AF$11)*'MacroPD-Cal'!$R$6))/SQRT(1-Baseline!$AF$11))</f>
        <v>1.0294050029941305E-2</v>
      </c>
      <c r="AK90" s="332">
        <f>NORMSDIST((_xlfn.NORM.S.INV(AC90)-(SQRT(Baseline!$AF$11)*'MacroPD-Cal'!$R$7))/SQRT(1-Baseline!$AF$11))</f>
        <v>5.5260325011350416E-3</v>
      </c>
      <c r="AL90" s="332">
        <f>NORMSDIST((_xlfn.NORM.S.INV(AD90)-(SQRT(Baseline!$AF$11)*'MacroPD-Cal'!$R$8))/SQRT(1-Baseline!$AF$11))</f>
        <v>1.1913205653924893E-2</v>
      </c>
      <c r="AM90" s="332">
        <f>NORMSDIST((_xlfn.NORM.S.INV(AE90)-(SQRT(Baseline!$AF$11)*'MacroPD-Cal'!$R$9))/SQRT(1-Baseline!$AF$11))</f>
        <v>1.1678351059135632E-2</v>
      </c>
      <c r="CR90" s="345">
        <f t="shared" si="47"/>
        <v>0.17566852371363412</v>
      </c>
      <c r="CS90" s="345">
        <f t="shared" si="48"/>
        <v>0.40584658394382911</v>
      </c>
      <c r="CT90" s="345">
        <f t="shared" si="49"/>
        <v>0.66592247528555593</v>
      </c>
      <c r="CU90" s="345">
        <f t="shared" si="50"/>
        <v>1</v>
      </c>
    </row>
    <row r="91" spans="1:99" x14ac:dyDescent="0.25">
      <c r="A91" s="464">
        <v>1100000258</v>
      </c>
      <c r="B91" s="470">
        <f>VLOOKUP(A91,'Ref-Data'!A:I,9,FALSE)</f>
        <v>1</v>
      </c>
      <c r="C91" s="445">
        <f>IF(B91="Matured","",VLOOKUP(A91,'Adjustment Factor'!A:C,3,0))</f>
        <v>1.01</v>
      </c>
      <c r="D91" s="190">
        <f>VLOOKUP(A91,'Ref-Data'!A:C,2,FALSE)</f>
        <v>3150000</v>
      </c>
      <c r="E91" s="471">
        <f>IFERROR(IF(VLOOKUP(A91,'Updated Ncino PD'!$A:$K,4,0)=0,"",VLOOKUP(A91,'Updated Ncino PD'!$A:$K,4,0)),AF91)</f>
        <v>4.0228091930422216E-3</v>
      </c>
      <c r="F91" s="472">
        <f>IFERROR(IF(VLOOKUP(A91,'Updated Ncino PD'!$A:$K,5,0)=0,"",VLOOKUP(A91,'Updated Ncino PD'!$A:$K,5,0)),1-((1-AG91)*(1-E91)))</f>
        <v>9.2938867723136864E-3</v>
      </c>
      <c r="G91" s="472">
        <f>IFERROR(IF(VLOOKUP(A91,'Updated Ncino PD'!$A:$K,6,0)=0,"",VLOOKUP(A91,'Updated Ncino PD'!$A:$K,6,0)),1-((1-AF91)*(1-AG91)*(1-AH91)))</f>
        <v>1.5249624684039231E-2</v>
      </c>
      <c r="H91" s="472">
        <f>IFERROR(IF(VLOOKUP(A91,'Updated Ncino PD'!$A:$K,7,0)=0,"",VLOOKUP(A91,'Updated Ncino PD'!$A:$K,7,0)),IFERROR(VLOOKUP(A91,'Updated Ncino PD'!A:B,2,FALSE),FLOOR(1-((1-AG91)*(1-AH91)*(1-AI91)*(1-AF91)),$R$11)))</f>
        <v>2.29E-2</v>
      </c>
      <c r="I91" s="472">
        <f>IFERROR(IF(VLOOKUP(A91,'Updated Ncino PD'!$A:$K,8,0)=0,"",VLOOKUP(A91,'Updated Ncino PD'!$A:$K,8,0)),FLOOR(1-((1-H91)*(1-AJ91)),$R$11))</f>
        <v>3.2899999999999999E-2</v>
      </c>
      <c r="J91" s="472">
        <f>IFERROR(IF(VLOOKUP(A91,'Updated Ncino PD'!$A:$K,9,0)=0,"",VLOOKUP(A91,'Updated Ncino PD'!$A:$K,9,0)),FLOOR(1-((1-H91)*(1-AJ91)*(1-AK91)),$R$11))</f>
        <v>3.8300000000000001E-2</v>
      </c>
      <c r="K91" s="472">
        <f>IFERROR(IF(VLOOKUP(A91,'Updated Ncino PD'!$A:$K,10,0)=0,"",VLOOKUP(A91,'Updated Ncino PD'!$A:$K,10,0)),FLOOR(1-((1-H91)*(1-AJ91)*(1-AK91)*(1-AL91)),$R$11))</f>
        <v>4.9700000000000001E-2</v>
      </c>
      <c r="L91" s="472">
        <f>IFERROR(IF(VLOOKUP(A91,'Updated Ncino PD'!$A:$K,11,0)=0,"",VLOOKUP(A91,'Updated Ncino PD'!$A:$K,11,0)),FLOOR(1-((1-H91)*(1-AJ91)*(1-AK91)*(1-AL91)*(1-AM91)),$R$11))</f>
        <v>6.08E-2</v>
      </c>
      <c r="M91" s="224">
        <f>VLOOKUP(A91,'Ref-Data'!$A:$F,6,FALSE)</f>
        <v>3.5044490075290895</v>
      </c>
      <c r="N91" s="191">
        <f t="shared" si="51"/>
        <v>2.29E-2</v>
      </c>
      <c r="O91" s="191">
        <f t="shared" si="52"/>
        <v>4.9700000000000001E-2</v>
      </c>
      <c r="P91" s="459" t="str">
        <f>VLOOKUP(A91,'Loan Book Summary'!C:G,5,FALSE)</f>
        <v>0015800000z8vOY</v>
      </c>
      <c r="Q91" s="355"/>
      <c r="R91" s="355"/>
      <c r="S91" s="203"/>
      <c r="T91" s="332">
        <f>IFERROR(VLOOKUP($P91,'Model Output-LoanNameUpdate'!$A:$K,2,FALSE),CL91)</f>
        <v>1.8619999999999998E-2</v>
      </c>
      <c r="U91" s="332">
        <f>1-(1-IFERROR(VLOOKUP($P91,'Model Output-LoanNameUpdate'!$A:$K,2,FALSE),CL91))^(1/4)</f>
        <v>4.6878611635342571E-3</v>
      </c>
      <c r="V91" s="332">
        <f>IFERROR(VLOOKUP($P91,'Model Output-LoanNameUpdate'!$A:$K,3,FALSE),CM91)</f>
        <v>1.4779999999999998E-2</v>
      </c>
      <c r="W91" s="332">
        <f>IFERROR(VLOOKUP($P91,'Model Output-LoanNameUpdate'!$A:$K,4,FALSE),CN91)</f>
        <v>1.2939999999999998E-2</v>
      </c>
      <c r="X91" s="332">
        <f>IFERROR(VLOOKUP($P91,'Model Output-LoanNameUpdate'!$A:$K,5,FALSE),CO91)</f>
        <v>1.174E-2</v>
      </c>
      <c r="Y91" s="332">
        <f>IFERROR(VLOOKUP($P91,'Model Output-LoanNameUpdate'!$A:$K,6,FALSE),CP91)</f>
        <v>1.094E-2</v>
      </c>
      <c r="Z91" s="207">
        <f t="shared" si="53"/>
        <v>1.01</v>
      </c>
      <c r="AA91" s="332">
        <f t="shared" si="54"/>
        <v>4.7347397751695995E-3</v>
      </c>
      <c r="AB91" s="332">
        <f t="shared" si="55"/>
        <v>1.4927799999999998E-2</v>
      </c>
      <c r="AC91" s="332">
        <f t="shared" si="56"/>
        <v>1.3069399999999998E-2</v>
      </c>
      <c r="AD91" s="332">
        <f t="shared" si="57"/>
        <v>1.1857400000000001E-2</v>
      </c>
      <c r="AE91" s="332">
        <f t="shared" si="58"/>
        <v>1.1049400000000001E-2</v>
      </c>
      <c r="AF91" s="332">
        <f>NORMSDIST((_xlfn.NORM.S.INV(AA91)-(SQRT(Baseline!$AF$11)*'MacroPD-Cal'!$R$2))/SQRT(1-Baseline!$AF$11))</f>
        <v>4.0228091930422216E-3</v>
      </c>
      <c r="AG91" s="332">
        <f>NORMSDIST((_xlfn.NORM.S.INV(AA91)-(SQRT(Baseline!$AF$11)*'MacroPD-Cal'!$R$3))/SQRT(1-Baseline!$AF$11))</f>
        <v>5.2923677649693692E-3</v>
      </c>
      <c r="AH91" s="332">
        <f>NORMSDIST((_xlfn.NORM.S.INV(AA91)-(SQRT(Baseline!$AF$11)*'MacroPD-Cal'!$R$4))/SQRT(1-Baseline!$AF$11))</f>
        <v>6.0116091262644306E-3</v>
      </c>
      <c r="AI91" s="332">
        <f>NORMSDIST((_xlfn.NORM.S.INV(AA91)-(SQRT(Baseline!$AF$11)*'MacroPD-Cal'!$R$5))/SQRT(1-Baseline!$AF$11))</f>
        <v>7.7953399622171914E-3</v>
      </c>
      <c r="AJ91" s="332">
        <f>NORMSDIST((_xlfn.NORM.S.INV(AB91)-(SQRT(Baseline!$AF$11)*'MacroPD-Cal'!$R$6))/SQRT(1-Baseline!$AF$11))</f>
        <v>1.0294050029941305E-2</v>
      </c>
      <c r="AK91" s="332">
        <f>NORMSDIST((_xlfn.NORM.S.INV(AC91)-(SQRT(Baseline!$AF$11)*'MacroPD-Cal'!$R$7))/SQRT(1-Baseline!$AF$11))</f>
        <v>5.5260325011350416E-3</v>
      </c>
      <c r="AL91" s="332">
        <f>NORMSDIST((_xlfn.NORM.S.INV(AD91)-(SQRT(Baseline!$AF$11)*'MacroPD-Cal'!$R$8))/SQRT(1-Baseline!$AF$11))</f>
        <v>1.1913205653924893E-2</v>
      </c>
      <c r="AM91" s="332">
        <f>NORMSDIST((_xlfn.NORM.S.INV(AE91)-(SQRT(Baseline!$AF$11)*'MacroPD-Cal'!$R$9))/SQRT(1-Baseline!$AF$11))</f>
        <v>1.1678351059135632E-2</v>
      </c>
      <c r="CR91" s="345">
        <f t="shared" si="47"/>
        <v>0.17566852371363412</v>
      </c>
      <c r="CS91" s="345">
        <f t="shared" si="48"/>
        <v>0.40584658394382911</v>
      </c>
      <c r="CT91" s="345">
        <f t="shared" si="49"/>
        <v>0.66592247528555593</v>
      </c>
      <c r="CU91" s="345">
        <f t="shared" si="50"/>
        <v>1</v>
      </c>
    </row>
    <row r="92" spans="1:99" x14ac:dyDescent="0.25">
      <c r="A92" s="464">
        <v>1100000259</v>
      </c>
      <c r="B92" s="470">
        <f>VLOOKUP(A92,'Ref-Data'!A:I,9,FALSE)</f>
        <v>1</v>
      </c>
      <c r="C92" s="445">
        <f>IF(B92="Matured","",VLOOKUP(A92,'Adjustment Factor'!A:C,3,0))</f>
        <v>1.01</v>
      </c>
      <c r="D92" s="190">
        <f>VLOOKUP(A92,'Ref-Data'!A:C,2,FALSE)</f>
        <v>2450000</v>
      </c>
      <c r="E92" s="471">
        <f>IFERROR(IF(VLOOKUP(A92,'Updated Ncino PD'!$A:$K,4,0)=0,"",VLOOKUP(A92,'Updated Ncino PD'!$A:$K,4,0)),AF92)</f>
        <v>4.0228091930422216E-3</v>
      </c>
      <c r="F92" s="472">
        <f>IFERROR(IF(VLOOKUP(A92,'Updated Ncino PD'!$A:$K,5,0)=0,"",VLOOKUP(A92,'Updated Ncino PD'!$A:$K,5,0)),1-((1-AG92)*(1-E92)))</f>
        <v>9.2938867723136864E-3</v>
      </c>
      <c r="G92" s="472">
        <f>IFERROR(IF(VLOOKUP(A92,'Updated Ncino PD'!$A:$K,6,0)=0,"",VLOOKUP(A92,'Updated Ncino PD'!$A:$K,6,0)),1-((1-AF92)*(1-AG92)*(1-AH92)))</f>
        <v>1.5249624684039231E-2</v>
      </c>
      <c r="H92" s="472">
        <f>IFERROR(IF(VLOOKUP(A92,'Updated Ncino PD'!$A:$K,7,0)=0,"",VLOOKUP(A92,'Updated Ncino PD'!$A:$K,7,0)),IFERROR(VLOOKUP(A92,'Updated Ncino PD'!A:B,2,FALSE),FLOOR(1-((1-AG92)*(1-AH92)*(1-AI92)*(1-AF92)),$R$11)))</f>
        <v>2.29E-2</v>
      </c>
      <c r="I92" s="472">
        <f>IFERROR(IF(VLOOKUP(A92,'Updated Ncino PD'!$A:$K,8,0)=0,"",VLOOKUP(A92,'Updated Ncino PD'!$A:$K,8,0)),FLOOR(1-((1-H92)*(1-AJ92)),$R$11))</f>
        <v>3.2899999999999999E-2</v>
      </c>
      <c r="J92" s="472">
        <f>IFERROR(IF(VLOOKUP(A92,'Updated Ncino PD'!$A:$K,9,0)=0,"",VLOOKUP(A92,'Updated Ncino PD'!$A:$K,9,0)),FLOOR(1-((1-H92)*(1-AJ92)*(1-AK92)),$R$11))</f>
        <v>3.8300000000000001E-2</v>
      </c>
      <c r="K92" s="472">
        <f>IFERROR(IF(VLOOKUP(A92,'Updated Ncino PD'!$A:$K,10,0)=0,"",VLOOKUP(A92,'Updated Ncino PD'!$A:$K,10,0)),FLOOR(1-((1-H92)*(1-AJ92)*(1-AK92)*(1-AL92)),$R$11))</f>
        <v>4.9700000000000001E-2</v>
      </c>
      <c r="L92" s="472">
        <f>IFERROR(IF(VLOOKUP(A92,'Updated Ncino PD'!$A:$K,11,0)=0,"",VLOOKUP(A92,'Updated Ncino PD'!$A:$K,11,0)),FLOOR(1-((1-H92)*(1-AJ92)*(1-AK92)*(1-AL92)*(1-AM92)),$R$11))</f>
        <v>6.08E-2</v>
      </c>
      <c r="M92" s="224">
        <f>VLOOKUP(A92,'Ref-Data'!$A:$F,6,FALSE)</f>
        <v>3.5044490075290895</v>
      </c>
      <c r="N92" s="191">
        <f t="shared" si="51"/>
        <v>2.29E-2</v>
      </c>
      <c r="O92" s="191">
        <f t="shared" si="52"/>
        <v>4.9700000000000001E-2</v>
      </c>
      <c r="P92" s="459" t="str">
        <f>VLOOKUP(A92,'Loan Book Summary'!C:G,5,FALSE)</f>
        <v>0015800000z8vOY</v>
      </c>
      <c r="Q92" s="355"/>
      <c r="R92" s="355"/>
      <c r="S92" s="203"/>
      <c r="T92" s="332">
        <f>IFERROR(VLOOKUP($P92,'Model Output-LoanNameUpdate'!$A:$K,2,FALSE),CL92)</f>
        <v>1.8619999999999998E-2</v>
      </c>
      <c r="U92" s="332">
        <f>1-(1-IFERROR(VLOOKUP($P92,'Model Output-LoanNameUpdate'!$A:$K,2,FALSE),CL92))^(1/4)</f>
        <v>4.6878611635342571E-3</v>
      </c>
      <c r="V92" s="332">
        <f>IFERROR(VLOOKUP($P92,'Model Output-LoanNameUpdate'!$A:$K,3,FALSE),CM92)</f>
        <v>1.4779999999999998E-2</v>
      </c>
      <c r="W92" s="332">
        <f>IFERROR(VLOOKUP($P92,'Model Output-LoanNameUpdate'!$A:$K,4,FALSE),CN92)</f>
        <v>1.2939999999999998E-2</v>
      </c>
      <c r="X92" s="332">
        <f>IFERROR(VLOOKUP($P92,'Model Output-LoanNameUpdate'!$A:$K,5,FALSE),CO92)</f>
        <v>1.174E-2</v>
      </c>
      <c r="Y92" s="332">
        <f>IFERROR(VLOOKUP($P92,'Model Output-LoanNameUpdate'!$A:$K,6,FALSE),CP92)</f>
        <v>1.094E-2</v>
      </c>
      <c r="Z92" s="207">
        <f t="shared" si="53"/>
        <v>1.01</v>
      </c>
      <c r="AA92" s="332">
        <f t="shared" si="54"/>
        <v>4.7347397751695995E-3</v>
      </c>
      <c r="AB92" s="332">
        <f t="shared" si="55"/>
        <v>1.4927799999999998E-2</v>
      </c>
      <c r="AC92" s="332">
        <f t="shared" si="56"/>
        <v>1.3069399999999998E-2</v>
      </c>
      <c r="AD92" s="332">
        <f t="shared" si="57"/>
        <v>1.1857400000000001E-2</v>
      </c>
      <c r="AE92" s="332">
        <f t="shared" si="58"/>
        <v>1.1049400000000001E-2</v>
      </c>
      <c r="AF92" s="332">
        <f>NORMSDIST((_xlfn.NORM.S.INV(AA92)-(SQRT(Baseline!$AF$11)*'MacroPD-Cal'!$R$2))/SQRT(1-Baseline!$AF$11))</f>
        <v>4.0228091930422216E-3</v>
      </c>
      <c r="AG92" s="332">
        <f>NORMSDIST((_xlfn.NORM.S.INV(AA92)-(SQRT(Baseline!$AF$11)*'MacroPD-Cal'!$R$3))/SQRT(1-Baseline!$AF$11))</f>
        <v>5.2923677649693692E-3</v>
      </c>
      <c r="AH92" s="332">
        <f>NORMSDIST((_xlfn.NORM.S.INV(AA92)-(SQRT(Baseline!$AF$11)*'MacroPD-Cal'!$R$4))/SQRT(1-Baseline!$AF$11))</f>
        <v>6.0116091262644306E-3</v>
      </c>
      <c r="AI92" s="332">
        <f>NORMSDIST((_xlfn.NORM.S.INV(AA92)-(SQRT(Baseline!$AF$11)*'MacroPD-Cal'!$R$5))/SQRT(1-Baseline!$AF$11))</f>
        <v>7.7953399622171914E-3</v>
      </c>
      <c r="AJ92" s="332">
        <f>NORMSDIST((_xlfn.NORM.S.INV(AB92)-(SQRT(Baseline!$AF$11)*'MacroPD-Cal'!$R$6))/SQRT(1-Baseline!$AF$11))</f>
        <v>1.0294050029941305E-2</v>
      </c>
      <c r="AK92" s="332">
        <f>NORMSDIST((_xlfn.NORM.S.INV(AC92)-(SQRT(Baseline!$AF$11)*'MacroPD-Cal'!$R$7))/SQRT(1-Baseline!$AF$11))</f>
        <v>5.5260325011350416E-3</v>
      </c>
      <c r="AL92" s="332">
        <f>NORMSDIST((_xlfn.NORM.S.INV(AD92)-(SQRT(Baseline!$AF$11)*'MacroPD-Cal'!$R$8))/SQRT(1-Baseline!$AF$11))</f>
        <v>1.1913205653924893E-2</v>
      </c>
      <c r="AM92" s="332">
        <f>NORMSDIST((_xlfn.NORM.S.INV(AE92)-(SQRT(Baseline!$AF$11)*'MacroPD-Cal'!$R$9))/SQRT(1-Baseline!$AF$11))</f>
        <v>1.1678351059135632E-2</v>
      </c>
      <c r="CR92" s="345">
        <f t="shared" si="47"/>
        <v>0.17566852371363412</v>
      </c>
      <c r="CS92" s="345">
        <f t="shared" si="48"/>
        <v>0.40584658394382911</v>
      </c>
      <c r="CT92" s="345">
        <f t="shared" si="49"/>
        <v>0.66592247528555593</v>
      </c>
      <c r="CU92" s="345">
        <f t="shared" si="50"/>
        <v>1</v>
      </c>
    </row>
    <row r="93" spans="1:99" x14ac:dyDescent="0.25">
      <c r="A93" s="464">
        <v>1100000253</v>
      </c>
      <c r="B93" s="470">
        <f>VLOOKUP(A93,'Ref-Data'!A:I,9,FALSE)</f>
        <v>1</v>
      </c>
      <c r="C93" s="445">
        <f>IF(B93="Matured","",VLOOKUP(A93,'Adjustment Factor'!A:C,3,0))</f>
        <v>1.01</v>
      </c>
      <c r="D93" s="190">
        <f>VLOOKUP(A93,'Ref-Data'!A:C,2,FALSE)</f>
        <v>6865000</v>
      </c>
      <c r="E93" s="471">
        <f>IFERROR(IF(VLOOKUP(A93,'Updated Ncino PD'!$A:$K,4,0)=0,"",VLOOKUP(A93,'Updated Ncino PD'!$A:$K,4,0)),AF93)</f>
        <v>4.0228091930422216E-3</v>
      </c>
      <c r="F93" s="472">
        <f>IFERROR(IF(VLOOKUP(A93,'Updated Ncino PD'!$A:$K,5,0)=0,"",VLOOKUP(A93,'Updated Ncino PD'!$A:$K,5,0)),1-((1-AG93)*(1-E93)))</f>
        <v>9.2938867723136864E-3</v>
      </c>
      <c r="G93" s="472">
        <f>IFERROR(IF(VLOOKUP(A93,'Updated Ncino PD'!$A:$K,6,0)=0,"",VLOOKUP(A93,'Updated Ncino PD'!$A:$K,6,0)),1-((1-AF93)*(1-AG93)*(1-AH93)))</f>
        <v>1.5249624684039231E-2</v>
      </c>
      <c r="H93" s="472">
        <f>IFERROR(IF(VLOOKUP(A93,'Updated Ncino PD'!$A:$K,7,0)=0,"",VLOOKUP(A93,'Updated Ncino PD'!$A:$K,7,0)),IFERROR(VLOOKUP(A93,'Updated Ncino PD'!A:B,2,FALSE),FLOOR(1-((1-AG93)*(1-AH93)*(1-AI93)*(1-AF93)),$R$11)))</f>
        <v>2.29E-2</v>
      </c>
      <c r="I93" s="472">
        <f>IFERROR(IF(VLOOKUP(A93,'Updated Ncino PD'!$A:$K,8,0)=0,"",VLOOKUP(A93,'Updated Ncino PD'!$A:$K,8,0)),FLOOR(1-((1-H93)*(1-AJ93)),$R$11))</f>
        <v>3.2899999999999999E-2</v>
      </c>
      <c r="J93" s="472">
        <f>IFERROR(IF(VLOOKUP(A93,'Updated Ncino PD'!$A:$K,9,0)=0,"",VLOOKUP(A93,'Updated Ncino PD'!$A:$K,9,0)),FLOOR(1-((1-H93)*(1-AJ93)*(1-AK93)),$R$11))</f>
        <v>3.8300000000000001E-2</v>
      </c>
      <c r="K93" s="472">
        <f>IFERROR(IF(VLOOKUP(A93,'Updated Ncino PD'!$A:$K,10,0)=0,"",VLOOKUP(A93,'Updated Ncino PD'!$A:$K,10,0)),FLOOR(1-((1-H93)*(1-AJ93)*(1-AK93)*(1-AL93)),$R$11))</f>
        <v>4.9700000000000001E-2</v>
      </c>
      <c r="L93" s="472">
        <f>IFERROR(IF(VLOOKUP(A93,'Updated Ncino PD'!$A:$K,11,0)=0,"",VLOOKUP(A93,'Updated Ncino PD'!$A:$K,11,0)),FLOOR(1-((1-H93)*(1-AJ93)*(1-AK93)*(1-AL93)*(1-AM93)),$R$11))</f>
        <v>6.08E-2</v>
      </c>
      <c r="M93" s="224">
        <f>VLOOKUP(A93,'Ref-Data'!$A:$F,6,FALSE)</f>
        <v>3.5044490075290895</v>
      </c>
      <c r="N93" s="191">
        <f t="shared" si="51"/>
        <v>2.29E-2</v>
      </c>
      <c r="O93" s="191">
        <f t="shared" si="52"/>
        <v>4.9700000000000001E-2</v>
      </c>
      <c r="P93" s="459" t="str">
        <f>VLOOKUP(A93,'Loan Book Summary'!C:G,5,FALSE)</f>
        <v>0015800000z8vOY</v>
      </c>
      <c r="Q93" s="355"/>
      <c r="R93" s="355"/>
      <c r="S93" s="203"/>
      <c r="T93" s="332">
        <f>IFERROR(VLOOKUP($P93,'Model Output-LoanNameUpdate'!$A:$K,2,FALSE),CL93)</f>
        <v>1.8619999999999998E-2</v>
      </c>
      <c r="U93" s="332">
        <f>1-(1-IFERROR(VLOOKUP($P93,'Model Output-LoanNameUpdate'!$A:$K,2,FALSE),CL93))^(1/4)</f>
        <v>4.6878611635342571E-3</v>
      </c>
      <c r="V93" s="332">
        <f>IFERROR(VLOOKUP($P93,'Model Output-LoanNameUpdate'!$A:$K,3,FALSE),CM93)</f>
        <v>1.4779999999999998E-2</v>
      </c>
      <c r="W93" s="332">
        <f>IFERROR(VLOOKUP($P93,'Model Output-LoanNameUpdate'!$A:$K,4,FALSE),CN93)</f>
        <v>1.2939999999999998E-2</v>
      </c>
      <c r="X93" s="332">
        <f>IFERROR(VLOOKUP($P93,'Model Output-LoanNameUpdate'!$A:$K,5,FALSE),CO93)</f>
        <v>1.174E-2</v>
      </c>
      <c r="Y93" s="332">
        <f>IFERROR(VLOOKUP($P93,'Model Output-LoanNameUpdate'!$A:$K,6,FALSE),CP93)</f>
        <v>1.094E-2</v>
      </c>
      <c r="Z93" s="207">
        <f t="shared" si="53"/>
        <v>1.01</v>
      </c>
      <c r="AA93" s="332">
        <f t="shared" si="54"/>
        <v>4.7347397751695995E-3</v>
      </c>
      <c r="AB93" s="332">
        <f t="shared" si="55"/>
        <v>1.4927799999999998E-2</v>
      </c>
      <c r="AC93" s="332">
        <f t="shared" si="56"/>
        <v>1.3069399999999998E-2</v>
      </c>
      <c r="AD93" s="332">
        <f t="shared" si="57"/>
        <v>1.1857400000000001E-2</v>
      </c>
      <c r="AE93" s="332">
        <f t="shared" si="58"/>
        <v>1.1049400000000001E-2</v>
      </c>
      <c r="AF93" s="332">
        <f>NORMSDIST((_xlfn.NORM.S.INV(AA93)-(SQRT(Baseline!$AF$11)*'MacroPD-Cal'!$R$2))/SQRT(1-Baseline!$AF$11))</f>
        <v>4.0228091930422216E-3</v>
      </c>
      <c r="AG93" s="332">
        <f>NORMSDIST((_xlfn.NORM.S.INV(AA93)-(SQRT(Baseline!$AF$11)*'MacroPD-Cal'!$R$3))/SQRT(1-Baseline!$AF$11))</f>
        <v>5.2923677649693692E-3</v>
      </c>
      <c r="AH93" s="332">
        <f>NORMSDIST((_xlfn.NORM.S.INV(AA93)-(SQRT(Baseline!$AF$11)*'MacroPD-Cal'!$R$4))/SQRT(1-Baseline!$AF$11))</f>
        <v>6.0116091262644306E-3</v>
      </c>
      <c r="AI93" s="332">
        <f>NORMSDIST((_xlfn.NORM.S.INV(AA93)-(SQRT(Baseline!$AF$11)*'MacroPD-Cal'!$R$5))/SQRT(1-Baseline!$AF$11))</f>
        <v>7.7953399622171914E-3</v>
      </c>
      <c r="AJ93" s="332">
        <f>NORMSDIST((_xlfn.NORM.S.INV(AB93)-(SQRT(Baseline!$AF$11)*'MacroPD-Cal'!$R$6))/SQRT(1-Baseline!$AF$11))</f>
        <v>1.0294050029941305E-2</v>
      </c>
      <c r="AK93" s="332">
        <f>NORMSDIST((_xlfn.NORM.S.INV(AC93)-(SQRT(Baseline!$AF$11)*'MacroPD-Cal'!$R$7))/SQRT(1-Baseline!$AF$11))</f>
        <v>5.5260325011350416E-3</v>
      </c>
      <c r="AL93" s="332">
        <f>NORMSDIST((_xlfn.NORM.S.INV(AD93)-(SQRT(Baseline!$AF$11)*'MacroPD-Cal'!$R$8))/SQRT(1-Baseline!$AF$11))</f>
        <v>1.1913205653924893E-2</v>
      </c>
      <c r="AM93" s="332">
        <f>NORMSDIST((_xlfn.NORM.S.INV(AE93)-(SQRT(Baseline!$AF$11)*'MacroPD-Cal'!$R$9))/SQRT(1-Baseline!$AF$11))</f>
        <v>1.1678351059135632E-2</v>
      </c>
      <c r="CR93" s="345">
        <f t="shared" si="47"/>
        <v>0.17566852371363412</v>
      </c>
      <c r="CS93" s="345">
        <f t="shared" si="48"/>
        <v>0.40584658394382911</v>
      </c>
      <c r="CT93" s="345">
        <f t="shared" si="49"/>
        <v>0.66592247528555593</v>
      </c>
      <c r="CU93" s="345">
        <f t="shared" si="50"/>
        <v>1</v>
      </c>
    </row>
    <row r="94" spans="1:99" x14ac:dyDescent="0.25">
      <c r="A94" s="464">
        <v>1100000250</v>
      </c>
      <c r="B94" s="470">
        <f>VLOOKUP(A94,'Ref-Data'!A:I,9,FALSE)</f>
        <v>1</v>
      </c>
      <c r="C94" s="445">
        <f>IF(B94="Matured","",VLOOKUP(A94,'Adjustment Factor'!A:C,3,0))</f>
        <v>1.01</v>
      </c>
      <c r="D94" s="190">
        <f>VLOOKUP(A94,'Ref-Data'!A:C,2,FALSE)</f>
        <v>3245000</v>
      </c>
      <c r="E94" s="471">
        <f>IFERROR(IF(VLOOKUP(A94,'Updated Ncino PD'!$A:$K,4,0)=0,"",VLOOKUP(A94,'Updated Ncino PD'!$A:$K,4,0)),AF94)</f>
        <v>4.0228091930422216E-3</v>
      </c>
      <c r="F94" s="472">
        <f>IFERROR(IF(VLOOKUP(A94,'Updated Ncino PD'!$A:$K,5,0)=0,"",VLOOKUP(A94,'Updated Ncino PD'!$A:$K,5,0)),1-((1-AG94)*(1-E94)))</f>
        <v>9.2938867723136864E-3</v>
      </c>
      <c r="G94" s="472">
        <f>IFERROR(IF(VLOOKUP(A94,'Updated Ncino PD'!$A:$K,6,0)=0,"",VLOOKUP(A94,'Updated Ncino PD'!$A:$K,6,0)),1-((1-AF94)*(1-AG94)*(1-AH94)))</f>
        <v>1.5249624684039231E-2</v>
      </c>
      <c r="H94" s="472">
        <f>IFERROR(IF(VLOOKUP(A94,'Updated Ncino PD'!$A:$K,7,0)=0,"",VLOOKUP(A94,'Updated Ncino PD'!$A:$K,7,0)),IFERROR(VLOOKUP(A94,'Updated Ncino PD'!A:B,2,FALSE),FLOOR(1-((1-AG94)*(1-AH94)*(1-AI94)*(1-AF94)),$R$11)))</f>
        <v>2.29E-2</v>
      </c>
      <c r="I94" s="472">
        <f>IFERROR(IF(VLOOKUP(A94,'Updated Ncino PD'!$A:$K,8,0)=0,"",VLOOKUP(A94,'Updated Ncino PD'!$A:$K,8,0)),FLOOR(1-((1-H94)*(1-AJ94)),$R$11))</f>
        <v>3.2899999999999999E-2</v>
      </c>
      <c r="J94" s="472">
        <f>IFERROR(IF(VLOOKUP(A94,'Updated Ncino PD'!$A:$K,9,0)=0,"",VLOOKUP(A94,'Updated Ncino PD'!$A:$K,9,0)),FLOOR(1-((1-H94)*(1-AJ94)*(1-AK94)),$R$11))</f>
        <v>3.8300000000000001E-2</v>
      </c>
      <c r="K94" s="472">
        <f>IFERROR(IF(VLOOKUP(A94,'Updated Ncino PD'!$A:$K,10,0)=0,"",VLOOKUP(A94,'Updated Ncino PD'!$A:$K,10,0)),FLOOR(1-((1-H94)*(1-AJ94)*(1-AK94)*(1-AL94)),$R$11))</f>
        <v>4.9700000000000001E-2</v>
      </c>
      <c r="L94" s="472">
        <f>IFERROR(IF(VLOOKUP(A94,'Updated Ncino PD'!$A:$K,11,0)=0,"",VLOOKUP(A94,'Updated Ncino PD'!$A:$K,11,0)),FLOOR(1-((1-H94)*(1-AJ94)*(1-AK94)*(1-AL94)*(1-AM94)),$R$11))</f>
        <v>6.08E-2</v>
      </c>
      <c r="M94" s="224">
        <f>VLOOKUP(A94,'Ref-Data'!$A:$F,6,FALSE)</f>
        <v>3.5044490075290895</v>
      </c>
      <c r="N94" s="191">
        <f t="shared" si="51"/>
        <v>2.29E-2</v>
      </c>
      <c r="O94" s="191">
        <f t="shared" si="52"/>
        <v>4.9700000000000001E-2</v>
      </c>
      <c r="P94" s="459" t="str">
        <f>VLOOKUP(A94,'Loan Book Summary'!C:G,5,FALSE)</f>
        <v>0015800000z8vOY</v>
      </c>
      <c r="Q94" s="355"/>
      <c r="R94" s="355"/>
      <c r="S94" s="203"/>
      <c r="T94" s="332">
        <f>IFERROR(VLOOKUP($P94,'Model Output-LoanNameUpdate'!$A:$K,2,FALSE),CL94)</f>
        <v>1.8619999999999998E-2</v>
      </c>
      <c r="U94" s="332">
        <f>1-(1-IFERROR(VLOOKUP($P94,'Model Output-LoanNameUpdate'!$A:$K,2,FALSE),CL94))^(1/4)</f>
        <v>4.6878611635342571E-3</v>
      </c>
      <c r="V94" s="332">
        <f>IFERROR(VLOOKUP($P94,'Model Output-LoanNameUpdate'!$A:$K,3,FALSE),CM94)</f>
        <v>1.4779999999999998E-2</v>
      </c>
      <c r="W94" s="332">
        <f>IFERROR(VLOOKUP($P94,'Model Output-LoanNameUpdate'!$A:$K,4,FALSE),CN94)</f>
        <v>1.2939999999999998E-2</v>
      </c>
      <c r="X94" s="332">
        <f>IFERROR(VLOOKUP($P94,'Model Output-LoanNameUpdate'!$A:$K,5,FALSE),CO94)</f>
        <v>1.174E-2</v>
      </c>
      <c r="Y94" s="332">
        <f>IFERROR(VLOOKUP($P94,'Model Output-LoanNameUpdate'!$A:$K,6,FALSE),CP94)</f>
        <v>1.094E-2</v>
      </c>
      <c r="Z94" s="207">
        <f t="shared" si="53"/>
        <v>1.01</v>
      </c>
      <c r="AA94" s="332">
        <f t="shared" si="54"/>
        <v>4.7347397751695995E-3</v>
      </c>
      <c r="AB94" s="332">
        <f t="shared" si="55"/>
        <v>1.4927799999999998E-2</v>
      </c>
      <c r="AC94" s="332">
        <f t="shared" si="56"/>
        <v>1.3069399999999998E-2</v>
      </c>
      <c r="AD94" s="332">
        <f t="shared" si="57"/>
        <v>1.1857400000000001E-2</v>
      </c>
      <c r="AE94" s="332">
        <f t="shared" si="58"/>
        <v>1.1049400000000001E-2</v>
      </c>
      <c r="AF94" s="332">
        <f>NORMSDIST((_xlfn.NORM.S.INV(AA94)-(SQRT(Baseline!$AF$11)*'MacroPD-Cal'!$R$2))/SQRT(1-Baseline!$AF$11))</f>
        <v>4.0228091930422216E-3</v>
      </c>
      <c r="AG94" s="332">
        <f>NORMSDIST((_xlfn.NORM.S.INV(AA94)-(SQRT(Baseline!$AF$11)*'MacroPD-Cal'!$R$3))/SQRT(1-Baseline!$AF$11))</f>
        <v>5.2923677649693692E-3</v>
      </c>
      <c r="AH94" s="332">
        <f>NORMSDIST((_xlfn.NORM.S.INV(AA94)-(SQRT(Baseline!$AF$11)*'MacroPD-Cal'!$R$4))/SQRT(1-Baseline!$AF$11))</f>
        <v>6.0116091262644306E-3</v>
      </c>
      <c r="AI94" s="332">
        <f>NORMSDIST((_xlfn.NORM.S.INV(AA94)-(SQRT(Baseline!$AF$11)*'MacroPD-Cal'!$R$5))/SQRT(1-Baseline!$AF$11))</f>
        <v>7.7953399622171914E-3</v>
      </c>
      <c r="AJ94" s="332">
        <f>NORMSDIST((_xlfn.NORM.S.INV(AB94)-(SQRT(Baseline!$AF$11)*'MacroPD-Cal'!$R$6))/SQRT(1-Baseline!$AF$11))</f>
        <v>1.0294050029941305E-2</v>
      </c>
      <c r="AK94" s="332">
        <f>NORMSDIST((_xlfn.NORM.S.INV(AC94)-(SQRT(Baseline!$AF$11)*'MacroPD-Cal'!$R$7))/SQRT(1-Baseline!$AF$11))</f>
        <v>5.5260325011350416E-3</v>
      </c>
      <c r="AL94" s="332">
        <f>NORMSDIST((_xlfn.NORM.S.INV(AD94)-(SQRT(Baseline!$AF$11)*'MacroPD-Cal'!$R$8))/SQRT(1-Baseline!$AF$11))</f>
        <v>1.1913205653924893E-2</v>
      </c>
      <c r="AM94" s="332">
        <f>NORMSDIST((_xlfn.NORM.S.INV(AE94)-(SQRT(Baseline!$AF$11)*'MacroPD-Cal'!$R$9))/SQRT(1-Baseline!$AF$11))</f>
        <v>1.1678351059135632E-2</v>
      </c>
      <c r="CR94" s="345">
        <f t="shared" si="47"/>
        <v>0.17566852371363412</v>
      </c>
      <c r="CS94" s="345">
        <f t="shared" si="48"/>
        <v>0.40584658394382911</v>
      </c>
      <c r="CT94" s="345">
        <f t="shared" si="49"/>
        <v>0.66592247528555593</v>
      </c>
      <c r="CU94" s="345">
        <f t="shared" si="50"/>
        <v>1</v>
      </c>
    </row>
    <row r="95" spans="1:99" x14ac:dyDescent="0.25">
      <c r="A95" s="464">
        <v>1100000255</v>
      </c>
      <c r="B95" s="470">
        <f>VLOOKUP(A95,'Ref-Data'!A:I,9,FALSE)</f>
        <v>1</v>
      </c>
      <c r="C95" s="445">
        <f>IF(B95="Matured","",VLOOKUP(A95,'Adjustment Factor'!A:C,3,0))</f>
        <v>1.01</v>
      </c>
      <c r="D95" s="190">
        <f>VLOOKUP(A95,'Ref-Data'!A:C,2,FALSE)</f>
        <v>6640000</v>
      </c>
      <c r="E95" s="471">
        <f>IFERROR(IF(VLOOKUP(A95,'Updated Ncino PD'!$A:$K,4,0)=0,"",VLOOKUP(A95,'Updated Ncino PD'!$A:$K,4,0)),AF95)</f>
        <v>4.0228091930422216E-3</v>
      </c>
      <c r="F95" s="472">
        <f>IFERROR(IF(VLOOKUP(A95,'Updated Ncino PD'!$A:$K,5,0)=0,"",VLOOKUP(A95,'Updated Ncino PD'!$A:$K,5,0)),1-((1-AG95)*(1-E95)))</f>
        <v>9.2938867723136864E-3</v>
      </c>
      <c r="G95" s="472">
        <f>IFERROR(IF(VLOOKUP(A95,'Updated Ncino PD'!$A:$K,6,0)=0,"",VLOOKUP(A95,'Updated Ncino PD'!$A:$K,6,0)),1-((1-AF95)*(1-AG95)*(1-AH95)))</f>
        <v>1.5249624684039231E-2</v>
      </c>
      <c r="H95" s="472">
        <f>IFERROR(IF(VLOOKUP(A95,'Updated Ncino PD'!$A:$K,7,0)=0,"",VLOOKUP(A95,'Updated Ncino PD'!$A:$K,7,0)),IFERROR(VLOOKUP(A95,'Updated Ncino PD'!A:B,2,FALSE),FLOOR(1-((1-AG95)*(1-AH95)*(1-AI95)*(1-AF95)),$R$11)))</f>
        <v>2.29E-2</v>
      </c>
      <c r="I95" s="472">
        <f>IFERROR(IF(VLOOKUP(A95,'Updated Ncino PD'!$A:$K,8,0)=0,"",VLOOKUP(A95,'Updated Ncino PD'!$A:$K,8,0)),FLOOR(1-((1-H95)*(1-AJ95)),$R$11))</f>
        <v>3.2899999999999999E-2</v>
      </c>
      <c r="J95" s="472">
        <f>IFERROR(IF(VLOOKUP(A95,'Updated Ncino PD'!$A:$K,9,0)=0,"",VLOOKUP(A95,'Updated Ncino PD'!$A:$K,9,0)),FLOOR(1-((1-H95)*(1-AJ95)*(1-AK95)),$R$11))</f>
        <v>3.8300000000000001E-2</v>
      </c>
      <c r="K95" s="472">
        <f>IFERROR(IF(VLOOKUP(A95,'Updated Ncino PD'!$A:$K,10,0)=0,"",VLOOKUP(A95,'Updated Ncino PD'!$A:$K,10,0)),FLOOR(1-((1-H95)*(1-AJ95)*(1-AK95)*(1-AL95)),$R$11))</f>
        <v>4.9700000000000001E-2</v>
      </c>
      <c r="L95" s="472">
        <f>IFERROR(IF(VLOOKUP(A95,'Updated Ncino PD'!$A:$K,11,0)=0,"",VLOOKUP(A95,'Updated Ncino PD'!$A:$K,11,0)),FLOOR(1-((1-H95)*(1-AJ95)*(1-AK95)*(1-AL95)*(1-AM95)),$R$11))</f>
        <v>6.08E-2</v>
      </c>
      <c r="M95" s="224">
        <f>VLOOKUP(A95,'Ref-Data'!$A:$F,6,FALSE)</f>
        <v>3.5044490075290895</v>
      </c>
      <c r="N95" s="191">
        <f t="shared" si="51"/>
        <v>2.29E-2</v>
      </c>
      <c r="O95" s="191">
        <f t="shared" si="52"/>
        <v>4.9700000000000001E-2</v>
      </c>
      <c r="P95" s="459" t="str">
        <f>VLOOKUP(A95,'Loan Book Summary'!C:G,5,FALSE)</f>
        <v>0015800000z8vOY</v>
      </c>
      <c r="Q95" s="355"/>
      <c r="R95" s="355"/>
      <c r="S95" s="203"/>
      <c r="T95" s="332">
        <f>IFERROR(VLOOKUP($P95,'Model Output-LoanNameUpdate'!$A:$K,2,FALSE),CL95)</f>
        <v>1.8619999999999998E-2</v>
      </c>
      <c r="U95" s="332">
        <f>1-(1-IFERROR(VLOOKUP($P95,'Model Output-LoanNameUpdate'!$A:$K,2,FALSE),CL95))^(1/4)</f>
        <v>4.6878611635342571E-3</v>
      </c>
      <c r="V95" s="332">
        <f>IFERROR(VLOOKUP($P95,'Model Output-LoanNameUpdate'!$A:$K,3,FALSE),CM95)</f>
        <v>1.4779999999999998E-2</v>
      </c>
      <c r="W95" s="332">
        <f>IFERROR(VLOOKUP($P95,'Model Output-LoanNameUpdate'!$A:$K,4,FALSE),CN95)</f>
        <v>1.2939999999999998E-2</v>
      </c>
      <c r="X95" s="332">
        <f>IFERROR(VLOOKUP($P95,'Model Output-LoanNameUpdate'!$A:$K,5,FALSE),CO95)</f>
        <v>1.174E-2</v>
      </c>
      <c r="Y95" s="332">
        <f>IFERROR(VLOOKUP($P95,'Model Output-LoanNameUpdate'!$A:$K,6,FALSE),CP95)</f>
        <v>1.094E-2</v>
      </c>
      <c r="Z95" s="207">
        <f t="shared" si="53"/>
        <v>1.01</v>
      </c>
      <c r="AA95" s="332">
        <f t="shared" si="54"/>
        <v>4.7347397751695995E-3</v>
      </c>
      <c r="AB95" s="332">
        <f t="shared" si="55"/>
        <v>1.4927799999999998E-2</v>
      </c>
      <c r="AC95" s="332">
        <f t="shared" si="56"/>
        <v>1.3069399999999998E-2</v>
      </c>
      <c r="AD95" s="332">
        <f t="shared" si="57"/>
        <v>1.1857400000000001E-2</v>
      </c>
      <c r="AE95" s="332">
        <f t="shared" si="58"/>
        <v>1.1049400000000001E-2</v>
      </c>
      <c r="AF95" s="332">
        <f>NORMSDIST((_xlfn.NORM.S.INV(AA95)-(SQRT(Baseline!$AF$11)*'MacroPD-Cal'!$R$2))/SQRT(1-Baseline!$AF$11))</f>
        <v>4.0228091930422216E-3</v>
      </c>
      <c r="AG95" s="332">
        <f>NORMSDIST((_xlfn.NORM.S.INV(AA95)-(SQRT(Baseline!$AF$11)*'MacroPD-Cal'!$R$3))/SQRT(1-Baseline!$AF$11))</f>
        <v>5.2923677649693692E-3</v>
      </c>
      <c r="AH95" s="332">
        <f>NORMSDIST((_xlfn.NORM.S.INV(AA95)-(SQRT(Baseline!$AF$11)*'MacroPD-Cal'!$R$4))/SQRT(1-Baseline!$AF$11))</f>
        <v>6.0116091262644306E-3</v>
      </c>
      <c r="AI95" s="332">
        <f>NORMSDIST((_xlfn.NORM.S.INV(AA95)-(SQRT(Baseline!$AF$11)*'MacroPD-Cal'!$R$5))/SQRT(1-Baseline!$AF$11))</f>
        <v>7.7953399622171914E-3</v>
      </c>
      <c r="AJ95" s="332">
        <f>NORMSDIST((_xlfn.NORM.S.INV(AB95)-(SQRT(Baseline!$AF$11)*'MacroPD-Cal'!$R$6))/SQRT(1-Baseline!$AF$11))</f>
        <v>1.0294050029941305E-2</v>
      </c>
      <c r="AK95" s="332">
        <f>NORMSDIST((_xlfn.NORM.S.INV(AC95)-(SQRT(Baseline!$AF$11)*'MacroPD-Cal'!$R$7))/SQRT(1-Baseline!$AF$11))</f>
        <v>5.5260325011350416E-3</v>
      </c>
      <c r="AL95" s="332">
        <f>NORMSDIST((_xlfn.NORM.S.INV(AD95)-(SQRT(Baseline!$AF$11)*'MacroPD-Cal'!$R$8))/SQRT(1-Baseline!$AF$11))</f>
        <v>1.1913205653924893E-2</v>
      </c>
      <c r="AM95" s="332">
        <f>NORMSDIST((_xlfn.NORM.S.INV(AE95)-(SQRT(Baseline!$AF$11)*'MacroPD-Cal'!$R$9))/SQRT(1-Baseline!$AF$11))</f>
        <v>1.1678351059135632E-2</v>
      </c>
      <c r="CR95" s="345">
        <f t="shared" si="47"/>
        <v>0.17566852371363412</v>
      </c>
      <c r="CS95" s="345">
        <f t="shared" si="48"/>
        <v>0.40584658394382911</v>
      </c>
      <c r="CT95" s="345">
        <f t="shared" si="49"/>
        <v>0.66592247528555593</v>
      </c>
      <c r="CU95" s="345">
        <f t="shared" si="50"/>
        <v>1</v>
      </c>
    </row>
    <row r="96" spans="1:99" x14ac:dyDescent="0.25">
      <c r="A96" s="464">
        <v>1100000252</v>
      </c>
      <c r="B96" s="470">
        <f>VLOOKUP(A96,'Ref-Data'!A:I,9,FALSE)</f>
        <v>1</v>
      </c>
      <c r="C96" s="445">
        <f>IF(B96="Matured","",VLOOKUP(A96,'Adjustment Factor'!A:C,3,0))</f>
        <v>1.01</v>
      </c>
      <c r="D96" s="190">
        <f>VLOOKUP(A96,'Ref-Data'!A:C,2,FALSE)</f>
        <v>4280000</v>
      </c>
      <c r="E96" s="471">
        <f>IFERROR(IF(VLOOKUP(A96,'Updated Ncino PD'!$A:$K,4,0)=0,"",VLOOKUP(A96,'Updated Ncino PD'!$A:$K,4,0)),AF96)</f>
        <v>4.0228091930422216E-3</v>
      </c>
      <c r="F96" s="472">
        <f>IFERROR(IF(VLOOKUP(A96,'Updated Ncino PD'!$A:$K,5,0)=0,"",VLOOKUP(A96,'Updated Ncino PD'!$A:$K,5,0)),1-((1-AG96)*(1-E96)))</f>
        <v>9.2938867723136864E-3</v>
      </c>
      <c r="G96" s="472">
        <f>IFERROR(IF(VLOOKUP(A96,'Updated Ncino PD'!$A:$K,6,0)=0,"",VLOOKUP(A96,'Updated Ncino PD'!$A:$K,6,0)),1-((1-AF96)*(1-AG96)*(1-AH96)))</f>
        <v>1.5249624684039231E-2</v>
      </c>
      <c r="H96" s="472">
        <f>IFERROR(IF(VLOOKUP(A96,'Updated Ncino PD'!$A:$K,7,0)=0,"",VLOOKUP(A96,'Updated Ncino PD'!$A:$K,7,0)),IFERROR(VLOOKUP(A96,'Updated Ncino PD'!A:B,2,FALSE),FLOOR(1-((1-AG96)*(1-AH96)*(1-AI96)*(1-AF96)),$R$11)))</f>
        <v>2.29E-2</v>
      </c>
      <c r="I96" s="472">
        <f>IFERROR(IF(VLOOKUP(A96,'Updated Ncino PD'!$A:$K,8,0)=0,"",VLOOKUP(A96,'Updated Ncino PD'!$A:$K,8,0)),FLOOR(1-((1-H96)*(1-AJ96)),$R$11))</f>
        <v>3.2899999999999999E-2</v>
      </c>
      <c r="J96" s="472">
        <f>IFERROR(IF(VLOOKUP(A96,'Updated Ncino PD'!$A:$K,9,0)=0,"",VLOOKUP(A96,'Updated Ncino PD'!$A:$K,9,0)),FLOOR(1-((1-H96)*(1-AJ96)*(1-AK96)),$R$11))</f>
        <v>3.8300000000000001E-2</v>
      </c>
      <c r="K96" s="472">
        <f>IFERROR(IF(VLOOKUP(A96,'Updated Ncino PD'!$A:$K,10,0)=0,"",VLOOKUP(A96,'Updated Ncino PD'!$A:$K,10,0)),FLOOR(1-((1-H96)*(1-AJ96)*(1-AK96)*(1-AL96)),$R$11))</f>
        <v>4.9700000000000001E-2</v>
      </c>
      <c r="L96" s="472">
        <f>IFERROR(IF(VLOOKUP(A96,'Updated Ncino PD'!$A:$K,11,0)=0,"",VLOOKUP(A96,'Updated Ncino PD'!$A:$K,11,0)),FLOOR(1-((1-H96)*(1-AJ96)*(1-AK96)*(1-AL96)*(1-AM96)),$R$11))</f>
        <v>6.08E-2</v>
      </c>
      <c r="M96" s="224">
        <f>VLOOKUP(A96,'Ref-Data'!$A:$F,6,FALSE)</f>
        <v>3.5044490075290895</v>
      </c>
      <c r="N96" s="191">
        <f t="shared" si="51"/>
        <v>2.29E-2</v>
      </c>
      <c r="O96" s="191">
        <f t="shared" si="52"/>
        <v>4.9700000000000001E-2</v>
      </c>
      <c r="P96" s="459" t="str">
        <f>VLOOKUP(A96,'Loan Book Summary'!C:G,5,FALSE)</f>
        <v>0015800000z8vOY</v>
      </c>
      <c r="Q96" s="355"/>
      <c r="R96" s="355"/>
      <c r="S96" s="203"/>
      <c r="T96" s="332">
        <f>IFERROR(VLOOKUP($P96,'Model Output-LoanNameUpdate'!$A:$K,2,FALSE),CL96)</f>
        <v>1.8619999999999998E-2</v>
      </c>
      <c r="U96" s="332">
        <f>1-(1-IFERROR(VLOOKUP($P96,'Model Output-LoanNameUpdate'!$A:$K,2,FALSE),CL96))^(1/4)</f>
        <v>4.6878611635342571E-3</v>
      </c>
      <c r="V96" s="332">
        <f>IFERROR(VLOOKUP($P96,'Model Output-LoanNameUpdate'!$A:$K,3,FALSE),CM96)</f>
        <v>1.4779999999999998E-2</v>
      </c>
      <c r="W96" s="332">
        <f>IFERROR(VLOOKUP($P96,'Model Output-LoanNameUpdate'!$A:$K,4,FALSE),CN96)</f>
        <v>1.2939999999999998E-2</v>
      </c>
      <c r="X96" s="332">
        <f>IFERROR(VLOOKUP($P96,'Model Output-LoanNameUpdate'!$A:$K,5,FALSE),CO96)</f>
        <v>1.174E-2</v>
      </c>
      <c r="Y96" s="332">
        <f>IFERROR(VLOOKUP($P96,'Model Output-LoanNameUpdate'!$A:$K,6,FALSE),CP96)</f>
        <v>1.094E-2</v>
      </c>
      <c r="Z96" s="207">
        <f t="shared" si="53"/>
        <v>1.01</v>
      </c>
      <c r="AA96" s="332">
        <f t="shared" si="54"/>
        <v>4.7347397751695995E-3</v>
      </c>
      <c r="AB96" s="332">
        <f t="shared" si="55"/>
        <v>1.4927799999999998E-2</v>
      </c>
      <c r="AC96" s="332">
        <f t="shared" si="56"/>
        <v>1.3069399999999998E-2</v>
      </c>
      <c r="AD96" s="332">
        <f t="shared" si="57"/>
        <v>1.1857400000000001E-2</v>
      </c>
      <c r="AE96" s="332">
        <f t="shared" si="58"/>
        <v>1.1049400000000001E-2</v>
      </c>
      <c r="AF96" s="332">
        <f>NORMSDIST((_xlfn.NORM.S.INV(AA96)-(SQRT(Baseline!$AF$11)*'MacroPD-Cal'!$R$2))/SQRT(1-Baseline!$AF$11))</f>
        <v>4.0228091930422216E-3</v>
      </c>
      <c r="AG96" s="332">
        <f>NORMSDIST((_xlfn.NORM.S.INV(AA96)-(SQRT(Baseline!$AF$11)*'MacroPD-Cal'!$R$3))/SQRT(1-Baseline!$AF$11))</f>
        <v>5.2923677649693692E-3</v>
      </c>
      <c r="AH96" s="332">
        <f>NORMSDIST((_xlfn.NORM.S.INV(AA96)-(SQRT(Baseline!$AF$11)*'MacroPD-Cal'!$R$4))/SQRT(1-Baseline!$AF$11))</f>
        <v>6.0116091262644306E-3</v>
      </c>
      <c r="AI96" s="332">
        <f>NORMSDIST((_xlfn.NORM.S.INV(AA96)-(SQRT(Baseline!$AF$11)*'MacroPD-Cal'!$R$5))/SQRT(1-Baseline!$AF$11))</f>
        <v>7.7953399622171914E-3</v>
      </c>
      <c r="AJ96" s="332">
        <f>NORMSDIST((_xlfn.NORM.S.INV(AB96)-(SQRT(Baseline!$AF$11)*'MacroPD-Cal'!$R$6))/SQRT(1-Baseline!$AF$11))</f>
        <v>1.0294050029941305E-2</v>
      </c>
      <c r="AK96" s="332">
        <f>NORMSDIST((_xlfn.NORM.S.INV(AC96)-(SQRT(Baseline!$AF$11)*'MacroPD-Cal'!$R$7))/SQRT(1-Baseline!$AF$11))</f>
        <v>5.5260325011350416E-3</v>
      </c>
      <c r="AL96" s="332">
        <f>NORMSDIST((_xlfn.NORM.S.INV(AD96)-(SQRT(Baseline!$AF$11)*'MacroPD-Cal'!$R$8))/SQRT(1-Baseline!$AF$11))</f>
        <v>1.1913205653924893E-2</v>
      </c>
      <c r="AM96" s="332">
        <f>NORMSDIST((_xlfn.NORM.S.INV(AE96)-(SQRT(Baseline!$AF$11)*'MacroPD-Cal'!$R$9))/SQRT(1-Baseline!$AF$11))</f>
        <v>1.1678351059135632E-2</v>
      </c>
      <c r="CR96" s="345">
        <f t="shared" si="47"/>
        <v>0.17566852371363412</v>
      </c>
      <c r="CS96" s="345">
        <f t="shared" si="48"/>
        <v>0.40584658394382911</v>
      </c>
      <c r="CT96" s="345">
        <f t="shared" si="49"/>
        <v>0.66592247528555593</v>
      </c>
      <c r="CU96" s="345">
        <f t="shared" si="50"/>
        <v>1</v>
      </c>
    </row>
    <row r="97" spans="1:99" ht="15.75" x14ac:dyDescent="0.25">
      <c r="A97" s="473">
        <v>1100000257</v>
      </c>
      <c r="B97" s="470">
        <f>VLOOKUP(A97,'Ref-Data'!A:I,9,FALSE)</f>
        <v>1</v>
      </c>
      <c r="C97" s="445">
        <f>IF(B97="Matured","",VLOOKUP(A97,'Adjustment Factor'!A:C,3,0))</f>
        <v>1.01</v>
      </c>
      <c r="D97" s="190">
        <f>VLOOKUP(A97,'Ref-Data'!A:C,2,FALSE)</f>
        <v>7774000</v>
      </c>
      <c r="E97" s="471">
        <f>IFERROR(IF(VLOOKUP(A97,'Updated Ncino PD'!$A:$K,4,0)=0,"",VLOOKUP(A97,'Updated Ncino PD'!$A:$K,4,0)),AF97)</f>
        <v>4.0228091930422216E-3</v>
      </c>
      <c r="F97" s="472">
        <f>IFERROR(IF(VLOOKUP(A97,'Updated Ncino PD'!$A:$K,5,0)=0,"",VLOOKUP(A97,'Updated Ncino PD'!$A:$K,5,0)),1-((1-AG97)*(1-E97)))</f>
        <v>9.2938867723136864E-3</v>
      </c>
      <c r="G97" s="472">
        <f>IFERROR(IF(VLOOKUP(A97,'Updated Ncino PD'!$A:$K,6,0)=0,"",VLOOKUP(A97,'Updated Ncino PD'!$A:$K,6,0)),1-((1-AF97)*(1-AG97)*(1-AH97)))</f>
        <v>1.5249624684039231E-2</v>
      </c>
      <c r="H97" s="472">
        <f>IFERROR(IF(VLOOKUP(A97,'Updated Ncino PD'!$A:$K,7,0)=0,"",VLOOKUP(A97,'Updated Ncino PD'!$A:$K,7,0)),IFERROR(VLOOKUP(A97,'Updated Ncino PD'!A:B,2,FALSE),FLOOR(1-((1-AG97)*(1-AH97)*(1-AI97)*(1-AF97)),$R$11)))</f>
        <v>2.29E-2</v>
      </c>
      <c r="I97" s="472">
        <f>IFERROR(IF(VLOOKUP(A97,'Updated Ncino PD'!$A:$K,8,0)=0,"",VLOOKUP(A97,'Updated Ncino PD'!$A:$K,8,0)),FLOOR(1-((1-H97)*(1-AJ97)),$R$11))</f>
        <v>3.2899999999999999E-2</v>
      </c>
      <c r="J97" s="472">
        <f>IFERROR(IF(VLOOKUP(A97,'Updated Ncino PD'!$A:$K,9,0)=0,"",VLOOKUP(A97,'Updated Ncino PD'!$A:$K,9,0)),FLOOR(1-((1-H97)*(1-AJ97)*(1-AK97)),$R$11))</f>
        <v>3.8300000000000001E-2</v>
      </c>
      <c r="K97" s="472">
        <f>IFERROR(IF(VLOOKUP(A97,'Updated Ncino PD'!$A:$K,10,0)=0,"",VLOOKUP(A97,'Updated Ncino PD'!$A:$K,10,0)),FLOOR(1-((1-H97)*(1-AJ97)*(1-AK97)*(1-AL97)),$R$11))</f>
        <v>4.9700000000000001E-2</v>
      </c>
      <c r="L97" s="472">
        <f>IFERROR(IF(VLOOKUP(A97,'Updated Ncino PD'!$A:$K,11,0)=0,"",VLOOKUP(A97,'Updated Ncino PD'!$A:$K,11,0)),FLOOR(1-((1-H97)*(1-AJ97)*(1-AK97)*(1-AL97)*(1-AM97)),$R$11))</f>
        <v>6.08E-2</v>
      </c>
      <c r="M97" s="224">
        <f>VLOOKUP(A97,'Ref-Data'!$A:$F,6,FALSE)</f>
        <v>3.5044490075290895</v>
      </c>
      <c r="N97" s="191">
        <f t="shared" si="51"/>
        <v>2.29E-2</v>
      </c>
      <c r="O97" s="191">
        <f t="shared" si="52"/>
        <v>4.9700000000000001E-2</v>
      </c>
      <c r="P97" s="459" t="str">
        <f>VLOOKUP(A97,'Loan Book Summary'!C:G,5,FALSE)</f>
        <v>0015800000z8vOY</v>
      </c>
      <c r="Q97" s="355"/>
      <c r="R97" s="355"/>
      <c r="S97" s="203"/>
      <c r="T97" s="332">
        <f>IFERROR(VLOOKUP($P97,'Model Output-LoanNameUpdate'!$A:$K,2,FALSE),CL97)</f>
        <v>1.8619999999999998E-2</v>
      </c>
      <c r="U97" s="332">
        <f>1-(1-IFERROR(VLOOKUP($P97,'Model Output-LoanNameUpdate'!$A:$K,2,FALSE),CL97))^(1/4)</f>
        <v>4.6878611635342571E-3</v>
      </c>
      <c r="V97" s="332">
        <f>IFERROR(VLOOKUP($P97,'Model Output-LoanNameUpdate'!$A:$K,3,FALSE),CM97)</f>
        <v>1.4779999999999998E-2</v>
      </c>
      <c r="W97" s="332">
        <f>IFERROR(VLOOKUP($P97,'Model Output-LoanNameUpdate'!$A:$K,4,FALSE),CN97)</f>
        <v>1.2939999999999998E-2</v>
      </c>
      <c r="X97" s="332">
        <f>IFERROR(VLOOKUP($P97,'Model Output-LoanNameUpdate'!$A:$K,5,FALSE),CO97)</f>
        <v>1.174E-2</v>
      </c>
      <c r="Y97" s="332">
        <f>IFERROR(VLOOKUP($P97,'Model Output-LoanNameUpdate'!$A:$K,6,FALSE),CP97)</f>
        <v>1.094E-2</v>
      </c>
      <c r="Z97" s="207">
        <f t="shared" si="53"/>
        <v>1.01</v>
      </c>
      <c r="AA97" s="332">
        <f t="shared" si="54"/>
        <v>4.7347397751695995E-3</v>
      </c>
      <c r="AB97" s="332">
        <f t="shared" si="55"/>
        <v>1.4927799999999998E-2</v>
      </c>
      <c r="AC97" s="332">
        <f t="shared" si="56"/>
        <v>1.3069399999999998E-2</v>
      </c>
      <c r="AD97" s="332">
        <f t="shared" si="57"/>
        <v>1.1857400000000001E-2</v>
      </c>
      <c r="AE97" s="332">
        <f t="shared" si="58"/>
        <v>1.1049400000000001E-2</v>
      </c>
      <c r="AF97" s="332">
        <f>NORMSDIST((_xlfn.NORM.S.INV(AA97)-(SQRT(Baseline!$AF$11)*'MacroPD-Cal'!$R$2))/SQRT(1-Baseline!$AF$11))</f>
        <v>4.0228091930422216E-3</v>
      </c>
      <c r="AG97" s="332">
        <f>NORMSDIST((_xlfn.NORM.S.INV(AA97)-(SQRT(Baseline!$AF$11)*'MacroPD-Cal'!$R$3))/SQRT(1-Baseline!$AF$11))</f>
        <v>5.2923677649693692E-3</v>
      </c>
      <c r="AH97" s="332">
        <f>NORMSDIST((_xlfn.NORM.S.INV(AA97)-(SQRT(Baseline!$AF$11)*'MacroPD-Cal'!$R$4))/SQRT(1-Baseline!$AF$11))</f>
        <v>6.0116091262644306E-3</v>
      </c>
      <c r="AI97" s="332">
        <f>NORMSDIST((_xlfn.NORM.S.INV(AA97)-(SQRT(Baseline!$AF$11)*'MacroPD-Cal'!$R$5))/SQRT(1-Baseline!$AF$11))</f>
        <v>7.7953399622171914E-3</v>
      </c>
      <c r="AJ97" s="332">
        <f>NORMSDIST((_xlfn.NORM.S.INV(AB97)-(SQRT(Baseline!$AF$11)*'MacroPD-Cal'!$R$6))/SQRT(1-Baseline!$AF$11))</f>
        <v>1.0294050029941305E-2</v>
      </c>
      <c r="AK97" s="332">
        <f>NORMSDIST((_xlfn.NORM.S.INV(AC97)-(SQRT(Baseline!$AF$11)*'MacroPD-Cal'!$R$7))/SQRT(1-Baseline!$AF$11))</f>
        <v>5.5260325011350416E-3</v>
      </c>
      <c r="AL97" s="332">
        <f>NORMSDIST((_xlfn.NORM.S.INV(AD97)-(SQRT(Baseline!$AF$11)*'MacroPD-Cal'!$R$8))/SQRT(1-Baseline!$AF$11))</f>
        <v>1.1913205653924893E-2</v>
      </c>
      <c r="AM97" s="332">
        <f>NORMSDIST((_xlfn.NORM.S.INV(AE97)-(SQRT(Baseline!$AF$11)*'MacroPD-Cal'!$R$9))/SQRT(1-Baseline!$AF$11))</f>
        <v>1.1678351059135632E-2</v>
      </c>
      <c r="CR97" s="345">
        <f t="shared" si="47"/>
        <v>0.17566852371363412</v>
      </c>
      <c r="CS97" s="345">
        <f t="shared" si="48"/>
        <v>0.40584658394382911</v>
      </c>
      <c r="CT97" s="345">
        <f t="shared" si="49"/>
        <v>0.66592247528555593</v>
      </c>
      <c r="CU97" s="345">
        <f t="shared" si="50"/>
        <v>1</v>
      </c>
    </row>
    <row r="98" spans="1:99" ht="15.75" x14ac:dyDescent="0.25">
      <c r="A98" s="473">
        <v>1100000251</v>
      </c>
      <c r="B98" s="470">
        <f>VLOOKUP(A98,'Ref-Data'!A:I,9,FALSE)</f>
        <v>1</v>
      </c>
      <c r="C98" s="445">
        <f>IF(B98="Matured","",VLOOKUP(A98,'Adjustment Factor'!A:C,3,0))</f>
        <v>1.01</v>
      </c>
      <c r="D98" s="190">
        <f>VLOOKUP(A98,'Ref-Data'!A:C,2,FALSE)</f>
        <v>796000</v>
      </c>
      <c r="E98" s="471">
        <f>IFERROR(IF(VLOOKUP(A98,'Updated Ncino PD'!$A:$K,4,0)=0,"",VLOOKUP(A98,'Updated Ncino PD'!$A:$K,4,0)),AF98)</f>
        <v>4.0228091930422216E-3</v>
      </c>
      <c r="F98" s="472">
        <f>IFERROR(IF(VLOOKUP(A98,'Updated Ncino PD'!$A:$K,5,0)=0,"",VLOOKUP(A98,'Updated Ncino PD'!$A:$K,5,0)),1-((1-AG98)*(1-E98)))</f>
        <v>9.2938867723136864E-3</v>
      </c>
      <c r="G98" s="472">
        <f>IFERROR(IF(VLOOKUP(A98,'Updated Ncino PD'!$A:$K,6,0)=0,"",VLOOKUP(A98,'Updated Ncino PD'!$A:$K,6,0)),1-((1-AF98)*(1-AG98)*(1-AH98)))</f>
        <v>1.5249624684039231E-2</v>
      </c>
      <c r="H98" s="472">
        <f>IFERROR(IF(VLOOKUP(A98,'Updated Ncino PD'!$A:$K,7,0)=0,"",VLOOKUP(A98,'Updated Ncino PD'!$A:$K,7,0)),IFERROR(VLOOKUP(A98,'Updated Ncino PD'!A:B,2,FALSE),FLOOR(1-((1-AG98)*(1-AH98)*(1-AI98)*(1-AF98)),$R$11)))</f>
        <v>2.29E-2</v>
      </c>
      <c r="I98" s="472">
        <f>IFERROR(IF(VLOOKUP(A98,'Updated Ncino PD'!$A:$K,8,0)=0,"",VLOOKUP(A98,'Updated Ncino PD'!$A:$K,8,0)),FLOOR(1-((1-H98)*(1-AJ98)),$R$11))</f>
        <v>3.2899999999999999E-2</v>
      </c>
      <c r="J98" s="472">
        <f>IFERROR(IF(VLOOKUP(A98,'Updated Ncino PD'!$A:$K,9,0)=0,"",VLOOKUP(A98,'Updated Ncino PD'!$A:$K,9,0)),FLOOR(1-((1-H98)*(1-AJ98)*(1-AK98)),$R$11))</f>
        <v>3.8300000000000001E-2</v>
      </c>
      <c r="K98" s="472">
        <f>IFERROR(IF(VLOOKUP(A98,'Updated Ncino PD'!$A:$K,10,0)=0,"",VLOOKUP(A98,'Updated Ncino PD'!$A:$K,10,0)),FLOOR(1-((1-H98)*(1-AJ98)*(1-AK98)*(1-AL98)),$R$11))</f>
        <v>4.9700000000000001E-2</v>
      </c>
      <c r="L98" s="472">
        <f>IFERROR(IF(VLOOKUP(A98,'Updated Ncino PD'!$A:$K,11,0)=0,"",VLOOKUP(A98,'Updated Ncino PD'!$A:$K,11,0)),FLOOR(1-((1-H98)*(1-AJ98)*(1-AK98)*(1-AL98)*(1-AM98)),$R$11))</f>
        <v>6.08E-2</v>
      </c>
      <c r="M98" s="224">
        <f>VLOOKUP(A98,'Ref-Data'!$A:$F,6,FALSE)</f>
        <v>3.5044490075290895</v>
      </c>
      <c r="N98" s="191">
        <f t="shared" si="51"/>
        <v>2.29E-2</v>
      </c>
      <c r="O98" s="191">
        <f t="shared" si="52"/>
        <v>4.9700000000000001E-2</v>
      </c>
      <c r="P98" s="459" t="str">
        <f>VLOOKUP(A98,'Loan Book Summary'!C:G,5,FALSE)</f>
        <v>0015800000z8vOY</v>
      </c>
      <c r="Q98" s="355"/>
      <c r="R98" s="355"/>
      <c r="S98" s="203"/>
      <c r="T98" s="332">
        <f>IFERROR(VLOOKUP($P98,'Model Output-LoanNameUpdate'!$A:$K,2,FALSE),CL98)</f>
        <v>1.8619999999999998E-2</v>
      </c>
      <c r="U98" s="332">
        <f>1-(1-IFERROR(VLOOKUP($P98,'Model Output-LoanNameUpdate'!$A:$K,2,FALSE),CL98))^(1/4)</f>
        <v>4.6878611635342571E-3</v>
      </c>
      <c r="V98" s="332">
        <f>IFERROR(VLOOKUP($P98,'Model Output-LoanNameUpdate'!$A:$K,3,FALSE),CM98)</f>
        <v>1.4779999999999998E-2</v>
      </c>
      <c r="W98" s="332">
        <f>IFERROR(VLOOKUP($P98,'Model Output-LoanNameUpdate'!$A:$K,4,FALSE),CN98)</f>
        <v>1.2939999999999998E-2</v>
      </c>
      <c r="X98" s="332">
        <f>IFERROR(VLOOKUP($P98,'Model Output-LoanNameUpdate'!$A:$K,5,FALSE),CO98)</f>
        <v>1.174E-2</v>
      </c>
      <c r="Y98" s="332">
        <f>IFERROR(VLOOKUP($P98,'Model Output-LoanNameUpdate'!$A:$K,6,FALSE),CP98)</f>
        <v>1.094E-2</v>
      </c>
      <c r="Z98" s="207">
        <f t="shared" si="53"/>
        <v>1.01</v>
      </c>
      <c r="AA98" s="332">
        <f t="shared" si="54"/>
        <v>4.7347397751695995E-3</v>
      </c>
      <c r="AB98" s="332">
        <f t="shared" si="55"/>
        <v>1.4927799999999998E-2</v>
      </c>
      <c r="AC98" s="332">
        <f t="shared" si="56"/>
        <v>1.3069399999999998E-2</v>
      </c>
      <c r="AD98" s="332">
        <f t="shared" si="57"/>
        <v>1.1857400000000001E-2</v>
      </c>
      <c r="AE98" s="332">
        <f t="shared" si="58"/>
        <v>1.1049400000000001E-2</v>
      </c>
      <c r="AF98" s="332">
        <f>NORMSDIST((_xlfn.NORM.S.INV(AA98)-(SQRT(Baseline!$AF$11)*'MacroPD-Cal'!$R$2))/SQRT(1-Baseline!$AF$11))</f>
        <v>4.0228091930422216E-3</v>
      </c>
      <c r="AG98" s="332">
        <f>NORMSDIST((_xlfn.NORM.S.INV(AA98)-(SQRT(Baseline!$AF$11)*'MacroPD-Cal'!$R$3))/SQRT(1-Baseline!$AF$11))</f>
        <v>5.2923677649693692E-3</v>
      </c>
      <c r="AH98" s="332">
        <f>NORMSDIST((_xlfn.NORM.S.INV(AA98)-(SQRT(Baseline!$AF$11)*'MacroPD-Cal'!$R$4))/SQRT(1-Baseline!$AF$11))</f>
        <v>6.0116091262644306E-3</v>
      </c>
      <c r="AI98" s="332">
        <f>NORMSDIST((_xlfn.NORM.S.INV(AA98)-(SQRT(Baseline!$AF$11)*'MacroPD-Cal'!$R$5))/SQRT(1-Baseline!$AF$11))</f>
        <v>7.7953399622171914E-3</v>
      </c>
      <c r="AJ98" s="332">
        <f>NORMSDIST((_xlfn.NORM.S.INV(AB98)-(SQRT(Baseline!$AF$11)*'MacroPD-Cal'!$R$6))/SQRT(1-Baseline!$AF$11))</f>
        <v>1.0294050029941305E-2</v>
      </c>
      <c r="AK98" s="332">
        <f>NORMSDIST((_xlfn.NORM.S.INV(AC98)-(SQRT(Baseline!$AF$11)*'MacroPD-Cal'!$R$7))/SQRT(1-Baseline!$AF$11))</f>
        <v>5.5260325011350416E-3</v>
      </c>
      <c r="AL98" s="332">
        <f>NORMSDIST((_xlfn.NORM.S.INV(AD98)-(SQRT(Baseline!$AF$11)*'MacroPD-Cal'!$R$8))/SQRT(1-Baseline!$AF$11))</f>
        <v>1.1913205653924893E-2</v>
      </c>
      <c r="AM98" s="332">
        <f>NORMSDIST((_xlfn.NORM.S.INV(AE98)-(SQRT(Baseline!$AF$11)*'MacroPD-Cal'!$R$9))/SQRT(1-Baseline!$AF$11))</f>
        <v>1.1678351059135632E-2</v>
      </c>
      <c r="CR98" s="345">
        <f t="shared" si="47"/>
        <v>0.17566852371363412</v>
      </c>
      <c r="CS98" s="345">
        <f t="shared" si="48"/>
        <v>0.40584658394382911</v>
      </c>
      <c r="CT98" s="345">
        <f t="shared" si="49"/>
        <v>0.66592247528555593</v>
      </c>
      <c r="CU98" s="345">
        <f t="shared" si="50"/>
        <v>1</v>
      </c>
    </row>
    <row r="99" spans="1:99" ht="15.75" x14ac:dyDescent="0.25">
      <c r="A99" s="474">
        <v>1100000254</v>
      </c>
      <c r="B99" s="470">
        <f>VLOOKUP(A99,'Ref-Data'!A:I,9,FALSE)</f>
        <v>1</v>
      </c>
      <c r="C99" s="445">
        <f>IF(B99="Matured","",VLOOKUP(A99,'Adjustment Factor'!A:C,3,0))</f>
        <v>1.01</v>
      </c>
      <c r="D99" s="190">
        <f>VLOOKUP(A99,'Ref-Data'!A:C,2,FALSE)</f>
        <v>3000000</v>
      </c>
      <c r="E99" s="471">
        <f>IFERROR(IF(VLOOKUP(A99,'Updated Ncino PD'!$A:$K,4,0)=0,"",VLOOKUP(A99,'Updated Ncino PD'!$A:$K,4,0)),AF99)</f>
        <v>4.0228091930422216E-3</v>
      </c>
      <c r="F99" s="472">
        <f>IFERROR(IF(VLOOKUP(A99,'Updated Ncino PD'!$A:$K,5,0)=0,"",VLOOKUP(A99,'Updated Ncino PD'!$A:$K,5,0)),1-((1-AG99)*(1-E99)))</f>
        <v>9.2938867723136864E-3</v>
      </c>
      <c r="G99" s="472">
        <f>IFERROR(IF(VLOOKUP(A99,'Updated Ncino PD'!$A:$K,6,0)=0,"",VLOOKUP(A99,'Updated Ncino PD'!$A:$K,6,0)),1-((1-AF99)*(1-AG99)*(1-AH99)))</f>
        <v>1.5249624684039231E-2</v>
      </c>
      <c r="H99" s="472">
        <f>IFERROR(IF(VLOOKUP(A99,'Updated Ncino PD'!$A:$K,7,0)=0,"",VLOOKUP(A99,'Updated Ncino PD'!$A:$K,7,0)),IFERROR(VLOOKUP(A99,'Updated Ncino PD'!A:B,2,FALSE),FLOOR(1-((1-AG99)*(1-AH99)*(1-AI99)*(1-AF99)),$R$11)))</f>
        <v>2.29E-2</v>
      </c>
      <c r="I99" s="472">
        <f>IFERROR(IF(VLOOKUP(A99,'Updated Ncino PD'!$A:$K,8,0)=0,"",VLOOKUP(A99,'Updated Ncino PD'!$A:$K,8,0)),FLOOR(1-((1-H99)*(1-AJ99)),$R$11))</f>
        <v>3.2899999999999999E-2</v>
      </c>
      <c r="J99" s="472">
        <f>IFERROR(IF(VLOOKUP(A99,'Updated Ncino PD'!$A:$K,9,0)=0,"",VLOOKUP(A99,'Updated Ncino PD'!$A:$K,9,0)),FLOOR(1-((1-H99)*(1-AJ99)*(1-AK99)),$R$11))</f>
        <v>3.8300000000000001E-2</v>
      </c>
      <c r="K99" s="472">
        <f>IFERROR(IF(VLOOKUP(A99,'Updated Ncino PD'!$A:$K,10,0)=0,"",VLOOKUP(A99,'Updated Ncino PD'!$A:$K,10,0)),FLOOR(1-((1-H99)*(1-AJ99)*(1-AK99)*(1-AL99)),$R$11))</f>
        <v>4.9700000000000001E-2</v>
      </c>
      <c r="L99" s="472">
        <f>IFERROR(IF(VLOOKUP(A99,'Updated Ncino PD'!$A:$K,11,0)=0,"",VLOOKUP(A99,'Updated Ncino PD'!$A:$K,11,0)),FLOOR(1-((1-H99)*(1-AJ99)*(1-AK99)*(1-AL99)*(1-AM99)),$R$11))</f>
        <v>6.08E-2</v>
      </c>
      <c r="M99" s="224">
        <f>VLOOKUP(A99,'Ref-Data'!$A:$F,6,FALSE)</f>
        <v>3.5044490075290895</v>
      </c>
      <c r="N99" s="191">
        <f t="shared" si="51"/>
        <v>2.29E-2</v>
      </c>
      <c r="O99" s="191">
        <f t="shared" si="52"/>
        <v>4.9700000000000001E-2</v>
      </c>
      <c r="P99" s="459" t="str">
        <f>VLOOKUP(A99,'Loan Book Summary'!C:G,5,FALSE)</f>
        <v>0015800000z8vOY</v>
      </c>
      <c r="Q99" s="355"/>
      <c r="R99" s="355"/>
      <c r="S99" s="203"/>
      <c r="T99" s="332">
        <f>IFERROR(VLOOKUP($P99,'Model Output-LoanNameUpdate'!$A:$K,2,FALSE),CL99)</f>
        <v>1.8619999999999998E-2</v>
      </c>
      <c r="U99" s="332">
        <f>1-(1-IFERROR(VLOOKUP($P99,'Model Output-LoanNameUpdate'!$A:$K,2,FALSE),CL99))^(1/4)</f>
        <v>4.6878611635342571E-3</v>
      </c>
      <c r="V99" s="332">
        <f>IFERROR(VLOOKUP($P99,'Model Output-LoanNameUpdate'!$A:$K,3,FALSE),CM99)</f>
        <v>1.4779999999999998E-2</v>
      </c>
      <c r="W99" s="332">
        <f>IFERROR(VLOOKUP($P99,'Model Output-LoanNameUpdate'!$A:$K,4,FALSE),CN99)</f>
        <v>1.2939999999999998E-2</v>
      </c>
      <c r="X99" s="332">
        <f>IFERROR(VLOOKUP($P99,'Model Output-LoanNameUpdate'!$A:$K,5,FALSE),CO99)</f>
        <v>1.174E-2</v>
      </c>
      <c r="Y99" s="332">
        <f>IFERROR(VLOOKUP($P99,'Model Output-LoanNameUpdate'!$A:$K,6,FALSE),CP99)</f>
        <v>1.094E-2</v>
      </c>
      <c r="Z99" s="207">
        <f t="shared" si="53"/>
        <v>1.01</v>
      </c>
      <c r="AA99" s="332">
        <f t="shared" si="54"/>
        <v>4.7347397751695995E-3</v>
      </c>
      <c r="AB99" s="332">
        <f t="shared" si="55"/>
        <v>1.4927799999999998E-2</v>
      </c>
      <c r="AC99" s="332">
        <f t="shared" si="56"/>
        <v>1.3069399999999998E-2</v>
      </c>
      <c r="AD99" s="332">
        <f t="shared" si="57"/>
        <v>1.1857400000000001E-2</v>
      </c>
      <c r="AE99" s="332">
        <f t="shared" si="58"/>
        <v>1.1049400000000001E-2</v>
      </c>
      <c r="AF99" s="332">
        <f>NORMSDIST((_xlfn.NORM.S.INV(AA99)-(SQRT(Baseline!$AF$11)*'MacroPD-Cal'!$R$2))/SQRT(1-Baseline!$AF$11))</f>
        <v>4.0228091930422216E-3</v>
      </c>
      <c r="AG99" s="332">
        <f>NORMSDIST((_xlfn.NORM.S.INV(AA99)-(SQRT(Baseline!$AF$11)*'MacroPD-Cal'!$R$3))/SQRT(1-Baseline!$AF$11))</f>
        <v>5.2923677649693692E-3</v>
      </c>
      <c r="AH99" s="332">
        <f>NORMSDIST((_xlfn.NORM.S.INV(AA99)-(SQRT(Baseline!$AF$11)*'MacroPD-Cal'!$R$4))/SQRT(1-Baseline!$AF$11))</f>
        <v>6.0116091262644306E-3</v>
      </c>
      <c r="AI99" s="332">
        <f>NORMSDIST((_xlfn.NORM.S.INV(AA99)-(SQRT(Baseline!$AF$11)*'MacroPD-Cal'!$R$5))/SQRT(1-Baseline!$AF$11))</f>
        <v>7.7953399622171914E-3</v>
      </c>
      <c r="AJ99" s="332">
        <f>NORMSDIST((_xlfn.NORM.S.INV(AB99)-(SQRT(Baseline!$AF$11)*'MacroPD-Cal'!$R$6))/SQRT(1-Baseline!$AF$11))</f>
        <v>1.0294050029941305E-2</v>
      </c>
      <c r="AK99" s="332">
        <f>NORMSDIST((_xlfn.NORM.S.INV(AC99)-(SQRT(Baseline!$AF$11)*'MacroPD-Cal'!$R$7))/SQRT(1-Baseline!$AF$11))</f>
        <v>5.5260325011350416E-3</v>
      </c>
      <c r="AL99" s="332">
        <f>NORMSDIST((_xlfn.NORM.S.INV(AD99)-(SQRT(Baseline!$AF$11)*'MacroPD-Cal'!$R$8))/SQRT(1-Baseline!$AF$11))</f>
        <v>1.1913205653924893E-2</v>
      </c>
      <c r="AM99" s="332">
        <f>NORMSDIST((_xlfn.NORM.S.INV(AE99)-(SQRT(Baseline!$AF$11)*'MacroPD-Cal'!$R$9))/SQRT(1-Baseline!$AF$11))</f>
        <v>1.1678351059135632E-2</v>
      </c>
      <c r="CR99" s="345">
        <f t="shared" si="47"/>
        <v>0.17566852371363412</v>
      </c>
      <c r="CS99" s="345">
        <f t="shared" si="48"/>
        <v>0.40584658394382911</v>
      </c>
      <c r="CT99" s="345">
        <f t="shared" si="49"/>
        <v>0.66592247528555593</v>
      </c>
      <c r="CU99" s="345">
        <f t="shared" si="50"/>
        <v>1</v>
      </c>
    </row>
    <row r="100" spans="1:99" x14ac:dyDescent="0.25">
      <c r="A100" s="465">
        <v>1100000256</v>
      </c>
      <c r="B100" s="470">
        <f>VLOOKUP(A100,'Ref-Data'!A:I,9,FALSE)</f>
        <v>1</v>
      </c>
      <c r="C100" s="445">
        <f>IF(B100="Matured","",VLOOKUP(A100,'Adjustment Factor'!A:C,3,0))</f>
        <v>1.01</v>
      </c>
      <c r="D100" s="190">
        <f>VLOOKUP(A100,'Ref-Data'!A:C,2,FALSE)</f>
        <v>1000000</v>
      </c>
      <c r="E100" s="471">
        <f>IFERROR(IF(VLOOKUP(A100,'Updated Ncino PD'!$A:$K,4,0)=0,"",VLOOKUP(A100,'Updated Ncino PD'!$A:$K,4,0)),AF100)</f>
        <v>4.0228091930422216E-3</v>
      </c>
      <c r="F100" s="472">
        <f>IFERROR(IF(VLOOKUP(A100,'Updated Ncino PD'!$A:$K,5,0)=0,"",VLOOKUP(A100,'Updated Ncino PD'!$A:$K,5,0)),1-((1-AG100)*(1-E100)))</f>
        <v>9.2938867723136864E-3</v>
      </c>
      <c r="G100" s="472">
        <f>IFERROR(IF(VLOOKUP(A100,'Updated Ncino PD'!$A:$K,6,0)=0,"",VLOOKUP(A100,'Updated Ncino PD'!$A:$K,6,0)),1-((1-AF100)*(1-AG100)*(1-AH100)))</f>
        <v>1.5249624684039231E-2</v>
      </c>
      <c r="H100" s="472">
        <f>IFERROR(IF(VLOOKUP(A100,'Updated Ncino PD'!$A:$K,7,0)=0,"",VLOOKUP(A100,'Updated Ncino PD'!$A:$K,7,0)),IFERROR(VLOOKUP(A100,'Updated Ncino PD'!A:B,2,FALSE),FLOOR(1-((1-AG100)*(1-AH100)*(1-AI100)*(1-AF100)),$R$11)))</f>
        <v>2.29E-2</v>
      </c>
      <c r="I100" s="472">
        <f>IFERROR(IF(VLOOKUP(A100,'Updated Ncino PD'!$A:$K,8,0)=0,"",VLOOKUP(A100,'Updated Ncino PD'!$A:$K,8,0)),FLOOR(1-((1-H100)*(1-AJ100)),$R$11))</f>
        <v>3.2899999999999999E-2</v>
      </c>
      <c r="J100" s="472">
        <f>IFERROR(IF(VLOOKUP(A100,'Updated Ncino PD'!$A:$K,9,0)=0,"",VLOOKUP(A100,'Updated Ncino PD'!$A:$K,9,0)),FLOOR(1-((1-H100)*(1-AJ100)*(1-AK100)),$R$11))</f>
        <v>3.8300000000000001E-2</v>
      </c>
      <c r="K100" s="472">
        <f>IFERROR(IF(VLOOKUP(A100,'Updated Ncino PD'!$A:$K,10,0)=0,"",VLOOKUP(A100,'Updated Ncino PD'!$A:$K,10,0)),FLOOR(1-((1-H100)*(1-AJ100)*(1-AK100)*(1-AL100)),$R$11))</f>
        <v>4.9700000000000001E-2</v>
      </c>
      <c r="L100" s="472">
        <f>IFERROR(IF(VLOOKUP(A100,'Updated Ncino PD'!$A:$K,11,0)=0,"",VLOOKUP(A100,'Updated Ncino PD'!$A:$K,11,0)),FLOOR(1-((1-H100)*(1-AJ100)*(1-AK100)*(1-AL100)*(1-AM100)),$R$11))</f>
        <v>6.08E-2</v>
      </c>
      <c r="M100" s="224">
        <f>VLOOKUP(A100,'Ref-Data'!$A:$F,6,FALSE)</f>
        <v>3.5044490075290895</v>
      </c>
      <c r="N100" s="191">
        <f t="shared" si="51"/>
        <v>2.29E-2</v>
      </c>
      <c r="O100" s="191">
        <f t="shared" si="52"/>
        <v>4.9700000000000001E-2</v>
      </c>
      <c r="P100" s="459" t="str">
        <f>VLOOKUP(A100,'Loan Book Summary'!C:G,5,FALSE)</f>
        <v>0015800000z8vOY</v>
      </c>
      <c r="Q100" s="355"/>
      <c r="R100" s="355"/>
      <c r="S100" s="203"/>
      <c r="T100" s="332">
        <f>IFERROR(VLOOKUP($P100,'Model Output-LoanNameUpdate'!$A:$K,2,FALSE),CL100)</f>
        <v>1.8619999999999998E-2</v>
      </c>
      <c r="U100" s="332">
        <f>1-(1-IFERROR(VLOOKUP($P100,'Model Output-LoanNameUpdate'!$A:$K,2,FALSE),CL100))^(1/4)</f>
        <v>4.6878611635342571E-3</v>
      </c>
      <c r="V100" s="332">
        <f>IFERROR(VLOOKUP($P100,'Model Output-LoanNameUpdate'!$A:$K,3,FALSE),CM100)</f>
        <v>1.4779999999999998E-2</v>
      </c>
      <c r="W100" s="332">
        <f>IFERROR(VLOOKUP($P100,'Model Output-LoanNameUpdate'!$A:$K,4,FALSE),CN100)</f>
        <v>1.2939999999999998E-2</v>
      </c>
      <c r="X100" s="332">
        <f>IFERROR(VLOOKUP($P100,'Model Output-LoanNameUpdate'!$A:$K,5,FALSE),CO100)</f>
        <v>1.174E-2</v>
      </c>
      <c r="Y100" s="332">
        <f>IFERROR(VLOOKUP($P100,'Model Output-LoanNameUpdate'!$A:$K,6,FALSE),CP100)</f>
        <v>1.094E-2</v>
      </c>
      <c r="Z100" s="207">
        <f t="shared" si="53"/>
        <v>1.01</v>
      </c>
      <c r="AA100" s="332">
        <f t="shared" si="54"/>
        <v>4.7347397751695995E-3</v>
      </c>
      <c r="AB100" s="332">
        <f t="shared" si="55"/>
        <v>1.4927799999999998E-2</v>
      </c>
      <c r="AC100" s="332">
        <f t="shared" si="56"/>
        <v>1.3069399999999998E-2</v>
      </c>
      <c r="AD100" s="332">
        <f t="shared" si="57"/>
        <v>1.1857400000000001E-2</v>
      </c>
      <c r="AE100" s="332">
        <f t="shared" si="58"/>
        <v>1.1049400000000001E-2</v>
      </c>
      <c r="AF100" s="332">
        <f>NORMSDIST((_xlfn.NORM.S.INV(AA100)-(SQRT(Baseline!$AF$11)*'MacroPD-Cal'!$R$2))/SQRT(1-Baseline!$AF$11))</f>
        <v>4.0228091930422216E-3</v>
      </c>
      <c r="AG100" s="332">
        <f>NORMSDIST((_xlfn.NORM.S.INV(AA100)-(SQRT(Baseline!$AF$11)*'MacroPD-Cal'!$R$3))/SQRT(1-Baseline!$AF$11))</f>
        <v>5.2923677649693692E-3</v>
      </c>
      <c r="AH100" s="332">
        <f>NORMSDIST((_xlfn.NORM.S.INV(AA100)-(SQRT(Baseline!$AF$11)*'MacroPD-Cal'!$R$4))/SQRT(1-Baseline!$AF$11))</f>
        <v>6.0116091262644306E-3</v>
      </c>
      <c r="AI100" s="332">
        <f>NORMSDIST((_xlfn.NORM.S.INV(AA100)-(SQRT(Baseline!$AF$11)*'MacroPD-Cal'!$R$5))/SQRT(1-Baseline!$AF$11))</f>
        <v>7.7953399622171914E-3</v>
      </c>
      <c r="AJ100" s="332">
        <f>NORMSDIST((_xlfn.NORM.S.INV(AB100)-(SQRT(Baseline!$AF$11)*'MacroPD-Cal'!$R$6))/SQRT(1-Baseline!$AF$11))</f>
        <v>1.0294050029941305E-2</v>
      </c>
      <c r="AK100" s="332">
        <f>NORMSDIST((_xlfn.NORM.S.INV(AC100)-(SQRT(Baseline!$AF$11)*'MacroPD-Cal'!$R$7))/SQRT(1-Baseline!$AF$11))</f>
        <v>5.5260325011350416E-3</v>
      </c>
      <c r="AL100" s="332">
        <f>NORMSDIST((_xlfn.NORM.S.INV(AD100)-(SQRT(Baseline!$AF$11)*'MacroPD-Cal'!$R$8))/SQRT(1-Baseline!$AF$11))</f>
        <v>1.1913205653924893E-2</v>
      </c>
      <c r="AM100" s="332">
        <f>NORMSDIST((_xlfn.NORM.S.INV(AE100)-(SQRT(Baseline!$AF$11)*'MacroPD-Cal'!$R$9))/SQRT(1-Baseline!$AF$11))</f>
        <v>1.1678351059135632E-2</v>
      </c>
      <c r="CR100" s="345">
        <f t="shared" si="47"/>
        <v>0.17566852371363412</v>
      </c>
      <c r="CS100" s="345">
        <f t="shared" si="48"/>
        <v>0.40584658394382911</v>
      </c>
      <c r="CT100" s="345">
        <f t="shared" si="49"/>
        <v>0.66592247528555593</v>
      </c>
      <c r="CU100" s="345">
        <f t="shared" si="50"/>
        <v>1</v>
      </c>
    </row>
    <row r="101" spans="1:99" x14ac:dyDescent="0.25">
      <c r="A101" s="465">
        <v>1100000268</v>
      </c>
      <c r="B101" s="470">
        <f>VLOOKUP(A101,'Ref-Data'!A:I,9,FALSE)</f>
        <v>1</v>
      </c>
      <c r="C101" s="445">
        <f>IF(B101="Matured","",VLOOKUP(A101,'Adjustment Factor'!A:C,3,0))</f>
        <v>0.78</v>
      </c>
      <c r="D101" s="190">
        <f>VLOOKUP(A101,'Ref-Data'!A:C,2,FALSE)</f>
        <v>4956140</v>
      </c>
      <c r="E101" s="471">
        <f>IFERROR(IF(VLOOKUP(A101,'Updated Ncino PD'!$A:$K,4,0)=0,"",VLOOKUP(A101,'Updated Ncino PD'!$A:$K,4,0)),AF101)</f>
        <v>5.0253645178750003E-4</v>
      </c>
      <c r="F101" s="472">
        <f>IFERROR(IF(VLOOKUP(A101,'Updated Ncino PD'!$A:$K,5,0)=0,"",VLOOKUP(A101,'Updated Ncino PD'!$A:$K,5,0)),1-((1-AG101)*(1-E101)))</f>
        <v>1.2011674264139627E-3</v>
      </c>
      <c r="G101" s="472">
        <f>IFERROR(IF(VLOOKUP(A101,'Updated Ncino PD'!$A:$K,6,0)=0,"",VLOOKUP(A101,'Updated Ncino PD'!$A:$K,6,0)),1-((1-AF101)*(1-AG101)*(1-AH101)))</f>
        <v>2.015380069791739E-3</v>
      </c>
      <c r="H101" s="472">
        <f>IFERROR(IF(VLOOKUP(A101,'Updated Ncino PD'!$A:$K,7,0)=0,"",VLOOKUP(A101,'Updated Ncino PD'!$A:$K,7,0)),IFERROR(VLOOKUP(A101,'Updated Ncino PD'!A:B,2,FALSE),FLOOR(1-((1-AG101)*(1-AH101)*(1-AI101)*(1-AF101)),$R$11)))</f>
        <v>3.1000000000000003E-3</v>
      </c>
      <c r="I101" s="472">
        <f>IFERROR(IF(VLOOKUP(A101,'Updated Ncino PD'!$A:$K,8,0)=0,"",VLOOKUP(A101,'Updated Ncino PD'!$A:$K,8,0)),FLOOR(1-((1-H101)*(1-AJ101)),$R$11))</f>
        <v>5.2000000000000006E-3</v>
      </c>
      <c r="J101" s="472">
        <f>IFERROR(IF(VLOOKUP(A101,'Updated Ncino PD'!$A:$K,9,0)=0,"",VLOOKUP(A101,'Updated Ncino PD'!$A:$K,9,0)),FLOOR(1-((1-H101)*(1-AJ101)*(1-AK101)),$R$11))</f>
        <v>6.7000000000000002E-3</v>
      </c>
      <c r="K101" s="472">
        <f>IFERROR(IF(VLOOKUP(A101,'Updated Ncino PD'!$A:$K,10,0)=0,"",VLOOKUP(A101,'Updated Ncino PD'!$A:$K,10,0)),FLOOR(1-((1-H101)*(1-AJ101)*(1-AK101)*(1-AL101)),$R$11))</f>
        <v>1.14E-2</v>
      </c>
      <c r="L101" s="472">
        <f>IFERROR(IF(VLOOKUP(A101,'Updated Ncino PD'!$A:$K,11,0)=0,"",VLOOKUP(A101,'Updated Ncino PD'!$A:$K,11,0)),FLOOR(1-((1-H101)*(1-AJ101)*(1-AK101)*(1-AL101)*(1-AM101)),$R$11))</f>
        <v>1.6900000000000002E-2</v>
      </c>
      <c r="M101" s="224">
        <f>VLOOKUP(A101,'Ref-Data'!$A:$F,6,FALSE)</f>
        <v>4.6735112936344967</v>
      </c>
      <c r="N101" s="191">
        <f t="shared" si="51"/>
        <v>3.1000000000000003E-3</v>
      </c>
      <c r="O101" s="191">
        <f t="shared" si="52"/>
        <v>1.6900000000000002E-2</v>
      </c>
      <c r="P101" s="459" t="str">
        <f>VLOOKUP(A101,'Loan Book Summary'!C:G,5,FALSE)</f>
        <v>0018e000003CXt8</v>
      </c>
      <c r="Q101" s="355"/>
      <c r="R101" s="355"/>
      <c r="S101" s="203"/>
      <c r="T101" s="332">
        <f>IFERROR(VLOOKUP($P101,'Model Output-LoanNameUpdate'!$A:$K,2,FALSE),CL101)</f>
        <v>3.8599999999999997E-3</v>
      </c>
      <c r="U101" s="332">
        <f>1-(1-IFERROR(VLOOKUP($P101,'Model Output-LoanNameUpdate'!$A:$K,2,FALSE),CL101))^(1/4)</f>
        <v>9.6639999108327768E-4</v>
      </c>
      <c r="V101" s="332">
        <f>IFERROR(VLOOKUP($P101,'Model Output-LoanNameUpdate'!$A:$K,3,FALSE),CM101)</f>
        <v>5.0449999999999991E-3</v>
      </c>
      <c r="W101" s="332">
        <f>IFERROR(VLOOKUP($P101,'Model Output-LoanNameUpdate'!$A:$K,4,FALSE),CN101)</f>
        <v>5.8900000000000003E-3</v>
      </c>
      <c r="X101" s="332">
        <f>IFERROR(VLOOKUP($P101,'Model Output-LoanNameUpdate'!$A:$K,5,FALSE),CO101)</f>
        <v>6.5950000000000002E-3</v>
      </c>
      <c r="Y101" s="332">
        <f>IFERROR(VLOOKUP($P101,'Model Output-LoanNameUpdate'!$A:$K,6,FALSE),CP101)</f>
        <v>7.1599999999999997E-3</v>
      </c>
      <c r="Z101" s="207">
        <f t="shared" si="53"/>
        <v>0.78</v>
      </c>
      <c r="AA101" s="332">
        <f t="shared" si="54"/>
        <v>7.5379199304495656E-4</v>
      </c>
      <c r="AB101" s="332">
        <f t="shared" si="55"/>
        <v>3.9350999999999995E-3</v>
      </c>
      <c r="AC101" s="332">
        <f t="shared" si="56"/>
        <v>4.5942000000000005E-3</v>
      </c>
      <c r="AD101" s="332">
        <f t="shared" si="57"/>
        <v>5.1441000000000004E-3</v>
      </c>
      <c r="AE101" s="332">
        <f t="shared" si="58"/>
        <v>5.5848E-3</v>
      </c>
      <c r="AF101" s="332">
        <f>NORMSDIST((_xlfn.NORM.S.INV(AA101)-(SQRT(Baseline!$AF$11)*'MacroPD-Cal'!$R$2))/SQRT(1-Baseline!$AF$11))</f>
        <v>5.0253645178750003E-4</v>
      </c>
      <c r="AG101" s="332">
        <f>NORMSDIST((_xlfn.NORM.S.INV(AA101)-(SQRT(Baseline!$AF$11)*'MacroPD-Cal'!$R$3))/SQRT(1-Baseline!$AF$11))</f>
        <v>6.989822386805223E-4</v>
      </c>
      <c r="AH101" s="332">
        <f>NORMSDIST((_xlfn.NORM.S.INV(AA101)-(SQRT(Baseline!$AF$11)*'MacroPD-Cal'!$R$4))/SQRT(1-Baseline!$AF$11))</f>
        <v>8.1519182524458301E-4</v>
      </c>
      <c r="AI101" s="332">
        <f>NORMSDIST((_xlfn.NORM.S.INV(AA101)-(SQRT(Baseline!$AF$11)*'MacroPD-Cal'!$R$5))/SQRT(1-Baseline!$AF$11))</f>
        <v>1.1166561913344617E-3</v>
      </c>
      <c r="AJ101" s="332">
        <f>NORMSDIST((_xlfn.NORM.S.INV(AB101)-(SQRT(Baseline!$AF$11)*'MacroPD-Cal'!$R$6))/SQRT(1-Baseline!$AF$11))</f>
        <v>2.1743368382151698E-3</v>
      </c>
      <c r="AK101" s="332">
        <f>NORMSDIST((_xlfn.NORM.S.INV(AC101)-(SQRT(Baseline!$AF$11)*'MacroPD-Cal'!$R$7))/SQRT(1-Baseline!$AF$11))</f>
        <v>1.5302553585059345E-3</v>
      </c>
      <c r="AL101" s="332">
        <f>NORMSDIST((_xlfn.NORM.S.INV(AD101)-(SQRT(Baseline!$AF$11)*'MacroPD-Cal'!$R$8))/SQRT(1-Baseline!$AF$11))</f>
        <v>4.716795155210971E-3</v>
      </c>
      <c r="AM101" s="332">
        <f>NORMSDIST((_xlfn.NORM.S.INV(AE101)-(SQRT(Baseline!$AF$11)*'MacroPD-Cal'!$R$9))/SQRT(1-Baseline!$AF$11))</f>
        <v>5.5082877193436538E-3</v>
      </c>
      <c r="CR101" s="345">
        <f t="shared" si="47"/>
        <v>0.16210853283467741</v>
      </c>
      <c r="CS101" s="345">
        <f t="shared" si="48"/>
        <v>0.38747336335934274</v>
      </c>
      <c r="CT101" s="345">
        <f t="shared" si="49"/>
        <v>0.65012260315862547</v>
      </c>
      <c r="CU101" s="345">
        <f t="shared" si="50"/>
        <v>1</v>
      </c>
    </row>
    <row r="102" spans="1:99" x14ac:dyDescent="0.25">
      <c r="A102" s="466">
        <v>1100000269</v>
      </c>
      <c r="B102" s="470">
        <f>VLOOKUP(A102,'Ref-Data'!A:I,9,FALSE)</f>
        <v>1</v>
      </c>
      <c r="C102" s="445">
        <f>IF(B102="Matured","",VLOOKUP(A102,'Adjustment Factor'!A:C,3,0))</f>
        <v>0.78</v>
      </c>
      <c r="D102" s="190">
        <f>VLOOKUP(A102,'Ref-Data'!A:C,2,FALSE)</f>
        <v>5000000</v>
      </c>
      <c r="E102" s="471">
        <f>IFERROR(IF(VLOOKUP(A102,'Updated Ncino PD'!$A:$K,4,0)=0,"",VLOOKUP(A102,'Updated Ncino PD'!$A:$K,4,0)),AF102)</f>
        <v>5.0253645178750003E-4</v>
      </c>
      <c r="F102" s="472">
        <f>IFERROR(IF(VLOOKUP(A102,'Updated Ncino PD'!$A:$K,5,0)=0,"",VLOOKUP(A102,'Updated Ncino PD'!$A:$K,5,0)),1-((1-AG102)*(1-E102)))</f>
        <v>1.2011674264139627E-3</v>
      </c>
      <c r="G102" s="472">
        <f>IFERROR(IF(VLOOKUP(A102,'Updated Ncino PD'!$A:$K,6,0)=0,"",VLOOKUP(A102,'Updated Ncino PD'!$A:$K,6,0)),1-((1-AF102)*(1-AG102)*(1-AH102)))</f>
        <v>2.015380069791739E-3</v>
      </c>
      <c r="H102" s="472">
        <f>IFERROR(IF(VLOOKUP(A102,'Updated Ncino PD'!$A:$K,7,0)=0,"",VLOOKUP(A102,'Updated Ncino PD'!$A:$K,7,0)),IFERROR(VLOOKUP(A102,'Updated Ncino PD'!A:B,2,FALSE),FLOOR(1-((1-AG102)*(1-AH102)*(1-AI102)*(1-AF102)),$R$11)))</f>
        <v>3.1000000000000003E-3</v>
      </c>
      <c r="I102" s="472">
        <f>IFERROR(IF(VLOOKUP(A102,'Updated Ncino PD'!$A:$K,8,0)=0,"",VLOOKUP(A102,'Updated Ncino PD'!$A:$K,8,0)),FLOOR(1-((1-H102)*(1-AJ102)),$R$11))</f>
        <v>5.2000000000000006E-3</v>
      </c>
      <c r="J102" s="472">
        <f>IFERROR(IF(VLOOKUP(A102,'Updated Ncino PD'!$A:$K,9,0)=0,"",VLOOKUP(A102,'Updated Ncino PD'!$A:$K,9,0)),FLOOR(1-((1-H102)*(1-AJ102)*(1-AK102)),$R$11))</f>
        <v>6.7000000000000002E-3</v>
      </c>
      <c r="K102" s="472">
        <f>IFERROR(IF(VLOOKUP(A102,'Updated Ncino PD'!$A:$K,10,0)=0,"",VLOOKUP(A102,'Updated Ncino PD'!$A:$K,10,0)),FLOOR(1-((1-H102)*(1-AJ102)*(1-AK102)*(1-AL102)),$R$11))</f>
        <v>1.14E-2</v>
      </c>
      <c r="L102" s="472">
        <f>IFERROR(IF(VLOOKUP(A102,'Updated Ncino PD'!$A:$K,11,0)=0,"",VLOOKUP(A102,'Updated Ncino PD'!$A:$K,11,0)),FLOOR(1-((1-H102)*(1-AJ102)*(1-AK102)*(1-AL102)*(1-AM102)),$R$11))</f>
        <v>1.6900000000000002E-2</v>
      </c>
      <c r="M102" s="224">
        <f>VLOOKUP(A102,'Ref-Data'!$A:$F,6,FALSE)</f>
        <v>4.6735112936344967</v>
      </c>
      <c r="N102" s="191">
        <f t="shared" si="51"/>
        <v>3.1000000000000003E-3</v>
      </c>
      <c r="O102" s="191">
        <f t="shared" si="52"/>
        <v>1.6900000000000002E-2</v>
      </c>
      <c r="P102" s="459" t="str">
        <f>VLOOKUP(A102,'Loan Book Summary'!C:G,5,FALSE)</f>
        <v>0018e000003CXt8</v>
      </c>
      <c r="Q102" s="355"/>
      <c r="R102" s="355"/>
      <c r="S102" s="203"/>
      <c r="T102" s="332">
        <f>IFERROR(VLOOKUP($P102,'Model Output-LoanNameUpdate'!$A:$K,2,FALSE),CL102)</f>
        <v>3.8599999999999997E-3</v>
      </c>
      <c r="U102" s="332">
        <f>1-(1-IFERROR(VLOOKUP($P102,'Model Output-LoanNameUpdate'!$A:$K,2,FALSE),CL102))^(1/4)</f>
        <v>9.6639999108327768E-4</v>
      </c>
      <c r="V102" s="332">
        <f>IFERROR(VLOOKUP($P102,'Model Output-LoanNameUpdate'!$A:$K,3,FALSE),CM102)</f>
        <v>5.0449999999999991E-3</v>
      </c>
      <c r="W102" s="332">
        <f>IFERROR(VLOOKUP($P102,'Model Output-LoanNameUpdate'!$A:$K,4,FALSE),CN102)</f>
        <v>5.8900000000000003E-3</v>
      </c>
      <c r="X102" s="332">
        <f>IFERROR(VLOOKUP($P102,'Model Output-LoanNameUpdate'!$A:$K,5,FALSE),CO102)</f>
        <v>6.5950000000000002E-3</v>
      </c>
      <c r="Y102" s="332">
        <f>IFERROR(VLOOKUP($P102,'Model Output-LoanNameUpdate'!$A:$K,6,FALSE),CP102)</f>
        <v>7.1599999999999997E-3</v>
      </c>
      <c r="Z102" s="207">
        <f t="shared" si="53"/>
        <v>0.78</v>
      </c>
      <c r="AA102" s="332">
        <f t="shared" si="54"/>
        <v>7.5379199304495656E-4</v>
      </c>
      <c r="AB102" s="332">
        <f t="shared" si="55"/>
        <v>3.9350999999999995E-3</v>
      </c>
      <c r="AC102" s="332">
        <f t="shared" si="56"/>
        <v>4.5942000000000005E-3</v>
      </c>
      <c r="AD102" s="332">
        <f t="shared" si="57"/>
        <v>5.1441000000000004E-3</v>
      </c>
      <c r="AE102" s="332">
        <f t="shared" si="58"/>
        <v>5.5848E-3</v>
      </c>
      <c r="AF102" s="332">
        <f>NORMSDIST((_xlfn.NORM.S.INV(AA102)-(SQRT(Baseline!$AF$11)*'MacroPD-Cal'!$R$2))/SQRT(1-Baseline!$AF$11))</f>
        <v>5.0253645178750003E-4</v>
      </c>
      <c r="AG102" s="332">
        <f>NORMSDIST((_xlfn.NORM.S.INV(AA102)-(SQRT(Baseline!$AF$11)*'MacroPD-Cal'!$R$3))/SQRT(1-Baseline!$AF$11))</f>
        <v>6.989822386805223E-4</v>
      </c>
      <c r="AH102" s="332">
        <f>NORMSDIST((_xlfn.NORM.S.INV(AA102)-(SQRT(Baseline!$AF$11)*'MacroPD-Cal'!$R$4))/SQRT(1-Baseline!$AF$11))</f>
        <v>8.1519182524458301E-4</v>
      </c>
      <c r="AI102" s="332">
        <f>NORMSDIST((_xlfn.NORM.S.INV(AA102)-(SQRT(Baseline!$AF$11)*'MacroPD-Cal'!$R$5))/SQRT(1-Baseline!$AF$11))</f>
        <v>1.1166561913344617E-3</v>
      </c>
      <c r="AJ102" s="332">
        <f>NORMSDIST((_xlfn.NORM.S.INV(AB102)-(SQRT(Baseline!$AF$11)*'MacroPD-Cal'!$R$6))/SQRT(1-Baseline!$AF$11))</f>
        <v>2.1743368382151698E-3</v>
      </c>
      <c r="AK102" s="332">
        <f>NORMSDIST((_xlfn.NORM.S.INV(AC102)-(SQRT(Baseline!$AF$11)*'MacroPD-Cal'!$R$7))/SQRT(1-Baseline!$AF$11))</f>
        <v>1.5302553585059345E-3</v>
      </c>
      <c r="AL102" s="332">
        <f>NORMSDIST((_xlfn.NORM.S.INV(AD102)-(SQRT(Baseline!$AF$11)*'MacroPD-Cal'!$R$8))/SQRT(1-Baseline!$AF$11))</f>
        <v>4.716795155210971E-3</v>
      </c>
      <c r="AM102" s="332">
        <f>NORMSDIST((_xlfn.NORM.S.INV(AE102)-(SQRT(Baseline!$AF$11)*'MacroPD-Cal'!$R$9))/SQRT(1-Baseline!$AF$11))</f>
        <v>5.5082877193436538E-3</v>
      </c>
      <c r="CR102" s="345">
        <f t="shared" si="47"/>
        <v>0.16210853283467741</v>
      </c>
      <c r="CS102" s="345">
        <f t="shared" si="48"/>
        <v>0.38747336335934274</v>
      </c>
      <c r="CT102" s="345">
        <f t="shared" si="49"/>
        <v>0.65012260315862547</v>
      </c>
      <c r="CU102" s="345">
        <f t="shared" si="50"/>
        <v>1</v>
      </c>
    </row>
    <row r="103" spans="1:99" x14ac:dyDescent="0.25">
      <c r="A103" s="466">
        <v>1100000266</v>
      </c>
      <c r="B103" s="470">
        <f>VLOOKUP(A103,'Ref-Data'!A:I,9,FALSE)</f>
        <v>1</v>
      </c>
      <c r="C103" s="445">
        <f>IF(B103="Matured","",VLOOKUP(A103,'Adjustment Factor'!A:C,3,0))</f>
        <v>0.96</v>
      </c>
      <c r="D103" s="190">
        <f>VLOOKUP(A103,'Ref-Data'!A:C,2,FALSE)</f>
        <v>5600000</v>
      </c>
      <c r="E103" s="471">
        <f>IFERROR(IF(VLOOKUP(A103,'Updated Ncino PD'!$A:$K,4,0)=0,"",VLOOKUP(A103,'Updated Ncino PD'!$A:$K,4,0)),AF103)</f>
        <v>8.071523458491334E-4</v>
      </c>
      <c r="F103" s="472">
        <f>IFERROR(IF(VLOOKUP(A103,'Updated Ncino PD'!$A:$K,5,0)=0,"",VLOOKUP(A103,'Updated Ncino PD'!$A:$K,5,0)),1-((1-AG103)*(1-E103)))</f>
        <v>1.9156134593488749E-3</v>
      </c>
      <c r="G103" s="472">
        <f>IFERROR(IF(VLOOKUP(A103,'Updated Ncino PD'!$A:$K,6,0)=0,"",VLOOKUP(A103,'Updated Ncino PD'!$A:$K,6,0)),1-((1-AF103)*(1-AG103)*(1-AH103)))</f>
        <v>3.1996459116158116E-3</v>
      </c>
      <c r="H103" s="472">
        <f>IFERROR(IF(VLOOKUP(A103,'Updated Ncino PD'!$A:$K,7,0)=0,"",VLOOKUP(A103,'Updated Ncino PD'!$A:$K,7,0)),IFERROR(VLOOKUP(A103,'Updated Ncino PD'!A:B,2,FALSE),FLOOR(1-((1-AG103)*(1-AH103)*(1-AI103)*(1-AF103)),$R$11)))</f>
        <v>4.8999999999999998E-3</v>
      </c>
      <c r="I103" s="472">
        <f>IFERROR(IF(VLOOKUP(A103,'Updated Ncino PD'!$A:$K,8,0)=0,"",VLOOKUP(A103,'Updated Ncino PD'!$A:$K,8,0)),FLOOR(1-((1-H103)*(1-AJ103)),$R$11))</f>
        <v>7.7000000000000002E-3</v>
      </c>
      <c r="J103" s="472">
        <f>IFERROR(IF(VLOOKUP(A103,'Updated Ncino PD'!$A:$K,9,0)=0,"",VLOOKUP(A103,'Updated Ncino PD'!$A:$K,9,0)),FLOOR(1-((1-H103)*(1-AJ103)*(1-AK103)),$R$11))</f>
        <v>9.4999999999999998E-3</v>
      </c>
      <c r="K103" s="472">
        <f>IFERROR(IF(VLOOKUP(A103,'Updated Ncino PD'!$A:$K,10,0)=0,"",VLOOKUP(A103,'Updated Ncino PD'!$A:$K,10,0)),FLOOR(1-((1-H103)*(1-AJ103)*(1-AK103)*(1-AL103)),$R$11))</f>
        <v>1.4400000000000001E-2</v>
      </c>
      <c r="L103" s="472">
        <f>IFERROR(IF(VLOOKUP(A103,'Updated Ncino PD'!$A:$K,11,0)=0,"",VLOOKUP(A103,'Updated Ncino PD'!$A:$K,11,0)),FLOOR(1-((1-H103)*(1-AJ103)*(1-AK103)*(1-AL103)*(1-AM103)),$R$11))</f>
        <v>1.9700000000000002E-2</v>
      </c>
      <c r="M103" s="224">
        <f>VLOOKUP(A103,'Ref-Data'!$A:$F,6,FALSE)</f>
        <v>4.6817248459958929</v>
      </c>
      <c r="N103" s="191">
        <f t="shared" si="51"/>
        <v>4.8999999999999998E-3</v>
      </c>
      <c r="O103" s="191">
        <f t="shared" si="52"/>
        <v>1.9700000000000002E-2</v>
      </c>
      <c r="P103" s="459" t="str">
        <f>VLOOKUP(A103,'Loan Book Summary'!C:G,5,FALSE)</f>
        <v>0018e000003COuL</v>
      </c>
      <c r="Q103" s="355"/>
      <c r="R103" s="355"/>
      <c r="S103" s="203"/>
      <c r="T103" s="332">
        <f>IFERROR(VLOOKUP($P103,'Model Output-LoanNameUpdate'!$A:$K,2,FALSE),CL103)</f>
        <v>4.7549999999999988E-3</v>
      </c>
      <c r="U103" s="332">
        <f>1-(1-IFERROR(VLOOKUP($P103,'Model Output-LoanNameUpdate'!$A:$K,2,FALSE),CL103))^(1/4)</f>
        <v>1.1908755886226308E-3</v>
      </c>
      <c r="V103" s="332">
        <f>IFERROR(VLOOKUP($P103,'Model Output-LoanNameUpdate'!$A:$K,3,FALSE),CM103)</f>
        <v>5.174999999999999E-3</v>
      </c>
      <c r="W103" s="332">
        <f>IFERROR(VLOOKUP($P103,'Model Output-LoanNameUpdate'!$A:$K,4,FALSE),CN103)</f>
        <v>5.4549999999999998E-3</v>
      </c>
      <c r="X103" s="332">
        <f>IFERROR(VLOOKUP($P103,'Model Output-LoanNameUpdate'!$A:$K,5,FALSE),CO103)</f>
        <v>5.5999999999999991E-3</v>
      </c>
      <c r="Y103" s="332">
        <f>IFERROR(VLOOKUP($P103,'Model Output-LoanNameUpdate'!$A:$K,6,FALSE),CP103)</f>
        <v>5.7450000000000001E-3</v>
      </c>
      <c r="Z103" s="207">
        <f t="shared" si="53"/>
        <v>0.96</v>
      </c>
      <c r="AA103" s="332">
        <f t="shared" si="54"/>
        <v>1.1432405650777255E-3</v>
      </c>
      <c r="AB103" s="332">
        <f t="shared" si="55"/>
        <v>4.9679999999999993E-3</v>
      </c>
      <c r="AC103" s="332">
        <f t="shared" si="56"/>
        <v>5.2367999999999998E-3</v>
      </c>
      <c r="AD103" s="332">
        <f t="shared" si="57"/>
        <v>5.3759999999999988E-3</v>
      </c>
      <c r="AE103" s="332">
        <f t="shared" si="58"/>
        <v>5.5151999999999996E-3</v>
      </c>
      <c r="AF103" s="332">
        <f>NORMSDIST((_xlfn.NORM.S.INV(AA103)-(SQRT(Baseline!$AF$11)*'MacroPD-Cal'!$R$2))/SQRT(1-Baseline!$AF$11))</f>
        <v>8.071523458491334E-4</v>
      </c>
      <c r="AG103" s="332">
        <f>NORMSDIST((_xlfn.NORM.S.INV(AA103)-(SQRT(Baseline!$AF$11)*'MacroPD-Cal'!$R$3))/SQRT(1-Baseline!$AF$11))</f>
        <v>1.1093565332278568E-3</v>
      </c>
      <c r="AH103" s="332">
        <f>NORMSDIST((_xlfn.NORM.S.INV(AA103)-(SQRT(Baseline!$AF$11)*'MacroPD-Cal'!$R$4))/SQRT(1-Baseline!$AF$11))</f>
        <v>1.286496883011375E-3</v>
      </c>
      <c r="AI103" s="332">
        <f>NORMSDIST((_xlfn.NORM.S.INV(AA103)-(SQRT(Baseline!$AF$11)*'MacroPD-Cal'!$R$5))/SQRT(1-Baseline!$AF$11))</f>
        <v>1.7416428741741368E-3</v>
      </c>
      <c r="AJ103" s="332">
        <f>NORMSDIST((_xlfn.NORM.S.INV(AB103)-(SQRT(Baseline!$AF$11)*'MacroPD-Cal'!$R$6))/SQRT(1-Baseline!$AF$11))</f>
        <v>2.8561124722079711E-3</v>
      </c>
      <c r="AK103" s="332">
        <f>NORMSDIST((_xlfn.NORM.S.INV(AC103)-(SQRT(Baseline!$AF$11)*'MacroPD-Cal'!$R$7))/SQRT(1-Baseline!$AF$11))</f>
        <v>1.7973044554918762E-3</v>
      </c>
      <c r="AL103" s="332">
        <f>NORMSDIST((_xlfn.NORM.S.INV(AD103)-(SQRT(Baseline!$AF$11)*'MacroPD-Cal'!$R$8))/SQRT(1-Baseline!$AF$11))</f>
        <v>4.9543918208341878E-3</v>
      </c>
      <c r="AM103" s="332">
        <f>NORMSDIST((_xlfn.NORM.S.INV(AE103)-(SQRT(Baseline!$AF$11)*'MacroPD-Cal'!$R$9))/SQRT(1-Baseline!$AF$11))</f>
        <v>5.4324084279461131E-3</v>
      </c>
      <c r="CR103" s="345">
        <f t="shared" si="47"/>
        <v>0.16472496854063948</v>
      </c>
      <c r="CS103" s="345">
        <f t="shared" si="48"/>
        <v>0.39094152231609697</v>
      </c>
      <c r="CT103" s="345">
        <f t="shared" si="49"/>
        <v>0.65298896155424724</v>
      </c>
      <c r="CU103" s="345">
        <f t="shared" si="50"/>
        <v>1</v>
      </c>
    </row>
    <row r="104" spans="1:99" x14ac:dyDescent="0.25">
      <c r="A104" s="466">
        <v>1100000267</v>
      </c>
      <c r="B104" s="470">
        <f>VLOOKUP(A104,'Ref-Data'!A:I,9,FALSE)</f>
        <v>1</v>
      </c>
      <c r="C104" s="445">
        <f>IF(B104="Matured","",VLOOKUP(A104,'Adjustment Factor'!A:C,3,0))</f>
        <v>0.96</v>
      </c>
      <c r="D104" s="190">
        <f>VLOOKUP(A104,'Ref-Data'!A:C,2,FALSE)</f>
        <v>9000000</v>
      </c>
      <c r="E104" s="471">
        <f>IFERROR(IF(VLOOKUP(A104,'Updated Ncino PD'!$A:$K,4,0)=0,"",VLOOKUP(A104,'Updated Ncino PD'!$A:$K,4,0)),AF104)</f>
        <v>8.071523458491334E-4</v>
      </c>
      <c r="F104" s="472">
        <f>IFERROR(IF(VLOOKUP(A104,'Updated Ncino PD'!$A:$K,5,0)=0,"",VLOOKUP(A104,'Updated Ncino PD'!$A:$K,5,0)),1-((1-AG104)*(1-E104)))</f>
        <v>1.9156134593488749E-3</v>
      </c>
      <c r="G104" s="472">
        <f>IFERROR(IF(VLOOKUP(A104,'Updated Ncino PD'!$A:$K,6,0)=0,"",VLOOKUP(A104,'Updated Ncino PD'!$A:$K,6,0)),1-((1-AF104)*(1-AG104)*(1-AH104)))</f>
        <v>3.1996459116158116E-3</v>
      </c>
      <c r="H104" s="472">
        <f>IFERROR(IF(VLOOKUP(A104,'Updated Ncino PD'!$A:$K,7,0)=0,"",VLOOKUP(A104,'Updated Ncino PD'!$A:$K,7,0)),IFERROR(VLOOKUP(A104,'Updated Ncino PD'!A:B,2,FALSE),FLOOR(1-((1-AG104)*(1-AH104)*(1-AI104)*(1-AF104)),$R$11)))</f>
        <v>4.8999999999999998E-3</v>
      </c>
      <c r="I104" s="472">
        <f>IFERROR(IF(VLOOKUP(A104,'Updated Ncino PD'!$A:$K,8,0)=0,"",VLOOKUP(A104,'Updated Ncino PD'!$A:$K,8,0)),FLOOR(1-((1-H104)*(1-AJ104)),$R$11))</f>
        <v>7.7000000000000002E-3</v>
      </c>
      <c r="J104" s="472">
        <f>IFERROR(IF(VLOOKUP(A104,'Updated Ncino PD'!$A:$K,9,0)=0,"",VLOOKUP(A104,'Updated Ncino PD'!$A:$K,9,0)),FLOOR(1-((1-H104)*(1-AJ104)*(1-AK104)),$R$11))</f>
        <v>9.4999999999999998E-3</v>
      </c>
      <c r="K104" s="472">
        <f>IFERROR(IF(VLOOKUP(A104,'Updated Ncino PD'!$A:$K,10,0)=0,"",VLOOKUP(A104,'Updated Ncino PD'!$A:$K,10,0)),FLOOR(1-((1-H104)*(1-AJ104)*(1-AK104)*(1-AL104)),$R$11))</f>
        <v>1.4400000000000001E-2</v>
      </c>
      <c r="L104" s="472">
        <f>IFERROR(IF(VLOOKUP(A104,'Updated Ncino PD'!$A:$K,11,0)=0,"",VLOOKUP(A104,'Updated Ncino PD'!$A:$K,11,0)),FLOOR(1-((1-H104)*(1-AJ104)*(1-AK104)*(1-AL104)*(1-AM104)),$R$11))</f>
        <v>1.9700000000000002E-2</v>
      </c>
      <c r="M104" s="224">
        <f>VLOOKUP(A104,'Ref-Data'!$A:$F,6,FALSE)</f>
        <v>4.6817248459958929</v>
      </c>
      <c r="N104" s="191">
        <f t="shared" si="51"/>
        <v>4.8999999999999998E-3</v>
      </c>
      <c r="O104" s="191">
        <f t="shared" si="52"/>
        <v>1.9700000000000002E-2</v>
      </c>
      <c r="P104" s="459" t="str">
        <f>VLOOKUP(A104,'Loan Book Summary'!C:G,5,FALSE)</f>
        <v>0018e000003COuL</v>
      </c>
      <c r="Q104" s="355"/>
      <c r="R104" s="355"/>
      <c r="S104" s="203"/>
      <c r="T104" s="332">
        <f>IFERROR(VLOOKUP($P104,'Model Output-LoanNameUpdate'!$A:$K,2,FALSE),CL104)</f>
        <v>4.7549999999999988E-3</v>
      </c>
      <c r="U104" s="332">
        <f>1-(1-IFERROR(VLOOKUP($P104,'Model Output-LoanNameUpdate'!$A:$K,2,FALSE),CL104))^(1/4)</f>
        <v>1.1908755886226308E-3</v>
      </c>
      <c r="V104" s="332">
        <f>IFERROR(VLOOKUP($P104,'Model Output-LoanNameUpdate'!$A:$K,3,FALSE),CM104)</f>
        <v>5.174999999999999E-3</v>
      </c>
      <c r="W104" s="332">
        <f>IFERROR(VLOOKUP($P104,'Model Output-LoanNameUpdate'!$A:$K,4,FALSE),CN104)</f>
        <v>5.4549999999999998E-3</v>
      </c>
      <c r="X104" s="332">
        <f>IFERROR(VLOOKUP($P104,'Model Output-LoanNameUpdate'!$A:$K,5,FALSE),CO104)</f>
        <v>5.5999999999999991E-3</v>
      </c>
      <c r="Y104" s="332">
        <f>IFERROR(VLOOKUP($P104,'Model Output-LoanNameUpdate'!$A:$K,6,FALSE),CP104)</f>
        <v>5.7450000000000001E-3</v>
      </c>
      <c r="Z104" s="207">
        <f t="shared" si="53"/>
        <v>0.96</v>
      </c>
      <c r="AA104" s="332">
        <f t="shared" si="54"/>
        <v>1.1432405650777255E-3</v>
      </c>
      <c r="AB104" s="332">
        <f t="shared" si="55"/>
        <v>4.9679999999999993E-3</v>
      </c>
      <c r="AC104" s="332">
        <f t="shared" si="56"/>
        <v>5.2367999999999998E-3</v>
      </c>
      <c r="AD104" s="332">
        <f t="shared" si="57"/>
        <v>5.3759999999999988E-3</v>
      </c>
      <c r="AE104" s="332">
        <f t="shared" si="58"/>
        <v>5.5151999999999996E-3</v>
      </c>
      <c r="AF104" s="332">
        <f>NORMSDIST((_xlfn.NORM.S.INV(AA104)-(SQRT(Baseline!$AF$11)*'MacroPD-Cal'!$R$2))/SQRT(1-Baseline!$AF$11))</f>
        <v>8.071523458491334E-4</v>
      </c>
      <c r="AG104" s="332">
        <f>NORMSDIST((_xlfn.NORM.S.INV(AA104)-(SQRT(Baseline!$AF$11)*'MacroPD-Cal'!$R$3))/SQRT(1-Baseline!$AF$11))</f>
        <v>1.1093565332278568E-3</v>
      </c>
      <c r="AH104" s="332">
        <f>NORMSDIST((_xlfn.NORM.S.INV(AA104)-(SQRT(Baseline!$AF$11)*'MacroPD-Cal'!$R$4))/SQRT(1-Baseline!$AF$11))</f>
        <v>1.286496883011375E-3</v>
      </c>
      <c r="AI104" s="332">
        <f>NORMSDIST((_xlfn.NORM.S.INV(AA104)-(SQRT(Baseline!$AF$11)*'MacroPD-Cal'!$R$5))/SQRT(1-Baseline!$AF$11))</f>
        <v>1.7416428741741368E-3</v>
      </c>
      <c r="AJ104" s="332">
        <f>NORMSDIST((_xlfn.NORM.S.INV(AB104)-(SQRT(Baseline!$AF$11)*'MacroPD-Cal'!$R$6))/SQRT(1-Baseline!$AF$11))</f>
        <v>2.8561124722079711E-3</v>
      </c>
      <c r="AK104" s="332">
        <f>NORMSDIST((_xlfn.NORM.S.INV(AC104)-(SQRT(Baseline!$AF$11)*'MacroPD-Cal'!$R$7))/SQRT(1-Baseline!$AF$11))</f>
        <v>1.7973044554918762E-3</v>
      </c>
      <c r="AL104" s="332">
        <f>NORMSDIST((_xlfn.NORM.S.INV(AD104)-(SQRT(Baseline!$AF$11)*'MacroPD-Cal'!$R$8))/SQRT(1-Baseline!$AF$11))</f>
        <v>4.9543918208341878E-3</v>
      </c>
      <c r="AM104" s="332">
        <f>NORMSDIST((_xlfn.NORM.S.INV(AE104)-(SQRT(Baseline!$AF$11)*'MacroPD-Cal'!$R$9))/SQRT(1-Baseline!$AF$11))</f>
        <v>5.4324084279461131E-3</v>
      </c>
      <c r="CR104" s="345">
        <f t="shared" si="47"/>
        <v>0.16472496854063948</v>
      </c>
      <c r="CS104" s="345">
        <f t="shared" si="48"/>
        <v>0.39094152231609697</v>
      </c>
      <c r="CT104" s="345">
        <f t="shared" si="49"/>
        <v>0.65298896155424724</v>
      </c>
      <c r="CU104" s="345">
        <f t="shared" si="50"/>
        <v>1</v>
      </c>
    </row>
    <row r="105" spans="1:99" x14ac:dyDescent="0.25">
      <c r="A105" s="466">
        <v>1100000270</v>
      </c>
      <c r="B105" s="470">
        <f>VLOOKUP(A105,'Ref-Data'!A:I,9,FALSE)</f>
        <v>1</v>
      </c>
      <c r="C105" s="445">
        <f>IF(B105="Matured","",VLOOKUP(A105,'Adjustment Factor'!A:C,3,0))</f>
        <v>0.96</v>
      </c>
      <c r="D105" s="190">
        <f>VLOOKUP(A105,'Ref-Data'!A:C,2,FALSE)</f>
        <v>5000000</v>
      </c>
      <c r="E105" s="471">
        <f>IFERROR(IF(VLOOKUP(A105,'Updated Ncino PD'!$A:$K,4,0)=0,"",VLOOKUP(A105,'Updated Ncino PD'!$A:$K,4,0)),AF105)</f>
        <v>8.071523458491334E-4</v>
      </c>
      <c r="F105" s="472">
        <f>IFERROR(IF(VLOOKUP(A105,'Updated Ncino PD'!$A:$K,5,0)=0,"",VLOOKUP(A105,'Updated Ncino PD'!$A:$K,5,0)),1-((1-AG105)*(1-E105)))</f>
        <v>1.9156134593488749E-3</v>
      </c>
      <c r="G105" s="472">
        <f>IFERROR(IF(VLOOKUP(A105,'Updated Ncino PD'!$A:$K,6,0)=0,"",VLOOKUP(A105,'Updated Ncino PD'!$A:$K,6,0)),1-((1-AF105)*(1-AG105)*(1-AH105)))</f>
        <v>3.1996459116158116E-3</v>
      </c>
      <c r="H105" s="472">
        <f>IFERROR(IF(VLOOKUP(A105,'Updated Ncino PD'!$A:$K,7,0)=0,"",VLOOKUP(A105,'Updated Ncino PD'!$A:$K,7,0)),IFERROR(VLOOKUP(A105,'Updated Ncino PD'!A:B,2,FALSE),FLOOR(1-((1-AG105)*(1-AH105)*(1-AI105)*(1-AF105)),$R$11)))</f>
        <v>4.8999999999999998E-3</v>
      </c>
      <c r="I105" s="472">
        <f>IFERROR(IF(VLOOKUP(A105,'Updated Ncino PD'!$A:$K,8,0)=0,"",VLOOKUP(A105,'Updated Ncino PD'!$A:$K,8,0)),FLOOR(1-((1-H105)*(1-AJ105)),$R$11))</f>
        <v>7.7000000000000002E-3</v>
      </c>
      <c r="J105" s="472">
        <f>IFERROR(IF(VLOOKUP(A105,'Updated Ncino PD'!$A:$K,9,0)=0,"",VLOOKUP(A105,'Updated Ncino PD'!$A:$K,9,0)),FLOOR(1-((1-H105)*(1-AJ105)*(1-AK105)),$R$11))</f>
        <v>9.4999999999999998E-3</v>
      </c>
      <c r="K105" s="472">
        <f>IFERROR(IF(VLOOKUP(A105,'Updated Ncino PD'!$A:$K,10,0)=0,"",VLOOKUP(A105,'Updated Ncino PD'!$A:$K,10,0)),FLOOR(1-((1-H105)*(1-AJ105)*(1-AK105)*(1-AL105)),$R$11))</f>
        <v>1.4400000000000001E-2</v>
      </c>
      <c r="L105" s="472">
        <f>IFERROR(IF(VLOOKUP(A105,'Updated Ncino PD'!$A:$K,11,0)=0,"",VLOOKUP(A105,'Updated Ncino PD'!$A:$K,11,0)),FLOOR(1-((1-H105)*(1-AJ105)*(1-AK105)*(1-AL105)*(1-AM105)),$R$11))</f>
        <v>1.9700000000000002E-2</v>
      </c>
      <c r="M105" s="224">
        <f>VLOOKUP(A105,'Ref-Data'!$A:$F,6,FALSE)</f>
        <v>4.6817248459958929</v>
      </c>
      <c r="N105" s="191">
        <f t="shared" si="51"/>
        <v>4.8999999999999998E-3</v>
      </c>
      <c r="O105" s="191">
        <f t="shared" si="52"/>
        <v>1.9700000000000002E-2</v>
      </c>
      <c r="P105" s="459" t="str">
        <f>VLOOKUP(A105,'Loan Book Summary'!C:G,5,FALSE)</f>
        <v>0018e000003COuL</v>
      </c>
      <c r="Q105" s="355"/>
      <c r="R105" s="355"/>
      <c r="S105" s="203"/>
      <c r="T105" s="332">
        <f>IFERROR(VLOOKUP($P105,'Model Output-LoanNameUpdate'!$A:$K,2,FALSE),CL105)</f>
        <v>4.7549999999999988E-3</v>
      </c>
      <c r="U105" s="332">
        <f>1-(1-IFERROR(VLOOKUP($P105,'Model Output-LoanNameUpdate'!$A:$K,2,FALSE),CL105))^(1/4)</f>
        <v>1.1908755886226308E-3</v>
      </c>
      <c r="V105" s="332">
        <f>IFERROR(VLOOKUP($P105,'Model Output-LoanNameUpdate'!$A:$K,3,FALSE),CM105)</f>
        <v>5.174999999999999E-3</v>
      </c>
      <c r="W105" s="332">
        <f>IFERROR(VLOOKUP($P105,'Model Output-LoanNameUpdate'!$A:$K,4,FALSE),CN105)</f>
        <v>5.4549999999999998E-3</v>
      </c>
      <c r="X105" s="332">
        <f>IFERROR(VLOOKUP($P105,'Model Output-LoanNameUpdate'!$A:$K,5,FALSE),CO105)</f>
        <v>5.5999999999999991E-3</v>
      </c>
      <c r="Y105" s="332">
        <f>IFERROR(VLOOKUP($P105,'Model Output-LoanNameUpdate'!$A:$K,6,FALSE),CP105)</f>
        <v>5.7450000000000001E-3</v>
      </c>
      <c r="Z105" s="207">
        <f t="shared" si="53"/>
        <v>0.96</v>
      </c>
      <c r="AA105" s="332">
        <f t="shared" si="54"/>
        <v>1.1432405650777255E-3</v>
      </c>
      <c r="AB105" s="332">
        <f t="shared" si="55"/>
        <v>4.9679999999999993E-3</v>
      </c>
      <c r="AC105" s="332">
        <f t="shared" si="56"/>
        <v>5.2367999999999998E-3</v>
      </c>
      <c r="AD105" s="332">
        <f t="shared" si="57"/>
        <v>5.3759999999999988E-3</v>
      </c>
      <c r="AE105" s="332">
        <f t="shared" si="58"/>
        <v>5.5151999999999996E-3</v>
      </c>
      <c r="AF105" s="332">
        <f>NORMSDIST((_xlfn.NORM.S.INV(AA105)-(SQRT(Baseline!$AF$11)*'MacroPD-Cal'!$R$2))/SQRT(1-Baseline!$AF$11))</f>
        <v>8.071523458491334E-4</v>
      </c>
      <c r="AG105" s="332">
        <f>NORMSDIST((_xlfn.NORM.S.INV(AA105)-(SQRT(Baseline!$AF$11)*'MacroPD-Cal'!$R$3))/SQRT(1-Baseline!$AF$11))</f>
        <v>1.1093565332278568E-3</v>
      </c>
      <c r="AH105" s="332">
        <f>NORMSDIST((_xlfn.NORM.S.INV(AA105)-(SQRT(Baseline!$AF$11)*'MacroPD-Cal'!$R$4))/SQRT(1-Baseline!$AF$11))</f>
        <v>1.286496883011375E-3</v>
      </c>
      <c r="AI105" s="332">
        <f>NORMSDIST((_xlfn.NORM.S.INV(AA105)-(SQRT(Baseline!$AF$11)*'MacroPD-Cal'!$R$5))/SQRT(1-Baseline!$AF$11))</f>
        <v>1.7416428741741368E-3</v>
      </c>
      <c r="AJ105" s="332">
        <f>NORMSDIST((_xlfn.NORM.S.INV(AB105)-(SQRT(Baseline!$AF$11)*'MacroPD-Cal'!$R$6))/SQRT(1-Baseline!$AF$11))</f>
        <v>2.8561124722079711E-3</v>
      </c>
      <c r="AK105" s="332">
        <f>NORMSDIST((_xlfn.NORM.S.INV(AC105)-(SQRT(Baseline!$AF$11)*'MacroPD-Cal'!$R$7))/SQRT(1-Baseline!$AF$11))</f>
        <v>1.7973044554918762E-3</v>
      </c>
      <c r="AL105" s="332">
        <f>NORMSDIST((_xlfn.NORM.S.INV(AD105)-(SQRT(Baseline!$AF$11)*'MacroPD-Cal'!$R$8))/SQRT(1-Baseline!$AF$11))</f>
        <v>4.9543918208341878E-3</v>
      </c>
      <c r="AM105" s="332">
        <f>NORMSDIST((_xlfn.NORM.S.INV(AE105)-(SQRT(Baseline!$AF$11)*'MacroPD-Cal'!$R$9))/SQRT(1-Baseline!$AF$11))</f>
        <v>5.4324084279461131E-3</v>
      </c>
      <c r="CR105" s="345">
        <f t="shared" si="47"/>
        <v>0.16472496854063948</v>
      </c>
      <c r="CS105" s="345">
        <f t="shared" si="48"/>
        <v>0.39094152231609697</v>
      </c>
      <c r="CT105" s="345">
        <f t="shared" si="49"/>
        <v>0.65298896155424724</v>
      </c>
      <c r="CU105" s="345">
        <f t="shared" si="50"/>
        <v>1</v>
      </c>
    </row>
    <row r="106" spans="1:99" x14ac:dyDescent="0.25">
      <c r="A106" s="464">
        <v>1100000271</v>
      </c>
      <c r="B106" s="470">
        <f>VLOOKUP(A106,'Ref-Data'!A:I,9,FALSE)</f>
        <v>1</v>
      </c>
      <c r="C106" s="445">
        <f>IF(B106="Matured","",VLOOKUP(A106,'Adjustment Factor'!A:C,3,0))</f>
        <v>0.78908700495327666</v>
      </c>
      <c r="D106" s="190">
        <f>VLOOKUP(A106,'Ref-Data'!A:C,2,FALSE)</f>
        <v>10000000</v>
      </c>
      <c r="E106" s="471">
        <f>IFERROR(IF(VLOOKUP(A106,'Updated Ncino PD'!$A:$K,4,0)=0,"",VLOOKUP(A106,'Updated Ncino PD'!$A:$K,4,0)),AF106)</f>
        <v>3.2898990106614697E-3</v>
      </c>
      <c r="F106" s="472">
        <f>IFERROR(IF(VLOOKUP(A106,'Updated Ncino PD'!$A:$K,5,0)=0,"",VLOOKUP(A106,'Updated Ncino PD'!$A:$K,5,0)),1-((1-AG106)*(1-E106)))</f>
        <v>7.6288946563898286E-3</v>
      </c>
      <c r="G106" s="472">
        <f>IFERROR(IF(VLOOKUP(A106,'Updated Ncino PD'!$A:$K,6,0)=0,"",VLOOKUP(A106,'Updated Ncino PD'!$A:$K,6,0)),1-((1-AF106)*(1-AG106)*(1-AH106)))</f>
        <v>1.2549595589975038E-2</v>
      </c>
      <c r="H106" s="472">
        <f>IFERROR(IF(VLOOKUP(A106,'Updated Ncino PD'!$A:$K,7,0)=0,"",VLOOKUP(A106,'Updated Ncino PD'!$A:$K,7,0)),IFERROR(VLOOKUP(A106,'Updated Ncino PD'!A:B,2,FALSE),FLOOR(1-((1-AG106)*(1-AH106)*(1-AI106)*(1-AF106)),$R$11)))</f>
        <v>1.89E-2</v>
      </c>
      <c r="I106" s="472">
        <f>IFERROR(IF(VLOOKUP(A106,'Updated Ncino PD'!$A:$K,8,0)=0,"",VLOOKUP(A106,'Updated Ncino PD'!$A:$K,8,0)),FLOOR(1-((1-H106)*(1-AJ106)),$R$11))</f>
        <v>2.7300000000000001E-2</v>
      </c>
      <c r="J106" s="472">
        <f>IFERROR(IF(VLOOKUP(A106,'Updated Ncino PD'!$A:$K,9,0)=0,"",VLOOKUP(A106,'Updated Ncino PD'!$A:$K,9,0)),FLOOR(1-((1-H106)*(1-AJ106)*(1-AK106)),$R$11))</f>
        <v>3.1800000000000002E-2</v>
      </c>
      <c r="K106" s="472">
        <f>IFERROR(IF(VLOOKUP(A106,'Updated Ncino PD'!$A:$K,10,0)=0,"",VLOOKUP(A106,'Updated Ncino PD'!$A:$K,10,0)),FLOOR(1-((1-H106)*(1-AJ106)*(1-AK106)*(1-AL106)),$R$11))</f>
        <v>4.1800000000000004E-2</v>
      </c>
      <c r="L106" s="472">
        <f>IFERROR(IF(VLOOKUP(A106,'Updated Ncino PD'!$A:$K,11,0)=0,"",VLOOKUP(A106,'Updated Ncino PD'!$A:$K,11,0)),FLOOR(1-((1-H106)*(1-AJ106)*(1-AK106)*(1-AL106)*(1-AM106)),$R$11))</f>
        <v>5.16E-2</v>
      </c>
      <c r="M106" s="224">
        <f>VLOOKUP(A106,'Ref-Data'!$A:$F,6,FALSE)</f>
        <v>4.6926762491444221</v>
      </c>
      <c r="N106" s="191">
        <f t="shared" si="51"/>
        <v>1.89E-2</v>
      </c>
      <c r="O106" s="191">
        <f t="shared" si="52"/>
        <v>5.16E-2</v>
      </c>
      <c r="P106" s="459" t="str">
        <f>VLOOKUP(A106,'Loan Book Summary'!C:G,5,FALSE)</f>
        <v>0015800000WRe2v</v>
      </c>
      <c r="Q106" s="355"/>
      <c r="R106" s="355"/>
      <c r="S106" s="203"/>
      <c r="T106" s="332">
        <f>IFERROR(VLOOKUP($P106,'Model Output-LoanNameUpdate'!$A:$K,2,FALSE),CL106)</f>
        <v>1.992E-2</v>
      </c>
      <c r="U106" s="332">
        <f>1-(1-IFERROR(VLOOKUP($P106,'Model Output-LoanNameUpdate'!$A:$K,2,FALSE),CL106))^(1/4)</f>
        <v>5.0176388807849914E-3</v>
      </c>
      <c r="V106" s="332">
        <f>IFERROR(VLOOKUP($P106,'Model Output-LoanNameUpdate'!$A:$K,3,FALSE),CM106)</f>
        <v>1.6220000000000002E-2</v>
      </c>
      <c r="W106" s="332">
        <f>IFERROR(VLOOKUP($P106,'Model Output-LoanNameUpdate'!$A:$K,4,FALSE),CN106)</f>
        <v>1.4385E-2</v>
      </c>
      <c r="X106" s="332">
        <f>IFERROR(VLOOKUP($P106,'Model Output-LoanNameUpdate'!$A:$K,5,FALSE),CO106)</f>
        <v>1.3189999999999999E-2</v>
      </c>
      <c r="Y106" s="332">
        <f>IFERROR(VLOOKUP($P106,'Model Output-LoanNameUpdate'!$A:$K,6,FALSE),CP106)</f>
        <v>1.235E-2</v>
      </c>
      <c r="Z106" s="207">
        <f t="shared" si="53"/>
        <v>0.78908700495327666</v>
      </c>
      <c r="AA106" s="332">
        <f t="shared" si="54"/>
        <v>3.95935363637574E-3</v>
      </c>
      <c r="AB106" s="332">
        <f t="shared" si="55"/>
        <v>1.2798991220342148E-2</v>
      </c>
      <c r="AC106" s="332">
        <f t="shared" si="56"/>
        <v>1.1351016566252885E-2</v>
      </c>
      <c r="AD106" s="332">
        <f t="shared" si="57"/>
        <v>1.0408057595333718E-2</v>
      </c>
      <c r="AE106" s="332">
        <f t="shared" si="58"/>
        <v>9.745224511172967E-3</v>
      </c>
      <c r="AF106" s="332">
        <f>NORMSDIST((_xlfn.NORM.S.INV(AA106)-(SQRT(Baseline!$AF$11)*'MacroPD-Cal'!$R$2))/SQRT(1-Baseline!$AF$11))</f>
        <v>3.2898990106614697E-3</v>
      </c>
      <c r="AG106" s="332">
        <f>NORMSDIST((_xlfn.NORM.S.INV(AA106)-(SQRT(Baseline!$AF$11)*'MacroPD-Cal'!$R$3))/SQRT(1-Baseline!$AF$11))</f>
        <v>4.3533176210630688E-3</v>
      </c>
      <c r="AH106" s="332">
        <f>NORMSDIST((_xlfn.NORM.S.INV(AA106)-(SQRT(Baseline!$AF$11)*'MacroPD-Cal'!$R$4))/SQRT(1-Baseline!$AF$11))</f>
        <v>4.9585290291996138E-3</v>
      </c>
      <c r="AI106" s="332">
        <f>NORMSDIST((_xlfn.NORM.S.INV(AA106)-(SQRT(Baseline!$AF$11)*'MacroPD-Cal'!$R$5))/SQRT(1-Baseline!$AF$11))</f>
        <v>6.4665713993269404E-3</v>
      </c>
      <c r="AJ106" s="332">
        <f>NORMSDIST((_xlfn.NORM.S.INV(AB106)-(SQRT(Baseline!$AF$11)*'MacroPD-Cal'!$R$6))/SQRT(1-Baseline!$AF$11))</f>
        <v>8.6095473398491804E-3</v>
      </c>
      <c r="AK106" s="332">
        <f>NORMSDIST((_xlfn.NORM.S.INV(AC106)-(SQRT(Baseline!$AF$11)*'MacroPD-Cal'!$R$7))/SQRT(1-Baseline!$AF$11))</f>
        <v>4.6479187390004858E-3</v>
      </c>
      <c r="AL106" s="332">
        <f>NORMSDIST((_xlfn.NORM.S.INV(AD106)-(SQRT(Baseline!$AF$11)*'MacroPD-Cal'!$R$8))/SQRT(1-Baseline!$AF$11))</f>
        <v>1.031539129014279E-2</v>
      </c>
      <c r="AM106" s="332">
        <f>NORMSDIST((_xlfn.NORM.S.INV(AE106)-(SQRT(Baseline!$AF$11)*'MacroPD-Cal'!$R$9))/SQRT(1-Baseline!$AF$11))</f>
        <v>1.0174815520285504E-2</v>
      </c>
      <c r="CR106" s="345">
        <f t="shared" si="47"/>
        <v>0.17406873072282908</v>
      </c>
      <c r="CS106" s="345">
        <f t="shared" si="48"/>
        <v>0.40364521991480573</v>
      </c>
      <c r="CT106" s="345">
        <f t="shared" si="49"/>
        <v>0.66399976666534588</v>
      </c>
      <c r="CU106" s="345">
        <f t="shared" si="50"/>
        <v>1</v>
      </c>
    </row>
    <row r="107" spans="1:99" x14ac:dyDescent="0.25">
      <c r="A107" s="464">
        <v>1100000272</v>
      </c>
      <c r="B107" s="470">
        <f>VLOOKUP(A107,'Ref-Data'!A:I,9,FALSE)</f>
        <v>1</v>
      </c>
      <c r="C107" s="445">
        <f>IF(B107="Matured","",VLOOKUP(A107,'Adjustment Factor'!A:C,3,0))</f>
        <v>0.78908700495327666</v>
      </c>
      <c r="D107" s="190">
        <f>VLOOKUP(A107,'Ref-Data'!A:C,2,FALSE)</f>
        <v>5000000</v>
      </c>
      <c r="E107" s="471">
        <f>IFERROR(IF(VLOOKUP(A107,'Updated Ncino PD'!$A:$K,4,0)=0,"",VLOOKUP(A107,'Updated Ncino PD'!$A:$K,4,0)),AF107)</f>
        <v>3.2898990106614697E-3</v>
      </c>
      <c r="F107" s="472">
        <f>IFERROR(IF(VLOOKUP(A107,'Updated Ncino PD'!$A:$K,5,0)=0,"",VLOOKUP(A107,'Updated Ncino PD'!$A:$K,5,0)),1-((1-AG107)*(1-E107)))</f>
        <v>7.6288946563898286E-3</v>
      </c>
      <c r="G107" s="472">
        <f>IFERROR(IF(VLOOKUP(A107,'Updated Ncino PD'!$A:$K,6,0)=0,"",VLOOKUP(A107,'Updated Ncino PD'!$A:$K,6,0)),1-((1-AF107)*(1-AG107)*(1-AH107)))</f>
        <v>1.2549595589975038E-2</v>
      </c>
      <c r="H107" s="472">
        <f>IFERROR(IF(VLOOKUP(A107,'Updated Ncino PD'!$A:$K,7,0)=0,"",VLOOKUP(A107,'Updated Ncino PD'!$A:$K,7,0)),IFERROR(VLOOKUP(A107,'Updated Ncino PD'!A:B,2,FALSE),FLOOR(1-((1-AG107)*(1-AH107)*(1-AI107)*(1-AF107)),$R$11)))</f>
        <v>1.89E-2</v>
      </c>
      <c r="I107" s="472">
        <f>IFERROR(IF(VLOOKUP(A107,'Updated Ncino PD'!$A:$K,8,0)=0,"",VLOOKUP(A107,'Updated Ncino PD'!$A:$K,8,0)),FLOOR(1-((1-H107)*(1-AJ107)),$R$11))</f>
        <v>2.7300000000000001E-2</v>
      </c>
      <c r="J107" s="472">
        <f>IFERROR(IF(VLOOKUP(A107,'Updated Ncino PD'!$A:$K,9,0)=0,"",VLOOKUP(A107,'Updated Ncino PD'!$A:$K,9,0)),FLOOR(1-((1-H107)*(1-AJ107)*(1-AK107)),$R$11))</f>
        <v>3.1800000000000002E-2</v>
      </c>
      <c r="K107" s="472">
        <f>IFERROR(IF(VLOOKUP(A107,'Updated Ncino PD'!$A:$K,10,0)=0,"",VLOOKUP(A107,'Updated Ncino PD'!$A:$K,10,0)),FLOOR(1-((1-H107)*(1-AJ107)*(1-AK107)*(1-AL107)),$R$11))</f>
        <v>4.1800000000000004E-2</v>
      </c>
      <c r="L107" s="472">
        <f>IFERROR(IF(VLOOKUP(A107,'Updated Ncino PD'!$A:$K,11,0)=0,"",VLOOKUP(A107,'Updated Ncino PD'!$A:$K,11,0)),FLOOR(1-((1-H107)*(1-AJ107)*(1-AK107)*(1-AL107)*(1-AM107)),$R$11))</f>
        <v>5.16E-2</v>
      </c>
      <c r="M107" s="224">
        <f>VLOOKUP(A107,'Ref-Data'!$A:$F,6,FALSE)</f>
        <v>4.6926762491444221</v>
      </c>
      <c r="N107" s="191">
        <f t="shared" si="51"/>
        <v>1.89E-2</v>
      </c>
      <c r="O107" s="191">
        <f t="shared" si="52"/>
        <v>5.16E-2</v>
      </c>
      <c r="P107" s="459" t="str">
        <f>VLOOKUP(A107,'Loan Book Summary'!C:G,5,FALSE)</f>
        <v>0015800000WRe2v</v>
      </c>
      <c r="Q107" s="355"/>
      <c r="R107" s="355"/>
      <c r="S107" s="203"/>
      <c r="T107" s="332">
        <f>IFERROR(VLOOKUP($P107,'Model Output-LoanNameUpdate'!$A:$K,2,FALSE),CL107)</f>
        <v>1.992E-2</v>
      </c>
      <c r="U107" s="332">
        <f>1-(1-IFERROR(VLOOKUP($P107,'Model Output-LoanNameUpdate'!$A:$K,2,FALSE),CL107))^(1/4)</f>
        <v>5.0176388807849914E-3</v>
      </c>
      <c r="V107" s="332">
        <f>IFERROR(VLOOKUP($P107,'Model Output-LoanNameUpdate'!$A:$K,3,FALSE),CM107)</f>
        <v>1.6220000000000002E-2</v>
      </c>
      <c r="W107" s="332">
        <f>IFERROR(VLOOKUP($P107,'Model Output-LoanNameUpdate'!$A:$K,4,FALSE),CN107)</f>
        <v>1.4385E-2</v>
      </c>
      <c r="X107" s="332">
        <f>IFERROR(VLOOKUP($P107,'Model Output-LoanNameUpdate'!$A:$K,5,FALSE),CO107)</f>
        <v>1.3189999999999999E-2</v>
      </c>
      <c r="Y107" s="332">
        <f>IFERROR(VLOOKUP($P107,'Model Output-LoanNameUpdate'!$A:$K,6,FALSE),CP107)</f>
        <v>1.235E-2</v>
      </c>
      <c r="Z107" s="207">
        <f t="shared" si="53"/>
        <v>0.78908700495327666</v>
      </c>
      <c r="AA107" s="332">
        <f t="shared" si="54"/>
        <v>3.95935363637574E-3</v>
      </c>
      <c r="AB107" s="332">
        <f t="shared" si="55"/>
        <v>1.2798991220342148E-2</v>
      </c>
      <c r="AC107" s="332">
        <f t="shared" si="56"/>
        <v>1.1351016566252885E-2</v>
      </c>
      <c r="AD107" s="332">
        <f t="shared" si="57"/>
        <v>1.0408057595333718E-2</v>
      </c>
      <c r="AE107" s="332">
        <f t="shared" si="58"/>
        <v>9.745224511172967E-3</v>
      </c>
      <c r="AF107" s="332">
        <f>NORMSDIST((_xlfn.NORM.S.INV(AA107)-(SQRT(Baseline!$AF$11)*'MacroPD-Cal'!$R$2))/SQRT(1-Baseline!$AF$11))</f>
        <v>3.2898990106614697E-3</v>
      </c>
      <c r="AG107" s="332">
        <f>NORMSDIST((_xlfn.NORM.S.INV(AA107)-(SQRT(Baseline!$AF$11)*'MacroPD-Cal'!$R$3))/SQRT(1-Baseline!$AF$11))</f>
        <v>4.3533176210630688E-3</v>
      </c>
      <c r="AH107" s="332">
        <f>NORMSDIST((_xlfn.NORM.S.INV(AA107)-(SQRT(Baseline!$AF$11)*'MacroPD-Cal'!$R$4))/SQRT(1-Baseline!$AF$11))</f>
        <v>4.9585290291996138E-3</v>
      </c>
      <c r="AI107" s="332">
        <f>NORMSDIST((_xlfn.NORM.S.INV(AA107)-(SQRT(Baseline!$AF$11)*'MacroPD-Cal'!$R$5))/SQRT(1-Baseline!$AF$11))</f>
        <v>6.4665713993269404E-3</v>
      </c>
      <c r="AJ107" s="332">
        <f>NORMSDIST((_xlfn.NORM.S.INV(AB107)-(SQRT(Baseline!$AF$11)*'MacroPD-Cal'!$R$6))/SQRT(1-Baseline!$AF$11))</f>
        <v>8.6095473398491804E-3</v>
      </c>
      <c r="AK107" s="332">
        <f>NORMSDIST((_xlfn.NORM.S.INV(AC107)-(SQRT(Baseline!$AF$11)*'MacroPD-Cal'!$R$7))/SQRT(1-Baseline!$AF$11))</f>
        <v>4.6479187390004858E-3</v>
      </c>
      <c r="AL107" s="332">
        <f>NORMSDIST((_xlfn.NORM.S.INV(AD107)-(SQRT(Baseline!$AF$11)*'MacroPD-Cal'!$R$8))/SQRT(1-Baseline!$AF$11))</f>
        <v>1.031539129014279E-2</v>
      </c>
      <c r="AM107" s="332">
        <f>NORMSDIST((_xlfn.NORM.S.INV(AE107)-(SQRT(Baseline!$AF$11)*'MacroPD-Cal'!$R$9))/SQRT(1-Baseline!$AF$11))</f>
        <v>1.0174815520285504E-2</v>
      </c>
      <c r="CR107" s="345">
        <f t="shared" si="47"/>
        <v>0.17406873072282908</v>
      </c>
      <c r="CS107" s="345">
        <f t="shared" si="48"/>
        <v>0.40364521991480573</v>
      </c>
      <c r="CT107" s="345">
        <f t="shared" si="49"/>
        <v>0.66399976666534588</v>
      </c>
      <c r="CU107" s="345">
        <f t="shared" si="50"/>
        <v>1</v>
      </c>
    </row>
    <row r="108" spans="1:99" x14ac:dyDescent="0.25">
      <c r="A108" s="464">
        <v>1100000274</v>
      </c>
      <c r="B108" s="470">
        <f>VLOOKUP(A108,'Ref-Data'!A:I,9,FALSE)</f>
        <v>1</v>
      </c>
      <c r="C108" s="445">
        <f>IF(B108="Matured","",VLOOKUP(A108,'Adjustment Factor'!A:C,3,0))</f>
        <v>0.78908700495327666</v>
      </c>
      <c r="D108" s="190">
        <f>VLOOKUP(A108,'Ref-Data'!A:C,2,FALSE)</f>
        <v>8400000</v>
      </c>
      <c r="E108" s="471">
        <f>IFERROR(IF(VLOOKUP(A108,'Updated Ncino PD'!$A:$K,4,0)=0,"",VLOOKUP(A108,'Updated Ncino PD'!$A:$K,4,0)),AF108)</f>
        <v>3.2898990106614697E-3</v>
      </c>
      <c r="F108" s="472">
        <f>IFERROR(IF(VLOOKUP(A108,'Updated Ncino PD'!$A:$K,5,0)=0,"",VLOOKUP(A108,'Updated Ncino PD'!$A:$K,5,0)),1-((1-AG108)*(1-E108)))</f>
        <v>7.6288946563898286E-3</v>
      </c>
      <c r="G108" s="472">
        <f>IFERROR(IF(VLOOKUP(A108,'Updated Ncino PD'!$A:$K,6,0)=0,"",VLOOKUP(A108,'Updated Ncino PD'!$A:$K,6,0)),1-((1-AF108)*(1-AG108)*(1-AH108)))</f>
        <v>1.2549595589975038E-2</v>
      </c>
      <c r="H108" s="472">
        <f>IFERROR(IF(VLOOKUP(A108,'Updated Ncino PD'!$A:$K,7,0)=0,"",VLOOKUP(A108,'Updated Ncino PD'!$A:$K,7,0)),IFERROR(VLOOKUP(A108,'Updated Ncino PD'!A:B,2,FALSE),FLOOR(1-((1-AG108)*(1-AH108)*(1-AI108)*(1-AF108)),$R$11)))</f>
        <v>1.89E-2</v>
      </c>
      <c r="I108" s="472">
        <f>IFERROR(IF(VLOOKUP(A108,'Updated Ncino PD'!$A:$K,8,0)=0,"",VLOOKUP(A108,'Updated Ncino PD'!$A:$K,8,0)),FLOOR(1-((1-H108)*(1-AJ108)),$R$11))</f>
        <v>2.7300000000000001E-2</v>
      </c>
      <c r="J108" s="472">
        <f>IFERROR(IF(VLOOKUP(A108,'Updated Ncino PD'!$A:$K,9,0)=0,"",VLOOKUP(A108,'Updated Ncino PD'!$A:$K,9,0)),FLOOR(1-((1-H108)*(1-AJ108)*(1-AK108)),$R$11))</f>
        <v>3.1800000000000002E-2</v>
      </c>
      <c r="K108" s="472">
        <f>IFERROR(IF(VLOOKUP(A108,'Updated Ncino PD'!$A:$K,10,0)=0,"",VLOOKUP(A108,'Updated Ncino PD'!$A:$K,10,0)),FLOOR(1-((1-H108)*(1-AJ108)*(1-AK108)*(1-AL108)),$R$11))</f>
        <v>4.1800000000000004E-2</v>
      </c>
      <c r="L108" s="472">
        <f>IFERROR(IF(VLOOKUP(A108,'Updated Ncino PD'!$A:$K,11,0)=0,"",VLOOKUP(A108,'Updated Ncino PD'!$A:$K,11,0)),FLOOR(1-((1-H108)*(1-AJ108)*(1-AK108)*(1-AL108)*(1-AM108)),$R$11))</f>
        <v>5.16E-2</v>
      </c>
      <c r="M108" s="224">
        <f>VLOOKUP(A108,'Ref-Data'!$A:$F,6,FALSE)</f>
        <v>4.6926762491444221</v>
      </c>
      <c r="N108" s="191">
        <f t="shared" si="51"/>
        <v>1.89E-2</v>
      </c>
      <c r="O108" s="191">
        <f t="shared" si="52"/>
        <v>5.16E-2</v>
      </c>
      <c r="P108" s="459" t="str">
        <f>VLOOKUP(A108,'Loan Book Summary'!C:G,5,FALSE)</f>
        <v>0015800000WRe2v</v>
      </c>
      <c r="Q108" s="355"/>
      <c r="R108" s="355"/>
      <c r="S108" s="203"/>
      <c r="T108" s="332">
        <f>IFERROR(VLOOKUP($P108,'Model Output-LoanNameUpdate'!$A:$K,2,FALSE),CL108)</f>
        <v>1.992E-2</v>
      </c>
      <c r="U108" s="332">
        <f>1-(1-IFERROR(VLOOKUP($P108,'Model Output-LoanNameUpdate'!$A:$K,2,FALSE),CL108))^(1/4)</f>
        <v>5.0176388807849914E-3</v>
      </c>
      <c r="V108" s="332">
        <f>IFERROR(VLOOKUP($P108,'Model Output-LoanNameUpdate'!$A:$K,3,FALSE),CM108)</f>
        <v>1.6220000000000002E-2</v>
      </c>
      <c r="W108" s="332">
        <f>IFERROR(VLOOKUP($P108,'Model Output-LoanNameUpdate'!$A:$K,4,FALSE),CN108)</f>
        <v>1.4385E-2</v>
      </c>
      <c r="X108" s="332">
        <f>IFERROR(VLOOKUP($P108,'Model Output-LoanNameUpdate'!$A:$K,5,FALSE),CO108)</f>
        <v>1.3189999999999999E-2</v>
      </c>
      <c r="Y108" s="332">
        <f>IFERROR(VLOOKUP($P108,'Model Output-LoanNameUpdate'!$A:$K,6,FALSE),CP108)</f>
        <v>1.235E-2</v>
      </c>
      <c r="Z108" s="207">
        <f t="shared" si="53"/>
        <v>0.78908700495327666</v>
      </c>
      <c r="AA108" s="332">
        <f t="shared" si="54"/>
        <v>3.95935363637574E-3</v>
      </c>
      <c r="AB108" s="332">
        <f t="shared" si="55"/>
        <v>1.2798991220342148E-2</v>
      </c>
      <c r="AC108" s="332">
        <f t="shared" si="56"/>
        <v>1.1351016566252885E-2</v>
      </c>
      <c r="AD108" s="332">
        <f t="shared" si="57"/>
        <v>1.0408057595333718E-2</v>
      </c>
      <c r="AE108" s="332">
        <f t="shared" si="58"/>
        <v>9.745224511172967E-3</v>
      </c>
      <c r="AF108" s="332">
        <f>NORMSDIST((_xlfn.NORM.S.INV(AA108)-(SQRT(Baseline!$AF$11)*'MacroPD-Cal'!$R$2))/SQRT(1-Baseline!$AF$11))</f>
        <v>3.2898990106614697E-3</v>
      </c>
      <c r="AG108" s="332">
        <f>NORMSDIST((_xlfn.NORM.S.INV(AA108)-(SQRT(Baseline!$AF$11)*'MacroPD-Cal'!$R$3))/SQRT(1-Baseline!$AF$11))</f>
        <v>4.3533176210630688E-3</v>
      </c>
      <c r="AH108" s="332">
        <f>NORMSDIST((_xlfn.NORM.S.INV(AA108)-(SQRT(Baseline!$AF$11)*'MacroPD-Cal'!$R$4))/SQRT(1-Baseline!$AF$11))</f>
        <v>4.9585290291996138E-3</v>
      </c>
      <c r="AI108" s="332">
        <f>NORMSDIST((_xlfn.NORM.S.INV(AA108)-(SQRT(Baseline!$AF$11)*'MacroPD-Cal'!$R$5))/SQRT(1-Baseline!$AF$11))</f>
        <v>6.4665713993269404E-3</v>
      </c>
      <c r="AJ108" s="332">
        <f>NORMSDIST((_xlfn.NORM.S.INV(AB108)-(SQRT(Baseline!$AF$11)*'MacroPD-Cal'!$R$6))/SQRT(1-Baseline!$AF$11))</f>
        <v>8.6095473398491804E-3</v>
      </c>
      <c r="AK108" s="332">
        <f>NORMSDIST((_xlfn.NORM.S.INV(AC108)-(SQRT(Baseline!$AF$11)*'MacroPD-Cal'!$R$7))/SQRT(1-Baseline!$AF$11))</f>
        <v>4.6479187390004858E-3</v>
      </c>
      <c r="AL108" s="332">
        <f>NORMSDIST((_xlfn.NORM.S.INV(AD108)-(SQRT(Baseline!$AF$11)*'MacroPD-Cal'!$R$8))/SQRT(1-Baseline!$AF$11))</f>
        <v>1.031539129014279E-2</v>
      </c>
      <c r="AM108" s="332">
        <f>NORMSDIST((_xlfn.NORM.S.INV(AE108)-(SQRT(Baseline!$AF$11)*'MacroPD-Cal'!$R$9))/SQRT(1-Baseline!$AF$11))</f>
        <v>1.0174815520285504E-2</v>
      </c>
      <c r="CR108" s="345">
        <f t="shared" si="47"/>
        <v>0.17406873072282908</v>
      </c>
      <c r="CS108" s="345">
        <f t="shared" si="48"/>
        <v>0.40364521991480573</v>
      </c>
      <c r="CT108" s="345">
        <f t="shared" si="49"/>
        <v>0.66399976666534588</v>
      </c>
      <c r="CU108" s="345">
        <f t="shared" si="50"/>
        <v>1</v>
      </c>
    </row>
    <row r="109" spans="1:99" x14ac:dyDescent="0.25">
      <c r="A109" s="464">
        <v>1100000273</v>
      </c>
      <c r="B109" s="470">
        <f>VLOOKUP(A109,'Ref-Data'!A:I,9,FALSE)</f>
        <v>1</v>
      </c>
      <c r="C109" s="445">
        <f>IF(B109="Matured","",VLOOKUP(A109,'Adjustment Factor'!A:C,3,0))</f>
        <v>0.78908700495327666</v>
      </c>
      <c r="D109" s="190">
        <f>VLOOKUP(A109,'Ref-Data'!A:C,2,FALSE)</f>
        <v>5000000</v>
      </c>
      <c r="E109" s="471">
        <f>IFERROR(IF(VLOOKUP(A109,'Updated Ncino PD'!$A:$K,4,0)=0,"",VLOOKUP(A109,'Updated Ncino PD'!$A:$K,4,0)),AF109)</f>
        <v>3.2898990106614697E-3</v>
      </c>
      <c r="F109" s="472">
        <f>IFERROR(IF(VLOOKUP(A109,'Updated Ncino PD'!$A:$K,5,0)=0,"",VLOOKUP(A109,'Updated Ncino PD'!$A:$K,5,0)),1-((1-AG109)*(1-E109)))</f>
        <v>7.6288946563898286E-3</v>
      </c>
      <c r="G109" s="472">
        <f>IFERROR(IF(VLOOKUP(A109,'Updated Ncino PD'!$A:$K,6,0)=0,"",VLOOKUP(A109,'Updated Ncino PD'!$A:$K,6,0)),1-((1-AF109)*(1-AG109)*(1-AH109)))</f>
        <v>1.2549595589975038E-2</v>
      </c>
      <c r="H109" s="472">
        <f>IFERROR(IF(VLOOKUP(A109,'Updated Ncino PD'!$A:$K,7,0)=0,"",VLOOKUP(A109,'Updated Ncino PD'!$A:$K,7,0)),IFERROR(VLOOKUP(A109,'Updated Ncino PD'!A:B,2,FALSE),FLOOR(1-((1-AG109)*(1-AH109)*(1-AI109)*(1-AF109)),$R$11)))</f>
        <v>1.89E-2</v>
      </c>
      <c r="I109" s="472">
        <f>IFERROR(IF(VLOOKUP(A109,'Updated Ncino PD'!$A:$K,8,0)=0,"",VLOOKUP(A109,'Updated Ncino PD'!$A:$K,8,0)),FLOOR(1-((1-H109)*(1-AJ109)),$R$11))</f>
        <v>2.7300000000000001E-2</v>
      </c>
      <c r="J109" s="472">
        <f>IFERROR(IF(VLOOKUP(A109,'Updated Ncino PD'!$A:$K,9,0)=0,"",VLOOKUP(A109,'Updated Ncino PD'!$A:$K,9,0)),FLOOR(1-((1-H109)*(1-AJ109)*(1-AK109)),$R$11))</f>
        <v>3.1800000000000002E-2</v>
      </c>
      <c r="K109" s="472">
        <f>IFERROR(IF(VLOOKUP(A109,'Updated Ncino PD'!$A:$K,10,0)=0,"",VLOOKUP(A109,'Updated Ncino PD'!$A:$K,10,0)),FLOOR(1-((1-H109)*(1-AJ109)*(1-AK109)*(1-AL109)),$R$11))</f>
        <v>4.1800000000000004E-2</v>
      </c>
      <c r="L109" s="472">
        <f>IFERROR(IF(VLOOKUP(A109,'Updated Ncino PD'!$A:$K,11,0)=0,"",VLOOKUP(A109,'Updated Ncino PD'!$A:$K,11,0)),FLOOR(1-((1-H109)*(1-AJ109)*(1-AK109)*(1-AL109)*(1-AM109)),$R$11))</f>
        <v>5.16E-2</v>
      </c>
      <c r="M109" s="224">
        <f>VLOOKUP(A109,'Ref-Data'!$A:$F,6,FALSE)</f>
        <v>4.6926762491444221</v>
      </c>
      <c r="N109" s="191">
        <f t="shared" si="51"/>
        <v>1.89E-2</v>
      </c>
      <c r="O109" s="191">
        <f t="shared" si="52"/>
        <v>5.16E-2</v>
      </c>
      <c r="P109" s="459" t="str">
        <f>VLOOKUP(A109,'Loan Book Summary'!C:G,5,FALSE)</f>
        <v>0015800000WRe2v</v>
      </c>
      <c r="Q109" s="355"/>
      <c r="R109" s="355"/>
      <c r="S109" s="203"/>
      <c r="T109" s="332">
        <f>IFERROR(VLOOKUP($P109,'Model Output-LoanNameUpdate'!$A:$K,2,FALSE),CL109)</f>
        <v>1.992E-2</v>
      </c>
      <c r="U109" s="332">
        <f>1-(1-IFERROR(VLOOKUP($P109,'Model Output-LoanNameUpdate'!$A:$K,2,FALSE),CL109))^(1/4)</f>
        <v>5.0176388807849914E-3</v>
      </c>
      <c r="V109" s="332">
        <f>IFERROR(VLOOKUP($P109,'Model Output-LoanNameUpdate'!$A:$K,3,FALSE),CM109)</f>
        <v>1.6220000000000002E-2</v>
      </c>
      <c r="W109" s="332">
        <f>IFERROR(VLOOKUP($P109,'Model Output-LoanNameUpdate'!$A:$K,4,FALSE),CN109)</f>
        <v>1.4385E-2</v>
      </c>
      <c r="X109" s="332">
        <f>IFERROR(VLOOKUP($P109,'Model Output-LoanNameUpdate'!$A:$K,5,FALSE),CO109)</f>
        <v>1.3189999999999999E-2</v>
      </c>
      <c r="Y109" s="332">
        <f>IFERROR(VLOOKUP($P109,'Model Output-LoanNameUpdate'!$A:$K,6,FALSE),CP109)</f>
        <v>1.235E-2</v>
      </c>
      <c r="Z109" s="207">
        <f t="shared" si="53"/>
        <v>0.78908700495327666</v>
      </c>
      <c r="AA109" s="332">
        <f t="shared" si="54"/>
        <v>3.95935363637574E-3</v>
      </c>
      <c r="AB109" s="332">
        <f t="shared" si="55"/>
        <v>1.2798991220342148E-2</v>
      </c>
      <c r="AC109" s="332">
        <f t="shared" si="56"/>
        <v>1.1351016566252885E-2</v>
      </c>
      <c r="AD109" s="332">
        <f t="shared" si="57"/>
        <v>1.0408057595333718E-2</v>
      </c>
      <c r="AE109" s="332">
        <f t="shared" si="58"/>
        <v>9.745224511172967E-3</v>
      </c>
      <c r="AF109" s="332">
        <f>NORMSDIST((_xlfn.NORM.S.INV(AA109)-(SQRT(Baseline!$AF$11)*'MacroPD-Cal'!$R$2))/SQRT(1-Baseline!$AF$11))</f>
        <v>3.2898990106614697E-3</v>
      </c>
      <c r="AG109" s="332">
        <f>NORMSDIST((_xlfn.NORM.S.INV(AA109)-(SQRT(Baseline!$AF$11)*'MacroPD-Cal'!$R$3))/SQRT(1-Baseline!$AF$11))</f>
        <v>4.3533176210630688E-3</v>
      </c>
      <c r="AH109" s="332">
        <f>NORMSDIST((_xlfn.NORM.S.INV(AA109)-(SQRT(Baseline!$AF$11)*'MacroPD-Cal'!$R$4))/SQRT(1-Baseline!$AF$11))</f>
        <v>4.9585290291996138E-3</v>
      </c>
      <c r="AI109" s="332">
        <f>NORMSDIST((_xlfn.NORM.S.INV(AA109)-(SQRT(Baseline!$AF$11)*'MacroPD-Cal'!$R$5))/SQRT(1-Baseline!$AF$11))</f>
        <v>6.4665713993269404E-3</v>
      </c>
      <c r="AJ109" s="332">
        <f>NORMSDIST((_xlfn.NORM.S.INV(AB109)-(SQRT(Baseline!$AF$11)*'MacroPD-Cal'!$R$6))/SQRT(1-Baseline!$AF$11))</f>
        <v>8.6095473398491804E-3</v>
      </c>
      <c r="AK109" s="332">
        <f>NORMSDIST((_xlfn.NORM.S.INV(AC109)-(SQRT(Baseline!$AF$11)*'MacroPD-Cal'!$R$7))/SQRT(1-Baseline!$AF$11))</f>
        <v>4.6479187390004858E-3</v>
      </c>
      <c r="AL109" s="332">
        <f>NORMSDIST((_xlfn.NORM.S.INV(AD109)-(SQRT(Baseline!$AF$11)*'MacroPD-Cal'!$R$8))/SQRT(1-Baseline!$AF$11))</f>
        <v>1.031539129014279E-2</v>
      </c>
      <c r="AM109" s="332">
        <f>NORMSDIST((_xlfn.NORM.S.INV(AE109)-(SQRT(Baseline!$AF$11)*'MacroPD-Cal'!$R$9))/SQRT(1-Baseline!$AF$11))</f>
        <v>1.0174815520285504E-2</v>
      </c>
      <c r="CR109" s="345">
        <f t="shared" si="47"/>
        <v>0.17406873072282908</v>
      </c>
      <c r="CS109" s="345">
        <f t="shared" si="48"/>
        <v>0.40364521991480573</v>
      </c>
      <c r="CT109" s="345">
        <f t="shared" si="49"/>
        <v>0.66399976666534588</v>
      </c>
      <c r="CU109" s="345">
        <f t="shared" si="50"/>
        <v>1</v>
      </c>
    </row>
    <row r="110" spans="1:99" x14ac:dyDescent="0.25">
      <c r="A110" s="466">
        <v>1100000275</v>
      </c>
      <c r="B110" s="470">
        <f>VLOOKUP(A110,'Ref-Data'!A:I,9,FALSE)</f>
        <v>1</v>
      </c>
      <c r="C110" s="445">
        <f>IF(B110="Matured","",VLOOKUP(A110,'Adjustment Factor'!A:C,3,0))</f>
        <v>0.78908700495327666</v>
      </c>
      <c r="D110" s="190">
        <f>VLOOKUP(A110,'Ref-Data'!A:C,2,FALSE)</f>
        <v>6600000</v>
      </c>
      <c r="E110" s="471">
        <f>IFERROR(IF(VLOOKUP(A110,'Updated Ncino PD'!$A:$K,4,0)=0,"",VLOOKUP(A110,'Updated Ncino PD'!$A:$K,4,0)),AF110)</f>
        <v>3.2898990106614697E-3</v>
      </c>
      <c r="F110" s="472">
        <f>IFERROR(IF(VLOOKUP(A110,'Updated Ncino PD'!$A:$K,5,0)=0,"",VLOOKUP(A110,'Updated Ncino PD'!$A:$K,5,0)),1-((1-AG110)*(1-E110)))</f>
        <v>7.6288946563898286E-3</v>
      </c>
      <c r="G110" s="472">
        <f>IFERROR(IF(VLOOKUP(A110,'Updated Ncino PD'!$A:$K,6,0)=0,"",VLOOKUP(A110,'Updated Ncino PD'!$A:$K,6,0)),1-((1-AF110)*(1-AG110)*(1-AH110)))</f>
        <v>1.2549595589975038E-2</v>
      </c>
      <c r="H110" s="472">
        <f>IFERROR(IF(VLOOKUP(A110,'Updated Ncino PD'!$A:$K,7,0)=0,"",VLOOKUP(A110,'Updated Ncino PD'!$A:$K,7,0)),IFERROR(VLOOKUP(A110,'Updated Ncino PD'!A:B,2,FALSE),FLOOR(1-((1-AG110)*(1-AH110)*(1-AI110)*(1-AF110)),$R$11)))</f>
        <v>1.89E-2</v>
      </c>
      <c r="I110" s="472">
        <f>IFERROR(IF(VLOOKUP(A110,'Updated Ncino PD'!$A:$K,8,0)=0,"",VLOOKUP(A110,'Updated Ncino PD'!$A:$K,8,0)),FLOOR(1-((1-H110)*(1-AJ110)),$R$11))</f>
        <v>2.7300000000000001E-2</v>
      </c>
      <c r="J110" s="472">
        <f>IFERROR(IF(VLOOKUP(A110,'Updated Ncino PD'!$A:$K,9,0)=0,"",VLOOKUP(A110,'Updated Ncino PD'!$A:$K,9,0)),FLOOR(1-((1-H110)*(1-AJ110)*(1-AK110)),$R$11))</f>
        <v>3.1800000000000002E-2</v>
      </c>
      <c r="K110" s="472">
        <f>IFERROR(IF(VLOOKUP(A110,'Updated Ncino PD'!$A:$K,10,0)=0,"",VLOOKUP(A110,'Updated Ncino PD'!$A:$K,10,0)),FLOOR(1-((1-H110)*(1-AJ110)*(1-AK110)*(1-AL110)),$R$11))</f>
        <v>4.1800000000000004E-2</v>
      </c>
      <c r="L110" s="472">
        <f>IFERROR(IF(VLOOKUP(A110,'Updated Ncino PD'!$A:$K,11,0)=0,"",VLOOKUP(A110,'Updated Ncino PD'!$A:$K,11,0)),FLOOR(1-((1-H110)*(1-AJ110)*(1-AK110)*(1-AL110)*(1-AM110)),$R$11))</f>
        <v>5.16E-2</v>
      </c>
      <c r="M110" s="224">
        <f>VLOOKUP(A110,'Ref-Data'!$A:$F,6,FALSE)</f>
        <v>4.6926762491444221</v>
      </c>
      <c r="N110" s="191">
        <f t="shared" si="51"/>
        <v>1.89E-2</v>
      </c>
      <c r="O110" s="191">
        <f t="shared" si="52"/>
        <v>5.16E-2</v>
      </c>
      <c r="P110" s="459" t="str">
        <f>VLOOKUP(A110,'Loan Book Summary'!C:G,5,FALSE)</f>
        <v>0018e000003CbBk</v>
      </c>
      <c r="Q110" s="355"/>
      <c r="R110" s="355"/>
      <c r="S110" s="203"/>
      <c r="T110" s="332">
        <f>IFERROR(VLOOKUP($P110,'Model Output-LoanNameUpdate'!$A:$K,2,FALSE),CL110)</f>
        <v>1.992E-2</v>
      </c>
      <c r="U110" s="332">
        <f>1-(1-IFERROR(VLOOKUP($P110,'Model Output-LoanNameUpdate'!$A:$K,2,FALSE),CL110))^(1/4)</f>
        <v>5.0176388807849914E-3</v>
      </c>
      <c r="V110" s="332">
        <f>IFERROR(VLOOKUP($P110,'Model Output-LoanNameUpdate'!$A:$K,3,FALSE),CM110)</f>
        <v>1.6220000000000002E-2</v>
      </c>
      <c r="W110" s="332">
        <f>IFERROR(VLOOKUP($P110,'Model Output-LoanNameUpdate'!$A:$K,4,FALSE),CN110)</f>
        <v>1.4385E-2</v>
      </c>
      <c r="X110" s="332">
        <f>IFERROR(VLOOKUP($P110,'Model Output-LoanNameUpdate'!$A:$K,5,FALSE),CO110)</f>
        <v>1.3189999999999999E-2</v>
      </c>
      <c r="Y110" s="332">
        <f>IFERROR(VLOOKUP($P110,'Model Output-LoanNameUpdate'!$A:$K,6,FALSE),CP110)</f>
        <v>1.235E-2</v>
      </c>
      <c r="Z110" s="207">
        <f t="shared" si="53"/>
        <v>0.78908700495327666</v>
      </c>
      <c r="AA110" s="332">
        <f t="shared" si="54"/>
        <v>3.95935363637574E-3</v>
      </c>
      <c r="AB110" s="332">
        <f t="shared" si="55"/>
        <v>1.2798991220342148E-2</v>
      </c>
      <c r="AC110" s="332">
        <f t="shared" si="56"/>
        <v>1.1351016566252885E-2</v>
      </c>
      <c r="AD110" s="332">
        <f t="shared" si="57"/>
        <v>1.0408057595333718E-2</v>
      </c>
      <c r="AE110" s="332">
        <f t="shared" si="58"/>
        <v>9.745224511172967E-3</v>
      </c>
      <c r="AF110" s="332">
        <f>NORMSDIST((_xlfn.NORM.S.INV(AA110)-(SQRT(Baseline!$AF$11)*'MacroPD-Cal'!$R$2))/SQRT(1-Baseline!$AF$11))</f>
        <v>3.2898990106614697E-3</v>
      </c>
      <c r="AG110" s="332">
        <f>NORMSDIST((_xlfn.NORM.S.INV(AA110)-(SQRT(Baseline!$AF$11)*'MacroPD-Cal'!$R$3))/SQRT(1-Baseline!$AF$11))</f>
        <v>4.3533176210630688E-3</v>
      </c>
      <c r="AH110" s="332">
        <f>NORMSDIST((_xlfn.NORM.S.INV(AA110)-(SQRT(Baseline!$AF$11)*'MacroPD-Cal'!$R$4))/SQRT(1-Baseline!$AF$11))</f>
        <v>4.9585290291996138E-3</v>
      </c>
      <c r="AI110" s="332">
        <f>NORMSDIST((_xlfn.NORM.S.INV(AA110)-(SQRT(Baseline!$AF$11)*'MacroPD-Cal'!$R$5))/SQRT(1-Baseline!$AF$11))</f>
        <v>6.4665713993269404E-3</v>
      </c>
      <c r="AJ110" s="332">
        <f>NORMSDIST((_xlfn.NORM.S.INV(AB110)-(SQRT(Baseline!$AF$11)*'MacroPD-Cal'!$R$6))/SQRT(1-Baseline!$AF$11))</f>
        <v>8.6095473398491804E-3</v>
      </c>
      <c r="AK110" s="332">
        <f>NORMSDIST((_xlfn.NORM.S.INV(AC110)-(SQRT(Baseline!$AF$11)*'MacroPD-Cal'!$R$7))/SQRT(1-Baseline!$AF$11))</f>
        <v>4.6479187390004858E-3</v>
      </c>
      <c r="AL110" s="332">
        <f>NORMSDIST((_xlfn.NORM.S.INV(AD110)-(SQRT(Baseline!$AF$11)*'MacroPD-Cal'!$R$8))/SQRT(1-Baseline!$AF$11))</f>
        <v>1.031539129014279E-2</v>
      </c>
      <c r="AM110" s="332">
        <f>NORMSDIST((_xlfn.NORM.S.INV(AE110)-(SQRT(Baseline!$AF$11)*'MacroPD-Cal'!$R$9))/SQRT(1-Baseline!$AF$11))</f>
        <v>1.0174815520285504E-2</v>
      </c>
      <c r="CR110" s="345">
        <f t="shared" si="47"/>
        <v>0.17406873072282908</v>
      </c>
      <c r="CS110" s="345">
        <f t="shared" si="48"/>
        <v>0.40364521991480573</v>
      </c>
      <c r="CT110" s="345">
        <f t="shared" si="49"/>
        <v>0.66399976666534588</v>
      </c>
      <c r="CU110" s="345">
        <f t="shared" si="50"/>
        <v>1</v>
      </c>
    </row>
    <row r="111" spans="1:99" x14ac:dyDescent="0.25">
      <c r="A111" s="466">
        <v>1100000276</v>
      </c>
      <c r="B111" s="470">
        <f>VLOOKUP(A111,'Ref-Data'!A:I,9,FALSE)</f>
        <v>2</v>
      </c>
      <c r="C111" s="445">
        <f>IF(B111="Matured","",VLOOKUP(A111,'Adjustment Factor'!A:C,3,0))</f>
        <v>1.0605674153852402</v>
      </c>
      <c r="D111" s="190">
        <f>VLOOKUP(A111,'Ref-Data'!A:C,2,FALSE)</f>
        <v>3000000</v>
      </c>
      <c r="E111" s="471">
        <f>IFERROR(IF(VLOOKUP(A111,'Updated Ncino PD'!$A:$K,4,0)=0,"",VLOOKUP(A111,'Updated Ncino PD'!$A:$K,4,0)),AF111)</f>
        <v>2.8366842468132019E-2</v>
      </c>
      <c r="F111" s="472">
        <f>IFERROR(IF(VLOOKUP(A111,'Updated Ncino PD'!$A:$K,5,0)=0,"",VLOOKUP(A111,'Updated Ncino PD'!$A:$K,5,0)),1-((1-AG111)*(1-E111)))</f>
        <v>6.2417988886168341E-2</v>
      </c>
      <c r="G111" s="472">
        <f>IFERROR(IF(VLOOKUP(A111,'Updated Ncino PD'!$A:$K,6,0)=0,"",VLOOKUP(A111,'Updated Ncino PD'!$A:$K,6,0)),1-((1-AF111)*(1-AG111)*(1-AH111)))</f>
        <v>9.8647826604583044E-2</v>
      </c>
      <c r="H111" s="472">
        <f>IFERROR(IF(VLOOKUP(A111,'Updated Ncino PD'!$A:$K,7,0)=0,"",VLOOKUP(A111,'Updated Ncino PD'!$A:$K,7,0)),IFERROR(VLOOKUP(A111,'Updated Ncino PD'!A:B,2,FALSE),FLOOR(1-((1-AG111)*(1-AH111)*(1-AI111)*(1-AF111)),$R$11)))</f>
        <v>0.1411</v>
      </c>
      <c r="I111" s="472">
        <f>IFERROR(IF(VLOOKUP(A111,'Updated Ncino PD'!$A:$K,8,0)=0,"",VLOOKUP(A111,'Updated Ncino PD'!$A:$K,8,0)),FLOOR(1-((1-H111)*(1-AJ111)),$R$11))</f>
        <v>0.20270000000000002</v>
      </c>
      <c r="J111" s="472">
        <f>IFERROR(IF(VLOOKUP(A111,'Updated Ncino PD'!$A:$K,9,0)=0,"",VLOOKUP(A111,'Updated Ncino PD'!$A:$K,9,0)),FLOOR(1-((1-H111)*(1-AJ111)*(1-AK111)),$R$11))</f>
        <v>0.23670000000000002</v>
      </c>
      <c r="K111" s="472">
        <f>IFERROR(IF(VLOOKUP(A111,'Updated Ncino PD'!$A:$K,10,0)=0,"",VLOOKUP(A111,'Updated Ncino PD'!$A:$K,10,0)),FLOOR(1-((1-H111)*(1-AJ111)*(1-AK111)*(1-AL111)),$R$11))</f>
        <v>0.29139999999999999</v>
      </c>
      <c r="L111" s="472">
        <f>IFERROR(IF(VLOOKUP(A111,'Updated Ncino PD'!$A:$K,11,0)=0,"",VLOOKUP(A111,'Updated Ncino PD'!$A:$K,11,0)),FLOOR(1-((1-H111)*(1-AJ111)*(1-AK111)*(1-AL111)*(1-AM111)),$R$11))</f>
        <v>0.33979999999999999</v>
      </c>
      <c r="M111" s="224">
        <f>VLOOKUP(A111,'Ref-Data'!$A:$F,6,FALSE)</f>
        <v>0.33401779603011633</v>
      </c>
      <c r="N111" s="191">
        <f t="shared" si="51"/>
        <v>4.9536040084954158E-2</v>
      </c>
      <c r="O111" s="191">
        <f t="shared" si="52"/>
        <v>0.1411</v>
      </c>
      <c r="P111" s="459" t="str">
        <f>VLOOKUP(A111,'Loan Book Summary'!C:G,5,FALSE)</f>
        <v>0014I00001oIXfG</v>
      </c>
      <c r="Q111" s="355"/>
      <c r="R111" s="355"/>
      <c r="S111" s="203"/>
      <c r="T111" s="332">
        <f>IFERROR(VLOOKUP($P111,'Model Output-LoanNameUpdate'!$A:$K,2,FALSE),CL111)</f>
        <v>9.9464999999999998E-2</v>
      </c>
      <c r="U111" s="332">
        <f>1-(1-IFERROR(VLOOKUP($P111,'Model Output-LoanNameUpdate'!$A:$K,2,FALSE),CL111))^(1/4)</f>
        <v>2.5851538051228751E-2</v>
      </c>
      <c r="V111" s="332">
        <f>IFERROR(VLOOKUP($P111,'Model Output-LoanNameUpdate'!$A:$K,3,FALSE),CM111)</f>
        <v>7.621E-2</v>
      </c>
      <c r="W111" s="332">
        <f>IFERROR(VLOOKUP($P111,'Model Output-LoanNameUpdate'!$A:$K,4,FALSE),CN111)</f>
        <v>6.5194999999999989E-2</v>
      </c>
      <c r="X111" s="332">
        <f>IFERROR(VLOOKUP($P111,'Model Output-LoanNameUpdate'!$A:$K,5,FALSE),CO111)</f>
        <v>5.8264999999999997E-2</v>
      </c>
      <c r="Y111" s="332">
        <f>IFERROR(VLOOKUP($P111,'Model Output-LoanNameUpdate'!$A:$K,6,FALSE),CP111)</f>
        <v>5.3459999999999994E-2</v>
      </c>
      <c r="Z111" s="207">
        <f t="shared" si="53"/>
        <v>1.0605674153852402</v>
      </c>
      <c r="AA111" s="332">
        <f t="shared" si="54"/>
        <v>2.7417298894724867E-2</v>
      </c>
      <c r="AB111" s="332">
        <f t="shared" si="55"/>
        <v>8.0825842726509153E-2</v>
      </c>
      <c r="AC111" s="332">
        <f t="shared" si="56"/>
        <v>6.9143692646040728E-2</v>
      </c>
      <c r="AD111" s="332">
        <f t="shared" si="57"/>
        <v>6.179396045742102E-2</v>
      </c>
      <c r="AE111" s="332">
        <f t="shared" si="58"/>
        <v>5.6697934026494937E-2</v>
      </c>
      <c r="AF111" s="332">
        <f>NORMSDIST((_xlfn.NORM.S.INV(AA111)-(SQRT(Baseline!$AF$11)*'MacroPD-Cal'!$R$2))/SQRT(1-Baseline!$AF$11))</f>
        <v>2.8366842468132019E-2</v>
      </c>
      <c r="AG111" s="332">
        <f>NORMSDIST((_xlfn.NORM.S.INV(AA111)-(SQRT(Baseline!$AF$11)*'MacroPD-Cal'!$R$3))/SQRT(1-Baseline!$AF$11))</f>
        <v>3.5045270073463336E-2</v>
      </c>
      <c r="AH111" s="332">
        <f>NORMSDIST((_xlfn.NORM.S.INV(AA111)-(SQRT(Baseline!$AF$11)*'MacroPD-Cal'!$R$4))/SQRT(1-Baseline!$AF$11))</f>
        <v>3.8641779907204306E-2</v>
      </c>
      <c r="AI111" s="332">
        <f>NORMSDIST((_xlfn.NORM.S.INV(AA111)-(SQRT(Baseline!$AF$11)*'MacroPD-Cal'!$R$5))/SQRT(1-Baseline!$AF$11))</f>
        <v>4.7107891715942582E-2</v>
      </c>
      <c r="AJ111" s="332">
        <f>NORMSDIST((_xlfn.NORM.S.INV(AB111)-(SQRT(Baseline!$AF$11)*'MacroPD-Cal'!$R$6))/SQRT(1-Baseline!$AF$11))</f>
        <v>7.1814228487920184E-2</v>
      </c>
      <c r="AK111" s="332">
        <f>NORMSDIST((_xlfn.NORM.S.INV(AC111)-(SQRT(Baseline!$AF$11)*'MacroPD-Cal'!$R$7))/SQRT(1-Baseline!$AF$11))</f>
        <v>4.2561242702723316E-2</v>
      </c>
      <c r="AL111" s="332">
        <f>NORMSDIST((_xlfn.NORM.S.INV(AD111)-(SQRT(Baseline!$AF$11)*'MacroPD-Cal'!$R$8))/SQRT(1-Baseline!$AF$11))</f>
        <v>7.1762807330204501E-2</v>
      </c>
      <c r="AM111" s="332">
        <f>NORMSDIST((_xlfn.NORM.S.INV(AE111)-(SQRT(Baseline!$AF$11)*'MacroPD-Cal'!$R$9))/SQRT(1-Baseline!$AF$11))</f>
        <v>6.8323238032099332E-2</v>
      </c>
      <c r="CR111" s="345">
        <f t="shared" si="47"/>
        <v>0.20104069786060963</v>
      </c>
      <c r="CS111" s="345">
        <f t="shared" si="48"/>
        <v>0.44236703675526817</v>
      </c>
      <c r="CT111" s="345">
        <f t="shared" si="49"/>
        <v>0.69913413610618735</v>
      </c>
      <c r="CU111" s="345">
        <f t="shared" si="50"/>
        <v>1</v>
      </c>
    </row>
    <row r="112" spans="1:99" x14ac:dyDescent="0.25">
      <c r="A112" s="466">
        <v>1300000002</v>
      </c>
      <c r="B112" s="470">
        <f>VLOOKUP(A112,'Ref-Data'!A:I,9,FALSE)</f>
        <v>1</v>
      </c>
      <c r="C112" s="445">
        <f>IF(B112="Matured","",VLOOKUP(A112,'Adjustment Factor'!A:C,3,0))</f>
        <v>4.6399999999999997</v>
      </c>
      <c r="D112" s="190">
        <f>VLOOKUP(A112,'Ref-Data'!A:C,2,FALSE)</f>
        <v>750000</v>
      </c>
      <c r="E112" s="471">
        <f>IFERROR(IF(VLOOKUP(A112,'Updated Ncino PD'!$A:$K,4,0)=0,"",VLOOKUP(A112,'Updated Ncino PD'!$A:$K,4,0)),AF112)</f>
        <v>3.5094030979316384E-3</v>
      </c>
      <c r="F112" s="472">
        <f>IFERROR(IF(VLOOKUP(A112,'Updated Ncino PD'!$A:$K,5,0)=0,"",VLOOKUP(A112,'Updated Ncino PD'!$A:$K,5,0)),1-((1-AG112)*(1-E112)))</f>
        <v>8.1283261609039759E-3</v>
      </c>
      <c r="G112" s="472">
        <f>IFERROR(IF(VLOOKUP(A112,'Updated Ncino PD'!$A:$K,6,0)=0,"",VLOOKUP(A112,'Updated Ncino PD'!$A:$K,6,0)),1-((1-AF112)*(1-AG112)*(1-AH112)))</f>
        <v>1.3360414495021677E-2</v>
      </c>
      <c r="H112" s="472">
        <f>IFERROR(IF(VLOOKUP(A112,'Updated Ncino PD'!$A:$K,7,0)=0,"",VLOOKUP(A112,'Updated Ncino PD'!$A:$K,7,0)),IFERROR(VLOOKUP(A112,'Updated Ncino PD'!A:B,2,FALSE),FLOOR(1-((1-AG112)*(1-AH112)*(1-AI112)*(1-AF112)),$R$11)))</f>
        <v>2.01E-2</v>
      </c>
      <c r="I112" s="472">
        <f>IFERROR(IF(VLOOKUP(A112,'Updated Ncino PD'!$A:$K,8,0)=0,"",VLOOKUP(A112,'Updated Ncino PD'!$A:$K,8,0)),FLOOR(1-((1-H112)*(1-AJ112)),$R$11))</f>
        <v>3.2100000000000004E-2</v>
      </c>
      <c r="J112" s="472">
        <f>IFERROR(IF(VLOOKUP(A112,'Updated Ncino PD'!$A:$K,9,0)=0,"",VLOOKUP(A112,'Updated Ncino PD'!$A:$K,9,0)),FLOOR(1-((1-H112)*(1-AJ112)*(1-AK112)),$R$11))</f>
        <v>4.0100000000000004E-2</v>
      </c>
      <c r="K112" s="472">
        <f>IFERROR(IF(VLOOKUP(A112,'Updated Ncino PD'!$A:$K,10,0)=0,"",VLOOKUP(A112,'Updated Ncino PD'!$A:$K,10,0)),FLOOR(1-((1-H112)*(1-AJ112)*(1-AK112)*(1-AL112)),$R$11))</f>
        <v>5.8500000000000003E-2</v>
      </c>
      <c r="L112" s="472">
        <f>IFERROR(IF(VLOOKUP(A112,'Updated Ncino PD'!$A:$K,11,0)=0,"",VLOOKUP(A112,'Updated Ncino PD'!$A:$K,11,0)),FLOOR(1-((1-H112)*(1-AJ112)*(1-AK112)*(1-AL112)*(1-AM112)),$R$11))</f>
        <v>7.8100000000000003E-2</v>
      </c>
      <c r="M112" s="224">
        <f>VLOOKUP(A112,'Ref-Data'!$A:$F,6,FALSE)</f>
        <v>4.7337440109514031</v>
      </c>
      <c r="N112" s="191">
        <f t="shared" si="51"/>
        <v>2.01E-2</v>
      </c>
      <c r="O112" s="191">
        <f t="shared" si="52"/>
        <v>7.8100000000000003E-2</v>
      </c>
      <c r="P112" s="459" t="str">
        <f>VLOOKUP(A112,'Loan Book Summary'!C:G,5,FALSE)</f>
        <v>0018e000003CQVk</v>
      </c>
      <c r="Q112" s="355"/>
      <c r="R112" s="355"/>
      <c r="S112" s="203"/>
      <c r="T112" s="332">
        <f>IFERROR(VLOOKUP($P112,'Model Output-LoanNameUpdate'!$A:$K,2,FALSE),CL112)</f>
        <v>3.6099999999999999E-3</v>
      </c>
      <c r="U112" s="332">
        <f>1-(1-IFERROR(VLOOKUP($P112,'Model Output-LoanNameUpdate'!$A:$K,2,FALSE),CL112))^(1/4)</f>
        <v>9.0372433859942092E-4</v>
      </c>
      <c r="V112" s="332">
        <f>IFERROR(VLOOKUP($P112,'Model Output-LoanNameUpdate'!$A:$K,3,FALSE),CM112)</f>
        <v>3.7500000000000003E-3</v>
      </c>
      <c r="W112" s="332">
        <f>IFERROR(VLOOKUP($P112,'Model Output-LoanNameUpdate'!$A:$K,4,FALSE),CN112)</f>
        <v>3.9049999999999996E-3</v>
      </c>
      <c r="X112" s="332">
        <f>IFERROR(VLOOKUP($P112,'Model Output-LoanNameUpdate'!$A:$K,5,FALSE),CO112)</f>
        <v>3.9449999999999997E-3</v>
      </c>
      <c r="Y112" s="332">
        <f>IFERROR(VLOOKUP($P112,'Model Output-LoanNameUpdate'!$A:$K,6,FALSE),CP112)</f>
        <v>4.0400000000000002E-3</v>
      </c>
      <c r="Z112" s="207">
        <f t="shared" si="53"/>
        <v>4.6399999999999997</v>
      </c>
      <c r="AA112" s="332">
        <f t="shared" si="54"/>
        <v>4.193280931101313E-3</v>
      </c>
      <c r="AB112" s="332">
        <f t="shared" si="55"/>
        <v>1.7399999999999999E-2</v>
      </c>
      <c r="AC112" s="332">
        <f t="shared" si="56"/>
        <v>1.8119199999999999E-2</v>
      </c>
      <c r="AD112" s="332">
        <f t="shared" si="57"/>
        <v>1.8304799999999996E-2</v>
      </c>
      <c r="AE112" s="332">
        <f t="shared" si="58"/>
        <v>1.8745600000000001E-2</v>
      </c>
      <c r="AF112" s="332">
        <f>NORMSDIST((_xlfn.NORM.S.INV(AA112)-(SQRT(Baseline!$AF$11)*'MacroPD-Cal'!$R$2))/SQRT(1-Baseline!$AF$11))</f>
        <v>3.5094030979316384E-3</v>
      </c>
      <c r="AG112" s="332">
        <f>NORMSDIST((_xlfn.NORM.S.INV(AA112)-(SQRT(Baseline!$AF$11)*'MacroPD-Cal'!$R$3))/SQRT(1-Baseline!$AF$11))</f>
        <v>4.6351898124596261E-3</v>
      </c>
      <c r="AH112" s="332">
        <f>NORMSDIST((_xlfn.NORM.S.INV(AA112)-(SQRT(Baseline!$AF$11)*'MacroPD-Cal'!$R$4))/SQRT(1-Baseline!$AF$11))</f>
        <v>5.2749649698801875E-3</v>
      </c>
      <c r="AI112" s="332">
        <f>NORMSDIST((_xlfn.NORM.S.INV(AA112)-(SQRT(Baseline!$AF$11)*'MacroPD-Cal'!$R$5))/SQRT(1-Baseline!$AF$11))</f>
        <v>6.8667315617946968E-3</v>
      </c>
      <c r="AJ112" s="332">
        <f>NORMSDIST((_xlfn.NORM.S.INV(AB112)-(SQRT(Baseline!$AF$11)*'MacroPD-Cal'!$R$6))/SQRT(1-Baseline!$AF$11))</f>
        <v>1.2296571288257377E-2</v>
      </c>
      <c r="AK112" s="332">
        <f>NORMSDIST((_xlfn.NORM.S.INV(AC112)-(SQRT(Baseline!$AF$11)*'MacroPD-Cal'!$R$7))/SQRT(1-Baseline!$AF$11))</f>
        <v>8.2515146501359864E-3</v>
      </c>
      <c r="AL112" s="332">
        <f>NORMSDIST((_xlfn.NORM.S.INV(AD112)-(SQRT(Baseline!$AF$11)*'MacroPD-Cal'!$R$8))/SQRT(1-Baseline!$AF$11))</f>
        <v>1.9208092126729411E-2</v>
      </c>
      <c r="AM112" s="332">
        <f>NORMSDIST((_xlfn.NORM.S.INV(AE112)-(SQRT(Baseline!$AF$11)*'MacroPD-Cal'!$R$9))/SQRT(1-Baseline!$AF$11))</f>
        <v>2.0798467608629807E-2</v>
      </c>
      <c r="CR112" s="345">
        <f t="shared" si="47"/>
        <v>0.1745971690513253</v>
      </c>
      <c r="CS112" s="345">
        <f t="shared" si="48"/>
        <v>0.4043943363633819</v>
      </c>
      <c r="CT112" s="345">
        <f t="shared" si="49"/>
        <v>0.66469723855829244</v>
      </c>
      <c r="CU112" s="345">
        <f t="shared" si="50"/>
        <v>1</v>
      </c>
    </row>
    <row r="113" spans="1:99" x14ac:dyDescent="0.25">
      <c r="A113" s="466">
        <v>1100000277</v>
      </c>
      <c r="B113" s="470">
        <f>VLOOKUP(A113,'Ref-Data'!A:I,9,FALSE)</f>
        <v>1</v>
      </c>
      <c r="C113" s="445">
        <f>IF(B113="Matured","",VLOOKUP(A113,'Adjustment Factor'!A:C,3,0))</f>
        <v>1.7349010594599608</v>
      </c>
      <c r="D113" s="190">
        <f>VLOOKUP(A113,'Ref-Data'!A:C,2,FALSE)</f>
        <v>14500000</v>
      </c>
      <c r="E113" s="471">
        <f>IFERROR(IF(VLOOKUP(A113,'Updated Ncino PD'!$A:$K,4,0)=0,"",VLOOKUP(A113,'Updated Ncino PD'!$A:$K,4,0)),AF113)</f>
        <v>6.6377967303919349E-3</v>
      </c>
      <c r="F113" s="472">
        <f>IFERROR(IF(VLOOKUP(A113,'Updated Ncino PD'!$A:$K,5,0)=0,"",VLOOKUP(A113,'Updated Ncino PD'!$A:$K,5,0)),1-((1-AG113)*(1-E113)))</f>
        <v>1.5184119062285006E-2</v>
      </c>
      <c r="G113" s="472">
        <f>IFERROR(IF(VLOOKUP(A113,'Updated Ncino PD'!$A:$K,6,0)=0,"",VLOOKUP(A113,'Updated Ncino PD'!$A:$K,6,0)),1-((1-AF113)*(1-AG113)*(1-AH113)))</f>
        <v>2.4740722616892752E-2</v>
      </c>
      <c r="H113" s="472">
        <f>IFERROR(IF(VLOOKUP(A113,'Updated Ncino PD'!$A:$K,7,0)=0,"",VLOOKUP(A113,'Updated Ncino PD'!$A:$K,7,0)),IFERROR(VLOOKUP(A113,'Updated Ncino PD'!A:B,2,FALSE),FLOOR(1-((1-AG113)*(1-AH113)*(1-AI113)*(1-AF113)),$R$11)))</f>
        <v>3.6799999999999999E-2</v>
      </c>
      <c r="I113" s="472">
        <f>IFERROR(IF(VLOOKUP(A113,'Updated Ncino PD'!$A:$K,8,0)=0,"",VLOOKUP(A113,'Updated Ncino PD'!$A:$K,8,0)),FLOOR(1-((1-H113)*(1-AJ113)),$R$11))</f>
        <v>5.4600000000000003E-2</v>
      </c>
      <c r="J113" s="472">
        <f>IFERROR(IF(VLOOKUP(A113,'Updated Ncino PD'!$A:$K,9,0)=0,"",VLOOKUP(A113,'Updated Ncino PD'!$A:$K,9,0)),FLOOR(1-((1-H113)*(1-AJ113)*(1-AK113)),$R$11))</f>
        <v>6.4700000000000008E-2</v>
      </c>
      <c r="K113" s="472">
        <f>IFERROR(IF(VLOOKUP(A113,'Updated Ncino PD'!$A:$K,10,0)=0,"",VLOOKUP(A113,'Updated Ncino PD'!$A:$K,10,0)),FLOOR(1-((1-H113)*(1-AJ113)*(1-AK113)*(1-AL113)),$R$11))</f>
        <v>8.5400000000000004E-2</v>
      </c>
      <c r="L113" s="472">
        <f>IFERROR(IF(VLOOKUP(A113,'Updated Ncino PD'!$A:$K,11,0)=0,"",VLOOKUP(A113,'Updated Ncino PD'!$A:$K,11,0)),FLOOR(1-((1-H113)*(1-AJ113)*(1-AK113)*(1-AL113)*(1-AM113)),$R$11))</f>
        <v>0.10550000000000001</v>
      </c>
      <c r="M113" s="224">
        <f>VLOOKUP(A113,'Ref-Data'!$A:$F,6,FALSE)</f>
        <v>4.8295687885010263</v>
      </c>
      <c r="N113" s="191">
        <f t="shared" si="51"/>
        <v>3.6799999999999999E-2</v>
      </c>
      <c r="O113" s="191">
        <f t="shared" si="52"/>
        <v>0.10550000000000001</v>
      </c>
      <c r="P113" s="459" t="str">
        <f>VLOOKUP(A113,'Loan Book Summary'!C:G,5,FALSE)</f>
        <v>0018e000003Cg7J</v>
      </c>
      <c r="Q113" s="355"/>
      <c r="R113" s="355"/>
      <c r="S113" s="203"/>
      <c r="T113" s="332">
        <f>IFERROR(VLOOKUP($P113,'Model Output-LoanNameUpdate'!$A:$K,2,FALSE),CL113)</f>
        <v>1.6955000000000001E-2</v>
      </c>
      <c r="U113" s="332">
        <f>1-(1-IFERROR(VLOOKUP($P113,'Model Output-LoanNameUpdate'!$A:$K,2,FALSE),CL113))^(1/4)</f>
        <v>4.2659702011660361E-3</v>
      </c>
      <c r="V113" s="332">
        <f>IFERROR(VLOOKUP($P113,'Model Output-LoanNameUpdate'!$A:$K,3,FALSE),CM113)</f>
        <v>1.4284999999999997E-2</v>
      </c>
      <c r="W113" s="332">
        <f>IFERROR(VLOOKUP($P113,'Model Output-LoanNameUpdate'!$A:$K,4,FALSE),CN113)</f>
        <v>1.294E-2</v>
      </c>
      <c r="X113" s="332">
        <f>IFERROR(VLOOKUP($P113,'Model Output-LoanNameUpdate'!$A:$K,5,FALSE),CO113)</f>
        <v>1.1999999999999999E-2</v>
      </c>
      <c r="Y113" s="332">
        <f>IFERROR(VLOOKUP($P113,'Model Output-LoanNameUpdate'!$A:$K,6,FALSE),CP113)</f>
        <v>1.1355000000000001E-2</v>
      </c>
      <c r="Z113" s="207">
        <f t="shared" si="53"/>
        <v>1.7349010594599608</v>
      </c>
      <c r="AA113" s="332">
        <f t="shared" si="54"/>
        <v>7.401036221627578E-3</v>
      </c>
      <c r="AB113" s="332">
        <f t="shared" si="55"/>
        <v>2.4783061634385536E-2</v>
      </c>
      <c r="AC113" s="332">
        <f t="shared" si="56"/>
        <v>2.2449619709411891E-2</v>
      </c>
      <c r="AD113" s="332">
        <f t="shared" si="57"/>
        <v>2.0818812713519527E-2</v>
      </c>
      <c r="AE113" s="332">
        <f t="shared" si="58"/>
        <v>1.9699801530167857E-2</v>
      </c>
      <c r="AF113" s="332">
        <f>NORMSDIST((_xlfn.NORM.S.INV(AA113)-(SQRT(Baseline!$AF$11)*'MacroPD-Cal'!$R$2))/SQRT(1-Baseline!$AF$11))</f>
        <v>6.6377967303919349E-3</v>
      </c>
      <c r="AG113" s="332">
        <f>NORMSDIST((_xlfn.NORM.S.INV(AA113)-(SQRT(Baseline!$AF$11)*'MacroPD-Cal'!$R$3))/SQRT(1-Baseline!$AF$11))</f>
        <v>8.603430152429016E-3</v>
      </c>
      <c r="AH113" s="332">
        <f>NORMSDIST((_xlfn.NORM.S.INV(AA113)-(SQRT(Baseline!$AF$11)*'MacroPD-Cal'!$R$4))/SQRT(1-Baseline!$AF$11))</f>
        <v>9.7039494788693052E-3</v>
      </c>
      <c r="AI113" s="332">
        <f>NORMSDIST((_xlfn.NORM.S.INV(AA113)-(SQRT(Baseline!$AF$11)*'MacroPD-Cal'!$R$5))/SQRT(1-Baseline!$AF$11))</f>
        <v>1.2400152883128956E-2</v>
      </c>
      <c r="AJ113" s="332">
        <f>NORMSDIST((_xlfn.NORM.S.INV(AB113)-(SQRT(Baseline!$AF$11)*'MacroPD-Cal'!$R$6))/SQRT(1-Baseline!$AF$11))</f>
        <v>1.8515937374059134E-2</v>
      </c>
      <c r="AK113" s="332">
        <f>NORMSDIST((_xlfn.NORM.S.INV(AC113)-(SQRT(Baseline!$AF$11)*'MacroPD-Cal'!$R$7))/SQRT(1-Baseline!$AF$11))</f>
        <v>1.0732484904193304E-2</v>
      </c>
      <c r="AL113" s="332">
        <f>NORMSDIST((_xlfn.NORM.S.INV(AD113)-(SQRT(Baseline!$AF$11)*'MacroPD-Cal'!$R$8))/SQRT(1-Baseline!$AF$11))</f>
        <v>2.2115576044277177E-2</v>
      </c>
      <c r="AM113" s="332">
        <f>NORMSDIST((_xlfn.NORM.S.INV(AE113)-(SQRT(Baseline!$AF$11)*'MacroPD-Cal'!$R$9))/SQRT(1-Baseline!$AF$11))</f>
        <v>2.1951374309101615E-2</v>
      </c>
      <c r="CR113" s="345">
        <f t="shared" si="47"/>
        <v>0.18037491115195475</v>
      </c>
      <c r="CS113" s="345">
        <f t="shared" si="48"/>
        <v>0.41261193104035343</v>
      </c>
      <c r="CT113" s="345">
        <f t="shared" si="49"/>
        <v>0.67230224502425961</v>
      </c>
      <c r="CU113" s="345">
        <f t="shared" si="50"/>
        <v>1</v>
      </c>
    </row>
    <row r="114" spans="1:99" x14ac:dyDescent="0.25">
      <c r="A114" s="466">
        <v>1100000281</v>
      </c>
      <c r="B114" s="470">
        <f>VLOOKUP(A114,'Ref-Data'!A:I,9,FALSE)</f>
        <v>1</v>
      </c>
      <c r="C114" s="445">
        <f>IF(B114="Matured","",VLOOKUP(A114,'Adjustment Factor'!A:C,3,0))</f>
        <v>1.7349010594599608</v>
      </c>
      <c r="D114" s="190">
        <f>VLOOKUP(A114,'Ref-Data'!A:C,2,FALSE)</f>
        <v>25500000</v>
      </c>
      <c r="E114" s="471">
        <f>IFERROR(IF(VLOOKUP(A114,'Updated Ncino PD'!$A:$K,4,0)=0,"",VLOOKUP(A114,'Updated Ncino PD'!$A:$K,4,0)),AF114)</f>
        <v>6.6377967303919349E-3</v>
      </c>
      <c r="F114" s="472">
        <f>IFERROR(IF(VLOOKUP(A114,'Updated Ncino PD'!$A:$K,5,0)=0,"",VLOOKUP(A114,'Updated Ncino PD'!$A:$K,5,0)),1-((1-AG114)*(1-E114)))</f>
        <v>1.5184119062285006E-2</v>
      </c>
      <c r="G114" s="472">
        <f>IFERROR(IF(VLOOKUP(A114,'Updated Ncino PD'!$A:$K,6,0)=0,"",VLOOKUP(A114,'Updated Ncino PD'!$A:$K,6,0)),1-((1-AF114)*(1-AG114)*(1-AH114)))</f>
        <v>2.4740722616892752E-2</v>
      </c>
      <c r="H114" s="472">
        <f>IFERROR(IF(VLOOKUP(A114,'Updated Ncino PD'!$A:$K,7,0)=0,"",VLOOKUP(A114,'Updated Ncino PD'!$A:$K,7,0)),IFERROR(VLOOKUP(A114,'Updated Ncino PD'!A:B,2,FALSE),FLOOR(1-((1-AG114)*(1-AH114)*(1-AI114)*(1-AF114)),$R$11)))</f>
        <v>3.6799999999999999E-2</v>
      </c>
      <c r="I114" s="472">
        <f>IFERROR(IF(VLOOKUP(A114,'Updated Ncino PD'!$A:$K,8,0)=0,"",VLOOKUP(A114,'Updated Ncino PD'!$A:$K,8,0)),FLOOR(1-((1-H114)*(1-AJ114)),$R$11))</f>
        <v>5.4600000000000003E-2</v>
      </c>
      <c r="J114" s="472">
        <f>IFERROR(IF(VLOOKUP(A114,'Updated Ncino PD'!$A:$K,9,0)=0,"",VLOOKUP(A114,'Updated Ncino PD'!$A:$K,9,0)),FLOOR(1-((1-H114)*(1-AJ114)*(1-AK114)),$R$11))</f>
        <v>6.4700000000000008E-2</v>
      </c>
      <c r="K114" s="472">
        <f>IFERROR(IF(VLOOKUP(A114,'Updated Ncino PD'!$A:$K,10,0)=0,"",VLOOKUP(A114,'Updated Ncino PD'!$A:$K,10,0)),FLOOR(1-((1-H114)*(1-AJ114)*(1-AK114)*(1-AL114)),$R$11))</f>
        <v>8.5400000000000004E-2</v>
      </c>
      <c r="L114" s="472">
        <f>IFERROR(IF(VLOOKUP(A114,'Updated Ncino PD'!$A:$K,11,0)=0,"",VLOOKUP(A114,'Updated Ncino PD'!$A:$K,11,0)),FLOOR(1-((1-H114)*(1-AJ114)*(1-AK114)*(1-AL114)*(1-AM114)),$R$11))</f>
        <v>0.10550000000000001</v>
      </c>
      <c r="M114" s="224">
        <f>VLOOKUP(A114,'Ref-Data'!$A:$F,6,FALSE)</f>
        <v>4.8295687885010263</v>
      </c>
      <c r="N114" s="191">
        <f t="shared" si="51"/>
        <v>3.6799999999999999E-2</v>
      </c>
      <c r="O114" s="191">
        <f t="shared" si="52"/>
        <v>0.10550000000000001</v>
      </c>
      <c r="P114" s="459" t="str">
        <f>VLOOKUP(A114,'Loan Book Summary'!C:G,5,FALSE)</f>
        <v>0018e000003Cg7J</v>
      </c>
      <c r="Q114" s="355"/>
      <c r="R114" s="355"/>
      <c r="S114" s="203"/>
      <c r="T114" s="332">
        <f>IFERROR(VLOOKUP($P114,'Model Output-LoanNameUpdate'!$A:$K,2,FALSE),CL114)</f>
        <v>1.6955000000000001E-2</v>
      </c>
      <c r="U114" s="332">
        <f>1-(1-IFERROR(VLOOKUP($P114,'Model Output-LoanNameUpdate'!$A:$K,2,FALSE),CL114))^(1/4)</f>
        <v>4.2659702011660361E-3</v>
      </c>
      <c r="V114" s="332">
        <f>IFERROR(VLOOKUP($P114,'Model Output-LoanNameUpdate'!$A:$K,3,FALSE),CM114)</f>
        <v>1.4284999999999997E-2</v>
      </c>
      <c r="W114" s="332">
        <f>IFERROR(VLOOKUP($P114,'Model Output-LoanNameUpdate'!$A:$K,4,FALSE),CN114)</f>
        <v>1.294E-2</v>
      </c>
      <c r="X114" s="332">
        <f>IFERROR(VLOOKUP($P114,'Model Output-LoanNameUpdate'!$A:$K,5,FALSE),CO114)</f>
        <v>1.1999999999999999E-2</v>
      </c>
      <c r="Y114" s="332">
        <f>IFERROR(VLOOKUP($P114,'Model Output-LoanNameUpdate'!$A:$K,6,FALSE),CP114)</f>
        <v>1.1355000000000001E-2</v>
      </c>
      <c r="Z114" s="207">
        <f t="shared" si="53"/>
        <v>1.7349010594599608</v>
      </c>
      <c r="AA114" s="332">
        <f t="shared" si="54"/>
        <v>7.401036221627578E-3</v>
      </c>
      <c r="AB114" s="332">
        <f t="shared" si="55"/>
        <v>2.4783061634385536E-2</v>
      </c>
      <c r="AC114" s="332">
        <f t="shared" si="56"/>
        <v>2.2449619709411891E-2</v>
      </c>
      <c r="AD114" s="332">
        <f t="shared" si="57"/>
        <v>2.0818812713519527E-2</v>
      </c>
      <c r="AE114" s="332">
        <f t="shared" si="58"/>
        <v>1.9699801530167857E-2</v>
      </c>
      <c r="AF114" s="332">
        <f>NORMSDIST((_xlfn.NORM.S.INV(AA114)-(SQRT(Baseline!$AF$11)*'MacroPD-Cal'!$R$2))/SQRT(1-Baseline!$AF$11))</f>
        <v>6.6377967303919349E-3</v>
      </c>
      <c r="AG114" s="332">
        <f>NORMSDIST((_xlfn.NORM.S.INV(AA114)-(SQRT(Baseline!$AF$11)*'MacroPD-Cal'!$R$3))/SQRT(1-Baseline!$AF$11))</f>
        <v>8.603430152429016E-3</v>
      </c>
      <c r="AH114" s="332">
        <f>NORMSDIST((_xlfn.NORM.S.INV(AA114)-(SQRT(Baseline!$AF$11)*'MacroPD-Cal'!$R$4))/SQRT(1-Baseline!$AF$11))</f>
        <v>9.7039494788693052E-3</v>
      </c>
      <c r="AI114" s="332">
        <f>NORMSDIST((_xlfn.NORM.S.INV(AA114)-(SQRT(Baseline!$AF$11)*'MacroPD-Cal'!$R$5))/SQRT(1-Baseline!$AF$11))</f>
        <v>1.2400152883128956E-2</v>
      </c>
      <c r="AJ114" s="332">
        <f>NORMSDIST((_xlfn.NORM.S.INV(AB114)-(SQRT(Baseline!$AF$11)*'MacroPD-Cal'!$R$6))/SQRT(1-Baseline!$AF$11))</f>
        <v>1.8515937374059134E-2</v>
      </c>
      <c r="AK114" s="332">
        <f>NORMSDIST((_xlfn.NORM.S.INV(AC114)-(SQRT(Baseline!$AF$11)*'MacroPD-Cal'!$R$7))/SQRT(1-Baseline!$AF$11))</f>
        <v>1.0732484904193304E-2</v>
      </c>
      <c r="AL114" s="332">
        <f>NORMSDIST((_xlfn.NORM.S.INV(AD114)-(SQRT(Baseline!$AF$11)*'MacroPD-Cal'!$R$8))/SQRT(1-Baseline!$AF$11))</f>
        <v>2.2115576044277177E-2</v>
      </c>
      <c r="AM114" s="332">
        <f>NORMSDIST((_xlfn.NORM.S.INV(AE114)-(SQRT(Baseline!$AF$11)*'MacroPD-Cal'!$R$9))/SQRT(1-Baseline!$AF$11))</f>
        <v>2.1951374309101615E-2</v>
      </c>
      <c r="CR114" s="345">
        <f t="shared" si="47"/>
        <v>0.18037491115195475</v>
      </c>
      <c r="CS114" s="345">
        <f t="shared" si="48"/>
        <v>0.41261193104035343</v>
      </c>
      <c r="CT114" s="345">
        <f t="shared" si="49"/>
        <v>0.67230224502425961</v>
      </c>
      <c r="CU114" s="345">
        <f t="shared" si="50"/>
        <v>1</v>
      </c>
    </row>
    <row r="115" spans="1:99" x14ac:dyDescent="0.25">
      <c r="A115" s="466">
        <v>1100000279</v>
      </c>
      <c r="B115" s="470">
        <f>VLOOKUP(A115,'Ref-Data'!A:I,9,FALSE)</f>
        <v>1</v>
      </c>
      <c r="C115" s="445">
        <f>IF(B115="Matured","",VLOOKUP(A115,'Adjustment Factor'!A:C,3,0))</f>
        <v>1.633900580172102</v>
      </c>
      <c r="D115" s="190">
        <f>VLOOKUP(A115,'Ref-Data'!A:C,2,FALSE)</f>
        <v>15000000</v>
      </c>
      <c r="E115" s="471">
        <f>IFERROR(IF(VLOOKUP(A115,'Updated Ncino PD'!$A:$K,4,0)=0,"",VLOOKUP(A115,'Updated Ncino PD'!$A:$K,4,0)),AF115)</f>
        <v>6.1245559345157019E-2</v>
      </c>
      <c r="F115" s="472">
        <f>IFERROR(IF(VLOOKUP(A115,'Updated Ncino PD'!$A:$K,5,0)=0,"",VLOOKUP(A115,'Updated Ncino PD'!$A:$K,5,0)),1-((1-AG115)*(1-E115)))</f>
        <v>0.13022311947092646</v>
      </c>
      <c r="G115" s="472">
        <f>IFERROR(IF(VLOOKUP(A115,'Updated Ncino PD'!$A:$K,6,0)=0,"",VLOOKUP(A115,'Updated Ncino PD'!$A:$K,6,0)),1-((1-AF115)*(1-AG115)*(1-AH115)))</f>
        <v>0.19972221679444224</v>
      </c>
      <c r="H115" s="472">
        <f>IFERROR(IF(VLOOKUP(A115,'Updated Ncino PD'!$A:$K,7,0)=0,"",VLOOKUP(A115,'Updated Ncino PD'!$A:$K,7,0)),IFERROR(VLOOKUP(A115,'Updated Ncino PD'!A:B,2,FALSE),FLOOR(1-((1-AG115)*(1-AH115)*(1-AI115)*(1-AF115)),$R$11)))</f>
        <v>0.27540000000000003</v>
      </c>
      <c r="I115" s="472">
        <f>IFERROR(IF(VLOOKUP(A115,'Updated Ncino PD'!$A:$K,8,0)=0,"",VLOOKUP(A115,'Updated Ncino PD'!$A:$K,8,0)),FLOOR(1-((1-H115)*(1-AJ115)),$R$11))</f>
        <v>0.4052</v>
      </c>
      <c r="J115" s="472">
        <f>IFERROR(IF(VLOOKUP(A115,'Updated Ncino PD'!$A:$K,9,0)=0,"",VLOOKUP(A115,'Updated Ncino PD'!$A:$K,9,0)),FLOOR(1-((1-H115)*(1-AJ115)*(1-AK115)),$R$11))</f>
        <v>0.47950000000000004</v>
      </c>
      <c r="K115" s="472">
        <f>IFERROR(IF(VLOOKUP(A115,'Updated Ncino PD'!$A:$K,10,0)=0,"",VLOOKUP(A115,'Updated Ncino PD'!$A:$K,10,0)),FLOOR(1-((1-H115)*(1-AJ115)*(1-AK115)*(1-AL115)),$R$11))</f>
        <v>0.57910000000000006</v>
      </c>
      <c r="L115" s="472">
        <f>IFERROR(IF(VLOOKUP(A115,'Updated Ncino PD'!$A:$K,11,0)=0,"",VLOOKUP(A115,'Updated Ncino PD'!$A:$K,11,0)),FLOOR(1-((1-H115)*(1-AJ115)*(1-AK115)*(1-AL115)*(1-AM115)),$R$11))</f>
        <v>0.65820000000000001</v>
      </c>
      <c r="M115" s="224">
        <f>VLOOKUP(A115,'Ref-Data'!$A:$F,6,FALSE)</f>
        <v>4.8323066392881584</v>
      </c>
      <c r="N115" s="191">
        <f t="shared" si="51"/>
        <v>0.27540000000000003</v>
      </c>
      <c r="O115" s="191">
        <f t="shared" si="52"/>
        <v>0.65820000000000001</v>
      </c>
      <c r="P115" s="459" t="str">
        <f>VLOOKUP(A115,'Loan Book Summary'!C:G,5,FALSE)</f>
        <v>0018e000003CaFZ</v>
      </c>
      <c r="Q115" s="355"/>
      <c r="R115" s="355"/>
      <c r="S115" s="203"/>
      <c r="T115" s="332">
        <f>IFERROR(VLOOKUP($P115,'Model Output-LoanNameUpdate'!$A:$K,2,FALSE),CL115)</f>
        <v>0.12919999999999998</v>
      </c>
      <c r="U115" s="332">
        <f>1-(1-IFERROR(VLOOKUP($P115,'Model Output-LoanNameUpdate'!$A:$K,2,FALSE),CL115))^(1/4)</f>
        <v>3.3994486670466006E-2</v>
      </c>
      <c r="V115" s="332">
        <f>IFERROR(VLOOKUP($P115,'Model Output-LoanNameUpdate'!$A:$K,3,FALSE),CM115)</f>
        <v>0.11155999999999999</v>
      </c>
      <c r="W115" s="332">
        <f>IFERROR(VLOOKUP($P115,'Model Output-LoanNameUpdate'!$A:$K,4,FALSE),CN115)</f>
        <v>0.10233499999999998</v>
      </c>
      <c r="X115" s="332">
        <f>IFERROR(VLOOKUP($P115,'Model Output-LoanNameUpdate'!$A:$K,5,FALSE),CO115)</f>
        <v>9.6204999999999985E-2</v>
      </c>
      <c r="Y115" s="332">
        <f>IFERROR(VLOOKUP($P115,'Model Output-LoanNameUpdate'!$A:$K,6,FALSE),CP115)</f>
        <v>9.1724999999999987E-2</v>
      </c>
      <c r="Z115" s="207">
        <f t="shared" si="53"/>
        <v>1.633900580172102</v>
      </c>
      <c r="AA115" s="332">
        <f t="shared" si="54"/>
        <v>5.5543611493527198E-2</v>
      </c>
      <c r="AB115" s="332">
        <f t="shared" si="55"/>
        <v>0.18227794872399969</v>
      </c>
      <c r="AC115" s="332">
        <f t="shared" si="56"/>
        <v>0.16720521587191203</v>
      </c>
      <c r="AD115" s="332">
        <f t="shared" si="57"/>
        <v>0.15718940531545705</v>
      </c>
      <c r="AE115" s="332">
        <f t="shared" si="58"/>
        <v>0.14986953071628603</v>
      </c>
      <c r="AF115" s="332">
        <f>NORMSDIST((_xlfn.NORM.S.INV(AA115)-(SQRT(Baseline!$AF$11)*'MacroPD-Cal'!$R$2))/SQRT(1-Baseline!$AF$11))</f>
        <v>6.1245559345157019E-2</v>
      </c>
      <c r="AG115" s="332">
        <f>NORMSDIST((_xlfn.NORM.S.INV(AA115)-(SQRT(Baseline!$AF$11)*'MacroPD-Cal'!$R$3))/SQRT(1-Baseline!$AF$11))</f>
        <v>7.3477745764539859E-2</v>
      </c>
      <c r="AH115" s="332">
        <f>NORMSDIST((_xlfn.NORM.S.INV(AA115)-(SQRT(Baseline!$AF$11)*'MacroPD-Cal'!$R$4))/SQRT(1-Baseline!$AF$11))</f>
        <v>7.9904512156313418E-2</v>
      </c>
      <c r="AI115" s="332">
        <f>NORMSDIST((_xlfn.NORM.S.INV(AA115)-(SQRT(Baseline!$AF$11)*'MacroPD-Cal'!$R$5))/SQRT(1-Baseline!$AF$11))</f>
        <v>9.4657002967098169E-2</v>
      </c>
      <c r="AJ115" s="332">
        <f>NORMSDIST((_xlfn.NORM.S.INV(AB115)-(SQRT(Baseline!$AF$11)*'MacroPD-Cal'!$R$6))/SQRT(1-Baseline!$AF$11))</f>
        <v>0.17926155059791127</v>
      </c>
      <c r="AK115" s="332">
        <f>NORMSDIST((_xlfn.NORM.S.INV(AC115)-(SQRT(Baseline!$AF$11)*'MacroPD-Cal'!$R$7))/SQRT(1-Baseline!$AF$11))</f>
        <v>0.12489627905152489</v>
      </c>
      <c r="AL115" s="332">
        <f>NORMSDIST((_xlfn.NORM.S.INV(AD115)-(SQRT(Baseline!$AF$11)*'MacroPD-Cal'!$R$8))/SQRT(1-Baseline!$AF$11))</f>
        <v>0.19125193419240988</v>
      </c>
      <c r="AM115" s="332">
        <f>NORMSDIST((_xlfn.NORM.S.INV(AE115)-(SQRT(Baseline!$AF$11)*'MacroPD-Cal'!$R$9))/SQRT(1-Baseline!$AF$11))</f>
        <v>0.18799518622551015</v>
      </c>
      <c r="CR115" s="345">
        <f t="shared" si="47"/>
        <v>0.22238765194319904</v>
      </c>
      <c r="CS115" s="345">
        <f t="shared" si="48"/>
        <v>0.47285083322776489</v>
      </c>
      <c r="CT115" s="345">
        <f t="shared" si="49"/>
        <v>0.72520775887597033</v>
      </c>
      <c r="CU115" s="345">
        <f t="shared" si="50"/>
        <v>1</v>
      </c>
    </row>
    <row r="116" spans="1:99" x14ac:dyDescent="0.25">
      <c r="A116" s="172">
        <v>1100000283</v>
      </c>
      <c r="B116" s="470">
        <f>VLOOKUP(A116,'Ref-Data'!A:I,9,FALSE)</f>
        <v>1</v>
      </c>
      <c r="C116" s="445" t="e">
        <f>IF(B116="Matured","",VLOOKUP(A116,'Adjustment Factor'!A:C,3,0))</f>
        <v>#N/A</v>
      </c>
      <c r="D116" s="190">
        <f>VLOOKUP(A116,'Ref-Data'!A:C,2,FALSE)</f>
        <v>2568335</v>
      </c>
      <c r="E116" s="471">
        <f>IFERROR(IF(VLOOKUP(A116,'Updated Ncino PD'!$A:$K,4,0)=0,"",VLOOKUP(A116,'Updated Ncino PD'!$A:$K,4,0)),AF116)</f>
        <v>2.3975034642778051E-3</v>
      </c>
      <c r="F116" s="472">
        <f>IFERROR(IF(VLOOKUP(A116,'Updated Ncino PD'!$A:$K,5,0)=0,"",VLOOKUP(A116,'Updated Ncino PD'!$A:$K,5,0)),1-((1-AG116)*(1-E116)))</f>
        <v>5.5834193307171204E-3</v>
      </c>
      <c r="G116" s="472">
        <f>IFERROR(IF(VLOOKUP(A116,'Updated Ncino PD'!$A:$K,6,0)=0,"",VLOOKUP(A116,'Updated Ncino PD'!$A:$K,6,0)),1-((1-AF116)*(1-AG116)*(1-AH116)))</f>
        <v>9.209555416014599E-3</v>
      </c>
      <c r="H116" s="472">
        <f>IFERROR(IF(VLOOKUP(A116,'Updated Ncino PD'!$A:$K,7,0)=0,"",VLOOKUP(A116,'Updated Ncino PD'!$A:$K,7,0)),IFERROR(VLOOKUP(A116,'Updated Ncino PD'!A:B,2,FALSE),FLOOR(1-((1-AG116)*(1-AH116)*(1-AI116)*(1-AF116)),$R$11)))</f>
        <v>1.3899999999999999E-2</v>
      </c>
      <c r="I116" s="472" t="str">
        <f>IFERROR(IF(VLOOKUP(A116,'Updated Ncino PD'!$A:$K,8,0)=0,"",VLOOKUP(A116,'Updated Ncino PD'!$A:$K,8,0)),FLOOR(1-((1-H116)*(1-AJ116)),$R$11))</f>
        <v/>
      </c>
      <c r="J116" s="472" t="str">
        <f>IFERROR(IF(VLOOKUP(A116,'Updated Ncino PD'!$A:$K,9,0)=0,"",VLOOKUP(A116,'Updated Ncino PD'!$A:$K,9,0)),FLOOR(1-((1-H116)*(1-AJ116)*(1-AK116)),$R$11))</f>
        <v/>
      </c>
      <c r="K116" s="472" t="str">
        <f>IFERROR(IF(VLOOKUP(A116,'Updated Ncino PD'!$A:$K,10,0)=0,"",VLOOKUP(A116,'Updated Ncino PD'!$A:$K,10,0)),FLOOR(1-((1-H116)*(1-AJ116)*(1-AK116)*(1-AL116)),$R$11))</f>
        <v/>
      </c>
      <c r="L116" s="472" t="str">
        <f>IFERROR(IF(VLOOKUP(A116,'Updated Ncino PD'!$A:$K,11,0)=0,"",VLOOKUP(A116,'Updated Ncino PD'!$A:$K,11,0)),FLOOR(1-((1-H116)*(1-AJ116)*(1-AK116)*(1-AL116)*(1-AM116)),$R$11))</f>
        <v/>
      </c>
      <c r="M116" s="224">
        <f>VLOOKUP(A116,'Ref-Data'!$A:$F,6,FALSE)</f>
        <v>4.9253935660506505</v>
      </c>
      <c r="N116" s="191">
        <f t="shared" ref="N116:N120" si="59">IF(B116=1,IF(M116&gt;=1,H116,1-(1-H116)^M116),IF(M116&gt;=1,O116,1-(1-O116)^M116))</f>
        <v>1.3899999999999999E-2</v>
      </c>
      <c r="O116" s="191" t="str">
        <f t="shared" ref="O116:O120" si="60">IF(M116&lt;=1,H116,IF(M116&lt;=2,I116,IF(M116&lt;=3,J116,IF(M116&lt;=4,K116,L116))))</f>
        <v/>
      </c>
      <c r="P116" s="459" t="str">
        <f>VLOOKUP(A116,'Loan Book Summary'!C:G,5,FALSE)</f>
        <v>0018e000003CYQC</v>
      </c>
      <c r="Q116" s="355"/>
      <c r="R116" s="355"/>
      <c r="S116" s="203"/>
      <c r="T116" s="332">
        <f>IFERROR(VLOOKUP($P116,'Model Output-LoanNameUpdate'!$A:$K,2,FALSE),CL116)</f>
        <v>0</v>
      </c>
      <c r="U116" s="332">
        <f>1-(1-IFERROR(VLOOKUP($P116,'Model Output-LoanNameUpdate'!$A:$K,2,FALSE),CL116))^(1/4)</f>
        <v>0</v>
      </c>
      <c r="V116" s="332">
        <f>IFERROR(VLOOKUP($P116,'Model Output-LoanNameUpdate'!$A:$K,3,FALSE),CM116)</f>
        <v>0</v>
      </c>
      <c r="W116" s="332">
        <f>IFERROR(VLOOKUP($P116,'Model Output-LoanNameUpdate'!$A:$K,4,FALSE),CN116)</f>
        <v>0</v>
      </c>
      <c r="X116" s="332">
        <f>IFERROR(VLOOKUP($P116,'Model Output-LoanNameUpdate'!$A:$K,5,FALSE),CO116)</f>
        <v>0</v>
      </c>
      <c r="Y116" s="332">
        <f>IFERROR(VLOOKUP($P116,'Model Output-LoanNameUpdate'!$A:$K,6,FALSE),CP116)</f>
        <v>0</v>
      </c>
      <c r="Z116" s="207" t="e">
        <f t="shared" ref="Z116:Z120" si="61">C116</f>
        <v>#N/A</v>
      </c>
      <c r="AA116" s="332" t="e">
        <f t="shared" ref="AA116:AA120" si="62">U116*$Z116</f>
        <v>#N/A</v>
      </c>
      <c r="AB116" s="332" t="e">
        <f t="shared" ref="AB116:AB120" si="63">V116*$Z116</f>
        <v>#N/A</v>
      </c>
      <c r="AC116" s="332" t="e">
        <f t="shared" ref="AC116:AC120" si="64">W116*$Z116</f>
        <v>#N/A</v>
      </c>
      <c r="AD116" s="332" t="e">
        <f t="shared" ref="AD116:AD120" si="65">X116*$Z116</f>
        <v>#N/A</v>
      </c>
      <c r="AE116" s="332" t="e">
        <f t="shared" ref="AE116:AE120" si="66">Y116*$Z116</f>
        <v>#N/A</v>
      </c>
      <c r="AF116" s="332" t="e">
        <f>NORMSDIST((_xlfn.NORM.S.INV(AA116)-(SQRT(Baseline!$AF$11)*'MacroPD-Cal'!$R$2))/SQRT(1-Baseline!$AF$11))</f>
        <v>#N/A</v>
      </c>
      <c r="AG116" s="332" t="e">
        <f>NORMSDIST((_xlfn.NORM.S.INV(AA116)-(SQRT(Baseline!$AF$11)*'MacroPD-Cal'!$R$3))/SQRT(1-Baseline!$AF$11))</f>
        <v>#N/A</v>
      </c>
      <c r="AH116" s="332" t="e">
        <f>NORMSDIST((_xlfn.NORM.S.INV(AA116)-(SQRT(Baseline!$AF$11)*'MacroPD-Cal'!$R$4))/SQRT(1-Baseline!$AF$11))</f>
        <v>#N/A</v>
      </c>
      <c r="AI116" s="332" t="e">
        <f>NORMSDIST((_xlfn.NORM.S.INV(AA116)-(SQRT(Baseline!$AF$11)*'MacroPD-Cal'!$R$5))/SQRT(1-Baseline!$AF$11))</f>
        <v>#N/A</v>
      </c>
      <c r="AJ116" s="332" t="e">
        <f>NORMSDIST((_xlfn.NORM.S.INV(AB116)-(SQRT(Baseline!$AF$11)*'MacroPD-Cal'!$R$6))/SQRT(1-Baseline!$AF$11))</f>
        <v>#N/A</v>
      </c>
      <c r="AK116" s="332" t="e">
        <f>NORMSDIST((_xlfn.NORM.S.INV(AC116)-(SQRT(Baseline!$AF$11)*'MacroPD-Cal'!$R$7))/SQRT(1-Baseline!$AF$11))</f>
        <v>#N/A</v>
      </c>
      <c r="AL116" s="332" t="e">
        <f>NORMSDIST((_xlfn.NORM.S.INV(AD116)-(SQRT(Baseline!$AF$11)*'MacroPD-Cal'!$R$8))/SQRT(1-Baseline!$AF$11))</f>
        <v>#N/A</v>
      </c>
      <c r="AM116" s="332" t="e">
        <f>NORMSDIST((_xlfn.NORM.S.INV(AE116)-(SQRT(Baseline!$AF$11)*'MacroPD-Cal'!$R$9))/SQRT(1-Baseline!$AF$11))</f>
        <v>#N/A</v>
      </c>
      <c r="CR116" s="345"/>
      <c r="CS116" s="345"/>
      <c r="CT116" s="345"/>
      <c r="CU116" s="345"/>
    </row>
    <row r="117" spans="1:99" x14ac:dyDescent="0.25">
      <c r="A117" s="172">
        <v>1100000284</v>
      </c>
      <c r="B117" s="470">
        <f>VLOOKUP(A117,'Ref-Data'!A:I,9,FALSE)</f>
        <v>1</v>
      </c>
      <c r="C117" s="445" t="e">
        <f>IF(B117="Matured","",VLOOKUP(A117,'Adjustment Factor'!A:C,3,0))</f>
        <v>#N/A</v>
      </c>
      <c r="D117" s="190">
        <f>VLOOKUP(A117,'Ref-Data'!A:C,2,FALSE)</f>
        <v>1015000</v>
      </c>
      <c r="E117" s="471">
        <f>IFERROR(IF(VLOOKUP(A117,'Updated Ncino PD'!$A:$K,4,0)=0,"",VLOOKUP(A117,'Updated Ncino PD'!$A:$K,4,0)),AF117)</f>
        <v>8.6241131808554141E-4</v>
      </c>
      <c r="F117" s="472">
        <f>IFERROR(IF(VLOOKUP(A117,'Updated Ncino PD'!$A:$K,5,0)=0,"",VLOOKUP(A117,'Updated Ncino PD'!$A:$K,5,0)),1-((1-AG117)*(1-E117)))</f>
        <v>2.0084242196824176E-3</v>
      </c>
      <c r="G117" s="472">
        <f>IFERROR(IF(VLOOKUP(A117,'Updated Ncino PD'!$A:$K,6,0)=0,"",VLOOKUP(A117,'Updated Ncino PD'!$A:$K,6,0)),1-((1-AF117)*(1-AG117)*(1-AH117)))</f>
        <v>3.3127897179908634E-3</v>
      </c>
      <c r="H117" s="472">
        <f>IFERROR(IF(VLOOKUP(A117,'Updated Ncino PD'!$A:$K,7,0)=0,"",VLOOKUP(A117,'Updated Ncino PD'!$A:$K,7,0)),IFERROR(VLOOKUP(A117,'Updated Ncino PD'!A:B,2,FALSE),FLOOR(1-((1-AG117)*(1-AH117)*(1-AI117)*(1-AF117)),$R$11)))</f>
        <v>5.0000000000000001E-3</v>
      </c>
      <c r="I117" s="472" t="str">
        <f>IFERROR(IF(VLOOKUP(A117,'Updated Ncino PD'!$A:$K,8,0)=0,"",VLOOKUP(A117,'Updated Ncino PD'!$A:$K,8,0)),FLOOR(1-((1-H117)*(1-AJ117)),$R$11))</f>
        <v/>
      </c>
      <c r="J117" s="472" t="str">
        <f>IFERROR(IF(VLOOKUP(A117,'Updated Ncino PD'!$A:$K,9,0)=0,"",VLOOKUP(A117,'Updated Ncino PD'!$A:$K,9,0)),FLOOR(1-((1-H117)*(1-AJ117)*(1-AK117)),$R$11))</f>
        <v/>
      </c>
      <c r="K117" s="472" t="str">
        <f>IFERROR(IF(VLOOKUP(A117,'Updated Ncino PD'!$A:$K,10,0)=0,"",VLOOKUP(A117,'Updated Ncino PD'!$A:$K,10,0)),FLOOR(1-((1-H117)*(1-AJ117)*(1-AK117)*(1-AL117)),$R$11))</f>
        <v/>
      </c>
      <c r="L117" s="472" t="str">
        <f>IFERROR(IF(VLOOKUP(A117,'Updated Ncino PD'!$A:$K,11,0)=0,"",VLOOKUP(A117,'Updated Ncino PD'!$A:$K,11,0)),FLOOR(1-((1-H117)*(1-AJ117)*(1-AK117)*(1-AL117)*(1-AM117)),$R$11))</f>
        <v/>
      </c>
      <c r="M117" s="224">
        <f>VLOOKUP(A117,'Ref-Data'!$A:$F,6,FALSE)</f>
        <v>4.9500342231348391</v>
      </c>
      <c r="N117" s="191">
        <f t="shared" si="59"/>
        <v>5.0000000000000001E-3</v>
      </c>
      <c r="O117" s="191" t="str">
        <f t="shared" si="60"/>
        <v/>
      </c>
      <c r="P117" s="459" t="str">
        <f>VLOOKUP(A117,'Loan Book Summary'!C:G,5,FALSE)</f>
        <v>0018e000003CRe4</v>
      </c>
      <c r="Q117" s="355"/>
      <c r="R117" s="355"/>
      <c r="S117" s="203"/>
      <c r="T117" s="332">
        <f>IFERROR(VLOOKUP($P117,'Model Output-LoanNameUpdate'!$A:$K,2,FALSE),CL117)</f>
        <v>0</v>
      </c>
      <c r="U117" s="332">
        <f>1-(1-IFERROR(VLOOKUP($P117,'Model Output-LoanNameUpdate'!$A:$K,2,FALSE),CL117))^(1/4)</f>
        <v>0</v>
      </c>
      <c r="V117" s="332">
        <f>IFERROR(VLOOKUP($P117,'Model Output-LoanNameUpdate'!$A:$K,3,FALSE),CM117)</f>
        <v>0</v>
      </c>
      <c r="W117" s="332">
        <f>IFERROR(VLOOKUP($P117,'Model Output-LoanNameUpdate'!$A:$K,4,FALSE),CN117)</f>
        <v>0</v>
      </c>
      <c r="X117" s="332">
        <f>IFERROR(VLOOKUP($P117,'Model Output-LoanNameUpdate'!$A:$K,5,FALSE),CO117)</f>
        <v>0</v>
      </c>
      <c r="Y117" s="332">
        <f>IFERROR(VLOOKUP($P117,'Model Output-LoanNameUpdate'!$A:$K,6,FALSE),CP117)</f>
        <v>0</v>
      </c>
      <c r="Z117" s="207" t="e">
        <f t="shared" si="61"/>
        <v>#N/A</v>
      </c>
      <c r="AA117" s="332" t="e">
        <f t="shared" si="62"/>
        <v>#N/A</v>
      </c>
      <c r="AB117" s="332" t="e">
        <f t="shared" si="63"/>
        <v>#N/A</v>
      </c>
      <c r="AC117" s="332" t="e">
        <f t="shared" si="64"/>
        <v>#N/A</v>
      </c>
      <c r="AD117" s="332" t="e">
        <f t="shared" si="65"/>
        <v>#N/A</v>
      </c>
      <c r="AE117" s="332" t="e">
        <f t="shared" si="66"/>
        <v>#N/A</v>
      </c>
      <c r="AF117" s="332" t="e">
        <f>NORMSDIST((_xlfn.NORM.S.INV(AA117)-(SQRT(Baseline!$AF$11)*'MacroPD-Cal'!$R$2))/SQRT(1-Baseline!$AF$11))</f>
        <v>#N/A</v>
      </c>
      <c r="AG117" s="332" t="e">
        <f>NORMSDIST((_xlfn.NORM.S.INV(AA117)-(SQRT(Baseline!$AF$11)*'MacroPD-Cal'!$R$3))/SQRT(1-Baseline!$AF$11))</f>
        <v>#N/A</v>
      </c>
      <c r="AH117" s="332" t="e">
        <f>NORMSDIST((_xlfn.NORM.S.INV(AA117)-(SQRT(Baseline!$AF$11)*'MacroPD-Cal'!$R$4))/SQRT(1-Baseline!$AF$11))</f>
        <v>#N/A</v>
      </c>
      <c r="AI117" s="332" t="e">
        <f>NORMSDIST((_xlfn.NORM.S.INV(AA117)-(SQRT(Baseline!$AF$11)*'MacroPD-Cal'!$R$5))/SQRT(1-Baseline!$AF$11))</f>
        <v>#N/A</v>
      </c>
      <c r="AJ117" s="332" t="e">
        <f>NORMSDIST((_xlfn.NORM.S.INV(AB117)-(SQRT(Baseline!$AF$11)*'MacroPD-Cal'!$R$6))/SQRT(1-Baseline!$AF$11))</f>
        <v>#N/A</v>
      </c>
      <c r="AK117" s="332" t="e">
        <f>NORMSDIST((_xlfn.NORM.S.INV(AC117)-(SQRT(Baseline!$AF$11)*'MacroPD-Cal'!$R$7))/SQRT(1-Baseline!$AF$11))</f>
        <v>#N/A</v>
      </c>
      <c r="AL117" s="332" t="e">
        <f>NORMSDIST((_xlfn.NORM.S.INV(AD117)-(SQRT(Baseline!$AF$11)*'MacroPD-Cal'!$R$8))/SQRT(1-Baseline!$AF$11))</f>
        <v>#N/A</v>
      </c>
      <c r="AM117" s="332" t="e">
        <f>NORMSDIST((_xlfn.NORM.S.INV(AE117)-(SQRT(Baseline!$AF$11)*'MacroPD-Cal'!$R$9))/SQRT(1-Baseline!$AF$11))</f>
        <v>#N/A</v>
      </c>
      <c r="CR117" s="345"/>
      <c r="CS117" s="345"/>
      <c r="CT117" s="345"/>
      <c r="CU117" s="345"/>
    </row>
    <row r="118" spans="1:99" x14ac:dyDescent="0.25">
      <c r="A118" s="172">
        <v>1300000003</v>
      </c>
      <c r="B118" s="470">
        <f>VLOOKUP(A118,'Ref-Data'!A:I,9,FALSE)</f>
        <v>1</v>
      </c>
      <c r="C118" s="445" t="e">
        <f>IF(B118="Matured","",VLOOKUP(A118,'Adjustment Factor'!A:C,3,0))</f>
        <v>#N/A</v>
      </c>
      <c r="D118" s="190">
        <f>VLOOKUP(A118,'Ref-Data'!A:C,2,FALSE)</f>
        <v>235000</v>
      </c>
      <c r="E118" s="471">
        <f>IFERROR(IF(VLOOKUP(A118,'Updated Ncino PD'!$A:$K,4,0)=0,"",VLOOKUP(A118,'Updated Ncino PD'!$A:$K,4,0)),AF118)</f>
        <v>8.6241131808554141E-4</v>
      </c>
      <c r="F118" s="472">
        <f>IFERROR(IF(VLOOKUP(A118,'Updated Ncino PD'!$A:$K,5,0)=0,"",VLOOKUP(A118,'Updated Ncino PD'!$A:$K,5,0)),1-((1-AG118)*(1-E118)))</f>
        <v>2.0084242196824176E-3</v>
      </c>
      <c r="G118" s="472">
        <f>IFERROR(IF(VLOOKUP(A118,'Updated Ncino PD'!$A:$K,6,0)=0,"",VLOOKUP(A118,'Updated Ncino PD'!$A:$K,6,0)),1-((1-AF118)*(1-AG118)*(1-AH118)))</f>
        <v>3.3127897179908634E-3</v>
      </c>
      <c r="H118" s="472">
        <f>IFERROR(IF(VLOOKUP(A118,'Updated Ncino PD'!$A:$K,7,0)=0,"",VLOOKUP(A118,'Updated Ncino PD'!$A:$K,7,0)),IFERROR(VLOOKUP(A118,'Updated Ncino PD'!A:B,2,FALSE),FLOOR(1-((1-AG118)*(1-AH118)*(1-AI118)*(1-AF118)),$R$11)))</f>
        <v>5.0000000000000001E-3</v>
      </c>
      <c r="I118" s="472" t="str">
        <f>IFERROR(IF(VLOOKUP(A118,'Updated Ncino PD'!$A:$K,8,0)=0,"",VLOOKUP(A118,'Updated Ncino PD'!$A:$K,8,0)),FLOOR(1-((1-H118)*(1-AJ118)),$R$11))</f>
        <v/>
      </c>
      <c r="J118" s="472" t="str">
        <f>IFERROR(IF(VLOOKUP(A118,'Updated Ncino PD'!$A:$K,9,0)=0,"",VLOOKUP(A118,'Updated Ncino PD'!$A:$K,9,0)),FLOOR(1-((1-H118)*(1-AJ118)*(1-AK118)),$R$11))</f>
        <v/>
      </c>
      <c r="K118" s="472" t="str">
        <f>IFERROR(IF(VLOOKUP(A118,'Updated Ncino PD'!$A:$K,10,0)=0,"",VLOOKUP(A118,'Updated Ncino PD'!$A:$K,10,0)),FLOOR(1-((1-H118)*(1-AJ118)*(1-AK118)*(1-AL118)),$R$11))</f>
        <v/>
      </c>
      <c r="L118" s="472" t="str">
        <f>IFERROR(IF(VLOOKUP(A118,'Updated Ncino PD'!$A:$K,11,0)=0,"",VLOOKUP(A118,'Updated Ncino PD'!$A:$K,11,0)),FLOOR(1-((1-H118)*(1-AJ118)*(1-AK118)*(1-AL118)*(1-AM118)),$R$11))</f>
        <v/>
      </c>
      <c r="M118" s="224">
        <f>VLOOKUP(A118,'Ref-Data'!$A:$F,6,FALSE)</f>
        <v>4.9500342231348391</v>
      </c>
      <c r="N118" s="191">
        <f t="shared" si="59"/>
        <v>5.0000000000000001E-3</v>
      </c>
      <c r="O118" s="191" t="str">
        <f t="shared" si="60"/>
        <v/>
      </c>
      <c r="P118" s="459" t="str">
        <f>VLOOKUP(A118,'Loan Book Summary'!C:G,5,FALSE)</f>
        <v>0018e000003CRe4</v>
      </c>
      <c r="Q118" s="355"/>
      <c r="R118" s="355"/>
      <c r="S118" s="203"/>
      <c r="T118" s="332">
        <f>IFERROR(VLOOKUP($P118,'Model Output-LoanNameUpdate'!$A:$K,2,FALSE),CL118)</f>
        <v>0</v>
      </c>
      <c r="U118" s="332">
        <f>1-(1-IFERROR(VLOOKUP($P118,'Model Output-LoanNameUpdate'!$A:$K,2,FALSE),CL118))^(1/4)</f>
        <v>0</v>
      </c>
      <c r="V118" s="332">
        <f>IFERROR(VLOOKUP($P118,'Model Output-LoanNameUpdate'!$A:$K,3,FALSE),CM118)</f>
        <v>0</v>
      </c>
      <c r="W118" s="332">
        <f>IFERROR(VLOOKUP($P118,'Model Output-LoanNameUpdate'!$A:$K,4,FALSE),CN118)</f>
        <v>0</v>
      </c>
      <c r="X118" s="332">
        <f>IFERROR(VLOOKUP($P118,'Model Output-LoanNameUpdate'!$A:$K,5,FALSE),CO118)</f>
        <v>0</v>
      </c>
      <c r="Y118" s="332">
        <f>IFERROR(VLOOKUP($P118,'Model Output-LoanNameUpdate'!$A:$K,6,FALSE),CP118)</f>
        <v>0</v>
      </c>
      <c r="Z118" s="207" t="e">
        <f t="shared" si="61"/>
        <v>#N/A</v>
      </c>
      <c r="AA118" s="332" t="e">
        <f t="shared" si="62"/>
        <v>#N/A</v>
      </c>
      <c r="AB118" s="332" t="e">
        <f t="shared" si="63"/>
        <v>#N/A</v>
      </c>
      <c r="AC118" s="332" t="e">
        <f t="shared" si="64"/>
        <v>#N/A</v>
      </c>
      <c r="AD118" s="332" t="e">
        <f t="shared" si="65"/>
        <v>#N/A</v>
      </c>
      <c r="AE118" s="332" t="e">
        <f t="shared" si="66"/>
        <v>#N/A</v>
      </c>
      <c r="AF118" s="332" t="e">
        <f>NORMSDIST((_xlfn.NORM.S.INV(AA118)-(SQRT(Baseline!$AF$11)*'MacroPD-Cal'!$R$2))/SQRT(1-Baseline!$AF$11))</f>
        <v>#N/A</v>
      </c>
      <c r="AG118" s="332" t="e">
        <f>NORMSDIST((_xlfn.NORM.S.INV(AA118)-(SQRT(Baseline!$AF$11)*'MacroPD-Cal'!$R$3))/SQRT(1-Baseline!$AF$11))</f>
        <v>#N/A</v>
      </c>
      <c r="AH118" s="332" t="e">
        <f>NORMSDIST((_xlfn.NORM.S.INV(AA118)-(SQRT(Baseline!$AF$11)*'MacroPD-Cal'!$R$4))/SQRT(1-Baseline!$AF$11))</f>
        <v>#N/A</v>
      </c>
      <c r="AI118" s="332" t="e">
        <f>NORMSDIST((_xlfn.NORM.S.INV(AA118)-(SQRT(Baseline!$AF$11)*'MacroPD-Cal'!$R$5))/SQRT(1-Baseline!$AF$11))</f>
        <v>#N/A</v>
      </c>
      <c r="AJ118" s="332" t="e">
        <f>NORMSDIST((_xlfn.NORM.S.INV(AB118)-(SQRT(Baseline!$AF$11)*'MacroPD-Cal'!$R$6))/SQRT(1-Baseline!$AF$11))</f>
        <v>#N/A</v>
      </c>
      <c r="AK118" s="332" t="e">
        <f>NORMSDIST((_xlfn.NORM.S.INV(AC118)-(SQRT(Baseline!$AF$11)*'MacroPD-Cal'!$R$7))/SQRT(1-Baseline!$AF$11))</f>
        <v>#N/A</v>
      </c>
      <c r="AL118" s="332" t="e">
        <f>NORMSDIST((_xlfn.NORM.S.INV(AD118)-(SQRT(Baseline!$AF$11)*'MacroPD-Cal'!$R$8))/SQRT(1-Baseline!$AF$11))</f>
        <v>#N/A</v>
      </c>
      <c r="AM118" s="332" t="e">
        <f>NORMSDIST((_xlfn.NORM.S.INV(AE118)-(SQRT(Baseline!$AF$11)*'MacroPD-Cal'!$R$9))/SQRT(1-Baseline!$AF$11))</f>
        <v>#N/A</v>
      </c>
      <c r="CR118" s="345"/>
      <c r="CS118" s="345"/>
      <c r="CT118" s="345"/>
      <c r="CU118" s="345"/>
    </row>
    <row r="119" spans="1:99" x14ac:dyDescent="0.25">
      <c r="A119" s="172">
        <v>1100000289</v>
      </c>
      <c r="B119" s="470">
        <f>VLOOKUP(A119,'Ref-Data'!A:I,9,FALSE)</f>
        <v>1</v>
      </c>
      <c r="C119" s="445" t="e">
        <f>IF(B119="Matured","",VLOOKUP(A119,'Adjustment Factor'!A:C,3,0))</f>
        <v>#N/A</v>
      </c>
      <c r="D119" s="190">
        <f>VLOOKUP(A119,'Ref-Data'!A:C,2,FALSE)</f>
        <v>3200000</v>
      </c>
      <c r="E119" s="471">
        <f>IFERROR(IF(VLOOKUP(A119,'Updated Ncino PD'!$A:$K,4,0)=0,"",VLOOKUP(A119,'Updated Ncino PD'!$A:$K,4,0)),AF119)</f>
        <v>6.3645955274712956E-3</v>
      </c>
      <c r="F119" s="472">
        <f>IFERROR(IF(VLOOKUP(A119,'Updated Ncino PD'!$A:$K,5,0)=0,"",VLOOKUP(A119,'Updated Ncino PD'!$A:$K,5,0)),1-((1-AG119)*(1-E119)))</f>
        <v>1.4822170741256243E-2</v>
      </c>
      <c r="G119" s="472">
        <f>IFERROR(IF(VLOOKUP(A119,'Updated Ncino PD'!$A:$K,6,0)=0,"",VLOOKUP(A119,'Updated Ncino PD'!$A:$K,6,0)),1-((1-AF119)*(1-AG119)*(1-AH119)))</f>
        <v>2.4448388118772573E-2</v>
      </c>
      <c r="H119" s="472">
        <f>IFERROR(IF(VLOOKUP(A119,'Updated Ncino PD'!$A:$K,7,0)=0,"",VLOOKUP(A119,'Updated Ncino PD'!$A:$K,7,0)),IFERROR(VLOOKUP(A119,'Updated Ncino PD'!A:B,2,FALSE),FLOOR(1-((1-AG119)*(1-AH119)*(1-AI119)*(1-AF119)),$R$11)))</f>
        <v>3.6900000000000002E-2</v>
      </c>
      <c r="I119" s="472" t="str">
        <f>IFERROR(IF(VLOOKUP(A119,'Updated Ncino PD'!$A:$K,8,0)=0,"",VLOOKUP(A119,'Updated Ncino PD'!$A:$K,8,0)),FLOOR(1-((1-H119)*(1-AJ119)),$R$11))</f>
        <v/>
      </c>
      <c r="J119" s="472" t="str">
        <f>IFERROR(IF(VLOOKUP(A119,'Updated Ncino PD'!$A:$K,9,0)=0,"",VLOOKUP(A119,'Updated Ncino PD'!$A:$K,9,0)),FLOOR(1-((1-H119)*(1-AJ119)*(1-AK119)),$R$11))</f>
        <v/>
      </c>
      <c r="K119" s="472" t="str">
        <f>IFERROR(IF(VLOOKUP(A119,'Updated Ncino PD'!$A:$K,10,0)=0,"",VLOOKUP(A119,'Updated Ncino PD'!$A:$K,10,0)),FLOOR(1-((1-H119)*(1-AJ119)*(1-AK119)*(1-AL119)),$R$11))</f>
        <v/>
      </c>
      <c r="L119" s="472" t="str">
        <f>IFERROR(IF(VLOOKUP(A119,'Updated Ncino PD'!$A:$K,11,0)=0,"",VLOOKUP(A119,'Updated Ncino PD'!$A:$K,11,0)),FLOOR(1-((1-H119)*(1-AJ119)*(1-AK119)*(1-AL119)*(1-AM119)),$R$11))</f>
        <v/>
      </c>
      <c r="M119" s="224">
        <f>VLOOKUP(A119,'Ref-Data'!$A:$F,6,FALSE)</f>
        <v>3.9890485968514717</v>
      </c>
      <c r="N119" s="191">
        <f t="shared" si="59"/>
        <v>3.6900000000000002E-2</v>
      </c>
      <c r="O119" s="191" t="str">
        <f t="shared" si="60"/>
        <v/>
      </c>
      <c r="P119" s="459" t="str">
        <f>VLOOKUP(A119,'Loan Book Summary'!C:G,5,FALSE)</f>
        <v>0018e000003CZk8</v>
      </c>
      <c r="Q119" s="355"/>
      <c r="R119" s="355"/>
      <c r="S119" s="203"/>
      <c r="T119" s="332">
        <f>IFERROR(VLOOKUP($P119,'Model Output-LoanNameUpdate'!$A:$K,2,FALSE),CL119)</f>
        <v>0</v>
      </c>
      <c r="U119" s="332">
        <f>1-(1-IFERROR(VLOOKUP($P119,'Model Output-LoanNameUpdate'!$A:$K,2,FALSE),CL119))^(1/4)</f>
        <v>0</v>
      </c>
      <c r="V119" s="332">
        <f>IFERROR(VLOOKUP($P119,'Model Output-LoanNameUpdate'!$A:$K,3,FALSE),CM119)</f>
        <v>0</v>
      </c>
      <c r="W119" s="332">
        <f>IFERROR(VLOOKUP($P119,'Model Output-LoanNameUpdate'!$A:$K,4,FALSE),CN119)</f>
        <v>0</v>
      </c>
      <c r="X119" s="332">
        <f>IFERROR(VLOOKUP($P119,'Model Output-LoanNameUpdate'!$A:$K,5,FALSE),CO119)</f>
        <v>0</v>
      </c>
      <c r="Y119" s="332">
        <f>IFERROR(VLOOKUP($P119,'Model Output-LoanNameUpdate'!$A:$K,6,FALSE),CP119)</f>
        <v>0</v>
      </c>
      <c r="Z119" s="207" t="e">
        <f t="shared" si="61"/>
        <v>#N/A</v>
      </c>
      <c r="AA119" s="332" t="e">
        <f t="shared" si="62"/>
        <v>#N/A</v>
      </c>
      <c r="AB119" s="332" t="e">
        <f t="shared" si="63"/>
        <v>#N/A</v>
      </c>
      <c r="AC119" s="332" t="e">
        <f t="shared" si="64"/>
        <v>#N/A</v>
      </c>
      <c r="AD119" s="332" t="e">
        <f t="shared" si="65"/>
        <v>#N/A</v>
      </c>
      <c r="AE119" s="332" t="e">
        <f t="shared" si="66"/>
        <v>#N/A</v>
      </c>
      <c r="AF119" s="332" t="e">
        <f>NORMSDIST((_xlfn.NORM.S.INV(AA119)-(SQRT(Baseline!$AF$11)*'MacroPD-Cal'!$R$2))/SQRT(1-Baseline!$AF$11))</f>
        <v>#N/A</v>
      </c>
      <c r="AG119" s="332" t="e">
        <f>NORMSDIST((_xlfn.NORM.S.INV(AA119)-(SQRT(Baseline!$AF$11)*'MacroPD-Cal'!$R$3))/SQRT(1-Baseline!$AF$11))</f>
        <v>#N/A</v>
      </c>
      <c r="AH119" s="332" t="e">
        <f>NORMSDIST((_xlfn.NORM.S.INV(AA119)-(SQRT(Baseline!$AF$11)*'MacroPD-Cal'!$R$4))/SQRT(1-Baseline!$AF$11))</f>
        <v>#N/A</v>
      </c>
      <c r="AI119" s="332" t="e">
        <f>NORMSDIST((_xlfn.NORM.S.INV(AA119)-(SQRT(Baseline!$AF$11)*'MacroPD-Cal'!$R$5))/SQRT(1-Baseline!$AF$11))</f>
        <v>#N/A</v>
      </c>
      <c r="AJ119" s="332" t="e">
        <f>NORMSDIST((_xlfn.NORM.S.INV(AB119)-(SQRT(Baseline!$AF$11)*'MacroPD-Cal'!$R$6))/SQRT(1-Baseline!$AF$11))</f>
        <v>#N/A</v>
      </c>
      <c r="AK119" s="332" t="e">
        <f>NORMSDIST((_xlfn.NORM.S.INV(AC119)-(SQRT(Baseline!$AF$11)*'MacroPD-Cal'!$R$7))/SQRT(1-Baseline!$AF$11))</f>
        <v>#N/A</v>
      </c>
      <c r="AL119" s="332" t="e">
        <f>NORMSDIST((_xlfn.NORM.S.INV(AD119)-(SQRT(Baseline!$AF$11)*'MacroPD-Cal'!$R$8))/SQRT(1-Baseline!$AF$11))</f>
        <v>#N/A</v>
      </c>
      <c r="AM119" s="332" t="e">
        <f>NORMSDIST((_xlfn.NORM.S.INV(AE119)-(SQRT(Baseline!$AF$11)*'MacroPD-Cal'!$R$9))/SQRT(1-Baseline!$AF$11))</f>
        <v>#N/A</v>
      </c>
      <c r="CR119" s="345"/>
      <c r="CS119" s="345"/>
      <c r="CT119" s="345"/>
      <c r="CU119" s="345"/>
    </row>
    <row r="120" spans="1:99" x14ac:dyDescent="0.25">
      <c r="A120" s="172">
        <v>1300000004</v>
      </c>
      <c r="B120" s="470">
        <f>VLOOKUP(A120,'Ref-Data'!A:I,9,FALSE)</f>
        <v>1</v>
      </c>
      <c r="C120" s="445" t="e">
        <f>IF(B120="Matured","",VLOOKUP(A120,'Adjustment Factor'!A:C,3,0))</f>
        <v>#N/A</v>
      </c>
      <c r="D120" s="190">
        <f>VLOOKUP(A120,'Ref-Data'!A:C,2,FALSE)</f>
        <v>1000000</v>
      </c>
      <c r="E120" s="471">
        <f>IFERROR(IF(VLOOKUP(A120,'Updated Ncino PD'!$A:$K,4,0)=0,"",VLOOKUP(A120,'Updated Ncino PD'!$A:$K,4,0)),AF120)</f>
        <v>2.5182410488097809E-3</v>
      </c>
      <c r="F120" s="472">
        <f>IFERROR(IF(VLOOKUP(A120,'Updated Ncino PD'!$A:$K,5,0)=0,"",VLOOKUP(A120,'Updated Ncino PD'!$A:$K,5,0)),1-((1-AG120)*(1-E120)))</f>
        <v>5.8645987214726598E-3</v>
      </c>
      <c r="G120" s="472">
        <f>IFERROR(IF(VLOOKUP(A120,'Updated Ncino PD'!$A:$K,6,0)=0,"",VLOOKUP(A120,'Updated Ncino PD'!$A:$K,6,0)),1-((1-AF120)*(1-AG120)*(1-AH120)))</f>
        <v>9.6733459765333211E-3</v>
      </c>
      <c r="H120" s="472">
        <f>IFERROR(IF(VLOOKUP(A120,'Updated Ncino PD'!$A:$K,7,0)=0,"",VLOOKUP(A120,'Updated Ncino PD'!$A:$K,7,0)),IFERROR(VLOOKUP(A120,'Updated Ncino PD'!A:B,2,FALSE),FLOOR(1-((1-AG120)*(1-AH120)*(1-AI120)*(1-AF120)),$R$11)))</f>
        <v>1.46E-2</v>
      </c>
      <c r="I120" s="472" t="str">
        <f>IFERROR(IF(VLOOKUP(A120,'Updated Ncino PD'!$A:$K,8,0)=0,"",VLOOKUP(A120,'Updated Ncino PD'!$A:$K,8,0)),FLOOR(1-((1-H120)*(1-AJ120)),$R$11))</f>
        <v/>
      </c>
      <c r="J120" s="472" t="str">
        <f>IFERROR(IF(VLOOKUP(A120,'Updated Ncino PD'!$A:$K,9,0)=0,"",VLOOKUP(A120,'Updated Ncino PD'!$A:$K,9,0)),FLOOR(1-((1-H120)*(1-AJ120)*(1-AK120)),$R$11))</f>
        <v/>
      </c>
      <c r="K120" s="472" t="str">
        <f>IFERROR(IF(VLOOKUP(A120,'Updated Ncino PD'!$A:$K,10,0)=0,"",VLOOKUP(A120,'Updated Ncino PD'!$A:$K,10,0)),FLOOR(1-((1-H120)*(1-AJ120)*(1-AK120)*(1-AL120)),$R$11))</f>
        <v/>
      </c>
      <c r="L120" s="472" t="str">
        <f>IFERROR(IF(VLOOKUP(A120,'Updated Ncino PD'!$A:$K,11,0)=0,"",VLOOKUP(A120,'Updated Ncino PD'!$A:$K,11,0)),FLOOR(1-((1-H120)*(1-AJ120)*(1-AK120)*(1-AL120)*(1-AM120)),$R$11))</f>
        <v/>
      </c>
      <c r="M120" s="224">
        <f>VLOOKUP(A120,'Ref-Data'!$A:$F,6,FALSE)</f>
        <v>3.0061601642710474</v>
      </c>
      <c r="N120" s="191">
        <f t="shared" si="59"/>
        <v>1.46E-2</v>
      </c>
      <c r="O120" s="191" t="str">
        <f t="shared" si="60"/>
        <v/>
      </c>
      <c r="P120" s="459" t="str">
        <f>VLOOKUP(A120,'Loan Book Summary'!C:G,5,FALSE)</f>
        <v>0014I000027uYyB</v>
      </c>
      <c r="Q120" s="355"/>
      <c r="R120" s="355"/>
      <c r="S120" s="203"/>
      <c r="T120" s="332">
        <f>IFERROR(VLOOKUP($P120,'Model Output-LoanNameUpdate'!$A:$K,2,FALSE),CL120)</f>
        <v>1.5685000000000001E-2</v>
      </c>
      <c r="U120" s="332">
        <f>1-(1-IFERROR(VLOOKUP($P120,'Model Output-LoanNameUpdate'!$A:$K,2,FALSE),CL120))^(1/4)</f>
        <v>3.9445276338220259E-3</v>
      </c>
      <c r="V120" s="332">
        <f>IFERROR(VLOOKUP($P120,'Model Output-LoanNameUpdate'!$A:$K,3,FALSE),CM120)</f>
        <v>1.5844999999999998E-2</v>
      </c>
      <c r="W120" s="332">
        <f>IFERROR(VLOOKUP($P120,'Model Output-LoanNameUpdate'!$A:$K,4,FALSE),CN120)</f>
        <v>1.5999999999999997E-2</v>
      </c>
      <c r="X120" s="332">
        <f>IFERROR(VLOOKUP($P120,'Model Output-LoanNameUpdate'!$A:$K,5,FALSE),CO120)</f>
        <v>1.6069999999999997E-2</v>
      </c>
      <c r="Y120" s="332">
        <f>IFERROR(VLOOKUP($P120,'Model Output-LoanNameUpdate'!$A:$K,6,FALSE),CP120)</f>
        <v>1.6115000000000001E-2</v>
      </c>
      <c r="Z120" s="207" t="e">
        <f t="shared" si="61"/>
        <v>#N/A</v>
      </c>
      <c r="AA120" s="332" t="e">
        <f t="shared" si="62"/>
        <v>#N/A</v>
      </c>
      <c r="AB120" s="332" t="e">
        <f t="shared" si="63"/>
        <v>#N/A</v>
      </c>
      <c r="AC120" s="332" t="e">
        <f t="shared" si="64"/>
        <v>#N/A</v>
      </c>
      <c r="AD120" s="332" t="e">
        <f t="shared" si="65"/>
        <v>#N/A</v>
      </c>
      <c r="AE120" s="332" t="e">
        <f t="shared" si="66"/>
        <v>#N/A</v>
      </c>
      <c r="AF120" s="332" t="e">
        <f>NORMSDIST((_xlfn.NORM.S.INV(AA120)-(SQRT(Baseline!$AF$11)*'MacroPD-Cal'!$R$2))/SQRT(1-Baseline!$AF$11))</f>
        <v>#N/A</v>
      </c>
      <c r="AG120" s="332" t="e">
        <f>NORMSDIST((_xlfn.NORM.S.INV(AA120)-(SQRT(Baseline!$AF$11)*'MacroPD-Cal'!$R$3))/SQRT(1-Baseline!$AF$11))</f>
        <v>#N/A</v>
      </c>
      <c r="AH120" s="332" t="e">
        <f>NORMSDIST((_xlfn.NORM.S.INV(AA120)-(SQRT(Baseline!$AF$11)*'MacroPD-Cal'!$R$4))/SQRT(1-Baseline!$AF$11))</f>
        <v>#N/A</v>
      </c>
      <c r="AI120" s="332" t="e">
        <f>NORMSDIST((_xlfn.NORM.S.INV(AA120)-(SQRT(Baseline!$AF$11)*'MacroPD-Cal'!$R$5))/SQRT(1-Baseline!$AF$11))</f>
        <v>#N/A</v>
      </c>
      <c r="AJ120" s="332" t="e">
        <f>NORMSDIST((_xlfn.NORM.S.INV(AB120)-(SQRT(Baseline!$AF$11)*'MacroPD-Cal'!$R$6))/SQRT(1-Baseline!$AF$11))</f>
        <v>#N/A</v>
      </c>
      <c r="AK120" s="332" t="e">
        <f>NORMSDIST((_xlfn.NORM.S.INV(AC120)-(SQRT(Baseline!$AF$11)*'MacroPD-Cal'!$R$7))/SQRT(1-Baseline!$AF$11))</f>
        <v>#N/A</v>
      </c>
      <c r="AL120" s="332" t="e">
        <f>NORMSDIST((_xlfn.NORM.S.INV(AD120)-(SQRT(Baseline!$AF$11)*'MacroPD-Cal'!$R$8))/SQRT(1-Baseline!$AF$11))</f>
        <v>#N/A</v>
      </c>
      <c r="AM120" s="332" t="e">
        <f>NORMSDIST((_xlfn.NORM.S.INV(AE120)-(SQRT(Baseline!$AF$11)*'MacroPD-Cal'!$R$9))/SQRT(1-Baseline!$AF$11))</f>
        <v>#N/A</v>
      </c>
      <c r="CR120" s="345"/>
      <c r="CS120" s="345"/>
      <c r="CT120" s="345"/>
      <c r="CU120" s="345"/>
    </row>
    <row r="125" spans="1:99" x14ac:dyDescent="0.25">
      <c r="A125" s="172"/>
    </row>
    <row r="126" spans="1:99" x14ac:dyDescent="0.25">
      <c r="A126" s="172"/>
    </row>
    <row r="127" spans="1:99" x14ac:dyDescent="0.25">
      <c r="A127" s="172"/>
    </row>
    <row r="128" spans="1:99" x14ac:dyDescent="0.25">
      <c r="A128" s="172"/>
    </row>
    <row r="129" spans="1:1" x14ac:dyDescent="0.25">
      <c r="A129" s="172"/>
    </row>
    <row r="130" spans="1:1" x14ac:dyDescent="0.25">
      <c r="A130" s="172"/>
    </row>
    <row r="131" spans="1:1" x14ac:dyDescent="0.25">
      <c r="A131" s="172"/>
    </row>
    <row r="132" spans="1:1" x14ac:dyDescent="0.25">
      <c r="A132" s="172"/>
    </row>
    <row r="133" spans="1:1" x14ac:dyDescent="0.25">
      <c r="A133" s="172"/>
    </row>
    <row r="134" spans="1:1" x14ac:dyDescent="0.25">
      <c r="A134" s="172"/>
    </row>
    <row r="135" spans="1:1" x14ac:dyDescent="0.25">
      <c r="A135" s="172"/>
    </row>
    <row r="136" spans="1:1" x14ac:dyDescent="0.25">
      <c r="A136" s="172"/>
    </row>
    <row r="137" spans="1:1" x14ac:dyDescent="0.25">
      <c r="A137" s="172"/>
    </row>
    <row r="138" spans="1:1" x14ac:dyDescent="0.25">
      <c r="A138" s="172"/>
    </row>
    <row r="139" spans="1:1" x14ac:dyDescent="0.25">
      <c r="A139" s="172"/>
    </row>
    <row r="140" spans="1:1" x14ac:dyDescent="0.25">
      <c r="A140" s="172"/>
    </row>
    <row r="141" spans="1:1" x14ac:dyDescent="0.25">
      <c r="A141" s="172"/>
    </row>
    <row r="142" spans="1:1" x14ac:dyDescent="0.25">
      <c r="A142" s="172"/>
    </row>
    <row r="143" spans="1:1" x14ac:dyDescent="0.25">
      <c r="A143" s="172"/>
    </row>
    <row r="144" spans="1:1" x14ac:dyDescent="0.25">
      <c r="A144" s="172"/>
    </row>
    <row r="145" spans="1:1" x14ac:dyDescent="0.25">
      <c r="A145" s="172"/>
    </row>
    <row r="146" spans="1:1" x14ac:dyDescent="0.25">
      <c r="A146" s="172"/>
    </row>
    <row r="147" spans="1:1" x14ac:dyDescent="0.25">
      <c r="A147" s="172"/>
    </row>
    <row r="148" spans="1:1" x14ac:dyDescent="0.25">
      <c r="A148" s="172"/>
    </row>
    <row r="149" spans="1:1" x14ac:dyDescent="0.25">
      <c r="A149" s="172"/>
    </row>
    <row r="150" spans="1:1" x14ac:dyDescent="0.25">
      <c r="A150" s="172"/>
    </row>
  </sheetData>
  <phoneticPr fontId="34" type="noConversion"/>
  <pageMargins left="0.7" right="0.7" top="0.75" bottom="0.75" header="0.3" footer="0.3"/>
  <pageSetup paperSize="9" scale="93" orientation="portrait" r:id="rId1"/>
  <rowBreaks count="2" manualBreakCount="2">
    <brk id="49" max="93" man="1"/>
    <brk id="101" max="16383" man="1"/>
  </rowBreaks>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D4BD6-0799-4092-B9A8-12516A4B47E8}">
  <sheetPr codeName="Sheet15"/>
  <dimension ref="A1:D4"/>
  <sheetViews>
    <sheetView workbookViewId="0"/>
  </sheetViews>
  <sheetFormatPr defaultRowHeight="15" x14ac:dyDescent="0.25"/>
  <cols>
    <col min="1" max="1" width="11" bestFit="1" customWidth="1"/>
    <col min="2" max="2" width="15.5703125" bestFit="1" customWidth="1"/>
    <col min="3" max="3" width="31.85546875" bestFit="1" customWidth="1"/>
  </cols>
  <sheetData>
    <row r="1" spans="1:4" x14ac:dyDescent="0.25">
      <c r="A1" s="456" t="s">
        <v>1721</v>
      </c>
      <c r="B1" s="456" t="s">
        <v>2771</v>
      </c>
      <c r="C1" s="456" t="s">
        <v>743</v>
      </c>
      <c r="D1" s="456" t="s">
        <v>174</v>
      </c>
    </row>
    <row r="2" spans="1:4" x14ac:dyDescent="0.25">
      <c r="A2" s="354">
        <v>1100000185</v>
      </c>
      <c r="B2" s="354" t="s">
        <v>1102</v>
      </c>
      <c r="C2" s="457" t="s">
        <v>3180</v>
      </c>
      <c r="D2" s="354">
        <v>2</v>
      </c>
    </row>
    <row r="3" spans="1:4" x14ac:dyDescent="0.25">
      <c r="A3" s="354">
        <v>1200000135</v>
      </c>
      <c r="B3" s="354" t="s">
        <v>1102</v>
      </c>
      <c r="C3" s="354" t="s">
        <v>3694</v>
      </c>
      <c r="D3" s="354">
        <v>2</v>
      </c>
    </row>
    <row r="4" spans="1:4" x14ac:dyDescent="0.25">
      <c r="A4" s="354">
        <v>1100000276</v>
      </c>
      <c r="B4" s="354" t="s">
        <v>1102</v>
      </c>
      <c r="C4" s="354" t="s">
        <v>4339</v>
      </c>
      <c r="D4" s="354">
        <v>2</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E857D0-F6E8-45AA-8542-F8BC25E3E54B}">
  <sheetPr codeName="Sheet16"/>
  <dimension ref="A1:X82"/>
  <sheetViews>
    <sheetView zoomScale="80" zoomScaleNormal="80" workbookViewId="0">
      <pane ySplit="1" topLeftCell="A2" activePane="bottomLeft" state="frozen"/>
      <selection pane="bottomLeft"/>
    </sheetView>
  </sheetViews>
  <sheetFormatPr defaultColWidth="8.7109375" defaultRowHeight="15" x14ac:dyDescent="0.25"/>
  <cols>
    <col min="1" max="1" width="19.28515625" style="368" customWidth="1"/>
    <col min="2" max="2" width="18.42578125" style="368" bestFit="1" customWidth="1"/>
    <col min="3" max="3" width="24.5703125" style="368" bestFit="1" customWidth="1"/>
    <col min="4" max="7" width="6.5703125" style="368" bestFit="1" customWidth="1"/>
    <col min="8" max="11" width="3.140625" style="368" bestFit="1" customWidth="1"/>
    <col min="12" max="12" width="8.7109375" style="368"/>
    <col min="13" max="13" width="13.42578125" style="368" bestFit="1" customWidth="1"/>
    <col min="14" max="14" width="8.7109375" style="368"/>
    <col min="15" max="15" width="4.28515625" style="368" bestFit="1" customWidth="1"/>
    <col min="16" max="16" width="8.5703125" style="368" bestFit="1" customWidth="1"/>
    <col min="17" max="17" width="6.5703125" style="368" bestFit="1" customWidth="1"/>
    <col min="18" max="18" width="4.140625" style="368" bestFit="1" customWidth="1"/>
    <col min="19" max="19" width="27.140625" style="368" bestFit="1" customWidth="1"/>
    <col min="20" max="20" width="8.7109375" style="368"/>
    <col min="21" max="21" width="68" style="368" bestFit="1" customWidth="1"/>
    <col min="22" max="22" width="17.28515625" style="368" bestFit="1" customWidth="1"/>
    <col min="23" max="23" width="8.7109375" style="368"/>
    <col min="24" max="24" width="20.85546875" style="368" bestFit="1" customWidth="1"/>
    <col min="25" max="16384" width="8.7109375" style="368"/>
  </cols>
  <sheetData>
    <row r="1" spans="1:22" customFormat="1" x14ac:dyDescent="0.25">
      <c r="A1" s="246" t="s">
        <v>0</v>
      </c>
      <c r="B1" s="246" t="s">
        <v>1034</v>
      </c>
      <c r="C1" s="475" t="s">
        <v>239</v>
      </c>
      <c r="D1" s="246" t="s">
        <v>1186</v>
      </c>
      <c r="E1" s="246" t="s">
        <v>1187</v>
      </c>
      <c r="F1" s="246" t="s">
        <v>1188</v>
      </c>
      <c r="G1" s="246" t="s">
        <v>1189</v>
      </c>
      <c r="H1" s="246" t="s">
        <v>1190</v>
      </c>
      <c r="I1" s="246" t="s">
        <v>1191</v>
      </c>
      <c r="J1" s="246" t="s">
        <v>1192</v>
      </c>
      <c r="K1" s="246" t="s">
        <v>1193</v>
      </c>
      <c r="M1" s="260" t="s">
        <v>1199</v>
      </c>
      <c r="N1" s="262"/>
      <c r="Q1" s="260" t="s">
        <v>1198</v>
      </c>
      <c r="S1" s="148" t="s">
        <v>1206</v>
      </c>
      <c r="T1" s="148"/>
      <c r="U1" s="246" t="s">
        <v>0</v>
      </c>
      <c r="V1" s="3" t="s">
        <v>1216</v>
      </c>
    </row>
    <row r="2" spans="1:22" customFormat="1" x14ac:dyDescent="0.25">
      <c r="A2" s="547">
        <v>1100000283</v>
      </c>
      <c r="B2" s="273">
        <v>1.3899999999999999E-2</v>
      </c>
      <c r="C2" s="463" t="str">
        <f>INDEX('Loan Book Summary'!B:C,MATCH('Updated Ncino PD'!A2,'Loan Book Summary'!C:C,0),1)</f>
        <v>AFM Wealth Ltd - Business Trading Facility</v>
      </c>
      <c r="D2" s="274">
        <f>IF($B2 = "","",$B2*'MacroPD-Cal'!$CY$2)</f>
        <v>2.3975034642778051E-3</v>
      </c>
      <c r="E2" s="274">
        <f>IF($B2 = "","",$B2*'MacroPD-Cal'!$CY$3)</f>
        <v>5.5834193307171204E-3</v>
      </c>
      <c r="F2" s="274">
        <f>IF($B2 = "","",$B2*'MacroPD-Cal'!$CY$4)</f>
        <v>9.209555416014599E-3</v>
      </c>
      <c r="G2" s="274">
        <f>IF($B2 = "","",$B2*'MacroPD-Cal'!$CY$5)</f>
        <v>1.3899999999999999E-2</v>
      </c>
      <c r="H2" s="354"/>
      <c r="I2" s="354"/>
      <c r="J2" s="354"/>
      <c r="K2" s="354"/>
      <c r="M2" s="68" t="e">
        <f>NORMSDIST((_xlfn.NORM.S.INV(#REF!)*SQRT(1-$S$2))+SQRT($S$2)*$S$4)</f>
        <v>#REF!</v>
      </c>
      <c r="N2" s="68"/>
      <c r="O2" s="261">
        <v>0.4</v>
      </c>
      <c r="P2" t="str">
        <f>'MacroPD-Cal'!Q2</f>
        <v>Shock-1</v>
      </c>
      <c r="Q2" s="88">
        <f>'MacroPD-Cal'!R2</f>
        <v>-0.4591724949434941</v>
      </c>
      <c r="R2" t="s">
        <v>581</v>
      </c>
      <c r="S2" s="384" t="e">
        <f>#REF!</f>
        <v>#REF!</v>
      </c>
      <c r="T2" s="384"/>
      <c r="U2" s="279"/>
      <c r="V2" s="4"/>
    </row>
    <row r="3" spans="1:22" customFormat="1" x14ac:dyDescent="0.25">
      <c r="A3" s="547">
        <v>1100000284</v>
      </c>
      <c r="B3" s="273">
        <v>5.0000000000000001E-3</v>
      </c>
      <c r="C3" s="463" t="str">
        <f>INDEX('Loan Book Summary'!B:C,MATCH('Updated Ncino PD'!A3,'Loan Book Summary'!C:C,0),1)</f>
        <v>Clavis IDS Limited - Business Trading - Facility A</v>
      </c>
      <c r="D3" s="274">
        <f>IF($B3 = "","",$B3*'MacroPD-Cal'!$CY$2)</f>
        <v>8.6241131808554141E-4</v>
      </c>
      <c r="E3" s="274">
        <f>IF($B3 = "","",$B3*'MacroPD-Cal'!$CY$3)</f>
        <v>2.0084242196824176E-3</v>
      </c>
      <c r="F3" s="274">
        <f>IF($B3 = "","",$B3*'MacroPD-Cal'!$CY$4)</f>
        <v>3.3127897179908634E-3</v>
      </c>
      <c r="G3" s="274">
        <f>IF($B3 = "","",$B3*'MacroPD-Cal'!$CY$5)</f>
        <v>5.0000000000000001E-3</v>
      </c>
      <c r="H3" s="354"/>
      <c r="I3" s="354"/>
      <c r="J3" s="354"/>
      <c r="K3" s="354"/>
      <c r="M3" s="68"/>
      <c r="N3" s="68"/>
      <c r="O3" s="261">
        <v>0.3</v>
      </c>
      <c r="P3" t="str">
        <f>'MacroPD-Cal'!Q3</f>
        <v>Shock-2</v>
      </c>
      <c r="Q3" s="88">
        <f>'MacroPD-Cal'!R3</f>
        <v>-0.65987170557542341</v>
      </c>
      <c r="S3" s="352"/>
      <c r="T3" s="352"/>
      <c r="U3" s="279"/>
      <c r="V3" s="4"/>
    </row>
    <row r="4" spans="1:22" customFormat="1" x14ac:dyDescent="0.25">
      <c r="A4" s="547">
        <v>1300000003</v>
      </c>
      <c r="B4" s="273">
        <v>5.0000000000000001E-3</v>
      </c>
      <c r="C4" s="463" t="str">
        <f>INDEX('Loan Book Summary'!B:C,MATCH('Updated Ncino PD'!A4,'Loan Book Summary'!C:C,0),1)</f>
        <v>Clavis IDS Limited - Business Trading- Facility B- RLS</v>
      </c>
      <c r="D4" s="274">
        <f>IF($B4 = "","",$B4*'MacroPD-Cal'!$CY$2)</f>
        <v>8.6241131808554141E-4</v>
      </c>
      <c r="E4" s="274">
        <f>IF($B4 = "","",$B4*'MacroPD-Cal'!$CY$3)</f>
        <v>2.0084242196824176E-3</v>
      </c>
      <c r="F4" s="274">
        <f>IF($B4 = "","",$B4*'MacroPD-Cal'!$CY$4)</f>
        <v>3.3127897179908634E-3</v>
      </c>
      <c r="G4" s="274">
        <f>IF($B4 = "","",$B4*'MacroPD-Cal'!$CY$5)</f>
        <v>5.0000000000000001E-3</v>
      </c>
      <c r="H4" s="354"/>
      <c r="I4" s="354"/>
      <c r="J4" s="354"/>
      <c r="K4" s="354"/>
      <c r="M4" s="68"/>
      <c r="N4" s="68"/>
      <c r="O4" s="261">
        <v>0.15</v>
      </c>
      <c r="P4" t="str">
        <f>'MacroPD-Cal'!Q4</f>
        <v>Shock-3</v>
      </c>
      <c r="Q4" s="88">
        <f>'MacroPD-Cal'!R4</f>
        <v>-0.75518308622645525</v>
      </c>
      <c r="S4" s="366">
        <f>SUMPRODUCT(O2:O5,Q2:Q5)</f>
        <v>-0.63799293405901114</v>
      </c>
      <c r="T4" s="366"/>
      <c r="U4" s="279"/>
      <c r="V4" s="4"/>
    </row>
    <row r="5" spans="1:22" customFormat="1" x14ac:dyDescent="0.25">
      <c r="A5" s="547">
        <v>1100000289</v>
      </c>
      <c r="B5" s="273">
        <v>3.6900000000000002E-2</v>
      </c>
      <c r="C5" s="463" t="str">
        <f>INDEX('Loan Book Summary'!B:C,MATCH('Updated Ncino PD'!A5,'Loan Book Summary'!C:C,0),1)</f>
        <v>FDBC Holdings Limited</v>
      </c>
      <c r="D5" s="274">
        <f>IF($B5 = "","",$B5*'MacroPD-Cal'!$CY$2)</f>
        <v>6.3645955274712956E-3</v>
      </c>
      <c r="E5" s="274">
        <f>IF($B5 = "","",$B5*'MacroPD-Cal'!$CY$3)</f>
        <v>1.4822170741256243E-2</v>
      </c>
      <c r="F5" s="274">
        <f>IF($B5 = "","",$B5*'MacroPD-Cal'!$CY$4)</f>
        <v>2.4448388118772573E-2</v>
      </c>
      <c r="G5" s="274">
        <f>IF($B5 = "","",$B5*'MacroPD-Cal'!$CY$5)</f>
        <v>3.6900000000000002E-2</v>
      </c>
      <c r="H5" s="354"/>
      <c r="I5" s="354"/>
      <c r="J5" s="354"/>
      <c r="K5" s="354"/>
      <c r="M5" s="68"/>
      <c r="N5" s="68"/>
      <c r="O5" s="261">
        <v>0.15</v>
      </c>
      <c r="P5" t="str">
        <f>'MacroPD-Cal'!Q5</f>
        <v>Shock-4</v>
      </c>
      <c r="Q5" s="88">
        <f>'MacroPD-Cal'!R5</f>
        <v>-0.95389974316678783</v>
      </c>
      <c r="S5" s="366">
        <f>AVERAGE(Q2:Q5)</f>
        <v>-0.70703175747804015</v>
      </c>
      <c r="T5" s="366"/>
      <c r="U5" s="279"/>
      <c r="V5" s="4"/>
    </row>
    <row r="6" spans="1:22" customFormat="1" x14ac:dyDescent="0.25">
      <c r="A6" s="463">
        <v>1300000004</v>
      </c>
      <c r="B6" s="546">
        <v>1.46E-2</v>
      </c>
      <c r="C6" s="463" t="str">
        <f>INDEX('Loan Book Summary'!B:C,MATCH('Updated Ncino PD'!A6,'Loan Book Summary'!C:C,0),1)</f>
        <v>Lyons Davidson Limited - Business Trading - RLS RCF</v>
      </c>
      <c r="D6" s="274">
        <f>IF($B6 = "","",$B6*'MacroPD-Cal'!$CY$2)</f>
        <v>2.5182410488097809E-3</v>
      </c>
      <c r="E6" s="274">
        <f>IF($B6 = "","",$B6*'MacroPD-Cal'!$CY$3)</f>
        <v>5.8645987214726598E-3</v>
      </c>
      <c r="F6" s="274">
        <f>IF($B6 = "","",$B6*'MacroPD-Cal'!$CY$4)</f>
        <v>9.6733459765333211E-3</v>
      </c>
      <c r="G6" s="274">
        <f>IF($B6 = "","",$B6*'MacroPD-Cal'!$CY$5)</f>
        <v>1.46E-2</v>
      </c>
      <c r="H6" s="354"/>
      <c r="I6" s="354"/>
      <c r="J6" s="354"/>
      <c r="K6" s="354"/>
      <c r="M6" s="68"/>
      <c r="N6" s="68"/>
      <c r="P6" t="str">
        <f>'MacroPD-Cal'!Q6</f>
        <v>Shock-5</v>
      </c>
      <c r="Q6" s="88">
        <f>'MacroPD-Cal'!R6</f>
        <v>-0.17740855246187959</v>
      </c>
      <c r="U6" s="367"/>
      <c r="V6" s="4"/>
    </row>
    <row r="7" spans="1:22" x14ac:dyDescent="0.25">
      <c r="H7"/>
      <c r="I7"/>
      <c r="J7"/>
      <c r="K7"/>
      <c r="M7" s="370"/>
      <c r="N7" s="370"/>
      <c r="P7" s="368" t="str">
        <f>'MacroPD-Cal'!Q7</f>
        <v>Shock-6</v>
      </c>
      <c r="Q7" s="371">
        <f>'MacroPD-Cal'!R7</f>
        <v>0.18119313507155629</v>
      </c>
      <c r="V7" s="4"/>
    </row>
    <row r="8" spans="1:22" x14ac:dyDescent="0.25">
      <c r="B8" s="369"/>
      <c r="D8" s="4" t="str">
        <f>IF($B8 = "","",$B8*'Qtrlycal-newloans'!$P$2)</f>
        <v/>
      </c>
      <c r="E8" s="4" t="str">
        <f>IF($B8 = "","",$B8*'Qtrlycal-newloans'!$P$3)</f>
        <v/>
      </c>
      <c r="F8" s="4" t="str">
        <f>IF($B8 = "","",$B8*'Qtrlycal-newloans'!$P$4)</f>
        <v/>
      </c>
      <c r="G8" s="4" t="str">
        <f t="shared" ref="G8:G25" si="0">IF($B8 = "","",B8)</f>
        <v/>
      </c>
      <c r="M8" s="370"/>
      <c r="N8" s="370"/>
      <c r="P8" s="368" t="str">
        <f>'MacroPD-Cal'!Q8</f>
        <v>Shock-7</v>
      </c>
      <c r="Q8" s="371">
        <f>'MacroPD-Cal'!R8</f>
        <v>-0.50741219219976885</v>
      </c>
      <c r="V8" s="4"/>
    </row>
    <row r="9" spans="1:22" x14ac:dyDescent="0.25">
      <c r="B9" s="372"/>
      <c r="D9" s="4" t="str">
        <f>IF($B9 = "","",$B9*'Qtrlycal-newloans'!$P$2)</f>
        <v/>
      </c>
      <c r="E9" s="4" t="str">
        <f>IF($B9 = "","",$B9*'Qtrlycal-newloans'!$P$3)</f>
        <v/>
      </c>
      <c r="F9" s="4" t="str">
        <f>IF($B9 = "","",$B9*'Qtrlycal-newloans'!$P$4)</f>
        <v/>
      </c>
      <c r="G9" s="4" t="str">
        <f t="shared" si="0"/>
        <v/>
      </c>
      <c r="M9" s="370"/>
      <c r="N9" s="370"/>
      <c r="P9" s="368" t="str">
        <f>'MacroPD-Cal'!Q9</f>
        <v>Shock-8</v>
      </c>
      <c r="Q9" s="371">
        <f>'MacroPD-Cal'!R9</f>
        <v>-0.55463654821297792</v>
      </c>
      <c r="V9" s="4"/>
    </row>
    <row r="10" spans="1:22" x14ac:dyDescent="0.25">
      <c r="B10" s="372"/>
      <c r="D10" s="4" t="str">
        <f>IF($B10 = "","",$B10*'Qtrlycal-newloans'!$P$2)</f>
        <v/>
      </c>
      <c r="E10" s="4" t="str">
        <f>IF($B10 = "","",$B10*'Qtrlycal-newloans'!$P$3)</f>
        <v/>
      </c>
      <c r="F10" s="4" t="str">
        <f>IF($B10 = "","",$B10*'Qtrlycal-newloans'!$P$4)</f>
        <v/>
      </c>
      <c r="G10" s="4" t="str">
        <f t="shared" si="0"/>
        <v/>
      </c>
      <c r="M10" s="370"/>
      <c r="N10" s="370"/>
      <c r="V10" s="4"/>
    </row>
    <row r="11" spans="1:22" x14ac:dyDescent="0.25">
      <c r="B11" s="372"/>
      <c r="D11" s="4" t="str">
        <f>IF($B11 = "","",$B11*'Qtrlycal-newloans'!$P$2)</f>
        <v/>
      </c>
      <c r="E11" s="4" t="str">
        <f>IF($B11 = "","",$B11*'Qtrlycal-newloans'!$P$3)</f>
        <v/>
      </c>
      <c r="F11" s="4" t="str">
        <f>IF($B11 = "","",$B11*'Qtrlycal-newloans'!$P$4)</f>
        <v/>
      </c>
      <c r="G11" s="4" t="str">
        <f t="shared" si="0"/>
        <v/>
      </c>
      <c r="M11" s="370"/>
      <c r="N11" s="370"/>
      <c r="V11" s="4"/>
    </row>
    <row r="12" spans="1:22" x14ac:dyDescent="0.25">
      <c r="A12" s="476" t="s">
        <v>5372</v>
      </c>
      <c r="B12" s="372"/>
      <c r="D12" s="4" t="str">
        <f>IF($B12 = "","",$B12*'Qtrlycal-newloans'!$P$2)</f>
        <v/>
      </c>
      <c r="E12" s="4" t="str">
        <f>IF($B12 = "","",$B12*'Qtrlycal-newloans'!$P$3)</f>
        <v/>
      </c>
      <c r="F12" s="4" t="str">
        <f>IF($B12 = "","",$B12*'Qtrlycal-newloans'!$P$4)</f>
        <v/>
      </c>
      <c r="G12" s="4" t="str">
        <f t="shared" si="0"/>
        <v/>
      </c>
      <c r="M12" s="370"/>
      <c r="N12" s="370"/>
      <c r="V12" s="4"/>
    </row>
    <row r="13" spans="1:22" x14ac:dyDescent="0.25">
      <c r="B13" s="372"/>
      <c r="D13" s="4" t="str">
        <f>IF($B13 = "","",$B13*'Qtrlycal-newloans'!$P$2)</f>
        <v/>
      </c>
      <c r="E13" s="4" t="str">
        <f>IF($B13 = "","",$B13*'Qtrlycal-newloans'!$P$3)</f>
        <v/>
      </c>
      <c r="F13" s="4" t="str">
        <f>IF($B13 = "","",$B13*'Qtrlycal-newloans'!$P$4)</f>
        <v/>
      </c>
      <c r="G13" s="4" t="str">
        <f t="shared" si="0"/>
        <v/>
      </c>
      <c r="M13" s="370"/>
      <c r="N13" s="370"/>
      <c r="V13" s="4"/>
    </row>
    <row r="14" spans="1:22" x14ac:dyDescent="0.25">
      <c r="B14" s="372"/>
      <c r="D14" s="4" t="str">
        <f>IF($B14 = "","",$B14*'Qtrlycal-newloans'!$P$2)</f>
        <v/>
      </c>
      <c r="E14" s="4" t="str">
        <f>IF($B14 = "","",$B14*'Qtrlycal-newloans'!$P$3)</f>
        <v/>
      </c>
      <c r="F14" s="4" t="str">
        <f>IF($B14 = "","",$B14*'Qtrlycal-newloans'!$P$4)</f>
        <v/>
      </c>
      <c r="G14" s="4" t="str">
        <f t="shared" si="0"/>
        <v/>
      </c>
      <c r="M14" s="370"/>
      <c r="N14" s="370"/>
      <c r="V14" s="4"/>
    </row>
    <row r="15" spans="1:22" x14ac:dyDescent="0.25">
      <c r="B15" s="372"/>
      <c r="D15" s="4" t="str">
        <f>IF($B15 = "","",$B15*'Qtrlycal-newloans'!$P$2)</f>
        <v/>
      </c>
      <c r="E15" s="4" t="str">
        <f>IF($B15 = "","",$B15*'Qtrlycal-newloans'!$P$3)</f>
        <v/>
      </c>
      <c r="F15" s="4" t="str">
        <f>IF($B15 = "","",$B15*'Qtrlycal-newloans'!$P$4)</f>
        <v/>
      </c>
      <c r="G15" s="4" t="str">
        <f t="shared" si="0"/>
        <v/>
      </c>
      <c r="M15" s="370"/>
      <c r="N15" s="370"/>
      <c r="V15" s="4"/>
    </row>
    <row r="16" spans="1:22" x14ac:dyDescent="0.25">
      <c r="B16" s="372"/>
      <c r="D16" s="4" t="str">
        <f>IF($B16 = "","",$B16*'Qtrlycal-newloans'!$P$2)</f>
        <v/>
      </c>
      <c r="E16" s="4" t="str">
        <f>IF($B16 = "","",$B16*'Qtrlycal-newloans'!$P$3)</f>
        <v/>
      </c>
      <c r="F16" s="4" t="str">
        <f>IF($B16 = "","",$B16*'Qtrlycal-newloans'!$P$4)</f>
        <v/>
      </c>
      <c r="G16" s="4" t="str">
        <f t="shared" si="0"/>
        <v/>
      </c>
      <c r="M16" s="370"/>
      <c r="N16" s="370"/>
      <c r="V16" s="4"/>
    </row>
    <row r="17" spans="1:24" x14ac:dyDescent="0.25">
      <c r="B17" s="372"/>
      <c r="D17" s="4" t="str">
        <f>IF($B17 = "","",$B17*'Qtrlycal-newloans'!$P$2)</f>
        <v/>
      </c>
      <c r="E17" s="4" t="str">
        <f>IF($B17 = "","",$B17*'Qtrlycal-newloans'!$P$3)</f>
        <v/>
      </c>
      <c r="F17" s="4" t="str">
        <f>IF($B17 = "","",$B17*'Qtrlycal-newloans'!$P$4)</f>
        <v/>
      </c>
      <c r="G17" s="4" t="str">
        <f t="shared" si="0"/>
        <v/>
      </c>
      <c r="M17" s="370"/>
      <c r="N17" s="370"/>
      <c r="V17" s="4"/>
    </row>
    <row r="18" spans="1:24" x14ac:dyDescent="0.25">
      <c r="A18" s="373"/>
      <c r="B18" s="372"/>
      <c r="D18" s="4" t="str">
        <f>IF($B18 = "","",$B18*'Qtrlycal-newloans'!$P$2)</f>
        <v/>
      </c>
      <c r="E18" s="4" t="str">
        <f>IF($B18 = "","",$B18*'Qtrlycal-newloans'!$P$3)</f>
        <v/>
      </c>
      <c r="F18" s="4" t="str">
        <f>IF($B18 = "","",$B18*'Qtrlycal-newloans'!$P$4)</f>
        <v/>
      </c>
      <c r="G18" s="4" t="str">
        <f t="shared" si="0"/>
        <v/>
      </c>
      <c r="M18" s="370"/>
      <c r="N18" s="370"/>
      <c r="V18" s="4"/>
    </row>
    <row r="19" spans="1:24" ht="15.75" x14ac:dyDescent="0.25">
      <c r="A19" s="388"/>
      <c r="B19" s="374"/>
      <c r="D19" s="4" t="str">
        <f>IF($B19 = "","",$B19*'Qtrlycal-newloans'!$P$2)</f>
        <v/>
      </c>
      <c r="E19" s="4" t="str">
        <f>IF($B19 = "","",$B19*'Qtrlycal-newloans'!$P$3)</f>
        <v/>
      </c>
      <c r="F19" s="4" t="str">
        <f>IF($B19 = "","",$B19*'Qtrlycal-newloans'!$P$4)</f>
        <v/>
      </c>
      <c r="G19" s="4" t="str">
        <f t="shared" si="0"/>
        <v/>
      </c>
      <c r="M19" s="370"/>
      <c r="N19" s="370"/>
      <c r="V19" s="4"/>
    </row>
    <row r="20" spans="1:24" ht="15.75" x14ac:dyDescent="0.25">
      <c r="A20" s="388"/>
      <c r="B20" s="374"/>
      <c r="D20" s="4" t="str">
        <f>IF($B20 = "","",$B20*'Qtrlycal-newloans'!$P$2)</f>
        <v/>
      </c>
      <c r="E20" s="4" t="str">
        <f>IF($B20 = "","",$B20*'Qtrlycal-newloans'!$P$3)</f>
        <v/>
      </c>
      <c r="F20" s="4" t="str">
        <f>IF($B20 = "","",$B20*'Qtrlycal-newloans'!$P$4)</f>
        <v/>
      </c>
      <c r="G20" s="4" t="str">
        <f t="shared" si="0"/>
        <v/>
      </c>
      <c r="M20" s="370"/>
      <c r="N20" s="370"/>
      <c r="V20" s="4"/>
    </row>
    <row r="21" spans="1:24" ht="15.75" x14ac:dyDescent="0.25">
      <c r="A21" s="373"/>
      <c r="B21" s="374"/>
      <c r="D21" s="4" t="str">
        <f>IF($B21 = "","",$B21*'Qtrlycal-newloans'!$P$2)</f>
        <v/>
      </c>
      <c r="E21" s="4" t="str">
        <f>IF($B21 = "","",$B21*'Qtrlycal-newloans'!$P$3)</f>
        <v/>
      </c>
      <c r="F21" s="4" t="str">
        <f>IF($B21 = "","",$B21*'Qtrlycal-newloans'!$P$4)</f>
        <v/>
      </c>
      <c r="G21" s="4" t="str">
        <f t="shared" si="0"/>
        <v/>
      </c>
      <c r="M21" s="370"/>
      <c r="N21" s="370"/>
      <c r="V21" s="4"/>
    </row>
    <row r="22" spans="1:24" ht="15.75" x14ac:dyDescent="0.25">
      <c r="A22" s="388"/>
      <c r="B22" s="374"/>
      <c r="D22" s="4" t="str">
        <f>IF($B22 = "","",$B22*'Qtrlycal-newloans'!$P$2)</f>
        <v/>
      </c>
      <c r="E22" s="4" t="str">
        <f>IF($B22 = "","",$B22*'Qtrlycal-newloans'!$P$3)</f>
        <v/>
      </c>
      <c r="F22" s="4" t="str">
        <f>IF($B22 = "","",$B22*'Qtrlycal-newloans'!$P$4)</f>
        <v/>
      </c>
      <c r="G22" s="4" t="str">
        <f t="shared" si="0"/>
        <v/>
      </c>
      <c r="M22" s="370"/>
      <c r="N22" s="370"/>
      <c r="V22" s="4"/>
    </row>
    <row r="23" spans="1:24" ht="15.75" x14ac:dyDescent="0.25">
      <c r="A23" s="388"/>
      <c r="B23" s="374"/>
      <c r="D23" s="4" t="str">
        <f>IF($B23 = "","",$B23*'Qtrlycal-newloans'!$P$2)</f>
        <v/>
      </c>
      <c r="E23" s="4" t="str">
        <f>IF($B23 = "","",$B23*'Qtrlycal-newloans'!$P$3)</f>
        <v/>
      </c>
      <c r="F23" s="4" t="str">
        <f>IF($B23 = "","",$B23*'Qtrlycal-newloans'!$P$4)</f>
        <v/>
      </c>
      <c r="G23" s="4" t="str">
        <f t="shared" si="0"/>
        <v/>
      </c>
      <c r="M23" s="370"/>
      <c r="N23" s="370"/>
      <c r="V23" s="4"/>
    </row>
    <row r="24" spans="1:24" x14ac:dyDescent="0.25">
      <c r="A24" s="179"/>
      <c r="B24" s="372"/>
      <c r="D24" s="4" t="str">
        <f>IF($B24 = "","",$B24*'Qtrlycal-newloans'!$P$2)</f>
        <v/>
      </c>
      <c r="E24" s="4" t="str">
        <f>IF($B24 = "","",$B24*'Qtrlycal-newloans'!$P$3)</f>
        <v/>
      </c>
      <c r="F24" s="4" t="str">
        <f>IF($B24 = "","",$B24*'Qtrlycal-newloans'!$P$4)</f>
        <v/>
      </c>
      <c r="G24" s="4" t="str">
        <f t="shared" si="0"/>
        <v/>
      </c>
      <c r="M24" s="370"/>
      <c r="N24" s="370"/>
      <c r="V24" s="4"/>
    </row>
    <row r="25" spans="1:24" x14ac:dyDescent="0.25">
      <c r="A25" s="179"/>
      <c r="B25" s="372"/>
      <c r="D25" s="4" t="str">
        <f>IF($B25 = "","",$B25*'Qtrlycal-newloans'!$P$2)</f>
        <v/>
      </c>
      <c r="E25" s="4" t="str">
        <f>IF($B25 = "","",$B25*'Qtrlycal-newloans'!$P$3)</f>
        <v/>
      </c>
      <c r="F25" s="4" t="str">
        <f>IF($B25 = "","",$B25*'Qtrlycal-newloans'!$P$4)</f>
        <v/>
      </c>
      <c r="G25" s="4" t="str">
        <f t="shared" si="0"/>
        <v/>
      </c>
      <c r="M25" s="370"/>
      <c r="N25" s="370"/>
      <c r="U25" s="179"/>
      <c r="V25" s="389"/>
    </row>
    <row r="26" spans="1:24" x14ac:dyDescent="0.25">
      <c r="A26" s="179"/>
      <c r="B26" s="372"/>
      <c r="D26" s="369"/>
      <c r="E26" s="369"/>
      <c r="F26" s="369"/>
      <c r="G26" s="369"/>
      <c r="M26" s="370"/>
      <c r="N26" s="370"/>
      <c r="U26" s="179"/>
      <c r="V26" s="369"/>
    </row>
    <row r="27" spans="1:24" ht="15.75" x14ac:dyDescent="0.25">
      <c r="A27" s="376"/>
      <c r="N27" s="370"/>
      <c r="U27" s="179"/>
      <c r="V27" s="369"/>
    </row>
    <row r="28" spans="1:24" ht="15.75" x14ac:dyDescent="0.25">
      <c r="A28" s="179"/>
      <c r="B28" s="372"/>
      <c r="C28" s="377"/>
      <c r="D28" s="369"/>
      <c r="E28" s="369"/>
      <c r="F28" s="369"/>
      <c r="G28" s="369"/>
      <c r="M28" s="370"/>
      <c r="N28" s="370"/>
      <c r="U28" s="179"/>
      <c r="V28" s="369"/>
      <c r="X28" s="368" t="s">
        <v>1220</v>
      </c>
    </row>
    <row r="29" spans="1:24" ht="15.75" x14ac:dyDescent="0.25">
      <c r="A29" s="179"/>
      <c r="B29" s="372"/>
      <c r="C29" s="377"/>
      <c r="D29" s="369"/>
      <c r="E29" s="369"/>
      <c r="F29" s="369"/>
      <c r="G29" s="369"/>
      <c r="M29" s="370"/>
      <c r="U29" s="179"/>
      <c r="V29" s="369"/>
      <c r="X29" s="368" t="s">
        <v>1220</v>
      </c>
    </row>
    <row r="30" spans="1:24" x14ac:dyDescent="0.25">
      <c r="A30" s="179"/>
      <c r="B30" s="372"/>
      <c r="D30" s="369"/>
      <c r="E30" s="369"/>
      <c r="F30" s="369"/>
      <c r="G30" s="369"/>
      <c r="M30" s="370"/>
      <c r="U30" s="179"/>
      <c r="V30" s="369"/>
    </row>
    <row r="31" spans="1:24" x14ac:dyDescent="0.25">
      <c r="A31" s="179"/>
      <c r="B31" s="372"/>
      <c r="D31" s="369"/>
      <c r="E31" s="369"/>
      <c r="F31" s="369"/>
      <c r="G31" s="369"/>
      <c r="M31" s="370"/>
      <c r="U31" s="179"/>
      <c r="V31" s="369"/>
    </row>
    <row r="32" spans="1:24" x14ac:dyDescent="0.25">
      <c r="A32" s="179"/>
      <c r="B32" s="372"/>
      <c r="D32" s="369"/>
      <c r="E32" s="369"/>
      <c r="F32" s="369"/>
      <c r="G32" s="369"/>
      <c r="M32" s="370"/>
      <c r="U32" s="179"/>
      <c r="V32" s="369"/>
    </row>
    <row r="33" spans="1:24" x14ac:dyDescent="0.25">
      <c r="A33" s="179"/>
      <c r="B33" s="372"/>
      <c r="D33" s="369"/>
      <c r="E33" s="369"/>
      <c r="F33" s="369"/>
      <c r="G33" s="369"/>
      <c r="M33" s="370"/>
      <c r="U33" s="179"/>
      <c r="V33" s="369"/>
    </row>
    <row r="34" spans="1:24" x14ac:dyDescent="0.25">
      <c r="A34" s="179"/>
      <c r="B34" s="372"/>
      <c r="D34" s="369"/>
      <c r="E34" s="369"/>
      <c r="F34" s="369"/>
      <c r="G34" s="369"/>
      <c r="M34" s="370"/>
      <c r="V34" s="369"/>
    </row>
    <row r="35" spans="1:24" x14ac:dyDescent="0.25">
      <c r="A35" s="179"/>
      <c r="B35" s="372"/>
      <c r="D35" s="369"/>
      <c r="E35" s="369"/>
      <c r="F35" s="369"/>
      <c r="G35" s="369"/>
      <c r="M35" s="370"/>
      <c r="V35" s="369"/>
    </row>
    <row r="36" spans="1:24" x14ac:dyDescent="0.25">
      <c r="A36" s="179"/>
      <c r="B36" s="372"/>
      <c r="D36" s="369"/>
      <c r="E36" s="369"/>
      <c r="F36" s="369"/>
      <c r="G36" s="369"/>
      <c r="M36" s="370"/>
      <c r="V36" s="369"/>
    </row>
    <row r="37" spans="1:24" x14ac:dyDescent="0.25">
      <c r="A37" s="179"/>
      <c r="B37" s="372"/>
      <c r="D37" s="369"/>
      <c r="E37" s="369"/>
      <c r="F37" s="369"/>
      <c r="G37" s="369"/>
      <c r="M37" s="370"/>
      <c r="V37" s="369"/>
      <c r="X37" s="368" t="s">
        <v>1218</v>
      </c>
    </row>
    <row r="38" spans="1:24" x14ac:dyDescent="0.25">
      <c r="A38" s="179"/>
      <c r="B38" s="372"/>
      <c r="D38" s="369"/>
      <c r="E38" s="369"/>
      <c r="F38" s="369"/>
      <c r="G38" s="369"/>
      <c r="M38" s="370"/>
      <c r="V38" s="369"/>
      <c r="X38" s="368" t="s">
        <v>1219</v>
      </c>
    </row>
    <row r="39" spans="1:24" x14ac:dyDescent="0.25">
      <c r="B39" s="372"/>
      <c r="D39" s="369"/>
      <c r="E39" s="369"/>
      <c r="F39" s="369"/>
      <c r="G39" s="369"/>
      <c r="M39" s="370"/>
      <c r="V39" s="369"/>
    </row>
    <row r="40" spans="1:24" x14ac:dyDescent="0.25">
      <c r="B40" s="372"/>
      <c r="D40" s="369"/>
      <c r="E40" s="369"/>
      <c r="F40" s="369"/>
      <c r="G40" s="369"/>
      <c r="M40" s="370"/>
      <c r="U40" s="373"/>
      <c r="V40" s="369"/>
    </row>
    <row r="41" spans="1:24" x14ac:dyDescent="0.25">
      <c r="B41" s="372"/>
      <c r="D41" s="369"/>
      <c r="E41" s="369"/>
      <c r="F41" s="369"/>
      <c r="G41" s="369"/>
      <c r="M41" s="370"/>
      <c r="U41" s="179"/>
      <c r="V41" s="369"/>
    </row>
    <row r="42" spans="1:24" x14ac:dyDescent="0.25">
      <c r="B42" s="372"/>
      <c r="D42" s="369"/>
      <c r="E42" s="369"/>
      <c r="F42" s="369"/>
      <c r="G42" s="369"/>
      <c r="M42" s="370"/>
      <c r="U42" s="179"/>
      <c r="V42" s="369"/>
      <c r="X42" s="368" t="s">
        <v>1217</v>
      </c>
    </row>
    <row r="43" spans="1:24" x14ac:dyDescent="0.25">
      <c r="B43" s="372"/>
      <c r="D43" s="369"/>
      <c r="E43" s="369"/>
      <c r="F43" s="369"/>
      <c r="G43" s="369"/>
      <c r="M43" s="370"/>
      <c r="U43" s="179"/>
      <c r="V43" s="369"/>
    </row>
    <row r="44" spans="1:24" x14ac:dyDescent="0.25">
      <c r="B44" s="372"/>
      <c r="D44" s="369"/>
      <c r="E44" s="369"/>
      <c r="F44" s="369"/>
      <c r="G44" s="369"/>
      <c r="M44" s="370"/>
      <c r="U44" s="179"/>
      <c r="V44" s="369"/>
    </row>
    <row r="45" spans="1:24" ht="15.75" x14ac:dyDescent="0.25">
      <c r="A45" s="378"/>
      <c r="B45" s="372"/>
      <c r="D45" s="369"/>
      <c r="E45" s="369"/>
      <c r="F45" s="369"/>
      <c r="G45" s="369"/>
      <c r="M45" s="370"/>
      <c r="U45" s="179"/>
      <c r="V45" s="379"/>
    </row>
    <row r="46" spans="1:24" ht="15.75" x14ac:dyDescent="0.25">
      <c r="A46" s="179"/>
      <c r="B46" s="379"/>
      <c r="D46" s="369"/>
      <c r="E46" s="369"/>
      <c r="F46" s="369"/>
      <c r="G46" s="369"/>
      <c r="M46" s="370"/>
      <c r="U46" s="179"/>
      <c r="V46" s="379"/>
      <c r="X46" s="380" t="s">
        <v>1726</v>
      </c>
    </row>
    <row r="47" spans="1:24" ht="15.75" x14ac:dyDescent="0.25">
      <c r="A47" s="179"/>
      <c r="B47" s="379"/>
      <c r="D47" s="369"/>
      <c r="E47" s="369"/>
      <c r="F47" s="369"/>
      <c r="G47" s="369"/>
      <c r="M47" s="370"/>
      <c r="U47" s="179"/>
      <c r="V47" s="379"/>
      <c r="X47" s="380" t="s">
        <v>1726</v>
      </c>
    </row>
    <row r="48" spans="1:24" ht="15.75" x14ac:dyDescent="0.25">
      <c r="A48" s="179"/>
      <c r="B48" s="379"/>
      <c r="D48" s="369"/>
      <c r="E48" s="369"/>
      <c r="F48" s="369"/>
      <c r="G48" s="369"/>
      <c r="M48" s="370"/>
      <c r="U48" s="179"/>
      <c r="V48" s="379"/>
      <c r="X48" s="380" t="s">
        <v>1726</v>
      </c>
    </row>
    <row r="49" spans="1:24" ht="15.75" x14ac:dyDescent="0.25">
      <c r="A49" s="179"/>
      <c r="B49" s="379"/>
      <c r="D49" s="369"/>
      <c r="E49" s="369"/>
      <c r="F49" s="369"/>
      <c r="G49" s="369"/>
      <c r="M49" s="370"/>
      <c r="U49" s="179"/>
      <c r="V49" s="379"/>
      <c r="X49" s="380" t="s">
        <v>1726</v>
      </c>
    </row>
    <row r="50" spans="1:24" ht="15.75" x14ac:dyDescent="0.25">
      <c r="A50" s="179"/>
      <c r="B50" s="379"/>
      <c r="D50" s="369"/>
      <c r="E50" s="369"/>
      <c r="F50" s="369"/>
      <c r="G50" s="369"/>
      <c r="M50" s="370"/>
      <c r="U50" s="179"/>
      <c r="V50" s="379"/>
      <c r="X50" s="380" t="s">
        <v>1726</v>
      </c>
    </row>
    <row r="51" spans="1:24" ht="15.75" x14ac:dyDescent="0.25">
      <c r="A51" s="179"/>
      <c r="B51" s="379"/>
      <c r="D51" s="369"/>
      <c r="E51" s="369"/>
      <c r="F51" s="369"/>
      <c r="G51" s="369"/>
      <c r="M51" s="370"/>
      <c r="U51" s="373"/>
      <c r="V51" s="369"/>
    </row>
    <row r="52" spans="1:24" ht="15.75" x14ac:dyDescent="0.25">
      <c r="A52" s="179"/>
      <c r="B52" s="379"/>
      <c r="D52" s="369"/>
      <c r="E52" s="369"/>
      <c r="F52" s="369"/>
      <c r="G52" s="369"/>
      <c r="M52" s="370"/>
      <c r="V52" s="372"/>
    </row>
    <row r="53" spans="1:24" ht="15.75" x14ac:dyDescent="0.25">
      <c r="A53" s="179"/>
      <c r="B53" s="379"/>
      <c r="D53" s="369"/>
      <c r="E53" s="369"/>
      <c r="F53" s="369"/>
      <c r="G53" s="369"/>
      <c r="M53" s="370"/>
      <c r="V53" s="372"/>
    </row>
    <row r="54" spans="1:24" ht="15.75" x14ac:dyDescent="0.25">
      <c r="A54" s="179"/>
      <c r="B54" s="379"/>
      <c r="D54" s="369"/>
      <c r="E54" s="369"/>
      <c r="F54" s="369"/>
      <c r="G54" s="369"/>
      <c r="M54" s="370"/>
      <c r="V54" s="372"/>
    </row>
    <row r="55" spans="1:24" ht="15.75" x14ac:dyDescent="0.25">
      <c r="A55" s="179"/>
      <c r="B55" s="379"/>
      <c r="D55" s="369"/>
      <c r="E55" s="369"/>
      <c r="F55" s="369"/>
      <c r="G55" s="369"/>
      <c r="M55" s="370"/>
      <c r="V55" s="372"/>
    </row>
    <row r="56" spans="1:24" ht="15.75" x14ac:dyDescent="0.25">
      <c r="A56" s="179"/>
      <c r="B56" s="379"/>
      <c r="D56" s="369"/>
      <c r="E56" s="369"/>
      <c r="F56" s="369"/>
      <c r="G56" s="369"/>
      <c r="M56" s="370"/>
      <c r="V56" s="372"/>
    </row>
    <row r="57" spans="1:24" ht="15.75" x14ac:dyDescent="0.25">
      <c r="A57" s="179"/>
      <c r="B57" s="379"/>
      <c r="C57" s="377"/>
      <c r="D57" s="369"/>
      <c r="E57" s="369"/>
      <c r="F57" s="369"/>
      <c r="G57" s="369"/>
      <c r="M57" s="370"/>
      <c r="V57" s="372"/>
    </row>
    <row r="58" spans="1:24" ht="15.75" x14ac:dyDescent="0.25">
      <c r="A58" s="179"/>
      <c r="B58" s="379"/>
      <c r="C58" s="377"/>
      <c r="D58" s="369"/>
      <c r="E58" s="369"/>
      <c r="F58" s="369"/>
      <c r="G58" s="369"/>
      <c r="M58" s="370"/>
      <c r="V58" s="372"/>
    </row>
    <row r="59" spans="1:24" ht="15.75" x14ac:dyDescent="0.25">
      <c r="A59" s="179"/>
      <c r="B59" s="379"/>
      <c r="D59" s="369"/>
      <c r="E59" s="369"/>
      <c r="F59" s="369"/>
      <c r="G59" s="369"/>
      <c r="M59" s="370"/>
      <c r="V59" s="372"/>
    </row>
    <row r="60" spans="1:24" ht="15.75" x14ac:dyDescent="0.25">
      <c r="A60" s="179"/>
      <c r="B60" s="379"/>
      <c r="D60" s="369"/>
      <c r="E60" s="369"/>
      <c r="F60" s="369"/>
      <c r="G60" s="369"/>
      <c r="M60" s="370"/>
      <c r="V60" s="372"/>
    </row>
    <row r="61" spans="1:24" ht="15.75" x14ac:dyDescent="0.25">
      <c r="A61" s="179"/>
      <c r="B61" s="379"/>
      <c r="D61" s="369"/>
      <c r="E61" s="369"/>
      <c r="F61" s="369"/>
      <c r="G61" s="369"/>
      <c r="M61" s="370"/>
      <c r="V61" s="372"/>
    </row>
    <row r="62" spans="1:24" ht="15.75" x14ac:dyDescent="0.25">
      <c r="A62" s="179"/>
      <c r="B62" s="381"/>
      <c r="C62" s="377"/>
      <c r="D62" s="369"/>
      <c r="E62" s="369"/>
      <c r="F62" s="369"/>
      <c r="G62" s="369"/>
      <c r="M62" s="370"/>
      <c r="V62" s="372"/>
    </row>
    <row r="63" spans="1:24" ht="15.75" x14ac:dyDescent="0.25">
      <c r="A63" s="179"/>
      <c r="B63" s="381"/>
      <c r="C63" s="377"/>
      <c r="D63" s="369"/>
      <c r="E63" s="369"/>
      <c r="F63" s="369"/>
      <c r="G63" s="369"/>
      <c r="M63" s="370"/>
      <c r="V63" s="372"/>
    </row>
    <row r="64" spans="1:24" ht="15.75" x14ac:dyDescent="0.25">
      <c r="A64" s="179"/>
      <c r="B64" s="381"/>
      <c r="C64" s="377"/>
      <c r="D64" s="369"/>
      <c r="E64" s="369"/>
      <c r="F64" s="369"/>
      <c r="G64" s="369"/>
      <c r="M64" s="370"/>
      <c r="V64" s="372"/>
    </row>
    <row r="65" spans="1:23" ht="15.75" x14ac:dyDescent="0.25">
      <c r="A65" s="179"/>
      <c r="B65" s="379"/>
      <c r="D65" s="369"/>
      <c r="E65" s="369"/>
      <c r="F65" s="369"/>
      <c r="G65" s="369"/>
      <c r="M65" s="370"/>
      <c r="V65" s="372"/>
    </row>
    <row r="66" spans="1:23" ht="15.75" x14ac:dyDescent="0.25">
      <c r="A66" s="179"/>
      <c r="B66" s="379"/>
      <c r="C66" s="377"/>
      <c r="D66" s="369"/>
      <c r="E66" s="369"/>
      <c r="F66" s="369"/>
      <c r="G66" s="369"/>
      <c r="M66" s="370"/>
      <c r="V66" s="372"/>
    </row>
    <row r="67" spans="1:23" ht="15.75" x14ac:dyDescent="0.25">
      <c r="A67" s="179"/>
      <c r="B67" s="379"/>
      <c r="C67" s="377"/>
      <c r="D67" s="369"/>
      <c r="E67" s="369"/>
      <c r="F67" s="369"/>
      <c r="G67" s="369"/>
      <c r="M67" s="370"/>
      <c r="V67" s="372"/>
    </row>
    <row r="68" spans="1:23" ht="15.75" x14ac:dyDescent="0.25">
      <c r="A68" s="179"/>
      <c r="B68" s="379"/>
      <c r="C68" s="377"/>
      <c r="D68" s="369"/>
      <c r="E68" s="369"/>
      <c r="F68" s="369"/>
      <c r="G68" s="369"/>
      <c r="M68" s="370"/>
      <c r="U68" s="179"/>
      <c r="V68" s="372"/>
      <c r="W68" s="380" t="s">
        <v>1725</v>
      </c>
    </row>
    <row r="69" spans="1:23" ht="15.75" x14ac:dyDescent="0.25">
      <c r="A69" s="179"/>
      <c r="B69" s="379"/>
      <c r="C69" s="377"/>
      <c r="D69" s="369"/>
      <c r="E69" s="369"/>
      <c r="F69" s="369"/>
      <c r="G69" s="369"/>
      <c r="M69" s="370"/>
      <c r="U69" s="179"/>
      <c r="V69" s="372"/>
      <c r="W69" s="380" t="s">
        <v>1725</v>
      </c>
    </row>
    <row r="70" spans="1:23" ht="15.75" x14ac:dyDescent="0.25">
      <c r="A70" s="382"/>
      <c r="B70" s="379"/>
      <c r="C70" s="377"/>
      <c r="D70" s="369"/>
      <c r="E70" s="369"/>
      <c r="F70" s="369"/>
      <c r="G70" s="369"/>
      <c r="M70" s="370"/>
      <c r="U70" s="179"/>
      <c r="V70" s="372"/>
    </row>
    <row r="71" spans="1:23" ht="15.75" x14ac:dyDescent="0.25">
      <c r="A71" s="179"/>
      <c r="B71" s="379"/>
      <c r="D71" s="369"/>
      <c r="E71" s="369"/>
      <c r="F71" s="369"/>
      <c r="G71" s="369"/>
      <c r="M71" s="370"/>
      <c r="U71" s="179"/>
      <c r="V71" s="372"/>
    </row>
    <row r="72" spans="1:23" ht="15.75" x14ac:dyDescent="0.25">
      <c r="A72" s="179"/>
      <c r="B72" s="379"/>
      <c r="D72" s="369"/>
      <c r="E72" s="369"/>
      <c r="F72" s="369"/>
      <c r="G72" s="369"/>
      <c r="M72" s="370"/>
      <c r="U72" s="179"/>
      <c r="V72" s="372"/>
      <c r="W72" s="380" t="s">
        <v>1722</v>
      </c>
    </row>
    <row r="73" spans="1:23" ht="15.75" x14ac:dyDescent="0.25">
      <c r="A73" s="179"/>
      <c r="B73" s="379"/>
      <c r="D73" s="369"/>
      <c r="E73" s="369"/>
      <c r="F73" s="369"/>
      <c r="G73" s="369"/>
      <c r="M73" s="370"/>
      <c r="U73" s="179"/>
      <c r="V73" s="381"/>
      <c r="W73" s="380" t="s">
        <v>1723</v>
      </c>
    </row>
    <row r="74" spans="1:23" ht="15.75" x14ac:dyDescent="0.25">
      <c r="A74" s="179"/>
      <c r="B74" s="379"/>
      <c r="D74" s="369"/>
      <c r="E74" s="369"/>
      <c r="F74" s="369"/>
      <c r="G74" s="369"/>
      <c r="M74" s="370"/>
      <c r="U74" s="179"/>
      <c r="V74" s="381"/>
      <c r="W74" s="380" t="s">
        <v>1723</v>
      </c>
    </row>
    <row r="75" spans="1:23" ht="15.75" x14ac:dyDescent="0.25">
      <c r="A75" s="179"/>
      <c r="B75" s="379"/>
      <c r="D75" s="369"/>
      <c r="E75" s="369"/>
      <c r="F75" s="369"/>
      <c r="G75" s="369"/>
      <c r="M75" s="370"/>
      <c r="U75" s="179"/>
      <c r="V75" s="381"/>
      <c r="W75" s="380" t="s">
        <v>1723</v>
      </c>
    </row>
    <row r="76" spans="1:23" ht="15.75" x14ac:dyDescent="0.25">
      <c r="A76" s="179"/>
      <c r="B76" s="379"/>
      <c r="D76" s="369"/>
      <c r="E76" s="369"/>
      <c r="F76" s="369"/>
      <c r="G76" s="369"/>
      <c r="M76" s="370"/>
      <c r="U76" s="179"/>
      <c r="V76" s="372"/>
    </row>
    <row r="77" spans="1:23" ht="15.75" x14ac:dyDescent="0.25">
      <c r="A77" s="179"/>
      <c r="B77" s="379"/>
      <c r="D77" s="369"/>
      <c r="E77" s="369"/>
      <c r="F77" s="369"/>
      <c r="G77" s="369"/>
      <c r="M77" s="370"/>
      <c r="U77" s="179"/>
      <c r="V77" s="372"/>
    </row>
    <row r="78" spans="1:23" ht="15.75" x14ac:dyDescent="0.25">
      <c r="A78" s="179"/>
      <c r="B78" s="383"/>
      <c r="U78" s="179"/>
      <c r="V78" s="372"/>
    </row>
    <row r="79" spans="1:23" ht="15.75" x14ac:dyDescent="0.25">
      <c r="A79" s="266"/>
      <c r="B79" s="383"/>
      <c r="U79" s="179"/>
      <c r="V79" s="372"/>
    </row>
    <row r="80" spans="1:23" ht="15.75" x14ac:dyDescent="0.25">
      <c r="A80" s="264"/>
      <c r="B80" s="383"/>
      <c r="U80" s="179"/>
      <c r="V80" s="372"/>
    </row>
    <row r="81" spans="2:23" ht="15.75" x14ac:dyDescent="0.25">
      <c r="B81" s="375"/>
      <c r="C81" s="372"/>
      <c r="D81" s="369"/>
      <c r="E81" s="369"/>
      <c r="F81" s="369"/>
      <c r="G81" s="369"/>
      <c r="H81" s="369">
        <f>0.505011873567695%+G81</f>
        <v>5.0501187356769492E-3</v>
      </c>
      <c r="M81" s="370"/>
      <c r="U81" s="382"/>
      <c r="V81" s="372"/>
      <c r="W81" s="380" t="s">
        <v>1724</v>
      </c>
    </row>
    <row r="82" spans="2:23" ht="15.75" x14ac:dyDescent="0.25">
      <c r="B82" s="375"/>
      <c r="C82" s="372"/>
      <c r="D82" s="369"/>
      <c r="E82" s="369"/>
      <c r="F82" s="369"/>
      <c r="G82" s="369"/>
      <c r="H82" s="369">
        <f>0.505011873567695%+G82</f>
        <v>5.0501187356769492E-3</v>
      </c>
      <c r="M82" s="370"/>
    </row>
  </sheetData>
  <phoneticPr fontId="34"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7304A-8623-4C61-ABD8-B5CBEF6DE2F4}">
  <sheetPr codeName="Sheet17"/>
  <dimension ref="A1:CB654"/>
  <sheetViews>
    <sheetView topLeftCell="AE1" zoomScale="80" zoomScaleNormal="80" workbookViewId="0">
      <selection activeCell="AJ479" sqref="AJ479"/>
    </sheetView>
  </sheetViews>
  <sheetFormatPr defaultColWidth="8.28515625" defaultRowHeight="18" customHeight="1" x14ac:dyDescent="0.25"/>
  <cols>
    <col min="1" max="1" width="5" style="346" bestFit="1" customWidth="1"/>
    <col min="2" max="2" width="37.42578125" style="346" customWidth="1"/>
    <col min="3" max="3" width="48.5703125" style="346" customWidth="1"/>
    <col min="4" max="5" width="11.85546875" style="346" customWidth="1"/>
    <col min="6" max="6" width="14.5703125" style="346" customWidth="1"/>
    <col min="7" max="8" width="30.5703125" style="346" customWidth="1"/>
    <col min="9" max="9" width="32.140625" style="346" customWidth="1"/>
    <col min="10" max="10" width="31.140625" style="346" customWidth="1"/>
    <col min="11" max="11" width="26.28515625" style="346" customWidth="1"/>
    <col min="12" max="12" width="8.140625" style="346" customWidth="1"/>
    <col min="13" max="13" width="10.5703125" style="346" customWidth="1"/>
    <col min="14" max="14" width="12.85546875" style="346" customWidth="1"/>
    <col min="15" max="15" width="12.5703125" style="346" customWidth="1"/>
    <col min="16" max="16" width="9.140625" style="346" customWidth="1"/>
    <col min="17" max="17" width="10.28515625" style="346" bestFit="1" customWidth="1"/>
    <col min="18" max="27" width="11.5703125" style="346" customWidth="1"/>
    <col min="28" max="28" width="11.7109375" style="346" customWidth="1"/>
    <col min="29" max="29" width="27.28515625" style="346" customWidth="1"/>
    <col min="30" max="30" width="23.7109375" style="346" hidden="1" customWidth="1"/>
    <col min="31" max="31" width="20.85546875" style="346" customWidth="1"/>
    <col min="32" max="32" width="43.85546875" style="346" customWidth="1"/>
    <col min="33" max="33" width="8.5703125" style="346" customWidth="1"/>
    <col min="34" max="34" width="24.85546875" style="346" customWidth="1"/>
    <col min="35" max="35" width="16.42578125" style="346" customWidth="1"/>
    <col min="36" max="36" width="22.140625" style="346" customWidth="1"/>
    <col min="37" max="37" width="8.7109375" style="346" customWidth="1"/>
    <col min="38" max="38" width="18.42578125" style="346" bestFit="1" customWidth="1"/>
    <col min="39" max="39" width="14" style="346" bestFit="1" customWidth="1"/>
    <col min="40" max="40" width="9.140625" style="346" customWidth="1"/>
    <col min="41" max="41" width="11.28515625" style="346" customWidth="1"/>
    <col min="42" max="42" width="10.85546875" style="346" customWidth="1"/>
    <col min="43" max="43" width="7.7109375" style="346" customWidth="1"/>
    <col min="44" max="44" width="6.85546875" style="346" hidden="1" customWidth="1"/>
    <col min="45" max="46" width="9.7109375" style="346" customWidth="1"/>
    <col min="47" max="16384" width="8.28515625" style="346"/>
  </cols>
  <sheetData>
    <row r="1" spans="1:80" ht="36" customHeight="1" x14ac:dyDescent="0.25">
      <c r="A1" s="578" t="s">
        <v>1222</v>
      </c>
      <c r="B1" s="578" t="s">
        <v>2776</v>
      </c>
      <c r="C1" s="578" t="s">
        <v>2772</v>
      </c>
      <c r="D1" s="578" t="s">
        <v>4593</v>
      </c>
      <c r="E1" s="578" t="s">
        <v>2775</v>
      </c>
      <c r="F1" s="578" t="s">
        <v>4594</v>
      </c>
      <c r="G1" s="580" t="s">
        <v>4595</v>
      </c>
      <c r="H1" s="578" t="s">
        <v>4596</v>
      </c>
      <c r="I1" s="580" t="s">
        <v>4597</v>
      </c>
      <c r="J1" s="580" t="s">
        <v>4598</v>
      </c>
      <c r="K1" s="578" t="s">
        <v>2773</v>
      </c>
      <c r="L1" s="580" t="s">
        <v>2778</v>
      </c>
      <c r="M1" s="580" t="s">
        <v>1223</v>
      </c>
      <c r="N1" s="578" t="s">
        <v>2774</v>
      </c>
      <c r="O1" s="580" t="s">
        <v>1224</v>
      </c>
      <c r="P1" s="580" t="s">
        <v>2777</v>
      </c>
      <c r="Q1" s="583" t="s">
        <v>4599</v>
      </c>
      <c r="R1" s="583" t="s">
        <v>4600</v>
      </c>
      <c r="S1" s="576" t="s">
        <v>4601</v>
      </c>
      <c r="T1" s="576" t="s">
        <v>1225</v>
      </c>
      <c r="U1" s="478" t="s">
        <v>240</v>
      </c>
      <c r="V1" s="479"/>
      <c r="W1" s="479"/>
      <c r="X1" s="479"/>
      <c r="Y1" s="480"/>
      <c r="Z1" s="478" t="s">
        <v>4602</v>
      </c>
      <c r="AA1" s="479"/>
      <c r="AB1" s="479"/>
      <c r="AC1" s="479"/>
      <c r="AD1" s="480"/>
      <c r="AE1" s="481" t="s">
        <v>1886</v>
      </c>
      <c r="AF1" s="482" t="s">
        <v>1887</v>
      </c>
      <c r="AG1" s="571" t="s">
        <v>1226</v>
      </c>
      <c r="AH1" s="571" t="s">
        <v>1229</v>
      </c>
      <c r="AI1" s="571" t="s">
        <v>4603</v>
      </c>
      <c r="AJ1" s="571" t="s">
        <v>1227</v>
      </c>
      <c r="AK1" s="571" t="s">
        <v>1228</v>
      </c>
      <c r="AL1" s="483"/>
      <c r="AM1"/>
      <c r="AN1"/>
      <c r="AO1"/>
      <c r="AP1"/>
      <c r="AQ1"/>
      <c r="AR1"/>
      <c r="AS1"/>
      <c r="AT1"/>
      <c r="AU1"/>
      <c r="AV1"/>
      <c r="AW1"/>
      <c r="AX1"/>
      <c r="AY1"/>
      <c r="AZ1"/>
      <c r="BA1"/>
      <c r="BB1"/>
      <c r="BC1"/>
      <c r="BD1"/>
      <c r="BE1"/>
      <c r="BF1"/>
      <c r="BG1"/>
      <c r="BH1"/>
      <c r="BI1"/>
      <c r="BJ1"/>
      <c r="BK1"/>
      <c r="BL1"/>
      <c r="BM1"/>
      <c r="BN1"/>
      <c r="BO1"/>
      <c r="BP1"/>
      <c r="BQ1"/>
      <c r="BR1"/>
      <c r="BS1"/>
      <c r="BT1"/>
      <c r="BU1"/>
      <c r="BV1"/>
      <c r="BW1"/>
      <c r="BX1"/>
      <c r="BY1"/>
      <c r="BZ1"/>
      <c r="CA1"/>
      <c r="CB1"/>
    </row>
    <row r="2" spans="1:80" ht="18" customHeight="1" x14ac:dyDescent="0.25">
      <c r="A2" s="579"/>
      <c r="B2" s="579"/>
      <c r="C2" s="579"/>
      <c r="D2" s="579"/>
      <c r="E2" s="579"/>
      <c r="F2" s="579"/>
      <c r="G2" s="582"/>
      <c r="H2" s="579"/>
      <c r="I2" s="582"/>
      <c r="J2" s="582"/>
      <c r="K2" s="579"/>
      <c r="L2" s="582"/>
      <c r="M2" s="582"/>
      <c r="N2" s="579"/>
      <c r="O2" s="581"/>
      <c r="P2" s="582"/>
      <c r="Q2" s="584"/>
      <c r="R2" s="584"/>
      <c r="S2" s="577"/>
      <c r="T2" s="577"/>
      <c r="U2" s="484" t="s">
        <v>4604</v>
      </c>
      <c r="V2" s="484" t="s">
        <v>4605</v>
      </c>
      <c r="W2" s="484" t="s">
        <v>4606</v>
      </c>
      <c r="X2" s="481" t="s">
        <v>4607</v>
      </c>
      <c r="Y2" s="481" t="s">
        <v>4608</v>
      </c>
      <c r="Z2" s="484" t="s">
        <v>4604</v>
      </c>
      <c r="AA2" s="484" t="s">
        <v>4605</v>
      </c>
      <c r="AB2" s="484" t="s">
        <v>4606</v>
      </c>
      <c r="AC2" s="481" t="s">
        <v>4607</v>
      </c>
      <c r="AD2" s="481" t="s">
        <v>4608</v>
      </c>
      <c r="AE2" s="484" t="s">
        <v>4606</v>
      </c>
      <c r="AF2" s="484" t="s">
        <v>4606</v>
      </c>
      <c r="AG2" s="572"/>
      <c r="AH2" s="572"/>
      <c r="AI2" s="572"/>
      <c r="AJ2" s="572"/>
      <c r="AK2" s="572"/>
      <c r="AL2" s="483"/>
      <c r="AM2"/>
      <c r="AN2"/>
      <c r="AO2"/>
      <c r="AP2"/>
      <c r="AQ2"/>
      <c r="AR2"/>
      <c r="AS2"/>
      <c r="AT2"/>
      <c r="AU2"/>
      <c r="AV2"/>
      <c r="AW2"/>
      <c r="AX2"/>
      <c r="AY2"/>
      <c r="AZ2"/>
      <c r="BA2"/>
      <c r="BB2"/>
      <c r="BC2"/>
      <c r="BD2"/>
      <c r="BE2"/>
      <c r="BF2"/>
      <c r="BG2"/>
      <c r="BH2"/>
      <c r="BI2"/>
      <c r="BJ2"/>
      <c r="BK2"/>
      <c r="BL2"/>
      <c r="BM2"/>
      <c r="BN2"/>
      <c r="BO2"/>
      <c r="BP2"/>
      <c r="BQ2"/>
      <c r="BR2"/>
      <c r="BS2"/>
      <c r="BT2"/>
      <c r="BU2"/>
      <c r="BV2"/>
      <c r="BW2"/>
      <c r="BX2"/>
      <c r="BY2"/>
      <c r="BZ2"/>
      <c r="CA2"/>
      <c r="CB2"/>
    </row>
    <row r="3" spans="1:80" ht="18" customHeight="1" x14ac:dyDescent="0.25">
      <c r="A3" s="485">
        <v>1</v>
      </c>
      <c r="B3" s="485" t="s">
        <v>2782</v>
      </c>
      <c r="C3" s="485">
        <v>2100000221</v>
      </c>
      <c r="D3" s="485" t="s">
        <v>4609</v>
      </c>
      <c r="E3" s="485" t="s">
        <v>1244</v>
      </c>
      <c r="F3" s="485" t="s">
        <v>1243</v>
      </c>
      <c r="G3" s="485" t="s">
        <v>2779</v>
      </c>
      <c r="H3" s="485" t="s">
        <v>2538</v>
      </c>
      <c r="I3" s="485" t="s">
        <v>2780</v>
      </c>
      <c r="J3" s="485" t="s">
        <v>2781</v>
      </c>
      <c r="K3" s="485" t="s">
        <v>1756</v>
      </c>
      <c r="L3" s="485" t="s">
        <v>2783</v>
      </c>
      <c r="M3" s="486" t="s">
        <v>1230</v>
      </c>
      <c r="N3" s="486" t="s">
        <v>1231</v>
      </c>
      <c r="O3" s="485" t="s">
        <v>1231</v>
      </c>
      <c r="P3" s="485" t="s">
        <v>469</v>
      </c>
      <c r="Q3" s="487">
        <v>42789</v>
      </c>
      <c r="R3" s="487">
        <v>44242</v>
      </c>
      <c r="S3" s="488">
        <v>1.5</v>
      </c>
      <c r="T3" s="488"/>
      <c r="U3" s="489">
        <v>9914742.5999999996</v>
      </c>
      <c r="V3" s="489">
        <v>9914742.5999999996</v>
      </c>
      <c r="W3" s="489">
        <v>8944382</v>
      </c>
      <c r="X3" s="489">
        <f t="shared" ref="X3:X66" si="0">W3-U3</f>
        <v>-970360.59999999963</v>
      </c>
      <c r="Y3" s="489">
        <f t="shared" ref="Y3:Y66" si="1">W3-V3</f>
        <v>-970360.59999999963</v>
      </c>
      <c r="Z3" s="489">
        <v>9914742.5999999996</v>
      </c>
      <c r="AA3" s="489">
        <v>9914742.5999999996</v>
      </c>
      <c r="AB3" s="489">
        <v>8944382</v>
      </c>
      <c r="AC3" s="489">
        <f t="shared" ref="AC3:AC66" si="2">AB3-Z3</f>
        <v>-970360.59999999963</v>
      </c>
      <c r="AD3" s="489">
        <f t="shared" ref="AD3:AD66" si="3">AB3-AA3</f>
        <v>-970360.59999999963</v>
      </c>
      <c r="AE3" s="489">
        <v>0</v>
      </c>
      <c r="AF3" s="489">
        <v>0</v>
      </c>
      <c r="AG3" s="490" t="s">
        <v>1245</v>
      </c>
      <c r="AH3" s="490" t="s">
        <v>1247</v>
      </c>
      <c r="AI3" s="490" t="s">
        <v>1248</v>
      </c>
      <c r="AJ3" s="490" t="s">
        <v>1246</v>
      </c>
      <c r="AK3" s="490" t="s">
        <v>1235</v>
      </c>
      <c r="AL3" s="491"/>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row>
    <row r="4" spans="1:80" ht="18" customHeight="1" x14ac:dyDescent="0.25">
      <c r="A4" s="485">
        <f t="shared" ref="A4:A67" si="4">A3+1</f>
        <v>2</v>
      </c>
      <c r="B4" s="485" t="s">
        <v>2788</v>
      </c>
      <c r="C4" s="485">
        <v>4100000168</v>
      </c>
      <c r="D4" s="485" t="s">
        <v>4610</v>
      </c>
      <c r="E4" s="485" t="s">
        <v>1249</v>
      </c>
      <c r="F4" s="485" t="s">
        <v>2787</v>
      </c>
      <c r="G4" s="485" t="s">
        <v>2784</v>
      </c>
      <c r="H4" s="485" t="s">
        <v>2539</v>
      </c>
      <c r="I4" s="485" t="s">
        <v>2785</v>
      </c>
      <c r="J4" s="485" t="s">
        <v>2786</v>
      </c>
      <c r="K4" s="485" t="s">
        <v>1756</v>
      </c>
      <c r="L4" s="485" t="s">
        <v>2783</v>
      </c>
      <c r="M4" s="486" t="s">
        <v>1230</v>
      </c>
      <c r="N4" s="486" t="s">
        <v>1231</v>
      </c>
      <c r="O4" s="485" t="s">
        <v>1232</v>
      </c>
      <c r="P4" s="485" t="s">
        <v>469</v>
      </c>
      <c r="Q4" s="487">
        <v>42790</v>
      </c>
      <c r="R4" s="487">
        <v>45712</v>
      </c>
      <c r="S4" s="488">
        <v>0.35</v>
      </c>
      <c r="T4" s="488"/>
      <c r="U4" s="489">
        <v>2774686.11</v>
      </c>
      <c r="V4" s="489">
        <v>2774686.11</v>
      </c>
      <c r="W4" s="489">
        <v>2774686.11</v>
      </c>
      <c r="X4" s="489">
        <f t="shared" si="0"/>
        <v>0</v>
      </c>
      <c r="Y4" s="489">
        <f t="shared" si="1"/>
        <v>0</v>
      </c>
      <c r="Z4" s="489">
        <v>2774686.11</v>
      </c>
      <c r="AA4" s="489">
        <v>2774686.11</v>
      </c>
      <c r="AB4" s="489">
        <v>2774686.11</v>
      </c>
      <c r="AC4" s="489">
        <f t="shared" si="2"/>
        <v>0</v>
      </c>
      <c r="AD4" s="489">
        <f t="shared" si="3"/>
        <v>0</v>
      </c>
      <c r="AE4" s="489">
        <v>0</v>
      </c>
      <c r="AF4" s="489">
        <v>0</v>
      </c>
      <c r="AG4" s="490" t="s">
        <v>1250</v>
      </c>
      <c r="AH4" s="490" t="s">
        <v>1252</v>
      </c>
      <c r="AI4" s="490" t="s">
        <v>1248</v>
      </c>
      <c r="AJ4" s="490" t="s">
        <v>1234</v>
      </c>
      <c r="AK4" s="490" t="s">
        <v>1251</v>
      </c>
      <c r="AL4" s="491"/>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row>
    <row r="5" spans="1:80" ht="18" customHeight="1" x14ac:dyDescent="0.25">
      <c r="A5" s="492">
        <f t="shared" si="4"/>
        <v>3</v>
      </c>
      <c r="B5" s="492" t="s">
        <v>2790</v>
      </c>
      <c r="C5" s="492">
        <v>1100000141</v>
      </c>
      <c r="D5" s="492" t="s">
        <v>4611</v>
      </c>
      <c r="E5" s="492" t="s">
        <v>260</v>
      </c>
      <c r="F5" s="492" t="s">
        <v>2540</v>
      </c>
      <c r="G5" s="492" t="s">
        <v>1070</v>
      </c>
      <c r="H5" s="492" t="s">
        <v>2540</v>
      </c>
      <c r="I5" s="492" t="s">
        <v>1070</v>
      </c>
      <c r="J5" s="492" t="s">
        <v>2789</v>
      </c>
      <c r="K5" s="492" t="s">
        <v>1756</v>
      </c>
      <c r="L5" s="492" t="s">
        <v>2783</v>
      </c>
      <c r="M5" s="493" t="s">
        <v>1230</v>
      </c>
      <c r="N5" s="493" t="s">
        <v>1232</v>
      </c>
      <c r="O5" s="492" t="s">
        <v>1232</v>
      </c>
      <c r="P5" s="492" t="s">
        <v>1156</v>
      </c>
      <c r="Q5" s="494">
        <v>42804</v>
      </c>
      <c r="R5" s="494">
        <v>44904</v>
      </c>
      <c r="S5" s="495">
        <v>0.75</v>
      </c>
      <c r="T5" s="495"/>
      <c r="U5" s="496">
        <v>80000</v>
      </c>
      <c r="V5" s="496">
        <v>70000</v>
      </c>
      <c r="W5" s="496">
        <v>70000</v>
      </c>
      <c r="X5" s="496">
        <f t="shared" si="0"/>
        <v>-10000</v>
      </c>
      <c r="Y5" s="496">
        <f t="shared" si="1"/>
        <v>0</v>
      </c>
      <c r="Z5" s="496">
        <v>80000</v>
      </c>
      <c r="AA5" s="496">
        <v>70000</v>
      </c>
      <c r="AB5" s="496">
        <v>70000</v>
      </c>
      <c r="AC5" s="496">
        <f t="shared" si="2"/>
        <v>-10000</v>
      </c>
      <c r="AD5" s="496">
        <f t="shared" si="3"/>
        <v>0</v>
      </c>
      <c r="AE5" s="496">
        <v>0</v>
      </c>
      <c r="AF5" s="496">
        <v>0</v>
      </c>
      <c r="AG5" s="497" t="s">
        <v>1237</v>
      </c>
      <c r="AH5" s="497" t="s">
        <v>1254</v>
      </c>
      <c r="AI5" s="497"/>
      <c r="AJ5" s="497" t="s">
        <v>1253</v>
      </c>
      <c r="AK5" s="497" t="s">
        <v>1239</v>
      </c>
      <c r="AL5" s="491"/>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row>
    <row r="6" spans="1:80" ht="18" customHeight="1" x14ac:dyDescent="0.25">
      <c r="A6" s="486">
        <f t="shared" si="4"/>
        <v>4</v>
      </c>
      <c r="B6" s="486" t="s">
        <v>2795</v>
      </c>
      <c r="C6" s="486">
        <v>4100000241</v>
      </c>
      <c r="D6" s="486" t="s">
        <v>4612</v>
      </c>
      <c r="E6" s="486" t="s">
        <v>1255</v>
      </c>
      <c r="F6" s="486" t="s">
        <v>2794</v>
      </c>
      <c r="G6" s="486" t="s">
        <v>2791</v>
      </c>
      <c r="H6" s="485" t="s">
        <v>2684</v>
      </c>
      <c r="I6" s="486" t="s">
        <v>2792</v>
      </c>
      <c r="J6" s="486" t="s">
        <v>2793</v>
      </c>
      <c r="K6" s="486" t="s">
        <v>1756</v>
      </c>
      <c r="L6" s="486" t="s">
        <v>2783</v>
      </c>
      <c r="M6" s="486" t="s">
        <v>1230</v>
      </c>
      <c r="N6" s="486" t="s">
        <v>1231</v>
      </c>
      <c r="O6" s="486" t="s">
        <v>1232</v>
      </c>
      <c r="P6" s="486" t="s">
        <v>469</v>
      </c>
      <c r="Q6" s="487">
        <v>42810</v>
      </c>
      <c r="R6" s="487">
        <v>46309</v>
      </c>
      <c r="S6" s="488">
        <v>0.35</v>
      </c>
      <c r="T6" s="488"/>
      <c r="U6" s="489">
        <v>7716095.9000000004</v>
      </c>
      <c r="V6" s="489">
        <v>7704439.1799999997</v>
      </c>
      <c r="W6" s="489">
        <v>7704439.1799999997</v>
      </c>
      <c r="X6" s="489">
        <f t="shared" si="0"/>
        <v>-11656.720000000671</v>
      </c>
      <c r="Y6" s="489">
        <f t="shared" si="1"/>
        <v>0</v>
      </c>
      <c r="Z6" s="489">
        <v>7716095.9000000004</v>
      </c>
      <c r="AA6" s="489">
        <v>7704439.1799999997</v>
      </c>
      <c r="AB6" s="489">
        <v>7704439.1799999997</v>
      </c>
      <c r="AC6" s="489">
        <f t="shared" si="2"/>
        <v>-11656.720000000671</v>
      </c>
      <c r="AD6" s="489">
        <f t="shared" si="3"/>
        <v>0</v>
      </c>
      <c r="AE6" s="489">
        <v>0</v>
      </c>
      <c r="AF6" s="489">
        <v>0</v>
      </c>
      <c r="AG6" s="490" t="s">
        <v>1250</v>
      </c>
      <c r="AH6" s="490" t="s">
        <v>1252</v>
      </c>
      <c r="AI6" s="490" t="s">
        <v>1256</v>
      </c>
      <c r="AJ6" s="490" t="s">
        <v>1234</v>
      </c>
      <c r="AK6" s="490" t="s">
        <v>1251</v>
      </c>
      <c r="AL6" s="491"/>
      <c r="AM6"/>
      <c r="AN6"/>
      <c r="AO6"/>
      <c r="AP6"/>
      <c r="AQ6"/>
      <c r="AR6"/>
      <c r="AS6"/>
      <c r="AT6"/>
      <c r="AU6"/>
      <c r="AV6"/>
      <c r="AW6"/>
      <c r="AX6"/>
      <c r="AY6"/>
      <c r="AZ6"/>
      <c r="BA6"/>
      <c r="BB6"/>
      <c r="BC6"/>
      <c r="BD6"/>
      <c r="BE6"/>
      <c r="BF6"/>
      <c r="BG6"/>
      <c r="BH6"/>
      <c r="BI6"/>
      <c r="BJ6"/>
      <c r="BK6"/>
      <c r="BL6"/>
      <c r="BM6"/>
      <c r="BN6"/>
      <c r="BO6"/>
      <c r="BP6"/>
      <c r="BQ6"/>
      <c r="BR6"/>
      <c r="BS6"/>
      <c r="BT6"/>
      <c r="BU6"/>
      <c r="BV6"/>
      <c r="BW6"/>
      <c r="BX6"/>
      <c r="BY6"/>
      <c r="BZ6"/>
      <c r="CA6"/>
      <c r="CB6"/>
    </row>
    <row r="7" spans="1:80" ht="18" customHeight="1" x14ac:dyDescent="0.25">
      <c r="A7" s="486">
        <f t="shared" si="4"/>
        <v>5</v>
      </c>
      <c r="B7" s="486" t="s">
        <v>2798</v>
      </c>
      <c r="C7" s="486">
        <v>4100000242</v>
      </c>
      <c r="D7" s="486" t="s">
        <v>4613</v>
      </c>
      <c r="E7" s="486" t="s">
        <v>1255</v>
      </c>
      <c r="F7" s="486" t="s">
        <v>2797</v>
      </c>
      <c r="G7" s="486" t="s">
        <v>2796</v>
      </c>
      <c r="H7" s="485" t="s">
        <v>2684</v>
      </c>
      <c r="I7" s="486" t="s">
        <v>2792</v>
      </c>
      <c r="J7" s="486" t="s">
        <v>2793</v>
      </c>
      <c r="K7" s="486" t="s">
        <v>1756</v>
      </c>
      <c r="L7" s="486" t="s">
        <v>2783</v>
      </c>
      <c r="M7" s="486" t="s">
        <v>1230</v>
      </c>
      <c r="N7" s="486" t="s">
        <v>1231</v>
      </c>
      <c r="O7" s="486" t="s">
        <v>1232</v>
      </c>
      <c r="P7" s="486" t="s">
        <v>469</v>
      </c>
      <c r="Q7" s="487">
        <v>42810</v>
      </c>
      <c r="R7" s="487">
        <v>46309</v>
      </c>
      <c r="S7" s="488">
        <v>0.35</v>
      </c>
      <c r="T7" s="488"/>
      <c r="U7" s="489">
        <v>7716095.9000000004</v>
      </c>
      <c r="V7" s="489">
        <v>7704439.1799999997</v>
      </c>
      <c r="W7" s="489">
        <v>7704439.1799999997</v>
      </c>
      <c r="X7" s="489">
        <f t="shared" si="0"/>
        <v>-11656.720000000671</v>
      </c>
      <c r="Y7" s="489">
        <f t="shared" si="1"/>
        <v>0</v>
      </c>
      <c r="Z7" s="489">
        <v>7716095.9000000004</v>
      </c>
      <c r="AA7" s="489">
        <v>7704439.1799999997</v>
      </c>
      <c r="AB7" s="489">
        <v>7704439.1799999997</v>
      </c>
      <c r="AC7" s="489">
        <f t="shared" si="2"/>
        <v>-11656.720000000671</v>
      </c>
      <c r="AD7" s="489">
        <f t="shared" si="3"/>
        <v>0</v>
      </c>
      <c r="AE7" s="489">
        <v>0</v>
      </c>
      <c r="AF7" s="489">
        <v>0</v>
      </c>
      <c r="AG7" s="490" t="s">
        <v>1250</v>
      </c>
      <c r="AH7" s="490" t="s">
        <v>1252</v>
      </c>
      <c r="AI7" s="490" t="s">
        <v>1256</v>
      </c>
      <c r="AJ7" s="490" t="s">
        <v>1234</v>
      </c>
      <c r="AK7" s="490" t="s">
        <v>1251</v>
      </c>
      <c r="AL7" s="491"/>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row>
    <row r="8" spans="1:80" ht="18" customHeight="1" x14ac:dyDescent="0.25">
      <c r="A8" s="485">
        <f t="shared" si="4"/>
        <v>6</v>
      </c>
      <c r="B8" s="485" t="s">
        <v>2803</v>
      </c>
      <c r="C8" s="485">
        <v>7100000103</v>
      </c>
      <c r="D8" s="485" t="s">
        <v>4614</v>
      </c>
      <c r="E8" s="485" t="s">
        <v>1257</v>
      </c>
      <c r="F8" s="485" t="s">
        <v>2802</v>
      </c>
      <c r="G8" s="485" t="s">
        <v>2799</v>
      </c>
      <c r="H8" s="485" t="s">
        <v>4512</v>
      </c>
      <c r="I8" s="485" t="s">
        <v>2800</v>
      </c>
      <c r="J8" s="485" t="s">
        <v>2801</v>
      </c>
      <c r="K8" s="485" t="s">
        <v>1756</v>
      </c>
      <c r="L8" s="485" t="s">
        <v>2783</v>
      </c>
      <c r="M8" s="486" t="s">
        <v>1230</v>
      </c>
      <c r="N8" s="486" t="s">
        <v>1231</v>
      </c>
      <c r="O8" s="485" t="s">
        <v>1231</v>
      </c>
      <c r="P8" s="485" t="s">
        <v>469</v>
      </c>
      <c r="Q8" s="487">
        <v>42832</v>
      </c>
      <c r="R8" s="487">
        <v>44670</v>
      </c>
      <c r="S8" s="488">
        <v>1.5</v>
      </c>
      <c r="T8" s="488"/>
      <c r="U8" s="489">
        <v>2657267</v>
      </c>
      <c r="V8" s="489">
        <v>2657267</v>
      </c>
      <c r="W8" s="489">
        <v>2657267</v>
      </c>
      <c r="X8" s="489">
        <f t="shared" si="0"/>
        <v>0</v>
      </c>
      <c r="Y8" s="489">
        <f t="shared" si="1"/>
        <v>0</v>
      </c>
      <c r="Z8" s="489">
        <v>2059511.37</v>
      </c>
      <c r="AA8" s="489">
        <v>2059511.37</v>
      </c>
      <c r="AB8" s="489">
        <v>2059511.37</v>
      </c>
      <c r="AC8" s="489">
        <f t="shared" si="2"/>
        <v>0</v>
      </c>
      <c r="AD8" s="489">
        <f t="shared" si="3"/>
        <v>0</v>
      </c>
      <c r="AE8" s="489">
        <v>0</v>
      </c>
      <c r="AF8" s="489">
        <v>597755.63</v>
      </c>
      <c r="AG8" s="490" t="s">
        <v>1258</v>
      </c>
      <c r="AH8" s="490" t="s">
        <v>1247</v>
      </c>
      <c r="AI8" s="490" t="s">
        <v>1248</v>
      </c>
      <c r="AJ8" s="490" t="s">
        <v>1246</v>
      </c>
      <c r="AK8" s="490" t="s">
        <v>1235</v>
      </c>
      <c r="AL8" s="491"/>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row>
    <row r="9" spans="1:80" ht="18" customHeight="1" x14ac:dyDescent="0.25">
      <c r="A9" s="485">
        <f t="shared" si="4"/>
        <v>7</v>
      </c>
      <c r="B9" s="485" t="s">
        <v>2808</v>
      </c>
      <c r="C9" s="485">
        <v>4100000208</v>
      </c>
      <c r="D9" s="485" t="s">
        <v>4615</v>
      </c>
      <c r="E9" s="485" t="s">
        <v>1261</v>
      </c>
      <c r="F9" s="485" t="s">
        <v>2807</v>
      </c>
      <c r="G9" s="485" t="s">
        <v>2804</v>
      </c>
      <c r="H9" s="485" t="s">
        <v>2541</v>
      </c>
      <c r="I9" s="485" t="s">
        <v>2805</v>
      </c>
      <c r="J9" s="485" t="s">
        <v>2806</v>
      </c>
      <c r="K9" s="485" t="s">
        <v>1756</v>
      </c>
      <c r="L9" s="485" t="s">
        <v>2783</v>
      </c>
      <c r="M9" s="486" t="s">
        <v>1230</v>
      </c>
      <c r="N9" s="485" t="s">
        <v>1231</v>
      </c>
      <c r="O9" s="485" t="s">
        <v>1232</v>
      </c>
      <c r="P9" s="485" t="s">
        <v>469</v>
      </c>
      <c r="Q9" s="487">
        <v>42874</v>
      </c>
      <c r="R9" s="487">
        <v>44840</v>
      </c>
      <c r="S9" s="488">
        <v>0.35</v>
      </c>
      <c r="T9" s="488"/>
      <c r="U9" s="489">
        <v>1137526.31</v>
      </c>
      <c r="V9" s="489">
        <v>1137526.31</v>
      </c>
      <c r="W9" s="489">
        <v>1137526.31</v>
      </c>
      <c r="X9" s="489">
        <f t="shared" si="0"/>
        <v>0</v>
      </c>
      <c r="Y9" s="489">
        <f t="shared" si="1"/>
        <v>0</v>
      </c>
      <c r="Z9" s="489">
        <v>1137526.31</v>
      </c>
      <c r="AA9" s="489">
        <v>1137526.31</v>
      </c>
      <c r="AB9" s="489">
        <v>1137526.31</v>
      </c>
      <c r="AC9" s="489">
        <f t="shared" si="2"/>
        <v>0</v>
      </c>
      <c r="AD9" s="489">
        <f t="shared" si="3"/>
        <v>0</v>
      </c>
      <c r="AE9" s="489">
        <v>0</v>
      </c>
      <c r="AF9" s="489">
        <v>0</v>
      </c>
      <c r="AG9" s="490" t="s">
        <v>1250</v>
      </c>
      <c r="AH9" s="490" t="s">
        <v>1252</v>
      </c>
      <c r="AI9" s="490" t="s">
        <v>1248</v>
      </c>
      <c r="AJ9" s="490" t="s">
        <v>1234</v>
      </c>
      <c r="AK9" s="490" t="s">
        <v>1251</v>
      </c>
      <c r="AL9" s="491"/>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row>
    <row r="10" spans="1:80" ht="18" customHeight="1" x14ac:dyDescent="0.25">
      <c r="A10" s="492">
        <f t="shared" si="4"/>
        <v>8</v>
      </c>
      <c r="B10" s="492" t="s">
        <v>2811</v>
      </c>
      <c r="C10" s="492">
        <v>2100000179</v>
      </c>
      <c r="D10" s="492" t="s">
        <v>4616</v>
      </c>
      <c r="E10" s="492" t="s">
        <v>1262</v>
      </c>
      <c r="F10" s="492" t="s">
        <v>2542</v>
      </c>
      <c r="G10" s="492" t="s">
        <v>2809</v>
      </c>
      <c r="H10" s="492" t="s">
        <v>2542</v>
      </c>
      <c r="I10" s="492" t="s">
        <v>2809</v>
      </c>
      <c r="J10" s="492" t="s">
        <v>2810</v>
      </c>
      <c r="K10" s="492" t="s">
        <v>1756</v>
      </c>
      <c r="L10" s="492" t="s">
        <v>2783</v>
      </c>
      <c r="M10" s="493" t="s">
        <v>1230</v>
      </c>
      <c r="N10" s="493" t="s">
        <v>1232</v>
      </c>
      <c r="O10" s="492" t="s">
        <v>1231</v>
      </c>
      <c r="P10" s="492" t="s">
        <v>469</v>
      </c>
      <c r="Q10" s="494">
        <v>42888</v>
      </c>
      <c r="R10" s="494">
        <v>44742</v>
      </c>
      <c r="S10" s="495">
        <v>1.5</v>
      </c>
      <c r="T10" s="495"/>
      <c r="U10" s="496">
        <v>18178040.670000002</v>
      </c>
      <c r="V10" s="496">
        <v>18178040.670000002</v>
      </c>
      <c r="W10" s="496">
        <v>18178040.670000002</v>
      </c>
      <c r="X10" s="496">
        <f t="shared" si="0"/>
        <v>0</v>
      </c>
      <c r="Y10" s="496">
        <f t="shared" si="1"/>
        <v>0</v>
      </c>
      <c r="Z10" s="496">
        <v>18178040.670000002</v>
      </c>
      <c r="AA10" s="496">
        <v>18178040.670000002</v>
      </c>
      <c r="AB10" s="496">
        <v>18178040.670000002</v>
      </c>
      <c r="AC10" s="496">
        <f t="shared" si="2"/>
        <v>0</v>
      </c>
      <c r="AD10" s="496">
        <f t="shared" si="3"/>
        <v>0</v>
      </c>
      <c r="AE10" s="496">
        <v>0</v>
      </c>
      <c r="AF10" s="496">
        <v>0</v>
      </c>
      <c r="AG10" s="497" t="s">
        <v>1245</v>
      </c>
      <c r="AH10" s="497" t="s">
        <v>1247</v>
      </c>
      <c r="AI10" s="497" t="s">
        <v>1248</v>
      </c>
      <c r="AJ10" s="497" t="s">
        <v>1246</v>
      </c>
      <c r="AK10" s="497" t="s">
        <v>1235</v>
      </c>
      <c r="AL10" s="491"/>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c r="BV10"/>
      <c r="BW10"/>
      <c r="BX10"/>
      <c r="BY10"/>
      <c r="BZ10"/>
      <c r="CA10"/>
      <c r="CB10"/>
    </row>
    <row r="11" spans="1:80" ht="18" customHeight="1" x14ac:dyDescent="0.25">
      <c r="A11" s="485">
        <f t="shared" si="4"/>
        <v>9</v>
      </c>
      <c r="B11" s="485" t="s">
        <v>2821</v>
      </c>
      <c r="C11" s="485">
        <v>4100000137</v>
      </c>
      <c r="D11" s="485" t="s">
        <v>4617</v>
      </c>
      <c r="E11" s="485" t="s">
        <v>1264</v>
      </c>
      <c r="F11" s="485" t="s">
        <v>2820</v>
      </c>
      <c r="G11" s="485" t="s">
        <v>2817</v>
      </c>
      <c r="H11" s="485" t="s">
        <v>2544</v>
      </c>
      <c r="I11" s="485" t="s">
        <v>2818</v>
      </c>
      <c r="J11" s="485" t="s">
        <v>2819</v>
      </c>
      <c r="K11" s="485" t="s">
        <v>1756</v>
      </c>
      <c r="L11" s="485" t="s">
        <v>2783</v>
      </c>
      <c r="M11" s="486" t="s">
        <v>1230</v>
      </c>
      <c r="N11" s="486" t="s">
        <v>1231</v>
      </c>
      <c r="O11" s="485" t="s">
        <v>1232</v>
      </c>
      <c r="P11" s="485" t="s">
        <v>469</v>
      </c>
      <c r="Q11" s="487">
        <v>42891</v>
      </c>
      <c r="R11" s="487">
        <v>45279</v>
      </c>
      <c r="S11" s="488">
        <v>0.35</v>
      </c>
      <c r="T11" s="488"/>
      <c r="U11" s="489">
        <v>3377924.96</v>
      </c>
      <c r="V11" s="489">
        <v>3377924.96</v>
      </c>
      <c r="W11" s="489">
        <v>3377924.96</v>
      </c>
      <c r="X11" s="489">
        <f t="shared" si="0"/>
        <v>0</v>
      </c>
      <c r="Y11" s="489">
        <f t="shared" si="1"/>
        <v>0</v>
      </c>
      <c r="Z11" s="489">
        <v>3377924.96</v>
      </c>
      <c r="AA11" s="489">
        <v>3377924.96</v>
      </c>
      <c r="AB11" s="489">
        <v>3377924.96</v>
      </c>
      <c r="AC11" s="489">
        <f t="shared" si="2"/>
        <v>0</v>
      </c>
      <c r="AD11" s="489">
        <f t="shared" si="3"/>
        <v>0</v>
      </c>
      <c r="AE11" s="489">
        <v>0</v>
      </c>
      <c r="AF11" s="489">
        <v>0</v>
      </c>
      <c r="AG11" s="490" t="s">
        <v>1250</v>
      </c>
      <c r="AH11" s="490" t="s">
        <v>1252</v>
      </c>
      <c r="AI11" s="490" t="s">
        <v>1248</v>
      </c>
      <c r="AJ11" s="490" t="s">
        <v>1234</v>
      </c>
      <c r="AK11" s="490" t="s">
        <v>1251</v>
      </c>
      <c r="AL11" s="49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row>
    <row r="12" spans="1:80" ht="18" customHeight="1" x14ac:dyDescent="0.25">
      <c r="A12" s="485">
        <f t="shared" si="4"/>
        <v>10</v>
      </c>
      <c r="B12" s="485" t="s">
        <v>2822</v>
      </c>
      <c r="C12" s="485">
        <v>4100000138</v>
      </c>
      <c r="D12" s="485" t="s">
        <v>4618</v>
      </c>
      <c r="E12" s="485" t="s">
        <v>1264</v>
      </c>
      <c r="F12" s="485" t="s">
        <v>2820</v>
      </c>
      <c r="G12" s="485" t="s">
        <v>2817</v>
      </c>
      <c r="H12" s="485" t="s">
        <v>2544</v>
      </c>
      <c r="I12" s="485" t="s">
        <v>2818</v>
      </c>
      <c r="J12" s="485" t="s">
        <v>2819</v>
      </c>
      <c r="K12" s="485" t="s">
        <v>1756</v>
      </c>
      <c r="L12" s="485" t="s">
        <v>2783</v>
      </c>
      <c r="M12" s="486" t="s">
        <v>1230</v>
      </c>
      <c r="N12" s="486" t="s">
        <v>1231</v>
      </c>
      <c r="O12" s="485" t="s">
        <v>1232</v>
      </c>
      <c r="P12" s="485" t="s">
        <v>469</v>
      </c>
      <c r="Q12" s="487">
        <v>42891</v>
      </c>
      <c r="R12" s="487">
        <v>45279</v>
      </c>
      <c r="S12" s="488">
        <v>0.35</v>
      </c>
      <c r="T12" s="488"/>
      <c r="U12" s="489">
        <v>822075.04</v>
      </c>
      <c r="V12" s="489">
        <v>822075.04</v>
      </c>
      <c r="W12" s="489">
        <v>822075.04</v>
      </c>
      <c r="X12" s="489">
        <f t="shared" si="0"/>
        <v>0</v>
      </c>
      <c r="Y12" s="489">
        <f t="shared" si="1"/>
        <v>0</v>
      </c>
      <c r="Z12" s="489">
        <v>822075.04</v>
      </c>
      <c r="AA12" s="489">
        <v>822075.04</v>
      </c>
      <c r="AB12" s="489">
        <v>822075.04</v>
      </c>
      <c r="AC12" s="489">
        <f t="shared" si="2"/>
        <v>0</v>
      </c>
      <c r="AD12" s="489">
        <f t="shared" si="3"/>
        <v>0</v>
      </c>
      <c r="AE12" s="489">
        <v>0</v>
      </c>
      <c r="AF12" s="489">
        <v>0</v>
      </c>
      <c r="AG12" s="490" t="s">
        <v>1250</v>
      </c>
      <c r="AH12" s="490" t="s">
        <v>1252</v>
      </c>
      <c r="AI12" s="490" t="s">
        <v>1248</v>
      </c>
      <c r="AJ12" s="490" t="s">
        <v>1234</v>
      </c>
      <c r="AK12" s="490" t="s">
        <v>1251</v>
      </c>
      <c r="AL12" s="491"/>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row>
    <row r="13" spans="1:80" ht="18" customHeight="1" x14ac:dyDescent="0.25">
      <c r="A13" s="492">
        <f t="shared" si="4"/>
        <v>11</v>
      </c>
      <c r="B13" s="492" t="s">
        <v>2825</v>
      </c>
      <c r="C13" s="492">
        <v>2100000161</v>
      </c>
      <c r="D13" s="492" t="s">
        <v>4619</v>
      </c>
      <c r="E13" s="492" t="s">
        <v>1265</v>
      </c>
      <c r="F13" s="492" t="s">
        <v>2545</v>
      </c>
      <c r="G13" s="492" t="s">
        <v>2823</v>
      </c>
      <c r="H13" s="492" t="s">
        <v>2545</v>
      </c>
      <c r="I13" s="492" t="s">
        <v>2823</v>
      </c>
      <c r="J13" s="492" t="s">
        <v>2824</v>
      </c>
      <c r="K13" s="492" t="s">
        <v>1756</v>
      </c>
      <c r="L13" s="492" t="s">
        <v>2783</v>
      </c>
      <c r="M13" s="493" t="s">
        <v>1230</v>
      </c>
      <c r="N13" s="493" t="s">
        <v>1232</v>
      </c>
      <c r="O13" s="492" t="s">
        <v>1232</v>
      </c>
      <c r="P13" s="492" t="s">
        <v>469</v>
      </c>
      <c r="Q13" s="494">
        <v>42899</v>
      </c>
      <c r="R13" s="494">
        <v>44742</v>
      </c>
      <c r="S13" s="495">
        <v>1.5</v>
      </c>
      <c r="T13" s="495"/>
      <c r="U13" s="496">
        <v>11455703</v>
      </c>
      <c r="V13" s="496">
        <v>11455703</v>
      </c>
      <c r="W13" s="496">
        <v>11455703</v>
      </c>
      <c r="X13" s="496">
        <f t="shared" si="0"/>
        <v>0</v>
      </c>
      <c r="Y13" s="496">
        <f t="shared" si="1"/>
        <v>0</v>
      </c>
      <c r="Z13" s="496">
        <v>11215920.470000001</v>
      </c>
      <c r="AA13" s="496">
        <v>11215920.470000001</v>
      </c>
      <c r="AB13" s="496">
        <v>11286749.800000001</v>
      </c>
      <c r="AC13" s="496">
        <f t="shared" si="2"/>
        <v>70829.330000000075</v>
      </c>
      <c r="AD13" s="496">
        <f t="shared" si="3"/>
        <v>70829.330000000075</v>
      </c>
      <c r="AE13" s="496">
        <v>0</v>
      </c>
      <c r="AF13" s="496">
        <v>168953.2</v>
      </c>
      <c r="AG13" s="497" t="s">
        <v>1245</v>
      </c>
      <c r="AH13" s="497" t="s">
        <v>1247</v>
      </c>
      <c r="AI13" s="497" t="s">
        <v>1248</v>
      </c>
      <c r="AJ13" s="497" t="s">
        <v>1246</v>
      </c>
      <c r="AK13" s="497" t="s">
        <v>1235</v>
      </c>
      <c r="AL13" s="491"/>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row>
    <row r="14" spans="1:80" ht="18" customHeight="1" x14ac:dyDescent="0.25">
      <c r="A14" s="492">
        <f t="shared" si="4"/>
        <v>12</v>
      </c>
      <c r="B14" s="492" t="s">
        <v>2828</v>
      </c>
      <c r="C14" s="492">
        <v>2100000151</v>
      </c>
      <c r="D14" s="492" t="s">
        <v>4620</v>
      </c>
      <c r="E14" s="492" t="s">
        <v>1267</v>
      </c>
      <c r="F14" s="492" t="s">
        <v>1266</v>
      </c>
      <c r="G14" s="492" t="s">
        <v>2826</v>
      </c>
      <c r="H14" s="492" t="s">
        <v>1266</v>
      </c>
      <c r="I14" s="492" t="s">
        <v>2826</v>
      </c>
      <c r="J14" s="492" t="s">
        <v>2827</v>
      </c>
      <c r="K14" s="492" t="s">
        <v>1756</v>
      </c>
      <c r="L14" s="492" t="s">
        <v>2783</v>
      </c>
      <c r="M14" s="493" t="s">
        <v>1230</v>
      </c>
      <c r="N14" s="493" t="s">
        <v>1232</v>
      </c>
      <c r="O14" s="492" t="s">
        <v>1232</v>
      </c>
      <c r="P14" s="492" t="s">
        <v>469</v>
      </c>
      <c r="Q14" s="494">
        <v>42901</v>
      </c>
      <c r="R14" s="494">
        <v>44866</v>
      </c>
      <c r="S14" s="498">
        <v>1</v>
      </c>
      <c r="T14" s="495"/>
      <c r="U14" s="496">
        <v>5809000</v>
      </c>
      <c r="V14" s="496">
        <v>5809000</v>
      </c>
      <c r="W14" s="496">
        <v>5809000</v>
      </c>
      <c r="X14" s="496">
        <f t="shared" si="0"/>
        <v>0</v>
      </c>
      <c r="Y14" s="496">
        <f t="shared" si="1"/>
        <v>0</v>
      </c>
      <c r="Z14" s="496">
        <v>5809000</v>
      </c>
      <c r="AA14" s="496">
        <v>5809000</v>
      </c>
      <c r="AB14" s="496">
        <v>5809000</v>
      </c>
      <c r="AC14" s="496">
        <f t="shared" si="2"/>
        <v>0</v>
      </c>
      <c r="AD14" s="496">
        <f t="shared" si="3"/>
        <v>0</v>
      </c>
      <c r="AE14" s="496">
        <v>0</v>
      </c>
      <c r="AF14" s="496">
        <v>0</v>
      </c>
      <c r="AG14" s="497" t="s">
        <v>1233</v>
      </c>
      <c r="AH14" s="497" t="s">
        <v>1236</v>
      </c>
      <c r="AI14" s="497"/>
      <c r="AJ14" s="497" t="s">
        <v>1234</v>
      </c>
      <c r="AK14" s="497" t="s">
        <v>1240</v>
      </c>
      <c r="AL14" s="491"/>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row>
    <row r="15" spans="1:80" ht="18" customHeight="1" x14ac:dyDescent="0.25">
      <c r="A15" s="485">
        <f t="shared" si="4"/>
        <v>13</v>
      </c>
      <c r="B15" s="485" t="s">
        <v>2832</v>
      </c>
      <c r="C15" s="485">
        <v>4100000127</v>
      </c>
      <c r="D15" s="485" t="s">
        <v>4621</v>
      </c>
      <c r="E15" s="485" t="s">
        <v>1270</v>
      </c>
      <c r="F15" s="485" t="s">
        <v>2831</v>
      </c>
      <c r="G15" s="485" t="s">
        <v>2829</v>
      </c>
      <c r="H15" s="485" t="s">
        <v>2544</v>
      </c>
      <c r="I15" s="485" t="s">
        <v>2818</v>
      </c>
      <c r="J15" s="485" t="s">
        <v>2830</v>
      </c>
      <c r="K15" s="485" t="s">
        <v>1756</v>
      </c>
      <c r="L15" s="485" t="s">
        <v>2783</v>
      </c>
      <c r="M15" s="486" t="s">
        <v>1230</v>
      </c>
      <c r="N15" s="486" t="s">
        <v>1231</v>
      </c>
      <c r="O15" s="485" t="s">
        <v>1232</v>
      </c>
      <c r="P15" s="485" t="s">
        <v>469</v>
      </c>
      <c r="Q15" s="487">
        <v>42921</v>
      </c>
      <c r="R15" s="487">
        <v>45296</v>
      </c>
      <c r="S15" s="488">
        <v>0.35</v>
      </c>
      <c r="T15" s="488"/>
      <c r="U15" s="489">
        <v>10763000</v>
      </c>
      <c r="V15" s="489">
        <v>10763000</v>
      </c>
      <c r="W15" s="489">
        <v>10763000</v>
      </c>
      <c r="X15" s="489">
        <f t="shared" si="0"/>
        <v>0</v>
      </c>
      <c r="Y15" s="489">
        <f t="shared" si="1"/>
        <v>0</v>
      </c>
      <c r="Z15" s="489">
        <v>10763000</v>
      </c>
      <c r="AA15" s="489">
        <v>10763000</v>
      </c>
      <c r="AB15" s="489">
        <v>10763000</v>
      </c>
      <c r="AC15" s="489">
        <f t="shared" si="2"/>
        <v>0</v>
      </c>
      <c r="AD15" s="489">
        <f t="shared" si="3"/>
        <v>0</v>
      </c>
      <c r="AE15" s="489">
        <v>0</v>
      </c>
      <c r="AF15" s="489">
        <v>0</v>
      </c>
      <c r="AG15" s="490" t="s">
        <v>1250</v>
      </c>
      <c r="AH15" s="490" t="s">
        <v>1252</v>
      </c>
      <c r="AI15" s="490" t="s">
        <v>1248</v>
      </c>
      <c r="AJ15" s="490" t="s">
        <v>1234</v>
      </c>
      <c r="AK15" s="490" t="s">
        <v>1251</v>
      </c>
      <c r="AL15" s="491"/>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row>
    <row r="16" spans="1:80" ht="18" customHeight="1" x14ac:dyDescent="0.25">
      <c r="A16" s="485">
        <f t="shared" si="4"/>
        <v>14</v>
      </c>
      <c r="B16" s="485" t="s">
        <v>2837</v>
      </c>
      <c r="C16" s="485">
        <v>4100000128</v>
      </c>
      <c r="D16" s="485" t="s">
        <v>4622</v>
      </c>
      <c r="E16" s="485" t="s">
        <v>1272</v>
      </c>
      <c r="F16" s="485" t="s">
        <v>2836</v>
      </c>
      <c r="G16" s="485" t="s">
        <v>2833</v>
      </c>
      <c r="H16" s="485" t="s">
        <v>2546</v>
      </c>
      <c r="I16" s="485" t="s">
        <v>2834</v>
      </c>
      <c r="J16" s="485" t="s">
        <v>2835</v>
      </c>
      <c r="K16" s="485" t="s">
        <v>1756</v>
      </c>
      <c r="L16" s="485" t="s">
        <v>2783</v>
      </c>
      <c r="M16" s="486" t="s">
        <v>1230</v>
      </c>
      <c r="N16" s="486" t="s">
        <v>1231</v>
      </c>
      <c r="O16" s="485" t="s">
        <v>1232</v>
      </c>
      <c r="P16" s="485" t="s">
        <v>469</v>
      </c>
      <c r="Q16" s="487">
        <v>42934</v>
      </c>
      <c r="R16" s="487">
        <v>44984</v>
      </c>
      <c r="S16" s="488">
        <v>1</v>
      </c>
      <c r="T16" s="488"/>
      <c r="U16" s="489">
        <v>4028500</v>
      </c>
      <c r="V16" s="489">
        <v>4028500</v>
      </c>
      <c r="W16" s="489">
        <v>4028500</v>
      </c>
      <c r="X16" s="489">
        <f t="shared" si="0"/>
        <v>0</v>
      </c>
      <c r="Y16" s="489">
        <f t="shared" si="1"/>
        <v>0</v>
      </c>
      <c r="Z16" s="489">
        <v>4028500</v>
      </c>
      <c r="AA16" s="489">
        <v>4028500</v>
      </c>
      <c r="AB16" s="489">
        <v>4028500</v>
      </c>
      <c r="AC16" s="489">
        <f t="shared" si="2"/>
        <v>0</v>
      </c>
      <c r="AD16" s="489">
        <f t="shared" si="3"/>
        <v>0</v>
      </c>
      <c r="AE16" s="489">
        <v>0</v>
      </c>
      <c r="AF16" s="489">
        <v>0</v>
      </c>
      <c r="AG16" s="490" t="s">
        <v>1250</v>
      </c>
      <c r="AH16" s="490" t="s">
        <v>1273</v>
      </c>
      <c r="AI16" s="490"/>
      <c r="AJ16" s="490" t="s">
        <v>1234</v>
      </c>
      <c r="AK16" s="490" t="s">
        <v>1240</v>
      </c>
      <c r="AL16" s="491"/>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row>
    <row r="17" spans="1:80" ht="18" customHeight="1" x14ac:dyDescent="0.25">
      <c r="A17" s="492">
        <f t="shared" si="4"/>
        <v>15</v>
      </c>
      <c r="B17" s="492" t="s">
        <v>2842</v>
      </c>
      <c r="C17" s="492">
        <v>4100000177</v>
      </c>
      <c r="D17" s="492" t="s">
        <v>4623</v>
      </c>
      <c r="E17" s="492" t="s">
        <v>1274</v>
      </c>
      <c r="F17" s="492" t="s">
        <v>2841</v>
      </c>
      <c r="G17" s="492" t="s">
        <v>2838</v>
      </c>
      <c r="H17" s="492" t="s">
        <v>2547</v>
      </c>
      <c r="I17" s="492" t="s">
        <v>2839</v>
      </c>
      <c r="J17" s="492" t="s">
        <v>2840</v>
      </c>
      <c r="K17" s="492" t="s">
        <v>1756</v>
      </c>
      <c r="L17" s="492" t="s">
        <v>2783</v>
      </c>
      <c r="M17" s="493" t="s">
        <v>1230</v>
      </c>
      <c r="N17" s="493" t="s">
        <v>1232</v>
      </c>
      <c r="O17" s="492" t="s">
        <v>1232</v>
      </c>
      <c r="P17" s="492" t="s">
        <v>469</v>
      </c>
      <c r="Q17" s="494">
        <v>42954</v>
      </c>
      <c r="R17" s="494">
        <v>45145</v>
      </c>
      <c r="S17" s="495">
        <v>0.35</v>
      </c>
      <c r="T17" s="495"/>
      <c r="U17" s="496">
        <v>415500</v>
      </c>
      <c r="V17" s="496">
        <v>415500</v>
      </c>
      <c r="W17" s="496">
        <v>415500</v>
      </c>
      <c r="X17" s="496">
        <f t="shared" si="0"/>
        <v>0</v>
      </c>
      <c r="Y17" s="496">
        <f t="shared" si="1"/>
        <v>0</v>
      </c>
      <c r="Z17" s="496">
        <v>415500</v>
      </c>
      <c r="AA17" s="496">
        <v>415500</v>
      </c>
      <c r="AB17" s="496">
        <v>415500</v>
      </c>
      <c r="AC17" s="496">
        <f t="shared" si="2"/>
        <v>0</v>
      </c>
      <c r="AD17" s="496">
        <f t="shared" si="3"/>
        <v>0</v>
      </c>
      <c r="AE17" s="496">
        <v>0</v>
      </c>
      <c r="AF17" s="496">
        <v>0</v>
      </c>
      <c r="AG17" s="497" t="s">
        <v>1250</v>
      </c>
      <c r="AH17" s="497" t="s">
        <v>1252</v>
      </c>
      <c r="AI17" s="497" t="s">
        <v>1248</v>
      </c>
      <c r="AJ17" s="497" t="s">
        <v>1234</v>
      </c>
      <c r="AK17" s="497" t="s">
        <v>1251</v>
      </c>
      <c r="AL17" s="491"/>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row>
    <row r="18" spans="1:80" ht="18" customHeight="1" x14ac:dyDescent="0.25">
      <c r="A18" s="485">
        <f t="shared" si="4"/>
        <v>16</v>
      </c>
      <c r="B18" s="485" t="s">
        <v>2846</v>
      </c>
      <c r="C18" s="485">
        <v>4100000153</v>
      </c>
      <c r="D18" s="485" t="s">
        <v>4624</v>
      </c>
      <c r="E18" s="485" t="s">
        <v>1271</v>
      </c>
      <c r="F18" s="485" t="s">
        <v>2845</v>
      </c>
      <c r="G18" s="485" t="s">
        <v>2843</v>
      </c>
      <c r="H18" s="485" t="s">
        <v>2539</v>
      </c>
      <c r="I18" s="485" t="s">
        <v>2785</v>
      </c>
      <c r="J18" s="485" t="s">
        <v>2844</v>
      </c>
      <c r="K18" s="485" t="s">
        <v>1756</v>
      </c>
      <c r="L18" s="485" t="s">
        <v>2783</v>
      </c>
      <c r="M18" s="486" t="s">
        <v>1230</v>
      </c>
      <c r="N18" s="486" t="s">
        <v>1231</v>
      </c>
      <c r="O18" s="485" t="s">
        <v>1232</v>
      </c>
      <c r="P18" s="485" t="s">
        <v>469</v>
      </c>
      <c r="Q18" s="487">
        <v>42923</v>
      </c>
      <c r="R18" s="487">
        <v>45845</v>
      </c>
      <c r="S18" s="488">
        <v>0.35</v>
      </c>
      <c r="T18" s="488"/>
      <c r="U18" s="489">
        <v>945000</v>
      </c>
      <c r="V18" s="489">
        <v>945000</v>
      </c>
      <c r="W18" s="489">
        <v>944000</v>
      </c>
      <c r="X18" s="489">
        <f t="shared" si="0"/>
        <v>-1000</v>
      </c>
      <c r="Y18" s="489">
        <f t="shared" si="1"/>
        <v>-1000</v>
      </c>
      <c r="Z18" s="489">
        <v>945000</v>
      </c>
      <c r="AA18" s="489">
        <v>945000</v>
      </c>
      <c r="AB18" s="489">
        <v>944000</v>
      </c>
      <c r="AC18" s="489">
        <f t="shared" si="2"/>
        <v>-1000</v>
      </c>
      <c r="AD18" s="489">
        <f t="shared" si="3"/>
        <v>-1000</v>
      </c>
      <c r="AE18" s="489">
        <v>0</v>
      </c>
      <c r="AF18" s="489">
        <v>0</v>
      </c>
      <c r="AG18" s="490" t="s">
        <v>1250</v>
      </c>
      <c r="AH18" s="490" t="s">
        <v>1252</v>
      </c>
      <c r="AI18" s="490" t="s">
        <v>1248</v>
      </c>
      <c r="AJ18" s="490" t="s">
        <v>1234</v>
      </c>
      <c r="AK18" s="490" t="s">
        <v>1251</v>
      </c>
      <c r="AL18" s="491"/>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row>
    <row r="19" spans="1:80" ht="18" customHeight="1" x14ac:dyDescent="0.25">
      <c r="A19" s="492">
        <f t="shared" si="4"/>
        <v>17</v>
      </c>
      <c r="B19" s="492" t="s">
        <v>2851</v>
      </c>
      <c r="C19" s="492">
        <v>4100000152</v>
      </c>
      <c r="D19" s="492" t="s">
        <v>4625</v>
      </c>
      <c r="E19" s="492" t="s">
        <v>1275</v>
      </c>
      <c r="F19" s="492" t="s">
        <v>2850</v>
      </c>
      <c r="G19" s="492" t="s">
        <v>2847</v>
      </c>
      <c r="H19" s="492" t="s">
        <v>2548</v>
      </c>
      <c r="I19" s="492" t="s">
        <v>2848</v>
      </c>
      <c r="J19" s="492" t="s">
        <v>2849</v>
      </c>
      <c r="K19" s="492" t="s">
        <v>1756</v>
      </c>
      <c r="L19" s="492" t="s">
        <v>2783</v>
      </c>
      <c r="M19" s="493" t="s">
        <v>1230</v>
      </c>
      <c r="N19" s="493" t="s">
        <v>1231</v>
      </c>
      <c r="O19" s="492" t="s">
        <v>1232</v>
      </c>
      <c r="P19" s="492" t="s">
        <v>469</v>
      </c>
      <c r="Q19" s="494">
        <v>42985</v>
      </c>
      <c r="R19" s="494">
        <v>44811</v>
      </c>
      <c r="S19" s="495">
        <v>0.35</v>
      </c>
      <c r="T19" s="495"/>
      <c r="U19" s="496">
        <v>1005800</v>
      </c>
      <c r="V19" s="496">
        <v>1005800</v>
      </c>
      <c r="W19" s="496">
        <v>1005800</v>
      </c>
      <c r="X19" s="496">
        <f t="shared" si="0"/>
        <v>0</v>
      </c>
      <c r="Y19" s="496">
        <f t="shared" si="1"/>
        <v>0</v>
      </c>
      <c r="Z19" s="496">
        <v>1005800</v>
      </c>
      <c r="AA19" s="496">
        <v>1005800</v>
      </c>
      <c r="AB19" s="496">
        <v>1005800</v>
      </c>
      <c r="AC19" s="496">
        <f t="shared" si="2"/>
        <v>0</v>
      </c>
      <c r="AD19" s="496">
        <f t="shared" si="3"/>
        <v>0</v>
      </c>
      <c r="AE19" s="496">
        <v>0</v>
      </c>
      <c r="AF19" s="496">
        <v>0</v>
      </c>
      <c r="AG19" s="497" t="s">
        <v>1250</v>
      </c>
      <c r="AH19" s="497" t="s">
        <v>1252</v>
      </c>
      <c r="AI19" s="497" t="s">
        <v>1269</v>
      </c>
      <c r="AJ19" s="497" t="s">
        <v>1234</v>
      </c>
      <c r="AK19" s="497" t="s">
        <v>1251</v>
      </c>
      <c r="AL19" s="491"/>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row>
    <row r="20" spans="1:80" ht="18" customHeight="1" x14ac:dyDescent="0.25">
      <c r="A20" s="492">
        <f t="shared" si="4"/>
        <v>18</v>
      </c>
      <c r="B20" s="492" t="s">
        <v>2852</v>
      </c>
      <c r="C20" s="492">
        <v>4100000154</v>
      </c>
      <c r="D20" s="492" t="s">
        <v>4626</v>
      </c>
      <c r="E20" s="492" t="s">
        <v>1275</v>
      </c>
      <c r="F20" s="492" t="s">
        <v>2850</v>
      </c>
      <c r="G20" s="492" t="s">
        <v>2847</v>
      </c>
      <c r="H20" s="492" t="s">
        <v>2548</v>
      </c>
      <c r="I20" s="492" t="s">
        <v>2848</v>
      </c>
      <c r="J20" s="492" t="s">
        <v>2849</v>
      </c>
      <c r="K20" s="492" t="s">
        <v>1756</v>
      </c>
      <c r="L20" s="492" t="s">
        <v>2783</v>
      </c>
      <c r="M20" s="493" t="s">
        <v>1230</v>
      </c>
      <c r="N20" s="493" t="s">
        <v>1231</v>
      </c>
      <c r="O20" s="492" t="s">
        <v>1232</v>
      </c>
      <c r="P20" s="492" t="s">
        <v>469</v>
      </c>
      <c r="Q20" s="494">
        <v>42985</v>
      </c>
      <c r="R20" s="494">
        <v>44811</v>
      </c>
      <c r="S20" s="495">
        <v>0.35</v>
      </c>
      <c r="T20" s="495"/>
      <c r="U20" s="496">
        <v>700000</v>
      </c>
      <c r="V20" s="496">
        <v>700000</v>
      </c>
      <c r="W20" s="496">
        <v>700000</v>
      </c>
      <c r="X20" s="496">
        <f t="shared" si="0"/>
        <v>0</v>
      </c>
      <c r="Y20" s="496">
        <f t="shared" si="1"/>
        <v>0</v>
      </c>
      <c r="Z20" s="496">
        <v>700000</v>
      </c>
      <c r="AA20" s="496">
        <v>700000</v>
      </c>
      <c r="AB20" s="496">
        <v>700000</v>
      </c>
      <c r="AC20" s="496">
        <f t="shared" si="2"/>
        <v>0</v>
      </c>
      <c r="AD20" s="496">
        <f t="shared" si="3"/>
        <v>0</v>
      </c>
      <c r="AE20" s="496">
        <v>0</v>
      </c>
      <c r="AF20" s="496">
        <v>0</v>
      </c>
      <c r="AG20" s="497" t="s">
        <v>1250</v>
      </c>
      <c r="AH20" s="497" t="s">
        <v>1252</v>
      </c>
      <c r="AI20" s="497" t="s">
        <v>1269</v>
      </c>
      <c r="AJ20" s="497" t="s">
        <v>1234</v>
      </c>
      <c r="AK20" s="497" t="s">
        <v>1251</v>
      </c>
      <c r="AL20" s="491"/>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row>
    <row r="21" spans="1:80" ht="18" customHeight="1" x14ac:dyDescent="0.25">
      <c r="A21" s="492">
        <f t="shared" si="4"/>
        <v>19</v>
      </c>
      <c r="B21" s="492" t="s">
        <v>2857</v>
      </c>
      <c r="C21" s="492">
        <v>3100000122</v>
      </c>
      <c r="D21" s="492" t="s">
        <v>4627</v>
      </c>
      <c r="E21" s="492" t="s">
        <v>1276</v>
      </c>
      <c r="F21" s="492" t="s">
        <v>2856</v>
      </c>
      <c r="G21" s="492" t="s">
        <v>2853</v>
      </c>
      <c r="H21" s="492" t="s">
        <v>2549</v>
      </c>
      <c r="I21" s="492" t="s">
        <v>2854</v>
      </c>
      <c r="J21" s="492" t="s">
        <v>2855</v>
      </c>
      <c r="K21" s="492" t="s">
        <v>1756</v>
      </c>
      <c r="L21" s="492" t="s">
        <v>2783</v>
      </c>
      <c r="M21" s="493" t="s">
        <v>1230</v>
      </c>
      <c r="N21" s="493" t="s">
        <v>1232</v>
      </c>
      <c r="O21" s="492" t="s">
        <v>1231</v>
      </c>
      <c r="P21" s="492" t="s">
        <v>469</v>
      </c>
      <c r="Q21" s="494">
        <v>42991</v>
      </c>
      <c r="R21" s="494">
        <v>44228</v>
      </c>
      <c r="S21" s="498">
        <v>1.5</v>
      </c>
      <c r="T21" s="498"/>
      <c r="U21" s="496">
        <v>1487345.08</v>
      </c>
      <c r="V21" s="496">
        <v>1498233.26</v>
      </c>
      <c r="W21" s="496">
        <v>1498233.26</v>
      </c>
      <c r="X21" s="496">
        <f t="shared" si="0"/>
        <v>10888.179999999935</v>
      </c>
      <c r="Y21" s="496">
        <f t="shared" si="1"/>
        <v>0</v>
      </c>
      <c r="Z21" s="496">
        <v>1487345.08</v>
      </c>
      <c r="AA21" s="496">
        <v>1498233.26</v>
      </c>
      <c r="AB21" s="496">
        <v>1498233.26</v>
      </c>
      <c r="AC21" s="496">
        <f t="shared" si="2"/>
        <v>10888.179999999935</v>
      </c>
      <c r="AD21" s="496">
        <f t="shared" si="3"/>
        <v>0</v>
      </c>
      <c r="AE21" s="496">
        <v>0</v>
      </c>
      <c r="AF21" s="496">
        <v>0</v>
      </c>
      <c r="AG21" s="497" t="s">
        <v>1233</v>
      </c>
      <c r="AH21" s="497" t="s">
        <v>1247</v>
      </c>
      <c r="AI21" s="497" t="s">
        <v>1248</v>
      </c>
      <c r="AJ21" s="497" t="s">
        <v>1234</v>
      </c>
      <c r="AK21" s="497" t="s">
        <v>1235</v>
      </c>
      <c r="AL21" s="49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row>
    <row r="22" spans="1:80" ht="18" customHeight="1" x14ac:dyDescent="0.25">
      <c r="A22" s="485">
        <f t="shared" si="4"/>
        <v>20</v>
      </c>
      <c r="B22" s="485" t="s">
        <v>2861</v>
      </c>
      <c r="C22" s="485">
        <v>3100000119</v>
      </c>
      <c r="D22" s="485" t="s">
        <v>4628</v>
      </c>
      <c r="E22" s="485" t="s">
        <v>1277</v>
      </c>
      <c r="F22" s="485" t="s">
        <v>2860</v>
      </c>
      <c r="G22" s="485" t="s">
        <v>2858</v>
      </c>
      <c r="H22" s="485" t="s">
        <v>2546</v>
      </c>
      <c r="I22" s="485" t="s">
        <v>2834</v>
      </c>
      <c r="J22" s="485" t="s">
        <v>2859</v>
      </c>
      <c r="K22" s="485" t="s">
        <v>1756</v>
      </c>
      <c r="L22" s="485" t="s">
        <v>2783</v>
      </c>
      <c r="M22" s="486" t="s">
        <v>1230</v>
      </c>
      <c r="N22" s="486" t="s">
        <v>1231</v>
      </c>
      <c r="O22" s="485" t="s">
        <v>1232</v>
      </c>
      <c r="P22" s="485" t="s">
        <v>469</v>
      </c>
      <c r="Q22" s="487">
        <v>42999</v>
      </c>
      <c r="R22" s="487">
        <v>44888</v>
      </c>
      <c r="S22" s="488">
        <v>1</v>
      </c>
      <c r="T22" s="488"/>
      <c r="U22" s="489">
        <v>9135256</v>
      </c>
      <c r="V22" s="489">
        <v>9135256</v>
      </c>
      <c r="W22" s="489">
        <v>9118539.8699999992</v>
      </c>
      <c r="X22" s="489">
        <f t="shared" si="0"/>
        <v>-16716.13000000082</v>
      </c>
      <c r="Y22" s="489">
        <f t="shared" si="1"/>
        <v>-16716.13000000082</v>
      </c>
      <c r="Z22" s="489">
        <v>9089838.4000000004</v>
      </c>
      <c r="AA22" s="489">
        <v>9089838.4000000004</v>
      </c>
      <c r="AB22" s="489">
        <v>9118539.8699999992</v>
      </c>
      <c r="AC22" s="489">
        <f t="shared" si="2"/>
        <v>28701.469999998808</v>
      </c>
      <c r="AD22" s="489">
        <f t="shared" si="3"/>
        <v>28701.469999998808</v>
      </c>
      <c r="AE22" s="489">
        <v>0</v>
      </c>
      <c r="AF22" s="489">
        <v>0</v>
      </c>
      <c r="AG22" s="490" t="s">
        <v>1233</v>
      </c>
      <c r="AH22" s="490" t="s">
        <v>1247</v>
      </c>
      <c r="AI22" s="490" t="s">
        <v>1241</v>
      </c>
      <c r="AJ22" s="490" t="s">
        <v>1234</v>
      </c>
      <c r="AK22" s="490" t="s">
        <v>1278</v>
      </c>
      <c r="AL22" s="491"/>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row>
    <row r="23" spans="1:80" ht="18" customHeight="1" x14ac:dyDescent="0.25">
      <c r="A23" s="485">
        <f t="shared" si="4"/>
        <v>21</v>
      </c>
      <c r="B23" s="486" t="s">
        <v>2865</v>
      </c>
      <c r="C23" s="485">
        <v>1100000173</v>
      </c>
      <c r="D23" s="485" t="s">
        <v>4629</v>
      </c>
      <c r="E23" s="485" t="s">
        <v>1890</v>
      </c>
      <c r="F23" s="485" t="s">
        <v>2864</v>
      </c>
      <c r="G23" s="485" t="s">
        <v>1074</v>
      </c>
      <c r="H23" s="485" t="s">
        <v>4513</v>
      </c>
      <c r="I23" s="485" t="s">
        <v>2862</v>
      </c>
      <c r="J23" s="485" t="s">
        <v>2863</v>
      </c>
      <c r="K23" s="485" t="s">
        <v>1756</v>
      </c>
      <c r="L23" s="485" t="s">
        <v>2783</v>
      </c>
      <c r="M23" s="486" t="s">
        <v>1230</v>
      </c>
      <c r="N23" s="486" t="s">
        <v>1231</v>
      </c>
      <c r="O23" s="485" t="s">
        <v>1232</v>
      </c>
      <c r="P23" s="485" t="s">
        <v>1156</v>
      </c>
      <c r="Q23" s="487">
        <v>43007</v>
      </c>
      <c r="R23" s="487">
        <v>44833</v>
      </c>
      <c r="S23" s="488">
        <v>1</v>
      </c>
      <c r="T23" s="488"/>
      <c r="U23" s="489">
        <v>6700000</v>
      </c>
      <c r="V23" s="489">
        <v>6700000</v>
      </c>
      <c r="W23" s="489">
        <v>6700000</v>
      </c>
      <c r="X23" s="489">
        <f t="shared" si="0"/>
        <v>0</v>
      </c>
      <c r="Y23" s="489">
        <f t="shared" si="1"/>
        <v>0</v>
      </c>
      <c r="Z23" s="489">
        <v>6700000</v>
      </c>
      <c r="AA23" s="489">
        <v>6700000</v>
      </c>
      <c r="AB23" s="489">
        <v>6700000</v>
      </c>
      <c r="AC23" s="489">
        <f t="shared" si="2"/>
        <v>0</v>
      </c>
      <c r="AD23" s="489">
        <f t="shared" si="3"/>
        <v>0</v>
      </c>
      <c r="AE23" s="489">
        <v>0</v>
      </c>
      <c r="AF23" s="489">
        <v>0</v>
      </c>
      <c r="AG23" s="490" t="s">
        <v>1237</v>
      </c>
      <c r="AH23" s="490" t="s">
        <v>614</v>
      </c>
      <c r="AI23" s="490" t="s">
        <v>1280</v>
      </c>
      <c r="AJ23" s="490" t="s">
        <v>1279</v>
      </c>
      <c r="AK23" s="490" t="s">
        <v>1240</v>
      </c>
      <c r="AL23" s="491"/>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row>
    <row r="24" spans="1:80" ht="18" customHeight="1" x14ac:dyDescent="0.25">
      <c r="A24" s="485">
        <f t="shared" si="4"/>
        <v>22</v>
      </c>
      <c r="B24" s="486" t="s">
        <v>4630</v>
      </c>
      <c r="C24" s="485">
        <v>1100000174</v>
      </c>
      <c r="D24" s="485" t="s">
        <v>4631</v>
      </c>
      <c r="E24" s="485" t="s">
        <v>1890</v>
      </c>
      <c r="F24" s="485" t="s">
        <v>2864</v>
      </c>
      <c r="G24" s="485" t="s">
        <v>1074</v>
      </c>
      <c r="H24" s="485" t="s">
        <v>4513</v>
      </c>
      <c r="I24" s="485" t="s">
        <v>2862</v>
      </c>
      <c r="J24" s="485" t="s">
        <v>2863</v>
      </c>
      <c r="K24" s="485" t="s">
        <v>1281</v>
      </c>
      <c r="L24" s="485" t="s">
        <v>2783</v>
      </c>
      <c r="M24" s="486" t="s">
        <v>1230</v>
      </c>
      <c r="N24" s="486" t="s">
        <v>1231</v>
      </c>
      <c r="O24" s="485" t="s">
        <v>1232</v>
      </c>
      <c r="P24" s="485" t="s">
        <v>1156</v>
      </c>
      <c r="Q24" s="487">
        <v>43007</v>
      </c>
      <c r="R24" s="487">
        <v>44833</v>
      </c>
      <c r="S24" s="488">
        <v>1</v>
      </c>
      <c r="T24" s="488"/>
      <c r="U24" s="489">
        <v>3749059.73</v>
      </c>
      <c r="V24" s="489">
        <v>3749059.73</v>
      </c>
      <c r="W24" s="489">
        <v>3749059.73</v>
      </c>
      <c r="X24" s="489">
        <f t="shared" si="0"/>
        <v>0</v>
      </c>
      <c r="Y24" s="489">
        <f t="shared" si="1"/>
        <v>0</v>
      </c>
      <c r="Z24" s="489">
        <v>3749059.73</v>
      </c>
      <c r="AA24" s="489">
        <v>3749059.73</v>
      </c>
      <c r="AB24" s="489">
        <v>3749059.73</v>
      </c>
      <c r="AC24" s="489">
        <f t="shared" si="2"/>
        <v>0</v>
      </c>
      <c r="AD24" s="489">
        <f t="shared" si="3"/>
        <v>0</v>
      </c>
      <c r="AE24" s="489">
        <v>0</v>
      </c>
      <c r="AF24" s="489">
        <v>0</v>
      </c>
      <c r="AG24" s="490" t="s">
        <v>1237</v>
      </c>
      <c r="AH24" s="490" t="s">
        <v>614</v>
      </c>
      <c r="AI24" s="490" t="s">
        <v>1280</v>
      </c>
      <c r="AJ24" s="490" t="s">
        <v>1279</v>
      </c>
      <c r="AK24" s="490" t="s">
        <v>1240</v>
      </c>
      <c r="AL24" s="491"/>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row>
    <row r="25" spans="1:80" ht="18" customHeight="1" x14ac:dyDescent="0.25">
      <c r="A25" s="485">
        <f t="shared" si="4"/>
        <v>23</v>
      </c>
      <c r="B25" s="485" t="s">
        <v>2870</v>
      </c>
      <c r="C25" s="485">
        <v>4100000109</v>
      </c>
      <c r="D25" s="485" t="s">
        <v>4632</v>
      </c>
      <c r="E25" s="485" t="s">
        <v>1282</v>
      </c>
      <c r="F25" s="485" t="s">
        <v>2869</v>
      </c>
      <c r="G25" s="485" t="s">
        <v>2866</v>
      </c>
      <c r="H25" s="485" t="s">
        <v>2550</v>
      </c>
      <c r="I25" s="485" t="s">
        <v>2867</v>
      </c>
      <c r="J25" s="485" t="s">
        <v>2868</v>
      </c>
      <c r="K25" s="485" t="s">
        <v>1756</v>
      </c>
      <c r="L25" s="485" t="s">
        <v>2783</v>
      </c>
      <c r="M25" s="486" t="s">
        <v>1230</v>
      </c>
      <c r="N25" s="486" t="s">
        <v>1231</v>
      </c>
      <c r="O25" s="485" t="s">
        <v>1232</v>
      </c>
      <c r="P25" s="485" t="s">
        <v>469</v>
      </c>
      <c r="Q25" s="487">
        <v>43007</v>
      </c>
      <c r="R25" s="487">
        <v>44833</v>
      </c>
      <c r="S25" s="488">
        <v>0.35</v>
      </c>
      <c r="T25" s="488"/>
      <c r="U25" s="489">
        <v>5351000</v>
      </c>
      <c r="V25" s="489">
        <v>5351000</v>
      </c>
      <c r="W25" s="489">
        <v>5351000</v>
      </c>
      <c r="X25" s="489">
        <f t="shared" si="0"/>
        <v>0</v>
      </c>
      <c r="Y25" s="489">
        <f t="shared" si="1"/>
        <v>0</v>
      </c>
      <c r="Z25" s="489">
        <v>5351000</v>
      </c>
      <c r="AA25" s="489">
        <v>5351000</v>
      </c>
      <c r="AB25" s="489">
        <v>5351000</v>
      </c>
      <c r="AC25" s="489">
        <f t="shared" si="2"/>
        <v>0</v>
      </c>
      <c r="AD25" s="489">
        <f t="shared" si="3"/>
        <v>0</v>
      </c>
      <c r="AE25" s="489">
        <v>0</v>
      </c>
      <c r="AF25" s="489">
        <v>0</v>
      </c>
      <c r="AG25" s="490" t="s">
        <v>1250</v>
      </c>
      <c r="AH25" s="490" t="s">
        <v>1252</v>
      </c>
      <c r="AI25" s="490" t="s">
        <v>1283</v>
      </c>
      <c r="AJ25" s="490" t="s">
        <v>1234</v>
      </c>
      <c r="AK25" s="490" t="s">
        <v>1251</v>
      </c>
      <c r="AL25" s="491"/>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row>
    <row r="26" spans="1:80" ht="18" customHeight="1" x14ac:dyDescent="0.25">
      <c r="A26" s="485">
        <f t="shared" si="4"/>
        <v>24</v>
      </c>
      <c r="B26" s="485" t="s">
        <v>2874</v>
      </c>
      <c r="C26" s="485">
        <v>1100000145</v>
      </c>
      <c r="D26" s="485" t="s">
        <v>4633</v>
      </c>
      <c r="E26" s="485" t="s">
        <v>275</v>
      </c>
      <c r="F26" s="485" t="s">
        <v>2873</v>
      </c>
      <c r="G26" s="485" t="s">
        <v>1075</v>
      </c>
      <c r="H26" s="485" t="s">
        <v>2551</v>
      </c>
      <c r="I26" s="485" t="s">
        <v>2871</v>
      </c>
      <c r="J26" s="485" t="s">
        <v>2872</v>
      </c>
      <c r="K26" s="485" t="s">
        <v>1756</v>
      </c>
      <c r="L26" s="485" t="s">
        <v>2783</v>
      </c>
      <c r="M26" s="486" t="s">
        <v>1230</v>
      </c>
      <c r="N26" s="486" t="s">
        <v>1231</v>
      </c>
      <c r="O26" s="485" t="s">
        <v>1231</v>
      </c>
      <c r="P26" s="485" t="s">
        <v>1156</v>
      </c>
      <c r="Q26" s="487">
        <v>43028</v>
      </c>
      <c r="R26" s="499">
        <v>44732</v>
      </c>
      <c r="S26" s="488">
        <v>1</v>
      </c>
      <c r="T26" s="488"/>
      <c r="U26" s="489">
        <v>9722974.0099999998</v>
      </c>
      <c r="V26" s="489">
        <v>9722974.0099999998</v>
      </c>
      <c r="W26" s="489">
        <v>9722974.0099999998</v>
      </c>
      <c r="X26" s="489">
        <f t="shared" si="0"/>
        <v>0</v>
      </c>
      <c r="Y26" s="489">
        <f t="shared" si="1"/>
        <v>0</v>
      </c>
      <c r="Z26" s="489">
        <v>9722974.0099999998</v>
      </c>
      <c r="AA26" s="489">
        <v>9722974.0099999998</v>
      </c>
      <c r="AB26" s="489">
        <v>9722974.0099999998</v>
      </c>
      <c r="AC26" s="489">
        <f t="shared" si="2"/>
        <v>0</v>
      </c>
      <c r="AD26" s="489">
        <f t="shared" si="3"/>
        <v>0</v>
      </c>
      <c r="AE26" s="489">
        <v>0</v>
      </c>
      <c r="AF26" s="489">
        <v>0</v>
      </c>
      <c r="AG26" s="490" t="s">
        <v>1237</v>
      </c>
      <c r="AH26" s="490" t="s">
        <v>1236</v>
      </c>
      <c r="AI26" s="490"/>
      <c r="AJ26" s="490" t="s">
        <v>1259</v>
      </c>
      <c r="AK26" s="490" t="s">
        <v>1260</v>
      </c>
      <c r="AL26" s="491"/>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row>
    <row r="27" spans="1:80" ht="18" customHeight="1" x14ac:dyDescent="0.25">
      <c r="A27" s="492">
        <f t="shared" si="4"/>
        <v>25</v>
      </c>
      <c r="B27" s="492" t="s">
        <v>2877</v>
      </c>
      <c r="C27" s="492">
        <v>4100000174</v>
      </c>
      <c r="D27" s="492" t="s">
        <v>4634</v>
      </c>
      <c r="E27" s="492" t="s">
        <v>1285</v>
      </c>
      <c r="F27" s="492" t="s">
        <v>1284</v>
      </c>
      <c r="G27" s="492" t="s">
        <v>2875</v>
      </c>
      <c r="H27" s="492" t="s">
        <v>1284</v>
      </c>
      <c r="I27" s="492" t="s">
        <v>2875</v>
      </c>
      <c r="J27" s="492" t="s">
        <v>2876</v>
      </c>
      <c r="K27" s="492" t="s">
        <v>1756</v>
      </c>
      <c r="L27" s="492" t="s">
        <v>2783</v>
      </c>
      <c r="M27" s="493" t="s">
        <v>1230</v>
      </c>
      <c r="N27" s="493" t="s">
        <v>1232</v>
      </c>
      <c r="O27" s="492" t="s">
        <v>1232</v>
      </c>
      <c r="P27" s="492" t="s">
        <v>469</v>
      </c>
      <c r="Q27" s="494">
        <v>43034</v>
      </c>
      <c r="R27" s="494">
        <v>44860</v>
      </c>
      <c r="S27" s="495">
        <v>0.35</v>
      </c>
      <c r="T27" s="495"/>
      <c r="U27" s="496">
        <v>1050000</v>
      </c>
      <c r="V27" s="496">
        <v>1050000</v>
      </c>
      <c r="W27" s="496">
        <v>1050000</v>
      </c>
      <c r="X27" s="496">
        <f t="shared" si="0"/>
        <v>0</v>
      </c>
      <c r="Y27" s="496">
        <f t="shared" si="1"/>
        <v>0</v>
      </c>
      <c r="Z27" s="496">
        <v>1050000</v>
      </c>
      <c r="AA27" s="496">
        <v>1050000</v>
      </c>
      <c r="AB27" s="496">
        <v>1050000</v>
      </c>
      <c r="AC27" s="496">
        <f t="shared" si="2"/>
        <v>0</v>
      </c>
      <c r="AD27" s="496">
        <f t="shared" si="3"/>
        <v>0</v>
      </c>
      <c r="AE27" s="496">
        <v>0</v>
      </c>
      <c r="AF27" s="496">
        <v>0</v>
      </c>
      <c r="AG27" s="497" t="s">
        <v>1250</v>
      </c>
      <c r="AH27" s="497" t="s">
        <v>1252</v>
      </c>
      <c r="AI27" s="497" t="s">
        <v>1248</v>
      </c>
      <c r="AJ27" s="497" t="s">
        <v>1234</v>
      </c>
      <c r="AK27" s="497" t="s">
        <v>1251</v>
      </c>
      <c r="AL27" s="491"/>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row>
    <row r="28" spans="1:80" ht="18" customHeight="1" x14ac:dyDescent="0.25">
      <c r="A28" s="485">
        <f t="shared" si="4"/>
        <v>26</v>
      </c>
      <c r="B28" s="485" t="s">
        <v>2880</v>
      </c>
      <c r="C28" s="485">
        <v>5100000124</v>
      </c>
      <c r="D28" s="485" t="s">
        <v>4635</v>
      </c>
      <c r="E28" s="485" t="s">
        <v>1287</v>
      </c>
      <c r="F28" s="485" t="s">
        <v>1286</v>
      </c>
      <c r="G28" s="485" t="s">
        <v>2878</v>
      </c>
      <c r="H28" s="485" t="s">
        <v>1286</v>
      </c>
      <c r="I28" s="485" t="s">
        <v>2878</v>
      </c>
      <c r="J28" s="485" t="s">
        <v>2879</v>
      </c>
      <c r="K28" s="485" t="s">
        <v>1756</v>
      </c>
      <c r="L28" s="485" t="s">
        <v>2783</v>
      </c>
      <c r="M28" s="486" t="s">
        <v>1230</v>
      </c>
      <c r="N28" s="485" t="s">
        <v>1231</v>
      </c>
      <c r="O28" s="485" t="s">
        <v>1231</v>
      </c>
      <c r="P28" s="485" t="s">
        <v>469</v>
      </c>
      <c r="Q28" s="487">
        <v>43048</v>
      </c>
      <c r="R28" s="487">
        <v>44748</v>
      </c>
      <c r="S28" s="488">
        <v>1</v>
      </c>
      <c r="T28" s="488"/>
      <c r="U28" s="489">
        <v>283257.62</v>
      </c>
      <c r="V28" s="489">
        <v>283257.62</v>
      </c>
      <c r="W28" s="489">
        <v>270043.32</v>
      </c>
      <c r="X28" s="489">
        <f t="shared" si="0"/>
        <v>-13214.299999999988</v>
      </c>
      <c r="Y28" s="489">
        <f t="shared" si="1"/>
        <v>-13214.299999999988</v>
      </c>
      <c r="Z28" s="489">
        <v>13214.3</v>
      </c>
      <c r="AA28" s="489">
        <v>13214.3</v>
      </c>
      <c r="AB28" s="489">
        <v>5810.15</v>
      </c>
      <c r="AC28" s="489">
        <f t="shared" si="2"/>
        <v>-7404.15</v>
      </c>
      <c r="AD28" s="489">
        <f t="shared" si="3"/>
        <v>-7404.15</v>
      </c>
      <c r="AE28" s="489">
        <v>0</v>
      </c>
      <c r="AF28" s="489">
        <v>264233.17</v>
      </c>
      <c r="AG28" s="490" t="s">
        <v>1288</v>
      </c>
      <c r="AH28" s="490" t="s">
        <v>1252</v>
      </c>
      <c r="AI28" s="490" t="s">
        <v>1248</v>
      </c>
      <c r="AJ28" s="490" t="s">
        <v>1234</v>
      </c>
      <c r="AK28" s="490" t="s">
        <v>1278</v>
      </c>
      <c r="AL28" s="491"/>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row>
    <row r="29" spans="1:80" ht="18" customHeight="1" x14ac:dyDescent="0.25">
      <c r="A29" s="492">
        <f t="shared" si="4"/>
        <v>27</v>
      </c>
      <c r="B29" s="492" t="s">
        <v>2884</v>
      </c>
      <c r="C29" s="492">
        <v>4100000170</v>
      </c>
      <c r="D29" s="492" t="s">
        <v>4636</v>
      </c>
      <c r="E29" s="492" t="s">
        <v>1289</v>
      </c>
      <c r="F29" s="492" t="s">
        <v>2883</v>
      </c>
      <c r="G29" s="492" t="s">
        <v>2881</v>
      </c>
      <c r="H29" s="492" t="s">
        <v>2883</v>
      </c>
      <c r="I29" s="492" t="s">
        <v>2881</v>
      </c>
      <c r="J29" s="492" t="s">
        <v>2882</v>
      </c>
      <c r="K29" s="492" t="s">
        <v>1756</v>
      </c>
      <c r="L29" s="492" t="s">
        <v>2783</v>
      </c>
      <c r="M29" s="493" t="s">
        <v>1230</v>
      </c>
      <c r="N29" s="493" t="s">
        <v>1232</v>
      </c>
      <c r="O29" s="492" t="s">
        <v>1232</v>
      </c>
      <c r="P29" s="492" t="s">
        <v>469</v>
      </c>
      <c r="Q29" s="494">
        <v>43068</v>
      </c>
      <c r="R29" s="494">
        <v>44894</v>
      </c>
      <c r="S29" s="495">
        <v>0.35</v>
      </c>
      <c r="T29" s="495"/>
      <c r="U29" s="496">
        <v>1953626.95</v>
      </c>
      <c r="V29" s="496">
        <v>1949402.22</v>
      </c>
      <c r="W29" s="496">
        <v>1949402.22</v>
      </c>
      <c r="X29" s="496">
        <f t="shared" si="0"/>
        <v>-4224.7299999999814</v>
      </c>
      <c r="Y29" s="496">
        <f t="shared" si="1"/>
        <v>0</v>
      </c>
      <c r="Z29" s="496">
        <v>1953626.95</v>
      </c>
      <c r="AA29" s="496">
        <v>1949402.22</v>
      </c>
      <c r="AB29" s="496">
        <v>1949402.22</v>
      </c>
      <c r="AC29" s="496">
        <f t="shared" si="2"/>
        <v>-4224.7299999999814</v>
      </c>
      <c r="AD29" s="496">
        <f t="shared" si="3"/>
        <v>0</v>
      </c>
      <c r="AE29" s="496">
        <v>0</v>
      </c>
      <c r="AF29" s="496">
        <v>0</v>
      </c>
      <c r="AG29" s="497" t="s">
        <v>1250</v>
      </c>
      <c r="AH29" s="497" t="s">
        <v>1252</v>
      </c>
      <c r="AI29" s="497" t="s">
        <v>1256</v>
      </c>
      <c r="AJ29" s="497" t="s">
        <v>1234</v>
      </c>
      <c r="AK29" s="497" t="s">
        <v>1251</v>
      </c>
      <c r="AL29" s="491"/>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row>
    <row r="30" spans="1:80" ht="18" customHeight="1" x14ac:dyDescent="0.25">
      <c r="A30" s="492">
        <f t="shared" si="4"/>
        <v>28</v>
      </c>
      <c r="B30" s="492" t="s">
        <v>2887</v>
      </c>
      <c r="C30" s="492">
        <v>4100000181</v>
      </c>
      <c r="D30" s="492" t="s">
        <v>4637</v>
      </c>
      <c r="E30" s="492" t="s">
        <v>1294</v>
      </c>
      <c r="F30" s="492" t="s">
        <v>1293</v>
      </c>
      <c r="G30" s="492" t="s">
        <v>2885</v>
      </c>
      <c r="H30" s="492" t="s">
        <v>1293</v>
      </c>
      <c r="I30" s="492" t="s">
        <v>2885</v>
      </c>
      <c r="J30" s="492" t="s">
        <v>2886</v>
      </c>
      <c r="K30" s="492" t="s">
        <v>1756</v>
      </c>
      <c r="L30" s="492" t="s">
        <v>2783</v>
      </c>
      <c r="M30" s="493" t="s">
        <v>1230</v>
      </c>
      <c r="N30" s="493" t="s">
        <v>1232</v>
      </c>
      <c r="O30" s="492" t="s">
        <v>1232</v>
      </c>
      <c r="P30" s="492" t="s">
        <v>469</v>
      </c>
      <c r="Q30" s="494">
        <v>43070</v>
      </c>
      <c r="R30" s="494">
        <v>44896</v>
      </c>
      <c r="S30" s="495">
        <v>0.35</v>
      </c>
      <c r="T30" s="495"/>
      <c r="U30" s="496">
        <v>609000</v>
      </c>
      <c r="V30" s="496">
        <v>609000</v>
      </c>
      <c r="W30" s="496">
        <v>609000</v>
      </c>
      <c r="X30" s="496">
        <f t="shared" si="0"/>
        <v>0</v>
      </c>
      <c r="Y30" s="496">
        <f t="shared" si="1"/>
        <v>0</v>
      </c>
      <c r="Z30" s="496">
        <v>609000</v>
      </c>
      <c r="AA30" s="496">
        <v>609000</v>
      </c>
      <c r="AB30" s="496">
        <v>609000</v>
      </c>
      <c r="AC30" s="496">
        <f t="shared" si="2"/>
        <v>0</v>
      </c>
      <c r="AD30" s="496">
        <f t="shared" si="3"/>
        <v>0</v>
      </c>
      <c r="AE30" s="496">
        <v>0</v>
      </c>
      <c r="AF30" s="496">
        <v>0</v>
      </c>
      <c r="AG30" s="497" t="s">
        <v>1250</v>
      </c>
      <c r="AH30" s="497" t="s">
        <v>1252</v>
      </c>
      <c r="AI30" s="497" t="s">
        <v>1248</v>
      </c>
      <c r="AJ30" s="497" t="s">
        <v>1234</v>
      </c>
      <c r="AK30" s="497" t="s">
        <v>1251</v>
      </c>
      <c r="AL30" s="491"/>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row>
    <row r="31" spans="1:80" ht="18" customHeight="1" x14ac:dyDescent="0.25">
      <c r="A31" s="492">
        <f t="shared" si="4"/>
        <v>29</v>
      </c>
      <c r="B31" s="492" t="s">
        <v>2891</v>
      </c>
      <c r="C31" s="492">
        <v>4100000116</v>
      </c>
      <c r="D31" s="492" t="s">
        <v>4638</v>
      </c>
      <c r="E31" s="492" t="s">
        <v>1295</v>
      </c>
      <c r="F31" s="492" t="s">
        <v>2890</v>
      </c>
      <c r="G31" s="492" t="s">
        <v>2888</v>
      </c>
      <c r="H31" s="492" t="s">
        <v>2890</v>
      </c>
      <c r="I31" s="492" t="s">
        <v>2888</v>
      </c>
      <c r="J31" s="492" t="s">
        <v>2889</v>
      </c>
      <c r="K31" s="492" t="s">
        <v>1756</v>
      </c>
      <c r="L31" s="492" t="s">
        <v>2783</v>
      </c>
      <c r="M31" s="493" t="s">
        <v>1230</v>
      </c>
      <c r="N31" s="493" t="s">
        <v>1232</v>
      </c>
      <c r="O31" s="492" t="s">
        <v>1232</v>
      </c>
      <c r="P31" s="492" t="s">
        <v>469</v>
      </c>
      <c r="Q31" s="494">
        <v>43081</v>
      </c>
      <c r="R31" s="494">
        <v>44907</v>
      </c>
      <c r="S31" s="498">
        <v>0.41708000000000001</v>
      </c>
      <c r="T31" s="495"/>
      <c r="U31" s="496">
        <v>10000000</v>
      </c>
      <c r="V31" s="496">
        <v>10000000</v>
      </c>
      <c r="W31" s="496">
        <v>10000000</v>
      </c>
      <c r="X31" s="496">
        <f t="shared" si="0"/>
        <v>0</v>
      </c>
      <c r="Y31" s="496">
        <f t="shared" si="1"/>
        <v>0</v>
      </c>
      <c r="Z31" s="496">
        <v>10000000</v>
      </c>
      <c r="AA31" s="496">
        <v>10000000</v>
      </c>
      <c r="AB31" s="496">
        <v>10000000</v>
      </c>
      <c r="AC31" s="496">
        <f t="shared" si="2"/>
        <v>0</v>
      </c>
      <c r="AD31" s="496">
        <f t="shared" si="3"/>
        <v>0</v>
      </c>
      <c r="AE31" s="496">
        <v>0</v>
      </c>
      <c r="AF31" s="496">
        <v>0</v>
      </c>
      <c r="AG31" s="497" t="s">
        <v>1250</v>
      </c>
      <c r="AH31" s="497" t="s">
        <v>1252</v>
      </c>
      <c r="AI31" s="497" t="s">
        <v>1248</v>
      </c>
      <c r="AJ31" s="497" t="s">
        <v>1234</v>
      </c>
      <c r="AK31" s="500" t="s">
        <v>1296</v>
      </c>
      <c r="AL31" s="49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row>
    <row r="32" spans="1:80" ht="18" customHeight="1" x14ac:dyDescent="0.25">
      <c r="A32" s="485">
        <f t="shared" si="4"/>
        <v>30</v>
      </c>
      <c r="B32" s="485" t="s">
        <v>2895</v>
      </c>
      <c r="C32" s="485">
        <v>4100000139</v>
      </c>
      <c r="D32" s="485" t="s">
        <v>4639</v>
      </c>
      <c r="E32" s="485" t="s">
        <v>1297</v>
      </c>
      <c r="F32" s="485" t="s">
        <v>2894</v>
      </c>
      <c r="G32" s="485" t="s">
        <v>2892</v>
      </c>
      <c r="H32" s="485" t="s">
        <v>3696</v>
      </c>
      <c r="I32" s="485" t="s">
        <v>1066</v>
      </c>
      <c r="J32" s="485" t="s">
        <v>2893</v>
      </c>
      <c r="K32" s="485" t="s">
        <v>1756</v>
      </c>
      <c r="L32" s="485" t="s">
        <v>2783</v>
      </c>
      <c r="M32" s="486" t="s">
        <v>1230</v>
      </c>
      <c r="N32" s="486" t="s">
        <v>1231</v>
      </c>
      <c r="O32" s="485" t="s">
        <v>1232</v>
      </c>
      <c r="P32" s="485" t="s">
        <v>469</v>
      </c>
      <c r="Q32" s="487">
        <v>43091</v>
      </c>
      <c r="R32" s="487">
        <v>44763</v>
      </c>
      <c r="S32" s="488">
        <v>1</v>
      </c>
      <c r="T32" s="488"/>
      <c r="U32" s="489">
        <v>5395675.8399999999</v>
      </c>
      <c r="V32" s="489">
        <v>5395675.8399999999</v>
      </c>
      <c r="W32" s="489">
        <v>5395675.8399999999</v>
      </c>
      <c r="X32" s="489">
        <f t="shared" si="0"/>
        <v>0</v>
      </c>
      <c r="Y32" s="489">
        <f t="shared" si="1"/>
        <v>0</v>
      </c>
      <c r="Z32" s="489">
        <v>5395675.8399999999</v>
      </c>
      <c r="AA32" s="489">
        <v>5395675.8399999999</v>
      </c>
      <c r="AB32" s="489">
        <v>5395675.8399999999</v>
      </c>
      <c r="AC32" s="489">
        <f t="shared" si="2"/>
        <v>0</v>
      </c>
      <c r="AD32" s="489">
        <f t="shared" si="3"/>
        <v>0</v>
      </c>
      <c r="AE32" s="489">
        <v>0</v>
      </c>
      <c r="AF32" s="489">
        <v>0</v>
      </c>
      <c r="AG32" s="490" t="s">
        <v>1250</v>
      </c>
      <c r="AH32" s="490" t="s">
        <v>1298</v>
      </c>
      <c r="AI32" s="490"/>
      <c r="AJ32" s="490" t="s">
        <v>1234</v>
      </c>
      <c r="AK32" s="490" t="s">
        <v>1278</v>
      </c>
      <c r="AL32" s="491"/>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row>
    <row r="33" spans="1:80" ht="18" customHeight="1" x14ac:dyDescent="0.25">
      <c r="A33" s="485">
        <f t="shared" si="4"/>
        <v>31</v>
      </c>
      <c r="B33" s="485" t="s">
        <v>2898</v>
      </c>
      <c r="C33" s="485">
        <v>4100000192</v>
      </c>
      <c r="D33" s="485" t="s">
        <v>4640</v>
      </c>
      <c r="E33" s="485" t="s">
        <v>1299</v>
      </c>
      <c r="F33" s="485" t="s">
        <v>2552</v>
      </c>
      <c r="G33" s="485" t="s">
        <v>2896</v>
      </c>
      <c r="H33" s="485" t="s">
        <v>2552</v>
      </c>
      <c r="I33" s="485" t="s">
        <v>2896</v>
      </c>
      <c r="J33" s="485" t="s">
        <v>2897</v>
      </c>
      <c r="K33" s="485" t="s">
        <v>1756</v>
      </c>
      <c r="L33" s="485" t="s">
        <v>2783</v>
      </c>
      <c r="M33" s="486" t="s">
        <v>1230</v>
      </c>
      <c r="N33" s="485" t="s">
        <v>1231</v>
      </c>
      <c r="O33" s="485" t="s">
        <v>1232</v>
      </c>
      <c r="P33" s="485" t="s">
        <v>469</v>
      </c>
      <c r="Q33" s="487">
        <v>43108</v>
      </c>
      <c r="R33" s="487">
        <v>44935</v>
      </c>
      <c r="S33" s="488">
        <v>0.35</v>
      </c>
      <c r="T33" s="488"/>
      <c r="U33" s="489">
        <v>2186991.56</v>
      </c>
      <c r="V33" s="489">
        <v>2176991.56</v>
      </c>
      <c r="W33" s="489">
        <v>2146119.91</v>
      </c>
      <c r="X33" s="489">
        <f t="shared" si="0"/>
        <v>-40871.649999999907</v>
      </c>
      <c r="Y33" s="489">
        <f t="shared" si="1"/>
        <v>-30871.649999999907</v>
      </c>
      <c r="Z33" s="489">
        <v>2186991.56</v>
      </c>
      <c r="AA33" s="489">
        <v>2176991.56</v>
      </c>
      <c r="AB33" s="489">
        <v>2146119.91</v>
      </c>
      <c r="AC33" s="489">
        <f t="shared" si="2"/>
        <v>-40871.649999999907</v>
      </c>
      <c r="AD33" s="489">
        <f t="shared" si="3"/>
        <v>-30871.649999999907</v>
      </c>
      <c r="AE33" s="489">
        <v>0</v>
      </c>
      <c r="AF33" s="489">
        <v>0</v>
      </c>
      <c r="AG33" s="490" t="s">
        <v>1250</v>
      </c>
      <c r="AH33" s="490" t="s">
        <v>1252</v>
      </c>
      <c r="AI33" s="490" t="s">
        <v>1248</v>
      </c>
      <c r="AJ33" s="490" t="s">
        <v>1234</v>
      </c>
      <c r="AK33" s="490" t="s">
        <v>1251</v>
      </c>
      <c r="AL33" s="491"/>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row>
    <row r="34" spans="1:80" ht="18" customHeight="1" x14ac:dyDescent="0.25">
      <c r="A34" s="492">
        <f t="shared" si="4"/>
        <v>32</v>
      </c>
      <c r="B34" s="492" t="s">
        <v>2902</v>
      </c>
      <c r="C34" s="492">
        <v>4100000185</v>
      </c>
      <c r="D34" s="492" t="s">
        <v>4641</v>
      </c>
      <c r="E34" s="492" t="s">
        <v>1300</v>
      </c>
      <c r="F34" s="492" t="s">
        <v>2901</v>
      </c>
      <c r="G34" s="492" t="s">
        <v>2899</v>
      </c>
      <c r="H34" s="492" t="s">
        <v>2901</v>
      </c>
      <c r="I34" s="492" t="s">
        <v>2899</v>
      </c>
      <c r="J34" s="492" t="s">
        <v>2900</v>
      </c>
      <c r="K34" s="492" t="s">
        <v>1756</v>
      </c>
      <c r="L34" s="492" t="s">
        <v>2783</v>
      </c>
      <c r="M34" s="493" t="s">
        <v>1230</v>
      </c>
      <c r="N34" s="493" t="s">
        <v>1232</v>
      </c>
      <c r="O34" s="492" t="s">
        <v>1232</v>
      </c>
      <c r="P34" s="492" t="s">
        <v>469</v>
      </c>
      <c r="Q34" s="494">
        <v>43123</v>
      </c>
      <c r="R34" s="494">
        <v>44949</v>
      </c>
      <c r="S34" s="495">
        <v>0.35</v>
      </c>
      <c r="T34" s="495"/>
      <c r="U34" s="496">
        <v>1755000</v>
      </c>
      <c r="V34" s="496">
        <v>1755000</v>
      </c>
      <c r="W34" s="496">
        <v>1755000</v>
      </c>
      <c r="X34" s="496">
        <f t="shared" si="0"/>
        <v>0</v>
      </c>
      <c r="Y34" s="496">
        <f t="shared" si="1"/>
        <v>0</v>
      </c>
      <c r="Z34" s="496">
        <v>1755000</v>
      </c>
      <c r="AA34" s="496">
        <v>1755000</v>
      </c>
      <c r="AB34" s="496">
        <v>1755000</v>
      </c>
      <c r="AC34" s="496">
        <f t="shared" si="2"/>
        <v>0</v>
      </c>
      <c r="AD34" s="496">
        <f t="shared" si="3"/>
        <v>0</v>
      </c>
      <c r="AE34" s="496">
        <v>0</v>
      </c>
      <c r="AF34" s="496">
        <v>0</v>
      </c>
      <c r="AG34" s="497" t="s">
        <v>1250</v>
      </c>
      <c r="AH34" s="497" t="s">
        <v>1252</v>
      </c>
      <c r="AI34" s="497" t="s">
        <v>1248</v>
      </c>
      <c r="AJ34" s="497" t="s">
        <v>1234</v>
      </c>
      <c r="AK34" s="497" t="s">
        <v>1251</v>
      </c>
      <c r="AL34" s="491"/>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row>
    <row r="35" spans="1:80" ht="18" customHeight="1" x14ac:dyDescent="0.25">
      <c r="A35" s="485">
        <f t="shared" si="4"/>
        <v>33</v>
      </c>
      <c r="B35" s="485" t="s">
        <v>2909</v>
      </c>
      <c r="C35" s="485">
        <v>1100000199</v>
      </c>
      <c r="D35" s="485" t="s">
        <v>4642</v>
      </c>
      <c r="E35" s="485" t="s">
        <v>279</v>
      </c>
      <c r="F35" s="485" t="s">
        <v>2755</v>
      </c>
      <c r="G35" s="485" t="s">
        <v>1078</v>
      </c>
      <c r="H35" s="485" t="s">
        <v>2554</v>
      </c>
      <c r="I35" s="485" t="s">
        <v>2907</v>
      </c>
      <c r="J35" s="485" t="s">
        <v>2908</v>
      </c>
      <c r="K35" s="485" t="s">
        <v>1756</v>
      </c>
      <c r="L35" s="485" t="s">
        <v>2783</v>
      </c>
      <c r="M35" s="486" t="s">
        <v>1230</v>
      </c>
      <c r="N35" s="486" t="s">
        <v>1231</v>
      </c>
      <c r="O35" s="485" t="s">
        <v>1232</v>
      </c>
      <c r="P35" s="485" t="s">
        <v>1156</v>
      </c>
      <c r="Q35" s="487">
        <v>43132</v>
      </c>
      <c r="R35" s="487">
        <v>44958</v>
      </c>
      <c r="S35" s="488">
        <v>1</v>
      </c>
      <c r="T35" s="488"/>
      <c r="U35" s="489">
        <v>552635</v>
      </c>
      <c r="V35" s="489">
        <v>552635</v>
      </c>
      <c r="W35" s="489">
        <v>552635</v>
      </c>
      <c r="X35" s="489">
        <f t="shared" si="0"/>
        <v>0</v>
      </c>
      <c r="Y35" s="489">
        <f t="shared" si="1"/>
        <v>0</v>
      </c>
      <c r="Z35" s="489">
        <v>552635</v>
      </c>
      <c r="AA35" s="489">
        <v>552635</v>
      </c>
      <c r="AB35" s="489">
        <v>552635</v>
      </c>
      <c r="AC35" s="489">
        <f t="shared" si="2"/>
        <v>0</v>
      </c>
      <c r="AD35" s="489">
        <f t="shared" si="3"/>
        <v>0</v>
      </c>
      <c r="AE35" s="489">
        <v>0</v>
      </c>
      <c r="AF35" s="489">
        <v>0</v>
      </c>
      <c r="AG35" s="490" t="s">
        <v>1237</v>
      </c>
      <c r="AH35" s="490" t="s">
        <v>1303</v>
      </c>
      <c r="AI35" s="490"/>
      <c r="AJ35" s="490" t="s">
        <v>1253</v>
      </c>
      <c r="AK35" s="490" t="s">
        <v>1260</v>
      </c>
      <c r="AL35" s="491"/>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row>
    <row r="36" spans="1:80" ht="18" customHeight="1" x14ac:dyDescent="0.25">
      <c r="A36" s="485">
        <f t="shared" si="4"/>
        <v>34</v>
      </c>
      <c r="B36" s="485" t="s">
        <v>2910</v>
      </c>
      <c r="C36" s="485">
        <v>1100000198</v>
      </c>
      <c r="D36" s="485" t="s">
        <v>4643</v>
      </c>
      <c r="E36" s="485" t="s">
        <v>279</v>
      </c>
      <c r="F36" s="485" t="s">
        <v>2755</v>
      </c>
      <c r="G36" s="485" t="s">
        <v>1078</v>
      </c>
      <c r="H36" s="485" t="s">
        <v>2554</v>
      </c>
      <c r="I36" s="485" t="s">
        <v>2907</v>
      </c>
      <c r="J36" s="485" t="s">
        <v>2908</v>
      </c>
      <c r="K36" s="485" t="s">
        <v>1756</v>
      </c>
      <c r="L36" s="485" t="s">
        <v>2783</v>
      </c>
      <c r="M36" s="486" t="s">
        <v>1230</v>
      </c>
      <c r="N36" s="486" t="s">
        <v>1231</v>
      </c>
      <c r="O36" s="485" t="s">
        <v>1232</v>
      </c>
      <c r="P36" s="485" t="s">
        <v>1156</v>
      </c>
      <c r="Q36" s="487">
        <v>43132</v>
      </c>
      <c r="R36" s="487">
        <v>44958</v>
      </c>
      <c r="S36" s="488">
        <v>1</v>
      </c>
      <c r="T36" s="488"/>
      <c r="U36" s="489">
        <v>750000</v>
      </c>
      <c r="V36" s="489">
        <v>750000</v>
      </c>
      <c r="W36" s="489">
        <v>750000</v>
      </c>
      <c r="X36" s="489">
        <f t="shared" si="0"/>
        <v>0</v>
      </c>
      <c r="Y36" s="489">
        <f t="shared" si="1"/>
        <v>0</v>
      </c>
      <c r="Z36" s="489">
        <v>750000</v>
      </c>
      <c r="AA36" s="489">
        <v>750000</v>
      </c>
      <c r="AB36" s="489">
        <v>750000</v>
      </c>
      <c r="AC36" s="489">
        <f t="shared" si="2"/>
        <v>0</v>
      </c>
      <c r="AD36" s="489">
        <f t="shared" si="3"/>
        <v>0</v>
      </c>
      <c r="AE36" s="489">
        <v>0</v>
      </c>
      <c r="AF36" s="489">
        <v>0</v>
      </c>
      <c r="AG36" s="490" t="s">
        <v>1237</v>
      </c>
      <c r="AH36" s="490" t="s">
        <v>1303</v>
      </c>
      <c r="AI36" s="490"/>
      <c r="AJ36" s="490" t="s">
        <v>1253</v>
      </c>
      <c r="AK36" s="490" t="s">
        <v>1260</v>
      </c>
      <c r="AL36" s="491"/>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row>
    <row r="37" spans="1:80" ht="18" customHeight="1" x14ac:dyDescent="0.25">
      <c r="A37" s="485">
        <f t="shared" si="4"/>
        <v>35</v>
      </c>
      <c r="B37" s="485" t="s">
        <v>2912</v>
      </c>
      <c r="C37" s="485">
        <v>1100000222</v>
      </c>
      <c r="D37" s="485" t="s">
        <v>4644</v>
      </c>
      <c r="E37" s="485" t="s">
        <v>280</v>
      </c>
      <c r="F37" s="485" t="s">
        <v>166</v>
      </c>
      <c r="G37" s="485" t="s">
        <v>1079</v>
      </c>
      <c r="H37" s="485" t="s">
        <v>2538</v>
      </c>
      <c r="I37" s="485" t="s">
        <v>2780</v>
      </c>
      <c r="J37" s="485" t="s">
        <v>2911</v>
      </c>
      <c r="K37" s="485" t="s">
        <v>1281</v>
      </c>
      <c r="L37" s="485" t="s">
        <v>2783</v>
      </c>
      <c r="M37" s="486" t="s">
        <v>1230</v>
      </c>
      <c r="N37" s="486" t="s">
        <v>1231</v>
      </c>
      <c r="O37" s="485" t="s">
        <v>1231</v>
      </c>
      <c r="P37" s="485" t="s">
        <v>1156</v>
      </c>
      <c r="Q37" s="487">
        <v>43133</v>
      </c>
      <c r="R37" s="487">
        <v>44594</v>
      </c>
      <c r="S37" s="488">
        <v>1.5</v>
      </c>
      <c r="T37" s="488"/>
      <c r="U37" s="489">
        <v>19476.13</v>
      </c>
      <c r="V37" s="489">
        <v>16476.13</v>
      </c>
      <c r="W37" s="489">
        <v>16636.38</v>
      </c>
      <c r="X37" s="489">
        <f t="shared" si="0"/>
        <v>-2839.75</v>
      </c>
      <c r="Y37" s="489">
        <f t="shared" si="1"/>
        <v>160.25</v>
      </c>
      <c r="Z37" s="489">
        <v>19476.13</v>
      </c>
      <c r="AA37" s="489">
        <v>16476.13</v>
      </c>
      <c r="AB37" s="489">
        <v>16636.38</v>
      </c>
      <c r="AC37" s="489">
        <f t="shared" si="2"/>
        <v>-2839.75</v>
      </c>
      <c r="AD37" s="489">
        <f t="shared" si="3"/>
        <v>160.25</v>
      </c>
      <c r="AE37" s="489">
        <v>0</v>
      </c>
      <c r="AF37" s="489">
        <v>0</v>
      </c>
      <c r="AG37" s="490" t="s">
        <v>1237</v>
      </c>
      <c r="AH37" s="490" t="s">
        <v>1305</v>
      </c>
      <c r="AI37" s="490"/>
      <c r="AJ37" s="490" t="s">
        <v>1304</v>
      </c>
      <c r="AK37" s="490" t="s">
        <v>1235</v>
      </c>
      <c r="AL37" s="491"/>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row>
    <row r="38" spans="1:80" ht="18" customHeight="1" x14ac:dyDescent="0.25">
      <c r="A38" s="492">
        <f t="shared" si="4"/>
        <v>36</v>
      </c>
      <c r="B38" s="492" t="s">
        <v>2915</v>
      </c>
      <c r="C38" s="492">
        <v>4100000180</v>
      </c>
      <c r="D38" s="492" t="s">
        <v>4645</v>
      </c>
      <c r="E38" s="492" t="s">
        <v>1306</v>
      </c>
      <c r="F38" s="492" t="s">
        <v>2555</v>
      </c>
      <c r="G38" s="492" t="s">
        <v>2913</v>
      </c>
      <c r="H38" s="492" t="s">
        <v>2555</v>
      </c>
      <c r="I38" s="492" t="s">
        <v>2913</v>
      </c>
      <c r="J38" s="492" t="s">
        <v>2914</v>
      </c>
      <c r="K38" s="492" t="s">
        <v>1756</v>
      </c>
      <c r="L38" s="492" t="s">
        <v>2783</v>
      </c>
      <c r="M38" s="493" t="s">
        <v>1230</v>
      </c>
      <c r="N38" s="493" t="s">
        <v>1232</v>
      </c>
      <c r="O38" s="492" t="s">
        <v>1232</v>
      </c>
      <c r="P38" s="492" t="s">
        <v>469</v>
      </c>
      <c r="Q38" s="494">
        <v>43140</v>
      </c>
      <c r="R38" s="494">
        <v>44966</v>
      </c>
      <c r="S38" s="495">
        <v>0.35</v>
      </c>
      <c r="T38" s="495"/>
      <c r="U38" s="496">
        <v>2250000</v>
      </c>
      <c r="V38" s="496">
        <v>2250000</v>
      </c>
      <c r="W38" s="496">
        <v>2250000</v>
      </c>
      <c r="X38" s="496">
        <f t="shared" si="0"/>
        <v>0</v>
      </c>
      <c r="Y38" s="496">
        <f t="shared" si="1"/>
        <v>0</v>
      </c>
      <c r="Z38" s="496">
        <v>2250000</v>
      </c>
      <c r="AA38" s="496">
        <v>2250000</v>
      </c>
      <c r="AB38" s="496">
        <v>2250000</v>
      </c>
      <c r="AC38" s="496">
        <f t="shared" si="2"/>
        <v>0</v>
      </c>
      <c r="AD38" s="496">
        <f t="shared" si="3"/>
        <v>0</v>
      </c>
      <c r="AE38" s="496">
        <v>0</v>
      </c>
      <c r="AF38" s="496">
        <v>0</v>
      </c>
      <c r="AG38" s="497" t="s">
        <v>1250</v>
      </c>
      <c r="AH38" s="497" t="s">
        <v>1252</v>
      </c>
      <c r="AI38" s="497" t="s">
        <v>1248</v>
      </c>
      <c r="AJ38" s="497" t="s">
        <v>1234</v>
      </c>
      <c r="AK38" s="497" t="s">
        <v>1251</v>
      </c>
      <c r="AL38" s="491"/>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row>
    <row r="39" spans="1:80" ht="18" customHeight="1" x14ac:dyDescent="0.25">
      <c r="A39" s="485">
        <f t="shared" si="4"/>
        <v>37</v>
      </c>
      <c r="B39" s="485" t="s">
        <v>2917</v>
      </c>
      <c r="C39" s="485">
        <v>1100000205</v>
      </c>
      <c r="D39" s="485" t="s">
        <v>4646</v>
      </c>
      <c r="E39" s="485" t="s">
        <v>2754</v>
      </c>
      <c r="F39" s="485" t="s">
        <v>117</v>
      </c>
      <c r="G39" s="485" t="s">
        <v>1080</v>
      </c>
      <c r="H39" s="485" t="s">
        <v>117</v>
      </c>
      <c r="I39" s="485" t="s">
        <v>1080</v>
      </c>
      <c r="J39" s="485" t="s">
        <v>2916</v>
      </c>
      <c r="K39" s="485" t="s">
        <v>1756</v>
      </c>
      <c r="L39" s="485" t="s">
        <v>2783</v>
      </c>
      <c r="M39" s="486" t="s">
        <v>1230</v>
      </c>
      <c r="N39" s="486" t="s">
        <v>1231</v>
      </c>
      <c r="O39" s="485" t="s">
        <v>1232</v>
      </c>
      <c r="P39" s="485" t="s">
        <v>1156</v>
      </c>
      <c r="Q39" s="487">
        <v>43144</v>
      </c>
      <c r="R39" s="487">
        <v>45152</v>
      </c>
      <c r="S39" s="488">
        <v>1</v>
      </c>
      <c r="T39" s="488"/>
      <c r="U39" s="489">
        <v>2333331.0099999998</v>
      </c>
      <c r="V39" s="489">
        <v>2333331.0099999998</v>
      </c>
      <c r="W39" s="489">
        <v>2016664.01</v>
      </c>
      <c r="X39" s="489">
        <f t="shared" si="0"/>
        <v>-316666.99999999977</v>
      </c>
      <c r="Y39" s="489">
        <f t="shared" si="1"/>
        <v>-316666.99999999977</v>
      </c>
      <c r="Z39" s="489">
        <v>2333331.0099999998</v>
      </c>
      <c r="AA39" s="489">
        <v>2333331.0099999998</v>
      </c>
      <c r="AB39" s="489">
        <v>2016664.01</v>
      </c>
      <c r="AC39" s="489">
        <f t="shared" si="2"/>
        <v>-316666.99999999977</v>
      </c>
      <c r="AD39" s="489">
        <f t="shared" si="3"/>
        <v>-316666.99999999977</v>
      </c>
      <c r="AE39" s="489">
        <v>0</v>
      </c>
      <c r="AF39" s="489">
        <v>0</v>
      </c>
      <c r="AG39" s="490" t="s">
        <v>1237</v>
      </c>
      <c r="AH39" s="490" t="s">
        <v>1303</v>
      </c>
      <c r="AI39" s="490"/>
      <c r="AJ39" s="490" t="s">
        <v>1253</v>
      </c>
      <c r="AK39" s="490" t="s">
        <v>1260</v>
      </c>
      <c r="AL39" s="491"/>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row>
    <row r="40" spans="1:80" ht="18" customHeight="1" x14ac:dyDescent="0.25">
      <c r="A40" s="485">
        <f t="shared" si="4"/>
        <v>38</v>
      </c>
      <c r="B40" s="485" t="s">
        <v>2922</v>
      </c>
      <c r="C40" s="485">
        <v>5100000114</v>
      </c>
      <c r="D40" s="485" t="s">
        <v>4647</v>
      </c>
      <c r="E40" s="485" t="s">
        <v>1308</v>
      </c>
      <c r="F40" s="485" t="s">
        <v>2921</v>
      </c>
      <c r="G40" s="485" t="s">
        <v>2918</v>
      </c>
      <c r="H40" s="485" t="s">
        <v>2556</v>
      </c>
      <c r="I40" s="485" t="s">
        <v>2919</v>
      </c>
      <c r="J40" s="485" t="s">
        <v>2920</v>
      </c>
      <c r="K40" s="485" t="s">
        <v>1756</v>
      </c>
      <c r="L40" s="485" t="s">
        <v>2783</v>
      </c>
      <c r="M40" s="486" t="s">
        <v>1307</v>
      </c>
      <c r="N40" s="486" t="s">
        <v>1231</v>
      </c>
      <c r="O40" s="485" t="s">
        <v>1232</v>
      </c>
      <c r="P40" s="485" t="s">
        <v>469</v>
      </c>
      <c r="Q40" s="487">
        <v>43160</v>
      </c>
      <c r="R40" s="487">
        <v>44651</v>
      </c>
      <c r="S40" s="488">
        <v>1.5</v>
      </c>
      <c r="T40" s="488"/>
      <c r="U40" s="489">
        <v>1310994.67</v>
      </c>
      <c r="V40" s="489">
        <v>1310994.67</v>
      </c>
      <c r="W40" s="489">
        <v>1310994.67</v>
      </c>
      <c r="X40" s="489">
        <f t="shared" si="0"/>
        <v>0</v>
      </c>
      <c r="Y40" s="489">
        <f t="shared" si="1"/>
        <v>0</v>
      </c>
      <c r="Z40" s="489">
        <v>967847.1</v>
      </c>
      <c r="AA40" s="489">
        <v>967847.1</v>
      </c>
      <c r="AB40" s="489">
        <v>967847.1</v>
      </c>
      <c r="AC40" s="489">
        <f t="shared" si="2"/>
        <v>0</v>
      </c>
      <c r="AD40" s="489">
        <f t="shared" si="3"/>
        <v>0</v>
      </c>
      <c r="AE40" s="489">
        <v>343147.57</v>
      </c>
      <c r="AF40" s="489">
        <v>0</v>
      </c>
      <c r="AG40" s="490" t="s">
        <v>1288</v>
      </c>
      <c r="AH40" s="490" t="s">
        <v>1252</v>
      </c>
      <c r="AI40" s="490" t="s">
        <v>1248</v>
      </c>
      <c r="AJ40" s="490" t="s">
        <v>1234</v>
      </c>
      <c r="AK40" s="490" t="s">
        <v>1235</v>
      </c>
      <c r="AL40" s="491"/>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c r="BV40"/>
      <c r="BW40"/>
      <c r="BX40"/>
      <c r="BY40"/>
      <c r="BZ40"/>
      <c r="CA40"/>
      <c r="CB40"/>
    </row>
    <row r="41" spans="1:80" ht="18" customHeight="1" x14ac:dyDescent="0.25">
      <c r="A41" s="492">
        <f t="shared" si="4"/>
        <v>39</v>
      </c>
      <c r="B41" s="492" t="s">
        <v>2925</v>
      </c>
      <c r="C41" s="492">
        <v>2100000163</v>
      </c>
      <c r="D41" s="492" t="s">
        <v>4648</v>
      </c>
      <c r="E41" s="492" t="s">
        <v>1309</v>
      </c>
      <c r="F41" s="492" t="s">
        <v>2558</v>
      </c>
      <c r="G41" s="492" t="s">
        <v>2923</v>
      </c>
      <c r="H41" s="492" t="s">
        <v>2558</v>
      </c>
      <c r="I41" s="492" t="s">
        <v>2923</v>
      </c>
      <c r="J41" s="492" t="s">
        <v>2924</v>
      </c>
      <c r="K41" s="492" t="s">
        <v>1756</v>
      </c>
      <c r="L41" s="492" t="s">
        <v>2783</v>
      </c>
      <c r="M41" s="493" t="s">
        <v>1230</v>
      </c>
      <c r="N41" s="493" t="s">
        <v>1232</v>
      </c>
      <c r="O41" s="492" t="s">
        <v>1231</v>
      </c>
      <c r="P41" s="492" t="s">
        <v>469</v>
      </c>
      <c r="Q41" s="494">
        <v>43168</v>
      </c>
      <c r="R41" s="494">
        <v>44742</v>
      </c>
      <c r="S41" s="495">
        <v>1.5</v>
      </c>
      <c r="T41" s="495"/>
      <c r="U41" s="496">
        <v>21928992</v>
      </c>
      <c r="V41" s="496">
        <v>21928992</v>
      </c>
      <c r="W41" s="496">
        <v>21928992</v>
      </c>
      <c r="X41" s="496">
        <f t="shared" si="0"/>
        <v>0</v>
      </c>
      <c r="Y41" s="496">
        <f t="shared" si="1"/>
        <v>0</v>
      </c>
      <c r="Z41" s="496">
        <v>19194263.190000001</v>
      </c>
      <c r="AA41" s="496">
        <v>19194263.190000001</v>
      </c>
      <c r="AB41" s="496">
        <v>19330621.359999999</v>
      </c>
      <c r="AC41" s="496">
        <f t="shared" si="2"/>
        <v>136358.16999999806</v>
      </c>
      <c r="AD41" s="496">
        <f t="shared" si="3"/>
        <v>136358.16999999806</v>
      </c>
      <c r="AE41" s="496">
        <v>0</v>
      </c>
      <c r="AF41" s="496">
        <v>2598370.64</v>
      </c>
      <c r="AG41" s="497" t="s">
        <v>1245</v>
      </c>
      <c r="AH41" s="497" t="s">
        <v>1247</v>
      </c>
      <c r="AI41" s="497" t="s">
        <v>1248</v>
      </c>
      <c r="AJ41" s="497" t="s">
        <v>1246</v>
      </c>
      <c r="AK41" s="497" t="s">
        <v>1235</v>
      </c>
      <c r="AL41" s="49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row>
    <row r="42" spans="1:80" ht="18" customHeight="1" x14ac:dyDescent="0.25">
      <c r="A42" s="485">
        <f t="shared" si="4"/>
        <v>40</v>
      </c>
      <c r="B42" s="485" t="s">
        <v>2929</v>
      </c>
      <c r="C42" s="485">
        <v>4100000113</v>
      </c>
      <c r="D42" s="485" t="s">
        <v>4649</v>
      </c>
      <c r="E42" s="485" t="s">
        <v>1310</v>
      </c>
      <c r="F42" s="485" t="s">
        <v>2928</v>
      </c>
      <c r="G42" s="485" t="s">
        <v>2926</v>
      </c>
      <c r="H42" s="485" t="s">
        <v>2550</v>
      </c>
      <c r="I42" s="485" t="s">
        <v>2867</v>
      </c>
      <c r="J42" s="485" t="s">
        <v>2927</v>
      </c>
      <c r="K42" s="485" t="s">
        <v>1756</v>
      </c>
      <c r="L42" s="485" t="s">
        <v>2783</v>
      </c>
      <c r="M42" s="486" t="s">
        <v>1230</v>
      </c>
      <c r="N42" s="486" t="s">
        <v>1231</v>
      </c>
      <c r="O42" s="485" t="s">
        <v>1232</v>
      </c>
      <c r="P42" s="485" t="s">
        <v>469</v>
      </c>
      <c r="Q42" s="487">
        <v>43168</v>
      </c>
      <c r="R42" s="487">
        <v>45012</v>
      </c>
      <c r="S42" s="488">
        <v>0.35</v>
      </c>
      <c r="T42" s="488"/>
      <c r="U42" s="489">
        <v>9750000</v>
      </c>
      <c r="V42" s="489">
        <v>9750000</v>
      </c>
      <c r="W42" s="489">
        <v>9750000</v>
      </c>
      <c r="X42" s="489">
        <f t="shared" si="0"/>
        <v>0</v>
      </c>
      <c r="Y42" s="489">
        <f t="shared" si="1"/>
        <v>0</v>
      </c>
      <c r="Z42" s="489">
        <v>9750000</v>
      </c>
      <c r="AA42" s="489">
        <v>9750000</v>
      </c>
      <c r="AB42" s="489">
        <v>9750000</v>
      </c>
      <c r="AC42" s="489">
        <f t="shared" si="2"/>
        <v>0</v>
      </c>
      <c r="AD42" s="489">
        <f t="shared" si="3"/>
        <v>0</v>
      </c>
      <c r="AE42" s="489">
        <v>0</v>
      </c>
      <c r="AF42" s="489">
        <v>0</v>
      </c>
      <c r="AG42" s="490" t="s">
        <v>1250</v>
      </c>
      <c r="AH42" s="490" t="s">
        <v>1252</v>
      </c>
      <c r="AI42" s="490" t="s">
        <v>1248</v>
      </c>
      <c r="AJ42" s="490" t="s">
        <v>1234</v>
      </c>
      <c r="AK42" s="490" t="s">
        <v>1251</v>
      </c>
      <c r="AL42" s="491"/>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row>
    <row r="43" spans="1:80" ht="18" customHeight="1" x14ac:dyDescent="0.25">
      <c r="A43" s="485">
        <f t="shared" si="4"/>
        <v>41</v>
      </c>
      <c r="B43" s="485" t="s">
        <v>2931</v>
      </c>
      <c r="C43" s="485">
        <v>1100000169</v>
      </c>
      <c r="D43" s="485" t="s">
        <v>4650</v>
      </c>
      <c r="E43" s="485" t="s">
        <v>286</v>
      </c>
      <c r="F43" s="485" t="s">
        <v>995</v>
      </c>
      <c r="G43" s="485" t="s">
        <v>1064</v>
      </c>
      <c r="H43" s="485" t="s">
        <v>995</v>
      </c>
      <c r="I43" s="485" t="s">
        <v>1064</v>
      </c>
      <c r="J43" s="485" t="s">
        <v>2930</v>
      </c>
      <c r="K43" s="501" t="s">
        <v>1756</v>
      </c>
      <c r="L43" s="485" t="s">
        <v>2783</v>
      </c>
      <c r="M43" s="486" t="s">
        <v>1230</v>
      </c>
      <c r="N43" s="486" t="s">
        <v>1231</v>
      </c>
      <c r="O43" s="485" t="s">
        <v>1232</v>
      </c>
      <c r="P43" s="485" t="s">
        <v>1156</v>
      </c>
      <c r="Q43" s="487">
        <v>43173</v>
      </c>
      <c r="R43" s="487">
        <v>45730</v>
      </c>
      <c r="S43" s="488">
        <v>1</v>
      </c>
      <c r="T43" s="488"/>
      <c r="U43" s="489">
        <v>2630000</v>
      </c>
      <c r="V43" s="489">
        <v>2630000</v>
      </c>
      <c r="W43" s="489">
        <v>2630000</v>
      </c>
      <c r="X43" s="489">
        <f t="shared" si="0"/>
        <v>0</v>
      </c>
      <c r="Y43" s="489">
        <f t="shared" si="1"/>
        <v>0</v>
      </c>
      <c r="Z43" s="489">
        <v>2630000</v>
      </c>
      <c r="AA43" s="489">
        <v>2630000</v>
      </c>
      <c r="AB43" s="489">
        <v>2630000</v>
      </c>
      <c r="AC43" s="489">
        <f t="shared" si="2"/>
        <v>0</v>
      </c>
      <c r="AD43" s="489">
        <f t="shared" si="3"/>
        <v>0</v>
      </c>
      <c r="AE43" s="489">
        <v>0</v>
      </c>
      <c r="AF43" s="489">
        <v>0</v>
      </c>
      <c r="AG43" s="490" t="s">
        <v>1237</v>
      </c>
      <c r="AH43" s="490" t="s">
        <v>1236</v>
      </c>
      <c r="AI43" s="490"/>
      <c r="AJ43" s="490" t="s">
        <v>1259</v>
      </c>
      <c r="AK43" s="490" t="s">
        <v>1260</v>
      </c>
      <c r="AL43" s="491"/>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row>
    <row r="44" spans="1:80" ht="18" customHeight="1" x14ac:dyDescent="0.25">
      <c r="A44" s="485">
        <f t="shared" si="4"/>
        <v>42</v>
      </c>
      <c r="B44" s="485" t="s">
        <v>2934</v>
      </c>
      <c r="C44" s="485">
        <v>1100000168</v>
      </c>
      <c r="D44" s="485" t="s">
        <v>4651</v>
      </c>
      <c r="E44" s="485" t="s">
        <v>287</v>
      </c>
      <c r="F44" s="485" t="s">
        <v>2933</v>
      </c>
      <c r="G44" s="485" t="s">
        <v>1081</v>
      </c>
      <c r="H44" s="485" t="s">
        <v>2551</v>
      </c>
      <c r="I44" s="485" t="s">
        <v>2871</v>
      </c>
      <c r="J44" s="485" t="s">
        <v>2932</v>
      </c>
      <c r="K44" s="485" t="s">
        <v>1756</v>
      </c>
      <c r="L44" s="485" t="s">
        <v>2783</v>
      </c>
      <c r="M44" s="486" t="s">
        <v>1230</v>
      </c>
      <c r="N44" s="486" t="s">
        <v>1231</v>
      </c>
      <c r="O44" s="485" t="s">
        <v>1232</v>
      </c>
      <c r="P44" s="485" t="s">
        <v>1156</v>
      </c>
      <c r="Q44" s="487">
        <v>43220</v>
      </c>
      <c r="R44" s="487">
        <v>45777</v>
      </c>
      <c r="S44" s="488">
        <v>1</v>
      </c>
      <c r="T44" s="488"/>
      <c r="U44" s="489">
        <v>6474308</v>
      </c>
      <c r="V44" s="489">
        <v>6474308</v>
      </c>
      <c r="W44" s="489">
        <v>6474308</v>
      </c>
      <c r="X44" s="489">
        <f t="shared" si="0"/>
        <v>0</v>
      </c>
      <c r="Y44" s="489">
        <f t="shared" si="1"/>
        <v>0</v>
      </c>
      <c r="Z44" s="489">
        <v>6474308</v>
      </c>
      <c r="AA44" s="489">
        <v>6474308</v>
      </c>
      <c r="AB44" s="489">
        <v>6474308</v>
      </c>
      <c r="AC44" s="489">
        <f t="shared" si="2"/>
        <v>0</v>
      </c>
      <c r="AD44" s="489">
        <f t="shared" si="3"/>
        <v>0</v>
      </c>
      <c r="AE44" s="489">
        <v>0</v>
      </c>
      <c r="AF44" s="489">
        <v>0</v>
      </c>
      <c r="AG44" s="490" t="s">
        <v>1237</v>
      </c>
      <c r="AH44" s="490" t="s">
        <v>1236</v>
      </c>
      <c r="AI44" s="490"/>
      <c r="AJ44" s="490" t="s">
        <v>1259</v>
      </c>
      <c r="AK44" s="490" t="s">
        <v>1260</v>
      </c>
      <c r="AL44" s="491"/>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row>
    <row r="45" spans="1:80" ht="17.25" customHeight="1" x14ac:dyDescent="0.25">
      <c r="A45" s="492">
        <f t="shared" si="4"/>
        <v>43</v>
      </c>
      <c r="B45" s="492" t="s">
        <v>2945</v>
      </c>
      <c r="C45" s="492">
        <v>2100000187</v>
      </c>
      <c r="D45" s="492" t="s">
        <v>4652</v>
      </c>
      <c r="E45" s="492" t="s">
        <v>1311</v>
      </c>
      <c r="F45" s="492" t="s">
        <v>2944</v>
      </c>
      <c r="G45" s="492" t="s">
        <v>2941</v>
      </c>
      <c r="H45" s="492" t="s">
        <v>4514</v>
      </c>
      <c r="I45" s="492" t="s">
        <v>2942</v>
      </c>
      <c r="J45" s="492" t="s">
        <v>2943</v>
      </c>
      <c r="K45" s="492" t="s">
        <v>1756</v>
      </c>
      <c r="L45" s="492" t="s">
        <v>2783</v>
      </c>
      <c r="M45" s="493" t="s">
        <v>1307</v>
      </c>
      <c r="N45" s="493" t="s">
        <v>1232</v>
      </c>
      <c r="O45" s="492" t="s">
        <v>1231</v>
      </c>
      <c r="P45" s="492" t="s">
        <v>469</v>
      </c>
      <c r="Q45" s="494">
        <v>43250</v>
      </c>
      <c r="R45" s="494">
        <v>44711</v>
      </c>
      <c r="S45" s="495">
        <v>1.5</v>
      </c>
      <c r="T45" s="495"/>
      <c r="U45" s="496">
        <v>28097074</v>
      </c>
      <c r="V45" s="496">
        <v>28097074</v>
      </c>
      <c r="W45" s="496">
        <v>28097074</v>
      </c>
      <c r="X45" s="496">
        <f t="shared" si="0"/>
        <v>0</v>
      </c>
      <c r="Y45" s="496">
        <f t="shared" si="1"/>
        <v>0</v>
      </c>
      <c r="Z45" s="496">
        <v>20821507.43</v>
      </c>
      <c r="AA45" s="496">
        <v>20821507.43</v>
      </c>
      <c r="AB45" s="496">
        <v>21003525.260000002</v>
      </c>
      <c r="AC45" s="496">
        <f t="shared" si="2"/>
        <v>182017.83000000194</v>
      </c>
      <c r="AD45" s="496">
        <f t="shared" si="3"/>
        <v>182017.83000000194</v>
      </c>
      <c r="AE45" s="496">
        <v>0</v>
      </c>
      <c r="AF45" s="496">
        <v>7093548.7400000002</v>
      </c>
      <c r="AG45" s="497" t="s">
        <v>1245</v>
      </c>
      <c r="AH45" s="497" t="s">
        <v>1247</v>
      </c>
      <c r="AI45" s="497" t="s">
        <v>1248</v>
      </c>
      <c r="AJ45" s="497" t="s">
        <v>1246</v>
      </c>
      <c r="AK45" s="497" t="s">
        <v>1235</v>
      </c>
      <c r="AL45" s="491"/>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row>
    <row r="46" spans="1:80" ht="18" customHeight="1" x14ac:dyDescent="0.25">
      <c r="A46" s="485">
        <f t="shared" si="4"/>
        <v>44</v>
      </c>
      <c r="B46" s="485" t="s">
        <v>2949</v>
      </c>
      <c r="C46" s="485">
        <v>2100000236</v>
      </c>
      <c r="D46" s="485" t="s">
        <v>4653</v>
      </c>
      <c r="E46" s="485" t="s">
        <v>1312</v>
      </c>
      <c r="F46" s="485" t="s">
        <v>2948</v>
      </c>
      <c r="G46" s="485" t="s">
        <v>2946</v>
      </c>
      <c r="H46" s="485" t="s">
        <v>2556</v>
      </c>
      <c r="I46" s="485" t="s">
        <v>2919</v>
      </c>
      <c r="J46" s="485" t="s">
        <v>2947</v>
      </c>
      <c r="K46" s="485" t="s">
        <v>1756</v>
      </c>
      <c r="L46" s="485" t="s">
        <v>2783</v>
      </c>
      <c r="M46" s="486" t="s">
        <v>1230</v>
      </c>
      <c r="N46" s="486" t="s">
        <v>1231</v>
      </c>
      <c r="O46" s="485" t="s">
        <v>1231</v>
      </c>
      <c r="P46" s="485" t="s">
        <v>469</v>
      </c>
      <c r="Q46" s="487">
        <v>43251</v>
      </c>
      <c r="R46" s="487">
        <v>44684</v>
      </c>
      <c r="S46" s="488">
        <v>1.5</v>
      </c>
      <c r="T46" s="488"/>
      <c r="U46" s="489">
        <v>3628028.43</v>
      </c>
      <c r="V46" s="489">
        <v>3652629.2</v>
      </c>
      <c r="W46" s="489">
        <v>3652629.2</v>
      </c>
      <c r="X46" s="489">
        <f t="shared" si="0"/>
        <v>24600.770000000019</v>
      </c>
      <c r="Y46" s="489">
        <f t="shared" si="1"/>
        <v>0</v>
      </c>
      <c r="Z46" s="489">
        <v>3628028.43</v>
      </c>
      <c r="AA46" s="489">
        <v>3652629.2</v>
      </c>
      <c r="AB46" s="489">
        <v>3652629.2</v>
      </c>
      <c r="AC46" s="489">
        <f t="shared" si="2"/>
        <v>24600.770000000019</v>
      </c>
      <c r="AD46" s="489">
        <f t="shared" si="3"/>
        <v>0</v>
      </c>
      <c r="AE46" s="489">
        <v>0</v>
      </c>
      <c r="AF46" s="489">
        <v>0</v>
      </c>
      <c r="AG46" s="490" t="s">
        <v>1245</v>
      </c>
      <c r="AH46" s="490" t="s">
        <v>1247</v>
      </c>
      <c r="AI46" s="490" t="s">
        <v>1269</v>
      </c>
      <c r="AJ46" s="490" t="s">
        <v>1246</v>
      </c>
      <c r="AK46" s="490" t="s">
        <v>1235</v>
      </c>
      <c r="AL46" s="491"/>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row>
    <row r="47" spans="1:80" ht="18" customHeight="1" x14ac:dyDescent="0.25">
      <c r="A47" s="492">
        <f t="shared" si="4"/>
        <v>45</v>
      </c>
      <c r="B47" s="492" t="s">
        <v>2952</v>
      </c>
      <c r="C47" s="492">
        <v>4100000194</v>
      </c>
      <c r="D47" s="492" t="s">
        <v>4654</v>
      </c>
      <c r="E47" s="492" t="s">
        <v>1314</v>
      </c>
      <c r="F47" s="492" t="s">
        <v>1313</v>
      </c>
      <c r="G47" s="492" t="s">
        <v>2950</v>
      </c>
      <c r="H47" s="492" t="s">
        <v>1313</v>
      </c>
      <c r="I47" s="492" t="s">
        <v>2950</v>
      </c>
      <c r="J47" s="492" t="s">
        <v>2951</v>
      </c>
      <c r="K47" s="492" t="s">
        <v>1756</v>
      </c>
      <c r="L47" s="492" t="s">
        <v>2783</v>
      </c>
      <c r="M47" s="493" t="s">
        <v>1230</v>
      </c>
      <c r="N47" s="493" t="s">
        <v>1231</v>
      </c>
      <c r="O47" s="492" t="s">
        <v>1232</v>
      </c>
      <c r="P47" s="492" t="s">
        <v>469</v>
      </c>
      <c r="Q47" s="494">
        <v>43251</v>
      </c>
      <c r="R47" s="494">
        <v>45077</v>
      </c>
      <c r="S47" s="495">
        <v>0.35</v>
      </c>
      <c r="T47" s="495"/>
      <c r="U47" s="496">
        <v>1155000</v>
      </c>
      <c r="V47" s="496">
        <v>1155000</v>
      </c>
      <c r="W47" s="496">
        <v>1155000</v>
      </c>
      <c r="X47" s="496">
        <f t="shared" si="0"/>
        <v>0</v>
      </c>
      <c r="Y47" s="496">
        <f t="shared" si="1"/>
        <v>0</v>
      </c>
      <c r="Z47" s="496">
        <v>1155000</v>
      </c>
      <c r="AA47" s="496">
        <v>1155000</v>
      </c>
      <c r="AB47" s="496">
        <v>1155000</v>
      </c>
      <c r="AC47" s="496">
        <f t="shared" si="2"/>
        <v>0</v>
      </c>
      <c r="AD47" s="496">
        <f t="shared" si="3"/>
        <v>0</v>
      </c>
      <c r="AE47" s="496">
        <v>0</v>
      </c>
      <c r="AF47" s="496">
        <v>0</v>
      </c>
      <c r="AG47" s="497" t="s">
        <v>1250</v>
      </c>
      <c r="AH47" s="497" t="s">
        <v>1252</v>
      </c>
      <c r="AI47" s="497" t="s">
        <v>1248</v>
      </c>
      <c r="AJ47" s="497" t="s">
        <v>1234</v>
      </c>
      <c r="AK47" s="497" t="s">
        <v>1251</v>
      </c>
      <c r="AL47" s="491"/>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row>
    <row r="48" spans="1:80" ht="18" customHeight="1" x14ac:dyDescent="0.25">
      <c r="A48" s="492">
        <f t="shared" si="4"/>
        <v>46</v>
      </c>
      <c r="B48" s="492" t="s">
        <v>2953</v>
      </c>
      <c r="C48" s="492">
        <v>4100000191</v>
      </c>
      <c r="D48" s="492" t="s">
        <v>4655</v>
      </c>
      <c r="E48" s="492" t="s">
        <v>1314</v>
      </c>
      <c r="F48" s="492" t="s">
        <v>1313</v>
      </c>
      <c r="G48" s="492" t="s">
        <v>2950</v>
      </c>
      <c r="H48" s="492" t="s">
        <v>1313</v>
      </c>
      <c r="I48" s="492" t="s">
        <v>2950</v>
      </c>
      <c r="J48" s="492" t="s">
        <v>2951</v>
      </c>
      <c r="K48" s="492" t="s">
        <v>1756</v>
      </c>
      <c r="L48" s="492" t="s">
        <v>2783</v>
      </c>
      <c r="M48" s="493" t="s">
        <v>1230</v>
      </c>
      <c r="N48" s="493" t="s">
        <v>1231</v>
      </c>
      <c r="O48" s="492" t="s">
        <v>1232</v>
      </c>
      <c r="P48" s="492" t="s">
        <v>469</v>
      </c>
      <c r="Q48" s="494">
        <v>43251</v>
      </c>
      <c r="R48" s="494">
        <v>45077</v>
      </c>
      <c r="S48" s="495">
        <v>0.35</v>
      </c>
      <c r="T48" s="495"/>
      <c r="U48" s="496">
        <v>345000</v>
      </c>
      <c r="V48" s="496">
        <v>345000</v>
      </c>
      <c r="W48" s="496">
        <v>345000</v>
      </c>
      <c r="X48" s="496">
        <f t="shared" si="0"/>
        <v>0</v>
      </c>
      <c r="Y48" s="496">
        <f t="shared" si="1"/>
        <v>0</v>
      </c>
      <c r="Z48" s="496">
        <v>345000</v>
      </c>
      <c r="AA48" s="496">
        <v>345000</v>
      </c>
      <c r="AB48" s="496">
        <v>345000</v>
      </c>
      <c r="AC48" s="496">
        <f t="shared" si="2"/>
        <v>0</v>
      </c>
      <c r="AD48" s="496">
        <f t="shared" si="3"/>
        <v>0</v>
      </c>
      <c r="AE48" s="496">
        <v>0</v>
      </c>
      <c r="AF48" s="496">
        <v>0</v>
      </c>
      <c r="AG48" s="497" t="s">
        <v>1250</v>
      </c>
      <c r="AH48" s="497" t="s">
        <v>1252</v>
      </c>
      <c r="AI48" s="497" t="s">
        <v>1248</v>
      </c>
      <c r="AJ48" s="497" t="s">
        <v>1234</v>
      </c>
      <c r="AK48" s="497" t="s">
        <v>1251</v>
      </c>
      <c r="AL48" s="491"/>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row>
    <row r="49" spans="1:80" ht="18" customHeight="1" x14ac:dyDescent="0.25">
      <c r="A49" s="485">
        <f t="shared" si="4"/>
        <v>47</v>
      </c>
      <c r="B49" s="485" t="s">
        <v>2957</v>
      </c>
      <c r="C49" s="485">
        <v>2100000213</v>
      </c>
      <c r="D49" s="485" t="s">
        <v>4656</v>
      </c>
      <c r="E49" s="485" t="s">
        <v>1316</v>
      </c>
      <c r="F49" s="485" t="s">
        <v>1315</v>
      </c>
      <c r="G49" s="485" t="s">
        <v>2954</v>
      </c>
      <c r="H49" s="485" t="s">
        <v>2560</v>
      </c>
      <c r="I49" s="485" t="s">
        <v>2955</v>
      </c>
      <c r="J49" s="485" t="s">
        <v>2956</v>
      </c>
      <c r="K49" s="485" t="s">
        <v>1756</v>
      </c>
      <c r="L49" s="485" t="s">
        <v>2783</v>
      </c>
      <c r="M49" s="486" t="s">
        <v>1230</v>
      </c>
      <c r="N49" s="486" t="s">
        <v>1231</v>
      </c>
      <c r="O49" s="485" t="s">
        <v>1231</v>
      </c>
      <c r="P49" s="485" t="s">
        <v>469</v>
      </c>
      <c r="Q49" s="487">
        <v>43255</v>
      </c>
      <c r="R49" s="487">
        <v>44963</v>
      </c>
      <c r="S49" s="488">
        <v>1.5</v>
      </c>
      <c r="T49" s="488"/>
      <c r="U49" s="489">
        <v>1901900</v>
      </c>
      <c r="V49" s="489">
        <v>1901900</v>
      </c>
      <c r="W49" s="489">
        <v>1901900</v>
      </c>
      <c r="X49" s="489">
        <f t="shared" si="0"/>
        <v>0</v>
      </c>
      <c r="Y49" s="489">
        <f t="shared" si="1"/>
        <v>0</v>
      </c>
      <c r="Z49" s="489">
        <v>1683263.03</v>
      </c>
      <c r="AA49" s="489">
        <v>1683263.03</v>
      </c>
      <c r="AB49" s="489">
        <v>1695911.5</v>
      </c>
      <c r="AC49" s="489">
        <f t="shared" si="2"/>
        <v>12648.469999999972</v>
      </c>
      <c r="AD49" s="489">
        <f t="shared" si="3"/>
        <v>12648.469999999972</v>
      </c>
      <c r="AE49" s="489">
        <v>0</v>
      </c>
      <c r="AF49" s="489">
        <v>205988.5</v>
      </c>
      <c r="AG49" s="490" t="s">
        <v>1245</v>
      </c>
      <c r="AH49" s="490" t="s">
        <v>1247</v>
      </c>
      <c r="AI49" s="490" t="s">
        <v>1248</v>
      </c>
      <c r="AJ49" s="490" t="s">
        <v>1246</v>
      </c>
      <c r="AK49" s="490" t="s">
        <v>1235</v>
      </c>
      <c r="AL49" s="491"/>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row>
    <row r="50" spans="1:80" ht="18" customHeight="1" x14ac:dyDescent="0.25">
      <c r="A50" s="485">
        <f t="shared" si="4"/>
        <v>48</v>
      </c>
      <c r="B50" s="485" t="s">
        <v>2960</v>
      </c>
      <c r="C50" s="485">
        <v>1100000209</v>
      </c>
      <c r="D50" s="485" t="s">
        <v>4657</v>
      </c>
      <c r="E50" s="485" t="s">
        <v>288</v>
      </c>
      <c r="F50" s="485" t="s">
        <v>992</v>
      </c>
      <c r="G50" s="485" t="s">
        <v>1082</v>
      </c>
      <c r="H50" s="485" t="s">
        <v>2561</v>
      </c>
      <c r="I50" s="485" t="s">
        <v>2958</v>
      </c>
      <c r="J50" s="485" t="s">
        <v>2959</v>
      </c>
      <c r="K50" s="485" t="s">
        <v>1281</v>
      </c>
      <c r="L50" s="485" t="s">
        <v>2783</v>
      </c>
      <c r="M50" s="486" t="s">
        <v>1230</v>
      </c>
      <c r="N50" s="486" t="s">
        <v>1231</v>
      </c>
      <c r="O50" s="485" t="s">
        <v>1232</v>
      </c>
      <c r="P50" s="485" t="s">
        <v>1156</v>
      </c>
      <c r="Q50" s="487">
        <v>43257</v>
      </c>
      <c r="R50" s="487">
        <v>45992</v>
      </c>
      <c r="S50" s="488">
        <v>1</v>
      </c>
      <c r="T50" s="488"/>
      <c r="U50" s="489">
        <v>1500000</v>
      </c>
      <c r="V50" s="489">
        <v>1500000</v>
      </c>
      <c r="W50" s="489">
        <v>1500000</v>
      </c>
      <c r="X50" s="489">
        <f t="shared" si="0"/>
        <v>0</v>
      </c>
      <c r="Y50" s="489">
        <f t="shared" si="1"/>
        <v>0</v>
      </c>
      <c r="Z50" s="489">
        <v>0</v>
      </c>
      <c r="AA50" s="489">
        <v>0</v>
      </c>
      <c r="AB50" s="489">
        <v>0</v>
      </c>
      <c r="AC50" s="489">
        <f t="shared" si="2"/>
        <v>0</v>
      </c>
      <c r="AD50" s="489">
        <f t="shared" si="3"/>
        <v>0</v>
      </c>
      <c r="AE50" s="489">
        <v>1500000</v>
      </c>
      <c r="AF50" s="489">
        <v>0</v>
      </c>
      <c r="AG50" s="490" t="s">
        <v>1237</v>
      </c>
      <c r="AH50" s="490" t="s">
        <v>1303</v>
      </c>
      <c r="AI50" s="490"/>
      <c r="AJ50" s="490" t="s">
        <v>1253</v>
      </c>
      <c r="AK50" s="490" t="s">
        <v>1260</v>
      </c>
      <c r="AL50" s="491"/>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row>
    <row r="51" spans="1:80" ht="18" customHeight="1" x14ac:dyDescent="0.25">
      <c r="A51" s="485">
        <f t="shared" si="4"/>
        <v>49</v>
      </c>
      <c r="B51" s="485" t="s">
        <v>2963</v>
      </c>
      <c r="C51" s="485">
        <v>1100000175</v>
      </c>
      <c r="D51" s="485" t="s">
        <v>4658</v>
      </c>
      <c r="E51" s="485" t="s">
        <v>1318</v>
      </c>
      <c r="F51" s="485" t="s">
        <v>198</v>
      </c>
      <c r="G51" s="485" t="s">
        <v>2768</v>
      </c>
      <c r="H51" s="485" t="s">
        <v>2562</v>
      </c>
      <c r="I51" s="485" t="s">
        <v>2961</v>
      </c>
      <c r="J51" s="485" t="s">
        <v>2962</v>
      </c>
      <c r="K51" s="485" t="s">
        <v>1756</v>
      </c>
      <c r="L51" s="485" t="s">
        <v>2783</v>
      </c>
      <c r="M51" s="486" t="s">
        <v>1230</v>
      </c>
      <c r="N51" s="486" t="s">
        <v>1231</v>
      </c>
      <c r="O51" s="485" t="s">
        <v>1231</v>
      </c>
      <c r="P51" s="485" t="s">
        <v>1156</v>
      </c>
      <c r="Q51" s="487">
        <v>43259</v>
      </c>
      <c r="R51" s="487">
        <v>45085</v>
      </c>
      <c r="S51" s="488">
        <v>1</v>
      </c>
      <c r="T51" s="488"/>
      <c r="U51" s="489">
        <v>20011058.510000002</v>
      </c>
      <c r="V51" s="489">
        <v>20011058.510000002</v>
      </c>
      <c r="W51" s="489">
        <v>20011058.510000002</v>
      </c>
      <c r="X51" s="489">
        <f t="shared" si="0"/>
        <v>0</v>
      </c>
      <c r="Y51" s="489">
        <f t="shared" si="1"/>
        <v>0</v>
      </c>
      <c r="Z51" s="489">
        <v>20011058.510000002</v>
      </c>
      <c r="AA51" s="489">
        <v>20011058.510000002</v>
      </c>
      <c r="AB51" s="489">
        <v>20011058.510000002</v>
      </c>
      <c r="AC51" s="489">
        <f t="shared" si="2"/>
        <v>0</v>
      </c>
      <c r="AD51" s="489">
        <f t="shared" si="3"/>
        <v>0</v>
      </c>
      <c r="AE51" s="489">
        <v>0</v>
      </c>
      <c r="AF51" s="489">
        <v>0</v>
      </c>
      <c r="AG51" s="490" t="s">
        <v>1237</v>
      </c>
      <c r="AH51" s="490" t="s">
        <v>1236</v>
      </c>
      <c r="AI51" s="490"/>
      <c r="AJ51" s="490" t="s">
        <v>1259</v>
      </c>
      <c r="AK51" s="490" t="s">
        <v>1260</v>
      </c>
      <c r="AL51" s="49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row>
    <row r="52" spans="1:80" ht="18" customHeight="1" x14ac:dyDescent="0.25">
      <c r="A52" s="485">
        <f t="shared" si="4"/>
        <v>50</v>
      </c>
      <c r="B52" s="485" t="s">
        <v>2966</v>
      </c>
      <c r="C52" s="485">
        <v>1100000144</v>
      </c>
      <c r="D52" s="485" t="s">
        <v>4659</v>
      </c>
      <c r="E52" s="485" t="s">
        <v>289</v>
      </c>
      <c r="F52" s="485" t="s">
        <v>112</v>
      </c>
      <c r="G52" s="485" t="s">
        <v>1083</v>
      </c>
      <c r="H52" s="485" t="s">
        <v>4515</v>
      </c>
      <c r="I52" s="485" t="s">
        <v>2964</v>
      </c>
      <c r="J52" s="485" t="s">
        <v>2965</v>
      </c>
      <c r="K52" s="485" t="s">
        <v>1756</v>
      </c>
      <c r="L52" s="485" t="s">
        <v>2783</v>
      </c>
      <c r="M52" s="486" t="s">
        <v>1230</v>
      </c>
      <c r="N52" s="486" t="s">
        <v>1231</v>
      </c>
      <c r="O52" s="485" t="s">
        <v>1232</v>
      </c>
      <c r="P52" s="485" t="s">
        <v>1156</v>
      </c>
      <c r="Q52" s="487">
        <v>43266</v>
      </c>
      <c r="R52" s="487">
        <v>45553</v>
      </c>
      <c r="S52" s="488">
        <v>1</v>
      </c>
      <c r="T52" s="488"/>
      <c r="U52" s="489">
        <v>4468749.95</v>
      </c>
      <c r="V52" s="489">
        <v>4468749.95</v>
      </c>
      <c r="W52" s="489">
        <v>4468749.95</v>
      </c>
      <c r="X52" s="489">
        <f t="shared" si="0"/>
        <v>0</v>
      </c>
      <c r="Y52" s="489">
        <f t="shared" si="1"/>
        <v>0</v>
      </c>
      <c r="Z52" s="489">
        <v>4468749.95</v>
      </c>
      <c r="AA52" s="489">
        <v>4468749.95</v>
      </c>
      <c r="AB52" s="489">
        <v>4468749.95</v>
      </c>
      <c r="AC52" s="489">
        <f t="shared" si="2"/>
        <v>0</v>
      </c>
      <c r="AD52" s="489">
        <f t="shared" si="3"/>
        <v>0</v>
      </c>
      <c r="AE52" s="489">
        <v>0</v>
      </c>
      <c r="AF52" s="489">
        <v>0</v>
      </c>
      <c r="AG52" s="490" t="s">
        <v>1237</v>
      </c>
      <c r="AH52" s="490" t="s">
        <v>1305</v>
      </c>
      <c r="AI52" s="490"/>
      <c r="AJ52" s="490" t="s">
        <v>1319</v>
      </c>
      <c r="AK52" s="490" t="s">
        <v>1260</v>
      </c>
      <c r="AL52" s="491"/>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row>
    <row r="53" spans="1:80" ht="18" customHeight="1" x14ac:dyDescent="0.25">
      <c r="A53" s="492">
        <f t="shared" si="4"/>
        <v>51</v>
      </c>
      <c r="B53" s="492" t="s">
        <v>2969</v>
      </c>
      <c r="C53" s="492">
        <v>4100000114</v>
      </c>
      <c r="D53" s="492" t="s">
        <v>4660</v>
      </c>
      <c r="E53" s="492" t="s">
        <v>1320</v>
      </c>
      <c r="F53" s="492" t="s">
        <v>2563</v>
      </c>
      <c r="G53" s="492" t="s">
        <v>2967</v>
      </c>
      <c r="H53" s="492" t="s">
        <v>2563</v>
      </c>
      <c r="I53" s="492" t="s">
        <v>2967</v>
      </c>
      <c r="J53" s="492" t="s">
        <v>2968</v>
      </c>
      <c r="K53" s="492" t="s">
        <v>1756</v>
      </c>
      <c r="L53" s="492" t="s">
        <v>2783</v>
      </c>
      <c r="M53" s="493" t="s">
        <v>1230</v>
      </c>
      <c r="N53" s="493" t="s">
        <v>1232</v>
      </c>
      <c r="O53" s="492" t="s">
        <v>1232</v>
      </c>
      <c r="P53" s="492" t="s">
        <v>469</v>
      </c>
      <c r="Q53" s="494">
        <v>43285</v>
      </c>
      <c r="R53" s="494">
        <v>45111</v>
      </c>
      <c r="S53" s="498">
        <v>1</v>
      </c>
      <c r="T53" s="498"/>
      <c r="U53" s="496">
        <v>756000</v>
      </c>
      <c r="V53" s="496">
        <v>756000</v>
      </c>
      <c r="W53" s="496">
        <v>756000</v>
      </c>
      <c r="X53" s="496">
        <f t="shared" si="0"/>
        <v>0</v>
      </c>
      <c r="Y53" s="496">
        <f t="shared" si="1"/>
        <v>0</v>
      </c>
      <c r="Z53" s="496">
        <v>756000</v>
      </c>
      <c r="AA53" s="496">
        <v>756000</v>
      </c>
      <c r="AB53" s="496">
        <v>756000</v>
      </c>
      <c r="AC53" s="496">
        <f t="shared" si="2"/>
        <v>0</v>
      </c>
      <c r="AD53" s="496">
        <f t="shared" si="3"/>
        <v>0</v>
      </c>
      <c r="AE53" s="496">
        <v>0</v>
      </c>
      <c r="AF53" s="496">
        <v>0</v>
      </c>
      <c r="AG53" s="497" t="s">
        <v>1250</v>
      </c>
      <c r="AH53" s="497" t="s">
        <v>1252</v>
      </c>
      <c r="AI53" s="497" t="s">
        <v>1283</v>
      </c>
      <c r="AJ53" s="497" t="s">
        <v>1234</v>
      </c>
      <c r="AK53" s="497" t="s">
        <v>1278</v>
      </c>
      <c r="AL53" s="491"/>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row>
    <row r="54" spans="1:80" ht="18" customHeight="1" x14ac:dyDescent="0.25">
      <c r="A54" s="492">
        <f t="shared" si="4"/>
        <v>52</v>
      </c>
      <c r="B54" s="492" t="s">
        <v>2972</v>
      </c>
      <c r="C54" s="492">
        <v>4100000115</v>
      </c>
      <c r="D54" s="492" t="s">
        <v>4661</v>
      </c>
      <c r="E54" s="492" t="s">
        <v>1323</v>
      </c>
      <c r="F54" s="492" t="s">
        <v>1322</v>
      </c>
      <c r="G54" s="492" t="s">
        <v>2970</v>
      </c>
      <c r="H54" s="492" t="s">
        <v>1322</v>
      </c>
      <c r="I54" s="492" t="s">
        <v>2970</v>
      </c>
      <c r="J54" s="492" t="s">
        <v>2971</v>
      </c>
      <c r="K54" s="492" t="s">
        <v>1756</v>
      </c>
      <c r="L54" s="492" t="s">
        <v>2783</v>
      </c>
      <c r="M54" s="493" t="s">
        <v>1230</v>
      </c>
      <c r="N54" s="493" t="s">
        <v>1232</v>
      </c>
      <c r="O54" s="492" t="s">
        <v>1232</v>
      </c>
      <c r="P54" s="492" t="s">
        <v>469</v>
      </c>
      <c r="Q54" s="494">
        <v>43307</v>
      </c>
      <c r="R54" s="494">
        <v>45133</v>
      </c>
      <c r="S54" s="495">
        <v>1</v>
      </c>
      <c r="T54" s="495"/>
      <c r="U54" s="496">
        <v>100000</v>
      </c>
      <c r="V54" s="496">
        <v>100000</v>
      </c>
      <c r="W54" s="496">
        <v>100000</v>
      </c>
      <c r="X54" s="496">
        <f t="shared" si="0"/>
        <v>0</v>
      </c>
      <c r="Y54" s="496">
        <f t="shared" si="1"/>
        <v>0</v>
      </c>
      <c r="Z54" s="496">
        <v>100000</v>
      </c>
      <c r="AA54" s="496">
        <v>100000</v>
      </c>
      <c r="AB54" s="496">
        <v>100000</v>
      </c>
      <c r="AC54" s="496">
        <f t="shared" si="2"/>
        <v>0</v>
      </c>
      <c r="AD54" s="496">
        <f t="shared" si="3"/>
        <v>0</v>
      </c>
      <c r="AE54" s="496">
        <v>0</v>
      </c>
      <c r="AF54" s="496">
        <v>0</v>
      </c>
      <c r="AG54" s="497" t="s">
        <v>1250</v>
      </c>
      <c r="AH54" s="497" t="s">
        <v>1291</v>
      </c>
      <c r="AI54" s="497" t="s">
        <v>1317</v>
      </c>
      <c r="AJ54" s="497" t="s">
        <v>1234</v>
      </c>
      <c r="AK54" s="497" t="s">
        <v>1240</v>
      </c>
      <c r="AL54" s="491"/>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row>
    <row r="55" spans="1:80" ht="18" customHeight="1" x14ac:dyDescent="0.25">
      <c r="A55" s="485">
        <f t="shared" si="4"/>
        <v>53</v>
      </c>
      <c r="B55" s="485" t="s">
        <v>2975</v>
      </c>
      <c r="C55" s="485">
        <v>4100000117</v>
      </c>
      <c r="D55" s="485" t="s">
        <v>4662</v>
      </c>
      <c r="E55" s="485" t="s">
        <v>1325</v>
      </c>
      <c r="F55" s="485" t="s">
        <v>1324</v>
      </c>
      <c r="G55" s="485" t="s">
        <v>2973</v>
      </c>
      <c r="H55" s="485" t="s">
        <v>2539</v>
      </c>
      <c r="I55" s="485" t="s">
        <v>2785</v>
      </c>
      <c r="J55" s="485" t="s">
        <v>2974</v>
      </c>
      <c r="K55" s="485" t="s">
        <v>1756</v>
      </c>
      <c r="L55" s="485" t="s">
        <v>2783</v>
      </c>
      <c r="M55" s="486" t="s">
        <v>1230</v>
      </c>
      <c r="N55" s="486" t="s">
        <v>1231</v>
      </c>
      <c r="O55" s="485" t="s">
        <v>1232</v>
      </c>
      <c r="P55" s="485" t="s">
        <v>469</v>
      </c>
      <c r="Q55" s="487">
        <v>43308</v>
      </c>
      <c r="R55" s="487">
        <v>46230</v>
      </c>
      <c r="S55" s="488">
        <v>0.35</v>
      </c>
      <c r="T55" s="488"/>
      <c r="U55" s="489">
        <v>283500</v>
      </c>
      <c r="V55" s="489">
        <v>283500</v>
      </c>
      <c r="W55" s="489">
        <v>283500</v>
      </c>
      <c r="X55" s="489">
        <f t="shared" si="0"/>
        <v>0</v>
      </c>
      <c r="Y55" s="489">
        <f t="shared" si="1"/>
        <v>0</v>
      </c>
      <c r="Z55" s="489">
        <v>283500</v>
      </c>
      <c r="AA55" s="489">
        <v>283500</v>
      </c>
      <c r="AB55" s="489">
        <v>283500</v>
      </c>
      <c r="AC55" s="489">
        <f t="shared" si="2"/>
        <v>0</v>
      </c>
      <c r="AD55" s="489">
        <f t="shared" si="3"/>
        <v>0</v>
      </c>
      <c r="AE55" s="489">
        <v>0</v>
      </c>
      <c r="AF55" s="489">
        <v>0</v>
      </c>
      <c r="AG55" s="490" t="s">
        <v>1250</v>
      </c>
      <c r="AH55" s="490" t="s">
        <v>1252</v>
      </c>
      <c r="AI55" s="490" t="s">
        <v>1248</v>
      </c>
      <c r="AJ55" s="490" t="s">
        <v>1234</v>
      </c>
      <c r="AK55" s="490" t="s">
        <v>1251</v>
      </c>
      <c r="AL55" s="491"/>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row>
    <row r="56" spans="1:80" ht="18" customHeight="1" x14ac:dyDescent="0.25">
      <c r="A56" s="485">
        <f t="shared" si="4"/>
        <v>54</v>
      </c>
      <c r="B56" s="485" t="s">
        <v>2979</v>
      </c>
      <c r="C56" s="485">
        <v>4100000110</v>
      </c>
      <c r="D56" s="485" t="s">
        <v>4663</v>
      </c>
      <c r="E56" s="485" t="s">
        <v>1326</v>
      </c>
      <c r="F56" s="485" t="s">
        <v>2978</v>
      </c>
      <c r="G56" s="485" t="s">
        <v>2976</v>
      </c>
      <c r="H56" s="485" t="s">
        <v>2539</v>
      </c>
      <c r="I56" s="485" t="s">
        <v>2785</v>
      </c>
      <c r="J56" s="485" t="s">
        <v>2977</v>
      </c>
      <c r="K56" s="485" t="s">
        <v>1756</v>
      </c>
      <c r="L56" s="485" t="s">
        <v>2783</v>
      </c>
      <c r="M56" s="486" t="s">
        <v>1230</v>
      </c>
      <c r="N56" s="486" t="s">
        <v>1231</v>
      </c>
      <c r="O56" s="485" t="s">
        <v>1232</v>
      </c>
      <c r="P56" s="485" t="s">
        <v>469</v>
      </c>
      <c r="Q56" s="487">
        <v>43308</v>
      </c>
      <c r="R56" s="487">
        <v>46230</v>
      </c>
      <c r="S56" s="488">
        <v>0.35</v>
      </c>
      <c r="T56" s="488"/>
      <c r="U56" s="489">
        <v>375000</v>
      </c>
      <c r="V56" s="489">
        <v>375000</v>
      </c>
      <c r="W56" s="489">
        <v>375000</v>
      </c>
      <c r="X56" s="489">
        <f t="shared" si="0"/>
        <v>0</v>
      </c>
      <c r="Y56" s="489">
        <f t="shared" si="1"/>
        <v>0</v>
      </c>
      <c r="Z56" s="489">
        <v>375000</v>
      </c>
      <c r="AA56" s="489">
        <v>375000</v>
      </c>
      <c r="AB56" s="489">
        <v>375000</v>
      </c>
      <c r="AC56" s="489">
        <f t="shared" si="2"/>
        <v>0</v>
      </c>
      <c r="AD56" s="489">
        <f t="shared" si="3"/>
        <v>0</v>
      </c>
      <c r="AE56" s="489">
        <v>0</v>
      </c>
      <c r="AF56" s="489">
        <v>0</v>
      </c>
      <c r="AG56" s="490" t="s">
        <v>1250</v>
      </c>
      <c r="AH56" s="490" t="s">
        <v>1252</v>
      </c>
      <c r="AI56" s="490" t="s">
        <v>1248</v>
      </c>
      <c r="AJ56" s="490" t="s">
        <v>1234</v>
      </c>
      <c r="AK56" s="490" t="s">
        <v>1251</v>
      </c>
      <c r="AL56" s="491"/>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row>
    <row r="57" spans="1:80" ht="18" customHeight="1" x14ac:dyDescent="0.25">
      <c r="A57" s="485">
        <f t="shared" si="4"/>
        <v>55</v>
      </c>
      <c r="B57" s="485" t="s">
        <v>2983</v>
      </c>
      <c r="C57" s="485">
        <v>1100000215</v>
      </c>
      <c r="D57" s="485" t="s">
        <v>4664</v>
      </c>
      <c r="E57" s="485" t="s">
        <v>1327</v>
      </c>
      <c r="F57" s="485" t="s">
        <v>199</v>
      </c>
      <c r="G57" s="485" t="s">
        <v>2980</v>
      </c>
      <c r="H57" s="485" t="s">
        <v>2564</v>
      </c>
      <c r="I57" s="485" t="s">
        <v>2981</v>
      </c>
      <c r="J57" s="485" t="s">
        <v>2982</v>
      </c>
      <c r="K57" s="485" t="s">
        <v>1756</v>
      </c>
      <c r="L57" s="485" t="s">
        <v>2783</v>
      </c>
      <c r="M57" s="486" t="s">
        <v>1230</v>
      </c>
      <c r="N57" s="486" t="s">
        <v>1231</v>
      </c>
      <c r="O57" s="485" t="s">
        <v>1231</v>
      </c>
      <c r="P57" s="485" t="s">
        <v>1156</v>
      </c>
      <c r="Q57" s="487">
        <v>43308</v>
      </c>
      <c r="R57" s="487">
        <v>45134</v>
      </c>
      <c r="S57" s="488">
        <v>1</v>
      </c>
      <c r="T57" s="488"/>
      <c r="U57" s="489">
        <v>16607586.470000001</v>
      </c>
      <c r="V57" s="489">
        <v>16607586.470000001</v>
      </c>
      <c r="W57" s="489">
        <v>16607586.470000001</v>
      </c>
      <c r="X57" s="489">
        <f t="shared" si="0"/>
        <v>0</v>
      </c>
      <c r="Y57" s="489">
        <f t="shared" si="1"/>
        <v>0</v>
      </c>
      <c r="Z57" s="489">
        <v>11339041.380000001</v>
      </c>
      <c r="AA57" s="489">
        <v>11427764.890000001</v>
      </c>
      <c r="AB57" s="489">
        <v>11427764.890000001</v>
      </c>
      <c r="AC57" s="489">
        <f t="shared" si="2"/>
        <v>88723.509999999776</v>
      </c>
      <c r="AD57" s="489">
        <f t="shared" si="3"/>
        <v>0</v>
      </c>
      <c r="AE57" s="489">
        <v>0</v>
      </c>
      <c r="AF57" s="489">
        <v>5179821.58</v>
      </c>
      <c r="AG57" s="490" t="s">
        <v>1237</v>
      </c>
      <c r="AH57" s="490" t="s">
        <v>1236</v>
      </c>
      <c r="AI57" s="490"/>
      <c r="AJ57" s="490" t="s">
        <v>1259</v>
      </c>
      <c r="AK57" s="490" t="s">
        <v>1240</v>
      </c>
      <c r="AL57" s="491"/>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row>
    <row r="58" spans="1:80" ht="18" customHeight="1" x14ac:dyDescent="0.25">
      <c r="A58" s="492">
        <f t="shared" si="4"/>
        <v>56</v>
      </c>
      <c r="B58" s="492" t="s">
        <v>2986</v>
      </c>
      <c r="C58" s="492">
        <v>4100000125</v>
      </c>
      <c r="D58" s="492" t="s">
        <v>4665</v>
      </c>
      <c r="E58" s="492" t="s">
        <v>1328</v>
      </c>
      <c r="F58" s="492" t="s">
        <v>2565</v>
      </c>
      <c r="G58" s="492" t="s">
        <v>2984</v>
      </c>
      <c r="H58" s="492" t="s">
        <v>2565</v>
      </c>
      <c r="I58" s="492" t="s">
        <v>2984</v>
      </c>
      <c r="J58" s="492" t="s">
        <v>2985</v>
      </c>
      <c r="K58" s="502" t="s">
        <v>1756</v>
      </c>
      <c r="L58" s="492" t="s">
        <v>2783</v>
      </c>
      <c r="M58" s="493" t="s">
        <v>1230</v>
      </c>
      <c r="N58" s="493" t="s">
        <v>1232</v>
      </c>
      <c r="O58" s="492" t="s">
        <v>1232</v>
      </c>
      <c r="P58" s="492" t="s">
        <v>469</v>
      </c>
      <c r="Q58" s="494">
        <v>43312</v>
      </c>
      <c r="R58" s="494">
        <v>45138</v>
      </c>
      <c r="S58" s="495">
        <v>0.35</v>
      </c>
      <c r="T58" s="495"/>
      <c r="U58" s="496">
        <v>1355000</v>
      </c>
      <c r="V58" s="496">
        <v>1355000</v>
      </c>
      <c r="W58" s="496">
        <v>1355000</v>
      </c>
      <c r="X58" s="496">
        <f t="shared" si="0"/>
        <v>0</v>
      </c>
      <c r="Y58" s="496">
        <f t="shared" si="1"/>
        <v>0</v>
      </c>
      <c r="Z58" s="496">
        <v>1355000</v>
      </c>
      <c r="AA58" s="496">
        <v>1355000</v>
      </c>
      <c r="AB58" s="496">
        <v>1355000</v>
      </c>
      <c r="AC58" s="496">
        <f t="shared" si="2"/>
        <v>0</v>
      </c>
      <c r="AD58" s="496">
        <f t="shared" si="3"/>
        <v>0</v>
      </c>
      <c r="AE58" s="496">
        <v>0</v>
      </c>
      <c r="AF58" s="496">
        <v>0</v>
      </c>
      <c r="AG58" s="497" t="s">
        <v>1250</v>
      </c>
      <c r="AH58" s="497" t="s">
        <v>1252</v>
      </c>
      <c r="AI58" s="497" t="s">
        <v>1283</v>
      </c>
      <c r="AJ58" s="497" t="s">
        <v>1234</v>
      </c>
      <c r="AK58" s="497" t="s">
        <v>1251</v>
      </c>
      <c r="AL58" s="491"/>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row>
    <row r="59" spans="1:80" ht="18" customHeight="1" x14ac:dyDescent="0.25">
      <c r="A59" s="485">
        <f t="shared" si="4"/>
        <v>57</v>
      </c>
      <c r="B59" s="485" t="s">
        <v>2991</v>
      </c>
      <c r="C59" s="485">
        <v>4100000197</v>
      </c>
      <c r="D59" s="485" t="s">
        <v>4666</v>
      </c>
      <c r="E59" s="485" t="s">
        <v>1329</v>
      </c>
      <c r="F59" s="485" t="s">
        <v>2990</v>
      </c>
      <c r="G59" s="485" t="s">
        <v>2987</v>
      </c>
      <c r="H59" s="485" t="s">
        <v>2566</v>
      </c>
      <c r="I59" s="485" t="s">
        <v>2988</v>
      </c>
      <c r="J59" s="485" t="s">
        <v>2989</v>
      </c>
      <c r="K59" s="485" t="s">
        <v>1756</v>
      </c>
      <c r="L59" s="485" t="s">
        <v>2783</v>
      </c>
      <c r="M59" s="486" t="s">
        <v>1230</v>
      </c>
      <c r="N59" s="486" t="s">
        <v>1231</v>
      </c>
      <c r="O59" s="485" t="s">
        <v>1232</v>
      </c>
      <c r="P59" s="485" t="s">
        <v>469</v>
      </c>
      <c r="Q59" s="487">
        <v>43315</v>
      </c>
      <c r="R59" s="487">
        <v>45141</v>
      </c>
      <c r="S59" s="488">
        <v>0.35</v>
      </c>
      <c r="T59" s="488"/>
      <c r="U59" s="489">
        <v>1637439.1</v>
      </c>
      <c r="V59" s="489">
        <v>1637439.1</v>
      </c>
      <c r="W59" s="489">
        <v>1637439.1</v>
      </c>
      <c r="X59" s="489">
        <f t="shared" si="0"/>
        <v>0</v>
      </c>
      <c r="Y59" s="489">
        <f t="shared" si="1"/>
        <v>0</v>
      </c>
      <c r="Z59" s="489">
        <v>1637439.1</v>
      </c>
      <c r="AA59" s="489">
        <v>1637439.1</v>
      </c>
      <c r="AB59" s="489">
        <v>1637439.1</v>
      </c>
      <c r="AC59" s="489">
        <f t="shared" si="2"/>
        <v>0</v>
      </c>
      <c r="AD59" s="489">
        <f t="shared" si="3"/>
        <v>0</v>
      </c>
      <c r="AE59" s="489">
        <v>0</v>
      </c>
      <c r="AF59" s="489">
        <v>0</v>
      </c>
      <c r="AG59" s="490" t="s">
        <v>1250</v>
      </c>
      <c r="AH59" s="490" t="s">
        <v>1252</v>
      </c>
      <c r="AI59" s="490" t="s">
        <v>1283</v>
      </c>
      <c r="AJ59" s="490" t="s">
        <v>1234</v>
      </c>
      <c r="AK59" s="490" t="s">
        <v>1251</v>
      </c>
      <c r="AL59" s="491"/>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row>
    <row r="60" spans="1:80" ht="18" customHeight="1" x14ac:dyDescent="0.25">
      <c r="A60" s="492">
        <f t="shared" si="4"/>
        <v>58</v>
      </c>
      <c r="B60" s="492" t="s">
        <v>2996</v>
      </c>
      <c r="C60" s="492">
        <v>2100000158</v>
      </c>
      <c r="D60" s="492" t="s">
        <v>4667</v>
      </c>
      <c r="E60" s="492" t="s">
        <v>1330</v>
      </c>
      <c r="F60" s="492" t="s">
        <v>2995</v>
      </c>
      <c r="G60" s="492" t="s">
        <v>2992</v>
      </c>
      <c r="H60" s="492" t="s">
        <v>4516</v>
      </c>
      <c r="I60" s="492" t="s">
        <v>2993</v>
      </c>
      <c r="J60" s="492" t="s">
        <v>2994</v>
      </c>
      <c r="K60" s="492" t="s">
        <v>1756</v>
      </c>
      <c r="L60" s="492" t="s">
        <v>2783</v>
      </c>
      <c r="M60" s="493" t="s">
        <v>1230</v>
      </c>
      <c r="N60" s="493" t="s">
        <v>1232</v>
      </c>
      <c r="O60" s="492" t="s">
        <v>1231</v>
      </c>
      <c r="P60" s="492" t="s">
        <v>469</v>
      </c>
      <c r="Q60" s="494">
        <v>43320</v>
      </c>
      <c r="R60" s="494">
        <v>44804</v>
      </c>
      <c r="S60" s="495">
        <v>1.5</v>
      </c>
      <c r="T60" s="495"/>
      <c r="U60" s="496">
        <v>24929769</v>
      </c>
      <c r="V60" s="496">
        <v>24929769</v>
      </c>
      <c r="W60" s="496">
        <v>24929769</v>
      </c>
      <c r="X60" s="496">
        <f t="shared" si="0"/>
        <v>0</v>
      </c>
      <c r="Y60" s="496">
        <f t="shared" si="1"/>
        <v>0</v>
      </c>
      <c r="Z60" s="496">
        <v>24215227.41</v>
      </c>
      <c r="AA60" s="496">
        <v>24215227.41</v>
      </c>
      <c r="AB60" s="496">
        <v>24551920.68</v>
      </c>
      <c r="AC60" s="496">
        <f t="shared" si="2"/>
        <v>336693.26999999955</v>
      </c>
      <c r="AD60" s="496">
        <f t="shared" si="3"/>
        <v>336693.26999999955</v>
      </c>
      <c r="AE60" s="496">
        <v>0</v>
      </c>
      <c r="AF60" s="496">
        <v>377848.32000000001</v>
      </c>
      <c r="AG60" s="497" t="s">
        <v>1245</v>
      </c>
      <c r="AH60" s="497" t="s">
        <v>1247</v>
      </c>
      <c r="AI60" s="497" t="s">
        <v>1248</v>
      </c>
      <c r="AJ60" s="497" t="s">
        <v>1246</v>
      </c>
      <c r="AK60" s="497" t="s">
        <v>1235</v>
      </c>
      <c r="AL60" s="491"/>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row>
    <row r="61" spans="1:80" ht="18" customHeight="1" x14ac:dyDescent="0.25">
      <c r="A61" s="485">
        <f t="shared" si="4"/>
        <v>59</v>
      </c>
      <c r="B61" s="485" t="s">
        <v>3000</v>
      </c>
      <c r="C61" s="485">
        <v>4100000136</v>
      </c>
      <c r="D61" s="485" t="s">
        <v>4668</v>
      </c>
      <c r="E61" s="485" t="s">
        <v>1331</v>
      </c>
      <c r="F61" s="485" t="s">
        <v>2999</v>
      </c>
      <c r="G61" s="485" t="s">
        <v>2997</v>
      </c>
      <c r="H61" s="485" t="s">
        <v>4512</v>
      </c>
      <c r="I61" s="485" t="s">
        <v>2800</v>
      </c>
      <c r="J61" s="485" t="s">
        <v>2998</v>
      </c>
      <c r="K61" s="485" t="s">
        <v>1756</v>
      </c>
      <c r="L61" s="485" t="s">
        <v>2783</v>
      </c>
      <c r="M61" s="486" t="s">
        <v>1230</v>
      </c>
      <c r="N61" s="486" t="s">
        <v>1231</v>
      </c>
      <c r="O61" s="485" t="s">
        <v>1232</v>
      </c>
      <c r="P61" s="485" t="s">
        <v>469</v>
      </c>
      <c r="Q61" s="487">
        <v>43321</v>
      </c>
      <c r="R61" s="487">
        <v>45147</v>
      </c>
      <c r="S61" s="488">
        <v>0.35</v>
      </c>
      <c r="T61" s="488"/>
      <c r="U61" s="489">
        <v>975520</v>
      </c>
      <c r="V61" s="489">
        <v>975520</v>
      </c>
      <c r="W61" s="489">
        <v>975520</v>
      </c>
      <c r="X61" s="489">
        <f t="shared" si="0"/>
        <v>0</v>
      </c>
      <c r="Y61" s="489">
        <f t="shared" si="1"/>
        <v>0</v>
      </c>
      <c r="Z61" s="489">
        <v>975520</v>
      </c>
      <c r="AA61" s="489">
        <v>975520</v>
      </c>
      <c r="AB61" s="489">
        <v>975520</v>
      </c>
      <c r="AC61" s="489">
        <f t="shared" si="2"/>
        <v>0</v>
      </c>
      <c r="AD61" s="489">
        <f t="shared" si="3"/>
        <v>0</v>
      </c>
      <c r="AE61" s="489">
        <v>0</v>
      </c>
      <c r="AF61" s="489">
        <v>0</v>
      </c>
      <c r="AG61" s="490" t="s">
        <v>1250</v>
      </c>
      <c r="AH61" s="490" t="s">
        <v>1252</v>
      </c>
      <c r="AI61" s="490" t="s">
        <v>1256</v>
      </c>
      <c r="AJ61" s="490" t="s">
        <v>1234</v>
      </c>
      <c r="AK61" s="490" t="s">
        <v>1251</v>
      </c>
      <c r="AL61" s="49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row>
    <row r="62" spans="1:80" ht="18" customHeight="1" x14ac:dyDescent="0.25">
      <c r="A62" s="492">
        <f t="shared" si="4"/>
        <v>60</v>
      </c>
      <c r="B62" s="492" t="s">
        <v>3003</v>
      </c>
      <c r="C62" s="492">
        <v>5100000105</v>
      </c>
      <c r="D62" s="492" t="s">
        <v>4669</v>
      </c>
      <c r="E62" s="492" t="s">
        <v>1333</v>
      </c>
      <c r="F62" s="492" t="s">
        <v>1332</v>
      </c>
      <c r="G62" s="492" t="s">
        <v>3001</v>
      </c>
      <c r="H62" s="492" t="s">
        <v>4517</v>
      </c>
      <c r="I62" s="492" t="s">
        <v>1091</v>
      </c>
      <c r="J62" s="492" t="s">
        <v>3002</v>
      </c>
      <c r="K62" s="492" t="s">
        <v>1756</v>
      </c>
      <c r="L62" s="492" t="s">
        <v>2783</v>
      </c>
      <c r="M62" s="493" t="s">
        <v>1230</v>
      </c>
      <c r="N62" s="493" t="s">
        <v>1232</v>
      </c>
      <c r="O62" s="492" t="s">
        <v>1232</v>
      </c>
      <c r="P62" s="492" t="s">
        <v>469</v>
      </c>
      <c r="Q62" s="494">
        <v>43329</v>
      </c>
      <c r="R62" s="494">
        <v>44742</v>
      </c>
      <c r="S62" s="495">
        <v>1</v>
      </c>
      <c r="T62" s="495"/>
      <c r="U62" s="496">
        <v>1737398.21</v>
      </c>
      <c r="V62" s="496">
        <v>1737398.21</v>
      </c>
      <c r="W62" s="496">
        <v>1737398.21</v>
      </c>
      <c r="X62" s="496">
        <f t="shared" si="0"/>
        <v>0</v>
      </c>
      <c r="Y62" s="496">
        <f t="shared" si="1"/>
        <v>0</v>
      </c>
      <c r="Z62" s="496">
        <v>1737398.21</v>
      </c>
      <c r="AA62" s="496">
        <v>1737398.21</v>
      </c>
      <c r="AB62" s="496">
        <v>1737398.21</v>
      </c>
      <c r="AC62" s="496">
        <f t="shared" si="2"/>
        <v>0</v>
      </c>
      <c r="AD62" s="496">
        <f t="shared" si="3"/>
        <v>0</v>
      </c>
      <c r="AE62" s="496">
        <v>0</v>
      </c>
      <c r="AF62" s="496">
        <v>0</v>
      </c>
      <c r="AG62" s="497" t="s">
        <v>1288</v>
      </c>
      <c r="AH62" s="497" t="s">
        <v>1252</v>
      </c>
      <c r="AI62" s="497" t="s">
        <v>1248</v>
      </c>
      <c r="AJ62" s="497" t="s">
        <v>1234</v>
      </c>
      <c r="AK62" s="497" t="s">
        <v>1278</v>
      </c>
      <c r="AL62" s="491"/>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c r="BV62"/>
      <c r="BW62"/>
      <c r="BX62"/>
      <c r="BY62"/>
      <c r="BZ62"/>
      <c r="CA62"/>
      <c r="CB62"/>
    </row>
    <row r="63" spans="1:80" ht="18" customHeight="1" x14ac:dyDescent="0.25">
      <c r="A63" s="485">
        <f t="shared" si="4"/>
        <v>61</v>
      </c>
      <c r="B63" s="485" t="s">
        <v>3006</v>
      </c>
      <c r="C63" s="485">
        <v>1100000143</v>
      </c>
      <c r="D63" s="485" t="s">
        <v>4670</v>
      </c>
      <c r="E63" s="485" t="s">
        <v>297</v>
      </c>
      <c r="F63" s="485" t="s">
        <v>164</v>
      </c>
      <c r="G63" s="485" t="s">
        <v>1087</v>
      </c>
      <c r="H63" s="485" t="s">
        <v>2537</v>
      </c>
      <c r="I63" s="485" t="s">
        <v>3004</v>
      </c>
      <c r="J63" s="485" t="s">
        <v>3005</v>
      </c>
      <c r="K63" s="485" t="s">
        <v>1756</v>
      </c>
      <c r="L63" s="485" t="s">
        <v>2783</v>
      </c>
      <c r="M63" s="486" t="s">
        <v>1230</v>
      </c>
      <c r="N63" s="486" t="s">
        <v>1231</v>
      </c>
      <c r="O63" s="485" t="s">
        <v>1232</v>
      </c>
      <c r="P63" s="485" t="s">
        <v>1156</v>
      </c>
      <c r="Q63" s="487">
        <v>43329</v>
      </c>
      <c r="R63" s="487">
        <v>44943</v>
      </c>
      <c r="S63" s="488">
        <v>1</v>
      </c>
      <c r="T63" s="488"/>
      <c r="U63" s="489">
        <v>222433.72</v>
      </c>
      <c r="V63" s="489">
        <v>206110.05</v>
      </c>
      <c r="W63" s="489">
        <v>206110.05</v>
      </c>
      <c r="X63" s="489">
        <f t="shared" si="0"/>
        <v>-16323.670000000013</v>
      </c>
      <c r="Y63" s="489">
        <f t="shared" si="1"/>
        <v>0</v>
      </c>
      <c r="Z63" s="489">
        <v>222433.72</v>
      </c>
      <c r="AA63" s="489">
        <v>206110.05</v>
      </c>
      <c r="AB63" s="489">
        <v>206110.05</v>
      </c>
      <c r="AC63" s="489">
        <f t="shared" si="2"/>
        <v>-16323.670000000013</v>
      </c>
      <c r="AD63" s="489">
        <f t="shared" si="3"/>
        <v>0</v>
      </c>
      <c r="AE63" s="489">
        <v>0</v>
      </c>
      <c r="AF63" s="489">
        <v>0</v>
      </c>
      <c r="AG63" s="490" t="s">
        <v>1237</v>
      </c>
      <c r="AH63" s="490" t="s">
        <v>614</v>
      </c>
      <c r="AI63" s="490" t="s">
        <v>1238</v>
      </c>
      <c r="AJ63" s="490" t="s">
        <v>1238</v>
      </c>
      <c r="AK63" s="490" t="s">
        <v>1260</v>
      </c>
      <c r="AL63" s="491"/>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row>
    <row r="64" spans="1:80" ht="18" customHeight="1" x14ac:dyDescent="0.25">
      <c r="A64" s="492">
        <f t="shared" si="4"/>
        <v>62</v>
      </c>
      <c r="B64" s="492" t="s">
        <v>3010</v>
      </c>
      <c r="C64" s="492">
        <v>4100000119</v>
      </c>
      <c r="D64" s="492" t="s">
        <v>4671</v>
      </c>
      <c r="E64" s="492" t="s">
        <v>1334</v>
      </c>
      <c r="F64" s="492" t="s">
        <v>3009</v>
      </c>
      <c r="G64" s="492" t="s">
        <v>3007</v>
      </c>
      <c r="H64" s="492" t="s">
        <v>3009</v>
      </c>
      <c r="I64" s="492" t="s">
        <v>3007</v>
      </c>
      <c r="J64" s="492" t="s">
        <v>3008</v>
      </c>
      <c r="K64" s="492" t="s">
        <v>1756</v>
      </c>
      <c r="L64" s="492" t="s">
        <v>2783</v>
      </c>
      <c r="M64" s="493" t="s">
        <v>1230</v>
      </c>
      <c r="N64" s="493" t="s">
        <v>1232</v>
      </c>
      <c r="O64" s="492" t="s">
        <v>1232</v>
      </c>
      <c r="P64" s="492" t="s">
        <v>469</v>
      </c>
      <c r="Q64" s="494">
        <v>43336</v>
      </c>
      <c r="R64" s="494">
        <v>45162</v>
      </c>
      <c r="S64" s="495">
        <v>0.35</v>
      </c>
      <c r="T64" s="495"/>
      <c r="U64" s="496">
        <v>3300000</v>
      </c>
      <c r="V64" s="496">
        <v>3300000</v>
      </c>
      <c r="W64" s="496">
        <v>3300000</v>
      </c>
      <c r="X64" s="496">
        <f t="shared" si="0"/>
        <v>0</v>
      </c>
      <c r="Y64" s="496">
        <f t="shared" si="1"/>
        <v>0</v>
      </c>
      <c r="Z64" s="496">
        <v>3300000</v>
      </c>
      <c r="AA64" s="496">
        <v>3300000</v>
      </c>
      <c r="AB64" s="496">
        <v>3300000</v>
      </c>
      <c r="AC64" s="496">
        <f t="shared" si="2"/>
        <v>0</v>
      </c>
      <c r="AD64" s="496">
        <f t="shared" si="3"/>
        <v>0</v>
      </c>
      <c r="AE64" s="496">
        <v>0</v>
      </c>
      <c r="AF64" s="496">
        <v>0</v>
      </c>
      <c r="AG64" s="497" t="s">
        <v>1250</v>
      </c>
      <c r="AH64" s="497" t="s">
        <v>1252</v>
      </c>
      <c r="AI64" s="497" t="s">
        <v>1269</v>
      </c>
      <c r="AJ64" s="497" t="s">
        <v>1234</v>
      </c>
      <c r="AK64" s="497" t="s">
        <v>1251</v>
      </c>
      <c r="AL64" s="491"/>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c r="BV64"/>
      <c r="BW64"/>
      <c r="BX64"/>
      <c r="BY64"/>
      <c r="BZ64"/>
      <c r="CA64"/>
      <c r="CB64"/>
    </row>
    <row r="65" spans="1:80" ht="18" customHeight="1" x14ac:dyDescent="0.25">
      <c r="A65" s="492">
        <f t="shared" si="4"/>
        <v>63</v>
      </c>
      <c r="B65" s="492" t="s">
        <v>3015</v>
      </c>
      <c r="C65" s="492">
        <v>2100000214</v>
      </c>
      <c r="D65" s="492" t="s">
        <v>4672</v>
      </c>
      <c r="E65" s="492" t="s">
        <v>1335</v>
      </c>
      <c r="F65" s="492" t="s">
        <v>3014</v>
      </c>
      <c r="G65" s="492" t="s">
        <v>3011</v>
      </c>
      <c r="H65" s="492" t="s">
        <v>2568</v>
      </c>
      <c r="I65" s="492" t="s">
        <v>3012</v>
      </c>
      <c r="J65" s="492" t="s">
        <v>3013</v>
      </c>
      <c r="K65" s="492" t="s">
        <v>1756</v>
      </c>
      <c r="L65" s="492" t="s">
        <v>2783</v>
      </c>
      <c r="M65" s="493" t="s">
        <v>1230</v>
      </c>
      <c r="N65" s="493" t="s">
        <v>1232</v>
      </c>
      <c r="O65" s="492" t="s">
        <v>1231</v>
      </c>
      <c r="P65" s="492" t="s">
        <v>469</v>
      </c>
      <c r="Q65" s="494">
        <v>43341</v>
      </c>
      <c r="R65" s="494">
        <v>44743</v>
      </c>
      <c r="S65" s="495">
        <v>1.5</v>
      </c>
      <c r="T65" s="495"/>
      <c r="U65" s="496">
        <v>4634754</v>
      </c>
      <c r="V65" s="496">
        <v>4634754</v>
      </c>
      <c r="W65" s="496">
        <v>4634754</v>
      </c>
      <c r="X65" s="496">
        <f t="shared" si="0"/>
        <v>0</v>
      </c>
      <c r="Y65" s="496">
        <f t="shared" si="1"/>
        <v>0</v>
      </c>
      <c r="Z65" s="496">
        <v>4557917.5599999996</v>
      </c>
      <c r="AA65" s="496">
        <v>4557917.5599999996</v>
      </c>
      <c r="AB65" s="496">
        <v>4588736.59</v>
      </c>
      <c r="AC65" s="496">
        <f t="shared" si="2"/>
        <v>30819.030000000261</v>
      </c>
      <c r="AD65" s="496">
        <f t="shared" si="3"/>
        <v>30819.030000000261</v>
      </c>
      <c r="AE65" s="496">
        <v>0</v>
      </c>
      <c r="AF65" s="496">
        <v>46017.41</v>
      </c>
      <c r="AG65" s="497" t="s">
        <v>1245</v>
      </c>
      <c r="AH65" s="497" t="s">
        <v>1247</v>
      </c>
      <c r="AI65" s="497" t="s">
        <v>1248</v>
      </c>
      <c r="AJ65" s="497" t="s">
        <v>1246</v>
      </c>
      <c r="AK65" s="497" t="s">
        <v>1235</v>
      </c>
      <c r="AL65" s="491"/>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row>
    <row r="66" spans="1:80" ht="18" customHeight="1" x14ac:dyDescent="0.25">
      <c r="A66" s="492">
        <f t="shared" si="4"/>
        <v>64</v>
      </c>
      <c r="B66" s="492" t="s">
        <v>3018</v>
      </c>
      <c r="C66" s="492">
        <v>4100000124</v>
      </c>
      <c r="D66" s="492" t="s">
        <v>4673</v>
      </c>
      <c r="E66" s="492" t="s">
        <v>1337</v>
      </c>
      <c r="F66" s="492" t="s">
        <v>1336</v>
      </c>
      <c r="G66" s="492" t="s">
        <v>3016</v>
      </c>
      <c r="H66" s="492" t="s">
        <v>1336</v>
      </c>
      <c r="I66" s="492" t="s">
        <v>3016</v>
      </c>
      <c r="J66" s="492" t="s">
        <v>3017</v>
      </c>
      <c r="K66" s="492" t="s">
        <v>1756</v>
      </c>
      <c r="L66" s="492" t="s">
        <v>2783</v>
      </c>
      <c r="M66" s="493" t="s">
        <v>1230</v>
      </c>
      <c r="N66" s="493" t="s">
        <v>1232</v>
      </c>
      <c r="O66" s="492" t="s">
        <v>1232</v>
      </c>
      <c r="P66" s="492" t="s">
        <v>469</v>
      </c>
      <c r="Q66" s="494">
        <v>43348</v>
      </c>
      <c r="R66" s="494">
        <v>45174</v>
      </c>
      <c r="S66" s="495">
        <v>0.35</v>
      </c>
      <c r="T66" s="495"/>
      <c r="U66" s="496">
        <v>800000</v>
      </c>
      <c r="V66" s="496">
        <v>800000</v>
      </c>
      <c r="W66" s="496">
        <v>800000</v>
      </c>
      <c r="X66" s="496">
        <f t="shared" si="0"/>
        <v>0</v>
      </c>
      <c r="Y66" s="496">
        <f t="shared" si="1"/>
        <v>0</v>
      </c>
      <c r="Z66" s="496">
        <v>800000</v>
      </c>
      <c r="AA66" s="496">
        <v>800000</v>
      </c>
      <c r="AB66" s="496">
        <v>800000</v>
      </c>
      <c r="AC66" s="496">
        <f t="shared" si="2"/>
        <v>0</v>
      </c>
      <c r="AD66" s="496">
        <f t="shared" si="3"/>
        <v>0</v>
      </c>
      <c r="AE66" s="496">
        <v>0</v>
      </c>
      <c r="AF66" s="496">
        <v>0</v>
      </c>
      <c r="AG66" s="497" t="s">
        <v>1250</v>
      </c>
      <c r="AH66" s="497" t="s">
        <v>1252</v>
      </c>
      <c r="AI66" s="497" t="s">
        <v>1248</v>
      </c>
      <c r="AJ66" s="497" t="s">
        <v>1234</v>
      </c>
      <c r="AK66" s="497" t="s">
        <v>1251</v>
      </c>
      <c r="AL66" s="491"/>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row>
    <row r="67" spans="1:80" ht="18" customHeight="1" x14ac:dyDescent="0.25">
      <c r="A67" s="492">
        <f t="shared" si="4"/>
        <v>65</v>
      </c>
      <c r="B67" s="492" t="s">
        <v>3022</v>
      </c>
      <c r="C67" s="492">
        <v>4100000183</v>
      </c>
      <c r="D67" s="492" t="s">
        <v>4674</v>
      </c>
      <c r="E67" s="492" t="s">
        <v>1338</v>
      </c>
      <c r="F67" s="492" t="s">
        <v>3021</v>
      </c>
      <c r="G67" s="492" t="s">
        <v>3019</v>
      </c>
      <c r="H67" s="492" t="s">
        <v>3021</v>
      </c>
      <c r="I67" s="492" t="s">
        <v>3019</v>
      </c>
      <c r="J67" s="492" t="s">
        <v>3020</v>
      </c>
      <c r="K67" s="492" t="s">
        <v>1756</v>
      </c>
      <c r="L67" s="492" t="s">
        <v>2783</v>
      </c>
      <c r="M67" s="493" t="s">
        <v>1230</v>
      </c>
      <c r="N67" s="493" t="s">
        <v>1232</v>
      </c>
      <c r="O67" s="492" t="s">
        <v>1232</v>
      </c>
      <c r="P67" s="492" t="s">
        <v>469</v>
      </c>
      <c r="Q67" s="494">
        <v>43353</v>
      </c>
      <c r="R67" s="494">
        <v>44754</v>
      </c>
      <c r="S67" s="495">
        <v>0.35</v>
      </c>
      <c r="T67" s="495"/>
      <c r="U67" s="496">
        <v>1200000</v>
      </c>
      <c r="V67" s="496">
        <v>1200000</v>
      </c>
      <c r="W67" s="496">
        <v>1200000</v>
      </c>
      <c r="X67" s="496">
        <f t="shared" ref="X67:X130" si="5">W67-U67</f>
        <v>0</v>
      </c>
      <c r="Y67" s="496">
        <f t="shared" ref="Y67:Y130" si="6">W67-V67</f>
        <v>0</v>
      </c>
      <c r="Z67" s="496">
        <v>1200000</v>
      </c>
      <c r="AA67" s="496">
        <v>1200000</v>
      </c>
      <c r="AB67" s="496">
        <v>1200000</v>
      </c>
      <c r="AC67" s="496">
        <f t="shared" ref="AC67:AC130" si="7">AB67-Z67</f>
        <v>0</v>
      </c>
      <c r="AD67" s="496">
        <f t="shared" ref="AD67:AD130" si="8">AB67-AA67</f>
        <v>0</v>
      </c>
      <c r="AE67" s="496">
        <v>0</v>
      </c>
      <c r="AF67" s="496">
        <v>0</v>
      </c>
      <c r="AG67" s="497" t="s">
        <v>1250</v>
      </c>
      <c r="AH67" s="497" t="s">
        <v>1252</v>
      </c>
      <c r="AI67" s="497" t="s">
        <v>1248</v>
      </c>
      <c r="AJ67" s="497" t="s">
        <v>1234</v>
      </c>
      <c r="AK67" s="497" t="s">
        <v>1251</v>
      </c>
      <c r="AL67" s="491"/>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c r="BV67"/>
      <c r="BW67"/>
      <c r="BX67"/>
      <c r="BY67"/>
      <c r="BZ67"/>
      <c r="CA67"/>
      <c r="CB67"/>
    </row>
    <row r="68" spans="1:80" ht="18" customHeight="1" x14ac:dyDescent="0.25">
      <c r="A68" s="485">
        <f t="shared" ref="A68:A131" si="9">A67+1</f>
        <v>66</v>
      </c>
      <c r="B68" s="485" t="s">
        <v>3025</v>
      </c>
      <c r="C68" s="485">
        <v>2100000022</v>
      </c>
      <c r="D68" s="485" t="s">
        <v>4675</v>
      </c>
      <c r="E68" s="485" t="s">
        <v>1339</v>
      </c>
      <c r="F68" s="485" t="s">
        <v>2569</v>
      </c>
      <c r="G68" s="485" t="s">
        <v>3023</v>
      </c>
      <c r="H68" s="485" t="s">
        <v>2569</v>
      </c>
      <c r="I68" s="485" t="s">
        <v>3023</v>
      </c>
      <c r="J68" s="485" t="s">
        <v>3024</v>
      </c>
      <c r="K68" s="485" t="s">
        <v>1756</v>
      </c>
      <c r="L68" s="485" t="s">
        <v>2783</v>
      </c>
      <c r="M68" s="486" t="s">
        <v>1230</v>
      </c>
      <c r="N68" s="486" t="s">
        <v>1231</v>
      </c>
      <c r="O68" s="485" t="s">
        <v>1232</v>
      </c>
      <c r="P68" s="485" t="s">
        <v>469</v>
      </c>
      <c r="Q68" s="487">
        <v>43357</v>
      </c>
      <c r="R68" s="487">
        <v>44840</v>
      </c>
      <c r="S68" s="488">
        <v>1.5</v>
      </c>
      <c r="T68" s="488"/>
      <c r="U68" s="489">
        <v>4505246</v>
      </c>
      <c r="V68" s="489">
        <v>4505246</v>
      </c>
      <c r="W68" s="489">
        <v>4505246</v>
      </c>
      <c r="X68" s="489">
        <f t="shared" si="5"/>
        <v>0</v>
      </c>
      <c r="Y68" s="489">
        <f t="shared" si="6"/>
        <v>0</v>
      </c>
      <c r="Z68" s="489">
        <v>4430895.46</v>
      </c>
      <c r="AA68" s="489">
        <v>4463732.55</v>
      </c>
      <c r="AB68" s="489">
        <v>4463732.55</v>
      </c>
      <c r="AC68" s="489">
        <f t="shared" si="7"/>
        <v>32837.089999999851</v>
      </c>
      <c r="AD68" s="489">
        <f t="shared" si="8"/>
        <v>0</v>
      </c>
      <c r="AE68" s="489">
        <v>0</v>
      </c>
      <c r="AF68" s="489">
        <v>41513.449999999997</v>
      </c>
      <c r="AG68" s="490" t="s">
        <v>1245</v>
      </c>
      <c r="AH68" s="490" t="s">
        <v>1247</v>
      </c>
      <c r="AI68" s="490" t="s">
        <v>1248</v>
      </c>
      <c r="AJ68" s="490" t="s">
        <v>1246</v>
      </c>
      <c r="AK68" s="490" t="s">
        <v>1235</v>
      </c>
      <c r="AL68" s="491"/>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row>
    <row r="69" spans="1:80" ht="18" customHeight="1" x14ac:dyDescent="0.25">
      <c r="A69" s="492">
        <f t="shared" si="9"/>
        <v>67</v>
      </c>
      <c r="B69" s="492" t="s">
        <v>3028</v>
      </c>
      <c r="C69" s="492">
        <v>6100000104</v>
      </c>
      <c r="D69" s="492" t="s">
        <v>4676</v>
      </c>
      <c r="E69" s="492" t="s">
        <v>1341</v>
      </c>
      <c r="F69" s="492" t="s">
        <v>1340</v>
      </c>
      <c r="G69" s="492" t="s">
        <v>3026</v>
      </c>
      <c r="H69" s="492" t="s">
        <v>1340</v>
      </c>
      <c r="I69" s="492" t="s">
        <v>3026</v>
      </c>
      <c r="J69" s="492" t="s">
        <v>3027</v>
      </c>
      <c r="K69" s="492" t="s">
        <v>1756</v>
      </c>
      <c r="L69" s="492" t="s">
        <v>2783</v>
      </c>
      <c r="M69" s="493" t="s">
        <v>1230</v>
      </c>
      <c r="N69" s="493" t="s">
        <v>1232</v>
      </c>
      <c r="O69" s="492" t="s">
        <v>1232</v>
      </c>
      <c r="P69" s="492" t="s">
        <v>469</v>
      </c>
      <c r="Q69" s="494">
        <v>43371</v>
      </c>
      <c r="R69" s="494">
        <v>44743</v>
      </c>
      <c r="S69" s="498">
        <v>1</v>
      </c>
      <c r="T69" s="498"/>
      <c r="U69" s="496">
        <v>7250000</v>
      </c>
      <c r="V69" s="496">
        <v>7250000</v>
      </c>
      <c r="W69" s="496">
        <v>7250000</v>
      </c>
      <c r="X69" s="496">
        <f t="shared" si="5"/>
        <v>0</v>
      </c>
      <c r="Y69" s="496">
        <f t="shared" si="6"/>
        <v>0</v>
      </c>
      <c r="Z69" s="496">
        <v>7250000</v>
      </c>
      <c r="AA69" s="496">
        <v>7250000</v>
      </c>
      <c r="AB69" s="496">
        <v>7250000</v>
      </c>
      <c r="AC69" s="496">
        <f t="shared" si="7"/>
        <v>0</v>
      </c>
      <c r="AD69" s="496">
        <f t="shared" si="8"/>
        <v>0</v>
      </c>
      <c r="AE69" s="496">
        <v>0</v>
      </c>
      <c r="AF69" s="496">
        <v>0</v>
      </c>
      <c r="AG69" s="497" t="s">
        <v>1888</v>
      </c>
      <c r="AH69" s="497" t="s">
        <v>1888</v>
      </c>
      <c r="AI69" s="497" t="s">
        <v>1342</v>
      </c>
      <c r="AJ69" s="497" t="s">
        <v>1234</v>
      </c>
      <c r="AK69" s="497" t="s">
        <v>1240</v>
      </c>
      <c r="AL69" s="491"/>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row>
    <row r="70" spans="1:80" ht="18" customHeight="1" x14ac:dyDescent="0.25">
      <c r="A70" s="492">
        <f t="shared" si="9"/>
        <v>68</v>
      </c>
      <c r="B70" s="492" t="s">
        <v>3031</v>
      </c>
      <c r="C70" s="492">
        <v>3100000105</v>
      </c>
      <c r="D70" s="492" t="s">
        <v>4677</v>
      </c>
      <c r="E70" s="492" t="s">
        <v>1344</v>
      </c>
      <c r="F70" s="492" t="s">
        <v>1343</v>
      </c>
      <c r="G70" s="492" t="s">
        <v>3029</v>
      </c>
      <c r="H70" s="492" t="s">
        <v>1343</v>
      </c>
      <c r="I70" s="492" t="s">
        <v>3029</v>
      </c>
      <c r="J70" s="492" t="s">
        <v>3030</v>
      </c>
      <c r="K70" s="492" t="s">
        <v>1756</v>
      </c>
      <c r="L70" s="492" t="s">
        <v>2783</v>
      </c>
      <c r="M70" s="493" t="s">
        <v>1230</v>
      </c>
      <c r="N70" s="493" t="s">
        <v>1232</v>
      </c>
      <c r="O70" s="492" t="s">
        <v>1232</v>
      </c>
      <c r="P70" s="492" t="s">
        <v>469</v>
      </c>
      <c r="Q70" s="494">
        <v>43385</v>
      </c>
      <c r="R70" s="494">
        <v>48536</v>
      </c>
      <c r="S70" s="495">
        <v>1</v>
      </c>
      <c r="T70" s="495"/>
      <c r="U70" s="496">
        <v>20000000</v>
      </c>
      <c r="V70" s="496">
        <v>20000000</v>
      </c>
      <c r="W70" s="496">
        <v>20000000</v>
      </c>
      <c r="X70" s="496">
        <f t="shared" si="5"/>
        <v>0</v>
      </c>
      <c r="Y70" s="496">
        <f t="shared" si="6"/>
        <v>0</v>
      </c>
      <c r="Z70" s="496">
        <v>20000000</v>
      </c>
      <c r="AA70" s="496">
        <v>20000000</v>
      </c>
      <c r="AB70" s="496">
        <v>20000000</v>
      </c>
      <c r="AC70" s="496">
        <f t="shared" si="7"/>
        <v>0</v>
      </c>
      <c r="AD70" s="496">
        <f t="shared" si="8"/>
        <v>0</v>
      </c>
      <c r="AE70" s="496">
        <v>0</v>
      </c>
      <c r="AF70" s="496">
        <v>0</v>
      </c>
      <c r="AG70" s="497" t="s">
        <v>1233</v>
      </c>
      <c r="AH70" s="497" t="s">
        <v>1236</v>
      </c>
      <c r="AI70" s="497"/>
      <c r="AJ70" s="497" t="s">
        <v>1259</v>
      </c>
      <c r="AK70" s="497" t="s">
        <v>1240</v>
      </c>
      <c r="AL70" s="491"/>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c r="BV70"/>
      <c r="BW70"/>
      <c r="BX70"/>
      <c r="BY70"/>
      <c r="BZ70"/>
      <c r="CA70"/>
      <c r="CB70"/>
    </row>
    <row r="71" spans="1:80" ht="18" customHeight="1" x14ac:dyDescent="0.25">
      <c r="A71" s="485">
        <f t="shared" si="9"/>
        <v>69</v>
      </c>
      <c r="B71" s="485" t="s">
        <v>3035</v>
      </c>
      <c r="C71" s="485">
        <v>1100000153</v>
      </c>
      <c r="D71" s="485" t="s">
        <v>4678</v>
      </c>
      <c r="E71" s="485" t="s">
        <v>305</v>
      </c>
      <c r="F71" s="485" t="s">
        <v>3033</v>
      </c>
      <c r="G71" s="485" t="s">
        <v>1092</v>
      </c>
      <c r="H71" s="485" t="s">
        <v>2551</v>
      </c>
      <c r="I71" s="485" t="s">
        <v>2871</v>
      </c>
      <c r="J71" s="485" t="s">
        <v>3032</v>
      </c>
      <c r="K71" s="485" t="s">
        <v>1756</v>
      </c>
      <c r="L71" s="485" t="s">
        <v>2783</v>
      </c>
      <c r="M71" s="486" t="s">
        <v>1230</v>
      </c>
      <c r="N71" s="486" t="s">
        <v>1231</v>
      </c>
      <c r="O71" s="503" t="s">
        <v>3034</v>
      </c>
      <c r="P71" s="485" t="s">
        <v>1156</v>
      </c>
      <c r="Q71" s="487">
        <v>43399</v>
      </c>
      <c r="R71" s="487">
        <v>45225</v>
      </c>
      <c r="S71" s="488">
        <v>1</v>
      </c>
      <c r="T71" s="488"/>
      <c r="U71" s="489">
        <v>40447386.43</v>
      </c>
      <c r="V71" s="489">
        <v>40447386.43</v>
      </c>
      <c r="W71" s="489">
        <v>40245859.899999999</v>
      </c>
      <c r="X71" s="489">
        <f t="shared" si="5"/>
        <v>-201526.53000000119</v>
      </c>
      <c r="Y71" s="489">
        <f t="shared" si="6"/>
        <v>-201526.53000000119</v>
      </c>
      <c r="Z71" s="489">
        <v>40447386.43</v>
      </c>
      <c r="AA71" s="489">
        <v>40447386.43</v>
      </c>
      <c r="AB71" s="489">
        <v>40245859.899999999</v>
      </c>
      <c r="AC71" s="489">
        <f t="shared" si="7"/>
        <v>-201526.53000000119</v>
      </c>
      <c r="AD71" s="489">
        <f t="shared" si="8"/>
        <v>-201526.53000000119</v>
      </c>
      <c r="AE71" s="489">
        <v>0</v>
      </c>
      <c r="AF71" s="489">
        <v>0</v>
      </c>
      <c r="AG71" s="490" t="s">
        <v>1237</v>
      </c>
      <c r="AH71" s="490" t="s">
        <v>1236</v>
      </c>
      <c r="AI71" s="490"/>
      <c r="AJ71" s="490" t="s">
        <v>1259</v>
      </c>
      <c r="AK71" s="490" t="s">
        <v>1260</v>
      </c>
      <c r="AL71" s="49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c r="BV71"/>
      <c r="BW71"/>
      <c r="BX71"/>
      <c r="BY71"/>
      <c r="BZ71"/>
      <c r="CA71"/>
      <c r="CB71"/>
    </row>
    <row r="72" spans="1:80" ht="18" customHeight="1" x14ac:dyDescent="0.25">
      <c r="A72" s="492">
        <f t="shared" si="9"/>
        <v>70</v>
      </c>
      <c r="B72" s="492" t="s">
        <v>3038</v>
      </c>
      <c r="C72" s="492">
        <v>6100000132</v>
      </c>
      <c r="D72" s="492" t="s">
        <v>4679</v>
      </c>
      <c r="E72" s="492" t="s">
        <v>1346</v>
      </c>
      <c r="F72" s="492" t="s">
        <v>1345</v>
      </c>
      <c r="G72" s="492" t="s">
        <v>3036</v>
      </c>
      <c r="H72" s="492" t="s">
        <v>1345</v>
      </c>
      <c r="I72" s="492" t="s">
        <v>3036</v>
      </c>
      <c r="J72" s="492" t="s">
        <v>3037</v>
      </c>
      <c r="K72" s="492" t="s">
        <v>1281</v>
      </c>
      <c r="L72" s="492" t="s">
        <v>2783</v>
      </c>
      <c r="M72" s="493" t="s">
        <v>1230</v>
      </c>
      <c r="N72" s="493" t="s">
        <v>1232</v>
      </c>
      <c r="O72" s="492" t="s">
        <v>1232</v>
      </c>
      <c r="P72" s="492" t="s">
        <v>469</v>
      </c>
      <c r="Q72" s="494">
        <v>43431</v>
      </c>
      <c r="R72" s="494">
        <v>45656</v>
      </c>
      <c r="S72" s="495">
        <v>1</v>
      </c>
      <c r="T72" s="495"/>
      <c r="U72" s="496">
        <v>25000000</v>
      </c>
      <c r="V72" s="496">
        <v>25000000</v>
      </c>
      <c r="W72" s="496">
        <v>25000000</v>
      </c>
      <c r="X72" s="496">
        <f t="shared" si="5"/>
        <v>0</v>
      </c>
      <c r="Y72" s="496">
        <f t="shared" si="6"/>
        <v>0</v>
      </c>
      <c r="Z72" s="496">
        <v>3150000</v>
      </c>
      <c r="AA72" s="496">
        <v>2000000</v>
      </c>
      <c r="AB72" s="496">
        <v>2000000</v>
      </c>
      <c r="AC72" s="496">
        <f t="shared" si="7"/>
        <v>-1150000</v>
      </c>
      <c r="AD72" s="496">
        <f t="shared" si="8"/>
        <v>0</v>
      </c>
      <c r="AE72" s="496">
        <v>0</v>
      </c>
      <c r="AF72" s="496">
        <v>23000000</v>
      </c>
      <c r="AG72" s="497" t="s">
        <v>1888</v>
      </c>
      <c r="AH72" s="497" t="s">
        <v>1888</v>
      </c>
      <c r="AI72" s="497" t="s">
        <v>1342</v>
      </c>
      <c r="AJ72" s="497" t="s">
        <v>1234</v>
      </c>
      <c r="AK72" s="497" t="s">
        <v>1260</v>
      </c>
      <c r="AL72" s="491"/>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row>
    <row r="73" spans="1:80" ht="18" customHeight="1" x14ac:dyDescent="0.25">
      <c r="A73" s="485">
        <f t="shared" si="9"/>
        <v>71</v>
      </c>
      <c r="B73" s="485" t="s">
        <v>4680</v>
      </c>
      <c r="C73" s="485">
        <v>2100000239</v>
      </c>
      <c r="D73" s="485" t="s">
        <v>4681</v>
      </c>
      <c r="E73" s="485" t="s">
        <v>1891</v>
      </c>
      <c r="F73" s="485" t="s">
        <v>3042</v>
      </c>
      <c r="G73" s="485" t="s">
        <v>3039</v>
      </c>
      <c r="H73" s="485" t="s">
        <v>2570</v>
      </c>
      <c r="I73" s="485" t="s">
        <v>3040</v>
      </c>
      <c r="J73" s="485" t="s">
        <v>3041</v>
      </c>
      <c r="K73" s="485" t="s">
        <v>1756</v>
      </c>
      <c r="L73" s="485" t="s">
        <v>2783</v>
      </c>
      <c r="M73" s="486" t="s">
        <v>1230</v>
      </c>
      <c r="N73" s="486" t="s">
        <v>1231</v>
      </c>
      <c r="O73" s="485" t="s">
        <v>1231</v>
      </c>
      <c r="P73" s="485" t="s">
        <v>469</v>
      </c>
      <c r="Q73" s="487">
        <v>43434</v>
      </c>
      <c r="R73" s="487">
        <v>44742</v>
      </c>
      <c r="S73" s="488">
        <v>1.5</v>
      </c>
      <c r="T73" s="488"/>
      <c r="U73" s="489">
        <v>27590054.449999999</v>
      </c>
      <c r="V73" s="489">
        <v>26752902.109999999</v>
      </c>
      <c r="W73" s="489">
        <v>11734700.5</v>
      </c>
      <c r="X73" s="489">
        <f t="shared" si="5"/>
        <v>-15855353.949999999</v>
      </c>
      <c r="Y73" s="489">
        <f t="shared" si="6"/>
        <v>-15018201.609999999</v>
      </c>
      <c r="Z73" s="489">
        <v>27590054.449999999</v>
      </c>
      <c r="AA73" s="489">
        <v>26706342.75</v>
      </c>
      <c r="AB73" s="489">
        <v>11734700.5</v>
      </c>
      <c r="AC73" s="489">
        <f t="shared" si="7"/>
        <v>-15855353.949999999</v>
      </c>
      <c r="AD73" s="489">
        <f t="shared" si="8"/>
        <v>-14971642.25</v>
      </c>
      <c r="AE73" s="489">
        <v>0</v>
      </c>
      <c r="AF73" s="489">
        <v>0</v>
      </c>
      <c r="AG73" s="490" t="s">
        <v>1245</v>
      </c>
      <c r="AH73" s="490" t="s">
        <v>1247</v>
      </c>
      <c r="AI73" s="490" t="s">
        <v>1248</v>
      </c>
      <c r="AJ73" s="490" t="s">
        <v>1246</v>
      </c>
      <c r="AK73" s="490" t="s">
        <v>1235</v>
      </c>
      <c r="AL73" s="491"/>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row>
    <row r="74" spans="1:80" ht="18" customHeight="1" x14ac:dyDescent="0.25">
      <c r="A74" s="485">
        <f t="shared" si="9"/>
        <v>72</v>
      </c>
      <c r="B74" s="485" t="s">
        <v>3046</v>
      </c>
      <c r="C74" s="485">
        <v>2100000149</v>
      </c>
      <c r="D74" s="485" t="s">
        <v>4682</v>
      </c>
      <c r="E74" s="485" t="s">
        <v>1351</v>
      </c>
      <c r="F74" s="485" t="s">
        <v>1350</v>
      </c>
      <c r="G74" s="485" t="s">
        <v>3043</v>
      </c>
      <c r="H74" s="485" t="s">
        <v>2571</v>
      </c>
      <c r="I74" s="485" t="s">
        <v>3044</v>
      </c>
      <c r="J74" s="485" t="s">
        <v>3045</v>
      </c>
      <c r="K74" s="485" t="s">
        <v>1756</v>
      </c>
      <c r="L74" s="485" t="s">
        <v>2783</v>
      </c>
      <c r="M74" s="486" t="s">
        <v>1230</v>
      </c>
      <c r="N74" s="486" t="s">
        <v>1231</v>
      </c>
      <c r="O74" s="485" t="s">
        <v>1231</v>
      </c>
      <c r="P74" s="485" t="s">
        <v>469</v>
      </c>
      <c r="Q74" s="487">
        <v>43434</v>
      </c>
      <c r="R74" s="487">
        <v>45021</v>
      </c>
      <c r="S74" s="488">
        <v>1.5</v>
      </c>
      <c r="T74" s="488"/>
      <c r="U74" s="489">
        <v>15900000</v>
      </c>
      <c r="V74" s="489">
        <v>15900000</v>
      </c>
      <c r="W74" s="489">
        <v>15900000</v>
      </c>
      <c r="X74" s="489">
        <f t="shared" si="5"/>
        <v>0</v>
      </c>
      <c r="Y74" s="489">
        <f t="shared" si="6"/>
        <v>0</v>
      </c>
      <c r="Z74" s="489">
        <v>5310261.3099999996</v>
      </c>
      <c r="AA74" s="489">
        <v>4850486.0199999996</v>
      </c>
      <c r="AB74" s="489">
        <v>5219480.5</v>
      </c>
      <c r="AC74" s="489">
        <f t="shared" si="7"/>
        <v>-90780.80999999959</v>
      </c>
      <c r="AD74" s="489">
        <f t="shared" si="8"/>
        <v>368994.48000000045</v>
      </c>
      <c r="AE74" s="489">
        <v>0</v>
      </c>
      <c r="AF74" s="489">
        <v>10680519.5</v>
      </c>
      <c r="AG74" s="490" t="s">
        <v>1245</v>
      </c>
      <c r="AH74" s="490" t="s">
        <v>1247</v>
      </c>
      <c r="AI74" s="490" t="s">
        <v>1269</v>
      </c>
      <c r="AJ74" s="490" t="s">
        <v>1246</v>
      </c>
      <c r="AK74" s="490" t="s">
        <v>1235</v>
      </c>
      <c r="AL74" s="491"/>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row>
    <row r="75" spans="1:80" ht="18" customHeight="1" x14ac:dyDescent="0.25">
      <c r="A75" s="485">
        <f t="shared" si="9"/>
        <v>73</v>
      </c>
      <c r="B75" s="485" t="s">
        <v>4683</v>
      </c>
      <c r="C75" s="485">
        <v>5100000134</v>
      </c>
      <c r="D75" s="485" t="s">
        <v>4684</v>
      </c>
      <c r="E75" s="485" t="s">
        <v>1352</v>
      </c>
      <c r="F75" s="485" t="s">
        <v>3049</v>
      </c>
      <c r="G75" s="485" t="s">
        <v>3047</v>
      </c>
      <c r="H75" s="485" t="s">
        <v>2556</v>
      </c>
      <c r="I75" s="485" t="s">
        <v>2919</v>
      </c>
      <c r="J75" s="485" t="s">
        <v>3048</v>
      </c>
      <c r="K75" s="485" t="s">
        <v>1756</v>
      </c>
      <c r="L75" s="485" t="s">
        <v>2783</v>
      </c>
      <c r="M75" s="486" t="s">
        <v>1307</v>
      </c>
      <c r="N75" s="486" t="s">
        <v>1231</v>
      </c>
      <c r="O75" s="485" t="s">
        <v>1232</v>
      </c>
      <c r="P75" s="485" t="s">
        <v>469</v>
      </c>
      <c r="Q75" s="487">
        <v>43434</v>
      </c>
      <c r="R75" s="487">
        <v>44742</v>
      </c>
      <c r="S75" s="488">
        <v>1.5</v>
      </c>
      <c r="T75" s="488"/>
      <c r="U75" s="489">
        <v>2453800.87</v>
      </c>
      <c r="V75" s="489">
        <v>2156790.9300000002</v>
      </c>
      <c r="W75" s="489">
        <v>2156790.9300000002</v>
      </c>
      <c r="X75" s="489">
        <f t="shared" si="5"/>
        <v>-297009.93999999994</v>
      </c>
      <c r="Y75" s="489">
        <f t="shared" si="6"/>
        <v>0</v>
      </c>
      <c r="Z75" s="489">
        <v>2453800.87</v>
      </c>
      <c r="AA75" s="489">
        <v>2156790.9300000002</v>
      </c>
      <c r="AB75" s="489">
        <v>2156790.9300000002</v>
      </c>
      <c r="AC75" s="489">
        <f t="shared" si="7"/>
        <v>-297009.93999999994</v>
      </c>
      <c r="AD75" s="489">
        <f t="shared" si="8"/>
        <v>0</v>
      </c>
      <c r="AE75" s="489">
        <v>0</v>
      </c>
      <c r="AF75" s="489">
        <v>0</v>
      </c>
      <c r="AG75" s="490" t="s">
        <v>1288</v>
      </c>
      <c r="AH75" s="490" t="s">
        <v>1252</v>
      </c>
      <c r="AI75" s="490" t="s">
        <v>1269</v>
      </c>
      <c r="AJ75" s="490" t="s">
        <v>1234</v>
      </c>
      <c r="AK75" s="490" t="s">
        <v>1235</v>
      </c>
      <c r="AL75" s="491"/>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c r="BV75"/>
      <c r="BW75"/>
      <c r="BX75"/>
      <c r="BY75"/>
      <c r="BZ75"/>
      <c r="CA75"/>
      <c r="CB75"/>
    </row>
    <row r="76" spans="1:80" ht="18" customHeight="1" x14ac:dyDescent="0.25">
      <c r="A76" s="485">
        <f t="shared" si="9"/>
        <v>74</v>
      </c>
      <c r="B76" s="485" t="s">
        <v>3053</v>
      </c>
      <c r="C76" s="485">
        <v>4100000198</v>
      </c>
      <c r="D76" s="485" t="s">
        <v>4685</v>
      </c>
      <c r="E76" s="485" t="s">
        <v>1355</v>
      </c>
      <c r="F76" s="485" t="s">
        <v>1355</v>
      </c>
      <c r="G76" s="485" t="s">
        <v>3050</v>
      </c>
      <c r="H76" s="485" t="s">
        <v>2572</v>
      </c>
      <c r="I76" s="485" t="s">
        <v>3051</v>
      </c>
      <c r="J76" s="485" t="s">
        <v>3052</v>
      </c>
      <c r="K76" s="485" t="s">
        <v>1756</v>
      </c>
      <c r="L76" s="485" t="s">
        <v>2783</v>
      </c>
      <c r="M76" s="486" t="s">
        <v>1230</v>
      </c>
      <c r="N76" s="486" t="s">
        <v>1231</v>
      </c>
      <c r="O76" s="485" t="s">
        <v>1232</v>
      </c>
      <c r="P76" s="485" t="s">
        <v>469</v>
      </c>
      <c r="Q76" s="487">
        <v>43445</v>
      </c>
      <c r="R76" s="487">
        <v>45302</v>
      </c>
      <c r="S76" s="488">
        <v>1</v>
      </c>
      <c r="T76" s="488"/>
      <c r="U76" s="489">
        <v>22660800</v>
      </c>
      <c r="V76" s="489">
        <v>22660800</v>
      </c>
      <c r="W76" s="489">
        <v>22660800</v>
      </c>
      <c r="X76" s="489">
        <f t="shared" si="5"/>
        <v>0</v>
      </c>
      <c r="Y76" s="489">
        <f t="shared" si="6"/>
        <v>0</v>
      </c>
      <c r="Z76" s="489">
        <v>22660800</v>
      </c>
      <c r="AA76" s="489">
        <v>22660800</v>
      </c>
      <c r="AB76" s="489">
        <v>22660800</v>
      </c>
      <c r="AC76" s="489">
        <f t="shared" si="7"/>
        <v>0</v>
      </c>
      <c r="AD76" s="489">
        <f t="shared" si="8"/>
        <v>0</v>
      </c>
      <c r="AE76" s="489">
        <v>0</v>
      </c>
      <c r="AF76" s="489">
        <v>0</v>
      </c>
      <c r="AG76" s="490" t="s">
        <v>1250</v>
      </c>
      <c r="AH76" s="490" t="s">
        <v>1252</v>
      </c>
      <c r="AI76" s="490" t="s">
        <v>1248</v>
      </c>
      <c r="AJ76" s="490" t="s">
        <v>1234</v>
      </c>
      <c r="AK76" s="490" t="s">
        <v>1278</v>
      </c>
      <c r="AL76" s="491"/>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row>
    <row r="77" spans="1:80" ht="18" customHeight="1" x14ac:dyDescent="0.25">
      <c r="A77" s="485">
        <f t="shared" si="9"/>
        <v>75</v>
      </c>
      <c r="B77" s="485" t="s">
        <v>3054</v>
      </c>
      <c r="C77" s="485">
        <v>4100000201</v>
      </c>
      <c r="D77" s="485" t="s">
        <v>4686</v>
      </c>
      <c r="E77" s="485" t="s">
        <v>1355</v>
      </c>
      <c r="F77" s="485" t="s">
        <v>1355</v>
      </c>
      <c r="G77" s="485" t="s">
        <v>3050</v>
      </c>
      <c r="H77" s="485" t="s">
        <v>2572</v>
      </c>
      <c r="I77" s="485" t="s">
        <v>3051</v>
      </c>
      <c r="J77" s="485" t="s">
        <v>3052</v>
      </c>
      <c r="K77" s="485" t="s">
        <v>1756</v>
      </c>
      <c r="L77" s="485" t="s">
        <v>2783</v>
      </c>
      <c r="M77" s="486" t="s">
        <v>1230</v>
      </c>
      <c r="N77" s="486" t="s">
        <v>1231</v>
      </c>
      <c r="O77" s="485" t="s">
        <v>1232</v>
      </c>
      <c r="P77" s="485" t="s">
        <v>469</v>
      </c>
      <c r="Q77" s="487">
        <v>43445</v>
      </c>
      <c r="R77" s="487">
        <v>45302</v>
      </c>
      <c r="S77" s="488">
        <v>1</v>
      </c>
      <c r="T77" s="488"/>
      <c r="U77" s="489">
        <v>2339200</v>
      </c>
      <c r="V77" s="489">
        <v>2339200</v>
      </c>
      <c r="W77" s="489">
        <v>2339200</v>
      </c>
      <c r="X77" s="489">
        <f t="shared" si="5"/>
        <v>0</v>
      </c>
      <c r="Y77" s="489">
        <f t="shared" si="6"/>
        <v>0</v>
      </c>
      <c r="Z77" s="489">
        <v>2339200</v>
      </c>
      <c r="AA77" s="489">
        <v>2339200</v>
      </c>
      <c r="AB77" s="489">
        <v>2339200</v>
      </c>
      <c r="AC77" s="489">
        <f t="shared" si="7"/>
        <v>0</v>
      </c>
      <c r="AD77" s="489">
        <f t="shared" si="8"/>
        <v>0</v>
      </c>
      <c r="AE77" s="489">
        <v>0</v>
      </c>
      <c r="AF77" s="489">
        <v>0</v>
      </c>
      <c r="AG77" s="490" t="s">
        <v>1250</v>
      </c>
      <c r="AH77" s="490" t="s">
        <v>1291</v>
      </c>
      <c r="AI77" s="490" t="s">
        <v>1317</v>
      </c>
      <c r="AJ77" s="490" t="s">
        <v>1234</v>
      </c>
      <c r="AK77" s="490" t="s">
        <v>1240</v>
      </c>
      <c r="AL77" s="491"/>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row>
    <row r="78" spans="1:80" ht="18" customHeight="1" x14ac:dyDescent="0.25">
      <c r="A78" s="485">
        <f t="shared" si="9"/>
        <v>76</v>
      </c>
      <c r="B78" s="485" t="s">
        <v>3057</v>
      </c>
      <c r="C78" s="485">
        <v>4100000200</v>
      </c>
      <c r="D78" s="485" t="s">
        <v>4687</v>
      </c>
      <c r="E78" s="485" t="s">
        <v>1354</v>
      </c>
      <c r="F78" s="485" t="s">
        <v>1353</v>
      </c>
      <c r="G78" s="485" t="s">
        <v>3055</v>
      </c>
      <c r="H78" s="485" t="s">
        <v>1353</v>
      </c>
      <c r="I78" s="485" t="s">
        <v>3055</v>
      </c>
      <c r="J78" s="485" t="s">
        <v>3056</v>
      </c>
      <c r="K78" s="485" t="s">
        <v>1756</v>
      </c>
      <c r="L78" s="485" t="s">
        <v>2783</v>
      </c>
      <c r="M78" s="486" t="s">
        <v>1230</v>
      </c>
      <c r="N78" s="485" t="s">
        <v>1231</v>
      </c>
      <c r="O78" s="485" t="s">
        <v>1231</v>
      </c>
      <c r="P78" s="485" t="s">
        <v>469</v>
      </c>
      <c r="Q78" s="487">
        <v>43446</v>
      </c>
      <c r="R78" s="487">
        <v>45820</v>
      </c>
      <c r="S78" s="488">
        <v>1</v>
      </c>
      <c r="T78" s="488"/>
      <c r="U78" s="489">
        <v>2560852</v>
      </c>
      <c r="V78" s="489">
        <v>2560852</v>
      </c>
      <c r="W78" s="489">
        <v>2560852</v>
      </c>
      <c r="X78" s="489">
        <f t="shared" si="5"/>
        <v>0</v>
      </c>
      <c r="Y78" s="489">
        <f t="shared" si="6"/>
        <v>0</v>
      </c>
      <c r="Z78" s="489">
        <v>0</v>
      </c>
      <c r="AA78" s="489">
        <v>0</v>
      </c>
      <c r="AB78" s="489">
        <v>0</v>
      </c>
      <c r="AC78" s="489">
        <f t="shared" si="7"/>
        <v>0</v>
      </c>
      <c r="AD78" s="489">
        <f t="shared" si="8"/>
        <v>0</v>
      </c>
      <c r="AE78" s="489">
        <v>0</v>
      </c>
      <c r="AF78" s="489">
        <v>2560852</v>
      </c>
      <c r="AG78" s="490" t="s">
        <v>1250</v>
      </c>
      <c r="AH78" s="490" t="s">
        <v>1291</v>
      </c>
      <c r="AI78" s="490" t="s">
        <v>1292</v>
      </c>
      <c r="AJ78" s="490" t="s">
        <v>1234</v>
      </c>
      <c r="AK78" s="490" t="s">
        <v>1240</v>
      </c>
      <c r="AL78" s="491"/>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row>
    <row r="79" spans="1:80" ht="18" customHeight="1" x14ac:dyDescent="0.25">
      <c r="A79" s="492">
        <f t="shared" si="9"/>
        <v>77</v>
      </c>
      <c r="B79" s="492" t="s">
        <v>4688</v>
      </c>
      <c r="C79" s="492">
        <v>1100000163</v>
      </c>
      <c r="D79" s="492" t="s">
        <v>4689</v>
      </c>
      <c r="E79" s="492" t="s">
        <v>308</v>
      </c>
      <c r="F79" s="492" t="s">
        <v>138</v>
      </c>
      <c r="G79" s="492" t="s">
        <v>1094</v>
      </c>
      <c r="H79" s="492" t="s">
        <v>138</v>
      </c>
      <c r="I79" s="492" t="s">
        <v>1094</v>
      </c>
      <c r="J79" s="492" t="s">
        <v>3058</v>
      </c>
      <c r="K79" s="492" t="s">
        <v>1281</v>
      </c>
      <c r="L79" s="492" t="s">
        <v>2783</v>
      </c>
      <c r="M79" s="493" t="s">
        <v>1230</v>
      </c>
      <c r="N79" s="493" t="s">
        <v>1232</v>
      </c>
      <c r="O79" s="492" t="s">
        <v>1232</v>
      </c>
      <c r="P79" s="492" t="s">
        <v>1156</v>
      </c>
      <c r="Q79" s="494">
        <v>43448</v>
      </c>
      <c r="R79" s="494">
        <v>44929</v>
      </c>
      <c r="S79" s="495">
        <v>1</v>
      </c>
      <c r="T79" s="495"/>
      <c r="U79" s="496">
        <v>7100000</v>
      </c>
      <c r="V79" s="496">
        <v>7100000</v>
      </c>
      <c r="W79" s="496">
        <v>7100000</v>
      </c>
      <c r="X79" s="496">
        <f t="shared" si="5"/>
        <v>0</v>
      </c>
      <c r="Y79" s="496">
        <f t="shared" si="6"/>
        <v>0</v>
      </c>
      <c r="Z79" s="496">
        <v>7100000</v>
      </c>
      <c r="AA79" s="496">
        <v>7100000</v>
      </c>
      <c r="AB79" s="496">
        <v>7100000</v>
      </c>
      <c r="AC79" s="496">
        <f t="shared" si="7"/>
        <v>0</v>
      </c>
      <c r="AD79" s="496">
        <f t="shared" si="8"/>
        <v>0</v>
      </c>
      <c r="AE79" s="496">
        <v>0</v>
      </c>
      <c r="AF79" s="496">
        <v>0</v>
      </c>
      <c r="AG79" s="497" t="s">
        <v>1237</v>
      </c>
      <c r="AH79" s="497" t="s">
        <v>614</v>
      </c>
      <c r="AI79" s="497" t="s">
        <v>1280</v>
      </c>
      <c r="AJ79" s="497" t="s">
        <v>1279</v>
      </c>
      <c r="AK79" s="497" t="s">
        <v>1260</v>
      </c>
      <c r="AL79" s="491"/>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row>
    <row r="80" spans="1:80" ht="18" customHeight="1" x14ac:dyDescent="0.25">
      <c r="A80" s="485">
        <f t="shared" si="9"/>
        <v>78</v>
      </c>
      <c r="B80" s="485" t="s">
        <v>3062</v>
      </c>
      <c r="C80" s="485">
        <v>1100000151</v>
      </c>
      <c r="D80" s="485" t="s">
        <v>4690</v>
      </c>
      <c r="E80" s="485" t="s">
        <v>310</v>
      </c>
      <c r="F80" s="485" t="s">
        <v>3061</v>
      </c>
      <c r="G80" s="485" t="s">
        <v>1095</v>
      </c>
      <c r="H80" s="485" t="s">
        <v>2573</v>
      </c>
      <c r="I80" s="485" t="s">
        <v>3059</v>
      </c>
      <c r="J80" s="485" t="s">
        <v>3060</v>
      </c>
      <c r="K80" s="485" t="s">
        <v>1756</v>
      </c>
      <c r="L80" s="485" t="s">
        <v>2783</v>
      </c>
      <c r="M80" s="486" t="s">
        <v>1230</v>
      </c>
      <c r="N80" s="486" t="s">
        <v>1231</v>
      </c>
      <c r="O80" s="485" t="s">
        <v>1232</v>
      </c>
      <c r="P80" s="485" t="s">
        <v>1156</v>
      </c>
      <c r="Q80" s="487">
        <v>43458</v>
      </c>
      <c r="R80" s="487">
        <v>45464</v>
      </c>
      <c r="S80" s="488">
        <v>1</v>
      </c>
      <c r="T80" s="488"/>
      <c r="U80" s="489">
        <v>16818750</v>
      </c>
      <c r="V80" s="489">
        <v>16818750</v>
      </c>
      <c r="W80" s="489">
        <v>16818750</v>
      </c>
      <c r="X80" s="489">
        <f t="shared" si="5"/>
        <v>0</v>
      </c>
      <c r="Y80" s="489">
        <f t="shared" si="6"/>
        <v>0</v>
      </c>
      <c r="Z80" s="489">
        <v>16818750</v>
      </c>
      <c r="AA80" s="489">
        <v>16818750</v>
      </c>
      <c r="AB80" s="489">
        <v>16818750</v>
      </c>
      <c r="AC80" s="489">
        <f t="shared" si="7"/>
        <v>0</v>
      </c>
      <c r="AD80" s="489">
        <f t="shared" si="8"/>
        <v>0</v>
      </c>
      <c r="AE80" s="489">
        <v>0</v>
      </c>
      <c r="AF80" s="489">
        <v>0</v>
      </c>
      <c r="AG80" s="490" t="s">
        <v>1237</v>
      </c>
      <c r="AH80" s="490" t="s">
        <v>1357</v>
      </c>
      <c r="AI80" s="490"/>
      <c r="AJ80" s="490" t="s">
        <v>1356</v>
      </c>
      <c r="AK80" s="490" t="s">
        <v>1260</v>
      </c>
      <c r="AL80" s="491"/>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c r="BV80"/>
      <c r="BW80"/>
      <c r="BX80"/>
      <c r="BY80"/>
      <c r="BZ80"/>
      <c r="CA80"/>
      <c r="CB80"/>
    </row>
    <row r="81" spans="1:80" ht="18" customHeight="1" x14ac:dyDescent="0.25">
      <c r="A81" s="492">
        <f t="shared" si="9"/>
        <v>79</v>
      </c>
      <c r="B81" s="492" t="s">
        <v>3065</v>
      </c>
      <c r="C81" s="492">
        <v>5100000129</v>
      </c>
      <c r="D81" s="492" t="s">
        <v>4691</v>
      </c>
      <c r="E81" s="492" t="s">
        <v>1359</v>
      </c>
      <c r="F81" s="492" t="s">
        <v>1358</v>
      </c>
      <c r="G81" s="492" t="s">
        <v>3063</v>
      </c>
      <c r="H81" s="492" t="s">
        <v>1358</v>
      </c>
      <c r="I81" s="492" t="s">
        <v>3063</v>
      </c>
      <c r="J81" s="492" t="s">
        <v>3064</v>
      </c>
      <c r="K81" s="492" t="s">
        <v>1756</v>
      </c>
      <c r="L81" s="492" t="s">
        <v>2783</v>
      </c>
      <c r="M81" s="493" t="s">
        <v>1230</v>
      </c>
      <c r="N81" s="493" t="s">
        <v>1232</v>
      </c>
      <c r="O81" s="492" t="s">
        <v>1232</v>
      </c>
      <c r="P81" s="492" t="s">
        <v>469</v>
      </c>
      <c r="Q81" s="494">
        <v>43458</v>
      </c>
      <c r="R81" s="494">
        <v>44923</v>
      </c>
      <c r="S81" s="495">
        <v>1</v>
      </c>
      <c r="T81" s="495"/>
      <c r="U81" s="496">
        <v>2328289</v>
      </c>
      <c r="V81" s="496">
        <v>2328289</v>
      </c>
      <c r="W81" s="496">
        <v>2328289</v>
      </c>
      <c r="X81" s="496">
        <f t="shared" si="5"/>
        <v>0</v>
      </c>
      <c r="Y81" s="496">
        <f t="shared" si="6"/>
        <v>0</v>
      </c>
      <c r="Z81" s="496">
        <v>2328289</v>
      </c>
      <c r="AA81" s="496">
        <v>2328289</v>
      </c>
      <c r="AB81" s="496">
        <v>2328289</v>
      </c>
      <c r="AC81" s="496">
        <f t="shared" si="7"/>
        <v>0</v>
      </c>
      <c r="AD81" s="496">
        <f t="shared" si="8"/>
        <v>0</v>
      </c>
      <c r="AE81" s="496">
        <v>0</v>
      </c>
      <c r="AF81" s="496">
        <v>0</v>
      </c>
      <c r="AG81" s="497" t="s">
        <v>1288</v>
      </c>
      <c r="AH81" s="497" t="s">
        <v>1291</v>
      </c>
      <c r="AI81" s="497" t="s">
        <v>1292</v>
      </c>
      <c r="AJ81" s="497" t="s">
        <v>1234</v>
      </c>
      <c r="AK81" s="497" t="s">
        <v>1240</v>
      </c>
      <c r="AL81" s="49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row>
    <row r="82" spans="1:80" ht="18" customHeight="1" x14ac:dyDescent="0.25">
      <c r="A82" s="485">
        <f t="shared" si="9"/>
        <v>80</v>
      </c>
      <c r="B82" s="485" t="s">
        <v>3068</v>
      </c>
      <c r="C82" s="485">
        <v>4100000122</v>
      </c>
      <c r="D82" s="485" t="s">
        <v>4692</v>
      </c>
      <c r="E82" s="485" t="s">
        <v>1361</v>
      </c>
      <c r="F82" s="485" t="s">
        <v>1360</v>
      </c>
      <c r="G82" s="485" t="s">
        <v>3066</v>
      </c>
      <c r="H82" s="485" t="s">
        <v>2559</v>
      </c>
      <c r="I82" s="485" t="s">
        <v>2936</v>
      </c>
      <c r="J82" s="485" t="s">
        <v>3067</v>
      </c>
      <c r="K82" s="485" t="s">
        <v>1756</v>
      </c>
      <c r="L82" s="485" t="s">
        <v>2783</v>
      </c>
      <c r="M82" s="486" t="s">
        <v>1230</v>
      </c>
      <c r="N82" s="486" t="s">
        <v>1231</v>
      </c>
      <c r="O82" s="485" t="s">
        <v>1232</v>
      </c>
      <c r="P82" s="485" t="s">
        <v>469</v>
      </c>
      <c r="Q82" s="487">
        <v>43468</v>
      </c>
      <c r="R82" s="487">
        <v>45294</v>
      </c>
      <c r="S82" s="488">
        <v>1</v>
      </c>
      <c r="T82" s="488"/>
      <c r="U82" s="489">
        <v>165000</v>
      </c>
      <c r="V82" s="489">
        <v>165000</v>
      </c>
      <c r="W82" s="489">
        <v>165000</v>
      </c>
      <c r="X82" s="489">
        <f t="shared" si="5"/>
        <v>0</v>
      </c>
      <c r="Y82" s="489">
        <f t="shared" si="6"/>
        <v>0</v>
      </c>
      <c r="Z82" s="489">
        <v>165000</v>
      </c>
      <c r="AA82" s="489">
        <v>165000</v>
      </c>
      <c r="AB82" s="489">
        <v>165000</v>
      </c>
      <c r="AC82" s="489">
        <f t="shared" si="7"/>
        <v>0</v>
      </c>
      <c r="AD82" s="489">
        <f t="shared" si="8"/>
        <v>0</v>
      </c>
      <c r="AE82" s="489">
        <v>0</v>
      </c>
      <c r="AF82" s="489">
        <v>0</v>
      </c>
      <c r="AG82" s="490" t="s">
        <v>1250</v>
      </c>
      <c r="AH82" s="490" t="s">
        <v>1291</v>
      </c>
      <c r="AI82" s="490" t="s">
        <v>1292</v>
      </c>
      <c r="AJ82" s="490" t="s">
        <v>1234</v>
      </c>
      <c r="AK82" s="490" t="s">
        <v>1240</v>
      </c>
      <c r="AL82" s="491"/>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row>
    <row r="83" spans="1:80" ht="18" customHeight="1" x14ac:dyDescent="0.25">
      <c r="A83" s="485">
        <f t="shared" si="9"/>
        <v>81</v>
      </c>
      <c r="B83" s="485" t="s">
        <v>4693</v>
      </c>
      <c r="C83" s="485">
        <v>1100000188</v>
      </c>
      <c r="D83" s="485" t="s">
        <v>4694</v>
      </c>
      <c r="E83" s="485" t="s">
        <v>312</v>
      </c>
      <c r="F83" s="485" t="s">
        <v>228</v>
      </c>
      <c r="G83" s="485" t="s">
        <v>1096</v>
      </c>
      <c r="H83" s="485" t="s">
        <v>2574</v>
      </c>
      <c r="I83" s="485" t="s">
        <v>3069</v>
      </c>
      <c r="J83" s="485" t="s">
        <v>3070</v>
      </c>
      <c r="K83" s="485" t="s">
        <v>1281</v>
      </c>
      <c r="L83" s="485" t="s">
        <v>2783</v>
      </c>
      <c r="M83" s="486" t="s">
        <v>1230</v>
      </c>
      <c r="N83" s="486" t="s">
        <v>1231</v>
      </c>
      <c r="O83" s="485" t="s">
        <v>1232</v>
      </c>
      <c r="P83" s="485" t="s">
        <v>1156</v>
      </c>
      <c r="Q83" s="487">
        <v>43496</v>
      </c>
      <c r="R83" s="487">
        <v>45688</v>
      </c>
      <c r="S83" s="488">
        <v>1</v>
      </c>
      <c r="T83" s="488"/>
      <c r="U83" s="489">
        <v>20000000</v>
      </c>
      <c r="V83" s="489">
        <v>20000000</v>
      </c>
      <c r="W83" s="489">
        <v>20000000</v>
      </c>
      <c r="X83" s="489">
        <f t="shared" si="5"/>
        <v>0</v>
      </c>
      <c r="Y83" s="489">
        <f t="shared" si="6"/>
        <v>0</v>
      </c>
      <c r="Z83" s="489">
        <v>550845</v>
      </c>
      <c r="AA83" s="489">
        <v>550845</v>
      </c>
      <c r="AB83" s="489">
        <v>550845</v>
      </c>
      <c r="AC83" s="489">
        <f t="shared" si="7"/>
        <v>0</v>
      </c>
      <c r="AD83" s="489">
        <f t="shared" si="8"/>
        <v>0</v>
      </c>
      <c r="AE83" s="489">
        <v>0</v>
      </c>
      <c r="AF83" s="489">
        <v>19449155</v>
      </c>
      <c r="AG83" s="490" t="s">
        <v>1237</v>
      </c>
      <c r="AH83" s="490" t="s">
        <v>1888</v>
      </c>
      <c r="AI83" s="490" t="s">
        <v>1321</v>
      </c>
      <c r="AJ83" s="490" t="s">
        <v>1279</v>
      </c>
      <c r="AK83" s="490" t="s">
        <v>1260</v>
      </c>
      <c r="AL83" s="491"/>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c r="BV83"/>
      <c r="BW83"/>
      <c r="BX83"/>
      <c r="BY83"/>
      <c r="BZ83"/>
      <c r="CA83"/>
      <c r="CB83"/>
    </row>
    <row r="84" spans="1:80" ht="18" customHeight="1" x14ac:dyDescent="0.25">
      <c r="A84" s="485">
        <f t="shared" si="9"/>
        <v>82</v>
      </c>
      <c r="B84" s="485" t="s">
        <v>4695</v>
      </c>
      <c r="C84" s="485">
        <v>1100000176</v>
      </c>
      <c r="D84" s="485" t="s">
        <v>4696</v>
      </c>
      <c r="E84" s="485" t="s">
        <v>1362</v>
      </c>
      <c r="F84" s="485" t="s">
        <v>207</v>
      </c>
      <c r="G84" s="485" t="s">
        <v>3071</v>
      </c>
      <c r="H84" s="485" t="s">
        <v>2574</v>
      </c>
      <c r="I84" s="485" t="s">
        <v>3069</v>
      </c>
      <c r="J84" s="485" t="s">
        <v>3072</v>
      </c>
      <c r="K84" s="485" t="s">
        <v>1281</v>
      </c>
      <c r="L84" s="485" t="s">
        <v>2783</v>
      </c>
      <c r="M84" s="486" t="s">
        <v>1230</v>
      </c>
      <c r="N84" s="486" t="s">
        <v>1231</v>
      </c>
      <c r="O84" s="485" t="s">
        <v>1232</v>
      </c>
      <c r="P84" s="485" t="s">
        <v>1156</v>
      </c>
      <c r="Q84" s="487">
        <v>43496</v>
      </c>
      <c r="R84" s="487">
        <v>46055</v>
      </c>
      <c r="S84" s="488">
        <v>1.5</v>
      </c>
      <c r="T84" s="488"/>
      <c r="U84" s="489">
        <v>30000000</v>
      </c>
      <c r="V84" s="489">
        <v>30000000</v>
      </c>
      <c r="W84" s="489">
        <v>30000000</v>
      </c>
      <c r="X84" s="489">
        <f t="shared" si="5"/>
        <v>0</v>
      </c>
      <c r="Y84" s="489">
        <f t="shared" si="6"/>
        <v>0</v>
      </c>
      <c r="Z84" s="489">
        <v>6688900.5499999998</v>
      </c>
      <c r="AA84" s="489">
        <v>6799315.9400000004</v>
      </c>
      <c r="AB84" s="489">
        <v>6799315.9400000004</v>
      </c>
      <c r="AC84" s="489">
        <f t="shared" si="7"/>
        <v>110415.3900000006</v>
      </c>
      <c r="AD84" s="489">
        <f t="shared" si="8"/>
        <v>0</v>
      </c>
      <c r="AE84" s="489">
        <v>0</v>
      </c>
      <c r="AF84" s="489">
        <v>23200684.059999999</v>
      </c>
      <c r="AG84" s="490" t="s">
        <v>1237</v>
      </c>
      <c r="AH84" s="490" t="s">
        <v>1888</v>
      </c>
      <c r="AI84" s="490" t="s">
        <v>1321</v>
      </c>
      <c r="AJ84" s="490" t="s">
        <v>1279</v>
      </c>
      <c r="AK84" s="490" t="s">
        <v>1235</v>
      </c>
      <c r="AL84" s="491"/>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row>
    <row r="85" spans="1:80" ht="18" customHeight="1" x14ac:dyDescent="0.25">
      <c r="A85" s="485">
        <f t="shared" si="9"/>
        <v>83</v>
      </c>
      <c r="B85" s="485" t="s">
        <v>3075</v>
      </c>
      <c r="C85" s="485">
        <v>6100000169</v>
      </c>
      <c r="D85" s="485" t="s">
        <v>4697</v>
      </c>
      <c r="E85" s="485" t="s">
        <v>1364</v>
      </c>
      <c r="F85" s="485" t="s">
        <v>2575</v>
      </c>
      <c r="G85" s="485" t="s">
        <v>3073</v>
      </c>
      <c r="H85" s="485" t="s">
        <v>2575</v>
      </c>
      <c r="I85" s="485" t="s">
        <v>3073</v>
      </c>
      <c r="J85" s="485" t="s">
        <v>3074</v>
      </c>
      <c r="K85" s="485" t="s">
        <v>1756</v>
      </c>
      <c r="L85" s="485" t="s">
        <v>2783</v>
      </c>
      <c r="M85" s="486" t="s">
        <v>1230</v>
      </c>
      <c r="N85" s="486" t="s">
        <v>1231</v>
      </c>
      <c r="O85" s="485" t="s">
        <v>1232</v>
      </c>
      <c r="P85" s="485" t="s">
        <v>469</v>
      </c>
      <c r="Q85" s="487">
        <v>43510</v>
      </c>
      <c r="R85" s="487">
        <v>44725</v>
      </c>
      <c r="S85" s="488">
        <v>1</v>
      </c>
      <c r="T85" s="488"/>
      <c r="U85" s="489">
        <v>3000000</v>
      </c>
      <c r="V85" s="489">
        <v>3000000</v>
      </c>
      <c r="W85" s="489">
        <v>3000000</v>
      </c>
      <c r="X85" s="489">
        <f t="shared" si="5"/>
        <v>0</v>
      </c>
      <c r="Y85" s="489">
        <f t="shared" si="6"/>
        <v>0</v>
      </c>
      <c r="Z85" s="489">
        <v>3000000</v>
      </c>
      <c r="AA85" s="489">
        <v>3000000</v>
      </c>
      <c r="AB85" s="489">
        <v>3000000</v>
      </c>
      <c r="AC85" s="489">
        <f t="shared" si="7"/>
        <v>0</v>
      </c>
      <c r="AD85" s="489">
        <f t="shared" si="8"/>
        <v>0</v>
      </c>
      <c r="AE85" s="489">
        <v>0</v>
      </c>
      <c r="AF85" s="489">
        <v>0</v>
      </c>
      <c r="AG85" s="490" t="s">
        <v>1888</v>
      </c>
      <c r="AH85" s="490" t="s">
        <v>1888</v>
      </c>
      <c r="AI85" s="490" t="s">
        <v>1342</v>
      </c>
      <c r="AJ85" s="490" t="s">
        <v>1234</v>
      </c>
      <c r="AK85" s="490" t="s">
        <v>1278</v>
      </c>
      <c r="AL85" s="491"/>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row>
    <row r="86" spans="1:80" ht="18" customHeight="1" x14ac:dyDescent="0.25">
      <c r="A86" s="485">
        <f t="shared" si="9"/>
        <v>84</v>
      </c>
      <c r="B86" s="485" t="s">
        <v>3080</v>
      </c>
      <c r="C86" s="485">
        <v>4100000126</v>
      </c>
      <c r="D86" s="485" t="s">
        <v>4698</v>
      </c>
      <c r="E86" s="485" t="s">
        <v>1365</v>
      </c>
      <c r="F86" s="485" t="s">
        <v>3079</v>
      </c>
      <c r="G86" s="485" t="s">
        <v>3076</v>
      </c>
      <c r="H86" s="485" t="s">
        <v>4518</v>
      </c>
      <c r="I86" s="485" t="s">
        <v>3077</v>
      </c>
      <c r="J86" s="485" t="s">
        <v>3078</v>
      </c>
      <c r="K86" s="485" t="s">
        <v>1756</v>
      </c>
      <c r="L86" s="485" t="s">
        <v>2783</v>
      </c>
      <c r="M86" s="486" t="s">
        <v>1230</v>
      </c>
      <c r="N86" s="486" t="s">
        <v>1231</v>
      </c>
      <c r="O86" s="485" t="s">
        <v>1232</v>
      </c>
      <c r="P86" s="485" t="s">
        <v>469</v>
      </c>
      <c r="Q86" s="487">
        <v>43516</v>
      </c>
      <c r="R86" s="487">
        <v>45342</v>
      </c>
      <c r="S86" s="488">
        <v>0.35</v>
      </c>
      <c r="T86" s="488"/>
      <c r="U86" s="489">
        <v>3477944</v>
      </c>
      <c r="V86" s="489">
        <v>3477944</v>
      </c>
      <c r="W86" s="489">
        <v>3477944</v>
      </c>
      <c r="X86" s="489">
        <f t="shared" si="5"/>
        <v>0</v>
      </c>
      <c r="Y86" s="489">
        <f t="shared" si="6"/>
        <v>0</v>
      </c>
      <c r="Z86" s="489">
        <v>3477944</v>
      </c>
      <c r="AA86" s="489">
        <v>3477944</v>
      </c>
      <c r="AB86" s="489">
        <v>3477944</v>
      </c>
      <c r="AC86" s="489">
        <f t="shared" si="7"/>
        <v>0</v>
      </c>
      <c r="AD86" s="489">
        <f t="shared" si="8"/>
        <v>0</v>
      </c>
      <c r="AE86" s="489">
        <v>0</v>
      </c>
      <c r="AF86" s="489">
        <v>0</v>
      </c>
      <c r="AG86" s="490" t="s">
        <v>1250</v>
      </c>
      <c r="AH86" s="490" t="s">
        <v>1252</v>
      </c>
      <c r="AI86" s="490" t="s">
        <v>1248</v>
      </c>
      <c r="AJ86" s="490" t="s">
        <v>1234</v>
      </c>
      <c r="AK86" s="490" t="s">
        <v>1251</v>
      </c>
      <c r="AL86" s="491"/>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row>
    <row r="87" spans="1:80" ht="18" customHeight="1" x14ac:dyDescent="0.25">
      <c r="A87" s="485">
        <f t="shared" si="9"/>
        <v>85</v>
      </c>
      <c r="B87" s="485" t="s">
        <v>3085</v>
      </c>
      <c r="C87" s="485">
        <v>2100000147</v>
      </c>
      <c r="D87" s="485" t="s">
        <v>4699</v>
      </c>
      <c r="E87" s="485" t="s">
        <v>1366</v>
      </c>
      <c r="F87" s="485" t="s">
        <v>3084</v>
      </c>
      <c r="G87" s="485" t="s">
        <v>3081</v>
      </c>
      <c r="H87" s="485" t="s">
        <v>4519</v>
      </c>
      <c r="I87" s="485" t="s">
        <v>3082</v>
      </c>
      <c r="J87" s="485" t="s">
        <v>3083</v>
      </c>
      <c r="K87" s="485" t="s">
        <v>1756</v>
      </c>
      <c r="L87" s="485" t="s">
        <v>2783</v>
      </c>
      <c r="M87" s="486" t="s">
        <v>1230</v>
      </c>
      <c r="N87" s="486" t="s">
        <v>1231</v>
      </c>
      <c r="O87" s="485" t="s">
        <v>1231</v>
      </c>
      <c r="P87" s="485" t="s">
        <v>469</v>
      </c>
      <c r="Q87" s="487">
        <v>43522</v>
      </c>
      <c r="R87" s="487">
        <v>44746</v>
      </c>
      <c r="S87" s="488">
        <v>1.5</v>
      </c>
      <c r="T87" s="488"/>
      <c r="U87" s="489">
        <v>27063710</v>
      </c>
      <c r="V87" s="489">
        <v>26963083.100000001</v>
      </c>
      <c r="W87" s="489">
        <v>12075947</v>
      </c>
      <c r="X87" s="489">
        <f t="shared" si="5"/>
        <v>-14987763</v>
      </c>
      <c r="Y87" s="489">
        <f t="shared" si="6"/>
        <v>-14887136.100000001</v>
      </c>
      <c r="Z87" s="489">
        <v>26413873.109999999</v>
      </c>
      <c r="AA87" s="489">
        <v>26477578.859999999</v>
      </c>
      <c r="AB87" s="489">
        <v>11594254.859999999</v>
      </c>
      <c r="AC87" s="489">
        <f t="shared" si="7"/>
        <v>-14819618.25</v>
      </c>
      <c r="AD87" s="489">
        <f t="shared" si="8"/>
        <v>-14883324</v>
      </c>
      <c r="AE87" s="489">
        <v>0</v>
      </c>
      <c r="AF87" s="489">
        <v>481692.14</v>
      </c>
      <c r="AG87" s="490" t="s">
        <v>1245</v>
      </c>
      <c r="AH87" s="490" t="s">
        <v>1247</v>
      </c>
      <c r="AI87" s="490" t="s">
        <v>1248</v>
      </c>
      <c r="AJ87" s="490" t="s">
        <v>1246</v>
      </c>
      <c r="AK87" s="490" t="s">
        <v>1235</v>
      </c>
      <c r="AL87" s="491"/>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c r="BV87"/>
      <c r="BW87"/>
      <c r="BX87"/>
      <c r="BY87"/>
      <c r="BZ87"/>
      <c r="CA87"/>
      <c r="CB87"/>
    </row>
    <row r="88" spans="1:80" ht="18" customHeight="1" x14ac:dyDescent="0.25">
      <c r="A88" s="492">
        <f t="shared" si="9"/>
        <v>86</v>
      </c>
      <c r="B88" s="492" t="s">
        <v>3088</v>
      </c>
      <c r="C88" s="492">
        <v>4100000118</v>
      </c>
      <c r="D88" s="492" t="s">
        <v>4700</v>
      </c>
      <c r="E88" s="492" t="s">
        <v>1369</v>
      </c>
      <c r="F88" s="492" t="s">
        <v>1368</v>
      </c>
      <c r="G88" s="492" t="s">
        <v>3086</v>
      </c>
      <c r="H88" s="492" t="s">
        <v>1368</v>
      </c>
      <c r="I88" s="492" t="s">
        <v>3086</v>
      </c>
      <c r="J88" s="492" t="s">
        <v>3087</v>
      </c>
      <c r="K88" s="492" t="s">
        <v>1756</v>
      </c>
      <c r="L88" s="492" t="s">
        <v>2783</v>
      </c>
      <c r="M88" s="493" t="s">
        <v>1230</v>
      </c>
      <c r="N88" s="493" t="s">
        <v>1232</v>
      </c>
      <c r="O88" s="492" t="s">
        <v>1232</v>
      </c>
      <c r="P88" s="492" t="s">
        <v>469</v>
      </c>
      <c r="Q88" s="494">
        <v>43530</v>
      </c>
      <c r="R88" s="494">
        <v>45357</v>
      </c>
      <c r="S88" s="495">
        <v>0.35</v>
      </c>
      <c r="T88" s="495"/>
      <c r="U88" s="496">
        <v>1066000</v>
      </c>
      <c r="V88" s="496">
        <v>1066000</v>
      </c>
      <c r="W88" s="496">
        <v>1066000</v>
      </c>
      <c r="X88" s="496">
        <f t="shared" si="5"/>
        <v>0</v>
      </c>
      <c r="Y88" s="496">
        <f t="shared" si="6"/>
        <v>0</v>
      </c>
      <c r="Z88" s="496">
        <v>1066000</v>
      </c>
      <c r="AA88" s="496">
        <v>1066000</v>
      </c>
      <c r="AB88" s="496">
        <v>1066000</v>
      </c>
      <c r="AC88" s="496">
        <f t="shared" si="7"/>
        <v>0</v>
      </c>
      <c r="AD88" s="496">
        <f t="shared" si="8"/>
        <v>0</v>
      </c>
      <c r="AE88" s="496">
        <v>0</v>
      </c>
      <c r="AF88" s="496">
        <v>0</v>
      </c>
      <c r="AG88" s="497" t="s">
        <v>1250</v>
      </c>
      <c r="AH88" s="497" t="s">
        <v>1252</v>
      </c>
      <c r="AI88" s="497" t="s">
        <v>1283</v>
      </c>
      <c r="AJ88" s="497" t="s">
        <v>1234</v>
      </c>
      <c r="AK88" s="497" t="s">
        <v>1251</v>
      </c>
      <c r="AL88" s="491"/>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row>
    <row r="89" spans="1:80" ht="18" customHeight="1" x14ac:dyDescent="0.25">
      <c r="A89" s="492">
        <f t="shared" si="9"/>
        <v>87</v>
      </c>
      <c r="B89" s="492" t="s">
        <v>3093</v>
      </c>
      <c r="C89" s="492">
        <v>6100000136</v>
      </c>
      <c r="D89" s="492" t="s">
        <v>4701</v>
      </c>
      <c r="E89" s="492" t="s">
        <v>1370</v>
      </c>
      <c r="F89" s="492" t="s">
        <v>3092</v>
      </c>
      <c r="G89" s="492" t="s">
        <v>3089</v>
      </c>
      <c r="H89" s="492" t="s">
        <v>2577</v>
      </c>
      <c r="I89" s="492" t="s">
        <v>3090</v>
      </c>
      <c r="J89" s="492" t="s">
        <v>3091</v>
      </c>
      <c r="K89" s="492" t="s">
        <v>1281</v>
      </c>
      <c r="L89" s="492" t="s">
        <v>2783</v>
      </c>
      <c r="M89" s="493" t="s">
        <v>1230</v>
      </c>
      <c r="N89" s="493" t="s">
        <v>1232</v>
      </c>
      <c r="O89" s="492" t="s">
        <v>1232</v>
      </c>
      <c r="P89" s="492" t="s">
        <v>469</v>
      </c>
      <c r="Q89" s="494">
        <v>43532</v>
      </c>
      <c r="R89" s="494">
        <v>44993</v>
      </c>
      <c r="S89" s="495">
        <v>1.5</v>
      </c>
      <c r="T89" s="495"/>
      <c r="U89" s="496">
        <v>67000000</v>
      </c>
      <c r="V89" s="496">
        <v>67000000</v>
      </c>
      <c r="W89" s="496">
        <v>67000000</v>
      </c>
      <c r="X89" s="496">
        <f t="shared" si="5"/>
        <v>0</v>
      </c>
      <c r="Y89" s="496">
        <f t="shared" si="6"/>
        <v>0</v>
      </c>
      <c r="Z89" s="496">
        <v>23987043.73</v>
      </c>
      <c r="AA89" s="496">
        <v>24549888.100000001</v>
      </c>
      <c r="AB89" s="496">
        <v>25435371.620000001</v>
      </c>
      <c r="AC89" s="496">
        <f t="shared" si="7"/>
        <v>1448327.8900000006</v>
      </c>
      <c r="AD89" s="496">
        <f t="shared" si="8"/>
        <v>885483.51999999955</v>
      </c>
      <c r="AE89" s="496">
        <v>0</v>
      </c>
      <c r="AF89" s="496">
        <v>41564628.380000003</v>
      </c>
      <c r="AG89" s="497" t="s">
        <v>1888</v>
      </c>
      <c r="AH89" s="497" t="s">
        <v>1888</v>
      </c>
      <c r="AI89" s="497" t="s">
        <v>1342</v>
      </c>
      <c r="AJ89" s="497" t="s">
        <v>1234</v>
      </c>
      <c r="AK89" s="497" t="s">
        <v>1235</v>
      </c>
      <c r="AL89" s="491"/>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row>
    <row r="90" spans="1:80" ht="18" customHeight="1" x14ac:dyDescent="0.25">
      <c r="A90" s="492">
        <f t="shared" si="9"/>
        <v>88</v>
      </c>
      <c r="B90" s="492" t="s">
        <v>3097</v>
      </c>
      <c r="C90" s="492">
        <v>3100000125</v>
      </c>
      <c r="D90" s="492" t="s">
        <v>4702</v>
      </c>
      <c r="E90" s="492" t="s">
        <v>1371</v>
      </c>
      <c r="F90" s="492" t="s">
        <v>3096</v>
      </c>
      <c r="G90" s="492" t="s">
        <v>3094</v>
      </c>
      <c r="H90" s="492" t="s">
        <v>3096</v>
      </c>
      <c r="I90" s="492" t="s">
        <v>3094</v>
      </c>
      <c r="J90" s="492" t="s">
        <v>3095</v>
      </c>
      <c r="K90" s="492" t="s">
        <v>1756</v>
      </c>
      <c r="L90" s="492" t="s">
        <v>2783</v>
      </c>
      <c r="M90" s="493" t="s">
        <v>1230</v>
      </c>
      <c r="N90" s="493" t="s">
        <v>1232</v>
      </c>
      <c r="O90" s="492" t="s">
        <v>1232</v>
      </c>
      <c r="P90" s="492" t="s">
        <v>469</v>
      </c>
      <c r="Q90" s="494">
        <v>43543</v>
      </c>
      <c r="R90" s="494">
        <v>44834</v>
      </c>
      <c r="S90" s="495">
        <v>1</v>
      </c>
      <c r="T90" s="495"/>
      <c r="U90" s="496">
        <v>40000000</v>
      </c>
      <c r="V90" s="496">
        <v>40000000</v>
      </c>
      <c r="W90" s="496">
        <v>40000000</v>
      </c>
      <c r="X90" s="496">
        <f t="shared" si="5"/>
        <v>0</v>
      </c>
      <c r="Y90" s="496">
        <f t="shared" si="6"/>
        <v>0</v>
      </c>
      <c r="Z90" s="496">
        <v>38773217.799999997</v>
      </c>
      <c r="AA90" s="496">
        <v>38773217.799999997</v>
      </c>
      <c r="AB90" s="496">
        <v>38773217.799999997</v>
      </c>
      <c r="AC90" s="496">
        <f t="shared" si="7"/>
        <v>0</v>
      </c>
      <c r="AD90" s="496">
        <f t="shared" si="8"/>
        <v>0</v>
      </c>
      <c r="AE90" s="496">
        <v>1226782.2</v>
      </c>
      <c r="AF90" s="496">
        <v>0</v>
      </c>
      <c r="AG90" s="497" t="s">
        <v>1233</v>
      </c>
      <c r="AH90" s="497" t="s">
        <v>1247</v>
      </c>
      <c r="AI90" s="497" t="s">
        <v>1248</v>
      </c>
      <c r="AJ90" s="497" t="s">
        <v>1234</v>
      </c>
      <c r="AK90" s="497" t="s">
        <v>1278</v>
      </c>
      <c r="AL90" s="491"/>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c r="BV90"/>
      <c r="BW90"/>
      <c r="BX90"/>
      <c r="BY90"/>
      <c r="BZ90"/>
      <c r="CA90"/>
      <c r="CB90"/>
    </row>
    <row r="91" spans="1:80" ht="18" customHeight="1" x14ac:dyDescent="0.25">
      <c r="A91" s="485">
        <f t="shared" si="9"/>
        <v>89</v>
      </c>
      <c r="B91" s="485" t="s">
        <v>3101</v>
      </c>
      <c r="C91" s="485">
        <v>3100000118</v>
      </c>
      <c r="D91" s="485" t="s">
        <v>4703</v>
      </c>
      <c r="E91" s="485" t="s">
        <v>1372</v>
      </c>
      <c r="F91" s="485" t="s">
        <v>3100</v>
      </c>
      <c r="G91" s="485" t="s">
        <v>3098</v>
      </c>
      <c r="H91" s="485" t="s">
        <v>2541</v>
      </c>
      <c r="I91" s="485" t="s">
        <v>2805</v>
      </c>
      <c r="J91" s="485" t="s">
        <v>3099</v>
      </c>
      <c r="K91" s="485" t="s">
        <v>1756</v>
      </c>
      <c r="L91" s="485" t="s">
        <v>2783</v>
      </c>
      <c r="M91" s="486" t="s">
        <v>1230</v>
      </c>
      <c r="N91" s="486" t="s">
        <v>1231</v>
      </c>
      <c r="O91" s="485" t="s">
        <v>1232</v>
      </c>
      <c r="P91" s="485" t="s">
        <v>469</v>
      </c>
      <c r="Q91" s="487">
        <v>43544</v>
      </c>
      <c r="R91" s="487">
        <v>44733</v>
      </c>
      <c r="S91" s="488">
        <v>1</v>
      </c>
      <c r="T91" s="488"/>
      <c r="U91" s="489">
        <v>9950000</v>
      </c>
      <c r="V91" s="489">
        <v>9950000</v>
      </c>
      <c r="W91" s="489">
        <v>9950000</v>
      </c>
      <c r="X91" s="489">
        <f t="shared" si="5"/>
        <v>0</v>
      </c>
      <c r="Y91" s="489">
        <f t="shared" si="6"/>
        <v>0</v>
      </c>
      <c r="Z91" s="489">
        <v>9950000</v>
      </c>
      <c r="AA91" s="489">
        <v>9950000</v>
      </c>
      <c r="AB91" s="489">
        <v>9950000</v>
      </c>
      <c r="AC91" s="489">
        <f t="shared" si="7"/>
        <v>0</v>
      </c>
      <c r="AD91" s="489">
        <f t="shared" si="8"/>
        <v>0</v>
      </c>
      <c r="AE91" s="489">
        <v>0</v>
      </c>
      <c r="AF91" s="489">
        <v>0</v>
      </c>
      <c r="AG91" s="490" t="s">
        <v>1233</v>
      </c>
      <c r="AH91" s="490" t="s">
        <v>1242</v>
      </c>
      <c r="AI91" s="490" t="s">
        <v>1268</v>
      </c>
      <c r="AJ91" s="490" t="s">
        <v>1234</v>
      </c>
      <c r="AK91" s="490" t="s">
        <v>1240</v>
      </c>
      <c r="AL91" s="4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row>
    <row r="92" spans="1:80" ht="18" customHeight="1" x14ac:dyDescent="0.25">
      <c r="A92" s="485">
        <f t="shared" si="9"/>
        <v>90</v>
      </c>
      <c r="B92" s="485" t="s">
        <v>3106</v>
      </c>
      <c r="C92" s="485">
        <v>5100000143</v>
      </c>
      <c r="D92" s="485" t="s">
        <v>4704</v>
      </c>
      <c r="E92" s="485" t="s">
        <v>1373</v>
      </c>
      <c r="F92" s="485" t="s">
        <v>3105</v>
      </c>
      <c r="G92" s="485" t="s">
        <v>3102</v>
      </c>
      <c r="H92" s="485" t="s">
        <v>2578</v>
      </c>
      <c r="I92" s="485" t="s">
        <v>3103</v>
      </c>
      <c r="J92" s="485" t="s">
        <v>3104</v>
      </c>
      <c r="K92" s="485" t="s">
        <v>1281</v>
      </c>
      <c r="L92" s="485" t="s">
        <v>2783</v>
      </c>
      <c r="M92" s="486" t="s">
        <v>1230</v>
      </c>
      <c r="N92" s="486" t="s">
        <v>1231</v>
      </c>
      <c r="O92" s="485" t="s">
        <v>1232</v>
      </c>
      <c r="P92" s="485" t="s">
        <v>469</v>
      </c>
      <c r="Q92" s="487">
        <v>43553</v>
      </c>
      <c r="R92" s="487">
        <v>45408</v>
      </c>
      <c r="S92" s="488">
        <v>1</v>
      </c>
      <c r="T92" s="488"/>
      <c r="U92" s="489">
        <v>8006500</v>
      </c>
      <c r="V92" s="489">
        <v>8006500</v>
      </c>
      <c r="W92" s="489">
        <v>8006500</v>
      </c>
      <c r="X92" s="489">
        <f t="shared" si="5"/>
        <v>0</v>
      </c>
      <c r="Y92" s="489">
        <f t="shared" si="6"/>
        <v>0</v>
      </c>
      <c r="Z92" s="489">
        <v>4688061</v>
      </c>
      <c r="AA92" s="489">
        <v>4688061</v>
      </c>
      <c r="AB92" s="489">
        <v>4688061</v>
      </c>
      <c r="AC92" s="489">
        <f t="shared" si="7"/>
        <v>0</v>
      </c>
      <c r="AD92" s="489">
        <f t="shared" si="8"/>
        <v>0</v>
      </c>
      <c r="AE92" s="489">
        <v>0</v>
      </c>
      <c r="AF92" s="489">
        <v>3318439</v>
      </c>
      <c r="AG92" s="490" t="s">
        <v>1288</v>
      </c>
      <c r="AH92" s="490" t="s">
        <v>1291</v>
      </c>
      <c r="AI92" s="490"/>
      <c r="AJ92" s="490" t="s">
        <v>1234</v>
      </c>
      <c r="AK92" s="490" t="s">
        <v>1240</v>
      </c>
      <c r="AL92" s="491"/>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row>
    <row r="93" spans="1:80" ht="18" customHeight="1" x14ac:dyDescent="0.25">
      <c r="A93" s="485">
        <f t="shared" si="9"/>
        <v>91</v>
      </c>
      <c r="B93" s="485" t="s">
        <v>3111</v>
      </c>
      <c r="C93" s="485">
        <v>4100000165</v>
      </c>
      <c r="D93" s="485" t="s">
        <v>4705</v>
      </c>
      <c r="E93" s="485" t="s">
        <v>1374</v>
      </c>
      <c r="F93" s="485" t="s">
        <v>3110</v>
      </c>
      <c r="G93" s="485" t="s">
        <v>3107</v>
      </c>
      <c r="H93" s="485" t="s">
        <v>2579</v>
      </c>
      <c r="I93" s="485" t="s">
        <v>3108</v>
      </c>
      <c r="J93" s="485" t="s">
        <v>3109</v>
      </c>
      <c r="K93" s="485" t="s">
        <v>1756</v>
      </c>
      <c r="L93" s="485" t="s">
        <v>2783</v>
      </c>
      <c r="M93" s="486" t="s">
        <v>1230</v>
      </c>
      <c r="N93" s="486" t="s">
        <v>1231</v>
      </c>
      <c r="O93" s="485" t="s">
        <v>1232</v>
      </c>
      <c r="P93" s="485" t="s">
        <v>469</v>
      </c>
      <c r="Q93" s="487">
        <v>43553</v>
      </c>
      <c r="R93" s="487">
        <v>45384</v>
      </c>
      <c r="S93" s="488">
        <v>0.35</v>
      </c>
      <c r="T93" s="488"/>
      <c r="U93" s="489">
        <v>1243455.78</v>
      </c>
      <c r="V93" s="489">
        <v>1243455.78</v>
      </c>
      <c r="W93" s="489">
        <v>1243455.78</v>
      </c>
      <c r="X93" s="489">
        <f t="shared" si="5"/>
        <v>0</v>
      </c>
      <c r="Y93" s="489">
        <f t="shared" si="6"/>
        <v>0</v>
      </c>
      <c r="Z93" s="489">
        <v>1243455.78</v>
      </c>
      <c r="AA93" s="489">
        <v>1243455.78</v>
      </c>
      <c r="AB93" s="489">
        <v>1243455.78</v>
      </c>
      <c r="AC93" s="489">
        <f t="shared" si="7"/>
        <v>0</v>
      </c>
      <c r="AD93" s="489">
        <f t="shared" si="8"/>
        <v>0</v>
      </c>
      <c r="AE93" s="489">
        <v>0</v>
      </c>
      <c r="AF93" s="489">
        <v>0</v>
      </c>
      <c r="AG93" s="490" t="s">
        <v>1250</v>
      </c>
      <c r="AH93" s="490" t="s">
        <v>1252</v>
      </c>
      <c r="AI93" s="490" t="s">
        <v>1248</v>
      </c>
      <c r="AJ93" s="490" t="s">
        <v>1234</v>
      </c>
      <c r="AK93" s="490" t="s">
        <v>1251</v>
      </c>
      <c r="AL93" s="491"/>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c r="BV93"/>
      <c r="BW93"/>
      <c r="BX93"/>
      <c r="BY93"/>
      <c r="BZ93"/>
      <c r="CA93"/>
      <c r="CB93"/>
    </row>
    <row r="94" spans="1:80" ht="18" customHeight="1" x14ac:dyDescent="0.25">
      <c r="A94" s="485">
        <f t="shared" si="9"/>
        <v>92</v>
      </c>
      <c r="B94" s="485" t="s">
        <v>3115</v>
      </c>
      <c r="C94" s="485">
        <v>1100000186</v>
      </c>
      <c r="D94" s="485" t="s">
        <v>4706</v>
      </c>
      <c r="E94" s="485" t="s">
        <v>319</v>
      </c>
      <c r="F94" s="485" t="s">
        <v>3114</v>
      </c>
      <c r="G94" s="485" t="s">
        <v>1099</v>
      </c>
      <c r="H94" s="485" t="s">
        <v>2582</v>
      </c>
      <c r="I94" s="485" t="s">
        <v>3112</v>
      </c>
      <c r="J94" s="485" t="s">
        <v>3113</v>
      </c>
      <c r="K94" s="485" t="s">
        <v>1756</v>
      </c>
      <c r="L94" s="485" t="s">
        <v>2783</v>
      </c>
      <c r="M94" s="486" t="s">
        <v>1230</v>
      </c>
      <c r="N94" s="486" t="s">
        <v>1231</v>
      </c>
      <c r="O94" s="485" t="s">
        <v>1232</v>
      </c>
      <c r="P94" s="485" t="s">
        <v>1156</v>
      </c>
      <c r="Q94" s="487">
        <v>43563</v>
      </c>
      <c r="R94" s="487">
        <v>45390</v>
      </c>
      <c r="S94" s="488">
        <v>1</v>
      </c>
      <c r="T94" s="488"/>
      <c r="U94" s="489">
        <v>180000</v>
      </c>
      <c r="V94" s="489">
        <v>172500</v>
      </c>
      <c r="W94" s="489">
        <v>172500</v>
      </c>
      <c r="X94" s="489">
        <f t="shared" si="5"/>
        <v>-7500</v>
      </c>
      <c r="Y94" s="489">
        <f t="shared" si="6"/>
        <v>0</v>
      </c>
      <c r="Z94" s="489">
        <v>180000</v>
      </c>
      <c r="AA94" s="489">
        <v>172500</v>
      </c>
      <c r="AB94" s="489">
        <v>172500</v>
      </c>
      <c r="AC94" s="489">
        <f t="shared" si="7"/>
        <v>-7500</v>
      </c>
      <c r="AD94" s="489">
        <f t="shared" si="8"/>
        <v>0</v>
      </c>
      <c r="AE94" s="489">
        <v>0</v>
      </c>
      <c r="AF94" s="489">
        <v>0</v>
      </c>
      <c r="AG94" s="490" t="s">
        <v>1237</v>
      </c>
      <c r="AH94" s="490" t="s">
        <v>1305</v>
      </c>
      <c r="AI94" s="490"/>
      <c r="AJ94" s="490" t="s">
        <v>1376</v>
      </c>
      <c r="AK94" s="490" t="s">
        <v>1260</v>
      </c>
      <c r="AL94" s="491"/>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row>
    <row r="95" spans="1:80" ht="18" customHeight="1" x14ac:dyDescent="0.25">
      <c r="A95" s="485">
        <f t="shared" si="9"/>
        <v>93</v>
      </c>
      <c r="B95" s="485" t="s">
        <v>3116</v>
      </c>
      <c r="C95" s="485">
        <v>1100000187</v>
      </c>
      <c r="D95" s="485" t="s">
        <v>4707</v>
      </c>
      <c r="E95" s="485" t="s">
        <v>319</v>
      </c>
      <c r="F95" s="485" t="s">
        <v>3114</v>
      </c>
      <c r="G95" s="485" t="s">
        <v>1099</v>
      </c>
      <c r="H95" s="485" t="s">
        <v>2582</v>
      </c>
      <c r="I95" s="485" t="s">
        <v>3112</v>
      </c>
      <c r="J95" s="485" t="s">
        <v>3113</v>
      </c>
      <c r="K95" s="485" t="s">
        <v>1281</v>
      </c>
      <c r="L95" s="485" t="s">
        <v>2783</v>
      </c>
      <c r="M95" s="486" t="s">
        <v>1230</v>
      </c>
      <c r="N95" s="486" t="s">
        <v>1231</v>
      </c>
      <c r="O95" s="485" t="s">
        <v>1231</v>
      </c>
      <c r="P95" s="485" t="s">
        <v>1156</v>
      </c>
      <c r="Q95" s="487">
        <v>43563</v>
      </c>
      <c r="R95" s="487">
        <v>45390</v>
      </c>
      <c r="S95" s="488">
        <v>1</v>
      </c>
      <c r="T95" s="488"/>
      <c r="U95" s="489">
        <v>100000</v>
      </c>
      <c r="V95" s="489">
        <v>100000</v>
      </c>
      <c r="W95" s="489">
        <v>100000</v>
      </c>
      <c r="X95" s="489">
        <f t="shared" si="5"/>
        <v>0</v>
      </c>
      <c r="Y95" s="489">
        <f t="shared" si="6"/>
        <v>0</v>
      </c>
      <c r="Z95" s="489">
        <v>0</v>
      </c>
      <c r="AA95" s="489">
        <v>0</v>
      </c>
      <c r="AB95" s="489">
        <v>0</v>
      </c>
      <c r="AC95" s="489">
        <f t="shared" si="7"/>
        <v>0</v>
      </c>
      <c r="AD95" s="489">
        <f t="shared" si="8"/>
        <v>0</v>
      </c>
      <c r="AE95" s="489">
        <v>0</v>
      </c>
      <c r="AF95" s="489">
        <v>100000</v>
      </c>
      <c r="AG95" s="490" t="s">
        <v>1237</v>
      </c>
      <c r="AH95" s="490" t="s">
        <v>1305</v>
      </c>
      <c r="AI95" s="490"/>
      <c r="AJ95" s="490" t="s">
        <v>1376</v>
      </c>
      <c r="AK95" s="490" t="s">
        <v>1260</v>
      </c>
      <c r="AL95" s="491"/>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row>
    <row r="96" spans="1:80" ht="18" customHeight="1" x14ac:dyDescent="0.25">
      <c r="A96" s="504">
        <f t="shared" si="9"/>
        <v>94</v>
      </c>
      <c r="B96" s="504" t="s">
        <v>3121</v>
      </c>
      <c r="C96" s="504">
        <v>4100000112</v>
      </c>
      <c r="D96" s="504" t="s">
        <v>4708</v>
      </c>
      <c r="E96" s="504" t="s">
        <v>1375</v>
      </c>
      <c r="F96" s="504" t="s">
        <v>3120</v>
      </c>
      <c r="G96" s="504" t="s">
        <v>3117</v>
      </c>
      <c r="H96" s="504" t="s">
        <v>2580</v>
      </c>
      <c r="I96" s="504" t="s">
        <v>3118</v>
      </c>
      <c r="J96" s="504" t="s">
        <v>3119</v>
      </c>
      <c r="K96" s="504" t="s">
        <v>1756</v>
      </c>
      <c r="L96" s="504" t="s">
        <v>2783</v>
      </c>
      <c r="M96" s="505" t="s">
        <v>1230</v>
      </c>
      <c r="N96" s="505" t="s">
        <v>1232</v>
      </c>
      <c r="O96" s="504" t="s">
        <v>1232</v>
      </c>
      <c r="P96" s="504" t="s">
        <v>469</v>
      </c>
      <c r="Q96" s="506">
        <v>43565</v>
      </c>
      <c r="R96" s="494">
        <v>45392</v>
      </c>
      <c r="S96" s="507">
        <v>0.35</v>
      </c>
      <c r="T96" s="507"/>
      <c r="U96" s="508">
        <v>392152.6</v>
      </c>
      <c r="V96" s="508">
        <v>392152.6</v>
      </c>
      <c r="W96" s="508">
        <v>392152.6</v>
      </c>
      <c r="X96" s="508">
        <f t="shared" si="5"/>
        <v>0</v>
      </c>
      <c r="Y96" s="508">
        <f t="shared" si="6"/>
        <v>0</v>
      </c>
      <c r="Z96" s="508">
        <v>392152.6</v>
      </c>
      <c r="AA96" s="508">
        <v>392152.6</v>
      </c>
      <c r="AB96" s="508">
        <v>392152.6</v>
      </c>
      <c r="AC96" s="508">
        <f t="shared" si="7"/>
        <v>0</v>
      </c>
      <c r="AD96" s="508">
        <f t="shared" si="8"/>
        <v>0</v>
      </c>
      <c r="AE96" s="508">
        <v>0</v>
      </c>
      <c r="AF96" s="508">
        <v>0</v>
      </c>
      <c r="AG96" s="509" t="s">
        <v>1250</v>
      </c>
      <c r="AH96" s="509" t="s">
        <v>1252</v>
      </c>
      <c r="AI96" s="509" t="s">
        <v>1248</v>
      </c>
      <c r="AJ96" s="509" t="s">
        <v>1234</v>
      </c>
      <c r="AK96" s="509" t="s">
        <v>1251</v>
      </c>
      <c r="AL96" s="491"/>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row>
    <row r="97" spans="1:80" ht="18" customHeight="1" x14ac:dyDescent="0.25">
      <c r="A97" s="504">
        <f t="shared" si="9"/>
        <v>95</v>
      </c>
      <c r="B97" s="504" t="s">
        <v>3124</v>
      </c>
      <c r="C97" s="504">
        <v>3100000113</v>
      </c>
      <c r="D97" s="504" t="s">
        <v>4709</v>
      </c>
      <c r="E97" s="504" t="s">
        <v>1378</v>
      </c>
      <c r="F97" s="504" t="s">
        <v>1377</v>
      </c>
      <c r="G97" s="504" t="s">
        <v>3122</v>
      </c>
      <c r="H97" s="504" t="s">
        <v>1377</v>
      </c>
      <c r="I97" s="504" t="s">
        <v>3122</v>
      </c>
      <c r="J97" s="504" t="s">
        <v>3123</v>
      </c>
      <c r="K97" s="504" t="s">
        <v>1756</v>
      </c>
      <c r="L97" s="504" t="s">
        <v>2783</v>
      </c>
      <c r="M97" s="505" t="s">
        <v>1230</v>
      </c>
      <c r="N97" s="505" t="s">
        <v>1232</v>
      </c>
      <c r="O97" s="504" t="s">
        <v>1232</v>
      </c>
      <c r="P97" s="504" t="s">
        <v>469</v>
      </c>
      <c r="Q97" s="506">
        <v>43585</v>
      </c>
      <c r="R97" s="494">
        <v>44834</v>
      </c>
      <c r="S97" s="507">
        <v>1</v>
      </c>
      <c r="T97" s="507"/>
      <c r="U97" s="508">
        <v>90518638</v>
      </c>
      <c r="V97" s="508">
        <v>90518638</v>
      </c>
      <c r="W97" s="508">
        <v>90518638</v>
      </c>
      <c r="X97" s="508">
        <f t="shared" si="5"/>
        <v>0</v>
      </c>
      <c r="Y97" s="508">
        <f t="shared" si="6"/>
        <v>0</v>
      </c>
      <c r="Z97" s="508">
        <v>90518638</v>
      </c>
      <c r="AA97" s="508">
        <v>90518638</v>
      </c>
      <c r="AB97" s="508">
        <v>90518638</v>
      </c>
      <c r="AC97" s="508">
        <f t="shared" si="7"/>
        <v>0</v>
      </c>
      <c r="AD97" s="508">
        <f t="shared" si="8"/>
        <v>0</v>
      </c>
      <c r="AE97" s="508">
        <v>0</v>
      </c>
      <c r="AF97" s="508">
        <v>0</v>
      </c>
      <c r="AG97" s="509" t="s">
        <v>1233</v>
      </c>
      <c r="AH97" s="509" t="s">
        <v>1247</v>
      </c>
      <c r="AI97" s="509" t="s">
        <v>1248</v>
      </c>
      <c r="AJ97" s="509" t="s">
        <v>1234</v>
      </c>
      <c r="AK97" s="509" t="s">
        <v>1278</v>
      </c>
      <c r="AL97" s="491"/>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row>
    <row r="98" spans="1:80" ht="18" customHeight="1" x14ac:dyDescent="0.25">
      <c r="A98" s="485">
        <f t="shared" si="9"/>
        <v>96</v>
      </c>
      <c r="B98" s="485" t="s">
        <v>3133</v>
      </c>
      <c r="C98" s="485">
        <v>2100000246</v>
      </c>
      <c r="D98" s="485" t="s">
        <v>4710</v>
      </c>
      <c r="E98" s="485" t="s">
        <v>3128</v>
      </c>
      <c r="F98" s="485" t="s">
        <v>3132</v>
      </c>
      <c r="G98" s="485" t="s">
        <v>3131</v>
      </c>
      <c r="H98" s="485" t="s">
        <v>2583</v>
      </c>
      <c r="I98" s="485" t="s">
        <v>3126</v>
      </c>
      <c r="J98" s="485" t="s">
        <v>3127</v>
      </c>
      <c r="K98" s="485" t="s">
        <v>1756</v>
      </c>
      <c r="L98" s="485" t="s">
        <v>2783</v>
      </c>
      <c r="M98" s="486" t="s">
        <v>1230</v>
      </c>
      <c r="N98" s="486" t="s">
        <v>1231</v>
      </c>
      <c r="O98" s="485" t="s">
        <v>1231</v>
      </c>
      <c r="P98" s="485" t="s">
        <v>469</v>
      </c>
      <c r="Q98" s="487">
        <v>43616</v>
      </c>
      <c r="R98" s="487">
        <v>45260</v>
      </c>
      <c r="S98" s="488">
        <v>1.5</v>
      </c>
      <c r="T98" s="488"/>
      <c r="U98" s="489">
        <v>1237515</v>
      </c>
      <c r="V98" s="489">
        <v>399255.74</v>
      </c>
      <c r="W98" s="489">
        <v>38003.33</v>
      </c>
      <c r="X98" s="489">
        <f t="shared" si="5"/>
        <v>-1199511.67</v>
      </c>
      <c r="Y98" s="489">
        <f t="shared" si="6"/>
        <v>-361252.41</v>
      </c>
      <c r="Z98" s="489">
        <v>1199511.67</v>
      </c>
      <c r="AA98" s="489">
        <v>361252.41</v>
      </c>
      <c r="AB98" s="489">
        <v>3086.07</v>
      </c>
      <c r="AC98" s="489">
        <f t="shared" si="7"/>
        <v>-1196425.5999999999</v>
      </c>
      <c r="AD98" s="489">
        <f t="shared" si="8"/>
        <v>-358166.33999999997</v>
      </c>
      <c r="AE98" s="489">
        <v>0</v>
      </c>
      <c r="AF98" s="489">
        <v>34917.26</v>
      </c>
      <c r="AG98" s="490" t="s">
        <v>1245</v>
      </c>
      <c r="AH98" s="490" t="s">
        <v>1379</v>
      </c>
      <c r="AI98" s="490"/>
      <c r="AJ98" s="490" t="s">
        <v>1246</v>
      </c>
      <c r="AK98" s="490" t="s">
        <v>1235</v>
      </c>
      <c r="AL98" s="491"/>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row>
    <row r="99" spans="1:80" ht="18" customHeight="1" x14ac:dyDescent="0.25">
      <c r="A99" s="485">
        <f t="shared" si="9"/>
        <v>97</v>
      </c>
      <c r="B99" s="485" t="s">
        <v>3136</v>
      </c>
      <c r="C99" s="485">
        <v>2100000247</v>
      </c>
      <c r="D99" s="485" t="s">
        <v>4711</v>
      </c>
      <c r="E99" s="485" t="s">
        <v>3128</v>
      </c>
      <c r="F99" s="485" t="s">
        <v>3135</v>
      </c>
      <c r="G99" s="485" t="s">
        <v>3134</v>
      </c>
      <c r="H99" s="485" t="s">
        <v>2583</v>
      </c>
      <c r="I99" s="485" t="s">
        <v>3126</v>
      </c>
      <c r="J99" s="485" t="s">
        <v>3127</v>
      </c>
      <c r="K99" s="485" t="s">
        <v>1756</v>
      </c>
      <c r="L99" s="485" t="s">
        <v>2783</v>
      </c>
      <c r="M99" s="486" t="s">
        <v>1230</v>
      </c>
      <c r="N99" s="486" t="s">
        <v>1231</v>
      </c>
      <c r="O99" s="485" t="s">
        <v>1231</v>
      </c>
      <c r="P99" s="485" t="s">
        <v>469</v>
      </c>
      <c r="Q99" s="487">
        <v>43616</v>
      </c>
      <c r="R99" s="487">
        <v>45260</v>
      </c>
      <c r="S99" s="488">
        <v>1.5</v>
      </c>
      <c r="T99" s="488"/>
      <c r="U99" s="489">
        <v>17213554.129999999</v>
      </c>
      <c r="V99" s="489">
        <v>16569878.98</v>
      </c>
      <c r="W99" s="489">
        <v>15739643.310000001</v>
      </c>
      <c r="X99" s="489">
        <f t="shared" si="5"/>
        <v>-1473910.8199999984</v>
      </c>
      <c r="Y99" s="489">
        <f t="shared" si="6"/>
        <v>-830235.66999999993</v>
      </c>
      <c r="Z99" s="489">
        <v>16928500.350000001</v>
      </c>
      <c r="AA99" s="489">
        <v>16284825.199999999</v>
      </c>
      <c r="AB99" s="489">
        <v>15739643.310000001</v>
      </c>
      <c r="AC99" s="489">
        <f t="shared" si="7"/>
        <v>-1188857.040000001</v>
      </c>
      <c r="AD99" s="489">
        <f t="shared" si="8"/>
        <v>-545181.88999999873</v>
      </c>
      <c r="AE99" s="489">
        <v>0</v>
      </c>
      <c r="AF99" s="489">
        <v>0</v>
      </c>
      <c r="AG99" s="490" t="s">
        <v>1245</v>
      </c>
      <c r="AH99" s="490" t="s">
        <v>1379</v>
      </c>
      <c r="AI99" s="490"/>
      <c r="AJ99" s="490" t="s">
        <v>1246</v>
      </c>
      <c r="AK99" s="490" t="s">
        <v>1235</v>
      </c>
      <c r="AL99" s="491"/>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row>
    <row r="100" spans="1:80" ht="18" customHeight="1" x14ac:dyDescent="0.25">
      <c r="A100" s="485">
        <f t="shared" si="9"/>
        <v>98</v>
      </c>
      <c r="B100" s="485" t="s">
        <v>3139</v>
      </c>
      <c r="C100" s="485">
        <v>2100000248</v>
      </c>
      <c r="D100" s="485" t="s">
        <v>4712</v>
      </c>
      <c r="E100" s="485" t="s">
        <v>3128</v>
      </c>
      <c r="F100" s="485" t="s">
        <v>3138</v>
      </c>
      <c r="G100" s="485" t="s">
        <v>3137</v>
      </c>
      <c r="H100" s="485" t="s">
        <v>2583</v>
      </c>
      <c r="I100" s="485" t="s">
        <v>3126</v>
      </c>
      <c r="J100" s="485" t="s">
        <v>3127</v>
      </c>
      <c r="K100" s="485" t="s">
        <v>1756</v>
      </c>
      <c r="L100" s="485" t="s">
        <v>2783</v>
      </c>
      <c r="M100" s="486" t="s">
        <v>1230</v>
      </c>
      <c r="N100" s="486" t="s">
        <v>1231</v>
      </c>
      <c r="O100" s="485" t="s">
        <v>1231</v>
      </c>
      <c r="P100" s="485" t="s">
        <v>469</v>
      </c>
      <c r="Q100" s="487">
        <v>43616</v>
      </c>
      <c r="R100" s="487">
        <v>45260</v>
      </c>
      <c r="S100" s="488">
        <v>1.5</v>
      </c>
      <c r="T100" s="488"/>
      <c r="U100" s="489">
        <v>18629667.859999999</v>
      </c>
      <c r="V100" s="489">
        <v>18405188.73</v>
      </c>
      <c r="W100" s="489">
        <v>17576337.57</v>
      </c>
      <c r="X100" s="489">
        <f t="shared" si="5"/>
        <v>-1053330.2899999991</v>
      </c>
      <c r="Y100" s="489">
        <f t="shared" si="6"/>
        <v>-828851.16000000015</v>
      </c>
      <c r="Z100" s="489">
        <v>15048232.859999999</v>
      </c>
      <c r="AA100" s="489">
        <v>14823753.73</v>
      </c>
      <c r="AB100" s="489">
        <v>13994902.57</v>
      </c>
      <c r="AC100" s="489">
        <f t="shared" si="7"/>
        <v>-1053330.2899999991</v>
      </c>
      <c r="AD100" s="489">
        <f t="shared" si="8"/>
        <v>-828851.16000000015</v>
      </c>
      <c r="AE100" s="489">
        <v>0</v>
      </c>
      <c r="AF100" s="489">
        <v>3581435</v>
      </c>
      <c r="AG100" s="490" t="s">
        <v>1245</v>
      </c>
      <c r="AH100" s="490" t="s">
        <v>1379</v>
      </c>
      <c r="AI100" s="490"/>
      <c r="AJ100" s="490" t="s">
        <v>1246</v>
      </c>
      <c r="AK100" s="490" t="s">
        <v>1235</v>
      </c>
      <c r="AL100" s="491"/>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row>
    <row r="101" spans="1:80" ht="18" customHeight="1" x14ac:dyDescent="0.25">
      <c r="A101" s="485">
        <f t="shared" si="9"/>
        <v>99</v>
      </c>
      <c r="B101" s="485" t="s">
        <v>3143</v>
      </c>
      <c r="C101" s="485">
        <v>7100000102</v>
      </c>
      <c r="D101" s="485" t="s">
        <v>4713</v>
      </c>
      <c r="E101" s="485" t="s">
        <v>1381</v>
      </c>
      <c r="F101" s="485" t="s">
        <v>1380</v>
      </c>
      <c r="G101" s="485" t="s">
        <v>3140</v>
      </c>
      <c r="H101" s="485" t="s">
        <v>2584</v>
      </c>
      <c r="I101" s="485" t="s">
        <v>3141</v>
      </c>
      <c r="J101" s="485" t="s">
        <v>3142</v>
      </c>
      <c r="K101" s="485" t="s">
        <v>1756</v>
      </c>
      <c r="L101" s="485" t="s">
        <v>2783</v>
      </c>
      <c r="M101" s="486" t="s">
        <v>1230</v>
      </c>
      <c r="N101" s="486" t="s">
        <v>1231</v>
      </c>
      <c r="O101" s="485" t="s">
        <v>1231</v>
      </c>
      <c r="P101" s="485" t="s">
        <v>469</v>
      </c>
      <c r="Q101" s="487">
        <v>43616</v>
      </c>
      <c r="R101" s="487">
        <v>44834</v>
      </c>
      <c r="S101" s="488">
        <v>1</v>
      </c>
      <c r="T101" s="488"/>
      <c r="U101" s="489">
        <v>23864112</v>
      </c>
      <c r="V101" s="489">
        <v>23864112</v>
      </c>
      <c r="W101" s="489">
        <v>23864112</v>
      </c>
      <c r="X101" s="489">
        <f t="shared" si="5"/>
        <v>0</v>
      </c>
      <c r="Y101" s="489">
        <f t="shared" si="6"/>
        <v>0</v>
      </c>
      <c r="Z101" s="489">
        <v>17340131.199999999</v>
      </c>
      <c r="AA101" s="489">
        <v>17854076.239999998</v>
      </c>
      <c r="AB101" s="489">
        <v>17854076.239999998</v>
      </c>
      <c r="AC101" s="489">
        <f t="shared" si="7"/>
        <v>513945.03999999911</v>
      </c>
      <c r="AD101" s="489">
        <f t="shared" si="8"/>
        <v>0</v>
      </c>
      <c r="AE101" s="489">
        <v>0</v>
      </c>
      <c r="AF101" s="489">
        <v>6010035.7599999998</v>
      </c>
      <c r="AG101" s="490" t="s">
        <v>1258</v>
      </c>
      <c r="AH101" s="490" t="s">
        <v>1236</v>
      </c>
      <c r="AI101" s="490"/>
      <c r="AJ101" s="490" t="s">
        <v>1259</v>
      </c>
      <c r="AK101" s="490" t="s">
        <v>1240</v>
      </c>
      <c r="AL101" s="49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row>
    <row r="102" spans="1:80" ht="18" customHeight="1" x14ac:dyDescent="0.25">
      <c r="A102" s="492">
        <f t="shared" si="9"/>
        <v>100</v>
      </c>
      <c r="B102" s="492" t="s">
        <v>3146</v>
      </c>
      <c r="C102" s="492">
        <v>1100000164</v>
      </c>
      <c r="D102" s="492" t="s">
        <v>4714</v>
      </c>
      <c r="E102" s="492" t="s">
        <v>1043</v>
      </c>
      <c r="F102" s="492" t="s">
        <v>3145</v>
      </c>
      <c r="G102" s="492" t="s">
        <v>1115</v>
      </c>
      <c r="H102" s="492" t="s">
        <v>3145</v>
      </c>
      <c r="I102" s="492" t="s">
        <v>1115</v>
      </c>
      <c r="J102" s="492" t="s">
        <v>3144</v>
      </c>
      <c r="K102" s="492" t="s">
        <v>1281</v>
      </c>
      <c r="L102" s="492" t="s">
        <v>2783</v>
      </c>
      <c r="M102" s="493" t="s">
        <v>1230</v>
      </c>
      <c r="N102" s="493" t="s">
        <v>1232</v>
      </c>
      <c r="O102" s="492" t="s">
        <v>1232</v>
      </c>
      <c r="P102" s="492" t="s">
        <v>1156</v>
      </c>
      <c r="Q102" s="494">
        <v>43620</v>
      </c>
      <c r="R102" s="494">
        <v>45447</v>
      </c>
      <c r="S102" s="498">
        <v>1</v>
      </c>
      <c r="T102" s="498"/>
      <c r="U102" s="496">
        <v>20000000</v>
      </c>
      <c r="V102" s="496">
        <v>20000000</v>
      </c>
      <c r="W102" s="496">
        <v>20000000</v>
      </c>
      <c r="X102" s="496">
        <f t="shared" si="5"/>
        <v>0</v>
      </c>
      <c r="Y102" s="496">
        <f t="shared" si="6"/>
        <v>0</v>
      </c>
      <c r="Z102" s="496">
        <v>4800000</v>
      </c>
      <c r="AA102" s="496">
        <v>3000000</v>
      </c>
      <c r="AB102" s="496">
        <v>3750000</v>
      </c>
      <c r="AC102" s="496">
        <f t="shared" si="7"/>
        <v>-1050000</v>
      </c>
      <c r="AD102" s="496">
        <f t="shared" si="8"/>
        <v>750000</v>
      </c>
      <c r="AE102" s="496">
        <v>0</v>
      </c>
      <c r="AF102" s="496">
        <v>16250000</v>
      </c>
      <c r="AG102" s="497" t="s">
        <v>1237</v>
      </c>
      <c r="AH102" s="497" t="s">
        <v>1888</v>
      </c>
      <c r="AI102" s="497" t="s">
        <v>1321</v>
      </c>
      <c r="AJ102" s="497" t="s">
        <v>1279</v>
      </c>
      <c r="AK102" s="497" t="s">
        <v>1260</v>
      </c>
      <c r="AL102" s="491"/>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row>
    <row r="103" spans="1:80" ht="18" customHeight="1" x14ac:dyDescent="0.25">
      <c r="A103" s="492">
        <f t="shared" si="9"/>
        <v>101</v>
      </c>
      <c r="B103" s="492" t="s">
        <v>3147</v>
      </c>
      <c r="C103" s="492">
        <v>1100000161</v>
      </c>
      <c r="D103" s="492" t="s">
        <v>4715</v>
      </c>
      <c r="E103" s="492" t="s">
        <v>1043</v>
      </c>
      <c r="F103" s="492" t="s">
        <v>3145</v>
      </c>
      <c r="G103" s="492" t="s">
        <v>1115</v>
      </c>
      <c r="H103" s="492" t="s">
        <v>3145</v>
      </c>
      <c r="I103" s="492" t="s">
        <v>1115</v>
      </c>
      <c r="J103" s="492" t="s">
        <v>3144</v>
      </c>
      <c r="K103" s="492" t="s">
        <v>1281</v>
      </c>
      <c r="L103" s="492" t="s">
        <v>2783</v>
      </c>
      <c r="M103" s="493" t="s">
        <v>1230</v>
      </c>
      <c r="N103" s="493" t="s">
        <v>1232</v>
      </c>
      <c r="O103" s="492" t="s">
        <v>1232</v>
      </c>
      <c r="P103" s="492" t="s">
        <v>1156</v>
      </c>
      <c r="Q103" s="494">
        <v>43620</v>
      </c>
      <c r="R103" s="494">
        <v>45447</v>
      </c>
      <c r="S103" s="498">
        <v>1</v>
      </c>
      <c r="T103" s="498"/>
      <c r="U103" s="496">
        <v>20000000</v>
      </c>
      <c r="V103" s="496">
        <v>20000000</v>
      </c>
      <c r="W103" s="496">
        <v>20000000</v>
      </c>
      <c r="X103" s="496">
        <f t="shared" si="5"/>
        <v>0</v>
      </c>
      <c r="Y103" s="496">
        <f t="shared" si="6"/>
        <v>0</v>
      </c>
      <c r="Z103" s="496">
        <v>0</v>
      </c>
      <c r="AA103" s="496">
        <v>0</v>
      </c>
      <c r="AB103" s="496">
        <v>0</v>
      </c>
      <c r="AC103" s="496">
        <f t="shared" si="7"/>
        <v>0</v>
      </c>
      <c r="AD103" s="496">
        <f t="shared" si="8"/>
        <v>0</v>
      </c>
      <c r="AE103" s="496">
        <v>0</v>
      </c>
      <c r="AF103" s="496">
        <v>20000000</v>
      </c>
      <c r="AG103" s="497" t="s">
        <v>1237</v>
      </c>
      <c r="AH103" s="497" t="s">
        <v>1888</v>
      </c>
      <c r="AI103" s="497" t="s">
        <v>1321</v>
      </c>
      <c r="AJ103" s="497" t="s">
        <v>1279</v>
      </c>
      <c r="AK103" s="497" t="s">
        <v>1260</v>
      </c>
      <c r="AL103" s="491"/>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row>
    <row r="104" spans="1:80" ht="18" customHeight="1" x14ac:dyDescent="0.25">
      <c r="A104" s="510">
        <f t="shared" si="9"/>
        <v>102</v>
      </c>
      <c r="B104" s="492" t="s">
        <v>3151</v>
      </c>
      <c r="C104" s="492">
        <v>4100000224</v>
      </c>
      <c r="D104" s="492" t="s">
        <v>4716</v>
      </c>
      <c r="E104" s="492" t="s">
        <v>1382</v>
      </c>
      <c r="F104" s="492" t="s">
        <v>3150</v>
      </c>
      <c r="G104" s="492" t="s">
        <v>3148</v>
      </c>
      <c r="H104" s="492" t="s">
        <v>3150</v>
      </c>
      <c r="I104" s="492" t="s">
        <v>3148</v>
      </c>
      <c r="J104" s="492" t="s">
        <v>3149</v>
      </c>
      <c r="K104" s="492" t="s">
        <v>1756</v>
      </c>
      <c r="L104" s="492" t="s">
        <v>2783</v>
      </c>
      <c r="M104" s="493" t="s">
        <v>1230</v>
      </c>
      <c r="N104" s="493" t="s">
        <v>1232</v>
      </c>
      <c r="O104" s="492" t="s">
        <v>1232</v>
      </c>
      <c r="P104" s="492" t="s">
        <v>469</v>
      </c>
      <c r="Q104" s="494">
        <v>43623</v>
      </c>
      <c r="R104" s="494">
        <v>44316</v>
      </c>
      <c r="S104" s="498">
        <v>1.5</v>
      </c>
      <c r="T104" s="498"/>
      <c r="U104" s="496">
        <v>4934060.32</v>
      </c>
      <c r="V104" s="496">
        <v>4934060.32</v>
      </c>
      <c r="W104" s="496">
        <v>4934060.32</v>
      </c>
      <c r="X104" s="496">
        <f t="shared" si="5"/>
        <v>0</v>
      </c>
      <c r="Y104" s="496">
        <f t="shared" si="6"/>
        <v>0</v>
      </c>
      <c r="Z104" s="496">
        <v>4933447.0599999996</v>
      </c>
      <c r="AA104" s="496">
        <v>4933447.0599999996</v>
      </c>
      <c r="AB104" s="496">
        <v>4933447.0599999996</v>
      </c>
      <c r="AC104" s="496">
        <f t="shared" si="7"/>
        <v>0</v>
      </c>
      <c r="AD104" s="496">
        <f t="shared" si="8"/>
        <v>0</v>
      </c>
      <c r="AE104" s="496">
        <v>613.26</v>
      </c>
      <c r="AF104" s="496">
        <v>0</v>
      </c>
      <c r="AG104" s="497" t="s">
        <v>1250</v>
      </c>
      <c r="AH104" s="497" t="s">
        <v>1252</v>
      </c>
      <c r="AI104" s="497" t="s">
        <v>1248</v>
      </c>
      <c r="AJ104" s="497" t="s">
        <v>1234</v>
      </c>
      <c r="AK104" s="497" t="s">
        <v>1235</v>
      </c>
      <c r="AL104" s="491"/>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row>
    <row r="105" spans="1:80" ht="18" customHeight="1" x14ac:dyDescent="0.25">
      <c r="A105" s="485">
        <f t="shared" si="9"/>
        <v>103</v>
      </c>
      <c r="B105" s="485" t="s">
        <v>3154</v>
      </c>
      <c r="C105" s="485">
        <v>2100000152</v>
      </c>
      <c r="D105" s="485" t="s">
        <v>4717</v>
      </c>
      <c r="E105" s="485" t="s">
        <v>1384</v>
      </c>
      <c r="F105" s="485" t="s">
        <v>1383</v>
      </c>
      <c r="G105" s="485" t="s">
        <v>3152</v>
      </c>
      <c r="H105" s="485" t="s">
        <v>1383</v>
      </c>
      <c r="I105" s="485" t="s">
        <v>3152</v>
      </c>
      <c r="J105" s="485" t="s">
        <v>3153</v>
      </c>
      <c r="K105" s="485" t="s">
        <v>1756</v>
      </c>
      <c r="L105" s="485" t="s">
        <v>2783</v>
      </c>
      <c r="M105" s="486" t="s">
        <v>1307</v>
      </c>
      <c r="N105" s="485" t="s">
        <v>1231</v>
      </c>
      <c r="O105" s="503" t="s">
        <v>1231</v>
      </c>
      <c r="P105" s="485" t="s">
        <v>469</v>
      </c>
      <c r="Q105" s="487">
        <v>43644</v>
      </c>
      <c r="R105" s="487">
        <v>44929</v>
      </c>
      <c r="S105" s="488">
        <v>1.5</v>
      </c>
      <c r="T105" s="488"/>
      <c r="U105" s="489">
        <v>5133776</v>
      </c>
      <c r="V105" s="489">
        <v>5133776</v>
      </c>
      <c r="W105" s="489">
        <v>5133776</v>
      </c>
      <c r="X105" s="489">
        <f t="shared" si="5"/>
        <v>0</v>
      </c>
      <c r="Y105" s="489">
        <f t="shared" si="6"/>
        <v>0</v>
      </c>
      <c r="Z105" s="489">
        <v>1839573.58</v>
      </c>
      <c r="AA105" s="489">
        <v>1856397.87</v>
      </c>
      <c r="AB105" s="489">
        <v>1857811.67</v>
      </c>
      <c r="AC105" s="489">
        <f t="shared" si="7"/>
        <v>18238.089999999851</v>
      </c>
      <c r="AD105" s="489">
        <f t="shared" si="8"/>
        <v>1413.7999999998137</v>
      </c>
      <c r="AE105" s="489">
        <v>0</v>
      </c>
      <c r="AF105" s="489">
        <v>3275964.33</v>
      </c>
      <c r="AG105" s="490" t="s">
        <v>1245</v>
      </c>
      <c r="AH105" s="490" t="s">
        <v>1247</v>
      </c>
      <c r="AI105" s="490" t="s">
        <v>1248</v>
      </c>
      <c r="AJ105" s="490" t="s">
        <v>1246</v>
      </c>
      <c r="AK105" s="490" t="s">
        <v>1235</v>
      </c>
      <c r="AL105" s="491"/>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row>
    <row r="106" spans="1:80" ht="18" customHeight="1" x14ac:dyDescent="0.25">
      <c r="A106" s="485">
        <f t="shared" si="9"/>
        <v>104</v>
      </c>
      <c r="B106" s="485" t="s">
        <v>3158</v>
      </c>
      <c r="C106" s="485">
        <v>4100000248</v>
      </c>
      <c r="D106" s="485" t="s">
        <v>4718</v>
      </c>
      <c r="E106" s="485" t="s">
        <v>1386</v>
      </c>
      <c r="F106" s="485" t="s">
        <v>1385</v>
      </c>
      <c r="G106" s="485" t="s">
        <v>3155</v>
      </c>
      <c r="H106" s="485" t="s">
        <v>2585</v>
      </c>
      <c r="I106" s="485" t="s">
        <v>3156</v>
      </c>
      <c r="J106" s="485" t="s">
        <v>3157</v>
      </c>
      <c r="K106" s="485" t="s">
        <v>1756</v>
      </c>
      <c r="L106" s="485" t="s">
        <v>2783</v>
      </c>
      <c r="M106" s="486" t="s">
        <v>1307</v>
      </c>
      <c r="N106" s="486" t="s">
        <v>1231</v>
      </c>
      <c r="O106" s="485" t="s">
        <v>1231</v>
      </c>
      <c r="P106" s="485" t="s">
        <v>469</v>
      </c>
      <c r="Q106" s="487">
        <v>43644</v>
      </c>
      <c r="R106" s="487">
        <v>46373</v>
      </c>
      <c r="S106" s="488">
        <v>0.35</v>
      </c>
      <c r="T106" s="488"/>
      <c r="U106" s="489">
        <v>8640243.7799999993</v>
      </c>
      <c r="V106" s="489">
        <v>8640243.7799999993</v>
      </c>
      <c r="W106" s="489">
        <v>8640243.7799999993</v>
      </c>
      <c r="X106" s="489">
        <f t="shared" si="5"/>
        <v>0</v>
      </c>
      <c r="Y106" s="489">
        <f t="shared" si="6"/>
        <v>0</v>
      </c>
      <c r="Z106" s="489">
        <v>8640243.7799999993</v>
      </c>
      <c r="AA106" s="489">
        <v>8640243.7799999993</v>
      </c>
      <c r="AB106" s="489">
        <v>8640243.7799999993</v>
      </c>
      <c r="AC106" s="489">
        <f t="shared" si="7"/>
        <v>0</v>
      </c>
      <c r="AD106" s="489">
        <f t="shared" si="8"/>
        <v>0</v>
      </c>
      <c r="AE106" s="489">
        <v>0</v>
      </c>
      <c r="AF106" s="489">
        <v>0</v>
      </c>
      <c r="AG106" s="490" t="s">
        <v>1250</v>
      </c>
      <c r="AH106" s="490" t="s">
        <v>1252</v>
      </c>
      <c r="AI106" s="490" t="s">
        <v>1248</v>
      </c>
      <c r="AJ106" s="490" t="s">
        <v>1234</v>
      </c>
      <c r="AK106" s="490" t="s">
        <v>1251</v>
      </c>
      <c r="AL106" s="491"/>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row>
    <row r="107" spans="1:80" ht="18" customHeight="1" x14ac:dyDescent="0.25">
      <c r="A107" s="485">
        <f t="shared" si="9"/>
        <v>105</v>
      </c>
      <c r="B107" s="485" t="s">
        <v>3163</v>
      </c>
      <c r="C107" s="485">
        <v>2100000207</v>
      </c>
      <c r="D107" s="485" t="s">
        <v>4719</v>
      </c>
      <c r="E107" s="485" t="s">
        <v>3162</v>
      </c>
      <c r="F107" s="485" t="s">
        <v>1387</v>
      </c>
      <c r="G107" s="485" t="s">
        <v>3159</v>
      </c>
      <c r="H107" s="485" t="s">
        <v>2586</v>
      </c>
      <c r="I107" s="485" t="s">
        <v>3160</v>
      </c>
      <c r="J107" s="485" t="s">
        <v>3161</v>
      </c>
      <c r="K107" s="485" t="s">
        <v>1756</v>
      </c>
      <c r="L107" s="485" t="s">
        <v>2783</v>
      </c>
      <c r="M107" s="486" t="s">
        <v>1230</v>
      </c>
      <c r="N107" s="486" t="s">
        <v>1231</v>
      </c>
      <c r="O107" s="485" t="s">
        <v>1231</v>
      </c>
      <c r="P107" s="485" t="s">
        <v>469</v>
      </c>
      <c r="Q107" s="487">
        <v>43644</v>
      </c>
      <c r="R107" s="487">
        <v>44659</v>
      </c>
      <c r="S107" s="488">
        <v>1.5</v>
      </c>
      <c r="T107" s="488"/>
      <c r="U107" s="489">
        <v>2668568.79</v>
      </c>
      <c r="V107" s="489">
        <v>2668568.79</v>
      </c>
      <c r="W107" s="489">
        <v>2670598.46</v>
      </c>
      <c r="X107" s="489">
        <f t="shared" si="5"/>
        <v>2029.6699999999255</v>
      </c>
      <c r="Y107" s="489">
        <f t="shared" si="6"/>
        <v>2029.6699999999255</v>
      </c>
      <c r="Z107" s="489">
        <v>2655480.42</v>
      </c>
      <c r="AA107" s="489">
        <v>2655480.42</v>
      </c>
      <c r="AB107" s="489">
        <v>2670598.46</v>
      </c>
      <c r="AC107" s="489">
        <f t="shared" si="7"/>
        <v>15118.040000000037</v>
      </c>
      <c r="AD107" s="489">
        <f t="shared" si="8"/>
        <v>15118.040000000037</v>
      </c>
      <c r="AE107" s="489">
        <v>0</v>
      </c>
      <c r="AF107" s="489">
        <v>0</v>
      </c>
      <c r="AG107" s="490" t="s">
        <v>1245</v>
      </c>
      <c r="AH107" s="490" t="s">
        <v>1247</v>
      </c>
      <c r="AI107" s="490" t="s">
        <v>1248</v>
      </c>
      <c r="AJ107" s="490" t="s">
        <v>1246</v>
      </c>
      <c r="AK107" s="490" t="s">
        <v>1235</v>
      </c>
      <c r="AL107" s="491"/>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row>
    <row r="108" spans="1:80" ht="18" customHeight="1" x14ac:dyDescent="0.25">
      <c r="A108" s="485">
        <f t="shared" si="9"/>
        <v>106</v>
      </c>
      <c r="B108" s="485" t="s">
        <v>3165</v>
      </c>
      <c r="C108" s="485">
        <v>1100000171</v>
      </c>
      <c r="D108" s="485" t="s">
        <v>4720</v>
      </c>
      <c r="E108" s="485" t="s">
        <v>1389</v>
      </c>
      <c r="F108" s="485" t="s">
        <v>1388</v>
      </c>
      <c r="G108" s="485" t="s">
        <v>2762</v>
      </c>
      <c r="H108" s="485" t="s">
        <v>1388</v>
      </c>
      <c r="I108" s="485" t="s">
        <v>2762</v>
      </c>
      <c r="J108" s="485" t="s">
        <v>3164</v>
      </c>
      <c r="K108" s="485" t="s">
        <v>1756</v>
      </c>
      <c r="L108" s="485" t="s">
        <v>2783</v>
      </c>
      <c r="M108" s="486" t="s">
        <v>1230</v>
      </c>
      <c r="N108" s="486" t="s">
        <v>1231</v>
      </c>
      <c r="O108" s="485" t="s">
        <v>1231</v>
      </c>
      <c r="P108" s="485" t="s">
        <v>1156</v>
      </c>
      <c r="Q108" s="487">
        <v>43644</v>
      </c>
      <c r="R108" s="487">
        <v>44837</v>
      </c>
      <c r="S108" s="488">
        <v>1</v>
      </c>
      <c r="T108" s="488"/>
      <c r="U108" s="489">
        <v>4965593</v>
      </c>
      <c r="V108" s="489">
        <v>4965593</v>
      </c>
      <c r="W108" s="489">
        <v>4965593</v>
      </c>
      <c r="X108" s="489">
        <f t="shared" si="5"/>
        <v>0</v>
      </c>
      <c r="Y108" s="489">
        <f t="shared" si="6"/>
        <v>0</v>
      </c>
      <c r="Z108" s="489">
        <v>4965593</v>
      </c>
      <c r="AA108" s="489">
        <v>4965593</v>
      </c>
      <c r="AB108" s="489">
        <v>4965593</v>
      </c>
      <c r="AC108" s="489">
        <f t="shared" si="7"/>
        <v>0</v>
      </c>
      <c r="AD108" s="489">
        <f t="shared" si="8"/>
        <v>0</v>
      </c>
      <c r="AE108" s="489">
        <v>0</v>
      </c>
      <c r="AF108" s="489">
        <v>0</v>
      </c>
      <c r="AG108" s="490" t="s">
        <v>1237</v>
      </c>
      <c r="AH108" s="490" t="s">
        <v>1236</v>
      </c>
      <c r="AI108" s="490"/>
      <c r="AJ108" s="490" t="s">
        <v>1259</v>
      </c>
      <c r="AK108" s="490" t="s">
        <v>1260</v>
      </c>
      <c r="AL108" s="491"/>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row>
    <row r="109" spans="1:80" ht="18" customHeight="1" x14ac:dyDescent="0.25">
      <c r="A109" s="492">
        <f t="shared" si="9"/>
        <v>107</v>
      </c>
      <c r="B109" s="492" t="s">
        <v>3170</v>
      </c>
      <c r="C109" s="492">
        <v>5100000126</v>
      </c>
      <c r="D109" s="492" t="s">
        <v>4721</v>
      </c>
      <c r="E109" s="492" t="s">
        <v>1390</v>
      </c>
      <c r="F109" s="492" t="s">
        <v>3169</v>
      </c>
      <c r="G109" s="492" t="s">
        <v>3166</v>
      </c>
      <c r="H109" s="492" t="s">
        <v>2587</v>
      </c>
      <c r="I109" s="492" t="s">
        <v>3167</v>
      </c>
      <c r="J109" s="492" t="s">
        <v>3168</v>
      </c>
      <c r="K109" s="492" t="s">
        <v>1756</v>
      </c>
      <c r="L109" s="492" t="s">
        <v>2783</v>
      </c>
      <c r="M109" s="493" t="s">
        <v>1230</v>
      </c>
      <c r="N109" s="493" t="s">
        <v>1232</v>
      </c>
      <c r="O109" s="492" t="s">
        <v>1232</v>
      </c>
      <c r="P109" s="492" t="s">
        <v>469</v>
      </c>
      <c r="Q109" s="494">
        <v>43649</v>
      </c>
      <c r="R109" s="494">
        <v>44746</v>
      </c>
      <c r="S109" s="498">
        <v>1</v>
      </c>
      <c r="T109" s="498"/>
      <c r="U109" s="496">
        <v>49534185.509999998</v>
      </c>
      <c r="V109" s="496">
        <v>47724442.270000003</v>
      </c>
      <c r="W109" s="496">
        <v>47724442.270000003</v>
      </c>
      <c r="X109" s="496">
        <f t="shared" si="5"/>
        <v>-1809743.2399999946</v>
      </c>
      <c r="Y109" s="496">
        <f t="shared" si="6"/>
        <v>0</v>
      </c>
      <c r="Z109" s="496">
        <v>46110638.719999999</v>
      </c>
      <c r="AA109" s="496">
        <v>44300895.479999997</v>
      </c>
      <c r="AB109" s="496">
        <v>44300895.479999997</v>
      </c>
      <c r="AC109" s="496">
        <f t="shared" si="7"/>
        <v>-1809743.2400000021</v>
      </c>
      <c r="AD109" s="496">
        <f t="shared" si="8"/>
        <v>0</v>
      </c>
      <c r="AE109" s="496">
        <v>3423546.79</v>
      </c>
      <c r="AF109" s="496">
        <v>0</v>
      </c>
      <c r="AG109" s="497" t="s">
        <v>1288</v>
      </c>
      <c r="AH109" s="497" t="s">
        <v>1252</v>
      </c>
      <c r="AI109" s="497" t="s">
        <v>1248</v>
      </c>
      <c r="AJ109" s="497" t="s">
        <v>1234</v>
      </c>
      <c r="AK109" s="497" t="s">
        <v>1278</v>
      </c>
      <c r="AL109" s="491"/>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row>
    <row r="110" spans="1:80" ht="18" customHeight="1" x14ac:dyDescent="0.25">
      <c r="A110" s="492">
        <f t="shared" si="9"/>
        <v>108</v>
      </c>
      <c r="B110" s="492" t="s">
        <v>3173</v>
      </c>
      <c r="C110" s="492">
        <v>4100000199</v>
      </c>
      <c r="D110" s="492" t="s">
        <v>4722</v>
      </c>
      <c r="E110" s="492" t="s">
        <v>1392</v>
      </c>
      <c r="F110" s="492" t="s">
        <v>1391</v>
      </c>
      <c r="G110" s="492" t="s">
        <v>3171</v>
      </c>
      <c r="H110" s="492" t="s">
        <v>1391</v>
      </c>
      <c r="I110" s="492" t="s">
        <v>3171</v>
      </c>
      <c r="J110" s="492" t="s">
        <v>3172</v>
      </c>
      <c r="K110" s="492" t="s">
        <v>1756</v>
      </c>
      <c r="L110" s="492" t="s">
        <v>2783</v>
      </c>
      <c r="M110" s="493" t="s">
        <v>1230</v>
      </c>
      <c r="N110" s="493" t="s">
        <v>1232</v>
      </c>
      <c r="O110" s="492" t="s">
        <v>1232</v>
      </c>
      <c r="P110" s="492" t="s">
        <v>469</v>
      </c>
      <c r="Q110" s="494">
        <v>43651</v>
      </c>
      <c r="R110" s="494">
        <v>44747</v>
      </c>
      <c r="S110" s="498">
        <v>0.35</v>
      </c>
      <c r="T110" s="498"/>
      <c r="U110" s="496">
        <v>1100906.75</v>
      </c>
      <c r="V110" s="496">
        <v>1100525.95</v>
      </c>
      <c r="W110" s="496">
        <v>1100525.95</v>
      </c>
      <c r="X110" s="496">
        <f t="shared" si="5"/>
        <v>-380.80000000004657</v>
      </c>
      <c r="Y110" s="496">
        <f t="shared" si="6"/>
        <v>0</v>
      </c>
      <c r="Z110" s="496">
        <v>1100906.75</v>
      </c>
      <c r="AA110" s="496">
        <v>1100525.95</v>
      </c>
      <c r="AB110" s="496">
        <v>1100525.95</v>
      </c>
      <c r="AC110" s="496">
        <f t="shared" si="7"/>
        <v>-380.80000000004657</v>
      </c>
      <c r="AD110" s="496">
        <f t="shared" si="8"/>
        <v>0</v>
      </c>
      <c r="AE110" s="496">
        <v>0</v>
      </c>
      <c r="AF110" s="496">
        <v>0</v>
      </c>
      <c r="AG110" s="497" t="s">
        <v>1250</v>
      </c>
      <c r="AH110" s="497" t="s">
        <v>1252</v>
      </c>
      <c r="AI110" s="497" t="s">
        <v>1248</v>
      </c>
      <c r="AJ110" s="497" t="s">
        <v>1234</v>
      </c>
      <c r="AK110" s="497" t="s">
        <v>1251</v>
      </c>
      <c r="AL110" s="491"/>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row>
    <row r="111" spans="1:80" ht="18" customHeight="1" x14ac:dyDescent="0.25">
      <c r="A111" s="485">
        <f t="shared" si="9"/>
        <v>109</v>
      </c>
      <c r="B111" s="485" t="s">
        <v>3177</v>
      </c>
      <c r="C111" s="485">
        <v>1100000223</v>
      </c>
      <c r="D111" s="485" t="s">
        <v>4723</v>
      </c>
      <c r="E111" s="485" t="s">
        <v>1393</v>
      </c>
      <c r="F111" s="485" t="s">
        <v>3176</v>
      </c>
      <c r="G111" s="485" t="s">
        <v>3174</v>
      </c>
      <c r="H111" s="485" t="s">
        <v>2551</v>
      </c>
      <c r="I111" s="485" t="s">
        <v>2871</v>
      </c>
      <c r="J111" s="485" t="s">
        <v>3175</v>
      </c>
      <c r="K111" s="485" t="s">
        <v>1756</v>
      </c>
      <c r="L111" s="485" t="s">
        <v>2783</v>
      </c>
      <c r="M111" s="486" t="s">
        <v>1230</v>
      </c>
      <c r="N111" s="486" t="s">
        <v>1231</v>
      </c>
      <c r="O111" s="485" t="s">
        <v>1232</v>
      </c>
      <c r="P111" s="485" t="s">
        <v>1156</v>
      </c>
      <c r="Q111" s="487">
        <v>43661</v>
      </c>
      <c r="R111" s="487">
        <v>45495</v>
      </c>
      <c r="S111" s="488">
        <v>1</v>
      </c>
      <c r="T111" s="488"/>
      <c r="U111" s="489">
        <v>25500000</v>
      </c>
      <c r="V111" s="489">
        <v>25500000</v>
      </c>
      <c r="W111" s="489">
        <v>25500000</v>
      </c>
      <c r="X111" s="489">
        <f t="shared" si="5"/>
        <v>0</v>
      </c>
      <c r="Y111" s="489">
        <f t="shared" si="6"/>
        <v>0</v>
      </c>
      <c r="Z111" s="489">
        <v>25500000</v>
      </c>
      <c r="AA111" s="489">
        <v>25500000</v>
      </c>
      <c r="AB111" s="489">
        <v>25500000</v>
      </c>
      <c r="AC111" s="489">
        <f t="shared" si="7"/>
        <v>0</v>
      </c>
      <c r="AD111" s="489">
        <f t="shared" si="8"/>
        <v>0</v>
      </c>
      <c r="AE111" s="489">
        <v>0</v>
      </c>
      <c r="AF111" s="489">
        <v>0</v>
      </c>
      <c r="AG111" s="490" t="s">
        <v>1237</v>
      </c>
      <c r="AH111" s="490" t="s">
        <v>1236</v>
      </c>
      <c r="AI111" s="490"/>
      <c r="AJ111" s="490" t="s">
        <v>1259</v>
      </c>
      <c r="AK111" s="490" t="s">
        <v>1260</v>
      </c>
      <c r="AL111" s="49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row>
    <row r="112" spans="1:80" ht="18" customHeight="1" x14ac:dyDescent="0.25">
      <c r="A112" s="485">
        <f t="shared" si="9"/>
        <v>110</v>
      </c>
      <c r="B112" s="485" t="s">
        <v>3180</v>
      </c>
      <c r="C112" s="485">
        <v>1100000185</v>
      </c>
      <c r="D112" s="485" t="s">
        <v>4724</v>
      </c>
      <c r="E112" s="485" t="s">
        <v>327</v>
      </c>
      <c r="F112" s="485" t="s">
        <v>3179</v>
      </c>
      <c r="G112" s="485" t="s">
        <v>1102</v>
      </c>
      <c r="H112" s="485" t="s">
        <v>3179</v>
      </c>
      <c r="I112" s="485" t="s">
        <v>1102</v>
      </c>
      <c r="J112" s="485" t="s">
        <v>3178</v>
      </c>
      <c r="K112" s="485" t="s">
        <v>1756</v>
      </c>
      <c r="L112" s="485" t="s">
        <v>2783</v>
      </c>
      <c r="M112" s="486" t="s">
        <v>1230</v>
      </c>
      <c r="N112" s="486" t="s">
        <v>1231</v>
      </c>
      <c r="O112" s="485" t="s">
        <v>1232</v>
      </c>
      <c r="P112" s="485" t="s">
        <v>1156</v>
      </c>
      <c r="Q112" s="487">
        <v>43668</v>
      </c>
      <c r="R112" s="487">
        <v>44834</v>
      </c>
      <c r="S112" s="488">
        <v>1</v>
      </c>
      <c r="T112" s="488"/>
      <c r="U112" s="489">
        <v>17000000</v>
      </c>
      <c r="V112" s="489">
        <v>17000000</v>
      </c>
      <c r="W112" s="489">
        <v>17000000</v>
      </c>
      <c r="X112" s="489">
        <f t="shared" si="5"/>
        <v>0</v>
      </c>
      <c r="Y112" s="489">
        <f t="shared" si="6"/>
        <v>0</v>
      </c>
      <c r="Z112" s="489">
        <v>17000000</v>
      </c>
      <c r="AA112" s="489">
        <v>17000000</v>
      </c>
      <c r="AB112" s="489">
        <v>17000000</v>
      </c>
      <c r="AC112" s="489">
        <f t="shared" si="7"/>
        <v>0</v>
      </c>
      <c r="AD112" s="489">
        <f t="shared" si="8"/>
        <v>0</v>
      </c>
      <c r="AE112" s="489">
        <v>0</v>
      </c>
      <c r="AF112" s="489">
        <v>0</v>
      </c>
      <c r="AG112" s="490" t="s">
        <v>1237</v>
      </c>
      <c r="AH112" s="490" t="s">
        <v>1236</v>
      </c>
      <c r="AI112" s="490"/>
      <c r="AJ112" s="490" t="s">
        <v>1259</v>
      </c>
      <c r="AK112" s="490" t="s">
        <v>1260</v>
      </c>
      <c r="AL112" s="491"/>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row>
    <row r="113" spans="1:80" ht="18" customHeight="1" x14ac:dyDescent="0.25">
      <c r="A113" s="485">
        <f t="shared" si="9"/>
        <v>111</v>
      </c>
      <c r="B113" s="485" t="s">
        <v>3181</v>
      </c>
      <c r="C113" s="485">
        <v>1100000152</v>
      </c>
      <c r="D113" s="485" t="s">
        <v>4725</v>
      </c>
      <c r="E113" s="485" t="s">
        <v>310</v>
      </c>
      <c r="F113" s="485" t="s">
        <v>3061</v>
      </c>
      <c r="G113" s="485" t="s">
        <v>1095</v>
      </c>
      <c r="H113" s="485" t="s">
        <v>2573</v>
      </c>
      <c r="I113" s="485" t="s">
        <v>3059</v>
      </c>
      <c r="J113" s="485" t="s">
        <v>3060</v>
      </c>
      <c r="K113" s="485" t="s">
        <v>1756</v>
      </c>
      <c r="L113" s="485" t="s">
        <v>2783</v>
      </c>
      <c r="M113" s="486" t="s">
        <v>1230</v>
      </c>
      <c r="N113" s="486" t="s">
        <v>1231</v>
      </c>
      <c r="O113" s="485" t="s">
        <v>1232</v>
      </c>
      <c r="P113" s="485" t="s">
        <v>1156</v>
      </c>
      <c r="Q113" s="487">
        <v>43669</v>
      </c>
      <c r="R113" s="487">
        <v>45496</v>
      </c>
      <c r="S113" s="488">
        <v>1</v>
      </c>
      <c r="T113" s="488"/>
      <c r="U113" s="489">
        <v>8600309</v>
      </c>
      <c r="V113" s="489">
        <v>8600309</v>
      </c>
      <c r="W113" s="489">
        <v>8561038</v>
      </c>
      <c r="X113" s="489">
        <f t="shared" si="5"/>
        <v>-39271</v>
      </c>
      <c r="Y113" s="489">
        <f t="shared" si="6"/>
        <v>-39271</v>
      </c>
      <c r="Z113" s="489">
        <v>8600309</v>
      </c>
      <c r="AA113" s="489">
        <v>8600309</v>
      </c>
      <c r="AB113" s="489">
        <v>8561038</v>
      </c>
      <c r="AC113" s="489">
        <f t="shared" si="7"/>
        <v>-39271</v>
      </c>
      <c r="AD113" s="489">
        <f t="shared" si="8"/>
        <v>-39271</v>
      </c>
      <c r="AE113" s="489">
        <v>0</v>
      </c>
      <c r="AF113" s="489">
        <v>0</v>
      </c>
      <c r="AG113" s="490" t="s">
        <v>1237</v>
      </c>
      <c r="AH113" s="490" t="s">
        <v>1273</v>
      </c>
      <c r="AI113" s="490"/>
      <c r="AJ113" s="490" t="s">
        <v>1356</v>
      </c>
      <c r="AK113" s="490" t="s">
        <v>1260</v>
      </c>
      <c r="AL113" s="491"/>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row>
    <row r="114" spans="1:80" ht="18" customHeight="1" x14ac:dyDescent="0.25">
      <c r="A114" s="492">
        <f t="shared" si="9"/>
        <v>112</v>
      </c>
      <c r="B114" s="492" t="s">
        <v>3184</v>
      </c>
      <c r="C114" s="492">
        <v>4100000215</v>
      </c>
      <c r="D114" s="492" t="s">
        <v>4726</v>
      </c>
      <c r="E114" s="492" t="s">
        <v>1394</v>
      </c>
      <c r="F114" s="492" t="s">
        <v>2588</v>
      </c>
      <c r="G114" s="492" t="s">
        <v>3182</v>
      </c>
      <c r="H114" s="492" t="s">
        <v>2588</v>
      </c>
      <c r="I114" s="492" t="s">
        <v>3182</v>
      </c>
      <c r="J114" s="492" t="s">
        <v>3183</v>
      </c>
      <c r="K114" s="492" t="s">
        <v>1756</v>
      </c>
      <c r="L114" s="492" t="s">
        <v>2783</v>
      </c>
      <c r="M114" s="493" t="s">
        <v>1230</v>
      </c>
      <c r="N114" s="493" t="s">
        <v>1232</v>
      </c>
      <c r="O114" s="492" t="s">
        <v>1231</v>
      </c>
      <c r="P114" s="492" t="s">
        <v>469</v>
      </c>
      <c r="Q114" s="494">
        <v>43670</v>
      </c>
      <c r="R114" s="494">
        <v>44894</v>
      </c>
      <c r="S114" s="498">
        <v>1</v>
      </c>
      <c r="T114" s="498"/>
      <c r="U114" s="496">
        <v>2656000</v>
      </c>
      <c r="V114" s="496">
        <v>2656000</v>
      </c>
      <c r="W114" s="496">
        <v>2656000</v>
      </c>
      <c r="X114" s="496">
        <f t="shared" si="5"/>
        <v>0</v>
      </c>
      <c r="Y114" s="496">
        <f t="shared" si="6"/>
        <v>0</v>
      </c>
      <c r="Z114" s="496">
        <v>2593514.4700000002</v>
      </c>
      <c r="AA114" s="496">
        <v>2593514.4700000002</v>
      </c>
      <c r="AB114" s="496">
        <v>2593514.4700000002</v>
      </c>
      <c r="AC114" s="496">
        <f t="shared" si="7"/>
        <v>0</v>
      </c>
      <c r="AD114" s="496">
        <f t="shared" si="8"/>
        <v>0</v>
      </c>
      <c r="AE114" s="496">
        <v>62485.53</v>
      </c>
      <c r="AF114" s="496">
        <v>0</v>
      </c>
      <c r="AG114" s="497" t="s">
        <v>1250</v>
      </c>
      <c r="AH114" s="497" t="s">
        <v>1291</v>
      </c>
      <c r="AI114" s="497" t="s">
        <v>1292</v>
      </c>
      <c r="AJ114" s="497" t="s">
        <v>1234</v>
      </c>
      <c r="AK114" s="497" t="s">
        <v>1240</v>
      </c>
      <c r="AL114" s="491"/>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row>
    <row r="115" spans="1:80" ht="18" customHeight="1" x14ac:dyDescent="0.25">
      <c r="A115" s="492">
        <f t="shared" si="9"/>
        <v>113</v>
      </c>
      <c r="B115" s="492" t="s">
        <v>3187</v>
      </c>
      <c r="C115" s="492">
        <v>4100000164</v>
      </c>
      <c r="D115" s="492" t="s">
        <v>4727</v>
      </c>
      <c r="E115" s="492" t="s">
        <v>1396</v>
      </c>
      <c r="F115" s="492" t="s">
        <v>1395</v>
      </c>
      <c r="G115" s="492" t="s">
        <v>3185</v>
      </c>
      <c r="H115" s="492" t="s">
        <v>1395</v>
      </c>
      <c r="I115" s="492" t="s">
        <v>3185</v>
      </c>
      <c r="J115" s="492" t="s">
        <v>3186</v>
      </c>
      <c r="K115" s="492" t="s">
        <v>1756</v>
      </c>
      <c r="L115" s="492" t="s">
        <v>2783</v>
      </c>
      <c r="M115" s="493" t="s">
        <v>1230</v>
      </c>
      <c r="N115" s="493" t="s">
        <v>1232</v>
      </c>
      <c r="O115" s="492" t="s">
        <v>1232</v>
      </c>
      <c r="P115" s="492" t="s">
        <v>469</v>
      </c>
      <c r="Q115" s="494">
        <v>43707</v>
      </c>
      <c r="R115" s="494">
        <v>45575</v>
      </c>
      <c r="S115" s="498">
        <v>0.35</v>
      </c>
      <c r="T115" s="498"/>
      <c r="U115" s="496">
        <v>850000</v>
      </c>
      <c r="V115" s="496">
        <v>850000</v>
      </c>
      <c r="W115" s="496">
        <v>850000</v>
      </c>
      <c r="X115" s="496">
        <f t="shared" si="5"/>
        <v>0</v>
      </c>
      <c r="Y115" s="496">
        <f t="shared" si="6"/>
        <v>0</v>
      </c>
      <c r="Z115" s="496">
        <v>850000</v>
      </c>
      <c r="AA115" s="496">
        <v>850000</v>
      </c>
      <c r="AB115" s="496">
        <v>850000</v>
      </c>
      <c r="AC115" s="496">
        <f t="shared" si="7"/>
        <v>0</v>
      </c>
      <c r="AD115" s="496">
        <f t="shared" si="8"/>
        <v>0</v>
      </c>
      <c r="AE115" s="496">
        <v>0</v>
      </c>
      <c r="AF115" s="496">
        <v>0</v>
      </c>
      <c r="AG115" s="497" t="s">
        <v>1250</v>
      </c>
      <c r="AH115" s="497" t="s">
        <v>1252</v>
      </c>
      <c r="AI115" s="497" t="s">
        <v>1248</v>
      </c>
      <c r="AJ115" s="497" t="s">
        <v>1234</v>
      </c>
      <c r="AK115" s="497" t="s">
        <v>1251</v>
      </c>
      <c r="AL115" s="491"/>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row>
    <row r="116" spans="1:80" ht="18" customHeight="1" x14ac:dyDescent="0.25">
      <c r="A116" s="485">
        <f t="shared" si="9"/>
        <v>114</v>
      </c>
      <c r="B116" s="485" t="s">
        <v>3190</v>
      </c>
      <c r="C116" s="485">
        <v>1100000002</v>
      </c>
      <c r="D116" s="485" t="s">
        <v>4728</v>
      </c>
      <c r="E116" s="485" t="s">
        <v>1397</v>
      </c>
      <c r="F116" s="485" t="s">
        <v>203</v>
      </c>
      <c r="G116" s="485" t="s">
        <v>3188</v>
      </c>
      <c r="H116" s="485" t="s">
        <v>203</v>
      </c>
      <c r="I116" s="485" t="s">
        <v>3188</v>
      </c>
      <c r="J116" s="485" t="s">
        <v>3189</v>
      </c>
      <c r="K116" s="485" t="s">
        <v>1756</v>
      </c>
      <c r="L116" s="485" t="s">
        <v>2783</v>
      </c>
      <c r="M116" s="486" t="s">
        <v>1230</v>
      </c>
      <c r="N116" s="486" t="s">
        <v>1231</v>
      </c>
      <c r="O116" s="485" t="s">
        <v>1231</v>
      </c>
      <c r="P116" s="485" t="s">
        <v>1156</v>
      </c>
      <c r="Q116" s="487">
        <v>43714</v>
      </c>
      <c r="R116" s="487">
        <v>45681</v>
      </c>
      <c r="S116" s="488">
        <v>1</v>
      </c>
      <c r="T116" s="488"/>
      <c r="U116" s="489">
        <v>1720600.48</v>
      </c>
      <c r="V116" s="489">
        <v>1720600.48</v>
      </c>
      <c r="W116" s="489">
        <v>1713309.8</v>
      </c>
      <c r="X116" s="489">
        <f t="shared" si="5"/>
        <v>-7290.6799999999348</v>
      </c>
      <c r="Y116" s="489">
        <f t="shared" si="6"/>
        <v>-7290.6799999999348</v>
      </c>
      <c r="Z116" s="489">
        <v>1720600.48</v>
      </c>
      <c r="AA116" s="489">
        <v>1720600.48</v>
      </c>
      <c r="AB116" s="489">
        <v>1713309.8</v>
      </c>
      <c r="AC116" s="489">
        <f t="shared" si="7"/>
        <v>-7290.6799999999348</v>
      </c>
      <c r="AD116" s="489">
        <f t="shared" si="8"/>
        <v>-7290.6799999999348</v>
      </c>
      <c r="AE116" s="489">
        <v>0</v>
      </c>
      <c r="AF116" s="489">
        <v>0</v>
      </c>
      <c r="AG116" s="490" t="s">
        <v>1237</v>
      </c>
      <c r="AH116" s="490" t="s">
        <v>1236</v>
      </c>
      <c r="AI116" s="490"/>
      <c r="AJ116" s="490" t="s">
        <v>1259</v>
      </c>
      <c r="AK116" s="490" t="s">
        <v>1260</v>
      </c>
      <c r="AL116" s="491"/>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row>
    <row r="117" spans="1:80" ht="18" customHeight="1" x14ac:dyDescent="0.25">
      <c r="A117" s="485">
        <f t="shared" si="9"/>
        <v>115</v>
      </c>
      <c r="B117" s="485" t="s">
        <v>3193</v>
      </c>
      <c r="C117" s="485">
        <v>1100000202</v>
      </c>
      <c r="D117" s="485" t="s">
        <v>4729</v>
      </c>
      <c r="E117" s="485" t="s">
        <v>1399</v>
      </c>
      <c r="F117" s="485" t="s">
        <v>2589</v>
      </c>
      <c r="G117" s="485" t="s">
        <v>3191</v>
      </c>
      <c r="H117" s="485" t="s">
        <v>2589</v>
      </c>
      <c r="I117" s="485" t="s">
        <v>3191</v>
      </c>
      <c r="J117" s="485" t="s">
        <v>3192</v>
      </c>
      <c r="K117" s="485" t="s">
        <v>1756</v>
      </c>
      <c r="L117" s="485" t="s">
        <v>2783</v>
      </c>
      <c r="M117" s="486" t="s">
        <v>1230</v>
      </c>
      <c r="N117" s="486" t="s">
        <v>1231</v>
      </c>
      <c r="O117" s="485" t="s">
        <v>1231</v>
      </c>
      <c r="P117" s="485" t="s">
        <v>1156</v>
      </c>
      <c r="Q117" s="487">
        <v>43718</v>
      </c>
      <c r="R117" s="487">
        <v>45650</v>
      </c>
      <c r="S117" s="488">
        <v>1</v>
      </c>
      <c r="T117" s="488"/>
      <c r="U117" s="489">
        <v>1882422.31</v>
      </c>
      <c r="V117" s="489">
        <v>1882422.31</v>
      </c>
      <c r="W117" s="489">
        <v>1875502.42</v>
      </c>
      <c r="X117" s="489">
        <f t="shared" si="5"/>
        <v>-6919.8900000001304</v>
      </c>
      <c r="Y117" s="489">
        <f t="shared" si="6"/>
        <v>-6919.8900000001304</v>
      </c>
      <c r="Z117" s="489">
        <v>1882422.31</v>
      </c>
      <c r="AA117" s="489">
        <v>1882422.31</v>
      </c>
      <c r="AB117" s="489">
        <v>1875502.42</v>
      </c>
      <c r="AC117" s="489">
        <f t="shared" si="7"/>
        <v>-6919.8900000001304</v>
      </c>
      <c r="AD117" s="489">
        <f t="shared" si="8"/>
        <v>-6919.8900000001304</v>
      </c>
      <c r="AE117" s="489">
        <v>0</v>
      </c>
      <c r="AF117" s="489">
        <v>0</v>
      </c>
      <c r="AG117" s="490" t="s">
        <v>1237</v>
      </c>
      <c r="AH117" s="490" t="s">
        <v>1236</v>
      </c>
      <c r="AI117" s="490"/>
      <c r="AJ117" s="490" t="s">
        <v>1259</v>
      </c>
      <c r="AK117" s="490" t="s">
        <v>1260</v>
      </c>
      <c r="AL117" s="491"/>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row>
    <row r="118" spans="1:80" ht="18" customHeight="1" x14ac:dyDescent="0.25">
      <c r="A118" s="485">
        <f t="shared" si="9"/>
        <v>116</v>
      </c>
      <c r="B118" s="485" t="s">
        <v>3196</v>
      </c>
      <c r="C118" s="485">
        <v>2100000208</v>
      </c>
      <c r="D118" s="485" t="s">
        <v>4730</v>
      </c>
      <c r="E118" s="485" t="s">
        <v>1401</v>
      </c>
      <c r="F118" s="485" t="s">
        <v>1400</v>
      </c>
      <c r="G118" s="485" t="s">
        <v>3194</v>
      </c>
      <c r="H118" s="485" t="s">
        <v>1400</v>
      </c>
      <c r="I118" s="485" t="s">
        <v>3194</v>
      </c>
      <c r="J118" s="485" t="s">
        <v>3195</v>
      </c>
      <c r="K118" s="485" t="s">
        <v>1756</v>
      </c>
      <c r="L118" s="485" t="s">
        <v>2783</v>
      </c>
      <c r="M118" s="486" t="s">
        <v>1230</v>
      </c>
      <c r="N118" s="486" t="s">
        <v>1231</v>
      </c>
      <c r="O118" s="485" t="s">
        <v>1231</v>
      </c>
      <c r="P118" s="485" t="s">
        <v>469</v>
      </c>
      <c r="Q118" s="487">
        <v>43720</v>
      </c>
      <c r="R118" s="487">
        <v>44770</v>
      </c>
      <c r="S118" s="488">
        <v>1.5</v>
      </c>
      <c r="T118" s="488"/>
      <c r="U118" s="489">
        <v>607877</v>
      </c>
      <c r="V118" s="489">
        <v>607877</v>
      </c>
      <c r="W118" s="489">
        <v>607877</v>
      </c>
      <c r="X118" s="489">
        <f t="shared" si="5"/>
        <v>0</v>
      </c>
      <c r="Y118" s="489">
        <f t="shared" si="6"/>
        <v>0</v>
      </c>
      <c r="Z118" s="489">
        <v>598505.03</v>
      </c>
      <c r="AA118" s="489">
        <v>602357.44999999995</v>
      </c>
      <c r="AB118" s="489">
        <v>602357.44999999995</v>
      </c>
      <c r="AC118" s="489">
        <f t="shared" si="7"/>
        <v>3852.4199999999255</v>
      </c>
      <c r="AD118" s="489">
        <f t="shared" si="8"/>
        <v>0</v>
      </c>
      <c r="AE118" s="489">
        <v>0</v>
      </c>
      <c r="AF118" s="489">
        <v>5519.55</v>
      </c>
      <c r="AG118" s="490" t="s">
        <v>1245</v>
      </c>
      <c r="AH118" s="490" t="s">
        <v>1247</v>
      </c>
      <c r="AI118" s="490" t="s">
        <v>1248</v>
      </c>
      <c r="AJ118" s="490" t="s">
        <v>1246</v>
      </c>
      <c r="AK118" s="490" t="s">
        <v>1235</v>
      </c>
      <c r="AL118" s="491"/>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row>
    <row r="119" spans="1:80" ht="18" customHeight="1" x14ac:dyDescent="0.25">
      <c r="A119" s="485">
        <f t="shared" si="9"/>
        <v>117</v>
      </c>
      <c r="B119" s="485" t="s">
        <v>3201</v>
      </c>
      <c r="C119" s="485">
        <v>4100000173</v>
      </c>
      <c r="D119" s="485" t="s">
        <v>4731</v>
      </c>
      <c r="E119" s="485" t="s">
        <v>1402</v>
      </c>
      <c r="F119" s="485" t="s">
        <v>3200</v>
      </c>
      <c r="G119" s="485" t="s">
        <v>3197</v>
      </c>
      <c r="H119" s="485" t="s">
        <v>1403</v>
      </c>
      <c r="I119" s="485" t="s">
        <v>3198</v>
      </c>
      <c r="J119" s="485" t="s">
        <v>3199</v>
      </c>
      <c r="K119" s="485" t="s">
        <v>1756</v>
      </c>
      <c r="L119" s="485" t="s">
        <v>2783</v>
      </c>
      <c r="M119" s="486" t="s">
        <v>1230</v>
      </c>
      <c r="N119" s="486" t="s">
        <v>1231</v>
      </c>
      <c r="O119" s="485" t="s">
        <v>1232</v>
      </c>
      <c r="P119" s="485" t="s">
        <v>469</v>
      </c>
      <c r="Q119" s="487">
        <v>43734</v>
      </c>
      <c r="R119" s="487">
        <v>45604</v>
      </c>
      <c r="S119" s="488">
        <v>0.35</v>
      </c>
      <c r="T119" s="488"/>
      <c r="U119" s="489">
        <v>969201.29</v>
      </c>
      <c r="V119" s="489">
        <v>966081.73</v>
      </c>
      <c r="W119" s="489">
        <v>966081.73</v>
      </c>
      <c r="X119" s="489">
        <f t="shared" si="5"/>
        <v>-3119.5600000000559</v>
      </c>
      <c r="Y119" s="489">
        <f t="shared" si="6"/>
        <v>0</v>
      </c>
      <c r="Z119" s="489">
        <v>969201.29</v>
      </c>
      <c r="AA119" s="489">
        <v>966081.73</v>
      </c>
      <c r="AB119" s="489">
        <v>966081.73</v>
      </c>
      <c r="AC119" s="489">
        <f t="shared" si="7"/>
        <v>-3119.5600000000559</v>
      </c>
      <c r="AD119" s="489">
        <f t="shared" si="8"/>
        <v>0</v>
      </c>
      <c r="AE119" s="489">
        <v>0</v>
      </c>
      <c r="AF119" s="489">
        <v>0</v>
      </c>
      <c r="AG119" s="490" t="s">
        <v>1250</v>
      </c>
      <c r="AH119" s="490" t="s">
        <v>1252</v>
      </c>
      <c r="AI119" s="490" t="s">
        <v>1269</v>
      </c>
      <c r="AJ119" s="490" t="s">
        <v>1234</v>
      </c>
      <c r="AK119" s="490" t="s">
        <v>1251</v>
      </c>
      <c r="AL119" s="491"/>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c r="BV119"/>
      <c r="BW119"/>
      <c r="BX119"/>
      <c r="BY119"/>
      <c r="BZ119"/>
      <c r="CA119"/>
      <c r="CB119"/>
    </row>
    <row r="120" spans="1:80" ht="18" customHeight="1" x14ac:dyDescent="0.25">
      <c r="A120" s="485">
        <f t="shared" si="9"/>
        <v>118</v>
      </c>
      <c r="B120" s="485" t="s">
        <v>3203</v>
      </c>
      <c r="C120" s="485">
        <v>4100000161</v>
      </c>
      <c r="D120" s="485" t="s">
        <v>4732</v>
      </c>
      <c r="E120" s="485" t="s">
        <v>1404</v>
      </c>
      <c r="F120" s="485" t="s">
        <v>1403</v>
      </c>
      <c r="G120" s="485" t="s">
        <v>3198</v>
      </c>
      <c r="H120" s="485" t="s">
        <v>1403</v>
      </c>
      <c r="I120" s="485" t="s">
        <v>3198</v>
      </c>
      <c r="J120" s="485" t="s">
        <v>3202</v>
      </c>
      <c r="K120" s="485" t="s">
        <v>1756</v>
      </c>
      <c r="L120" s="485" t="s">
        <v>2783</v>
      </c>
      <c r="M120" s="486" t="s">
        <v>1230</v>
      </c>
      <c r="N120" s="486" t="s">
        <v>1231</v>
      </c>
      <c r="O120" s="485" t="s">
        <v>1232</v>
      </c>
      <c r="P120" s="485" t="s">
        <v>469</v>
      </c>
      <c r="Q120" s="487">
        <v>43734</v>
      </c>
      <c r="R120" s="487">
        <v>45604</v>
      </c>
      <c r="S120" s="488">
        <v>1</v>
      </c>
      <c r="T120" s="488"/>
      <c r="U120" s="489">
        <v>254291.57</v>
      </c>
      <c r="V120" s="489">
        <v>253749.9</v>
      </c>
      <c r="W120" s="489">
        <v>253749.9</v>
      </c>
      <c r="X120" s="489">
        <f t="shared" si="5"/>
        <v>-541.67000000001281</v>
      </c>
      <c r="Y120" s="489">
        <f t="shared" si="6"/>
        <v>0</v>
      </c>
      <c r="Z120" s="489">
        <v>254291.57</v>
      </c>
      <c r="AA120" s="489">
        <v>253749.9</v>
      </c>
      <c r="AB120" s="489">
        <v>253749.9</v>
      </c>
      <c r="AC120" s="489">
        <f t="shared" si="7"/>
        <v>-541.67000000001281</v>
      </c>
      <c r="AD120" s="489">
        <f t="shared" si="8"/>
        <v>0</v>
      </c>
      <c r="AE120" s="489">
        <v>0</v>
      </c>
      <c r="AF120" s="489">
        <v>0</v>
      </c>
      <c r="AG120" s="490" t="s">
        <v>1250</v>
      </c>
      <c r="AH120" s="490" t="s">
        <v>1291</v>
      </c>
      <c r="AI120" s="490" t="s">
        <v>1317</v>
      </c>
      <c r="AJ120" s="490" t="s">
        <v>1234</v>
      </c>
      <c r="AK120" s="490" t="s">
        <v>1240</v>
      </c>
      <c r="AL120" s="491"/>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row>
    <row r="121" spans="1:80" ht="18" customHeight="1" x14ac:dyDescent="0.25">
      <c r="A121" s="485">
        <f t="shared" si="9"/>
        <v>119</v>
      </c>
      <c r="B121" s="485" t="s">
        <v>3206</v>
      </c>
      <c r="C121" s="485">
        <v>2100000210</v>
      </c>
      <c r="D121" s="485" t="s">
        <v>4733</v>
      </c>
      <c r="E121" s="485" t="s">
        <v>1405</v>
      </c>
      <c r="F121" s="485" t="s">
        <v>2590</v>
      </c>
      <c r="G121" s="485" t="s">
        <v>3204</v>
      </c>
      <c r="H121" s="485" t="s">
        <v>2590</v>
      </c>
      <c r="I121" s="485" t="s">
        <v>3204</v>
      </c>
      <c r="J121" s="485" t="s">
        <v>3205</v>
      </c>
      <c r="K121" s="485" t="s">
        <v>1756</v>
      </c>
      <c r="L121" s="485" t="s">
        <v>2783</v>
      </c>
      <c r="M121" s="486" t="s">
        <v>1230</v>
      </c>
      <c r="N121" s="486" t="s">
        <v>1231</v>
      </c>
      <c r="O121" s="485" t="s">
        <v>1231</v>
      </c>
      <c r="P121" s="485" t="s">
        <v>469</v>
      </c>
      <c r="Q121" s="487">
        <v>43738</v>
      </c>
      <c r="R121" s="487">
        <v>44942</v>
      </c>
      <c r="S121" s="488">
        <v>1.5</v>
      </c>
      <c r="T121" s="488"/>
      <c r="U121" s="489">
        <v>9664648</v>
      </c>
      <c r="V121" s="489">
        <v>9664648</v>
      </c>
      <c r="W121" s="489">
        <v>9664648</v>
      </c>
      <c r="X121" s="489">
        <f t="shared" si="5"/>
        <v>0</v>
      </c>
      <c r="Y121" s="489">
        <f t="shared" si="6"/>
        <v>0</v>
      </c>
      <c r="Z121" s="489">
        <v>7954663.5999999996</v>
      </c>
      <c r="AA121" s="489">
        <v>8693996.1400000006</v>
      </c>
      <c r="AB121" s="489">
        <v>8693996.1400000006</v>
      </c>
      <c r="AC121" s="489">
        <f t="shared" si="7"/>
        <v>739332.54000000097</v>
      </c>
      <c r="AD121" s="489">
        <f t="shared" si="8"/>
        <v>0</v>
      </c>
      <c r="AE121" s="489">
        <v>0</v>
      </c>
      <c r="AF121" s="489">
        <v>970651.86</v>
      </c>
      <c r="AG121" s="490" t="s">
        <v>1245</v>
      </c>
      <c r="AH121" s="490" t="s">
        <v>1247</v>
      </c>
      <c r="AI121" s="490" t="s">
        <v>1269</v>
      </c>
      <c r="AJ121" s="490" t="s">
        <v>1246</v>
      </c>
      <c r="AK121" s="490" t="s">
        <v>1235</v>
      </c>
      <c r="AL121" s="49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row>
    <row r="122" spans="1:80" ht="18" customHeight="1" x14ac:dyDescent="0.25">
      <c r="A122" s="485">
        <f t="shared" si="9"/>
        <v>120</v>
      </c>
      <c r="B122" s="485" t="s">
        <v>3209</v>
      </c>
      <c r="C122" s="485">
        <v>4100000166</v>
      </c>
      <c r="D122" s="485" t="s">
        <v>4734</v>
      </c>
      <c r="E122" s="485" t="s">
        <v>1409</v>
      </c>
      <c r="F122" s="485" t="s">
        <v>1408</v>
      </c>
      <c r="G122" s="485" t="s">
        <v>3207</v>
      </c>
      <c r="H122" s="485" t="s">
        <v>2553</v>
      </c>
      <c r="I122" s="485" t="s">
        <v>2904</v>
      </c>
      <c r="J122" s="485" t="s">
        <v>3208</v>
      </c>
      <c r="K122" s="485" t="s">
        <v>1756</v>
      </c>
      <c r="L122" s="485" t="s">
        <v>2783</v>
      </c>
      <c r="M122" s="486" t="s">
        <v>1230</v>
      </c>
      <c r="N122" s="486" t="s">
        <v>1231</v>
      </c>
      <c r="O122" s="485" t="s">
        <v>1232</v>
      </c>
      <c r="P122" s="485" t="s">
        <v>469</v>
      </c>
      <c r="Q122" s="487">
        <v>43742</v>
      </c>
      <c r="R122" s="487">
        <v>45576</v>
      </c>
      <c r="S122" s="488">
        <v>0.35</v>
      </c>
      <c r="T122" s="488"/>
      <c r="U122" s="489">
        <v>2251500</v>
      </c>
      <c r="V122" s="489">
        <v>2246000</v>
      </c>
      <c r="W122" s="489">
        <v>2246000</v>
      </c>
      <c r="X122" s="489">
        <f t="shared" si="5"/>
        <v>-5500</v>
      </c>
      <c r="Y122" s="489">
        <f t="shared" si="6"/>
        <v>0</v>
      </c>
      <c r="Z122" s="489">
        <v>2251500</v>
      </c>
      <c r="AA122" s="489">
        <v>2246000</v>
      </c>
      <c r="AB122" s="489">
        <v>2246000</v>
      </c>
      <c r="AC122" s="489">
        <f t="shared" si="7"/>
        <v>-5500</v>
      </c>
      <c r="AD122" s="489">
        <f t="shared" si="8"/>
        <v>0</v>
      </c>
      <c r="AE122" s="489">
        <v>0</v>
      </c>
      <c r="AF122" s="489">
        <v>0</v>
      </c>
      <c r="AG122" s="490" t="s">
        <v>1250</v>
      </c>
      <c r="AH122" s="490" t="s">
        <v>1252</v>
      </c>
      <c r="AI122" s="490" t="s">
        <v>1269</v>
      </c>
      <c r="AJ122" s="490" t="s">
        <v>1234</v>
      </c>
      <c r="AK122" s="490" t="s">
        <v>1251</v>
      </c>
      <c r="AL122" s="491"/>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row>
    <row r="123" spans="1:80" ht="18" customHeight="1" x14ac:dyDescent="0.25">
      <c r="A123" s="485">
        <f t="shared" si="9"/>
        <v>121</v>
      </c>
      <c r="B123" s="485" t="s">
        <v>3211</v>
      </c>
      <c r="C123" s="485">
        <v>1100000203</v>
      </c>
      <c r="D123" s="485" t="s">
        <v>4735</v>
      </c>
      <c r="E123" s="485" t="s">
        <v>328</v>
      </c>
      <c r="F123" s="485" t="s">
        <v>111</v>
      </c>
      <c r="G123" s="485" t="s">
        <v>1103</v>
      </c>
      <c r="H123" s="485" t="s">
        <v>111</v>
      </c>
      <c r="I123" s="485" t="s">
        <v>1103</v>
      </c>
      <c r="J123" s="485" t="s">
        <v>3210</v>
      </c>
      <c r="K123" s="485" t="s">
        <v>1756</v>
      </c>
      <c r="L123" s="485" t="s">
        <v>2783</v>
      </c>
      <c r="M123" s="486" t="s">
        <v>1230</v>
      </c>
      <c r="N123" s="486" t="s">
        <v>1231</v>
      </c>
      <c r="O123" s="485" t="s">
        <v>1232</v>
      </c>
      <c r="P123" s="485" t="s">
        <v>1156</v>
      </c>
      <c r="Q123" s="487">
        <v>43749</v>
      </c>
      <c r="R123" s="487">
        <v>45576</v>
      </c>
      <c r="S123" s="488">
        <v>1</v>
      </c>
      <c r="T123" s="488"/>
      <c r="U123" s="489">
        <v>425750.4</v>
      </c>
      <c r="V123" s="489">
        <v>420249.57</v>
      </c>
      <c r="W123" s="489">
        <v>420249.57</v>
      </c>
      <c r="X123" s="489">
        <f t="shared" si="5"/>
        <v>-5500.8300000000163</v>
      </c>
      <c r="Y123" s="489">
        <f t="shared" si="6"/>
        <v>0</v>
      </c>
      <c r="Z123" s="489">
        <v>425750.4</v>
      </c>
      <c r="AA123" s="489">
        <v>420249.57</v>
      </c>
      <c r="AB123" s="489">
        <v>420249.57</v>
      </c>
      <c r="AC123" s="489">
        <f t="shared" si="7"/>
        <v>-5500.8300000000163</v>
      </c>
      <c r="AD123" s="489">
        <f t="shared" si="8"/>
        <v>0</v>
      </c>
      <c r="AE123" s="489">
        <v>0</v>
      </c>
      <c r="AF123" s="489">
        <v>0</v>
      </c>
      <c r="AG123" s="490" t="s">
        <v>1237</v>
      </c>
      <c r="AH123" s="490" t="s">
        <v>1254</v>
      </c>
      <c r="AI123" s="490"/>
      <c r="AJ123" s="490" t="s">
        <v>1253</v>
      </c>
      <c r="AK123" s="490" t="s">
        <v>1260</v>
      </c>
      <c r="AL123" s="491"/>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c r="BV123"/>
      <c r="BW123"/>
      <c r="BX123"/>
      <c r="BY123"/>
      <c r="BZ123"/>
      <c r="CA123"/>
      <c r="CB123"/>
    </row>
    <row r="124" spans="1:80" ht="18" customHeight="1" x14ac:dyDescent="0.25">
      <c r="A124" s="492">
        <f t="shared" si="9"/>
        <v>122</v>
      </c>
      <c r="B124" s="492" t="s">
        <v>3214</v>
      </c>
      <c r="C124" s="492">
        <v>4100000190</v>
      </c>
      <c r="D124" s="492" t="s">
        <v>4736</v>
      </c>
      <c r="E124" s="492" t="s">
        <v>1407</v>
      </c>
      <c r="F124" s="492" t="s">
        <v>1406</v>
      </c>
      <c r="G124" s="492" t="s">
        <v>3212</v>
      </c>
      <c r="H124" s="492" t="s">
        <v>1406</v>
      </c>
      <c r="I124" s="492" t="s">
        <v>3212</v>
      </c>
      <c r="J124" s="492" t="s">
        <v>3213</v>
      </c>
      <c r="K124" s="492" t="s">
        <v>1756</v>
      </c>
      <c r="L124" s="492" t="s">
        <v>2783</v>
      </c>
      <c r="M124" s="493" t="s">
        <v>1230</v>
      </c>
      <c r="N124" s="493" t="s">
        <v>1232</v>
      </c>
      <c r="O124" s="492" t="s">
        <v>1232</v>
      </c>
      <c r="P124" s="492" t="s">
        <v>469</v>
      </c>
      <c r="Q124" s="494">
        <v>43749</v>
      </c>
      <c r="R124" s="494">
        <v>45576</v>
      </c>
      <c r="S124" s="498">
        <v>0.35</v>
      </c>
      <c r="T124" s="498"/>
      <c r="U124" s="496">
        <v>1100000</v>
      </c>
      <c r="V124" s="496">
        <v>1100000</v>
      </c>
      <c r="W124" s="496">
        <v>1100000</v>
      </c>
      <c r="X124" s="496">
        <f t="shared" si="5"/>
        <v>0</v>
      </c>
      <c r="Y124" s="496">
        <f t="shared" si="6"/>
        <v>0</v>
      </c>
      <c r="Z124" s="496">
        <v>1100000</v>
      </c>
      <c r="AA124" s="496">
        <v>1100000</v>
      </c>
      <c r="AB124" s="496">
        <v>1100000</v>
      </c>
      <c r="AC124" s="496">
        <f t="shared" si="7"/>
        <v>0</v>
      </c>
      <c r="AD124" s="496">
        <f t="shared" si="8"/>
        <v>0</v>
      </c>
      <c r="AE124" s="496">
        <v>0</v>
      </c>
      <c r="AF124" s="496">
        <v>0</v>
      </c>
      <c r="AG124" s="497" t="s">
        <v>1250</v>
      </c>
      <c r="AH124" s="497" t="s">
        <v>1252</v>
      </c>
      <c r="AI124" s="497" t="s">
        <v>1248</v>
      </c>
      <c r="AJ124" s="497" t="s">
        <v>1234</v>
      </c>
      <c r="AK124" s="497" t="s">
        <v>1251</v>
      </c>
      <c r="AL124" s="491"/>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row>
    <row r="125" spans="1:80" ht="18" customHeight="1" x14ac:dyDescent="0.25">
      <c r="A125" s="485">
        <f t="shared" si="9"/>
        <v>123</v>
      </c>
      <c r="B125" s="485" t="s">
        <v>3219</v>
      </c>
      <c r="C125" s="485">
        <v>4100000179</v>
      </c>
      <c r="D125" s="485" t="s">
        <v>4737</v>
      </c>
      <c r="E125" s="485" t="s">
        <v>1410</v>
      </c>
      <c r="F125" s="485" t="s">
        <v>3218</v>
      </c>
      <c r="G125" s="485" t="s">
        <v>3215</v>
      </c>
      <c r="H125" s="485" t="s">
        <v>2591</v>
      </c>
      <c r="I125" s="485" t="s">
        <v>3216</v>
      </c>
      <c r="J125" s="485" t="s">
        <v>3217</v>
      </c>
      <c r="K125" s="485" t="s">
        <v>1756</v>
      </c>
      <c r="L125" s="485" t="s">
        <v>2783</v>
      </c>
      <c r="M125" s="486" t="s">
        <v>1230</v>
      </c>
      <c r="N125" s="486" t="s">
        <v>1231</v>
      </c>
      <c r="O125" s="485" t="s">
        <v>1232</v>
      </c>
      <c r="P125" s="485" t="s">
        <v>469</v>
      </c>
      <c r="Q125" s="487">
        <v>43749</v>
      </c>
      <c r="R125" s="487">
        <v>45576</v>
      </c>
      <c r="S125" s="488">
        <v>0.35</v>
      </c>
      <c r="T125" s="488"/>
      <c r="U125" s="489">
        <v>659247.51</v>
      </c>
      <c r="V125" s="489">
        <v>657782.97</v>
      </c>
      <c r="W125" s="489">
        <v>657782.97</v>
      </c>
      <c r="X125" s="489">
        <f t="shared" si="5"/>
        <v>-1464.5400000000373</v>
      </c>
      <c r="Y125" s="489">
        <f t="shared" si="6"/>
        <v>0</v>
      </c>
      <c r="Z125" s="489">
        <v>659247.51</v>
      </c>
      <c r="AA125" s="489">
        <v>657782.97</v>
      </c>
      <c r="AB125" s="489">
        <v>657782.97</v>
      </c>
      <c r="AC125" s="489">
        <f t="shared" si="7"/>
        <v>-1464.5400000000373</v>
      </c>
      <c r="AD125" s="489">
        <f t="shared" si="8"/>
        <v>0</v>
      </c>
      <c r="AE125" s="489">
        <v>0</v>
      </c>
      <c r="AF125" s="489">
        <v>0</v>
      </c>
      <c r="AG125" s="490" t="s">
        <v>1250</v>
      </c>
      <c r="AH125" s="490" t="s">
        <v>1252</v>
      </c>
      <c r="AI125" s="490" t="s">
        <v>1269</v>
      </c>
      <c r="AJ125" s="490" t="s">
        <v>1234</v>
      </c>
      <c r="AK125" s="490" t="s">
        <v>1251</v>
      </c>
      <c r="AL125" s="491"/>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row>
    <row r="126" spans="1:80" ht="18" customHeight="1" x14ac:dyDescent="0.25">
      <c r="A126" s="485">
        <f t="shared" si="9"/>
        <v>124</v>
      </c>
      <c r="B126" s="485" t="s">
        <v>3223</v>
      </c>
      <c r="C126" s="485">
        <v>4100000178</v>
      </c>
      <c r="D126" s="485" t="s">
        <v>4738</v>
      </c>
      <c r="E126" s="485" t="s">
        <v>1411</v>
      </c>
      <c r="F126" s="485" t="s">
        <v>3222</v>
      </c>
      <c r="G126" s="485" t="s">
        <v>3220</v>
      </c>
      <c r="H126" s="485" t="s">
        <v>2591</v>
      </c>
      <c r="I126" s="485" t="s">
        <v>3216</v>
      </c>
      <c r="J126" s="485" t="s">
        <v>3221</v>
      </c>
      <c r="K126" s="485" t="s">
        <v>1756</v>
      </c>
      <c r="L126" s="485" t="s">
        <v>2783</v>
      </c>
      <c r="M126" s="486" t="s">
        <v>1230</v>
      </c>
      <c r="N126" s="486" t="s">
        <v>1231</v>
      </c>
      <c r="O126" s="485" t="s">
        <v>1232</v>
      </c>
      <c r="P126" s="485" t="s">
        <v>469</v>
      </c>
      <c r="Q126" s="487">
        <v>43749</v>
      </c>
      <c r="R126" s="487">
        <v>45576</v>
      </c>
      <c r="S126" s="488">
        <v>0.35</v>
      </c>
      <c r="T126" s="488"/>
      <c r="U126" s="489">
        <v>1604897.03</v>
      </c>
      <c r="V126" s="489">
        <v>1248152.22</v>
      </c>
      <c r="W126" s="489">
        <v>1248152.22</v>
      </c>
      <c r="X126" s="489">
        <f t="shared" si="5"/>
        <v>-356744.81000000006</v>
      </c>
      <c r="Y126" s="489">
        <f t="shared" si="6"/>
        <v>0</v>
      </c>
      <c r="Z126" s="489">
        <v>1604897.03</v>
      </c>
      <c r="AA126" s="489">
        <v>1248152.22</v>
      </c>
      <c r="AB126" s="489">
        <v>1248152.22</v>
      </c>
      <c r="AC126" s="489">
        <f t="shared" si="7"/>
        <v>-356744.81000000006</v>
      </c>
      <c r="AD126" s="489">
        <f t="shared" si="8"/>
        <v>0</v>
      </c>
      <c r="AE126" s="489">
        <v>0</v>
      </c>
      <c r="AF126" s="489">
        <v>0</v>
      </c>
      <c r="AG126" s="490" t="s">
        <v>1250</v>
      </c>
      <c r="AH126" s="490" t="s">
        <v>1252</v>
      </c>
      <c r="AI126" s="490" t="s">
        <v>1269</v>
      </c>
      <c r="AJ126" s="490" t="s">
        <v>1234</v>
      </c>
      <c r="AK126" s="490" t="s">
        <v>1251</v>
      </c>
      <c r="AL126" s="491"/>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row>
    <row r="127" spans="1:80" ht="18" customHeight="1" x14ac:dyDescent="0.25">
      <c r="A127" s="485">
        <f t="shared" si="9"/>
        <v>125</v>
      </c>
      <c r="B127" s="485" t="s">
        <v>3226</v>
      </c>
      <c r="C127" s="485">
        <v>4100000129</v>
      </c>
      <c r="D127" s="485" t="s">
        <v>4739</v>
      </c>
      <c r="E127" s="485" t="s">
        <v>1412</v>
      </c>
      <c r="F127" s="485" t="s">
        <v>2592</v>
      </c>
      <c r="G127" s="485" t="s">
        <v>3224</v>
      </c>
      <c r="H127" s="485" t="s">
        <v>2592</v>
      </c>
      <c r="I127" s="485" t="s">
        <v>3224</v>
      </c>
      <c r="J127" s="485" t="s">
        <v>3225</v>
      </c>
      <c r="K127" s="485" t="s">
        <v>1756</v>
      </c>
      <c r="L127" s="485" t="s">
        <v>2783</v>
      </c>
      <c r="M127" s="486" t="s">
        <v>1230</v>
      </c>
      <c r="N127" s="486" t="s">
        <v>1231</v>
      </c>
      <c r="O127" s="485" t="s">
        <v>1232</v>
      </c>
      <c r="P127" s="485" t="s">
        <v>469</v>
      </c>
      <c r="Q127" s="487">
        <v>43749</v>
      </c>
      <c r="R127" s="487">
        <v>45576</v>
      </c>
      <c r="S127" s="488">
        <v>0.35</v>
      </c>
      <c r="T127" s="488"/>
      <c r="U127" s="489">
        <v>455772.49</v>
      </c>
      <c r="V127" s="489">
        <v>455318.36</v>
      </c>
      <c r="W127" s="489">
        <v>455318.36</v>
      </c>
      <c r="X127" s="489">
        <f t="shared" si="5"/>
        <v>-454.13000000000466</v>
      </c>
      <c r="Y127" s="489">
        <f t="shared" si="6"/>
        <v>0</v>
      </c>
      <c r="Z127" s="489">
        <v>455772.49</v>
      </c>
      <c r="AA127" s="489">
        <v>455318.36</v>
      </c>
      <c r="AB127" s="489">
        <v>455318.36</v>
      </c>
      <c r="AC127" s="489">
        <f t="shared" si="7"/>
        <v>-454.13000000000466</v>
      </c>
      <c r="AD127" s="489">
        <f t="shared" si="8"/>
        <v>0</v>
      </c>
      <c r="AE127" s="489">
        <v>0</v>
      </c>
      <c r="AF127" s="489">
        <v>0</v>
      </c>
      <c r="AG127" s="490" t="s">
        <v>1250</v>
      </c>
      <c r="AH127" s="490" t="s">
        <v>1252</v>
      </c>
      <c r="AI127" s="490" t="s">
        <v>1248</v>
      </c>
      <c r="AJ127" s="490" t="s">
        <v>1234</v>
      </c>
      <c r="AK127" s="490" t="s">
        <v>1251</v>
      </c>
      <c r="AL127" s="491"/>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row>
    <row r="128" spans="1:80" ht="18" customHeight="1" x14ac:dyDescent="0.25">
      <c r="A128" s="485">
        <f t="shared" si="9"/>
        <v>126</v>
      </c>
      <c r="B128" s="485" t="s">
        <v>3227</v>
      </c>
      <c r="C128" s="485">
        <v>4100000133</v>
      </c>
      <c r="D128" s="485" t="s">
        <v>4740</v>
      </c>
      <c r="E128" s="485" t="s">
        <v>1412</v>
      </c>
      <c r="F128" s="485" t="s">
        <v>2592</v>
      </c>
      <c r="G128" s="485" t="s">
        <v>3224</v>
      </c>
      <c r="H128" s="485" t="s">
        <v>2592</v>
      </c>
      <c r="I128" s="485" t="s">
        <v>3224</v>
      </c>
      <c r="J128" s="485" t="s">
        <v>3225</v>
      </c>
      <c r="K128" s="485" t="s">
        <v>1756</v>
      </c>
      <c r="L128" s="485" t="s">
        <v>2783</v>
      </c>
      <c r="M128" s="486" t="s">
        <v>1230</v>
      </c>
      <c r="N128" s="486" t="s">
        <v>1231</v>
      </c>
      <c r="O128" s="485" t="s">
        <v>1232</v>
      </c>
      <c r="P128" s="485" t="s">
        <v>469</v>
      </c>
      <c r="Q128" s="487">
        <v>43749</v>
      </c>
      <c r="R128" s="487">
        <v>45576</v>
      </c>
      <c r="S128" s="488">
        <v>1</v>
      </c>
      <c r="T128" s="488"/>
      <c r="U128" s="489">
        <v>380236.51</v>
      </c>
      <c r="V128" s="489">
        <v>379857.64</v>
      </c>
      <c r="W128" s="489">
        <v>379857.64</v>
      </c>
      <c r="X128" s="489">
        <f t="shared" si="5"/>
        <v>-378.86999999999534</v>
      </c>
      <c r="Y128" s="489">
        <f t="shared" si="6"/>
        <v>0</v>
      </c>
      <c r="Z128" s="489">
        <v>380236.51</v>
      </c>
      <c r="AA128" s="489">
        <v>379857.64</v>
      </c>
      <c r="AB128" s="489">
        <v>379857.64</v>
      </c>
      <c r="AC128" s="489">
        <f t="shared" si="7"/>
        <v>-378.86999999999534</v>
      </c>
      <c r="AD128" s="489">
        <f t="shared" si="8"/>
        <v>0</v>
      </c>
      <c r="AE128" s="489">
        <v>0</v>
      </c>
      <c r="AF128" s="489">
        <v>0</v>
      </c>
      <c r="AG128" s="490" t="s">
        <v>1250</v>
      </c>
      <c r="AH128" s="490" t="s">
        <v>1291</v>
      </c>
      <c r="AI128" s="490" t="s">
        <v>1317</v>
      </c>
      <c r="AJ128" s="490" t="s">
        <v>1234</v>
      </c>
      <c r="AK128" s="490" t="s">
        <v>1240</v>
      </c>
      <c r="AL128" s="491"/>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row>
    <row r="129" spans="1:80" ht="18" customHeight="1" x14ac:dyDescent="0.25">
      <c r="A129" s="485">
        <f t="shared" si="9"/>
        <v>127</v>
      </c>
      <c r="B129" s="485" t="s">
        <v>3232</v>
      </c>
      <c r="C129" s="485">
        <v>4100000131</v>
      </c>
      <c r="D129" s="485" t="s">
        <v>4741</v>
      </c>
      <c r="E129" s="485" t="s">
        <v>1413</v>
      </c>
      <c r="F129" s="485" t="s">
        <v>3231</v>
      </c>
      <c r="G129" s="485" t="s">
        <v>3228</v>
      </c>
      <c r="H129" s="485" t="s">
        <v>2593</v>
      </c>
      <c r="I129" s="485" t="s">
        <v>3229</v>
      </c>
      <c r="J129" s="485" t="s">
        <v>3230</v>
      </c>
      <c r="K129" s="485" t="s">
        <v>1756</v>
      </c>
      <c r="L129" s="485" t="s">
        <v>2783</v>
      </c>
      <c r="M129" s="486" t="s">
        <v>1230</v>
      </c>
      <c r="N129" s="486" t="s">
        <v>1231</v>
      </c>
      <c r="O129" s="485" t="s">
        <v>1232</v>
      </c>
      <c r="P129" s="485" t="s">
        <v>469</v>
      </c>
      <c r="Q129" s="487">
        <v>43749</v>
      </c>
      <c r="R129" s="487">
        <v>45239</v>
      </c>
      <c r="S129" s="488">
        <v>0.35</v>
      </c>
      <c r="T129" s="488"/>
      <c r="U129" s="489">
        <v>1860300</v>
      </c>
      <c r="V129" s="489">
        <v>1860300</v>
      </c>
      <c r="W129" s="489">
        <v>1860300</v>
      </c>
      <c r="X129" s="489">
        <f t="shared" si="5"/>
        <v>0</v>
      </c>
      <c r="Y129" s="489">
        <f t="shared" si="6"/>
        <v>0</v>
      </c>
      <c r="Z129" s="489">
        <v>1860300</v>
      </c>
      <c r="AA129" s="489">
        <v>1860300</v>
      </c>
      <c r="AB129" s="489">
        <v>1860300</v>
      </c>
      <c r="AC129" s="489">
        <f t="shared" si="7"/>
        <v>0</v>
      </c>
      <c r="AD129" s="489">
        <f t="shared" si="8"/>
        <v>0</v>
      </c>
      <c r="AE129" s="489">
        <v>0</v>
      </c>
      <c r="AF129" s="489">
        <v>0</v>
      </c>
      <c r="AG129" s="490" t="s">
        <v>1250</v>
      </c>
      <c r="AH129" s="490" t="s">
        <v>1252</v>
      </c>
      <c r="AI129" s="490" t="s">
        <v>1269</v>
      </c>
      <c r="AJ129" s="490" t="s">
        <v>1234</v>
      </c>
      <c r="AK129" s="490" t="s">
        <v>1251</v>
      </c>
      <c r="AL129" s="491"/>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row>
    <row r="130" spans="1:80" ht="18" customHeight="1" x14ac:dyDescent="0.25">
      <c r="A130" s="485">
        <f t="shared" si="9"/>
        <v>128</v>
      </c>
      <c r="B130" s="485" t="s">
        <v>3235</v>
      </c>
      <c r="C130" s="485">
        <v>4100000210</v>
      </c>
      <c r="D130" s="485" t="s">
        <v>4742</v>
      </c>
      <c r="E130" s="485" t="s">
        <v>1416</v>
      </c>
      <c r="F130" s="485" t="s">
        <v>2595</v>
      </c>
      <c r="G130" s="485" t="s">
        <v>3233</v>
      </c>
      <c r="H130" s="485" t="s">
        <v>2595</v>
      </c>
      <c r="I130" s="485" t="s">
        <v>3233</v>
      </c>
      <c r="J130" s="485" t="s">
        <v>3234</v>
      </c>
      <c r="K130" s="485" t="s">
        <v>1756</v>
      </c>
      <c r="L130" s="485" t="s">
        <v>2783</v>
      </c>
      <c r="M130" s="486" t="s">
        <v>1230</v>
      </c>
      <c r="N130" s="486" t="s">
        <v>1231</v>
      </c>
      <c r="O130" s="485" t="s">
        <v>1232</v>
      </c>
      <c r="P130" s="485" t="s">
        <v>469</v>
      </c>
      <c r="Q130" s="487">
        <v>43759</v>
      </c>
      <c r="R130" s="487">
        <v>44872</v>
      </c>
      <c r="S130" s="488">
        <v>0.35</v>
      </c>
      <c r="T130" s="488"/>
      <c r="U130" s="489">
        <v>1295015.94</v>
      </c>
      <c r="V130" s="489">
        <v>1293439.6299999999</v>
      </c>
      <c r="W130" s="489">
        <v>1293439.6299999999</v>
      </c>
      <c r="X130" s="489">
        <f t="shared" si="5"/>
        <v>-1576.3100000000559</v>
      </c>
      <c r="Y130" s="489">
        <f t="shared" si="6"/>
        <v>0</v>
      </c>
      <c r="Z130" s="489">
        <v>1295015.94</v>
      </c>
      <c r="AA130" s="489">
        <v>1293439.6299999999</v>
      </c>
      <c r="AB130" s="489">
        <v>1293439.6299999999</v>
      </c>
      <c r="AC130" s="489">
        <f t="shared" si="7"/>
        <v>-1576.3100000000559</v>
      </c>
      <c r="AD130" s="489">
        <f t="shared" si="8"/>
        <v>0</v>
      </c>
      <c r="AE130" s="489">
        <v>0</v>
      </c>
      <c r="AF130" s="489">
        <v>0</v>
      </c>
      <c r="AG130" s="490" t="s">
        <v>1250</v>
      </c>
      <c r="AH130" s="490" t="s">
        <v>1252</v>
      </c>
      <c r="AI130" s="490" t="s">
        <v>1248</v>
      </c>
      <c r="AJ130" s="490" t="s">
        <v>1234</v>
      </c>
      <c r="AK130" s="490" t="s">
        <v>1251</v>
      </c>
      <c r="AL130" s="491"/>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row>
    <row r="131" spans="1:80" ht="18" customHeight="1" x14ac:dyDescent="0.25">
      <c r="A131" s="485">
        <f t="shared" si="9"/>
        <v>129</v>
      </c>
      <c r="B131" s="485" t="s">
        <v>3236</v>
      </c>
      <c r="C131" s="485">
        <v>4100000207</v>
      </c>
      <c r="D131" s="485" t="s">
        <v>4743</v>
      </c>
      <c r="E131" s="485" t="s">
        <v>1416</v>
      </c>
      <c r="F131" s="485" t="s">
        <v>2595</v>
      </c>
      <c r="G131" s="485" t="s">
        <v>3233</v>
      </c>
      <c r="H131" s="485" t="s">
        <v>2595</v>
      </c>
      <c r="I131" s="485" t="s">
        <v>3233</v>
      </c>
      <c r="J131" s="485" t="s">
        <v>3234</v>
      </c>
      <c r="K131" s="485" t="s">
        <v>1756</v>
      </c>
      <c r="L131" s="485" t="s">
        <v>2783</v>
      </c>
      <c r="M131" s="486" t="s">
        <v>1230</v>
      </c>
      <c r="N131" s="486" t="s">
        <v>1231</v>
      </c>
      <c r="O131" s="485" t="s">
        <v>1232</v>
      </c>
      <c r="P131" s="485" t="s">
        <v>469</v>
      </c>
      <c r="Q131" s="487">
        <v>43759</v>
      </c>
      <c r="R131" s="487">
        <v>44872</v>
      </c>
      <c r="S131" s="488">
        <v>1</v>
      </c>
      <c r="T131" s="488"/>
      <c r="U131" s="489">
        <v>692096.82</v>
      </c>
      <c r="V131" s="489">
        <v>691254.39</v>
      </c>
      <c r="W131" s="489">
        <v>691254.39</v>
      </c>
      <c r="X131" s="489">
        <f t="shared" ref="X131:X199" si="10">W131-U131</f>
        <v>-842.42999999993481</v>
      </c>
      <c r="Y131" s="489">
        <f t="shared" ref="Y131:Y199" si="11">W131-V131</f>
        <v>0</v>
      </c>
      <c r="Z131" s="489">
        <v>692096.82</v>
      </c>
      <c r="AA131" s="489">
        <v>691254.39</v>
      </c>
      <c r="AB131" s="489">
        <v>691254.39</v>
      </c>
      <c r="AC131" s="489">
        <f t="shared" ref="AC131:AC199" si="12">AB131-Z131</f>
        <v>-842.42999999993481</v>
      </c>
      <c r="AD131" s="489">
        <f t="shared" ref="AD131:AD199" si="13">AB131-AA131</f>
        <v>0</v>
      </c>
      <c r="AE131" s="489">
        <v>0</v>
      </c>
      <c r="AF131" s="489">
        <v>0</v>
      </c>
      <c r="AG131" s="490" t="s">
        <v>1250</v>
      </c>
      <c r="AH131" s="490" t="s">
        <v>1291</v>
      </c>
      <c r="AI131" s="490" t="s">
        <v>1317</v>
      </c>
      <c r="AJ131" s="490" t="s">
        <v>1234</v>
      </c>
      <c r="AK131" s="490" t="s">
        <v>1240</v>
      </c>
      <c r="AL131" s="49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row>
    <row r="132" spans="1:80" ht="18" customHeight="1" x14ac:dyDescent="0.25">
      <c r="A132" s="485">
        <f t="shared" ref="A132:A195" si="14">A131+1</f>
        <v>130</v>
      </c>
      <c r="B132" s="485" t="s">
        <v>3240</v>
      </c>
      <c r="C132" s="485">
        <v>6100000127</v>
      </c>
      <c r="D132" s="485" t="s">
        <v>4744</v>
      </c>
      <c r="E132" s="485" t="s">
        <v>1415</v>
      </c>
      <c r="F132" s="485" t="s">
        <v>1414</v>
      </c>
      <c r="G132" s="485" t="s">
        <v>3237</v>
      </c>
      <c r="H132" s="485" t="s">
        <v>2594</v>
      </c>
      <c r="I132" s="485" t="s">
        <v>3238</v>
      </c>
      <c r="J132" s="485" t="s">
        <v>3239</v>
      </c>
      <c r="K132" s="485" t="s">
        <v>1756</v>
      </c>
      <c r="L132" s="485" t="s">
        <v>2783</v>
      </c>
      <c r="M132" s="486" t="s">
        <v>1230</v>
      </c>
      <c r="N132" s="486" t="s">
        <v>1231</v>
      </c>
      <c r="O132" s="485" t="s">
        <v>1232</v>
      </c>
      <c r="P132" s="485" t="s">
        <v>469</v>
      </c>
      <c r="Q132" s="487">
        <v>43762</v>
      </c>
      <c r="R132" s="487">
        <v>44858</v>
      </c>
      <c r="S132" s="488">
        <v>1</v>
      </c>
      <c r="T132" s="488"/>
      <c r="U132" s="489">
        <v>2000000</v>
      </c>
      <c r="V132" s="489">
        <v>2000000</v>
      </c>
      <c r="W132" s="489">
        <v>2000000</v>
      </c>
      <c r="X132" s="489">
        <f t="shared" si="10"/>
        <v>0</v>
      </c>
      <c r="Y132" s="489">
        <f t="shared" si="11"/>
        <v>0</v>
      </c>
      <c r="Z132" s="489">
        <v>2000000</v>
      </c>
      <c r="AA132" s="489">
        <v>2000000</v>
      </c>
      <c r="AB132" s="489">
        <v>2000000</v>
      </c>
      <c r="AC132" s="489">
        <f t="shared" si="12"/>
        <v>0</v>
      </c>
      <c r="AD132" s="489">
        <f t="shared" si="13"/>
        <v>0</v>
      </c>
      <c r="AE132" s="489">
        <v>0</v>
      </c>
      <c r="AF132" s="489">
        <v>0</v>
      </c>
      <c r="AG132" s="490" t="s">
        <v>1888</v>
      </c>
      <c r="AH132" s="490" t="s">
        <v>1888</v>
      </c>
      <c r="AI132" s="490" t="s">
        <v>1342</v>
      </c>
      <c r="AJ132" s="490" t="s">
        <v>1234</v>
      </c>
      <c r="AK132" s="490" t="s">
        <v>1240</v>
      </c>
      <c r="AL132" s="491"/>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row>
    <row r="133" spans="1:80" ht="18" customHeight="1" x14ac:dyDescent="0.25">
      <c r="A133" s="485">
        <f t="shared" si="14"/>
        <v>131</v>
      </c>
      <c r="B133" s="485" t="s">
        <v>4745</v>
      </c>
      <c r="C133" s="511">
        <v>5100000154</v>
      </c>
      <c r="D133" s="485" t="s">
        <v>4746</v>
      </c>
      <c r="E133" s="485" t="s">
        <v>1892</v>
      </c>
      <c r="F133" s="485" t="s">
        <v>3243</v>
      </c>
      <c r="G133" s="485" t="s">
        <v>3241</v>
      </c>
      <c r="H133" s="485" t="s">
        <v>2570</v>
      </c>
      <c r="I133" s="485" t="s">
        <v>3040</v>
      </c>
      <c r="J133" s="485" t="s">
        <v>3242</v>
      </c>
      <c r="K133" s="485" t="s">
        <v>1756</v>
      </c>
      <c r="L133" s="485" t="s">
        <v>2783</v>
      </c>
      <c r="M133" s="486" t="s">
        <v>1230</v>
      </c>
      <c r="N133" s="486" t="s">
        <v>1231</v>
      </c>
      <c r="O133" s="485" t="s">
        <v>1231</v>
      </c>
      <c r="P133" s="485" t="s">
        <v>469</v>
      </c>
      <c r="Q133" s="487">
        <v>43767</v>
      </c>
      <c r="R133" s="487">
        <v>45435</v>
      </c>
      <c r="S133" s="512">
        <v>1</v>
      </c>
      <c r="T133" s="488"/>
      <c r="U133" s="489">
        <v>4956171.57</v>
      </c>
      <c r="V133" s="489">
        <v>4961547.32</v>
      </c>
      <c r="W133" s="489">
        <v>5282000</v>
      </c>
      <c r="X133" s="489">
        <f t="shared" si="10"/>
        <v>325828.4299999997</v>
      </c>
      <c r="Y133" s="489">
        <f t="shared" si="11"/>
        <v>320452.6799999997</v>
      </c>
      <c r="Z133" s="489">
        <v>4956171.57</v>
      </c>
      <c r="AA133" s="489">
        <v>4956171.57</v>
      </c>
      <c r="AB133" s="489">
        <v>5282000</v>
      </c>
      <c r="AC133" s="489">
        <f t="shared" si="12"/>
        <v>325828.4299999997</v>
      </c>
      <c r="AD133" s="489">
        <f t="shared" si="13"/>
        <v>325828.4299999997</v>
      </c>
      <c r="AE133" s="489">
        <v>0</v>
      </c>
      <c r="AF133" s="489">
        <v>0</v>
      </c>
      <c r="AG133" s="513" t="s">
        <v>1288</v>
      </c>
      <c r="AH133" s="513" t="s">
        <v>1252</v>
      </c>
      <c r="AI133" s="490" t="s">
        <v>1248</v>
      </c>
      <c r="AJ133" s="490" t="s">
        <v>1234</v>
      </c>
      <c r="AK133" s="513" t="s">
        <v>1278</v>
      </c>
      <c r="AL133" s="491"/>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row>
    <row r="134" spans="1:80" ht="18" customHeight="1" x14ac:dyDescent="0.25">
      <c r="A134" s="492">
        <f t="shared" si="14"/>
        <v>132</v>
      </c>
      <c r="B134" s="492" t="s">
        <v>3246</v>
      </c>
      <c r="C134" s="492">
        <v>6100000173</v>
      </c>
      <c r="D134" s="492" t="s">
        <v>4747</v>
      </c>
      <c r="E134" s="492" t="s">
        <v>1418</v>
      </c>
      <c r="F134" s="492" t="s">
        <v>1417</v>
      </c>
      <c r="G134" s="492" t="s">
        <v>3244</v>
      </c>
      <c r="H134" s="492" t="s">
        <v>1417</v>
      </c>
      <c r="I134" s="492" t="s">
        <v>3244</v>
      </c>
      <c r="J134" s="492" t="s">
        <v>3245</v>
      </c>
      <c r="K134" s="492" t="s">
        <v>1756</v>
      </c>
      <c r="L134" s="492" t="s">
        <v>2783</v>
      </c>
      <c r="M134" s="493" t="s">
        <v>1230</v>
      </c>
      <c r="N134" s="493" t="s">
        <v>1232</v>
      </c>
      <c r="O134" s="492" t="s">
        <v>1232</v>
      </c>
      <c r="P134" s="492" t="s">
        <v>469</v>
      </c>
      <c r="Q134" s="494">
        <v>43769</v>
      </c>
      <c r="R134" s="494">
        <v>44781</v>
      </c>
      <c r="S134" s="498">
        <v>1</v>
      </c>
      <c r="T134" s="498"/>
      <c r="U134" s="496">
        <v>6554374.1200000001</v>
      </c>
      <c r="V134" s="496">
        <v>6554374.1200000001</v>
      </c>
      <c r="W134" s="496">
        <v>6554374.1200000001</v>
      </c>
      <c r="X134" s="496">
        <f t="shared" si="10"/>
        <v>0</v>
      </c>
      <c r="Y134" s="496">
        <f t="shared" si="11"/>
        <v>0</v>
      </c>
      <c r="Z134" s="496">
        <v>6554374.1200000001</v>
      </c>
      <c r="AA134" s="496">
        <v>6554374.1200000001</v>
      </c>
      <c r="AB134" s="496">
        <v>6554374.1200000001</v>
      </c>
      <c r="AC134" s="496">
        <f t="shared" si="12"/>
        <v>0</v>
      </c>
      <c r="AD134" s="496">
        <f t="shared" si="13"/>
        <v>0</v>
      </c>
      <c r="AE134" s="496">
        <v>0</v>
      </c>
      <c r="AF134" s="496">
        <v>0</v>
      </c>
      <c r="AG134" s="497" t="s">
        <v>1888</v>
      </c>
      <c r="AH134" s="497" t="s">
        <v>1888</v>
      </c>
      <c r="AI134" s="497" t="s">
        <v>1342</v>
      </c>
      <c r="AJ134" s="497" t="s">
        <v>1234</v>
      </c>
      <c r="AK134" s="497" t="s">
        <v>1240</v>
      </c>
      <c r="AL134" s="491"/>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row>
    <row r="135" spans="1:80" ht="18" customHeight="1" x14ac:dyDescent="0.25">
      <c r="A135" s="492">
        <f t="shared" si="14"/>
        <v>133</v>
      </c>
      <c r="B135" s="492" t="s">
        <v>3250</v>
      </c>
      <c r="C135" s="492">
        <v>2100000166</v>
      </c>
      <c r="D135" s="492" t="s">
        <v>4748</v>
      </c>
      <c r="E135" s="492" t="s">
        <v>1421</v>
      </c>
      <c r="F135" s="492" t="s">
        <v>1420</v>
      </c>
      <c r="G135" s="492" t="s">
        <v>3247</v>
      </c>
      <c r="H135" s="492" t="s">
        <v>2567</v>
      </c>
      <c r="I135" s="492" t="s">
        <v>3248</v>
      </c>
      <c r="J135" s="492" t="s">
        <v>3249</v>
      </c>
      <c r="K135" s="492" t="s">
        <v>1756</v>
      </c>
      <c r="L135" s="492" t="s">
        <v>2783</v>
      </c>
      <c r="M135" s="493" t="s">
        <v>1230</v>
      </c>
      <c r="N135" s="493" t="s">
        <v>1232</v>
      </c>
      <c r="O135" s="492" t="s">
        <v>1231</v>
      </c>
      <c r="P135" s="492" t="s">
        <v>469</v>
      </c>
      <c r="Q135" s="494">
        <v>43770</v>
      </c>
      <c r="R135" s="494">
        <v>44805</v>
      </c>
      <c r="S135" s="498">
        <v>1.5</v>
      </c>
      <c r="T135" s="498"/>
      <c r="U135" s="496">
        <v>9796618</v>
      </c>
      <c r="V135" s="496">
        <v>9796618</v>
      </c>
      <c r="W135" s="496">
        <v>9796618</v>
      </c>
      <c r="X135" s="496">
        <f t="shared" si="10"/>
        <v>0</v>
      </c>
      <c r="Y135" s="496">
        <f t="shared" si="11"/>
        <v>0</v>
      </c>
      <c r="Z135" s="496">
        <v>5633607.7699999996</v>
      </c>
      <c r="AA135" s="496">
        <v>5666995.7800000003</v>
      </c>
      <c r="AB135" s="496">
        <v>5666995.7800000003</v>
      </c>
      <c r="AC135" s="496">
        <f t="shared" si="12"/>
        <v>33388.010000000708</v>
      </c>
      <c r="AD135" s="496">
        <f t="shared" si="13"/>
        <v>0</v>
      </c>
      <c r="AE135" s="496">
        <v>0</v>
      </c>
      <c r="AF135" s="496">
        <v>4129622.22</v>
      </c>
      <c r="AG135" s="497" t="s">
        <v>1245</v>
      </c>
      <c r="AH135" s="497" t="s">
        <v>1298</v>
      </c>
      <c r="AI135" s="497"/>
      <c r="AJ135" s="497" t="s">
        <v>1246</v>
      </c>
      <c r="AK135" s="497" t="s">
        <v>1235</v>
      </c>
      <c r="AL135" s="491"/>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row>
    <row r="136" spans="1:80" ht="18" customHeight="1" x14ac:dyDescent="0.25">
      <c r="A136" s="485">
        <f t="shared" si="14"/>
        <v>134</v>
      </c>
      <c r="B136" s="485" t="s">
        <v>3251</v>
      </c>
      <c r="C136" s="485">
        <v>6100000166</v>
      </c>
      <c r="D136" s="485" t="s">
        <v>4749</v>
      </c>
      <c r="E136" s="485" t="s">
        <v>1364</v>
      </c>
      <c r="F136" s="485" t="s">
        <v>2575</v>
      </c>
      <c r="G136" s="485" t="s">
        <v>3073</v>
      </c>
      <c r="H136" s="485" t="s">
        <v>2575</v>
      </c>
      <c r="I136" s="485" t="s">
        <v>3073</v>
      </c>
      <c r="J136" s="485" t="s">
        <v>3074</v>
      </c>
      <c r="K136" s="485" t="s">
        <v>1756</v>
      </c>
      <c r="L136" s="485" t="s">
        <v>2783</v>
      </c>
      <c r="M136" s="486" t="s">
        <v>1230</v>
      </c>
      <c r="N136" s="486" t="s">
        <v>1231</v>
      </c>
      <c r="O136" s="485" t="s">
        <v>1232</v>
      </c>
      <c r="P136" s="485" t="s">
        <v>469</v>
      </c>
      <c r="Q136" s="487">
        <v>43783</v>
      </c>
      <c r="R136" s="487">
        <v>44725</v>
      </c>
      <c r="S136" s="488">
        <v>1</v>
      </c>
      <c r="T136" s="488"/>
      <c r="U136" s="489">
        <v>250000</v>
      </c>
      <c r="V136" s="489">
        <v>250000</v>
      </c>
      <c r="W136" s="489">
        <v>250000</v>
      </c>
      <c r="X136" s="489">
        <f t="shared" si="10"/>
        <v>0</v>
      </c>
      <c r="Y136" s="489">
        <f t="shared" si="11"/>
        <v>0</v>
      </c>
      <c r="Z136" s="489">
        <v>250000</v>
      </c>
      <c r="AA136" s="489">
        <v>250000</v>
      </c>
      <c r="AB136" s="489">
        <v>250000</v>
      </c>
      <c r="AC136" s="489">
        <f t="shared" si="12"/>
        <v>0</v>
      </c>
      <c r="AD136" s="489">
        <f t="shared" si="13"/>
        <v>0</v>
      </c>
      <c r="AE136" s="489">
        <v>0</v>
      </c>
      <c r="AF136" s="489">
        <v>0</v>
      </c>
      <c r="AG136" s="490" t="s">
        <v>1888</v>
      </c>
      <c r="AH136" s="490" t="s">
        <v>1888</v>
      </c>
      <c r="AI136" s="490" t="s">
        <v>1342</v>
      </c>
      <c r="AJ136" s="490" t="s">
        <v>1234</v>
      </c>
      <c r="AK136" s="490" t="s">
        <v>1278</v>
      </c>
      <c r="AL136" s="491"/>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row>
    <row r="137" spans="1:80" ht="18" customHeight="1" x14ac:dyDescent="0.25">
      <c r="A137" s="485">
        <f t="shared" si="14"/>
        <v>135</v>
      </c>
      <c r="B137" s="485" t="s">
        <v>3255</v>
      </c>
      <c r="C137" s="485">
        <v>2100000148</v>
      </c>
      <c r="D137" s="485" t="s">
        <v>4750</v>
      </c>
      <c r="E137" s="485" t="s">
        <v>1423</v>
      </c>
      <c r="F137" s="485" t="s">
        <v>1422</v>
      </c>
      <c r="G137" s="485" t="s">
        <v>3252</v>
      </c>
      <c r="H137" s="485" t="s">
        <v>2596</v>
      </c>
      <c r="I137" s="485" t="s">
        <v>3253</v>
      </c>
      <c r="J137" s="485" t="s">
        <v>3254</v>
      </c>
      <c r="K137" s="485" t="s">
        <v>1756</v>
      </c>
      <c r="L137" s="485" t="s">
        <v>2783</v>
      </c>
      <c r="M137" s="486" t="s">
        <v>1230</v>
      </c>
      <c r="N137" s="486" t="s">
        <v>1231</v>
      </c>
      <c r="O137" s="485" t="s">
        <v>1232</v>
      </c>
      <c r="P137" s="485" t="s">
        <v>469</v>
      </c>
      <c r="Q137" s="487">
        <v>43791</v>
      </c>
      <c r="R137" s="487">
        <v>44834</v>
      </c>
      <c r="S137" s="488">
        <v>1.5</v>
      </c>
      <c r="T137" s="488"/>
      <c r="U137" s="489">
        <v>2615000</v>
      </c>
      <c r="V137" s="489">
        <v>2615000</v>
      </c>
      <c r="W137" s="489">
        <v>2615000</v>
      </c>
      <c r="X137" s="489">
        <f t="shared" si="10"/>
        <v>0</v>
      </c>
      <c r="Y137" s="489">
        <f t="shared" si="11"/>
        <v>0</v>
      </c>
      <c r="Z137" s="489">
        <v>2218990.7000000002</v>
      </c>
      <c r="AA137" s="489">
        <v>2232793.41</v>
      </c>
      <c r="AB137" s="489">
        <v>2232793.41</v>
      </c>
      <c r="AC137" s="489">
        <f t="shared" si="12"/>
        <v>13802.709999999963</v>
      </c>
      <c r="AD137" s="489">
        <f t="shared" si="13"/>
        <v>0</v>
      </c>
      <c r="AE137" s="489">
        <v>0</v>
      </c>
      <c r="AF137" s="489">
        <v>382206.59</v>
      </c>
      <c r="AG137" s="490" t="s">
        <v>1245</v>
      </c>
      <c r="AH137" s="490" t="s">
        <v>1247</v>
      </c>
      <c r="AI137" s="490" t="s">
        <v>1248</v>
      </c>
      <c r="AJ137" s="490" t="s">
        <v>1246</v>
      </c>
      <c r="AK137" s="490" t="s">
        <v>1235</v>
      </c>
      <c r="AL137" s="491"/>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row>
    <row r="138" spans="1:80" ht="18" customHeight="1" x14ac:dyDescent="0.25">
      <c r="A138" s="485">
        <f t="shared" si="14"/>
        <v>136</v>
      </c>
      <c r="B138" s="485" t="s">
        <v>3258</v>
      </c>
      <c r="C138" s="485">
        <v>2100000182</v>
      </c>
      <c r="D138" s="485" t="s">
        <v>4751</v>
      </c>
      <c r="E138" s="485" t="s">
        <v>1425</v>
      </c>
      <c r="F138" s="485" t="s">
        <v>1424</v>
      </c>
      <c r="G138" s="485" t="s">
        <v>3256</v>
      </c>
      <c r="H138" s="485" t="s">
        <v>2596</v>
      </c>
      <c r="I138" s="485" t="s">
        <v>3253</v>
      </c>
      <c r="J138" s="485" t="s">
        <v>3257</v>
      </c>
      <c r="K138" s="485" t="s">
        <v>1756</v>
      </c>
      <c r="L138" s="485" t="s">
        <v>2783</v>
      </c>
      <c r="M138" s="486" t="s">
        <v>1230</v>
      </c>
      <c r="N138" s="486" t="s">
        <v>1231</v>
      </c>
      <c r="O138" s="485" t="s">
        <v>1232</v>
      </c>
      <c r="P138" s="485" t="s">
        <v>469</v>
      </c>
      <c r="Q138" s="487">
        <v>43791</v>
      </c>
      <c r="R138" s="487">
        <v>44742</v>
      </c>
      <c r="S138" s="488">
        <v>1.5</v>
      </c>
      <c r="T138" s="488"/>
      <c r="U138" s="489">
        <v>2095000</v>
      </c>
      <c r="V138" s="489">
        <v>2095000</v>
      </c>
      <c r="W138" s="489">
        <v>2095000</v>
      </c>
      <c r="X138" s="489">
        <f t="shared" si="10"/>
        <v>0</v>
      </c>
      <c r="Y138" s="489">
        <f t="shared" si="11"/>
        <v>0</v>
      </c>
      <c r="Z138" s="489">
        <v>2028146.19</v>
      </c>
      <c r="AA138" s="489">
        <v>2040761.84</v>
      </c>
      <c r="AB138" s="489">
        <v>2040761.84</v>
      </c>
      <c r="AC138" s="489">
        <f t="shared" si="12"/>
        <v>12615.65000000014</v>
      </c>
      <c r="AD138" s="489">
        <f t="shared" si="13"/>
        <v>0</v>
      </c>
      <c r="AE138" s="489">
        <v>0</v>
      </c>
      <c r="AF138" s="489">
        <v>54238.16</v>
      </c>
      <c r="AG138" s="490" t="s">
        <v>1245</v>
      </c>
      <c r="AH138" s="490" t="s">
        <v>1247</v>
      </c>
      <c r="AI138" s="490" t="s">
        <v>1248</v>
      </c>
      <c r="AJ138" s="490" t="s">
        <v>1246</v>
      </c>
      <c r="AK138" s="490" t="s">
        <v>1235</v>
      </c>
      <c r="AL138" s="491"/>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row>
    <row r="139" spans="1:80" ht="18" customHeight="1" x14ac:dyDescent="0.25">
      <c r="A139" s="485">
        <f t="shared" si="14"/>
        <v>137</v>
      </c>
      <c r="B139" s="485" t="s">
        <v>3264</v>
      </c>
      <c r="C139" s="485">
        <v>4100000171</v>
      </c>
      <c r="D139" s="485" t="s">
        <v>4752</v>
      </c>
      <c r="E139" s="485" t="s">
        <v>1429</v>
      </c>
      <c r="F139" s="485" t="s">
        <v>1428</v>
      </c>
      <c r="G139" s="485" t="s">
        <v>3262</v>
      </c>
      <c r="H139" s="485" t="s">
        <v>2553</v>
      </c>
      <c r="I139" s="485" t="s">
        <v>2904</v>
      </c>
      <c r="J139" s="485" t="s">
        <v>3263</v>
      </c>
      <c r="K139" s="485" t="s">
        <v>1756</v>
      </c>
      <c r="L139" s="485" t="s">
        <v>2783</v>
      </c>
      <c r="M139" s="486" t="s">
        <v>1230</v>
      </c>
      <c r="N139" s="486" t="s">
        <v>1231</v>
      </c>
      <c r="O139" s="485" t="s">
        <v>1232</v>
      </c>
      <c r="P139" s="485" t="s">
        <v>469</v>
      </c>
      <c r="Q139" s="487">
        <v>43804</v>
      </c>
      <c r="R139" s="487">
        <v>44901</v>
      </c>
      <c r="S139" s="488">
        <v>0.35</v>
      </c>
      <c r="T139" s="488"/>
      <c r="U139" s="489">
        <v>2175220</v>
      </c>
      <c r="V139" s="489">
        <v>2175220</v>
      </c>
      <c r="W139" s="489">
        <v>2175220</v>
      </c>
      <c r="X139" s="489">
        <f t="shared" si="10"/>
        <v>0</v>
      </c>
      <c r="Y139" s="489">
        <f t="shared" si="11"/>
        <v>0</v>
      </c>
      <c r="Z139" s="489">
        <v>2175220</v>
      </c>
      <c r="AA139" s="489">
        <v>2175220</v>
      </c>
      <c r="AB139" s="489">
        <v>2175220</v>
      </c>
      <c r="AC139" s="489">
        <f t="shared" si="12"/>
        <v>0</v>
      </c>
      <c r="AD139" s="489">
        <f t="shared" si="13"/>
        <v>0</v>
      </c>
      <c r="AE139" s="489">
        <v>0</v>
      </c>
      <c r="AF139" s="489">
        <v>0</v>
      </c>
      <c r="AG139" s="490" t="s">
        <v>1250</v>
      </c>
      <c r="AH139" s="490" t="s">
        <v>1252</v>
      </c>
      <c r="AI139" s="490" t="s">
        <v>1269</v>
      </c>
      <c r="AJ139" s="490" t="s">
        <v>1234</v>
      </c>
      <c r="AK139" s="490" t="s">
        <v>1251</v>
      </c>
      <c r="AL139" s="491"/>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row>
    <row r="140" spans="1:80" ht="18" customHeight="1" x14ac:dyDescent="0.25">
      <c r="A140" s="485">
        <f t="shared" si="14"/>
        <v>138</v>
      </c>
      <c r="B140" s="485" t="s">
        <v>3266</v>
      </c>
      <c r="C140" s="485">
        <v>1100000184</v>
      </c>
      <c r="D140" s="485" t="s">
        <v>4753</v>
      </c>
      <c r="E140" s="485" t="s">
        <v>337</v>
      </c>
      <c r="F140" s="485" t="s">
        <v>130</v>
      </c>
      <c r="G140" s="485" t="s">
        <v>1107</v>
      </c>
      <c r="H140" s="485" t="s">
        <v>130</v>
      </c>
      <c r="I140" s="485" t="s">
        <v>1107</v>
      </c>
      <c r="J140" s="485" t="s">
        <v>3265</v>
      </c>
      <c r="K140" s="485" t="s">
        <v>1756</v>
      </c>
      <c r="L140" s="485" t="s">
        <v>2783</v>
      </c>
      <c r="M140" s="486" t="s">
        <v>1230</v>
      </c>
      <c r="N140" s="486" t="s">
        <v>1231</v>
      </c>
      <c r="O140" s="485" t="s">
        <v>1232</v>
      </c>
      <c r="P140" s="485" t="s">
        <v>1156</v>
      </c>
      <c r="Q140" s="487">
        <v>43804</v>
      </c>
      <c r="R140" s="487">
        <v>45631</v>
      </c>
      <c r="S140" s="488">
        <v>1</v>
      </c>
      <c r="T140" s="488"/>
      <c r="U140" s="489">
        <v>5250000</v>
      </c>
      <c r="V140" s="489">
        <v>5250000</v>
      </c>
      <c r="W140" s="489">
        <v>5250000</v>
      </c>
      <c r="X140" s="489">
        <f t="shared" si="10"/>
        <v>0</v>
      </c>
      <c r="Y140" s="489">
        <f t="shared" si="11"/>
        <v>0</v>
      </c>
      <c r="Z140" s="489">
        <v>5250000</v>
      </c>
      <c r="AA140" s="489">
        <v>5250000</v>
      </c>
      <c r="AB140" s="489">
        <v>5250000</v>
      </c>
      <c r="AC140" s="489">
        <f t="shared" si="12"/>
        <v>0</v>
      </c>
      <c r="AD140" s="489">
        <f t="shared" si="13"/>
        <v>0</v>
      </c>
      <c r="AE140" s="489">
        <v>0</v>
      </c>
      <c r="AF140" s="489">
        <v>0</v>
      </c>
      <c r="AG140" s="490" t="s">
        <v>1237</v>
      </c>
      <c r="AH140" s="490" t="s">
        <v>1305</v>
      </c>
      <c r="AI140" s="490"/>
      <c r="AJ140" s="490" t="s">
        <v>1304</v>
      </c>
      <c r="AK140" s="490" t="s">
        <v>1260</v>
      </c>
      <c r="AL140" s="491"/>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row>
    <row r="141" spans="1:80" ht="18" customHeight="1" x14ac:dyDescent="0.25">
      <c r="A141" s="485">
        <f t="shared" si="14"/>
        <v>139</v>
      </c>
      <c r="B141" s="485" t="s">
        <v>3267</v>
      </c>
      <c r="C141" s="485">
        <v>1100000182</v>
      </c>
      <c r="D141" s="485" t="s">
        <v>4754</v>
      </c>
      <c r="E141" s="485" t="s">
        <v>337</v>
      </c>
      <c r="F141" s="485" t="s">
        <v>130</v>
      </c>
      <c r="G141" s="485" t="s">
        <v>1107</v>
      </c>
      <c r="H141" s="485" t="s">
        <v>130</v>
      </c>
      <c r="I141" s="485" t="s">
        <v>1107</v>
      </c>
      <c r="J141" s="485" t="s">
        <v>3265</v>
      </c>
      <c r="K141" s="485" t="s">
        <v>1281</v>
      </c>
      <c r="L141" s="485" t="s">
        <v>2783</v>
      </c>
      <c r="M141" s="486" t="s">
        <v>1230</v>
      </c>
      <c r="N141" s="486" t="s">
        <v>1231</v>
      </c>
      <c r="O141" s="485" t="s">
        <v>1231</v>
      </c>
      <c r="P141" s="485" t="s">
        <v>1156</v>
      </c>
      <c r="Q141" s="487">
        <v>43804</v>
      </c>
      <c r="R141" s="487">
        <v>45631</v>
      </c>
      <c r="S141" s="488">
        <v>1</v>
      </c>
      <c r="T141" s="488"/>
      <c r="U141" s="489">
        <v>1000000</v>
      </c>
      <c r="V141" s="489">
        <v>1000000</v>
      </c>
      <c r="W141" s="489">
        <v>1000000</v>
      </c>
      <c r="X141" s="489">
        <f t="shared" si="10"/>
        <v>0</v>
      </c>
      <c r="Y141" s="489">
        <f t="shared" si="11"/>
        <v>0</v>
      </c>
      <c r="Z141" s="489">
        <v>0</v>
      </c>
      <c r="AA141" s="489">
        <v>0</v>
      </c>
      <c r="AB141" s="489">
        <v>0</v>
      </c>
      <c r="AC141" s="489">
        <f t="shared" si="12"/>
        <v>0</v>
      </c>
      <c r="AD141" s="489">
        <f t="shared" si="13"/>
        <v>0</v>
      </c>
      <c r="AE141" s="489">
        <v>0</v>
      </c>
      <c r="AF141" s="489">
        <v>1000000</v>
      </c>
      <c r="AG141" s="490" t="s">
        <v>1237</v>
      </c>
      <c r="AH141" s="490" t="s">
        <v>1305</v>
      </c>
      <c r="AI141" s="490"/>
      <c r="AJ141" s="490" t="s">
        <v>1304</v>
      </c>
      <c r="AK141" s="490" t="s">
        <v>1260</v>
      </c>
      <c r="AL141" s="49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row>
    <row r="142" spans="1:80" ht="18" customHeight="1" x14ac:dyDescent="0.25">
      <c r="A142" s="492">
        <f t="shared" si="14"/>
        <v>140</v>
      </c>
      <c r="B142" s="492" t="s">
        <v>3270</v>
      </c>
      <c r="C142" s="492">
        <v>2100000162</v>
      </c>
      <c r="D142" s="492" t="s">
        <v>4755</v>
      </c>
      <c r="E142" s="492" t="s">
        <v>1431</v>
      </c>
      <c r="F142" s="492" t="s">
        <v>1430</v>
      </c>
      <c r="G142" s="492" t="s">
        <v>3268</v>
      </c>
      <c r="H142" s="492" t="s">
        <v>1430</v>
      </c>
      <c r="I142" s="492" t="s">
        <v>3268</v>
      </c>
      <c r="J142" s="492" t="s">
        <v>3269</v>
      </c>
      <c r="K142" s="492" t="s">
        <v>1756</v>
      </c>
      <c r="L142" s="492" t="s">
        <v>2783</v>
      </c>
      <c r="M142" s="493" t="s">
        <v>1230</v>
      </c>
      <c r="N142" s="493" t="s">
        <v>1232</v>
      </c>
      <c r="O142" s="492" t="s">
        <v>1231</v>
      </c>
      <c r="P142" s="492" t="s">
        <v>469</v>
      </c>
      <c r="Q142" s="494">
        <v>43817</v>
      </c>
      <c r="R142" s="494">
        <v>44694</v>
      </c>
      <c r="S142" s="498">
        <v>1.5</v>
      </c>
      <c r="T142" s="498"/>
      <c r="U142" s="496">
        <v>8143920.6799999997</v>
      </c>
      <c r="V142" s="496">
        <v>3423173.18</v>
      </c>
      <c r="W142" s="496">
        <v>3423173.18</v>
      </c>
      <c r="X142" s="496">
        <f t="shared" si="10"/>
        <v>-4720747.5</v>
      </c>
      <c r="Y142" s="496">
        <f t="shared" si="11"/>
        <v>0</v>
      </c>
      <c r="Z142" s="496">
        <v>7387052</v>
      </c>
      <c r="AA142" s="496">
        <v>2712784.72</v>
      </c>
      <c r="AB142" s="496">
        <v>2712784.72</v>
      </c>
      <c r="AC142" s="496">
        <f t="shared" si="12"/>
        <v>-4674267.2799999993</v>
      </c>
      <c r="AD142" s="496">
        <f t="shared" si="13"/>
        <v>0</v>
      </c>
      <c r="AE142" s="496">
        <v>0</v>
      </c>
      <c r="AF142" s="496">
        <v>710388.46</v>
      </c>
      <c r="AG142" s="497" t="s">
        <v>1245</v>
      </c>
      <c r="AH142" s="497" t="s">
        <v>1247</v>
      </c>
      <c r="AI142" s="497" t="s">
        <v>1248</v>
      </c>
      <c r="AJ142" s="497" t="s">
        <v>1246</v>
      </c>
      <c r="AK142" s="497" t="s">
        <v>1235</v>
      </c>
      <c r="AL142" s="491"/>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row>
    <row r="143" spans="1:80" ht="18" customHeight="1" x14ac:dyDescent="0.25">
      <c r="A143" s="492">
        <f t="shared" si="14"/>
        <v>141</v>
      </c>
      <c r="B143" s="492" t="s">
        <v>3274</v>
      </c>
      <c r="C143" s="492">
        <v>4100000001</v>
      </c>
      <c r="D143" s="492" t="s">
        <v>4756</v>
      </c>
      <c r="E143" s="492" t="s">
        <v>1432</v>
      </c>
      <c r="F143" s="492" t="s">
        <v>3273</v>
      </c>
      <c r="G143" s="492" t="s">
        <v>3271</v>
      </c>
      <c r="H143" s="492" t="s">
        <v>3273</v>
      </c>
      <c r="I143" s="492" t="s">
        <v>3271</v>
      </c>
      <c r="J143" s="492" t="s">
        <v>3272</v>
      </c>
      <c r="K143" s="492" t="s">
        <v>1756</v>
      </c>
      <c r="L143" s="492" t="s">
        <v>2783</v>
      </c>
      <c r="M143" s="493" t="s">
        <v>1230</v>
      </c>
      <c r="N143" s="493" t="s">
        <v>1232</v>
      </c>
      <c r="O143" s="492" t="s">
        <v>1232</v>
      </c>
      <c r="P143" s="492" t="s">
        <v>469</v>
      </c>
      <c r="Q143" s="494">
        <v>43818</v>
      </c>
      <c r="R143" s="494">
        <v>45660</v>
      </c>
      <c r="S143" s="498">
        <v>0.35</v>
      </c>
      <c r="T143" s="498"/>
      <c r="U143" s="496">
        <v>725000</v>
      </c>
      <c r="V143" s="496">
        <v>725000</v>
      </c>
      <c r="W143" s="496">
        <v>725000</v>
      </c>
      <c r="X143" s="496">
        <f t="shared" si="10"/>
        <v>0</v>
      </c>
      <c r="Y143" s="496">
        <f t="shared" si="11"/>
        <v>0</v>
      </c>
      <c r="Z143" s="496">
        <v>725000</v>
      </c>
      <c r="AA143" s="496">
        <v>725000</v>
      </c>
      <c r="AB143" s="496">
        <v>725000</v>
      </c>
      <c r="AC143" s="496">
        <f t="shared" si="12"/>
        <v>0</v>
      </c>
      <c r="AD143" s="496">
        <f t="shared" si="13"/>
        <v>0</v>
      </c>
      <c r="AE143" s="496">
        <v>0</v>
      </c>
      <c r="AF143" s="496">
        <v>0</v>
      </c>
      <c r="AG143" s="497" t="s">
        <v>1250</v>
      </c>
      <c r="AH143" s="497" t="s">
        <v>1252</v>
      </c>
      <c r="AI143" s="497" t="s">
        <v>1269</v>
      </c>
      <c r="AJ143" s="497" t="s">
        <v>1234</v>
      </c>
      <c r="AK143" s="497" t="s">
        <v>1251</v>
      </c>
      <c r="AL143" s="491"/>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row>
    <row r="144" spans="1:80" ht="18" customHeight="1" x14ac:dyDescent="0.25">
      <c r="A144" s="485">
        <f t="shared" si="14"/>
        <v>142</v>
      </c>
      <c r="B144" s="485" t="s">
        <v>3278</v>
      </c>
      <c r="C144" s="485">
        <v>2100000167</v>
      </c>
      <c r="D144" s="485" t="s">
        <v>4757</v>
      </c>
      <c r="E144" s="485" t="s">
        <v>1434</v>
      </c>
      <c r="F144" s="485" t="s">
        <v>1433</v>
      </c>
      <c r="G144" s="485" t="s">
        <v>3275</v>
      </c>
      <c r="H144" s="485" t="s">
        <v>2597</v>
      </c>
      <c r="I144" s="485" t="s">
        <v>3276</v>
      </c>
      <c r="J144" s="485" t="s">
        <v>3277</v>
      </c>
      <c r="K144" s="485" t="s">
        <v>1756</v>
      </c>
      <c r="L144" s="485" t="s">
        <v>2783</v>
      </c>
      <c r="M144" s="486" t="s">
        <v>1230</v>
      </c>
      <c r="N144" s="486" t="s">
        <v>1231</v>
      </c>
      <c r="O144" s="485" t="s">
        <v>1231</v>
      </c>
      <c r="P144" s="485" t="s">
        <v>469</v>
      </c>
      <c r="Q144" s="487">
        <v>43819</v>
      </c>
      <c r="R144" s="487">
        <v>45411</v>
      </c>
      <c r="S144" s="488">
        <v>1.5</v>
      </c>
      <c r="T144" s="488"/>
      <c r="U144" s="573">
        <v>67000000</v>
      </c>
      <c r="V144" s="573">
        <v>67000000</v>
      </c>
      <c r="W144" s="573">
        <v>67000000</v>
      </c>
      <c r="X144" s="573">
        <f>V144-(SUM(U144:U157))</f>
        <v>0</v>
      </c>
      <c r="Y144" s="573">
        <f t="shared" si="11"/>
        <v>0</v>
      </c>
      <c r="Z144" s="489">
        <v>0</v>
      </c>
      <c r="AA144" s="489">
        <v>0</v>
      </c>
      <c r="AB144" s="489">
        <v>0</v>
      </c>
      <c r="AC144" s="489">
        <f t="shared" si="12"/>
        <v>0</v>
      </c>
      <c r="AD144" s="489">
        <f t="shared" si="13"/>
        <v>0</v>
      </c>
      <c r="AE144" s="489">
        <v>0</v>
      </c>
      <c r="AF144" s="573">
        <f>W144-SUM(AB144:AB157)</f>
        <v>11579317.109999992</v>
      </c>
      <c r="AG144" s="490" t="s">
        <v>1245</v>
      </c>
      <c r="AH144" s="490" t="s">
        <v>1247</v>
      </c>
      <c r="AI144" s="490" t="s">
        <v>1269</v>
      </c>
      <c r="AJ144" s="490" t="s">
        <v>1246</v>
      </c>
      <c r="AK144" s="490" t="s">
        <v>1235</v>
      </c>
      <c r="AL144" s="491"/>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row>
    <row r="145" spans="1:80" ht="18" customHeight="1" x14ac:dyDescent="0.25">
      <c r="A145" s="485">
        <f t="shared" si="14"/>
        <v>143</v>
      </c>
      <c r="B145" s="485" t="s">
        <v>3281</v>
      </c>
      <c r="C145" s="485">
        <v>2100000171</v>
      </c>
      <c r="D145" s="485" t="s">
        <v>4758</v>
      </c>
      <c r="E145" s="485" t="s">
        <v>1434</v>
      </c>
      <c r="F145" s="485" t="s">
        <v>3280</v>
      </c>
      <c r="G145" s="485" t="s">
        <v>3279</v>
      </c>
      <c r="H145" s="485" t="s">
        <v>2597</v>
      </c>
      <c r="I145" s="485" t="s">
        <v>3276</v>
      </c>
      <c r="J145" s="485" t="s">
        <v>3277</v>
      </c>
      <c r="K145" s="485" t="s">
        <v>1281</v>
      </c>
      <c r="L145" s="485" t="s">
        <v>2783</v>
      </c>
      <c r="M145" s="486" t="s">
        <v>1230</v>
      </c>
      <c r="N145" s="486" t="s">
        <v>1231</v>
      </c>
      <c r="O145" s="485" t="s">
        <v>1231</v>
      </c>
      <c r="P145" s="485" t="s">
        <v>469</v>
      </c>
      <c r="Q145" s="487">
        <v>43873</v>
      </c>
      <c r="R145" s="487">
        <v>44970</v>
      </c>
      <c r="S145" s="488">
        <v>1.5</v>
      </c>
      <c r="T145" s="488"/>
      <c r="U145" s="574"/>
      <c r="V145" s="574"/>
      <c r="W145" s="574"/>
      <c r="X145" s="574"/>
      <c r="Y145" s="574"/>
      <c r="Z145" s="489">
        <v>4413864.16</v>
      </c>
      <c r="AA145" s="489">
        <v>3233303.64</v>
      </c>
      <c r="AB145" s="489">
        <v>2320164</v>
      </c>
      <c r="AC145" s="489">
        <f t="shared" si="12"/>
        <v>-2093700.1600000001</v>
      </c>
      <c r="AD145" s="489">
        <f t="shared" si="13"/>
        <v>-913139.64000000013</v>
      </c>
      <c r="AE145" s="489">
        <v>0</v>
      </c>
      <c r="AF145" s="574"/>
      <c r="AG145" s="490" t="s">
        <v>1245</v>
      </c>
      <c r="AH145" s="490" t="s">
        <v>1247</v>
      </c>
      <c r="AI145" s="490" t="s">
        <v>1269</v>
      </c>
      <c r="AJ145" s="490" t="s">
        <v>1246</v>
      </c>
      <c r="AK145" s="490" t="s">
        <v>1235</v>
      </c>
      <c r="AL145" s="491"/>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row>
    <row r="146" spans="1:80" ht="18" customHeight="1" x14ac:dyDescent="0.25">
      <c r="A146" s="485">
        <f t="shared" si="14"/>
        <v>144</v>
      </c>
      <c r="B146" s="485" t="s">
        <v>3284</v>
      </c>
      <c r="C146" s="485">
        <v>2100000169</v>
      </c>
      <c r="D146" s="485" t="s">
        <v>4759</v>
      </c>
      <c r="E146" s="485" t="s">
        <v>1434</v>
      </c>
      <c r="F146" s="485" t="s">
        <v>3283</v>
      </c>
      <c r="G146" s="485" t="s">
        <v>3282</v>
      </c>
      <c r="H146" s="485" t="s">
        <v>2597</v>
      </c>
      <c r="I146" s="485" t="s">
        <v>3276</v>
      </c>
      <c r="J146" s="485" t="s">
        <v>3277</v>
      </c>
      <c r="K146" s="485" t="s">
        <v>1281</v>
      </c>
      <c r="L146" s="485" t="s">
        <v>2783</v>
      </c>
      <c r="M146" s="486" t="s">
        <v>1230</v>
      </c>
      <c r="N146" s="486" t="s">
        <v>1231</v>
      </c>
      <c r="O146" s="485" t="s">
        <v>1231</v>
      </c>
      <c r="P146" s="485" t="s">
        <v>469</v>
      </c>
      <c r="Q146" s="487">
        <v>43873</v>
      </c>
      <c r="R146" s="487">
        <v>44785</v>
      </c>
      <c r="S146" s="488">
        <v>1.5</v>
      </c>
      <c r="T146" s="488"/>
      <c r="U146" s="574"/>
      <c r="V146" s="574"/>
      <c r="W146" s="574"/>
      <c r="X146" s="574"/>
      <c r="Y146" s="574"/>
      <c r="Z146" s="489">
        <v>1982344.54</v>
      </c>
      <c r="AA146" s="489">
        <v>1658289.71</v>
      </c>
      <c r="AB146" s="489">
        <v>404333.23</v>
      </c>
      <c r="AC146" s="489">
        <f t="shared" si="12"/>
        <v>-1578011.31</v>
      </c>
      <c r="AD146" s="489">
        <f t="shared" si="13"/>
        <v>-1253956.48</v>
      </c>
      <c r="AE146" s="489">
        <v>0</v>
      </c>
      <c r="AF146" s="574"/>
      <c r="AG146" s="490" t="s">
        <v>1245</v>
      </c>
      <c r="AH146" s="490" t="s">
        <v>1247</v>
      </c>
      <c r="AI146" s="490" t="s">
        <v>1269</v>
      </c>
      <c r="AJ146" s="490" t="s">
        <v>1246</v>
      </c>
      <c r="AK146" s="490" t="s">
        <v>1235</v>
      </c>
      <c r="AL146" s="491"/>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row>
    <row r="147" spans="1:80" ht="18" customHeight="1" x14ac:dyDescent="0.25">
      <c r="A147" s="485">
        <f t="shared" si="14"/>
        <v>145</v>
      </c>
      <c r="B147" s="485" t="s">
        <v>3287</v>
      </c>
      <c r="C147" s="485">
        <v>2100000175</v>
      </c>
      <c r="D147" s="485" t="s">
        <v>4760</v>
      </c>
      <c r="E147" s="485" t="s">
        <v>1434</v>
      </c>
      <c r="F147" s="485" t="s">
        <v>3286</v>
      </c>
      <c r="G147" s="485" t="s">
        <v>3285</v>
      </c>
      <c r="H147" s="485" t="s">
        <v>2597</v>
      </c>
      <c r="I147" s="485" t="s">
        <v>3276</v>
      </c>
      <c r="J147" s="485" t="s">
        <v>3277</v>
      </c>
      <c r="K147" s="485" t="s">
        <v>1281</v>
      </c>
      <c r="L147" s="485" t="s">
        <v>2783</v>
      </c>
      <c r="M147" s="486" t="s">
        <v>1230</v>
      </c>
      <c r="N147" s="486" t="s">
        <v>1231</v>
      </c>
      <c r="O147" s="485" t="s">
        <v>1231</v>
      </c>
      <c r="P147" s="485" t="s">
        <v>469</v>
      </c>
      <c r="Q147" s="487">
        <v>43874</v>
      </c>
      <c r="R147" s="487">
        <v>44879</v>
      </c>
      <c r="S147" s="488">
        <v>1.5</v>
      </c>
      <c r="T147" s="488"/>
      <c r="U147" s="574"/>
      <c r="V147" s="574"/>
      <c r="W147" s="574"/>
      <c r="X147" s="574"/>
      <c r="Y147" s="574"/>
      <c r="Z147" s="489">
        <v>7581953.9199999999</v>
      </c>
      <c r="AA147" s="489">
        <v>7833869.9800000004</v>
      </c>
      <c r="AB147" s="489">
        <v>5902593.9800000004</v>
      </c>
      <c r="AC147" s="489">
        <f t="shared" si="12"/>
        <v>-1679359.9399999995</v>
      </c>
      <c r="AD147" s="489">
        <f t="shared" si="13"/>
        <v>-1931276</v>
      </c>
      <c r="AE147" s="489">
        <v>0</v>
      </c>
      <c r="AF147" s="574"/>
      <c r="AG147" s="490" t="s">
        <v>1245</v>
      </c>
      <c r="AH147" s="490" t="s">
        <v>1247</v>
      </c>
      <c r="AI147" s="490" t="s">
        <v>1269</v>
      </c>
      <c r="AJ147" s="490" t="s">
        <v>1246</v>
      </c>
      <c r="AK147" s="490" t="s">
        <v>1235</v>
      </c>
      <c r="AL147" s="491"/>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row>
    <row r="148" spans="1:80" ht="18" customHeight="1" x14ac:dyDescent="0.25">
      <c r="A148" s="485">
        <f t="shared" si="14"/>
        <v>146</v>
      </c>
      <c r="B148" s="485" t="s">
        <v>3290</v>
      </c>
      <c r="C148" s="485">
        <v>2100000174</v>
      </c>
      <c r="D148" s="485" t="s">
        <v>4761</v>
      </c>
      <c r="E148" s="485" t="s">
        <v>1434</v>
      </c>
      <c r="F148" s="485" t="s">
        <v>3289</v>
      </c>
      <c r="G148" s="485" t="s">
        <v>3288</v>
      </c>
      <c r="H148" s="485" t="s">
        <v>2597</v>
      </c>
      <c r="I148" s="485" t="s">
        <v>3276</v>
      </c>
      <c r="J148" s="485" t="s">
        <v>3277</v>
      </c>
      <c r="K148" s="485" t="s">
        <v>1281</v>
      </c>
      <c r="L148" s="485" t="s">
        <v>2783</v>
      </c>
      <c r="M148" s="486" t="s">
        <v>1230</v>
      </c>
      <c r="N148" s="486" t="s">
        <v>1231</v>
      </c>
      <c r="O148" s="485" t="s">
        <v>1231</v>
      </c>
      <c r="P148" s="485" t="s">
        <v>469</v>
      </c>
      <c r="Q148" s="487">
        <v>43875</v>
      </c>
      <c r="R148" s="487">
        <v>45030</v>
      </c>
      <c r="S148" s="488">
        <v>1.5</v>
      </c>
      <c r="T148" s="488"/>
      <c r="U148" s="574"/>
      <c r="V148" s="574"/>
      <c r="W148" s="574"/>
      <c r="X148" s="574"/>
      <c r="Y148" s="574"/>
      <c r="Z148" s="489">
        <v>5006222.63</v>
      </c>
      <c r="AA148" s="489">
        <v>5378943.9199999999</v>
      </c>
      <c r="AB148" s="489">
        <v>4780179.92</v>
      </c>
      <c r="AC148" s="489">
        <f t="shared" si="12"/>
        <v>-226042.70999999996</v>
      </c>
      <c r="AD148" s="489">
        <f t="shared" si="13"/>
        <v>-598764</v>
      </c>
      <c r="AE148" s="489">
        <v>0</v>
      </c>
      <c r="AF148" s="574"/>
      <c r="AG148" s="490" t="s">
        <v>1245</v>
      </c>
      <c r="AH148" s="490" t="s">
        <v>1247</v>
      </c>
      <c r="AI148" s="490" t="s">
        <v>1269</v>
      </c>
      <c r="AJ148" s="490" t="s">
        <v>1246</v>
      </c>
      <c r="AK148" s="490" t="s">
        <v>1235</v>
      </c>
      <c r="AL148" s="491"/>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row>
    <row r="149" spans="1:80" ht="18" customHeight="1" x14ac:dyDescent="0.25">
      <c r="A149" s="485">
        <f t="shared" si="14"/>
        <v>147</v>
      </c>
      <c r="B149" s="485" t="s">
        <v>3293</v>
      </c>
      <c r="C149" s="485">
        <v>2100000172</v>
      </c>
      <c r="D149" s="485" t="s">
        <v>4762</v>
      </c>
      <c r="E149" s="485" t="s">
        <v>1434</v>
      </c>
      <c r="F149" s="485" t="s">
        <v>3292</v>
      </c>
      <c r="G149" s="485" t="s">
        <v>3291</v>
      </c>
      <c r="H149" s="485" t="s">
        <v>2597</v>
      </c>
      <c r="I149" s="485" t="s">
        <v>3276</v>
      </c>
      <c r="J149" s="485" t="s">
        <v>3277</v>
      </c>
      <c r="K149" s="485" t="s">
        <v>1281</v>
      </c>
      <c r="L149" s="485" t="s">
        <v>2783</v>
      </c>
      <c r="M149" s="486" t="s">
        <v>1230</v>
      </c>
      <c r="N149" s="486" t="s">
        <v>1231</v>
      </c>
      <c r="O149" s="485" t="s">
        <v>1231</v>
      </c>
      <c r="P149" s="485" t="s">
        <v>469</v>
      </c>
      <c r="Q149" s="487">
        <v>44188</v>
      </c>
      <c r="R149" s="487">
        <v>45376</v>
      </c>
      <c r="S149" s="488">
        <v>1.5</v>
      </c>
      <c r="T149" s="488"/>
      <c r="U149" s="574"/>
      <c r="V149" s="574"/>
      <c r="W149" s="574"/>
      <c r="X149" s="574"/>
      <c r="Y149" s="574"/>
      <c r="Z149" s="489">
        <v>9752713.6199999992</v>
      </c>
      <c r="AA149" s="489">
        <v>10566984.439999999</v>
      </c>
      <c r="AB149" s="489">
        <v>10185632.439999999</v>
      </c>
      <c r="AC149" s="489">
        <f t="shared" si="12"/>
        <v>432918.8200000003</v>
      </c>
      <c r="AD149" s="489">
        <f t="shared" si="13"/>
        <v>-381352</v>
      </c>
      <c r="AE149" s="489">
        <v>0</v>
      </c>
      <c r="AF149" s="574"/>
      <c r="AG149" s="490" t="s">
        <v>1245</v>
      </c>
      <c r="AH149" s="490" t="s">
        <v>1247</v>
      </c>
      <c r="AI149" s="490" t="s">
        <v>1269</v>
      </c>
      <c r="AJ149" s="490" t="s">
        <v>1246</v>
      </c>
      <c r="AK149" s="490" t="s">
        <v>1235</v>
      </c>
      <c r="AL149" s="491"/>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row>
    <row r="150" spans="1:80" ht="18" customHeight="1" x14ac:dyDescent="0.25">
      <c r="A150" s="485">
        <f t="shared" si="14"/>
        <v>148</v>
      </c>
      <c r="B150" s="485" t="s">
        <v>3296</v>
      </c>
      <c r="C150" s="485">
        <v>2100000170</v>
      </c>
      <c r="D150" s="485" t="s">
        <v>4763</v>
      </c>
      <c r="E150" s="485" t="s">
        <v>1434</v>
      </c>
      <c r="F150" s="485" t="s">
        <v>3295</v>
      </c>
      <c r="G150" s="485" t="s">
        <v>3294</v>
      </c>
      <c r="H150" s="485" t="s">
        <v>2597</v>
      </c>
      <c r="I150" s="485" t="s">
        <v>3276</v>
      </c>
      <c r="J150" s="485" t="s">
        <v>3277</v>
      </c>
      <c r="K150" s="485" t="s">
        <v>1281</v>
      </c>
      <c r="L150" s="485" t="s">
        <v>2783</v>
      </c>
      <c r="M150" s="486" t="s">
        <v>1230</v>
      </c>
      <c r="N150" s="486" t="s">
        <v>1231</v>
      </c>
      <c r="O150" s="485" t="s">
        <v>1231</v>
      </c>
      <c r="P150" s="485" t="s">
        <v>469</v>
      </c>
      <c r="Q150" s="487">
        <v>44225</v>
      </c>
      <c r="R150" s="487">
        <v>45411</v>
      </c>
      <c r="S150" s="488">
        <v>1.5</v>
      </c>
      <c r="T150" s="488"/>
      <c r="U150" s="574"/>
      <c r="V150" s="574"/>
      <c r="W150" s="574"/>
      <c r="X150" s="574"/>
      <c r="Y150" s="574"/>
      <c r="Z150" s="489">
        <v>8910180.9700000007</v>
      </c>
      <c r="AA150" s="489">
        <v>8962969.9199999999</v>
      </c>
      <c r="AB150" s="489">
        <v>9532969.9199999999</v>
      </c>
      <c r="AC150" s="489">
        <f t="shared" si="12"/>
        <v>622788.94999999925</v>
      </c>
      <c r="AD150" s="489">
        <f t="shared" si="13"/>
        <v>570000</v>
      </c>
      <c r="AE150" s="489">
        <v>0</v>
      </c>
      <c r="AF150" s="574"/>
      <c r="AG150" s="490" t="s">
        <v>1245</v>
      </c>
      <c r="AH150" s="490" t="s">
        <v>1247</v>
      </c>
      <c r="AI150" s="490" t="s">
        <v>1269</v>
      </c>
      <c r="AJ150" s="490" t="s">
        <v>1246</v>
      </c>
      <c r="AK150" s="490" t="s">
        <v>1235</v>
      </c>
      <c r="AL150" s="491"/>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row>
    <row r="151" spans="1:80" ht="18" customHeight="1" x14ac:dyDescent="0.25">
      <c r="A151" s="485">
        <f t="shared" si="14"/>
        <v>149</v>
      </c>
      <c r="B151" s="485" t="s">
        <v>3299</v>
      </c>
      <c r="C151" s="485">
        <v>2100000215</v>
      </c>
      <c r="D151" s="485" t="s">
        <v>4764</v>
      </c>
      <c r="E151" s="485" t="s">
        <v>1434</v>
      </c>
      <c r="F151" s="485" t="s">
        <v>3298</v>
      </c>
      <c r="G151" s="485" t="s">
        <v>3297</v>
      </c>
      <c r="H151" s="485" t="s">
        <v>2597</v>
      </c>
      <c r="I151" s="485" t="s">
        <v>3276</v>
      </c>
      <c r="J151" s="485" t="s">
        <v>3277</v>
      </c>
      <c r="K151" s="485" t="s">
        <v>1281</v>
      </c>
      <c r="L151" s="485" t="s">
        <v>2783</v>
      </c>
      <c r="M151" s="486" t="s">
        <v>1230</v>
      </c>
      <c r="N151" s="486" t="s">
        <v>1231</v>
      </c>
      <c r="O151" s="485" t="s">
        <v>1231</v>
      </c>
      <c r="P151" s="485" t="s">
        <v>469</v>
      </c>
      <c r="Q151" s="487">
        <v>44357</v>
      </c>
      <c r="R151" s="487">
        <v>45324</v>
      </c>
      <c r="S151" s="488">
        <v>1.5</v>
      </c>
      <c r="T151" s="488"/>
      <c r="U151" s="574"/>
      <c r="V151" s="574"/>
      <c r="W151" s="574"/>
      <c r="X151" s="574"/>
      <c r="Y151" s="574"/>
      <c r="Z151" s="489">
        <v>5241967.99</v>
      </c>
      <c r="AA151" s="489">
        <v>5623589.4199999999</v>
      </c>
      <c r="AB151" s="489">
        <v>5623589.4199999999</v>
      </c>
      <c r="AC151" s="489">
        <f t="shared" si="12"/>
        <v>381621.4299999997</v>
      </c>
      <c r="AD151" s="489">
        <f t="shared" si="13"/>
        <v>0</v>
      </c>
      <c r="AE151" s="489">
        <v>0</v>
      </c>
      <c r="AF151" s="574"/>
      <c r="AG151" s="490" t="s">
        <v>1245</v>
      </c>
      <c r="AH151" s="490" t="s">
        <v>1247</v>
      </c>
      <c r="AI151" s="490" t="s">
        <v>1269</v>
      </c>
      <c r="AJ151" s="490" t="s">
        <v>1246</v>
      </c>
      <c r="AK151" s="490" t="s">
        <v>1235</v>
      </c>
      <c r="AL151" s="49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row>
    <row r="152" spans="1:80" ht="18" customHeight="1" x14ac:dyDescent="0.25">
      <c r="A152" s="485">
        <f t="shared" si="14"/>
        <v>150</v>
      </c>
      <c r="B152" s="485" t="s">
        <v>3303</v>
      </c>
      <c r="C152" s="485">
        <v>2100000251</v>
      </c>
      <c r="D152" s="485" t="s">
        <v>4765</v>
      </c>
      <c r="E152" s="485" t="s">
        <v>1434</v>
      </c>
      <c r="F152" s="485" t="s">
        <v>3302</v>
      </c>
      <c r="G152" s="485" t="s">
        <v>3301</v>
      </c>
      <c r="H152" s="485" t="s">
        <v>2597</v>
      </c>
      <c r="I152" s="485" t="s">
        <v>3276</v>
      </c>
      <c r="J152" s="485" t="s">
        <v>3277</v>
      </c>
      <c r="K152" s="485" t="s">
        <v>1281</v>
      </c>
      <c r="L152" s="485" t="s">
        <v>2783</v>
      </c>
      <c r="M152" s="486" t="s">
        <v>1230</v>
      </c>
      <c r="N152" s="486" t="s">
        <v>1231</v>
      </c>
      <c r="O152" s="485" t="s">
        <v>1231</v>
      </c>
      <c r="P152" s="485" t="s">
        <v>469</v>
      </c>
      <c r="Q152" s="487">
        <v>44407</v>
      </c>
      <c r="R152" s="487">
        <v>45327</v>
      </c>
      <c r="S152" s="488">
        <v>1.5</v>
      </c>
      <c r="T152" s="488"/>
      <c r="U152" s="574"/>
      <c r="V152" s="574"/>
      <c r="W152" s="574"/>
      <c r="X152" s="574"/>
      <c r="Y152" s="574"/>
      <c r="Z152" s="489">
        <v>4558103.38</v>
      </c>
      <c r="AA152" s="489">
        <v>4694786.1399999997</v>
      </c>
      <c r="AB152" s="489">
        <v>4694786.1399999997</v>
      </c>
      <c r="AC152" s="489">
        <f t="shared" si="12"/>
        <v>136682.75999999978</v>
      </c>
      <c r="AD152" s="489">
        <f t="shared" si="13"/>
        <v>0</v>
      </c>
      <c r="AE152" s="489">
        <v>0</v>
      </c>
      <c r="AF152" s="574"/>
      <c r="AG152" s="490" t="s">
        <v>1245</v>
      </c>
      <c r="AH152" s="490" t="s">
        <v>1247</v>
      </c>
      <c r="AI152" s="490" t="s">
        <v>1269</v>
      </c>
      <c r="AJ152" s="490" t="s">
        <v>1246</v>
      </c>
      <c r="AK152" s="490" t="s">
        <v>1235</v>
      </c>
      <c r="AL152" s="491"/>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row>
    <row r="153" spans="1:80" ht="18" customHeight="1" x14ac:dyDescent="0.25">
      <c r="A153" s="485">
        <f t="shared" si="14"/>
        <v>151</v>
      </c>
      <c r="B153" s="485" t="s">
        <v>3306</v>
      </c>
      <c r="C153" s="485">
        <v>2100000253</v>
      </c>
      <c r="D153" s="485" t="s">
        <v>4766</v>
      </c>
      <c r="E153" s="485" t="s">
        <v>1434</v>
      </c>
      <c r="F153" s="485" t="s">
        <v>3305</v>
      </c>
      <c r="G153" s="485" t="s">
        <v>3304</v>
      </c>
      <c r="H153" s="485" t="s">
        <v>2597</v>
      </c>
      <c r="I153" s="485" t="s">
        <v>3276</v>
      </c>
      <c r="J153" s="485" t="s">
        <v>3277</v>
      </c>
      <c r="K153" s="485" t="s">
        <v>1281</v>
      </c>
      <c r="L153" s="485" t="s">
        <v>2783</v>
      </c>
      <c r="M153" s="486" t="s">
        <v>1230</v>
      </c>
      <c r="N153" s="486" t="s">
        <v>1231</v>
      </c>
      <c r="O153" s="485" t="s">
        <v>1231</v>
      </c>
      <c r="P153" s="485" t="s">
        <v>469</v>
      </c>
      <c r="Q153" s="487">
        <v>44407</v>
      </c>
      <c r="R153" s="487">
        <v>44984</v>
      </c>
      <c r="S153" s="488">
        <v>1.5</v>
      </c>
      <c r="T153" s="488"/>
      <c r="U153" s="574"/>
      <c r="V153" s="574"/>
      <c r="W153" s="574"/>
      <c r="X153" s="574"/>
      <c r="Y153" s="574"/>
      <c r="Z153" s="489">
        <v>1093454.3600000001</v>
      </c>
      <c r="AA153" s="489">
        <v>1216031.8500000001</v>
      </c>
      <c r="AB153" s="489">
        <v>1173031.8500000001</v>
      </c>
      <c r="AC153" s="489">
        <f t="shared" si="12"/>
        <v>79577.489999999991</v>
      </c>
      <c r="AD153" s="489">
        <f t="shared" si="13"/>
        <v>-43000</v>
      </c>
      <c r="AE153" s="489">
        <v>0</v>
      </c>
      <c r="AF153" s="574"/>
      <c r="AG153" s="490" t="s">
        <v>1245</v>
      </c>
      <c r="AH153" s="490" t="s">
        <v>1247</v>
      </c>
      <c r="AI153" s="490" t="s">
        <v>1269</v>
      </c>
      <c r="AJ153" s="490" t="s">
        <v>1246</v>
      </c>
      <c r="AK153" s="490" t="s">
        <v>1235</v>
      </c>
      <c r="AL153" s="491"/>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row>
    <row r="154" spans="1:80" ht="18" customHeight="1" x14ac:dyDescent="0.25">
      <c r="A154" s="485">
        <f t="shared" si="14"/>
        <v>152</v>
      </c>
      <c r="B154" s="485" t="s">
        <v>3309</v>
      </c>
      <c r="C154" s="485">
        <v>2100000287</v>
      </c>
      <c r="D154" s="485" t="s">
        <v>4767</v>
      </c>
      <c r="E154" s="485" t="s">
        <v>1434</v>
      </c>
      <c r="F154" s="485" t="s">
        <v>3308</v>
      </c>
      <c r="G154" s="485" t="s">
        <v>3307</v>
      </c>
      <c r="H154" s="485" t="s">
        <v>2597</v>
      </c>
      <c r="I154" s="485" t="s">
        <v>3276</v>
      </c>
      <c r="J154" s="485" t="s">
        <v>3277</v>
      </c>
      <c r="K154" s="485" t="s">
        <v>1281</v>
      </c>
      <c r="L154" s="485" t="s">
        <v>2783</v>
      </c>
      <c r="M154" s="486" t="s">
        <v>1230</v>
      </c>
      <c r="N154" s="486" t="s">
        <v>1231</v>
      </c>
      <c r="O154" s="485" t="s">
        <v>1231</v>
      </c>
      <c r="P154" s="485" t="s">
        <v>469</v>
      </c>
      <c r="Q154" s="487">
        <v>44550</v>
      </c>
      <c r="R154" s="487">
        <v>45502</v>
      </c>
      <c r="S154" s="488">
        <v>1.5</v>
      </c>
      <c r="T154" s="488"/>
      <c r="U154" s="574"/>
      <c r="V154" s="574"/>
      <c r="W154" s="574"/>
      <c r="X154" s="574"/>
      <c r="Y154" s="574"/>
      <c r="Z154" s="489">
        <v>2773796.81</v>
      </c>
      <c r="AA154" s="489">
        <v>3479087.27</v>
      </c>
      <c r="AB154" s="489">
        <v>3479087.27</v>
      </c>
      <c r="AC154" s="489">
        <f t="shared" si="12"/>
        <v>705290.46</v>
      </c>
      <c r="AD154" s="489">
        <f t="shared" si="13"/>
        <v>0</v>
      </c>
      <c r="AE154" s="489">
        <v>0</v>
      </c>
      <c r="AF154" s="574"/>
      <c r="AG154" s="490" t="s">
        <v>1245</v>
      </c>
      <c r="AH154" s="490" t="s">
        <v>1247</v>
      </c>
      <c r="AI154" s="490" t="s">
        <v>1269</v>
      </c>
      <c r="AJ154" s="490" t="s">
        <v>1246</v>
      </c>
      <c r="AK154" s="490" t="s">
        <v>1235</v>
      </c>
      <c r="AL154" s="491"/>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row>
    <row r="155" spans="1:80" ht="18" customHeight="1" x14ac:dyDescent="0.25">
      <c r="A155" s="485">
        <f t="shared" si="14"/>
        <v>153</v>
      </c>
      <c r="B155" s="485" t="s">
        <v>3313</v>
      </c>
      <c r="C155" s="485">
        <v>2100000304</v>
      </c>
      <c r="D155" s="485" t="s">
        <v>4768</v>
      </c>
      <c r="E155" s="485" t="s">
        <v>1434</v>
      </c>
      <c r="F155" s="485" t="s">
        <v>3312</v>
      </c>
      <c r="G155" s="485" t="s">
        <v>3311</v>
      </c>
      <c r="H155" s="485" t="s">
        <v>2597</v>
      </c>
      <c r="I155" s="485" t="s">
        <v>3276</v>
      </c>
      <c r="J155" s="485" t="s">
        <v>3277</v>
      </c>
      <c r="K155" s="485" t="s">
        <v>1281</v>
      </c>
      <c r="L155" s="485" t="s">
        <v>2783</v>
      </c>
      <c r="M155" s="486" t="s">
        <v>1230</v>
      </c>
      <c r="N155" s="486" t="s">
        <v>1231</v>
      </c>
      <c r="O155" s="485" t="s">
        <v>1231</v>
      </c>
      <c r="P155" s="485" t="s">
        <v>469</v>
      </c>
      <c r="Q155" s="487">
        <v>44637</v>
      </c>
      <c r="R155" s="487">
        <v>45583</v>
      </c>
      <c r="S155" s="488">
        <v>1.5</v>
      </c>
      <c r="T155" s="488"/>
      <c r="U155" s="574"/>
      <c r="V155" s="574"/>
      <c r="W155" s="574"/>
      <c r="X155" s="574"/>
      <c r="Y155" s="574"/>
      <c r="Z155" s="489">
        <v>3369081.42</v>
      </c>
      <c r="AA155" s="489">
        <v>3389845.12</v>
      </c>
      <c r="AB155" s="489">
        <v>3389845.12</v>
      </c>
      <c r="AC155" s="489">
        <f t="shared" si="12"/>
        <v>20763.700000000186</v>
      </c>
      <c r="AD155" s="489">
        <f t="shared" si="13"/>
        <v>0</v>
      </c>
      <c r="AE155" s="489">
        <v>0</v>
      </c>
      <c r="AF155" s="574"/>
      <c r="AG155" s="490" t="s">
        <v>1245</v>
      </c>
      <c r="AH155" s="490" t="s">
        <v>1247</v>
      </c>
      <c r="AI155" s="490" t="s">
        <v>1269</v>
      </c>
      <c r="AJ155" s="490" t="s">
        <v>1246</v>
      </c>
      <c r="AK155" s="490" t="s">
        <v>1235</v>
      </c>
      <c r="AL155" s="491"/>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row>
    <row r="156" spans="1:80" ht="18" customHeight="1" x14ac:dyDescent="0.25">
      <c r="A156" s="485">
        <f t="shared" si="14"/>
        <v>154</v>
      </c>
      <c r="B156" s="485" t="s">
        <v>3314</v>
      </c>
      <c r="C156" s="485">
        <v>2100000305</v>
      </c>
      <c r="D156" s="485" t="s">
        <v>4769</v>
      </c>
      <c r="E156" s="485" t="s">
        <v>1434</v>
      </c>
      <c r="F156" s="485" t="s">
        <v>3312</v>
      </c>
      <c r="G156" s="485" t="s">
        <v>3311</v>
      </c>
      <c r="H156" s="485" t="s">
        <v>2597</v>
      </c>
      <c r="I156" s="485" t="s">
        <v>3276</v>
      </c>
      <c r="J156" s="485" t="s">
        <v>3277</v>
      </c>
      <c r="K156" s="485" t="s">
        <v>1756</v>
      </c>
      <c r="L156" s="485" t="s">
        <v>2783</v>
      </c>
      <c r="M156" s="486" t="s">
        <v>1230</v>
      </c>
      <c r="N156" s="486" t="s">
        <v>1231</v>
      </c>
      <c r="O156" s="485" t="s">
        <v>1231</v>
      </c>
      <c r="P156" s="485" t="s">
        <v>469</v>
      </c>
      <c r="Q156" s="487">
        <v>44637</v>
      </c>
      <c r="R156" s="487">
        <v>44732</v>
      </c>
      <c r="S156" s="488">
        <v>1</v>
      </c>
      <c r="T156" s="488"/>
      <c r="U156" s="574"/>
      <c r="V156" s="574"/>
      <c r="W156" s="574"/>
      <c r="X156" s="574"/>
      <c r="Y156" s="574"/>
      <c r="Z156" s="489">
        <v>1264223</v>
      </c>
      <c r="AA156" s="489">
        <v>1264223</v>
      </c>
      <c r="AB156" s="489">
        <v>1264223</v>
      </c>
      <c r="AC156" s="489">
        <f t="shared" si="12"/>
        <v>0</v>
      </c>
      <c r="AD156" s="489">
        <f t="shared" si="13"/>
        <v>0</v>
      </c>
      <c r="AE156" s="489">
        <v>0</v>
      </c>
      <c r="AF156" s="574"/>
      <c r="AG156" s="490" t="s">
        <v>1245</v>
      </c>
      <c r="AH156" s="490" t="s">
        <v>1247</v>
      </c>
      <c r="AI156" s="490" t="s">
        <v>1269</v>
      </c>
      <c r="AJ156" s="490" t="s">
        <v>1246</v>
      </c>
      <c r="AK156" s="490" t="s">
        <v>1278</v>
      </c>
      <c r="AL156" s="491"/>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row>
    <row r="157" spans="1:80" ht="18" customHeight="1" x14ac:dyDescent="0.25">
      <c r="A157" s="485">
        <f t="shared" si="14"/>
        <v>155</v>
      </c>
      <c r="B157" s="485" t="s">
        <v>3317</v>
      </c>
      <c r="C157" s="485">
        <v>2100000301</v>
      </c>
      <c r="D157" s="485" t="s">
        <v>4770</v>
      </c>
      <c r="E157" s="485" t="s">
        <v>1434</v>
      </c>
      <c r="F157" s="485" t="s">
        <v>3316</v>
      </c>
      <c r="G157" s="485" t="s">
        <v>3315</v>
      </c>
      <c r="H157" s="485" t="s">
        <v>2597</v>
      </c>
      <c r="I157" s="485" t="s">
        <v>3276</v>
      </c>
      <c r="J157" s="485" t="s">
        <v>3277</v>
      </c>
      <c r="K157" s="485" t="s">
        <v>1281</v>
      </c>
      <c r="L157" s="485" t="s">
        <v>2783</v>
      </c>
      <c r="M157" s="486" t="s">
        <v>1230</v>
      </c>
      <c r="N157" s="486" t="s">
        <v>1231</v>
      </c>
      <c r="O157" s="485" t="s">
        <v>1231</v>
      </c>
      <c r="P157" s="485" t="s">
        <v>469</v>
      </c>
      <c r="Q157" s="487">
        <v>44637</v>
      </c>
      <c r="R157" s="487">
        <v>45523</v>
      </c>
      <c r="S157" s="488">
        <v>1.5</v>
      </c>
      <c r="T157" s="488"/>
      <c r="U157" s="575"/>
      <c r="V157" s="575"/>
      <c r="W157" s="575"/>
      <c r="X157" s="575"/>
      <c r="Y157" s="575"/>
      <c r="Z157" s="489">
        <v>2359167.0299999998</v>
      </c>
      <c r="AA157" s="489">
        <v>2670246.6</v>
      </c>
      <c r="AB157" s="489">
        <v>2670246.6</v>
      </c>
      <c r="AC157" s="489">
        <f t="shared" si="12"/>
        <v>311079.5700000003</v>
      </c>
      <c r="AD157" s="489">
        <f t="shared" si="13"/>
        <v>0</v>
      </c>
      <c r="AE157" s="489">
        <v>0</v>
      </c>
      <c r="AF157" s="575"/>
      <c r="AG157" s="490" t="s">
        <v>1245</v>
      </c>
      <c r="AH157" s="490" t="s">
        <v>1247</v>
      </c>
      <c r="AI157" s="490" t="s">
        <v>1269</v>
      </c>
      <c r="AJ157" s="490" t="s">
        <v>1246</v>
      </c>
      <c r="AK157" s="490" t="s">
        <v>1235</v>
      </c>
      <c r="AL157" s="491"/>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row>
    <row r="158" spans="1:80" ht="18" customHeight="1" x14ac:dyDescent="0.25">
      <c r="A158" s="492">
        <f t="shared" si="14"/>
        <v>156</v>
      </c>
      <c r="B158" s="492" t="s">
        <v>3319</v>
      </c>
      <c r="C158" s="492">
        <v>1100000130</v>
      </c>
      <c r="D158" s="492" t="s">
        <v>4771</v>
      </c>
      <c r="E158" s="492" t="s">
        <v>339</v>
      </c>
      <c r="F158" s="492" t="s">
        <v>171</v>
      </c>
      <c r="G158" s="492" t="s">
        <v>1108</v>
      </c>
      <c r="H158" s="492" t="s">
        <v>171</v>
      </c>
      <c r="I158" s="492" t="s">
        <v>1108</v>
      </c>
      <c r="J158" s="492" t="s">
        <v>3318</v>
      </c>
      <c r="K158" s="492" t="s">
        <v>1756</v>
      </c>
      <c r="L158" s="492" t="s">
        <v>2783</v>
      </c>
      <c r="M158" s="493" t="s">
        <v>1230</v>
      </c>
      <c r="N158" s="493" t="s">
        <v>1232</v>
      </c>
      <c r="O158" s="492" t="s">
        <v>1232</v>
      </c>
      <c r="P158" s="492" t="s">
        <v>1156</v>
      </c>
      <c r="Q158" s="494">
        <v>43819</v>
      </c>
      <c r="R158" s="494">
        <v>44732</v>
      </c>
      <c r="S158" s="498">
        <v>1</v>
      </c>
      <c r="T158" s="498"/>
      <c r="U158" s="496">
        <v>2306250</v>
      </c>
      <c r="V158" s="496">
        <v>2306250</v>
      </c>
      <c r="W158" s="496">
        <v>2306250</v>
      </c>
      <c r="X158" s="496">
        <f t="shared" si="10"/>
        <v>0</v>
      </c>
      <c r="Y158" s="496">
        <f t="shared" si="11"/>
        <v>0</v>
      </c>
      <c r="Z158" s="496">
        <v>2306250</v>
      </c>
      <c r="AA158" s="496">
        <v>2306250</v>
      </c>
      <c r="AB158" s="496">
        <v>2306250</v>
      </c>
      <c r="AC158" s="496">
        <f t="shared" si="12"/>
        <v>0</v>
      </c>
      <c r="AD158" s="496">
        <f t="shared" si="13"/>
        <v>0</v>
      </c>
      <c r="AE158" s="496">
        <v>0</v>
      </c>
      <c r="AF158" s="496">
        <v>0</v>
      </c>
      <c r="AG158" s="497" t="s">
        <v>1237</v>
      </c>
      <c r="AH158" s="497" t="s">
        <v>1357</v>
      </c>
      <c r="AI158" s="497"/>
      <c r="AJ158" s="497" t="s">
        <v>1363</v>
      </c>
      <c r="AK158" s="497" t="s">
        <v>1260</v>
      </c>
      <c r="AL158" s="491"/>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row>
    <row r="159" spans="1:80" ht="18" customHeight="1" x14ac:dyDescent="0.25">
      <c r="A159" s="485">
        <f t="shared" si="14"/>
        <v>157</v>
      </c>
      <c r="B159" s="485" t="s">
        <v>3322</v>
      </c>
      <c r="C159" s="485">
        <v>3100000106</v>
      </c>
      <c r="D159" s="485" t="s">
        <v>4772</v>
      </c>
      <c r="E159" s="485" t="s">
        <v>1436</v>
      </c>
      <c r="F159" s="485" t="s">
        <v>1435</v>
      </c>
      <c r="G159" s="485" t="s">
        <v>3320</v>
      </c>
      <c r="H159" s="485" t="s">
        <v>2541</v>
      </c>
      <c r="I159" s="485" t="s">
        <v>2805</v>
      </c>
      <c r="J159" s="485" t="s">
        <v>3321</v>
      </c>
      <c r="K159" s="485" t="s">
        <v>1756</v>
      </c>
      <c r="L159" s="485" t="s">
        <v>2783</v>
      </c>
      <c r="M159" s="486" t="s">
        <v>1307</v>
      </c>
      <c r="N159" s="486" t="s">
        <v>1231</v>
      </c>
      <c r="O159" s="485" t="s">
        <v>1232</v>
      </c>
      <c r="P159" s="485" t="s">
        <v>469</v>
      </c>
      <c r="Q159" s="487">
        <v>43819</v>
      </c>
      <c r="R159" s="487">
        <v>44733</v>
      </c>
      <c r="S159" s="488">
        <v>1.5</v>
      </c>
      <c r="T159" s="488"/>
      <c r="U159" s="489">
        <v>6161295</v>
      </c>
      <c r="V159" s="489">
        <v>6161295</v>
      </c>
      <c r="W159" s="489">
        <v>6161295</v>
      </c>
      <c r="X159" s="489">
        <f t="shared" si="10"/>
        <v>0</v>
      </c>
      <c r="Y159" s="489">
        <f t="shared" si="11"/>
        <v>0</v>
      </c>
      <c r="Z159" s="489">
        <v>6161295</v>
      </c>
      <c r="AA159" s="489">
        <v>6161295</v>
      </c>
      <c r="AB159" s="489">
        <v>6161295</v>
      </c>
      <c r="AC159" s="489">
        <f t="shared" si="12"/>
        <v>0</v>
      </c>
      <c r="AD159" s="489">
        <f t="shared" si="13"/>
        <v>0</v>
      </c>
      <c r="AE159" s="489">
        <v>0</v>
      </c>
      <c r="AF159" s="489">
        <v>0</v>
      </c>
      <c r="AG159" s="490" t="s">
        <v>1233</v>
      </c>
      <c r="AH159" s="490" t="s">
        <v>1247</v>
      </c>
      <c r="AI159" s="490" t="s">
        <v>1248</v>
      </c>
      <c r="AJ159" s="490" t="s">
        <v>1234</v>
      </c>
      <c r="AK159" s="490" t="s">
        <v>1235</v>
      </c>
      <c r="AL159" s="491"/>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row>
    <row r="160" spans="1:80" ht="18" customHeight="1" x14ac:dyDescent="0.25">
      <c r="A160" s="492">
        <f t="shared" si="14"/>
        <v>158</v>
      </c>
      <c r="B160" s="492" t="s">
        <v>3327</v>
      </c>
      <c r="C160" s="492">
        <v>2100000186</v>
      </c>
      <c r="D160" s="492" t="s">
        <v>4773</v>
      </c>
      <c r="E160" s="492" t="s">
        <v>1367</v>
      </c>
      <c r="F160" s="492" t="s">
        <v>3326</v>
      </c>
      <c r="G160" s="492" t="s">
        <v>3323</v>
      </c>
      <c r="H160" s="492" t="s">
        <v>2576</v>
      </c>
      <c r="I160" s="492" t="s">
        <v>3324</v>
      </c>
      <c r="J160" s="492" t="s">
        <v>3325</v>
      </c>
      <c r="K160" s="492" t="s">
        <v>1756</v>
      </c>
      <c r="L160" s="492" t="s">
        <v>2783</v>
      </c>
      <c r="M160" s="493" t="s">
        <v>1230</v>
      </c>
      <c r="N160" s="493" t="s">
        <v>1232</v>
      </c>
      <c r="O160" s="492" t="s">
        <v>1231</v>
      </c>
      <c r="P160" s="492" t="s">
        <v>469</v>
      </c>
      <c r="Q160" s="494">
        <v>43822</v>
      </c>
      <c r="R160" s="494">
        <v>45100</v>
      </c>
      <c r="S160" s="498">
        <v>1</v>
      </c>
      <c r="T160" s="498"/>
      <c r="U160" s="496">
        <v>26331404</v>
      </c>
      <c r="V160" s="496">
        <v>26331404</v>
      </c>
      <c r="W160" s="496">
        <v>26331404</v>
      </c>
      <c r="X160" s="496">
        <f t="shared" si="10"/>
        <v>0</v>
      </c>
      <c r="Y160" s="496">
        <f t="shared" si="11"/>
        <v>0</v>
      </c>
      <c r="Z160" s="496">
        <v>24546877.289999999</v>
      </c>
      <c r="AA160" s="496">
        <v>24546877.289999999</v>
      </c>
      <c r="AB160" s="496">
        <v>24766964.93</v>
      </c>
      <c r="AC160" s="496">
        <f t="shared" si="12"/>
        <v>220087.6400000006</v>
      </c>
      <c r="AD160" s="496">
        <f t="shared" si="13"/>
        <v>220087.6400000006</v>
      </c>
      <c r="AE160" s="496">
        <v>0</v>
      </c>
      <c r="AF160" s="496">
        <v>1564439.07</v>
      </c>
      <c r="AG160" s="497" t="s">
        <v>1245</v>
      </c>
      <c r="AH160" s="497" t="s">
        <v>1273</v>
      </c>
      <c r="AI160" s="497"/>
      <c r="AJ160" s="497" t="s">
        <v>1356</v>
      </c>
      <c r="AK160" s="497" t="s">
        <v>1240</v>
      </c>
      <c r="AL160" s="491"/>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row>
    <row r="161" spans="1:80" ht="18" customHeight="1" x14ac:dyDescent="0.25">
      <c r="A161" s="485">
        <f t="shared" si="14"/>
        <v>159</v>
      </c>
      <c r="B161" s="485" t="s">
        <v>3330</v>
      </c>
      <c r="C161" s="485">
        <v>2100000159</v>
      </c>
      <c r="D161" s="485" t="s">
        <v>4774</v>
      </c>
      <c r="E161" s="485" t="s">
        <v>1438</v>
      </c>
      <c r="F161" s="485" t="s">
        <v>1437</v>
      </c>
      <c r="G161" s="485" t="s">
        <v>3328</v>
      </c>
      <c r="H161" s="485" t="s">
        <v>1437</v>
      </c>
      <c r="I161" s="485" t="s">
        <v>3328</v>
      </c>
      <c r="J161" s="485" t="s">
        <v>3329</v>
      </c>
      <c r="K161" s="485" t="s">
        <v>1756</v>
      </c>
      <c r="L161" s="485" t="s">
        <v>2783</v>
      </c>
      <c r="M161" s="486" t="s">
        <v>1230</v>
      </c>
      <c r="N161" s="486" t="s">
        <v>1231</v>
      </c>
      <c r="O161" s="485" t="s">
        <v>1231</v>
      </c>
      <c r="P161" s="485" t="s">
        <v>469</v>
      </c>
      <c r="Q161" s="487">
        <v>43822</v>
      </c>
      <c r="R161" s="487">
        <v>45161</v>
      </c>
      <c r="S161" s="488">
        <v>1.5</v>
      </c>
      <c r="T161" s="488"/>
      <c r="U161" s="489">
        <v>13675597</v>
      </c>
      <c r="V161" s="489">
        <v>13675597</v>
      </c>
      <c r="W161" s="489">
        <v>13675597</v>
      </c>
      <c r="X161" s="489">
        <f t="shared" si="10"/>
        <v>0</v>
      </c>
      <c r="Y161" s="489">
        <f t="shared" si="11"/>
        <v>0</v>
      </c>
      <c r="Z161" s="489">
        <v>10236262.6</v>
      </c>
      <c r="AA161" s="489">
        <v>11530710.859999999</v>
      </c>
      <c r="AB161" s="489">
        <v>11587599.800000001</v>
      </c>
      <c r="AC161" s="489">
        <f t="shared" si="12"/>
        <v>1351337.2000000011</v>
      </c>
      <c r="AD161" s="489">
        <f t="shared" si="13"/>
        <v>56888.940000001341</v>
      </c>
      <c r="AE161" s="489">
        <v>0</v>
      </c>
      <c r="AF161" s="489">
        <v>2087997.2000000002</v>
      </c>
      <c r="AG161" s="490" t="s">
        <v>1245</v>
      </c>
      <c r="AH161" s="490" t="s">
        <v>1247</v>
      </c>
      <c r="AI161" s="490" t="s">
        <v>1248</v>
      </c>
      <c r="AJ161" s="490" t="s">
        <v>1246</v>
      </c>
      <c r="AK161" s="490" t="s">
        <v>1235</v>
      </c>
      <c r="AL161" s="49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row>
    <row r="162" spans="1:80" ht="18" customHeight="1" x14ac:dyDescent="0.25">
      <c r="A162" s="485">
        <f t="shared" si="14"/>
        <v>160</v>
      </c>
      <c r="B162" s="485" t="s">
        <v>3334</v>
      </c>
      <c r="C162" s="485">
        <v>2100000211</v>
      </c>
      <c r="D162" s="485" t="s">
        <v>4775</v>
      </c>
      <c r="E162" s="485" t="s">
        <v>1440</v>
      </c>
      <c r="F162" s="485" t="s">
        <v>1439</v>
      </c>
      <c r="G162" s="485" t="s">
        <v>3331</v>
      </c>
      <c r="H162" s="485" t="s">
        <v>2598</v>
      </c>
      <c r="I162" s="485" t="s">
        <v>3332</v>
      </c>
      <c r="J162" s="485" t="s">
        <v>3333</v>
      </c>
      <c r="K162" s="485" t="s">
        <v>1756</v>
      </c>
      <c r="L162" s="485" t="s">
        <v>2783</v>
      </c>
      <c r="M162" s="486" t="s">
        <v>1230</v>
      </c>
      <c r="N162" s="486" t="s">
        <v>1231</v>
      </c>
      <c r="O162" s="485" t="s">
        <v>1231</v>
      </c>
      <c r="P162" s="485" t="s">
        <v>469</v>
      </c>
      <c r="Q162" s="487">
        <v>43830</v>
      </c>
      <c r="R162" s="487">
        <v>45229</v>
      </c>
      <c r="S162" s="488">
        <v>1.5</v>
      </c>
      <c r="T162" s="488"/>
      <c r="U162" s="489">
        <v>28219956</v>
      </c>
      <c r="V162" s="489">
        <v>28219956</v>
      </c>
      <c r="W162" s="489">
        <v>28219956</v>
      </c>
      <c r="X162" s="489">
        <f t="shared" si="10"/>
        <v>0</v>
      </c>
      <c r="Y162" s="489">
        <f t="shared" si="11"/>
        <v>0</v>
      </c>
      <c r="Z162" s="489">
        <v>16428031.4</v>
      </c>
      <c r="AA162" s="489">
        <v>16800175.440000001</v>
      </c>
      <c r="AB162" s="489">
        <v>16905017.329999998</v>
      </c>
      <c r="AC162" s="489">
        <f t="shared" si="12"/>
        <v>476985.92999999784</v>
      </c>
      <c r="AD162" s="489">
        <f t="shared" si="13"/>
        <v>104841.88999999687</v>
      </c>
      <c r="AE162" s="489">
        <v>3000000</v>
      </c>
      <c r="AF162" s="489">
        <v>8314938.6699999999</v>
      </c>
      <c r="AG162" s="490" t="s">
        <v>1245</v>
      </c>
      <c r="AH162" s="490" t="s">
        <v>1441</v>
      </c>
      <c r="AI162" s="490"/>
      <c r="AJ162" s="490" t="s">
        <v>1246</v>
      </c>
      <c r="AK162" s="490" t="s">
        <v>1235</v>
      </c>
      <c r="AL162" s="491"/>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row>
    <row r="163" spans="1:80" ht="18" customHeight="1" x14ac:dyDescent="0.25">
      <c r="A163" s="485">
        <f t="shared" si="14"/>
        <v>161</v>
      </c>
      <c r="B163" s="485" t="s">
        <v>3337</v>
      </c>
      <c r="C163" s="485">
        <v>2100000176</v>
      </c>
      <c r="D163" s="485" t="s">
        <v>4776</v>
      </c>
      <c r="E163" s="485" t="s">
        <v>1443</v>
      </c>
      <c r="F163" s="485" t="s">
        <v>1442</v>
      </c>
      <c r="G163" s="485" t="s">
        <v>3335</v>
      </c>
      <c r="H163" s="485" t="s">
        <v>2598</v>
      </c>
      <c r="I163" s="485" t="s">
        <v>3332</v>
      </c>
      <c r="J163" s="485" t="s">
        <v>3336</v>
      </c>
      <c r="K163" s="485" t="s">
        <v>1756</v>
      </c>
      <c r="L163" s="485" t="s">
        <v>2783</v>
      </c>
      <c r="M163" s="486" t="s">
        <v>1230</v>
      </c>
      <c r="N163" s="486" t="s">
        <v>1231</v>
      </c>
      <c r="O163" s="485" t="s">
        <v>1232</v>
      </c>
      <c r="P163" s="485" t="s">
        <v>469</v>
      </c>
      <c r="Q163" s="487">
        <v>43830</v>
      </c>
      <c r="R163" s="487">
        <v>45300</v>
      </c>
      <c r="S163" s="488">
        <v>1.5</v>
      </c>
      <c r="T163" s="488"/>
      <c r="U163" s="489">
        <v>30999509</v>
      </c>
      <c r="V163" s="489">
        <v>30999509</v>
      </c>
      <c r="W163" s="489">
        <v>30999509</v>
      </c>
      <c r="X163" s="489">
        <f t="shared" si="10"/>
        <v>0</v>
      </c>
      <c r="Y163" s="489">
        <f t="shared" si="11"/>
        <v>0</v>
      </c>
      <c r="Z163" s="489">
        <v>17167214.800000001</v>
      </c>
      <c r="AA163" s="489">
        <v>17261070.010000002</v>
      </c>
      <c r="AB163" s="489">
        <v>18564189.059999999</v>
      </c>
      <c r="AC163" s="489">
        <f t="shared" si="12"/>
        <v>1396974.2599999979</v>
      </c>
      <c r="AD163" s="489">
        <f t="shared" si="13"/>
        <v>1303119.049999997</v>
      </c>
      <c r="AE163" s="489">
        <v>3000000</v>
      </c>
      <c r="AF163" s="489">
        <v>9435319.9399999995</v>
      </c>
      <c r="AG163" s="490" t="s">
        <v>1245</v>
      </c>
      <c r="AH163" s="490" t="s">
        <v>1441</v>
      </c>
      <c r="AI163" s="490"/>
      <c r="AJ163" s="490" t="s">
        <v>1246</v>
      </c>
      <c r="AK163" s="490" t="s">
        <v>1235</v>
      </c>
      <c r="AL163" s="491"/>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row>
    <row r="164" spans="1:80" ht="18" customHeight="1" x14ac:dyDescent="0.25">
      <c r="A164" s="485">
        <f t="shared" si="14"/>
        <v>162</v>
      </c>
      <c r="B164" s="485" t="s">
        <v>3341</v>
      </c>
      <c r="C164" s="485">
        <v>2100000177</v>
      </c>
      <c r="D164" s="485" t="s">
        <v>4777</v>
      </c>
      <c r="E164" s="485" t="s">
        <v>1445</v>
      </c>
      <c r="F164" s="485" t="s">
        <v>1444</v>
      </c>
      <c r="G164" s="485" t="s">
        <v>3338</v>
      </c>
      <c r="H164" s="485" t="s">
        <v>2599</v>
      </c>
      <c r="I164" s="485" t="s">
        <v>3339</v>
      </c>
      <c r="J164" s="485" t="s">
        <v>3340</v>
      </c>
      <c r="K164" s="485" t="s">
        <v>1756</v>
      </c>
      <c r="L164" s="485" t="s">
        <v>2783</v>
      </c>
      <c r="M164" s="486" t="s">
        <v>1307</v>
      </c>
      <c r="N164" s="486" t="s">
        <v>1231</v>
      </c>
      <c r="O164" s="485" t="s">
        <v>1231</v>
      </c>
      <c r="P164" s="485" t="s">
        <v>469</v>
      </c>
      <c r="Q164" s="487">
        <v>43830</v>
      </c>
      <c r="R164" s="487">
        <v>44837</v>
      </c>
      <c r="S164" s="488">
        <v>1.5</v>
      </c>
      <c r="T164" s="488"/>
      <c r="U164" s="489">
        <v>12724986</v>
      </c>
      <c r="V164" s="489">
        <v>7146957.2699999996</v>
      </c>
      <c r="W164" s="489">
        <v>5113580.82</v>
      </c>
      <c r="X164" s="489">
        <f t="shared" si="10"/>
        <v>-7611405.1799999997</v>
      </c>
      <c r="Y164" s="489">
        <f t="shared" si="11"/>
        <v>-2033376.4499999993</v>
      </c>
      <c r="Z164" s="489">
        <v>12463804.869999999</v>
      </c>
      <c r="AA164" s="489">
        <v>6968360.71</v>
      </c>
      <c r="AB164" s="489">
        <v>4934984.26</v>
      </c>
      <c r="AC164" s="489">
        <f t="shared" si="12"/>
        <v>-7528820.6099999994</v>
      </c>
      <c r="AD164" s="489">
        <f t="shared" si="13"/>
        <v>-2033376.4500000002</v>
      </c>
      <c r="AE164" s="489">
        <v>0</v>
      </c>
      <c r="AF164" s="489">
        <v>178596.56</v>
      </c>
      <c r="AG164" s="490" t="s">
        <v>1245</v>
      </c>
      <c r="AH164" s="490" t="s">
        <v>1247</v>
      </c>
      <c r="AI164" s="490" t="s">
        <v>1248</v>
      </c>
      <c r="AJ164" s="490" t="s">
        <v>1246</v>
      </c>
      <c r="AK164" s="490" t="s">
        <v>1235</v>
      </c>
      <c r="AL164" s="491"/>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row>
    <row r="165" spans="1:80" ht="18" customHeight="1" x14ac:dyDescent="0.25">
      <c r="A165" s="492">
        <f t="shared" si="14"/>
        <v>163</v>
      </c>
      <c r="B165" s="492" t="s">
        <v>3345</v>
      </c>
      <c r="C165" s="492">
        <v>6100000126</v>
      </c>
      <c r="D165" s="492" t="s">
        <v>4778</v>
      </c>
      <c r="E165" s="492" t="s">
        <v>1447</v>
      </c>
      <c r="F165" s="492" t="s">
        <v>1446</v>
      </c>
      <c r="G165" s="492" t="s">
        <v>3342</v>
      </c>
      <c r="H165" s="492" t="s">
        <v>2600</v>
      </c>
      <c r="I165" s="492" t="s">
        <v>3343</v>
      </c>
      <c r="J165" s="492" t="s">
        <v>3344</v>
      </c>
      <c r="K165" s="492" t="s">
        <v>1281</v>
      </c>
      <c r="L165" s="492" t="s">
        <v>2783</v>
      </c>
      <c r="M165" s="493" t="s">
        <v>1230</v>
      </c>
      <c r="N165" s="493" t="s">
        <v>1232</v>
      </c>
      <c r="O165" s="492" t="s">
        <v>1232</v>
      </c>
      <c r="P165" s="492" t="s">
        <v>469</v>
      </c>
      <c r="Q165" s="494">
        <v>43830</v>
      </c>
      <c r="R165" s="494">
        <v>45348</v>
      </c>
      <c r="S165" s="498">
        <v>1</v>
      </c>
      <c r="T165" s="498"/>
      <c r="U165" s="496">
        <v>10000000</v>
      </c>
      <c r="V165" s="496">
        <v>10000000</v>
      </c>
      <c r="W165" s="496">
        <v>10000000</v>
      </c>
      <c r="X165" s="496">
        <f t="shared" si="10"/>
        <v>0</v>
      </c>
      <c r="Y165" s="496">
        <f t="shared" si="11"/>
        <v>0</v>
      </c>
      <c r="Z165" s="496">
        <v>0</v>
      </c>
      <c r="AA165" s="496">
        <v>0</v>
      </c>
      <c r="AB165" s="496">
        <v>0</v>
      </c>
      <c r="AC165" s="496">
        <f t="shared" si="12"/>
        <v>0</v>
      </c>
      <c r="AD165" s="496">
        <f t="shared" si="13"/>
        <v>0</v>
      </c>
      <c r="AE165" s="496">
        <v>0</v>
      </c>
      <c r="AF165" s="496">
        <v>10000000</v>
      </c>
      <c r="AG165" s="497" t="s">
        <v>1888</v>
      </c>
      <c r="AH165" s="497" t="s">
        <v>1888</v>
      </c>
      <c r="AI165" s="497" t="s">
        <v>1342</v>
      </c>
      <c r="AJ165" s="497" t="s">
        <v>1234</v>
      </c>
      <c r="AK165" s="497" t="s">
        <v>1240</v>
      </c>
      <c r="AL165" s="491"/>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row>
    <row r="166" spans="1:80" ht="18" customHeight="1" x14ac:dyDescent="0.25">
      <c r="A166" s="492">
        <f t="shared" si="14"/>
        <v>164</v>
      </c>
      <c r="B166" s="492" t="s">
        <v>3349</v>
      </c>
      <c r="C166" s="492">
        <v>2100000002</v>
      </c>
      <c r="D166" s="492" t="s">
        <v>4779</v>
      </c>
      <c r="E166" s="492" t="s">
        <v>1449</v>
      </c>
      <c r="F166" s="492" t="s">
        <v>1448</v>
      </c>
      <c r="G166" s="492" t="s">
        <v>3346</v>
      </c>
      <c r="H166" s="492" t="s">
        <v>2601</v>
      </c>
      <c r="I166" s="492" t="s">
        <v>3347</v>
      </c>
      <c r="J166" s="492" t="s">
        <v>3348</v>
      </c>
      <c r="K166" s="492" t="s">
        <v>1756</v>
      </c>
      <c r="L166" s="492" t="s">
        <v>2783</v>
      </c>
      <c r="M166" s="493" t="s">
        <v>1230</v>
      </c>
      <c r="N166" s="514" t="s">
        <v>1232</v>
      </c>
      <c r="O166" s="492" t="s">
        <v>1231</v>
      </c>
      <c r="P166" s="492" t="s">
        <v>469</v>
      </c>
      <c r="Q166" s="494">
        <v>43832</v>
      </c>
      <c r="R166" s="494">
        <v>45077</v>
      </c>
      <c r="S166" s="498">
        <v>1.5</v>
      </c>
      <c r="T166" s="498"/>
      <c r="U166" s="496">
        <v>8125813</v>
      </c>
      <c r="V166" s="496">
        <v>8125813</v>
      </c>
      <c r="W166" s="496">
        <v>8125813</v>
      </c>
      <c r="X166" s="496">
        <f t="shared" si="10"/>
        <v>0</v>
      </c>
      <c r="Y166" s="496">
        <f t="shared" si="11"/>
        <v>0</v>
      </c>
      <c r="Z166" s="496">
        <v>5803765.0499999998</v>
      </c>
      <c r="AA166" s="496">
        <v>5836393.3300000001</v>
      </c>
      <c r="AB166" s="496">
        <v>5836393.3300000001</v>
      </c>
      <c r="AC166" s="496">
        <f t="shared" si="12"/>
        <v>32628.280000000261</v>
      </c>
      <c r="AD166" s="496">
        <f t="shared" si="13"/>
        <v>0</v>
      </c>
      <c r="AE166" s="496">
        <v>0</v>
      </c>
      <c r="AF166" s="496">
        <v>2289419.67</v>
      </c>
      <c r="AG166" s="497" t="s">
        <v>1245</v>
      </c>
      <c r="AH166" s="497" t="s">
        <v>1247</v>
      </c>
      <c r="AI166" s="497" t="s">
        <v>1248</v>
      </c>
      <c r="AJ166" s="497" t="s">
        <v>1246</v>
      </c>
      <c r="AK166" s="497" t="s">
        <v>1235</v>
      </c>
      <c r="AL166" s="491"/>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row>
    <row r="167" spans="1:80" ht="18" customHeight="1" x14ac:dyDescent="0.25">
      <c r="A167" s="485">
        <f t="shared" si="14"/>
        <v>165</v>
      </c>
      <c r="B167" s="485" t="s">
        <v>3352</v>
      </c>
      <c r="C167" s="485">
        <v>4100000004</v>
      </c>
      <c r="D167" s="485" t="s">
        <v>4780</v>
      </c>
      <c r="E167" s="485" t="s">
        <v>1450</v>
      </c>
      <c r="F167" s="485" t="s">
        <v>4781</v>
      </c>
      <c r="G167" s="485" t="s">
        <v>3350</v>
      </c>
      <c r="H167" s="485" t="s">
        <v>2602</v>
      </c>
      <c r="I167" s="485" t="s">
        <v>3350</v>
      </c>
      <c r="J167" s="485" t="s">
        <v>3351</v>
      </c>
      <c r="K167" s="485" t="s">
        <v>1756</v>
      </c>
      <c r="L167" s="485" t="s">
        <v>2783</v>
      </c>
      <c r="M167" s="486" t="s">
        <v>1230</v>
      </c>
      <c r="N167" s="486" t="s">
        <v>1231</v>
      </c>
      <c r="O167" s="485" t="s">
        <v>1232</v>
      </c>
      <c r="P167" s="485" t="s">
        <v>469</v>
      </c>
      <c r="Q167" s="487">
        <v>43859</v>
      </c>
      <c r="R167" s="487">
        <v>44725</v>
      </c>
      <c r="S167" s="488">
        <v>0.35</v>
      </c>
      <c r="T167" s="488"/>
      <c r="U167" s="489">
        <v>3036000</v>
      </c>
      <c r="V167" s="489">
        <v>3036000</v>
      </c>
      <c r="W167" s="489">
        <v>3036000</v>
      </c>
      <c r="X167" s="489">
        <f t="shared" si="10"/>
        <v>0</v>
      </c>
      <c r="Y167" s="489">
        <f t="shared" si="11"/>
        <v>0</v>
      </c>
      <c r="Z167" s="489">
        <v>3036000</v>
      </c>
      <c r="AA167" s="489">
        <v>3036000</v>
      </c>
      <c r="AB167" s="489">
        <v>3036000</v>
      </c>
      <c r="AC167" s="489">
        <f t="shared" si="12"/>
        <v>0</v>
      </c>
      <c r="AD167" s="489">
        <f t="shared" si="13"/>
        <v>0</v>
      </c>
      <c r="AE167" s="489">
        <v>0</v>
      </c>
      <c r="AF167" s="489">
        <v>0</v>
      </c>
      <c r="AG167" s="490" t="s">
        <v>1250</v>
      </c>
      <c r="AH167" s="490" t="s">
        <v>1252</v>
      </c>
      <c r="AI167" s="490" t="s">
        <v>1269</v>
      </c>
      <c r="AJ167" s="490" t="s">
        <v>1234</v>
      </c>
      <c r="AK167" s="490" t="s">
        <v>1251</v>
      </c>
      <c r="AL167" s="491"/>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row>
    <row r="168" spans="1:80" ht="18" customHeight="1" x14ac:dyDescent="0.25">
      <c r="A168" s="485">
        <f t="shared" si="14"/>
        <v>166</v>
      </c>
      <c r="B168" s="485" t="s">
        <v>3353</v>
      </c>
      <c r="C168" s="485">
        <v>4100000006</v>
      </c>
      <c r="D168" s="485" t="s">
        <v>4782</v>
      </c>
      <c r="E168" s="485" t="s">
        <v>1450</v>
      </c>
      <c r="F168" s="485" t="s">
        <v>4781</v>
      </c>
      <c r="G168" s="485" t="s">
        <v>3350</v>
      </c>
      <c r="H168" s="485" t="s">
        <v>2602</v>
      </c>
      <c r="I168" s="485" t="s">
        <v>3350</v>
      </c>
      <c r="J168" s="485" t="s">
        <v>3351</v>
      </c>
      <c r="K168" s="485" t="s">
        <v>1756</v>
      </c>
      <c r="L168" s="485" t="s">
        <v>2783</v>
      </c>
      <c r="M168" s="486" t="s">
        <v>1230</v>
      </c>
      <c r="N168" s="486" t="s">
        <v>1231</v>
      </c>
      <c r="O168" s="485" t="s">
        <v>1232</v>
      </c>
      <c r="P168" s="485" t="s">
        <v>469</v>
      </c>
      <c r="Q168" s="487">
        <v>43859</v>
      </c>
      <c r="R168" s="487">
        <v>44725</v>
      </c>
      <c r="S168" s="488">
        <v>1</v>
      </c>
      <c r="T168" s="488"/>
      <c r="U168" s="489">
        <v>3028747</v>
      </c>
      <c r="V168" s="489">
        <v>3028747</v>
      </c>
      <c r="W168" s="489">
        <v>3028747</v>
      </c>
      <c r="X168" s="489">
        <f t="shared" si="10"/>
        <v>0</v>
      </c>
      <c r="Y168" s="489">
        <f t="shared" si="11"/>
        <v>0</v>
      </c>
      <c r="Z168" s="489">
        <v>3028747</v>
      </c>
      <c r="AA168" s="489">
        <v>3028747</v>
      </c>
      <c r="AB168" s="489">
        <v>3028747</v>
      </c>
      <c r="AC168" s="489">
        <f t="shared" si="12"/>
        <v>0</v>
      </c>
      <c r="AD168" s="489">
        <f t="shared" si="13"/>
        <v>0</v>
      </c>
      <c r="AE168" s="489">
        <v>0</v>
      </c>
      <c r="AF168" s="489">
        <v>0</v>
      </c>
      <c r="AG168" s="490" t="s">
        <v>1250</v>
      </c>
      <c r="AH168" s="490" t="s">
        <v>1291</v>
      </c>
      <c r="AI168" s="490" t="s">
        <v>1292</v>
      </c>
      <c r="AJ168" s="490" t="s">
        <v>1234</v>
      </c>
      <c r="AK168" s="490" t="s">
        <v>1240</v>
      </c>
      <c r="AL168" s="491"/>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row>
    <row r="169" spans="1:80" ht="18" customHeight="1" x14ac:dyDescent="0.25">
      <c r="A169" s="485">
        <f t="shared" si="14"/>
        <v>167</v>
      </c>
      <c r="B169" s="485" t="s">
        <v>3358</v>
      </c>
      <c r="C169" s="485">
        <v>4100000010</v>
      </c>
      <c r="D169" s="485" t="s">
        <v>4783</v>
      </c>
      <c r="E169" s="485" t="s">
        <v>1451</v>
      </c>
      <c r="F169" s="485" t="s">
        <v>3357</v>
      </c>
      <c r="G169" s="485" t="s">
        <v>3354</v>
      </c>
      <c r="H169" s="485" t="s">
        <v>2603</v>
      </c>
      <c r="I169" s="485" t="s">
        <v>3355</v>
      </c>
      <c r="J169" s="485" t="s">
        <v>3356</v>
      </c>
      <c r="K169" s="485" t="s">
        <v>1756</v>
      </c>
      <c r="L169" s="485" t="s">
        <v>2783</v>
      </c>
      <c r="M169" s="486" t="s">
        <v>1230</v>
      </c>
      <c r="N169" s="486" t="s">
        <v>1231</v>
      </c>
      <c r="O169" s="485" t="s">
        <v>1232</v>
      </c>
      <c r="P169" s="485" t="s">
        <v>469</v>
      </c>
      <c r="Q169" s="487">
        <v>43860</v>
      </c>
      <c r="R169" s="487">
        <v>45819</v>
      </c>
      <c r="S169" s="488">
        <v>0.35</v>
      </c>
      <c r="T169" s="488"/>
      <c r="U169" s="489">
        <v>6230000</v>
      </c>
      <c r="V169" s="489">
        <v>6230000</v>
      </c>
      <c r="W169" s="489">
        <v>6230000</v>
      </c>
      <c r="X169" s="489">
        <f t="shared" si="10"/>
        <v>0</v>
      </c>
      <c r="Y169" s="489">
        <f t="shared" si="11"/>
        <v>0</v>
      </c>
      <c r="Z169" s="489">
        <v>6230000</v>
      </c>
      <c r="AA169" s="489">
        <v>6230000</v>
      </c>
      <c r="AB169" s="489">
        <v>6230000</v>
      </c>
      <c r="AC169" s="489">
        <f t="shared" si="12"/>
        <v>0</v>
      </c>
      <c r="AD169" s="489">
        <f t="shared" si="13"/>
        <v>0</v>
      </c>
      <c r="AE169" s="489">
        <v>0</v>
      </c>
      <c r="AF169" s="489">
        <v>0</v>
      </c>
      <c r="AG169" s="490" t="s">
        <v>1250</v>
      </c>
      <c r="AH169" s="490" t="s">
        <v>1252</v>
      </c>
      <c r="AI169" s="490" t="s">
        <v>1248</v>
      </c>
      <c r="AJ169" s="490" t="s">
        <v>1234</v>
      </c>
      <c r="AK169" s="490" t="s">
        <v>1251</v>
      </c>
      <c r="AL169" s="491"/>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row>
    <row r="170" spans="1:80" ht="18" customHeight="1" x14ac:dyDescent="0.25">
      <c r="A170" s="485">
        <f t="shared" si="14"/>
        <v>168</v>
      </c>
      <c r="B170" s="485" t="s">
        <v>3359</v>
      </c>
      <c r="C170" s="485">
        <v>4100000013</v>
      </c>
      <c r="D170" s="485" t="s">
        <v>4784</v>
      </c>
      <c r="E170" s="485" t="s">
        <v>1451</v>
      </c>
      <c r="F170" s="485" t="s">
        <v>3357</v>
      </c>
      <c r="G170" s="485" t="s">
        <v>3354</v>
      </c>
      <c r="H170" s="485" t="s">
        <v>2603</v>
      </c>
      <c r="I170" s="485" t="s">
        <v>3355</v>
      </c>
      <c r="J170" s="485" t="s">
        <v>3356</v>
      </c>
      <c r="K170" s="485" t="s">
        <v>1756</v>
      </c>
      <c r="L170" s="485" t="s">
        <v>2783</v>
      </c>
      <c r="M170" s="486" t="s">
        <v>1230</v>
      </c>
      <c r="N170" s="486" t="s">
        <v>1231</v>
      </c>
      <c r="O170" s="485" t="s">
        <v>1232</v>
      </c>
      <c r="P170" s="485" t="s">
        <v>469</v>
      </c>
      <c r="Q170" s="487">
        <v>43860</v>
      </c>
      <c r="R170" s="487">
        <v>45819</v>
      </c>
      <c r="S170" s="488">
        <v>0.35</v>
      </c>
      <c r="T170" s="488"/>
      <c r="U170" s="489">
        <v>3839000</v>
      </c>
      <c r="V170" s="489">
        <v>3839000</v>
      </c>
      <c r="W170" s="489">
        <v>3839000</v>
      </c>
      <c r="X170" s="489">
        <f t="shared" si="10"/>
        <v>0</v>
      </c>
      <c r="Y170" s="489">
        <f t="shared" si="11"/>
        <v>0</v>
      </c>
      <c r="Z170" s="489">
        <v>3839000</v>
      </c>
      <c r="AA170" s="489">
        <v>3839000</v>
      </c>
      <c r="AB170" s="489">
        <v>3839000</v>
      </c>
      <c r="AC170" s="489">
        <f t="shared" si="12"/>
        <v>0</v>
      </c>
      <c r="AD170" s="489">
        <f t="shared" si="13"/>
        <v>0</v>
      </c>
      <c r="AE170" s="489">
        <v>0</v>
      </c>
      <c r="AF170" s="489">
        <v>0</v>
      </c>
      <c r="AG170" s="490" t="s">
        <v>1250</v>
      </c>
      <c r="AH170" s="490" t="s">
        <v>1252</v>
      </c>
      <c r="AI170" s="490" t="s">
        <v>1248</v>
      </c>
      <c r="AJ170" s="490" t="s">
        <v>1234</v>
      </c>
      <c r="AK170" s="490" t="s">
        <v>1251</v>
      </c>
      <c r="AL170" s="491"/>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row>
    <row r="171" spans="1:80" ht="18" customHeight="1" x14ac:dyDescent="0.25">
      <c r="A171" s="485">
        <f t="shared" si="14"/>
        <v>169</v>
      </c>
      <c r="B171" s="485" t="s">
        <v>3362</v>
      </c>
      <c r="C171" s="485">
        <v>4100000012</v>
      </c>
      <c r="D171" s="485" t="s">
        <v>4785</v>
      </c>
      <c r="E171" s="485" t="s">
        <v>1451</v>
      </c>
      <c r="F171" s="485" t="s">
        <v>3361</v>
      </c>
      <c r="G171" s="485" t="s">
        <v>3360</v>
      </c>
      <c r="H171" s="485" t="s">
        <v>2603</v>
      </c>
      <c r="I171" s="485" t="s">
        <v>3355</v>
      </c>
      <c r="J171" s="485" t="s">
        <v>3356</v>
      </c>
      <c r="K171" s="485" t="s">
        <v>1756</v>
      </c>
      <c r="L171" s="485" t="s">
        <v>2783</v>
      </c>
      <c r="M171" s="486" t="s">
        <v>1230</v>
      </c>
      <c r="N171" s="486" t="s">
        <v>1231</v>
      </c>
      <c r="O171" s="485" t="s">
        <v>1232</v>
      </c>
      <c r="P171" s="485" t="s">
        <v>469</v>
      </c>
      <c r="Q171" s="487">
        <v>43860</v>
      </c>
      <c r="R171" s="487">
        <v>45819</v>
      </c>
      <c r="S171" s="488">
        <v>1</v>
      </c>
      <c r="T171" s="488"/>
      <c r="U171" s="489">
        <v>1900000</v>
      </c>
      <c r="V171" s="489">
        <v>1900000</v>
      </c>
      <c r="W171" s="489">
        <v>1900000</v>
      </c>
      <c r="X171" s="489">
        <f t="shared" si="10"/>
        <v>0</v>
      </c>
      <c r="Y171" s="489">
        <f t="shared" si="11"/>
        <v>0</v>
      </c>
      <c r="Z171" s="489">
        <v>1900000</v>
      </c>
      <c r="AA171" s="489">
        <v>1900000</v>
      </c>
      <c r="AB171" s="489">
        <v>1900000</v>
      </c>
      <c r="AC171" s="489">
        <f t="shared" si="12"/>
        <v>0</v>
      </c>
      <c r="AD171" s="489">
        <f t="shared" si="13"/>
        <v>0</v>
      </c>
      <c r="AE171" s="489">
        <v>0</v>
      </c>
      <c r="AF171" s="489">
        <v>0</v>
      </c>
      <c r="AG171" s="490" t="s">
        <v>1250</v>
      </c>
      <c r="AH171" s="490" t="s">
        <v>1291</v>
      </c>
      <c r="AI171" s="490" t="s">
        <v>1292</v>
      </c>
      <c r="AJ171" s="490" t="s">
        <v>1234</v>
      </c>
      <c r="AK171" s="490" t="s">
        <v>1240</v>
      </c>
      <c r="AL171" s="49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row>
    <row r="172" spans="1:80" ht="18" customHeight="1" x14ac:dyDescent="0.25">
      <c r="A172" s="485">
        <f t="shared" si="14"/>
        <v>170</v>
      </c>
      <c r="B172" s="485" t="s">
        <v>3365</v>
      </c>
      <c r="C172" s="485">
        <v>4100000009</v>
      </c>
      <c r="D172" s="485" t="s">
        <v>4786</v>
      </c>
      <c r="E172" s="485" t="s">
        <v>1451</v>
      </c>
      <c r="F172" s="485" t="s">
        <v>3364</v>
      </c>
      <c r="G172" s="485" t="s">
        <v>3363</v>
      </c>
      <c r="H172" s="485" t="s">
        <v>2603</v>
      </c>
      <c r="I172" s="485" t="s">
        <v>3355</v>
      </c>
      <c r="J172" s="485" t="s">
        <v>3356</v>
      </c>
      <c r="K172" s="485" t="s">
        <v>1756</v>
      </c>
      <c r="L172" s="485" t="s">
        <v>2783</v>
      </c>
      <c r="M172" s="486" t="s">
        <v>1230</v>
      </c>
      <c r="N172" s="486" t="s">
        <v>1231</v>
      </c>
      <c r="O172" s="485" t="s">
        <v>1232</v>
      </c>
      <c r="P172" s="485" t="s">
        <v>469</v>
      </c>
      <c r="Q172" s="487">
        <v>43860</v>
      </c>
      <c r="R172" s="487">
        <v>45819</v>
      </c>
      <c r="S172" s="488">
        <v>1</v>
      </c>
      <c r="T172" s="488"/>
      <c r="U172" s="489">
        <v>660000</v>
      </c>
      <c r="V172" s="489">
        <v>660000</v>
      </c>
      <c r="W172" s="489">
        <v>660000</v>
      </c>
      <c r="X172" s="489">
        <f t="shared" si="10"/>
        <v>0</v>
      </c>
      <c r="Y172" s="489">
        <f t="shared" si="11"/>
        <v>0</v>
      </c>
      <c r="Z172" s="489">
        <v>660000</v>
      </c>
      <c r="AA172" s="489">
        <v>660000</v>
      </c>
      <c r="AB172" s="489">
        <v>660000</v>
      </c>
      <c r="AC172" s="489">
        <f t="shared" si="12"/>
        <v>0</v>
      </c>
      <c r="AD172" s="489">
        <f t="shared" si="13"/>
        <v>0</v>
      </c>
      <c r="AE172" s="489">
        <v>0</v>
      </c>
      <c r="AF172" s="489">
        <v>0</v>
      </c>
      <c r="AG172" s="490" t="s">
        <v>1250</v>
      </c>
      <c r="AH172" s="490" t="s">
        <v>1291</v>
      </c>
      <c r="AI172" s="490" t="s">
        <v>1292</v>
      </c>
      <c r="AJ172" s="490" t="s">
        <v>1234</v>
      </c>
      <c r="AK172" s="490" t="s">
        <v>1240</v>
      </c>
      <c r="AL172" s="491"/>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row>
    <row r="173" spans="1:80" ht="18" customHeight="1" x14ac:dyDescent="0.25">
      <c r="A173" s="485">
        <f t="shared" si="14"/>
        <v>171</v>
      </c>
      <c r="B173" s="485" t="s">
        <v>3368</v>
      </c>
      <c r="C173" s="485">
        <v>4100000008</v>
      </c>
      <c r="D173" s="485" t="s">
        <v>4787</v>
      </c>
      <c r="E173" s="485" t="s">
        <v>1451</v>
      </c>
      <c r="F173" s="485" t="s">
        <v>3367</v>
      </c>
      <c r="G173" s="485" t="s">
        <v>3366</v>
      </c>
      <c r="H173" s="485" t="s">
        <v>2603</v>
      </c>
      <c r="I173" s="485" t="s">
        <v>3355</v>
      </c>
      <c r="J173" s="485" t="s">
        <v>3356</v>
      </c>
      <c r="K173" s="485" t="s">
        <v>1756</v>
      </c>
      <c r="L173" s="485" t="s">
        <v>2783</v>
      </c>
      <c r="M173" s="486" t="s">
        <v>1230</v>
      </c>
      <c r="N173" s="486" t="s">
        <v>1231</v>
      </c>
      <c r="O173" s="485" t="s">
        <v>1232</v>
      </c>
      <c r="P173" s="485" t="s">
        <v>469</v>
      </c>
      <c r="Q173" s="487">
        <v>43860</v>
      </c>
      <c r="R173" s="487">
        <v>45819</v>
      </c>
      <c r="S173" s="488">
        <v>1</v>
      </c>
      <c r="T173" s="488"/>
      <c r="U173" s="489">
        <v>220000</v>
      </c>
      <c r="V173" s="489">
        <v>220000</v>
      </c>
      <c r="W173" s="489">
        <v>220000</v>
      </c>
      <c r="X173" s="489">
        <f t="shared" si="10"/>
        <v>0</v>
      </c>
      <c r="Y173" s="489">
        <f t="shared" si="11"/>
        <v>0</v>
      </c>
      <c r="Z173" s="489">
        <v>220000</v>
      </c>
      <c r="AA173" s="489">
        <v>220000</v>
      </c>
      <c r="AB173" s="489">
        <v>220000</v>
      </c>
      <c r="AC173" s="489">
        <f t="shared" si="12"/>
        <v>0</v>
      </c>
      <c r="AD173" s="489">
        <f t="shared" si="13"/>
        <v>0</v>
      </c>
      <c r="AE173" s="489">
        <v>0</v>
      </c>
      <c r="AF173" s="489">
        <v>0</v>
      </c>
      <c r="AG173" s="490" t="s">
        <v>1250</v>
      </c>
      <c r="AH173" s="490" t="s">
        <v>1291</v>
      </c>
      <c r="AI173" s="490" t="s">
        <v>1292</v>
      </c>
      <c r="AJ173" s="490" t="s">
        <v>1234</v>
      </c>
      <c r="AK173" s="490" t="s">
        <v>1240</v>
      </c>
      <c r="AL173" s="491"/>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row>
    <row r="174" spans="1:80" ht="18" customHeight="1" x14ac:dyDescent="0.25">
      <c r="A174" s="485">
        <f t="shared" si="14"/>
        <v>172</v>
      </c>
      <c r="B174" s="485" t="s">
        <v>3371</v>
      </c>
      <c r="C174" s="485">
        <v>4100000007</v>
      </c>
      <c r="D174" s="485" t="s">
        <v>4788</v>
      </c>
      <c r="E174" s="485" t="s">
        <v>1451</v>
      </c>
      <c r="F174" s="485" t="s">
        <v>3370</v>
      </c>
      <c r="G174" s="485" t="s">
        <v>3369</v>
      </c>
      <c r="H174" s="485" t="s">
        <v>2603</v>
      </c>
      <c r="I174" s="485" t="s">
        <v>3355</v>
      </c>
      <c r="J174" s="485" t="s">
        <v>3356</v>
      </c>
      <c r="K174" s="485" t="s">
        <v>1756</v>
      </c>
      <c r="L174" s="485" t="s">
        <v>2783</v>
      </c>
      <c r="M174" s="486" t="s">
        <v>1230</v>
      </c>
      <c r="N174" s="486" t="s">
        <v>1231</v>
      </c>
      <c r="O174" s="485" t="s">
        <v>1232</v>
      </c>
      <c r="P174" s="485" t="s">
        <v>469</v>
      </c>
      <c r="Q174" s="487">
        <v>43860</v>
      </c>
      <c r="R174" s="487">
        <v>45819</v>
      </c>
      <c r="S174" s="488">
        <v>0.35</v>
      </c>
      <c r="T174" s="488"/>
      <c r="U174" s="489">
        <v>10846500</v>
      </c>
      <c r="V174" s="489">
        <v>10846500</v>
      </c>
      <c r="W174" s="489">
        <v>10846500</v>
      </c>
      <c r="X174" s="489">
        <f t="shared" si="10"/>
        <v>0</v>
      </c>
      <c r="Y174" s="489">
        <f t="shared" si="11"/>
        <v>0</v>
      </c>
      <c r="Z174" s="489">
        <v>10846500</v>
      </c>
      <c r="AA174" s="489">
        <v>10846500</v>
      </c>
      <c r="AB174" s="489">
        <v>10846500</v>
      </c>
      <c r="AC174" s="489">
        <f t="shared" si="12"/>
        <v>0</v>
      </c>
      <c r="AD174" s="489">
        <f t="shared" si="13"/>
        <v>0</v>
      </c>
      <c r="AE174" s="489">
        <v>0</v>
      </c>
      <c r="AF174" s="489">
        <v>0</v>
      </c>
      <c r="AG174" s="490" t="s">
        <v>1250</v>
      </c>
      <c r="AH174" s="490" t="s">
        <v>1252</v>
      </c>
      <c r="AI174" s="490" t="s">
        <v>1248</v>
      </c>
      <c r="AJ174" s="490" t="s">
        <v>1234</v>
      </c>
      <c r="AK174" s="490" t="s">
        <v>1251</v>
      </c>
      <c r="AL174" s="491"/>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row>
    <row r="175" spans="1:80" ht="18" customHeight="1" x14ac:dyDescent="0.25">
      <c r="A175" s="485">
        <f t="shared" si="14"/>
        <v>173</v>
      </c>
      <c r="B175" s="485" t="s">
        <v>3374</v>
      </c>
      <c r="C175" s="485">
        <v>4100000011</v>
      </c>
      <c r="D175" s="485" t="s">
        <v>4789</v>
      </c>
      <c r="E175" s="485" t="s">
        <v>1451</v>
      </c>
      <c r="F175" s="485" t="s">
        <v>3373</v>
      </c>
      <c r="G175" s="485" t="s">
        <v>3372</v>
      </c>
      <c r="H175" s="485" t="s">
        <v>2603</v>
      </c>
      <c r="I175" s="485" t="s">
        <v>3355</v>
      </c>
      <c r="J175" s="485" t="s">
        <v>3356</v>
      </c>
      <c r="K175" s="485" t="s">
        <v>1756</v>
      </c>
      <c r="L175" s="485" t="s">
        <v>2783</v>
      </c>
      <c r="M175" s="486" t="s">
        <v>1230</v>
      </c>
      <c r="N175" s="486" t="s">
        <v>1231</v>
      </c>
      <c r="O175" s="485" t="s">
        <v>1232</v>
      </c>
      <c r="P175" s="485" t="s">
        <v>469</v>
      </c>
      <c r="Q175" s="487">
        <v>43860</v>
      </c>
      <c r="R175" s="487">
        <v>45819</v>
      </c>
      <c r="S175" s="488">
        <v>0.35</v>
      </c>
      <c r="T175" s="488"/>
      <c r="U175" s="489">
        <v>6565000</v>
      </c>
      <c r="V175" s="489">
        <v>6565000</v>
      </c>
      <c r="W175" s="489">
        <v>6565000</v>
      </c>
      <c r="X175" s="489">
        <f t="shared" si="10"/>
        <v>0</v>
      </c>
      <c r="Y175" s="489">
        <f t="shared" si="11"/>
        <v>0</v>
      </c>
      <c r="Z175" s="489">
        <v>6565000</v>
      </c>
      <c r="AA175" s="489">
        <v>6565000</v>
      </c>
      <c r="AB175" s="489">
        <v>6565000</v>
      </c>
      <c r="AC175" s="489">
        <f t="shared" si="12"/>
        <v>0</v>
      </c>
      <c r="AD175" s="489">
        <f t="shared" si="13"/>
        <v>0</v>
      </c>
      <c r="AE175" s="489">
        <v>0</v>
      </c>
      <c r="AF175" s="489">
        <v>0</v>
      </c>
      <c r="AG175" s="490" t="s">
        <v>1250</v>
      </c>
      <c r="AH175" s="490" t="s">
        <v>1252</v>
      </c>
      <c r="AI175" s="490" t="s">
        <v>1248</v>
      </c>
      <c r="AJ175" s="490" t="s">
        <v>1234</v>
      </c>
      <c r="AK175" s="490" t="s">
        <v>1251</v>
      </c>
      <c r="AL175" s="491"/>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row>
    <row r="176" spans="1:80" ht="18" customHeight="1" x14ac:dyDescent="0.25">
      <c r="A176" s="485">
        <f t="shared" si="14"/>
        <v>174</v>
      </c>
      <c r="B176" s="485" t="s">
        <v>3375</v>
      </c>
      <c r="C176" s="485">
        <v>2100000237</v>
      </c>
      <c r="D176" s="485" t="s">
        <v>4790</v>
      </c>
      <c r="E176" s="485" t="s">
        <v>1312</v>
      </c>
      <c r="F176" s="485" t="s">
        <v>2948</v>
      </c>
      <c r="G176" s="485" t="s">
        <v>2946</v>
      </c>
      <c r="H176" s="485" t="s">
        <v>2556</v>
      </c>
      <c r="I176" s="485" t="s">
        <v>2919</v>
      </c>
      <c r="J176" s="485" t="s">
        <v>2947</v>
      </c>
      <c r="K176" s="485" t="s">
        <v>1756</v>
      </c>
      <c r="L176" s="485" t="s">
        <v>2783</v>
      </c>
      <c r="M176" s="486" t="s">
        <v>1230</v>
      </c>
      <c r="N176" s="486" t="s">
        <v>1231</v>
      </c>
      <c r="O176" s="485" t="s">
        <v>1231</v>
      </c>
      <c r="P176" s="485" t="s">
        <v>469</v>
      </c>
      <c r="Q176" s="487">
        <v>43864</v>
      </c>
      <c r="R176" s="487">
        <v>44684</v>
      </c>
      <c r="S176" s="488">
        <v>1.5</v>
      </c>
      <c r="T176" s="488"/>
      <c r="U176" s="489">
        <v>14117801.93</v>
      </c>
      <c r="V176" s="489">
        <v>14207536.99</v>
      </c>
      <c r="W176" s="489">
        <v>14207536.99</v>
      </c>
      <c r="X176" s="489">
        <f t="shared" si="10"/>
        <v>89735.060000000522</v>
      </c>
      <c r="Y176" s="489">
        <f t="shared" si="11"/>
        <v>0</v>
      </c>
      <c r="Z176" s="489">
        <v>14117801.93</v>
      </c>
      <c r="AA176" s="489">
        <v>14207536.99</v>
      </c>
      <c r="AB176" s="489">
        <v>14207536.99</v>
      </c>
      <c r="AC176" s="489">
        <f t="shared" si="12"/>
        <v>89735.060000000522</v>
      </c>
      <c r="AD176" s="489">
        <f t="shared" si="13"/>
        <v>0</v>
      </c>
      <c r="AE176" s="489">
        <v>0</v>
      </c>
      <c r="AF176" s="489">
        <v>0</v>
      </c>
      <c r="AG176" s="490" t="s">
        <v>1245</v>
      </c>
      <c r="AH176" s="490" t="s">
        <v>1247</v>
      </c>
      <c r="AI176" s="490" t="s">
        <v>1269</v>
      </c>
      <c r="AJ176" s="490" t="s">
        <v>1246</v>
      </c>
      <c r="AK176" s="490" t="s">
        <v>1235</v>
      </c>
      <c r="AL176" s="491"/>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row>
    <row r="177" spans="1:80" ht="18" customHeight="1" x14ac:dyDescent="0.25">
      <c r="A177" s="492">
        <f t="shared" si="14"/>
        <v>175</v>
      </c>
      <c r="B177" s="492" t="s">
        <v>3379</v>
      </c>
      <c r="C177" s="492">
        <v>3100000002</v>
      </c>
      <c r="D177" s="492" t="s">
        <v>4791</v>
      </c>
      <c r="E177" s="492" t="s">
        <v>1453</v>
      </c>
      <c r="F177" s="492" t="s">
        <v>1452</v>
      </c>
      <c r="G177" s="492" t="s">
        <v>3376</v>
      </c>
      <c r="H177" s="492" t="s">
        <v>4520</v>
      </c>
      <c r="I177" s="492" t="s">
        <v>3377</v>
      </c>
      <c r="J177" s="492" t="s">
        <v>3378</v>
      </c>
      <c r="K177" s="492" t="s">
        <v>1756</v>
      </c>
      <c r="L177" s="492" t="s">
        <v>2783</v>
      </c>
      <c r="M177" s="493" t="s">
        <v>1230</v>
      </c>
      <c r="N177" s="514" t="s">
        <v>1232</v>
      </c>
      <c r="O177" s="492" t="s">
        <v>1232</v>
      </c>
      <c r="P177" s="492" t="s">
        <v>469</v>
      </c>
      <c r="Q177" s="494">
        <v>43867</v>
      </c>
      <c r="R177" s="494">
        <v>44719</v>
      </c>
      <c r="S177" s="498">
        <v>1.5</v>
      </c>
      <c r="T177" s="498"/>
      <c r="U177" s="496">
        <v>1300000</v>
      </c>
      <c r="V177" s="496">
        <v>1300000</v>
      </c>
      <c r="W177" s="496">
        <v>1300000</v>
      </c>
      <c r="X177" s="496">
        <f t="shared" si="10"/>
        <v>0</v>
      </c>
      <c r="Y177" s="496">
        <f t="shared" si="11"/>
        <v>0</v>
      </c>
      <c r="Z177" s="496">
        <v>1300000</v>
      </c>
      <c r="AA177" s="496">
        <v>1300000</v>
      </c>
      <c r="AB177" s="496">
        <v>1300000</v>
      </c>
      <c r="AC177" s="496">
        <f t="shared" si="12"/>
        <v>0</v>
      </c>
      <c r="AD177" s="496">
        <f t="shared" si="13"/>
        <v>0</v>
      </c>
      <c r="AE177" s="496">
        <v>0</v>
      </c>
      <c r="AF177" s="496">
        <v>0</v>
      </c>
      <c r="AG177" s="497" t="s">
        <v>1233</v>
      </c>
      <c r="AH177" s="497" t="s">
        <v>1242</v>
      </c>
      <c r="AI177" s="497" t="s">
        <v>1268</v>
      </c>
      <c r="AJ177" s="497" t="s">
        <v>1234</v>
      </c>
      <c r="AK177" s="497" t="s">
        <v>1235</v>
      </c>
      <c r="AL177" s="491"/>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row>
    <row r="178" spans="1:80" ht="18" customHeight="1" x14ac:dyDescent="0.25">
      <c r="A178" s="485">
        <f t="shared" si="14"/>
        <v>176</v>
      </c>
      <c r="B178" s="485" t="s">
        <v>3382</v>
      </c>
      <c r="C178" s="485">
        <v>1100000190</v>
      </c>
      <c r="D178" s="485" t="s">
        <v>4792</v>
      </c>
      <c r="E178" s="485" t="s">
        <v>343</v>
      </c>
      <c r="F178" s="485" t="s">
        <v>218</v>
      </c>
      <c r="G178" s="485" t="s">
        <v>1110</v>
      </c>
      <c r="H178" s="485" t="s">
        <v>2604</v>
      </c>
      <c r="I178" s="485" t="s">
        <v>3380</v>
      </c>
      <c r="J178" s="485" t="s">
        <v>3381</v>
      </c>
      <c r="K178" s="485" t="s">
        <v>1756</v>
      </c>
      <c r="L178" s="485" t="s">
        <v>2783</v>
      </c>
      <c r="M178" s="486" t="s">
        <v>1230</v>
      </c>
      <c r="N178" s="486" t="s">
        <v>1231</v>
      </c>
      <c r="O178" s="485" t="s">
        <v>1232</v>
      </c>
      <c r="P178" s="485" t="s">
        <v>1156</v>
      </c>
      <c r="Q178" s="487">
        <v>43886</v>
      </c>
      <c r="R178" s="487">
        <v>44988</v>
      </c>
      <c r="S178" s="488">
        <v>1</v>
      </c>
      <c r="T178" s="488"/>
      <c r="U178" s="489">
        <v>16000000</v>
      </c>
      <c r="V178" s="489">
        <v>16000000</v>
      </c>
      <c r="W178" s="489">
        <v>16000000</v>
      </c>
      <c r="X178" s="489">
        <f t="shared" si="10"/>
        <v>0</v>
      </c>
      <c r="Y178" s="489">
        <f t="shared" si="11"/>
        <v>0</v>
      </c>
      <c r="Z178" s="489">
        <v>16000000</v>
      </c>
      <c r="AA178" s="489">
        <v>16000000</v>
      </c>
      <c r="AB178" s="489">
        <v>16000000</v>
      </c>
      <c r="AC178" s="489">
        <f t="shared" si="12"/>
        <v>0</v>
      </c>
      <c r="AD178" s="489">
        <f t="shared" si="13"/>
        <v>0</v>
      </c>
      <c r="AE178" s="489">
        <v>0</v>
      </c>
      <c r="AF178" s="489">
        <v>0</v>
      </c>
      <c r="AG178" s="490" t="s">
        <v>1237</v>
      </c>
      <c r="AH178" s="490" t="s">
        <v>1236</v>
      </c>
      <c r="AI178" s="490"/>
      <c r="AJ178" s="490" t="s">
        <v>1259</v>
      </c>
      <c r="AK178" s="490" t="s">
        <v>1260</v>
      </c>
      <c r="AL178" s="491"/>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row>
    <row r="179" spans="1:80" ht="18" customHeight="1" x14ac:dyDescent="0.25">
      <c r="A179" s="485">
        <f t="shared" si="14"/>
        <v>177</v>
      </c>
      <c r="B179" s="485" t="s">
        <v>3383</v>
      </c>
      <c r="C179" s="485">
        <v>1100000191</v>
      </c>
      <c r="D179" s="485" t="s">
        <v>4793</v>
      </c>
      <c r="E179" s="485" t="s">
        <v>343</v>
      </c>
      <c r="F179" s="485" t="s">
        <v>218</v>
      </c>
      <c r="G179" s="485" t="s">
        <v>1110</v>
      </c>
      <c r="H179" s="485" t="s">
        <v>2604</v>
      </c>
      <c r="I179" s="485" t="s">
        <v>3380</v>
      </c>
      <c r="J179" s="485" t="s">
        <v>3381</v>
      </c>
      <c r="K179" s="485" t="s">
        <v>1756</v>
      </c>
      <c r="L179" s="485" t="s">
        <v>2783</v>
      </c>
      <c r="M179" s="486" t="s">
        <v>1230</v>
      </c>
      <c r="N179" s="486" t="s">
        <v>1231</v>
      </c>
      <c r="O179" s="485" t="s">
        <v>1232</v>
      </c>
      <c r="P179" s="485" t="s">
        <v>1156</v>
      </c>
      <c r="Q179" s="487">
        <v>43886</v>
      </c>
      <c r="R179" s="487">
        <v>44988</v>
      </c>
      <c r="S179" s="488">
        <v>1</v>
      </c>
      <c r="T179" s="488"/>
      <c r="U179" s="489">
        <v>3950000</v>
      </c>
      <c r="V179" s="489">
        <v>3950000</v>
      </c>
      <c r="W179" s="489">
        <v>3950000</v>
      </c>
      <c r="X179" s="489">
        <f t="shared" si="10"/>
        <v>0</v>
      </c>
      <c r="Y179" s="489">
        <f t="shared" si="11"/>
        <v>0</v>
      </c>
      <c r="Z179" s="489">
        <v>0</v>
      </c>
      <c r="AA179" s="489">
        <v>0</v>
      </c>
      <c r="AB179" s="489">
        <v>0</v>
      </c>
      <c r="AC179" s="489">
        <f t="shared" si="12"/>
        <v>0</v>
      </c>
      <c r="AD179" s="489">
        <f t="shared" si="13"/>
        <v>0</v>
      </c>
      <c r="AE179" s="489">
        <v>0</v>
      </c>
      <c r="AF179" s="489">
        <v>3950000</v>
      </c>
      <c r="AG179" s="490" t="s">
        <v>1237</v>
      </c>
      <c r="AH179" s="490" t="s">
        <v>1236</v>
      </c>
      <c r="AI179" s="490"/>
      <c r="AJ179" s="490" t="s">
        <v>1259</v>
      </c>
      <c r="AK179" s="490" t="s">
        <v>1260</v>
      </c>
      <c r="AL179" s="491"/>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row>
    <row r="180" spans="1:80" ht="18" customHeight="1" x14ac:dyDescent="0.25">
      <c r="A180" s="485">
        <f t="shared" si="14"/>
        <v>178</v>
      </c>
      <c r="B180" s="485" t="s">
        <v>3386</v>
      </c>
      <c r="C180" s="485">
        <v>2100000228</v>
      </c>
      <c r="D180" s="485" t="s">
        <v>4794</v>
      </c>
      <c r="E180" s="485" t="s">
        <v>1455</v>
      </c>
      <c r="F180" s="485" t="s">
        <v>1454</v>
      </c>
      <c r="G180" s="485" t="s">
        <v>3384</v>
      </c>
      <c r="H180" s="485" t="s">
        <v>2541</v>
      </c>
      <c r="I180" s="485" t="s">
        <v>2805</v>
      </c>
      <c r="J180" s="485" t="s">
        <v>3385</v>
      </c>
      <c r="K180" s="485" t="s">
        <v>1756</v>
      </c>
      <c r="L180" s="485" t="s">
        <v>2783</v>
      </c>
      <c r="M180" s="486" t="s">
        <v>1307</v>
      </c>
      <c r="N180" s="486" t="s">
        <v>1231</v>
      </c>
      <c r="O180" s="485" t="s">
        <v>1232</v>
      </c>
      <c r="P180" s="485" t="s">
        <v>469</v>
      </c>
      <c r="Q180" s="487">
        <v>43889</v>
      </c>
      <c r="R180" s="487">
        <v>44804</v>
      </c>
      <c r="S180" s="488">
        <v>1.5</v>
      </c>
      <c r="T180" s="488"/>
      <c r="U180" s="489">
        <v>799405</v>
      </c>
      <c r="V180" s="489">
        <v>799405</v>
      </c>
      <c r="W180" s="489">
        <v>799405</v>
      </c>
      <c r="X180" s="489">
        <f t="shared" si="10"/>
        <v>0</v>
      </c>
      <c r="Y180" s="489">
        <f t="shared" si="11"/>
        <v>0</v>
      </c>
      <c r="Z180" s="489">
        <v>799405</v>
      </c>
      <c r="AA180" s="489">
        <v>799405</v>
      </c>
      <c r="AB180" s="489">
        <v>799405</v>
      </c>
      <c r="AC180" s="489">
        <f t="shared" si="12"/>
        <v>0</v>
      </c>
      <c r="AD180" s="489">
        <f t="shared" si="13"/>
        <v>0</v>
      </c>
      <c r="AE180" s="489">
        <v>0</v>
      </c>
      <c r="AF180" s="489">
        <v>0</v>
      </c>
      <c r="AG180" s="490" t="s">
        <v>1245</v>
      </c>
      <c r="AH180" s="490" t="s">
        <v>1242</v>
      </c>
      <c r="AI180" s="490" t="s">
        <v>1292</v>
      </c>
      <c r="AJ180" s="490" t="s">
        <v>1246</v>
      </c>
      <c r="AK180" s="490" t="s">
        <v>1235</v>
      </c>
      <c r="AL180" s="491"/>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row>
    <row r="181" spans="1:80" ht="18" customHeight="1" x14ac:dyDescent="0.25">
      <c r="A181" s="485">
        <f t="shared" si="14"/>
        <v>179</v>
      </c>
      <c r="B181" s="485" t="s">
        <v>3390</v>
      </c>
      <c r="C181" s="485">
        <v>2100000004</v>
      </c>
      <c r="D181" s="485" t="s">
        <v>4795</v>
      </c>
      <c r="E181" s="485" t="s">
        <v>1457</v>
      </c>
      <c r="F181" s="485" t="s">
        <v>1456</v>
      </c>
      <c r="G181" s="485" t="s">
        <v>3387</v>
      </c>
      <c r="H181" s="485" t="s">
        <v>2605</v>
      </c>
      <c r="I181" s="485" t="s">
        <v>3388</v>
      </c>
      <c r="J181" s="485" t="s">
        <v>3389</v>
      </c>
      <c r="K181" s="485" t="s">
        <v>1756</v>
      </c>
      <c r="L181" s="485" t="s">
        <v>2783</v>
      </c>
      <c r="M181" s="486" t="s">
        <v>1230</v>
      </c>
      <c r="N181" s="486" t="s">
        <v>1231</v>
      </c>
      <c r="O181" s="485" t="s">
        <v>1231</v>
      </c>
      <c r="P181" s="485" t="s">
        <v>469</v>
      </c>
      <c r="Q181" s="487">
        <v>43889</v>
      </c>
      <c r="R181" s="487">
        <v>44767</v>
      </c>
      <c r="S181" s="488">
        <v>1.5</v>
      </c>
      <c r="T181" s="488"/>
      <c r="U181" s="489">
        <v>518673</v>
      </c>
      <c r="V181" s="489">
        <v>518673</v>
      </c>
      <c r="W181" s="489">
        <v>518673</v>
      </c>
      <c r="X181" s="489">
        <f t="shared" si="10"/>
        <v>0</v>
      </c>
      <c r="Y181" s="489">
        <f t="shared" si="11"/>
        <v>0</v>
      </c>
      <c r="Z181" s="489">
        <v>518673</v>
      </c>
      <c r="AA181" s="489">
        <v>518673</v>
      </c>
      <c r="AB181" s="489">
        <v>518673</v>
      </c>
      <c r="AC181" s="489">
        <f t="shared" si="12"/>
        <v>0</v>
      </c>
      <c r="AD181" s="489">
        <f t="shared" si="13"/>
        <v>0</v>
      </c>
      <c r="AE181" s="489">
        <v>0</v>
      </c>
      <c r="AF181" s="489">
        <v>0</v>
      </c>
      <c r="AG181" s="490" t="s">
        <v>1245</v>
      </c>
      <c r="AH181" s="490" t="s">
        <v>1247</v>
      </c>
      <c r="AI181" s="490" t="s">
        <v>1248</v>
      </c>
      <c r="AJ181" s="490" t="s">
        <v>1246</v>
      </c>
      <c r="AK181" s="490" t="s">
        <v>1235</v>
      </c>
      <c r="AL181" s="49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c r="BV181"/>
      <c r="BW181"/>
      <c r="BX181"/>
      <c r="BY181"/>
      <c r="BZ181"/>
      <c r="CA181"/>
      <c r="CB181"/>
    </row>
    <row r="182" spans="1:80" ht="18" customHeight="1" x14ac:dyDescent="0.25">
      <c r="A182" s="485">
        <f t="shared" si="14"/>
        <v>180</v>
      </c>
      <c r="B182" s="485" t="s">
        <v>3391</v>
      </c>
      <c r="C182" s="485">
        <v>2100000005</v>
      </c>
      <c r="D182" s="485" t="s">
        <v>4796</v>
      </c>
      <c r="E182" s="485" t="s">
        <v>1457</v>
      </c>
      <c r="F182" s="485" t="s">
        <v>1456</v>
      </c>
      <c r="G182" s="485" t="s">
        <v>3387</v>
      </c>
      <c r="H182" s="485" t="s">
        <v>2605</v>
      </c>
      <c r="I182" s="485" t="s">
        <v>3388</v>
      </c>
      <c r="J182" s="485" t="s">
        <v>3389</v>
      </c>
      <c r="K182" s="485" t="s">
        <v>1756</v>
      </c>
      <c r="L182" s="485" t="s">
        <v>2783</v>
      </c>
      <c r="M182" s="486" t="s">
        <v>1230</v>
      </c>
      <c r="N182" s="486" t="s">
        <v>1231</v>
      </c>
      <c r="O182" s="485" t="s">
        <v>1231</v>
      </c>
      <c r="P182" s="485" t="s">
        <v>469</v>
      </c>
      <c r="Q182" s="487">
        <v>43889</v>
      </c>
      <c r="R182" s="487">
        <v>44767</v>
      </c>
      <c r="S182" s="488">
        <v>1.5</v>
      </c>
      <c r="T182" s="488"/>
      <c r="U182" s="489">
        <v>4978859</v>
      </c>
      <c r="V182" s="489">
        <v>4978859</v>
      </c>
      <c r="W182" s="489">
        <v>4978859</v>
      </c>
      <c r="X182" s="489">
        <f t="shared" si="10"/>
        <v>0</v>
      </c>
      <c r="Y182" s="489">
        <f t="shared" si="11"/>
        <v>0</v>
      </c>
      <c r="Z182" s="489">
        <v>24851.09</v>
      </c>
      <c r="AA182" s="489">
        <v>24851.09</v>
      </c>
      <c r="AB182" s="489">
        <v>24995.42</v>
      </c>
      <c r="AC182" s="489">
        <f t="shared" si="12"/>
        <v>144.32999999999811</v>
      </c>
      <c r="AD182" s="489">
        <f t="shared" si="13"/>
        <v>144.32999999999811</v>
      </c>
      <c r="AE182" s="489">
        <v>0</v>
      </c>
      <c r="AF182" s="489">
        <v>4953863.58</v>
      </c>
      <c r="AG182" s="490" t="s">
        <v>1245</v>
      </c>
      <c r="AH182" s="490" t="s">
        <v>1247</v>
      </c>
      <c r="AI182" s="490" t="s">
        <v>1248</v>
      </c>
      <c r="AJ182" s="490" t="s">
        <v>1246</v>
      </c>
      <c r="AK182" s="490" t="s">
        <v>1235</v>
      </c>
      <c r="AL182" s="491"/>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c r="BV182"/>
      <c r="BW182"/>
      <c r="BX182"/>
      <c r="BY182"/>
      <c r="BZ182"/>
      <c r="CA182"/>
      <c r="CB182"/>
    </row>
    <row r="183" spans="1:80" ht="18" customHeight="1" x14ac:dyDescent="0.25">
      <c r="A183" s="492">
        <f t="shared" si="14"/>
        <v>181</v>
      </c>
      <c r="B183" s="492" t="s">
        <v>3394</v>
      </c>
      <c r="C183" s="492">
        <v>2100000006</v>
      </c>
      <c r="D183" s="492" t="s">
        <v>4797</v>
      </c>
      <c r="E183" s="492" t="s">
        <v>1458</v>
      </c>
      <c r="F183" s="492" t="s">
        <v>2606</v>
      </c>
      <c r="G183" s="492" t="s">
        <v>3392</v>
      </c>
      <c r="H183" s="492" t="s">
        <v>2606</v>
      </c>
      <c r="I183" s="492" t="s">
        <v>3392</v>
      </c>
      <c r="J183" s="492" t="s">
        <v>3393</v>
      </c>
      <c r="K183" s="492" t="s">
        <v>1756</v>
      </c>
      <c r="L183" s="492" t="s">
        <v>2783</v>
      </c>
      <c r="M183" s="493" t="s">
        <v>1230</v>
      </c>
      <c r="N183" s="493" t="s">
        <v>1232</v>
      </c>
      <c r="O183" s="492" t="s">
        <v>1231</v>
      </c>
      <c r="P183" s="492" t="s">
        <v>469</v>
      </c>
      <c r="Q183" s="494">
        <v>43903</v>
      </c>
      <c r="R183" s="494">
        <v>44880</v>
      </c>
      <c r="S183" s="498">
        <v>1.5</v>
      </c>
      <c r="T183" s="498"/>
      <c r="U183" s="496">
        <v>510141</v>
      </c>
      <c r="V183" s="496">
        <v>510141</v>
      </c>
      <c r="W183" s="496">
        <v>510141</v>
      </c>
      <c r="X183" s="496">
        <f t="shared" si="10"/>
        <v>0</v>
      </c>
      <c r="Y183" s="496">
        <f t="shared" si="11"/>
        <v>0</v>
      </c>
      <c r="Z183" s="496">
        <v>346988.02</v>
      </c>
      <c r="AA183" s="496">
        <v>348845.38</v>
      </c>
      <c r="AB183" s="496">
        <v>348845.38</v>
      </c>
      <c r="AC183" s="496">
        <f t="shared" si="12"/>
        <v>1857.359999999986</v>
      </c>
      <c r="AD183" s="496">
        <f t="shared" si="13"/>
        <v>0</v>
      </c>
      <c r="AE183" s="496">
        <v>0</v>
      </c>
      <c r="AF183" s="496">
        <v>161295.62</v>
      </c>
      <c r="AG183" s="497" t="s">
        <v>1245</v>
      </c>
      <c r="AH183" s="497" t="s">
        <v>1247</v>
      </c>
      <c r="AI183" s="497" t="s">
        <v>1269</v>
      </c>
      <c r="AJ183" s="497" t="s">
        <v>1246</v>
      </c>
      <c r="AK183" s="497" t="s">
        <v>1235</v>
      </c>
      <c r="AL183" s="491"/>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c r="BV183"/>
      <c r="BW183"/>
      <c r="BX183"/>
      <c r="BY183"/>
      <c r="BZ183"/>
      <c r="CA183"/>
      <c r="CB183"/>
    </row>
    <row r="184" spans="1:80" ht="18" customHeight="1" x14ac:dyDescent="0.25">
      <c r="A184" s="492">
        <f t="shared" si="14"/>
        <v>182</v>
      </c>
      <c r="B184" s="492" t="s">
        <v>3398</v>
      </c>
      <c r="C184" s="492">
        <v>4100000016</v>
      </c>
      <c r="D184" s="492" t="s">
        <v>4798</v>
      </c>
      <c r="E184" s="492" t="s">
        <v>1460</v>
      </c>
      <c r="F184" s="492" t="s">
        <v>1459</v>
      </c>
      <c r="G184" s="492" t="s">
        <v>3395</v>
      </c>
      <c r="H184" s="492" t="s">
        <v>4521</v>
      </c>
      <c r="I184" s="492" t="s">
        <v>3396</v>
      </c>
      <c r="J184" s="492" t="s">
        <v>3397</v>
      </c>
      <c r="K184" s="492" t="s">
        <v>1756</v>
      </c>
      <c r="L184" s="492" t="s">
        <v>2783</v>
      </c>
      <c r="M184" s="493" t="s">
        <v>1230</v>
      </c>
      <c r="N184" s="493" t="s">
        <v>1232</v>
      </c>
      <c r="O184" s="492" t="s">
        <v>1232</v>
      </c>
      <c r="P184" s="492" t="s">
        <v>469</v>
      </c>
      <c r="Q184" s="494">
        <v>43910</v>
      </c>
      <c r="R184" s="494">
        <v>45371</v>
      </c>
      <c r="S184" s="498">
        <v>1</v>
      </c>
      <c r="T184" s="498"/>
      <c r="U184" s="496">
        <v>695393.66</v>
      </c>
      <c r="V184" s="496">
        <v>690488.63</v>
      </c>
      <c r="W184" s="496">
        <v>690488.63</v>
      </c>
      <c r="X184" s="496">
        <f t="shared" si="10"/>
        <v>-4905.0300000000279</v>
      </c>
      <c r="Y184" s="496">
        <f t="shared" si="11"/>
        <v>0</v>
      </c>
      <c r="Z184" s="496">
        <v>695393.66</v>
      </c>
      <c r="AA184" s="496">
        <v>690488.63</v>
      </c>
      <c r="AB184" s="496">
        <v>690488.63</v>
      </c>
      <c r="AC184" s="496">
        <f t="shared" si="12"/>
        <v>-4905.0300000000279</v>
      </c>
      <c r="AD184" s="496">
        <f t="shared" si="13"/>
        <v>0</v>
      </c>
      <c r="AE184" s="496">
        <v>0</v>
      </c>
      <c r="AF184" s="496">
        <v>0</v>
      </c>
      <c r="AG184" s="497" t="s">
        <v>1250</v>
      </c>
      <c r="AH184" s="497" t="s">
        <v>1252</v>
      </c>
      <c r="AI184" s="497" t="s">
        <v>1283</v>
      </c>
      <c r="AJ184" s="497" t="s">
        <v>1234</v>
      </c>
      <c r="AK184" s="497" t="s">
        <v>1278</v>
      </c>
      <c r="AL184" s="491"/>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row>
    <row r="185" spans="1:80" ht="18" customHeight="1" x14ac:dyDescent="0.25">
      <c r="A185" s="485">
        <f t="shared" si="14"/>
        <v>183</v>
      </c>
      <c r="B185" s="485" t="s">
        <v>3403</v>
      </c>
      <c r="C185" s="485">
        <v>4100000237</v>
      </c>
      <c r="D185" s="485" t="s">
        <v>4799</v>
      </c>
      <c r="E185" s="485" t="s">
        <v>1461</v>
      </c>
      <c r="F185" s="485" t="s">
        <v>3402</v>
      </c>
      <c r="G185" s="485" t="s">
        <v>3399</v>
      </c>
      <c r="H185" s="485" t="s">
        <v>2607</v>
      </c>
      <c r="I185" s="485" t="s">
        <v>3400</v>
      </c>
      <c r="J185" s="485" t="s">
        <v>3401</v>
      </c>
      <c r="K185" s="485" t="s">
        <v>1756</v>
      </c>
      <c r="L185" s="485" t="s">
        <v>2783</v>
      </c>
      <c r="M185" s="486" t="s">
        <v>1230</v>
      </c>
      <c r="N185" s="486" t="s">
        <v>1231</v>
      </c>
      <c r="O185" s="485" t="s">
        <v>1231</v>
      </c>
      <c r="P185" s="485" t="s">
        <v>469</v>
      </c>
      <c r="Q185" s="487">
        <v>43916</v>
      </c>
      <c r="R185" s="487">
        <v>46022</v>
      </c>
      <c r="S185" s="488">
        <v>1</v>
      </c>
      <c r="T185" s="488"/>
      <c r="U185" s="489">
        <v>6880000</v>
      </c>
      <c r="V185" s="489">
        <v>6880000</v>
      </c>
      <c r="W185" s="489">
        <v>6880000</v>
      </c>
      <c r="X185" s="489">
        <f t="shared" si="10"/>
        <v>0</v>
      </c>
      <c r="Y185" s="489">
        <f t="shared" si="11"/>
        <v>0</v>
      </c>
      <c r="Z185" s="489">
        <v>6880000</v>
      </c>
      <c r="AA185" s="489">
        <v>6880000</v>
      </c>
      <c r="AB185" s="489">
        <v>6880000</v>
      </c>
      <c r="AC185" s="489">
        <f t="shared" si="12"/>
        <v>0</v>
      </c>
      <c r="AD185" s="489">
        <f t="shared" si="13"/>
        <v>0</v>
      </c>
      <c r="AE185" s="489">
        <v>0</v>
      </c>
      <c r="AF185" s="489">
        <v>0</v>
      </c>
      <c r="AG185" s="490" t="s">
        <v>1250</v>
      </c>
      <c r="AH185" s="490" t="s">
        <v>1298</v>
      </c>
      <c r="AI185" s="490"/>
      <c r="AJ185" s="490" t="s">
        <v>1234</v>
      </c>
      <c r="AK185" s="490" t="s">
        <v>1278</v>
      </c>
      <c r="AL185" s="491"/>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c r="BV185"/>
      <c r="BW185"/>
      <c r="BX185"/>
      <c r="BY185"/>
      <c r="BZ185"/>
      <c r="CA185"/>
      <c r="CB185"/>
    </row>
    <row r="186" spans="1:80" ht="18" customHeight="1" x14ac:dyDescent="0.25">
      <c r="A186" s="485">
        <f t="shared" si="14"/>
        <v>184</v>
      </c>
      <c r="B186" s="485" t="s">
        <v>3406</v>
      </c>
      <c r="C186" s="485">
        <v>2100000165</v>
      </c>
      <c r="D186" s="485" t="s">
        <v>4800</v>
      </c>
      <c r="E186" s="485" t="s">
        <v>1463</v>
      </c>
      <c r="F186" s="485" t="s">
        <v>1462</v>
      </c>
      <c r="G186" s="485" t="s">
        <v>3404</v>
      </c>
      <c r="H186" s="485" t="s">
        <v>2550</v>
      </c>
      <c r="I186" s="485" t="s">
        <v>2867</v>
      </c>
      <c r="J186" s="485" t="s">
        <v>3405</v>
      </c>
      <c r="K186" s="485" t="s">
        <v>1756</v>
      </c>
      <c r="L186" s="485" t="s">
        <v>2783</v>
      </c>
      <c r="M186" s="486" t="s">
        <v>1230</v>
      </c>
      <c r="N186" s="486" t="s">
        <v>1231</v>
      </c>
      <c r="O186" s="485" t="s">
        <v>1231</v>
      </c>
      <c r="P186" s="485" t="s">
        <v>469</v>
      </c>
      <c r="Q186" s="487">
        <v>43920</v>
      </c>
      <c r="R186" s="487">
        <v>45261</v>
      </c>
      <c r="S186" s="488">
        <v>1</v>
      </c>
      <c r="T186" s="488"/>
      <c r="U186" s="489">
        <v>24828405</v>
      </c>
      <c r="V186" s="489">
        <v>24828405</v>
      </c>
      <c r="W186" s="489">
        <v>24828405</v>
      </c>
      <c r="X186" s="489">
        <f t="shared" si="10"/>
        <v>0</v>
      </c>
      <c r="Y186" s="489">
        <f t="shared" si="11"/>
        <v>0</v>
      </c>
      <c r="Z186" s="489">
        <v>7282499.6100000003</v>
      </c>
      <c r="AA186" s="489">
        <v>7415684.2000000002</v>
      </c>
      <c r="AB186" s="489">
        <v>7415684.2000000002</v>
      </c>
      <c r="AC186" s="489">
        <f t="shared" si="12"/>
        <v>133184.58999999985</v>
      </c>
      <c r="AD186" s="489">
        <f t="shared" si="13"/>
        <v>0</v>
      </c>
      <c r="AE186" s="489">
        <v>0</v>
      </c>
      <c r="AF186" s="489">
        <v>17412720.800000001</v>
      </c>
      <c r="AG186" s="490" t="s">
        <v>1245</v>
      </c>
      <c r="AH186" s="490" t="s">
        <v>1236</v>
      </c>
      <c r="AI186" s="490"/>
      <c r="AJ186" s="490" t="s">
        <v>1259</v>
      </c>
      <c r="AK186" s="490" t="s">
        <v>1240</v>
      </c>
      <c r="AL186" s="491"/>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row>
    <row r="187" spans="1:80" ht="18" customHeight="1" x14ac:dyDescent="0.25">
      <c r="A187" s="485">
        <f t="shared" si="14"/>
        <v>185</v>
      </c>
      <c r="B187" s="485" t="s">
        <v>3408</v>
      </c>
      <c r="C187" s="485">
        <v>1100000004</v>
      </c>
      <c r="D187" s="485" t="s">
        <v>4801</v>
      </c>
      <c r="E187" s="485" t="s">
        <v>1037</v>
      </c>
      <c r="F187" s="485" t="s">
        <v>993</v>
      </c>
      <c r="G187" s="485" t="s">
        <v>1111</v>
      </c>
      <c r="H187" s="485" t="s">
        <v>4518</v>
      </c>
      <c r="I187" s="485" t="s">
        <v>3077</v>
      </c>
      <c r="J187" s="485" t="s">
        <v>3407</v>
      </c>
      <c r="K187" s="485" t="s">
        <v>1756</v>
      </c>
      <c r="L187" s="485" t="s">
        <v>2783</v>
      </c>
      <c r="M187" s="486" t="s">
        <v>1230</v>
      </c>
      <c r="N187" s="486" t="s">
        <v>1231</v>
      </c>
      <c r="O187" s="485" t="s">
        <v>1232</v>
      </c>
      <c r="P187" s="485" t="s">
        <v>1156</v>
      </c>
      <c r="Q187" s="487">
        <v>43923</v>
      </c>
      <c r="R187" s="487">
        <v>45930</v>
      </c>
      <c r="S187" s="488">
        <v>1</v>
      </c>
      <c r="T187" s="488"/>
      <c r="U187" s="489">
        <v>1254060</v>
      </c>
      <c r="V187" s="489">
        <v>1254060</v>
      </c>
      <c r="W187" s="489">
        <v>1254060</v>
      </c>
      <c r="X187" s="489">
        <f t="shared" si="10"/>
        <v>0</v>
      </c>
      <c r="Y187" s="489">
        <f t="shared" si="11"/>
        <v>0</v>
      </c>
      <c r="Z187" s="489">
        <v>1254060</v>
      </c>
      <c r="AA187" s="489">
        <v>1254060</v>
      </c>
      <c r="AB187" s="489">
        <v>1254060</v>
      </c>
      <c r="AC187" s="489">
        <f t="shared" si="12"/>
        <v>0</v>
      </c>
      <c r="AD187" s="489">
        <f t="shared" si="13"/>
        <v>0</v>
      </c>
      <c r="AE187" s="489">
        <v>0</v>
      </c>
      <c r="AF187" s="489">
        <v>0</v>
      </c>
      <c r="AG187" s="490" t="s">
        <v>1237</v>
      </c>
      <c r="AH187" s="490" t="s">
        <v>1888</v>
      </c>
      <c r="AI187" s="490" t="s">
        <v>1321</v>
      </c>
      <c r="AJ187" s="490" t="s">
        <v>1279</v>
      </c>
      <c r="AK187" s="490" t="s">
        <v>1260</v>
      </c>
      <c r="AL187" s="491"/>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row>
    <row r="188" spans="1:80" ht="18" customHeight="1" x14ac:dyDescent="0.25">
      <c r="A188" s="485">
        <f t="shared" si="14"/>
        <v>186</v>
      </c>
      <c r="B188" s="485" t="s">
        <v>3411</v>
      </c>
      <c r="C188" s="485">
        <v>2100000232</v>
      </c>
      <c r="D188" s="485" t="s">
        <v>4802</v>
      </c>
      <c r="E188" s="485" t="s">
        <v>1467</v>
      </c>
      <c r="F188" s="485" t="s">
        <v>1466</v>
      </c>
      <c r="G188" s="485" t="s">
        <v>3409</v>
      </c>
      <c r="H188" s="485" t="s">
        <v>2585</v>
      </c>
      <c r="I188" s="485" t="s">
        <v>3156</v>
      </c>
      <c r="J188" s="485" t="s">
        <v>3410</v>
      </c>
      <c r="K188" s="485" t="s">
        <v>1756</v>
      </c>
      <c r="L188" s="485" t="s">
        <v>2783</v>
      </c>
      <c r="M188" s="486" t="s">
        <v>1307</v>
      </c>
      <c r="N188" s="486" t="s">
        <v>1231</v>
      </c>
      <c r="O188" s="485" t="s">
        <v>1231</v>
      </c>
      <c r="P188" s="485" t="s">
        <v>469</v>
      </c>
      <c r="Q188" s="487">
        <v>43938</v>
      </c>
      <c r="R188" s="487">
        <v>44718</v>
      </c>
      <c r="S188" s="488">
        <v>1.5</v>
      </c>
      <c r="T188" s="488"/>
      <c r="U188" s="489">
        <v>9976522</v>
      </c>
      <c r="V188" s="489">
        <v>10005448.83</v>
      </c>
      <c r="W188" s="489">
        <v>9976522</v>
      </c>
      <c r="X188" s="489">
        <f t="shared" si="10"/>
        <v>0</v>
      </c>
      <c r="Y188" s="489">
        <f t="shared" si="11"/>
        <v>-28926.830000000075</v>
      </c>
      <c r="Z188" s="489">
        <v>9954250.0399999991</v>
      </c>
      <c r="AA188" s="489">
        <v>10005448.83</v>
      </c>
      <c r="AB188" s="489">
        <v>9976522</v>
      </c>
      <c r="AC188" s="489">
        <f t="shared" si="12"/>
        <v>22271.960000000894</v>
      </c>
      <c r="AD188" s="489">
        <f t="shared" si="13"/>
        <v>-28926.830000000075</v>
      </c>
      <c r="AE188" s="489">
        <v>0</v>
      </c>
      <c r="AF188" s="489">
        <v>0</v>
      </c>
      <c r="AG188" s="490" t="s">
        <v>1245</v>
      </c>
      <c r="AH188" s="490" t="s">
        <v>1247</v>
      </c>
      <c r="AI188" s="490" t="s">
        <v>1248</v>
      </c>
      <c r="AJ188" s="490" t="s">
        <v>1246</v>
      </c>
      <c r="AK188" s="490" t="s">
        <v>1235</v>
      </c>
      <c r="AL188" s="491"/>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row>
    <row r="189" spans="1:80" ht="18" customHeight="1" x14ac:dyDescent="0.25">
      <c r="A189" s="485">
        <f t="shared" si="14"/>
        <v>187</v>
      </c>
      <c r="B189" s="485" t="s">
        <v>3414</v>
      </c>
      <c r="C189" s="485">
        <v>4100000019</v>
      </c>
      <c r="D189" s="485" t="s">
        <v>4803</v>
      </c>
      <c r="E189" s="485" t="s">
        <v>1469</v>
      </c>
      <c r="F189" s="485" t="s">
        <v>1468</v>
      </c>
      <c r="G189" s="485" t="s">
        <v>3412</v>
      </c>
      <c r="H189" s="485" t="s">
        <v>1468</v>
      </c>
      <c r="I189" s="485" t="s">
        <v>3412</v>
      </c>
      <c r="J189" s="485" t="s">
        <v>3413</v>
      </c>
      <c r="K189" s="485" t="s">
        <v>1756</v>
      </c>
      <c r="L189" s="485" t="s">
        <v>2783</v>
      </c>
      <c r="M189" s="486" t="s">
        <v>1230</v>
      </c>
      <c r="N189" s="486" t="s">
        <v>1231</v>
      </c>
      <c r="O189" s="485" t="s">
        <v>1232</v>
      </c>
      <c r="P189" s="485" t="s">
        <v>469</v>
      </c>
      <c r="Q189" s="487">
        <v>43948</v>
      </c>
      <c r="R189" s="487">
        <v>45775</v>
      </c>
      <c r="S189" s="488">
        <v>0.35</v>
      </c>
      <c r="T189" s="488"/>
      <c r="U189" s="489">
        <v>343600</v>
      </c>
      <c r="V189" s="489">
        <v>343600</v>
      </c>
      <c r="W189" s="489">
        <v>343600</v>
      </c>
      <c r="X189" s="489">
        <f t="shared" si="10"/>
        <v>0</v>
      </c>
      <c r="Y189" s="489">
        <f t="shared" si="11"/>
        <v>0</v>
      </c>
      <c r="Z189" s="489">
        <v>343600</v>
      </c>
      <c r="AA189" s="489">
        <v>343600</v>
      </c>
      <c r="AB189" s="489">
        <v>343600</v>
      </c>
      <c r="AC189" s="489">
        <f t="shared" si="12"/>
        <v>0</v>
      </c>
      <c r="AD189" s="489">
        <f t="shared" si="13"/>
        <v>0</v>
      </c>
      <c r="AE189" s="489">
        <v>0</v>
      </c>
      <c r="AF189" s="489">
        <v>0</v>
      </c>
      <c r="AG189" s="490" t="s">
        <v>1250</v>
      </c>
      <c r="AH189" s="490" t="s">
        <v>1379</v>
      </c>
      <c r="AI189" s="490"/>
      <c r="AJ189" s="490" t="s">
        <v>1234</v>
      </c>
      <c r="AK189" s="490" t="s">
        <v>1251</v>
      </c>
      <c r="AL189" s="515"/>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row>
    <row r="190" spans="1:80" ht="18" customHeight="1" x14ac:dyDescent="0.25">
      <c r="A190" s="492">
        <f t="shared" si="14"/>
        <v>188</v>
      </c>
      <c r="B190" s="492" t="s">
        <v>3417</v>
      </c>
      <c r="C190" s="492">
        <v>2100000013</v>
      </c>
      <c r="D190" s="492" t="s">
        <v>4804</v>
      </c>
      <c r="E190" s="492" t="s">
        <v>1470</v>
      </c>
      <c r="F190" s="492" t="s">
        <v>2608</v>
      </c>
      <c r="G190" s="492" t="s">
        <v>3415</v>
      </c>
      <c r="H190" s="492" t="s">
        <v>2608</v>
      </c>
      <c r="I190" s="492" t="s">
        <v>3415</v>
      </c>
      <c r="J190" s="492" t="s">
        <v>3416</v>
      </c>
      <c r="K190" s="492" t="s">
        <v>1756</v>
      </c>
      <c r="L190" s="492" t="s">
        <v>2783</v>
      </c>
      <c r="M190" s="493" t="s">
        <v>1230</v>
      </c>
      <c r="N190" s="493" t="s">
        <v>1232</v>
      </c>
      <c r="O190" s="492" t="s">
        <v>1231</v>
      </c>
      <c r="P190" s="492" t="s">
        <v>469</v>
      </c>
      <c r="Q190" s="494">
        <v>43956</v>
      </c>
      <c r="R190" s="494">
        <v>44711</v>
      </c>
      <c r="S190" s="498">
        <v>1</v>
      </c>
      <c r="T190" s="498"/>
      <c r="U190" s="496">
        <v>2469008</v>
      </c>
      <c r="V190" s="496">
        <v>2469008</v>
      </c>
      <c r="W190" s="496">
        <v>2469008</v>
      </c>
      <c r="X190" s="496">
        <f t="shared" si="10"/>
        <v>0</v>
      </c>
      <c r="Y190" s="496">
        <f t="shared" si="11"/>
        <v>0</v>
      </c>
      <c r="Z190" s="496">
        <v>2320546.8199999998</v>
      </c>
      <c r="AA190" s="496">
        <v>2320546.8199999998</v>
      </c>
      <c r="AB190" s="496">
        <v>2333754.87</v>
      </c>
      <c r="AC190" s="496">
        <f t="shared" si="12"/>
        <v>13208.050000000279</v>
      </c>
      <c r="AD190" s="496">
        <f t="shared" si="13"/>
        <v>13208.050000000279</v>
      </c>
      <c r="AE190" s="496">
        <v>0</v>
      </c>
      <c r="AF190" s="496">
        <v>135253.13</v>
      </c>
      <c r="AG190" s="497" t="s">
        <v>1245</v>
      </c>
      <c r="AH190" s="497" t="s">
        <v>1247</v>
      </c>
      <c r="AI190" s="497" t="s">
        <v>1248</v>
      </c>
      <c r="AJ190" s="497" t="s">
        <v>1246</v>
      </c>
      <c r="AK190" s="497" t="s">
        <v>1278</v>
      </c>
      <c r="AL190" s="491"/>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row>
    <row r="191" spans="1:80" ht="18" customHeight="1" x14ac:dyDescent="0.25">
      <c r="A191" s="492">
        <f t="shared" si="14"/>
        <v>189</v>
      </c>
      <c r="B191" s="492" t="s">
        <v>3420</v>
      </c>
      <c r="C191" s="492">
        <v>6100000152</v>
      </c>
      <c r="D191" s="492" t="s">
        <v>4805</v>
      </c>
      <c r="E191" s="492" t="s">
        <v>1472</v>
      </c>
      <c r="F191" s="492" t="s">
        <v>1471</v>
      </c>
      <c r="G191" s="492" t="s">
        <v>3418</v>
      </c>
      <c r="H191" s="492" t="s">
        <v>1471</v>
      </c>
      <c r="I191" s="492" t="s">
        <v>3418</v>
      </c>
      <c r="J191" s="492" t="s">
        <v>3419</v>
      </c>
      <c r="K191" s="492" t="s">
        <v>1756</v>
      </c>
      <c r="L191" s="492" t="s">
        <v>2783</v>
      </c>
      <c r="M191" s="493" t="s">
        <v>1230</v>
      </c>
      <c r="N191" s="493" t="s">
        <v>1232</v>
      </c>
      <c r="O191" s="492" t="s">
        <v>1232</v>
      </c>
      <c r="P191" s="492" t="s">
        <v>469</v>
      </c>
      <c r="Q191" s="494">
        <v>43970</v>
      </c>
      <c r="R191" s="494">
        <v>44712</v>
      </c>
      <c r="S191" s="498">
        <v>1</v>
      </c>
      <c r="T191" s="498"/>
      <c r="U191" s="496">
        <v>828304.69</v>
      </c>
      <c r="V191" s="496">
        <v>828304.69</v>
      </c>
      <c r="W191" s="496">
        <v>828304.69</v>
      </c>
      <c r="X191" s="496">
        <f t="shared" si="10"/>
        <v>0</v>
      </c>
      <c r="Y191" s="496">
        <f t="shared" si="11"/>
        <v>0</v>
      </c>
      <c r="Z191" s="496">
        <v>828304.69</v>
      </c>
      <c r="AA191" s="496">
        <v>828304.69</v>
      </c>
      <c r="AB191" s="496">
        <v>828304.69</v>
      </c>
      <c r="AC191" s="496">
        <f t="shared" si="12"/>
        <v>0</v>
      </c>
      <c r="AD191" s="496">
        <f t="shared" si="13"/>
        <v>0</v>
      </c>
      <c r="AE191" s="496">
        <v>0</v>
      </c>
      <c r="AF191" s="496">
        <v>0</v>
      </c>
      <c r="AG191" s="497" t="s">
        <v>1888</v>
      </c>
      <c r="AH191" s="497" t="s">
        <v>1888</v>
      </c>
      <c r="AI191" s="497" t="s">
        <v>1342</v>
      </c>
      <c r="AJ191" s="497" t="s">
        <v>1234</v>
      </c>
      <c r="AK191" s="497" t="s">
        <v>1278</v>
      </c>
      <c r="AL191" s="4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c r="BV191"/>
      <c r="BW191"/>
      <c r="BX191"/>
      <c r="BY191"/>
      <c r="BZ191"/>
      <c r="CA191"/>
      <c r="CB191"/>
    </row>
    <row r="192" spans="1:80" ht="18" customHeight="1" x14ac:dyDescent="0.25">
      <c r="A192" s="485">
        <f t="shared" si="14"/>
        <v>190</v>
      </c>
      <c r="B192" s="485" t="s">
        <v>3422</v>
      </c>
      <c r="C192" s="485">
        <v>1100000005</v>
      </c>
      <c r="D192" s="485" t="s">
        <v>4806</v>
      </c>
      <c r="E192" s="485" t="s">
        <v>1041</v>
      </c>
      <c r="F192" s="485" t="s">
        <v>967</v>
      </c>
      <c r="G192" s="485" t="s">
        <v>1113</v>
      </c>
      <c r="H192" s="485" t="s">
        <v>2605</v>
      </c>
      <c r="I192" s="485" t="s">
        <v>3388</v>
      </c>
      <c r="J192" s="485" t="s">
        <v>3421</v>
      </c>
      <c r="K192" s="485" t="s">
        <v>1756</v>
      </c>
      <c r="L192" s="485" t="s">
        <v>2783</v>
      </c>
      <c r="M192" s="486" t="s">
        <v>1230</v>
      </c>
      <c r="N192" s="486" t="s">
        <v>1231</v>
      </c>
      <c r="O192" s="485" t="s">
        <v>1232</v>
      </c>
      <c r="P192" s="485" t="s">
        <v>1156</v>
      </c>
      <c r="Q192" s="487">
        <v>43971</v>
      </c>
      <c r="R192" s="487">
        <v>46345</v>
      </c>
      <c r="S192" s="488">
        <v>1</v>
      </c>
      <c r="T192" s="488"/>
      <c r="U192" s="489">
        <v>2107734</v>
      </c>
      <c r="V192" s="489">
        <v>2107734</v>
      </c>
      <c r="W192" s="489">
        <v>2107734</v>
      </c>
      <c r="X192" s="489">
        <f t="shared" si="10"/>
        <v>0</v>
      </c>
      <c r="Y192" s="489">
        <f t="shared" si="11"/>
        <v>0</v>
      </c>
      <c r="Z192" s="489">
        <v>1865639.33</v>
      </c>
      <c r="AA192" s="489">
        <v>1865639.33</v>
      </c>
      <c r="AB192" s="489">
        <v>1865639.33</v>
      </c>
      <c r="AC192" s="489">
        <f t="shared" si="12"/>
        <v>0</v>
      </c>
      <c r="AD192" s="489">
        <f t="shared" si="13"/>
        <v>0</v>
      </c>
      <c r="AE192" s="489">
        <v>0</v>
      </c>
      <c r="AF192" s="489">
        <v>242094.67</v>
      </c>
      <c r="AG192" s="490" t="s">
        <v>1237</v>
      </c>
      <c r="AH192" s="490" t="s">
        <v>1236</v>
      </c>
      <c r="AI192" s="490"/>
      <c r="AJ192" s="490" t="s">
        <v>1259</v>
      </c>
      <c r="AK192" s="490" t="s">
        <v>1260</v>
      </c>
      <c r="AL192" s="491"/>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row>
    <row r="193" spans="1:80" ht="18" customHeight="1" x14ac:dyDescent="0.25">
      <c r="A193" s="485">
        <f t="shared" si="14"/>
        <v>191</v>
      </c>
      <c r="B193" s="485" t="s">
        <v>3423</v>
      </c>
      <c r="C193" s="485">
        <v>1200000152</v>
      </c>
      <c r="D193" s="485" t="s">
        <v>4807</v>
      </c>
      <c r="E193" s="485" t="s">
        <v>288</v>
      </c>
      <c r="F193" s="485" t="s">
        <v>992</v>
      </c>
      <c r="G193" s="485" t="s">
        <v>1082</v>
      </c>
      <c r="H193" s="485" t="s">
        <v>2561</v>
      </c>
      <c r="I193" s="485" t="s">
        <v>2958</v>
      </c>
      <c r="J193" s="485" t="s">
        <v>2959</v>
      </c>
      <c r="K193" s="485" t="s">
        <v>1756</v>
      </c>
      <c r="L193" s="485" t="s">
        <v>1473</v>
      </c>
      <c r="M193" s="486" t="s">
        <v>1230</v>
      </c>
      <c r="N193" s="486" t="s">
        <v>1231</v>
      </c>
      <c r="O193" s="485" t="s">
        <v>1232</v>
      </c>
      <c r="P193" s="485" t="s">
        <v>1156</v>
      </c>
      <c r="Q193" s="487">
        <v>43980</v>
      </c>
      <c r="R193" s="487">
        <v>45076</v>
      </c>
      <c r="S193" s="488">
        <v>1</v>
      </c>
      <c r="T193" s="488">
        <v>0.2</v>
      </c>
      <c r="U193" s="489">
        <v>3500000</v>
      </c>
      <c r="V193" s="489">
        <v>3500000</v>
      </c>
      <c r="W193" s="489">
        <v>3500000</v>
      </c>
      <c r="X193" s="489">
        <f t="shared" si="10"/>
        <v>0</v>
      </c>
      <c r="Y193" s="489">
        <f t="shared" si="11"/>
        <v>0</v>
      </c>
      <c r="Z193" s="489">
        <v>3500000</v>
      </c>
      <c r="AA193" s="489">
        <v>3500000</v>
      </c>
      <c r="AB193" s="489">
        <v>3500000</v>
      </c>
      <c r="AC193" s="489">
        <f t="shared" si="12"/>
        <v>0</v>
      </c>
      <c r="AD193" s="489">
        <f t="shared" si="13"/>
        <v>0</v>
      </c>
      <c r="AE193" s="489">
        <v>0</v>
      </c>
      <c r="AF193" s="489">
        <v>0</v>
      </c>
      <c r="AG193" s="490" t="s">
        <v>1237</v>
      </c>
      <c r="AH193" s="490" t="s">
        <v>1303</v>
      </c>
      <c r="AI193" s="490"/>
      <c r="AJ193" s="490" t="s">
        <v>1253</v>
      </c>
      <c r="AK193" s="490" t="s">
        <v>1260</v>
      </c>
      <c r="AL193" s="491"/>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row>
    <row r="194" spans="1:80" ht="18" customHeight="1" x14ac:dyDescent="0.25">
      <c r="A194" s="485">
        <f t="shared" si="14"/>
        <v>192</v>
      </c>
      <c r="B194" s="516" t="s">
        <v>3428</v>
      </c>
      <c r="C194" s="516">
        <v>1200000128</v>
      </c>
      <c r="D194" s="516" t="s">
        <v>4808</v>
      </c>
      <c r="E194" s="485" t="s">
        <v>1042</v>
      </c>
      <c r="F194" s="485" t="s">
        <v>3427</v>
      </c>
      <c r="G194" s="485" t="s">
        <v>3424</v>
      </c>
      <c r="H194" s="485" t="s">
        <v>2609</v>
      </c>
      <c r="I194" s="485" t="s">
        <v>3425</v>
      </c>
      <c r="J194" s="485" t="s">
        <v>3426</v>
      </c>
      <c r="K194" s="485" t="s">
        <v>1756</v>
      </c>
      <c r="L194" s="485" t="s">
        <v>1473</v>
      </c>
      <c r="M194" s="486" t="s">
        <v>1230</v>
      </c>
      <c r="N194" s="486" t="s">
        <v>1231</v>
      </c>
      <c r="O194" s="485" t="s">
        <v>1232</v>
      </c>
      <c r="P194" s="485" t="s">
        <v>1156</v>
      </c>
      <c r="Q194" s="487">
        <v>43980</v>
      </c>
      <c r="R194" s="487">
        <v>45426</v>
      </c>
      <c r="S194" s="488">
        <v>1</v>
      </c>
      <c r="T194" s="488">
        <v>0.2</v>
      </c>
      <c r="U194" s="489">
        <v>1027839.57</v>
      </c>
      <c r="V194" s="489">
        <v>1027839.57</v>
      </c>
      <c r="W194" s="489">
        <v>1027839.57</v>
      </c>
      <c r="X194" s="489">
        <f t="shared" si="10"/>
        <v>0</v>
      </c>
      <c r="Y194" s="489">
        <f t="shared" si="11"/>
        <v>0</v>
      </c>
      <c r="Z194" s="489">
        <v>1027839.57</v>
      </c>
      <c r="AA194" s="489">
        <v>1027839.57</v>
      </c>
      <c r="AB194" s="489">
        <v>1027839.57</v>
      </c>
      <c r="AC194" s="489">
        <f t="shared" si="12"/>
        <v>0</v>
      </c>
      <c r="AD194" s="489">
        <f t="shared" si="13"/>
        <v>0</v>
      </c>
      <c r="AE194" s="489">
        <v>0</v>
      </c>
      <c r="AF194" s="489">
        <v>0</v>
      </c>
      <c r="AG194" s="490" t="s">
        <v>1237</v>
      </c>
      <c r="AH194" s="490" t="s">
        <v>1303</v>
      </c>
      <c r="AI194" s="490"/>
      <c r="AJ194" s="490" t="s">
        <v>1253</v>
      </c>
      <c r="AK194" s="490" t="s">
        <v>1260</v>
      </c>
      <c r="AL194" s="491"/>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row>
    <row r="195" spans="1:80" ht="18" customHeight="1" x14ac:dyDescent="0.25">
      <c r="A195" s="485">
        <f t="shared" si="14"/>
        <v>193</v>
      </c>
      <c r="B195" s="516" t="s">
        <v>3429</v>
      </c>
      <c r="C195" s="516">
        <v>1200000130</v>
      </c>
      <c r="D195" s="516" t="s">
        <v>4809</v>
      </c>
      <c r="E195" s="485" t="s">
        <v>1042</v>
      </c>
      <c r="F195" s="485" t="s">
        <v>3427</v>
      </c>
      <c r="G195" s="485" t="s">
        <v>3424</v>
      </c>
      <c r="H195" s="485" t="s">
        <v>2609</v>
      </c>
      <c r="I195" s="485" t="s">
        <v>3425</v>
      </c>
      <c r="J195" s="485" t="s">
        <v>3426</v>
      </c>
      <c r="K195" s="485" t="s">
        <v>1756</v>
      </c>
      <c r="L195" s="485" t="s">
        <v>1473</v>
      </c>
      <c r="M195" s="486" t="s">
        <v>1230</v>
      </c>
      <c r="N195" s="486" t="s">
        <v>1231</v>
      </c>
      <c r="O195" s="485" t="s">
        <v>1232</v>
      </c>
      <c r="P195" s="485" t="s">
        <v>1156</v>
      </c>
      <c r="Q195" s="487">
        <v>43980</v>
      </c>
      <c r="R195" s="487">
        <v>45426</v>
      </c>
      <c r="S195" s="488">
        <v>1</v>
      </c>
      <c r="T195" s="488">
        <v>0.2</v>
      </c>
      <c r="U195" s="489">
        <v>1974999.96</v>
      </c>
      <c r="V195" s="489">
        <v>1974999.96</v>
      </c>
      <c r="W195" s="489">
        <v>1974999.96</v>
      </c>
      <c r="X195" s="489">
        <f t="shared" si="10"/>
        <v>0</v>
      </c>
      <c r="Y195" s="489">
        <f t="shared" si="11"/>
        <v>0</v>
      </c>
      <c r="Z195" s="489">
        <v>1974999.96</v>
      </c>
      <c r="AA195" s="489">
        <v>1974999.96</v>
      </c>
      <c r="AB195" s="489">
        <v>1974999.96</v>
      </c>
      <c r="AC195" s="489">
        <f t="shared" si="12"/>
        <v>0</v>
      </c>
      <c r="AD195" s="489">
        <f t="shared" si="13"/>
        <v>0</v>
      </c>
      <c r="AE195" s="489">
        <v>0</v>
      </c>
      <c r="AF195" s="489">
        <v>0</v>
      </c>
      <c r="AG195" s="490" t="s">
        <v>1237</v>
      </c>
      <c r="AH195" s="490" t="s">
        <v>1303</v>
      </c>
      <c r="AI195" s="490"/>
      <c r="AJ195" s="490" t="s">
        <v>1253</v>
      </c>
      <c r="AK195" s="490" t="s">
        <v>1260</v>
      </c>
      <c r="AL195" s="491"/>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row>
    <row r="196" spans="1:80" ht="18" customHeight="1" x14ac:dyDescent="0.25">
      <c r="A196" s="485">
        <f t="shared" ref="A196:A259" si="15">A195+1</f>
        <v>194</v>
      </c>
      <c r="B196" s="485" t="s">
        <v>3433</v>
      </c>
      <c r="C196" s="485">
        <v>4100000020</v>
      </c>
      <c r="D196" s="485" t="s">
        <v>4810</v>
      </c>
      <c r="E196" s="485" t="s">
        <v>1474</v>
      </c>
      <c r="F196" s="485" t="s">
        <v>4811</v>
      </c>
      <c r="G196" s="485" t="s">
        <v>3430</v>
      </c>
      <c r="H196" s="485" t="s">
        <v>2610</v>
      </c>
      <c r="I196" s="485" t="s">
        <v>3431</v>
      </c>
      <c r="J196" s="485" t="s">
        <v>3432</v>
      </c>
      <c r="K196" s="485" t="s">
        <v>1756</v>
      </c>
      <c r="L196" s="485" t="s">
        <v>2783</v>
      </c>
      <c r="M196" s="486" t="s">
        <v>1230</v>
      </c>
      <c r="N196" s="486" t="s">
        <v>1231</v>
      </c>
      <c r="O196" s="485" t="s">
        <v>1232</v>
      </c>
      <c r="P196" s="485" t="s">
        <v>469</v>
      </c>
      <c r="Q196" s="487">
        <v>43983</v>
      </c>
      <c r="R196" s="487">
        <v>44713</v>
      </c>
      <c r="S196" s="488">
        <v>1</v>
      </c>
      <c r="T196" s="488"/>
      <c r="U196" s="489">
        <v>4125000</v>
      </c>
      <c r="V196" s="489">
        <v>4125000</v>
      </c>
      <c r="W196" s="489">
        <v>4125000</v>
      </c>
      <c r="X196" s="489">
        <f t="shared" si="10"/>
        <v>0</v>
      </c>
      <c r="Y196" s="489">
        <f t="shared" si="11"/>
        <v>0</v>
      </c>
      <c r="Z196" s="489">
        <v>4125000</v>
      </c>
      <c r="AA196" s="489">
        <v>4125000</v>
      </c>
      <c r="AB196" s="489">
        <v>4125000</v>
      </c>
      <c r="AC196" s="489">
        <f t="shared" si="12"/>
        <v>0</v>
      </c>
      <c r="AD196" s="489">
        <f t="shared" si="13"/>
        <v>0</v>
      </c>
      <c r="AE196" s="489">
        <v>0</v>
      </c>
      <c r="AF196" s="489">
        <v>0</v>
      </c>
      <c r="AG196" s="490" t="s">
        <v>1250</v>
      </c>
      <c r="AH196" s="490" t="s">
        <v>1291</v>
      </c>
      <c r="AI196" s="490" t="s">
        <v>1292</v>
      </c>
      <c r="AJ196" s="490" t="s">
        <v>1234</v>
      </c>
      <c r="AK196" s="490" t="s">
        <v>1240</v>
      </c>
      <c r="AL196" s="491"/>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row>
    <row r="197" spans="1:80" ht="18" customHeight="1" x14ac:dyDescent="0.25">
      <c r="A197" s="485">
        <f t="shared" si="15"/>
        <v>195</v>
      </c>
      <c r="B197" s="485" t="s">
        <v>3435</v>
      </c>
      <c r="C197" s="485">
        <v>1200000001</v>
      </c>
      <c r="D197" s="485" t="s">
        <v>4812</v>
      </c>
      <c r="E197" s="485" t="s">
        <v>328</v>
      </c>
      <c r="F197" s="485" t="s">
        <v>111</v>
      </c>
      <c r="G197" s="485" t="s">
        <v>1103</v>
      </c>
      <c r="H197" s="485" t="s">
        <v>111</v>
      </c>
      <c r="I197" s="485" t="s">
        <v>1103</v>
      </c>
      <c r="J197" s="485" t="s">
        <v>3434</v>
      </c>
      <c r="K197" s="485" t="s">
        <v>1756</v>
      </c>
      <c r="L197" s="485" t="s">
        <v>1473</v>
      </c>
      <c r="M197" s="486" t="s">
        <v>1230</v>
      </c>
      <c r="N197" s="486" t="s">
        <v>1231</v>
      </c>
      <c r="O197" s="485" t="s">
        <v>1232</v>
      </c>
      <c r="P197" s="485" t="s">
        <v>1156</v>
      </c>
      <c r="Q197" s="487">
        <v>43987</v>
      </c>
      <c r="R197" s="487">
        <v>45576</v>
      </c>
      <c r="S197" s="488">
        <v>1</v>
      </c>
      <c r="T197" s="488">
        <v>0.2</v>
      </c>
      <c r="U197" s="489">
        <v>529567.98</v>
      </c>
      <c r="V197" s="489">
        <v>529567.98</v>
      </c>
      <c r="W197" s="489">
        <v>529567.98</v>
      </c>
      <c r="X197" s="489">
        <f t="shared" si="10"/>
        <v>0</v>
      </c>
      <c r="Y197" s="489">
        <f t="shared" si="11"/>
        <v>0</v>
      </c>
      <c r="Z197" s="489">
        <v>529567.98</v>
      </c>
      <c r="AA197" s="489">
        <v>529567.98</v>
      </c>
      <c r="AB197" s="489">
        <v>529567.98</v>
      </c>
      <c r="AC197" s="489">
        <f t="shared" si="12"/>
        <v>0</v>
      </c>
      <c r="AD197" s="489">
        <f t="shared" si="13"/>
        <v>0</v>
      </c>
      <c r="AE197" s="489">
        <v>0</v>
      </c>
      <c r="AF197" s="489">
        <v>0</v>
      </c>
      <c r="AG197" s="490" t="s">
        <v>1237</v>
      </c>
      <c r="AH197" s="490" t="s">
        <v>1254</v>
      </c>
      <c r="AI197" s="490"/>
      <c r="AJ197" s="490" t="s">
        <v>1253</v>
      </c>
      <c r="AK197" s="490" t="s">
        <v>1260</v>
      </c>
      <c r="AL197" s="491"/>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row>
    <row r="198" spans="1:80" ht="18" customHeight="1" x14ac:dyDescent="0.25">
      <c r="A198" s="485">
        <f t="shared" si="15"/>
        <v>196</v>
      </c>
      <c r="B198" s="485" t="s">
        <v>3436</v>
      </c>
      <c r="C198" s="485">
        <v>2200000177</v>
      </c>
      <c r="D198" s="485" t="s">
        <v>4813</v>
      </c>
      <c r="E198" s="485" t="s">
        <v>1354</v>
      </c>
      <c r="F198" s="485" t="s">
        <v>1353</v>
      </c>
      <c r="G198" s="485" t="s">
        <v>3055</v>
      </c>
      <c r="H198" s="485" t="s">
        <v>1353</v>
      </c>
      <c r="I198" s="485" t="s">
        <v>3055</v>
      </c>
      <c r="J198" s="485" t="s">
        <v>3056</v>
      </c>
      <c r="K198" s="485" t="s">
        <v>1756</v>
      </c>
      <c r="L198" s="485" t="s">
        <v>1473</v>
      </c>
      <c r="M198" s="486" t="s">
        <v>1230</v>
      </c>
      <c r="N198" s="486" t="s">
        <v>1231</v>
      </c>
      <c r="O198" s="485" t="s">
        <v>1232</v>
      </c>
      <c r="P198" s="485" t="s">
        <v>469</v>
      </c>
      <c r="Q198" s="487">
        <v>43991</v>
      </c>
      <c r="R198" s="487">
        <v>44816</v>
      </c>
      <c r="S198" s="488">
        <v>1</v>
      </c>
      <c r="T198" s="488">
        <v>0.2</v>
      </c>
      <c r="U198" s="489">
        <v>265328.2</v>
      </c>
      <c r="V198" s="489">
        <v>265328.2</v>
      </c>
      <c r="W198" s="489">
        <v>265328.2</v>
      </c>
      <c r="X198" s="489">
        <f t="shared" si="10"/>
        <v>0</v>
      </c>
      <c r="Y198" s="489">
        <f t="shared" si="11"/>
        <v>0</v>
      </c>
      <c r="Z198" s="489">
        <v>265328.2</v>
      </c>
      <c r="AA198" s="489">
        <v>265328.2</v>
      </c>
      <c r="AB198" s="489">
        <v>265328.2</v>
      </c>
      <c r="AC198" s="489">
        <f t="shared" si="12"/>
        <v>0</v>
      </c>
      <c r="AD198" s="489">
        <f t="shared" si="13"/>
        <v>0</v>
      </c>
      <c r="AE198" s="489">
        <v>0</v>
      </c>
      <c r="AF198" s="489">
        <v>0</v>
      </c>
      <c r="AG198" s="490" t="s">
        <v>1245</v>
      </c>
      <c r="AH198" s="490" t="s">
        <v>1242</v>
      </c>
      <c r="AI198" s="490" t="s">
        <v>1292</v>
      </c>
      <c r="AJ198" s="490" t="s">
        <v>1246</v>
      </c>
      <c r="AK198" s="490" t="s">
        <v>1240</v>
      </c>
      <c r="AL198" s="491"/>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row>
    <row r="199" spans="1:80" ht="18" customHeight="1" x14ac:dyDescent="0.25">
      <c r="A199" s="485">
        <f t="shared" si="15"/>
        <v>197</v>
      </c>
      <c r="B199" s="485" t="s">
        <v>3437</v>
      </c>
      <c r="C199" s="485">
        <v>2100000206</v>
      </c>
      <c r="D199" s="485" t="s">
        <v>4814</v>
      </c>
      <c r="E199" s="485" t="s">
        <v>1354</v>
      </c>
      <c r="F199" s="485" t="s">
        <v>1353</v>
      </c>
      <c r="G199" s="485" t="s">
        <v>3055</v>
      </c>
      <c r="H199" s="485" t="s">
        <v>1353</v>
      </c>
      <c r="I199" s="485" t="s">
        <v>3055</v>
      </c>
      <c r="J199" s="485" t="s">
        <v>3056</v>
      </c>
      <c r="K199" s="485" t="s">
        <v>1756</v>
      </c>
      <c r="L199" s="485" t="s">
        <v>2783</v>
      </c>
      <c r="M199" s="486" t="s">
        <v>1230</v>
      </c>
      <c r="N199" s="485" t="s">
        <v>1231</v>
      </c>
      <c r="O199" s="485" t="s">
        <v>1231</v>
      </c>
      <c r="P199" s="485" t="s">
        <v>469</v>
      </c>
      <c r="Q199" s="487">
        <v>43991</v>
      </c>
      <c r="R199" s="487">
        <v>45820</v>
      </c>
      <c r="S199" s="488">
        <v>1</v>
      </c>
      <c r="T199" s="488"/>
      <c r="U199" s="489">
        <v>2712000</v>
      </c>
      <c r="V199" s="489">
        <v>2712000</v>
      </c>
      <c r="W199" s="489">
        <v>2712000</v>
      </c>
      <c r="X199" s="489">
        <f t="shared" si="10"/>
        <v>0</v>
      </c>
      <c r="Y199" s="489">
        <f t="shared" si="11"/>
        <v>0</v>
      </c>
      <c r="Z199" s="489">
        <v>2518697.0099999998</v>
      </c>
      <c r="AA199" s="489">
        <v>2533619.7400000002</v>
      </c>
      <c r="AB199" s="489">
        <v>2533619.7400000002</v>
      </c>
      <c r="AC199" s="489">
        <f t="shared" si="12"/>
        <v>14922.730000000447</v>
      </c>
      <c r="AD199" s="489">
        <f t="shared" si="13"/>
        <v>0</v>
      </c>
      <c r="AE199" s="489">
        <v>0</v>
      </c>
      <c r="AF199" s="489">
        <v>178380.26</v>
      </c>
      <c r="AG199" s="490" t="s">
        <v>1245</v>
      </c>
      <c r="AH199" s="490" t="s">
        <v>1242</v>
      </c>
      <c r="AI199" s="490" t="s">
        <v>1292</v>
      </c>
      <c r="AJ199" s="490" t="s">
        <v>1246</v>
      </c>
      <c r="AK199" s="490" t="s">
        <v>1240</v>
      </c>
      <c r="AL199" s="491"/>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c r="BV199"/>
      <c r="BW199"/>
      <c r="BX199"/>
      <c r="BY199"/>
      <c r="BZ199"/>
      <c r="CA199"/>
      <c r="CB199"/>
    </row>
    <row r="200" spans="1:80" ht="18" customHeight="1" x14ac:dyDescent="0.25">
      <c r="A200" s="485">
        <f t="shared" si="15"/>
        <v>198</v>
      </c>
      <c r="B200" s="485" t="s">
        <v>3440</v>
      </c>
      <c r="C200" s="485">
        <v>4100000158</v>
      </c>
      <c r="D200" s="485" t="s">
        <v>4815</v>
      </c>
      <c r="E200" s="485" t="s">
        <v>1475</v>
      </c>
      <c r="F200" s="485" t="s">
        <v>2611</v>
      </c>
      <c r="G200" s="485" t="s">
        <v>3438</v>
      </c>
      <c r="H200" s="485" t="s">
        <v>2611</v>
      </c>
      <c r="I200" s="485" t="s">
        <v>3438</v>
      </c>
      <c r="J200" s="485" t="s">
        <v>3439</v>
      </c>
      <c r="K200" s="485" t="s">
        <v>1756</v>
      </c>
      <c r="L200" s="485" t="s">
        <v>2783</v>
      </c>
      <c r="M200" s="486" t="s">
        <v>1230</v>
      </c>
      <c r="N200" s="486" t="s">
        <v>1231</v>
      </c>
      <c r="O200" s="485" t="s">
        <v>1232</v>
      </c>
      <c r="P200" s="485" t="s">
        <v>469</v>
      </c>
      <c r="Q200" s="487">
        <v>43991</v>
      </c>
      <c r="R200" s="487">
        <v>45086</v>
      </c>
      <c r="S200" s="488">
        <v>1</v>
      </c>
      <c r="T200" s="488"/>
      <c r="U200" s="489">
        <v>560000</v>
      </c>
      <c r="V200" s="489">
        <v>560000</v>
      </c>
      <c r="W200" s="489">
        <v>560000</v>
      </c>
      <c r="X200" s="489">
        <f t="shared" ref="X200:X263" si="16">W200-U200</f>
        <v>0</v>
      </c>
      <c r="Y200" s="489">
        <f t="shared" ref="Y200:Y263" si="17">W200-V200</f>
        <v>0</v>
      </c>
      <c r="Z200" s="489">
        <v>560000</v>
      </c>
      <c r="AA200" s="489">
        <v>560000</v>
      </c>
      <c r="AB200" s="489">
        <v>560000</v>
      </c>
      <c r="AC200" s="489">
        <f t="shared" ref="AC200:AC263" si="18">AB200-Z200</f>
        <v>0</v>
      </c>
      <c r="AD200" s="489">
        <f t="shared" ref="AD200:AD263" si="19">AB200-AA200</f>
        <v>0</v>
      </c>
      <c r="AE200" s="489">
        <v>0</v>
      </c>
      <c r="AF200" s="489">
        <v>0</v>
      </c>
      <c r="AG200" s="490" t="s">
        <v>1250</v>
      </c>
      <c r="AH200" s="490" t="s">
        <v>1291</v>
      </c>
      <c r="AI200" s="490" t="s">
        <v>1268</v>
      </c>
      <c r="AJ200" s="490" t="s">
        <v>1234</v>
      </c>
      <c r="AK200" s="490" t="s">
        <v>1240</v>
      </c>
      <c r="AL200" s="491"/>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row>
    <row r="201" spans="1:80" ht="18" customHeight="1" x14ac:dyDescent="0.25">
      <c r="A201" s="485">
        <f t="shared" si="15"/>
        <v>199</v>
      </c>
      <c r="B201" s="485" t="s">
        <v>3441</v>
      </c>
      <c r="C201" s="485">
        <v>1200000131</v>
      </c>
      <c r="D201" s="485" t="s">
        <v>4816</v>
      </c>
      <c r="E201" s="485" t="s">
        <v>1389</v>
      </c>
      <c r="F201" s="485" t="s">
        <v>1388</v>
      </c>
      <c r="G201" s="485" t="s">
        <v>2762</v>
      </c>
      <c r="H201" s="485" t="s">
        <v>1388</v>
      </c>
      <c r="I201" s="485" t="s">
        <v>2762</v>
      </c>
      <c r="J201" s="485" t="s">
        <v>3164</v>
      </c>
      <c r="K201" s="485" t="s">
        <v>1756</v>
      </c>
      <c r="L201" s="485" t="s">
        <v>1473</v>
      </c>
      <c r="M201" s="486" t="s">
        <v>1230</v>
      </c>
      <c r="N201" s="486" t="s">
        <v>1231</v>
      </c>
      <c r="O201" s="485" t="s">
        <v>1232</v>
      </c>
      <c r="P201" s="485" t="s">
        <v>1156</v>
      </c>
      <c r="Q201" s="487">
        <v>43997</v>
      </c>
      <c r="R201" s="487">
        <v>46174</v>
      </c>
      <c r="S201" s="488">
        <v>1</v>
      </c>
      <c r="T201" s="488">
        <v>0.2</v>
      </c>
      <c r="U201" s="489">
        <v>4262424.9000000004</v>
      </c>
      <c r="V201" s="489">
        <v>4262424.9000000004</v>
      </c>
      <c r="W201" s="489">
        <v>4262424.9000000004</v>
      </c>
      <c r="X201" s="489">
        <f t="shared" si="16"/>
        <v>0</v>
      </c>
      <c r="Y201" s="489">
        <f t="shared" si="17"/>
        <v>0</v>
      </c>
      <c r="Z201" s="489">
        <v>4262424.9000000004</v>
      </c>
      <c r="AA201" s="489">
        <v>4262424.9000000004</v>
      </c>
      <c r="AB201" s="489">
        <v>4262424.9000000004</v>
      </c>
      <c r="AC201" s="489">
        <f t="shared" si="18"/>
        <v>0</v>
      </c>
      <c r="AD201" s="489">
        <f t="shared" si="19"/>
        <v>0</v>
      </c>
      <c r="AE201" s="489">
        <v>0</v>
      </c>
      <c r="AF201" s="489">
        <v>0</v>
      </c>
      <c r="AG201" s="490" t="s">
        <v>1237</v>
      </c>
      <c r="AH201" s="490" t="s">
        <v>1236</v>
      </c>
      <c r="AI201" s="490"/>
      <c r="AJ201" s="490" t="s">
        <v>1259</v>
      </c>
      <c r="AK201" s="490" t="s">
        <v>1260</v>
      </c>
      <c r="AL201" s="49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row>
    <row r="202" spans="1:80" ht="18" customHeight="1" x14ac:dyDescent="0.25">
      <c r="A202" s="517">
        <f t="shared" si="15"/>
        <v>200</v>
      </c>
      <c r="B202" s="485" t="s">
        <v>3442</v>
      </c>
      <c r="C202" s="485">
        <v>1200000149</v>
      </c>
      <c r="D202" s="485" t="s">
        <v>4817</v>
      </c>
      <c r="E202" s="485" t="s">
        <v>2754</v>
      </c>
      <c r="F202" s="485" t="s">
        <v>117</v>
      </c>
      <c r="G202" s="485" t="s">
        <v>1080</v>
      </c>
      <c r="H202" s="485" t="s">
        <v>117</v>
      </c>
      <c r="I202" s="485" t="s">
        <v>1080</v>
      </c>
      <c r="J202" s="485" t="s">
        <v>2916</v>
      </c>
      <c r="K202" s="485" t="s">
        <v>1756</v>
      </c>
      <c r="L202" s="485" t="s">
        <v>1473</v>
      </c>
      <c r="M202" s="486" t="s">
        <v>1230</v>
      </c>
      <c r="N202" s="486" t="s">
        <v>1231</v>
      </c>
      <c r="O202" s="485" t="s">
        <v>1232</v>
      </c>
      <c r="P202" s="485" t="s">
        <v>1156</v>
      </c>
      <c r="Q202" s="487">
        <v>43999</v>
      </c>
      <c r="R202" s="487">
        <v>46190</v>
      </c>
      <c r="S202" s="488">
        <v>1</v>
      </c>
      <c r="T202" s="488">
        <v>0.2</v>
      </c>
      <c r="U202" s="489">
        <v>998648</v>
      </c>
      <c r="V202" s="489">
        <v>998648</v>
      </c>
      <c r="W202" s="489">
        <v>998648</v>
      </c>
      <c r="X202" s="489">
        <f t="shared" si="16"/>
        <v>0</v>
      </c>
      <c r="Y202" s="489">
        <f t="shared" si="17"/>
        <v>0</v>
      </c>
      <c r="Z202" s="489">
        <v>998648</v>
      </c>
      <c r="AA202" s="489">
        <v>998648</v>
      </c>
      <c r="AB202" s="489">
        <v>998648</v>
      </c>
      <c r="AC202" s="489">
        <f t="shared" si="18"/>
        <v>0</v>
      </c>
      <c r="AD202" s="489">
        <f t="shared" si="19"/>
        <v>0</v>
      </c>
      <c r="AE202" s="489">
        <v>0</v>
      </c>
      <c r="AF202" s="489">
        <v>0</v>
      </c>
      <c r="AG202" s="490" t="s">
        <v>1237</v>
      </c>
      <c r="AH202" s="490" t="s">
        <v>1303</v>
      </c>
      <c r="AI202" s="490"/>
      <c r="AJ202" s="490" t="s">
        <v>1253</v>
      </c>
      <c r="AK202" s="490" t="s">
        <v>1260</v>
      </c>
      <c r="AL202" s="491"/>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row>
    <row r="203" spans="1:80" ht="18" customHeight="1" x14ac:dyDescent="0.25">
      <c r="A203" s="485">
        <f t="shared" si="15"/>
        <v>201</v>
      </c>
      <c r="B203" s="485" t="s">
        <v>3443</v>
      </c>
      <c r="C203" s="485">
        <v>1200000148</v>
      </c>
      <c r="D203" s="485" t="s">
        <v>4818</v>
      </c>
      <c r="E203" s="485" t="s">
        <v>2754</v>
      </c>
      <c r="F203" s="485" t="s">
        <v>117</v>
      </c>
      <c r="G203" s="485" t="s">
        <v>1080</v>
      </c>
      <c r="H203" s="485" t="s">
        <v>117</v>
      </c>
      <c r="I203" s="485" t="s">
        <v>1080</v>
      </c>
      <c r="J203" s="485" t="s">
        <v>2916</v>
      </c>
      <c r="K203" s="485" t="s">
        <v>1756</v>
      </c>
      <c r="L203" s="485" t="s">
        <v>1473</v>
      </c>
      <c r="M203" s="486" t="s">
        <v>1230</v>
      </c>
      <c r="N203" s="486" t="s">
        <v>1231</v>
      </c>
      <c r="O203" s="485" t="s">
        <v>1232</v>
      </c>
      <c r="P203" s="485" t="s">
        <v>1156</v>
      </c>
      <c r="Q203" s="487">
        <v>43999</v>
      </c>
      <c r="R203" s="487">
        <v>46190</v>
      </c>
      <c r="S203" s="488">
        <v>1</v>
      </c>
      <c r="T203" s="488">
        <v>0.2</v>
      </c>
      <c r="U203" s="489">
        <v>2000000</v>
      </c>
      <c r="V203" s="489">
        <v>2000000</v>
      </c>
      <c r="W203" s="489">
        <v>2000000</v>
      </c>
      <c r="X203" s="489">
        <f t="shared" si="16"/>
        <v>0</v>
      </c>
      <c r="Y203" s="489">
        <f t="shared" si="17"/>
        <v>0</v>
      </c>
      <c r="Z203" s="489">
        <v>2000000</v>
      </c>
      <c r="AA203" s="489">
        <v>2000000</v>
      </c>
      <c r="AB203" s="489">
        <v>2000000</v>
      </c>
      <c r="AC203" s="489">
        <f t="shared" si="18"/>
        <v>0</v>
      </c>
      <c r="AD203" s="489">
        <f t="shared" si="19"/>
        <v>0</v>
      </c>
      <c r="AE203" s="489">
        <v>0</v>
      </c>
      <c r="AF203" s="489">
        <v>0</v>
      </c>
      <c r="AG203" s="490" t="s">
        <v>1237</v>
      </c>
      <c r="AH203" s="490" t="s">
        <v>1303</v>
      </c>
      <c r="AI203" s="490"/>
      <c r="AJ203" s="490" t="s">
        <v>1253</v>
      </c>
      <c r="AK203" s="490" t="s">
        <v>1260</v>
      </c>
      <c r="AL203" s="491"/>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row>
    <row r="204" spans="1:80" ht="18" customHeight="1" x14ac:dyDescent="0.25">
      <c r="A204" s="485">
        <f t="shared" si="15"/>
        <v>202</v>
      </c>
      <c r="B204" s="485" t="s">
        <v>3444</v>
      </c>
      <c r="C204" s="485">
        <v>5200000142</v>
      </c>
      <c r="D204" s="485" t="s">
        <v>4819</v>
      </c>
      <c r="E204" s="485" t="s">
        <v>3128</v>
      </c>
      <c r="F204" s="485" t="s">
        <v>3129</v>
      </c>
      <c r="G204" s="485" t="s">
        <v>3125</v>
      </c>
      <c r="H204" s="485" t="s">
        <v>2583</v>
      </c>
      <c r="I204" s="485" t="s">
        <v>3126</v>
      </c>
      <c r="J204" s="485" t="s">
        <v>3127</v>
      </c>
      <c r="K204" s="485" t="s">
        <v>1756</v>
      </c>
      <c r="L204" s="485" t="s">
        <v>1473</v>
      </c>
      <c r="M204" s="486" t="s">
        <v>1230</v>
      </c>
      <c r="N204" s="486" t="s">
        <v>1231</v>
      </c>
      <c r="O204" s="485" t="s">
        <v>1232</v>
      </c>
      <c r="P204" s="485" t="s">
        <v>469</v>
      </c>
      <c r="Q204" s="487">
        <v>44001</v>
      </c>
      <c r="R204" s="487">
        <v>44746</v>
      </c>
      <c r="S204" s="488">
        <v>1</v>
      </c>
      <c r="T204" s="488">
        <v>0.2</v>
      </c>
      <c r="U204" s="489">
        <v>3102318.32</v>
      </c>
      <c r="V204" s="489">
        <v>3057397.08</v>
      </c>
      <c r="W204" s="489">
        <v>2745869.37</v>
      </c>
      <c r="X204" s="489">
        <f t="shared" si="16"/>
        <v>-356448.94999999972</v>
      </c>
      <c r="Y204" s="489">
        <f t="shared" si="17"/>
        <v>-311527.70999999996</v>
      </c>
      <c r="Z204" s="489">
        <v>3102318.32</v>
      </c>
      <c r="AA204" s="489">
        <v>3057397.08</v>
      </c>
      <c r="AB204" s="489">
        <v>2745869.37</v>
      </c>
      <c r="AC204" s="489">
        <f t="shared" si="18"/>
        <v>-356448.94999999972</v>
      </c>
      <c r="AD204" s="489">
        <f t="shared" si="19"/>
        <v>-311527.70999999996</v>
      </c>
      <c r="AE204" s="489">
        <v>0</v>
      </c>
      <c r="AF204" s="489">
        <v>0</v>
      </c>
      <c r="AG204" s="490" t="s">
        <v>1288</v>
      </c>
      <c r="AH204" s="490" t="s">
        <v>1379</v>
      </c>
      <c r="AI204" s="490"/>
      <c r="AJ204" s="490" t="s">
        <v>1234</v>
      </c>
      <c r="AK204" s="490" t="s">
        <v>1278</v>
      </c>
      <c r="AL204" s="491"/>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row>
    <row r="205" spans="1:80" ht="18" customHeight="1" x14ac:dyDescent="0.25">
      <c r="A205" s="485">
        <f t="shared" si="15"/>
        <v>203</v>
      </c>
      <c r="B205" s="485" t="s">
        <v>3446</v>
      </c>
      <c r="C205" s="485">
        <v>1200000125</v>
      </c>
      <c r="D205" s="485" t="s">
        <v>4820</v>
      </c>
      <c r="E205" s="485" t="s">
        <v>278</v>
      </c>
      <c r="F205" s="485" t="s">
        <v>109</v>
      </c>
      <c r="G205" s="485" t="s">
        <v>1077</v>
      </c>
      <c r="H205" s="485" t="s">
        <v>109</v>
      </c>
      <c r="I205" s="485" t="s">
        <v>1077</v>
      </c>
      <c r="J205" s="485" t="s">
        <v>3445</v>
      </c>
      <c r="K205" s="485" t="s">
        <v>1756</v>
      </c>
      <c r="L205" s="485" t="s">
        <v>1473</v>
      </c>
      <c r="M205" s="486" t="s">
        <v>1230</v>
      </c>
      <c r="N205" s="486" t="s">
        <v>1231</v>
      </c>
      <c r="O205" s="485" t="s">
        <v>1232</v>
      </c>
      <c r="P205" s="485" t="s">
        <v>1156</v>
      </c>
      <c r="Q205" s="487">
        <v>44007</v>
      </c>
      <c r="R205" s="487">
        <v>45810</v>
      </c>
      <c r="S205" s="488">
        <v>1</v>
      </c>
      <c r="T205" s="488">
        <v>0.2</v>
      </c>
      <c r="U205" s="489">
        <v>980000</v>
      </c>
      <c r="V205" s="489">
        <v>980000</v>
      </c>
      <c r="W205" s="489">
        <v>980000</v>
      </c>
      <c r="X205" s="489">
        <f t="shared" si="16"/>
        <v>0</v>
      </c>
      <c r="Y205" s="489">
        <f t="shared" si="17"/>
        <v>0</v>
      </c>
      <c r="Z205" s="489">
        <v>980000</v>
      </c>
      <c r="AA205" s="489">
        <v>980000</v>
      </c>
      <c r="AB205" s="489">
        <v>980000</v>
      </c>
      <c r="AC205" s="489">
        <f t="shared" si="18"/>
        <v>0</v>
      </c>
      <c r="AD205" s="489">
        <f t="shared" si="19"/>
        <v>0</v>
      </c>
      <c r="AE205" s="489">
        <v>0</v>
      </c>
      <c r="AF205" s="489">
        <v>0</v>
      </c>
      <c r="AG205" s="490" t="s">
        <v>1237</v>
      </c>
      <c r="AH205" s="490" t="s">
        <v>1254</v>
      </c>
      <c r="AI205" s="490"/>
      <c r="AJ205" s="490" t="s">
        <v>1253</v>
      </c>
      <c r="AK205" s="490" t="s">
        <v>1260</v>
      </c>
      <c r="AL205" s="491"/>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row>
    <row r="206" spans="1:80" ht="18" customHeight="1" x14ac:dyDescent="0.25">
      <c r="A206" s="485">
        <f t="shared" si="15"/>
        <v>204</v>
      </c>
      <c r="B206" s="485" t="s">
        <v>3447</v>
      </c>
      <c r="C206" s="485">
        <v>1200000124</v>
      </c>
      <c r="D206" s="485" t="s">
        <v>4821</v>
      </c>
      <c r="E206" s="485" t="s">
        <v>278</v>
      </c>
      <c r="F206" s="485" t="s">
        <v>109</v>
      </c>
      <c r="G206" s="485" t="s">
        <v>1077</v>
      </c>
      <c r="H206" s="485" t="s">
        <v>109</v>
      </c>
      <c r="I206" s="485" t="s">
        <v>1077</v>
      </c>
      <c r="J206" s="485" t="s">
        <v>3445</v>
      </c>
      <c r="K206" s="485" t="s">
        <v>1756</v>
      </c>
      <c r="L206" s="485" t="s">
        <v>1473</v>
      </c>
      <c r="M206" s="486" t="s">
        <v>1230</v>
      </c>
      <c r="N206" s="486" t="s">
        <v>1231</v>
      </c>
      <c r="O206" s="485" t="s">
        <v>1232</v>
      </c>
      <c r="P206" s="485" t="s">
        <v>1156</v>
      </c>
      <c r="Q206" s="487">
        <v>44007</v>
      </c>
      <c r="R206" s="487">
        <v>45810</v>
      </c>
      <c r="S206" s="488">
        <v>1</v>
      </c>
      <c r="T206" s="488">
        <v>0.2</v>
      </c>
      <c r="U206" s="489">
        <v>750000</v>
      </c>
      <c r="V206" s="489">
        <v>750000</v>
      </c>
      <c r="W206" s="489">
        <v>750000</v>
      </c>
      <c r="X206" s="489">
        <f t="shared" si="16"/>
        <v>0</v>
      </c>
      <c r="Y206" s="489">
        <f t="shared" si="17"/>
        <v>0</v>
      </c>
      <c r="Z206" s="489">
        <v>750000</v>
      </c>
      <c r="AA206" s="489">
        <v>750000</v>
      </c>
      <c r="AB206" s="489">
        <v>750000</v>
      </c>
      <c r="AC206" s="489">
        <f t="shared" si="18"/>
        <v>0</v>
      </c>
      <c r="AD206" s="489">
        <f t="shared" si="19"/>
        <v>0</v>
      </c>
      <c r="AE206" s="489">
        <v>0</v>
      </c>
      <c r="AF206" s="489">
        <v>0</v>
      </c>
      <c r="AG206" s="490" t="s">
        <v>1237</v>
      </c>
      <c r="AH206" s="490" t="s">
        <v>1254</v>
      </c>
      <c r="AI206" s="490"/>
      <c r="AJ206" s="490" t="s">
        <v>1253</v>
      </c>
      <c r="AK206" s="490" t="s">
        <v>1260</v>
      </c>
      <c r="AL206" s="491"/>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row>
    <row r="207" spans="1:80" ht="18" customHeight="1" x14ac:dyDescent="0.25">
      <c r="A207" s="485">
        <f t="shared" si="15"/>
        <v>205</v>
      </c>
      <c r="B207" s="485" t="s">
        <v>3448</v>
      </c>
      <c r="C207" s="485">
        <v>1200000127</v>
      </c>
      <c r="D207" s="485" t="s">
        <v>4822</v>
      </c>
      <c r="E207" s="485" t="s">
        <v>278</v>
      </c>
      <c r="F207" s="485" t="s">
        <v>109</v>
      </c>
      <c r="G207" s="485" t="s">
        <v>1077</v>
      </c>
      <c r="H207" s="485" t="s">
        <v>109</v>
      </c>
      <c r="I207" s="485" t="s">
        <v>1077</v>
      </c>
      <c r="J207" s="485" t="s">
        <v>3445</v>
      </c>
      <c r="K207" s="485" t="s">
        <v>1756</v>
      </c>
      <c r="L207" s="485" t="s">
        <v>1473</v>
      </c>
      <c r="M207" s="486" t="s">
        <v>1230</v>
      </c>
      <c r="N207" s="486" t="s">
        <v>1231</v>
      </c>
      <c r="O207" s="485" t="s">
        <v>1232</v>
      </c>
      <c r="P207" s="485" t="s">
        <v>1156</v>
      </c>
      <c r="Q207" s="487">
        <v>44007</v>
      </c>
      <c r="R207" s="487">
        <v>45810</v>
      </c>
      <c r="S207" s="488">
        <v>1</v>
      </c>
      <c r="T207" s="488">
        <v>0.2</v>
      </c>
      <c r="U207" s="489">
        <v>902500</v>
      </c>
      <c r="V207" s="489">
        <v>902500</v>
      </c>
      <c r="W207" s="489">
        <v>902500</v>
      </c>
      <c r="X207" s="489">
        <f t="shared" si="16"/>
        <v>0</v>
      </c>
      <c r="Y207" s="489">
        <f t="shared" si="17"/>
        <v>0</v>
      </c>
      <c r="Z207" s="489">
        <v>902500</v>
      </c>
      <c r="AA207" s="489">
        <v>902500</v>
      </c>
      <c r="AB207" s="489">
        <v>902500</v>
      </c>
      <c r="AC207" s="489">
        <f t="shared" si="18"/>
        <v>0</v>
      </c>
      <c r="AD207" s="489">
        <f t="shared" si="19"/>
        <v>0</v>
      </c>
      <c r="AE207" s="489">
        <v>0</v>
      </c>
      <c r="AF207" s="489">
        <v>0</v>
      </c>
      <c r="AG207" s="490" t="s">
        <v>1237</v>
      </c>
      <c r="AH207" s="490" t="s">
        <v>1254</v>
      </c>
      <c r="AI207" s="490"/>
      <c r="AJ207" s="490" t="s">
        <v>1253</v>
      </c>
      <c r="AK207" s="490" t="s">
        <v>1260</v>
      </c>
      <c r="AL207" s="491"/>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row>
    <row r="208" spans="1:80" ht="18" customHeight="1" x14ac:dyDescent="0.25">
      <c r="A208" s="485">
        <f t="shared" si="15"/>
        <v>206</v>
      </c>
      <c r="B208" s="485" t="s">
        <v>3450</v>
      </c>
      <c r="C208" s="485">
        <v>1200000132</v>
      </c>
      <c r="D208" s="485" t="s">
        <v>4823</v>
      </c>
      <c r="E208" s="485" t="s">
        <v>1318</v>
      </c>
      <c r="F208" s="485" t="s">
        <v>198</v>
      </c>
      <c r="G208" s="485" t="s">
        <v>2768</v>
      </c>
      <c r="H208" s="485" t="s">
        <v>2562</v>
      </c>
      <c r="I208" s="485" t="s">
        <v>2961</v>
      </c>
      <c r="J208" s="485" t="s">
        <v>2962</v>
      </c>
      <c r="K208" s="485" t="s">
        <v>1756</v>
      </c>
      <c r="L208" s="485" t="s">
        <v>1473</v>
      </c>
      <c r="M208" s="486" t="s">
        <v>1230</v>
      </c>
      <c r="N208" s="486" t="s">
        <v>1231</v>
      </c>
      <c r="O208" s="485" t="s">
        <v>1232</v>
      </c>
      <c r="P208" s="485" t="s">
        <v>1156</v>
      </c>
      <c r="Q208" s="487">
        <v>44011</v>
      </c>
      <c r="R208" s="487">
        <v>46202</v>
      </c>
      <c r="S208" s="488">
        <v>1</v>
      </c>
      <c r="T208" s="488">
        <v>0.2</v>
      </c>
      <c r="U208" s="489">
        <v>3634267.09</v>
      </c>
      <c r="V208" s="489">
        <v>3634267.09</v>
      </c>
      <c r="W208" s="489">
        <v>3634267.09</v>
      </c>
      <c r="X208" s="489">
        <f t="shared" si="16"/>
        <v>0</v>
      </c>
      <c r="Y208" s="489">
        <f t="shared" si="17"/>
        <v>0</v>
      </c>
      <c r="Z208" s="489">
        <v>3634267.09</v>
      </c>
      <c r="AA208" s="489">
        <v>3634267.09</v>
      </c>
      <c r="AB208" s="489">
        <v>3634267.09</v>
      </c>
      <c r="AC208" s="489">
        <f t="shared" si="18"/>
        <v>0</v>
      </c>
      <c r="AD208" s="489">
        <f t="shared" si="19"/>
        <v>0</v>
      </c>
      <c r="AE208" s="489">
        <v>0</v>
      </c>
      <c r="AF208" s="489">
        <v>0</v>
      </c>
      <c r="AG208" s="490" t="s">
        <v>1237</v>
      </c>
      <c r="AH208" s="490" t="s">
        <v>1236</v>
      </c>
      <c r="AI208" s="490"/>
      <c r="AJ208" s="490" t="s">
        <v>1259</v>
      </c>
      <c r="AK208" s="490" t="s">
        <v>1260</v>
      </c>
      <c r="AL208" s="491"/>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row>
    <row r="209" spans="1:80" ht="18" customHeight="1" x14ac:dyDescent="0.25">
      <c r="A209" s="486">
        <f t="shared" si="15"/>
        <v>207</v>
      </c>
      <c r="B209" s="486" t="s">
        <v>3451</v>
      </c>
      <c r="C209" s="486">
        <v>5200000151</v>
      </c>
      <c r="D209" s="486" t="s">
        <v>4824</v>
      </c>
      <c r="E209" s="486" t="s">
        <v>1287</v>
      </c>
      <c r="F209" s="486" t="s">
        <v>1286</v>
      </c>
      <c r="G209" s="486" t="s">
        <v>2878</v>
      </c>
      <c r="H209" s="485" t="s">
        <v>1286</v>
      </c>
      <c r="I209" s="486" t="s">
        <v>2878</v>
      </c>
      <c r="J209" s="486" t="s">
        <v>2879</v>
      </c>
      <c r="K209" s="486" t="s">
        <v>1756</v>
      </c>
      <c r="L209" s="486" t="s">
        <v>2783</v>
      </c>
      <c r="M209" s="486" t="s">
        <v>1230</v>
      </c>
      <c r="N209" s="486" t="s">
        <v>1231</v>
      </c>
      <c r="O209" s="486" t="s">
        <v>1232</v>
      </c>
      <c r="P209" s="486" t="s">
        <v>469</v>
      </c>
      <c r="Q209" s="487">
        <v>44012</v>
      </c>
      <c r="R209" s="487">
        <v>44748</v>
      </c>
      <c r="S209" s="488">
        <v>1</v>
      </c>
      <c r="T209" s="488"/>
      <c r="U209" s="489">
        <v>1005810.98</v>
      </c>
      <c r="V209" s="489">
        <v>1005810.98</v>
      </c>
      <c r="W209" s="489">
        <v>514945.06</v>
      </c>
      <c r="X209" s="489">
        <f t="shared" si="16"/>
        <v>-490865.91999999998</v>
      </c>
      <c r="Y209" s="489">
        <f t="shared" si="17"/>
        <v>-490865.91999999998</v>
      </c>
      <c r="Z209" s="489">
        <v>1005810.98</v>
      </c>
      <c r="AA209" s="489">
        <v>1005810.98</v>
      </c>
      <c r="AB209" s="489">
        <v>514945.06</v>
      </c>
      <c r="AC209" s="489">
        <f t="shared" si="18"/>
        <v>-490865.91999999998</v>
      </c>
      <c r="AD209" s="489">
        <f t="shared" si="19"/>
        <v>-490865.91999999998</v>
      </c>
      <c r="AE209" s="489">
        <v>0</v>
      </c>
      <c r="AF209" s="489">
        <v>0</v>
      </c>
      <c r="AG209" s="490" t="s">
        <v>1288</v>
      </c>
      <c r="AH209" s="490" t="s">
        <v>1252</v>
      </c>
      <c r="AI209" s="490" t="s">
        <v>1248</v>
      </c>
      <c r="AJ209" s="490" t="s">
        <v>1234</v>
      </c>
      <c r="AK209" s="490" t="s">
        <v>1278</v>
      </c>
      <c r="AL209" s="491"/>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row>
    <row r="210" spans="1:80" ht="18" customHeight="1" x14ac:dyDescent="0.25">
      <c r="A210" s="485">
        <f t="shared" si="15"/>
        <v>208</v>
      </c>
      <c r="B210" s="485" t="s">
        <v>3453</v>
      </c>
      <c r="C210" s="485">
        <v>4100000148</v>
      </c>
      <c r="D210" s="485" t="s">
        <v>4825</v>
      </c>
      <c r="E210" s="485" t="s">
        <v>2938</v>
      </c>
      <c r="F210" s="485" t="s">
        <v>2939</v>
      </c>
      <c r="G210" s="485" t="s">
        <v>2935</v>
      </c>
      <c r="H210" s="485" t="s">
        <v>2559</v>
      </c>
      <c r="I210" s="485" t="s">
        <v>2936</v>
      </c>
      <c r="J210" s="485" t="s">
        <v>3452</v>
      </c>
      <c r="K210" s="485" t="s">
        <v>1756</v>
      </c>
      <c r="L210" s="485" t="s">
        <v>2783</v>
      </c>
      <c r="M210" s="486" t="s">
        <v>1307</v>
      </c>
      <c r="N210" s="486" t="s">
        <v>1231</v>
      </c>
      <c r="O210" s="485" t="s">
        <v>1232</v>
      </c>
      <c r="P210" s="485" t="s">
        <v>469</v>
      </c>
      <c r="Q210" s="487">
        <v>44012</v>
      </c>
      <c r="R210" s="487">
        <v>44868</v>
      </c>
      <c r="S210" s="488">
        <v>0.35</v>
      </c>
      <c r="T210" s="488"/>
      <c r="U210" s="489">
        <v>10474130</v>
      </c>
      <c r="V210" s="489">
        <v>10474130</v>
      </c>
      <c r="W210" s="489">
        <v>10199368.810000001</v>
      </c>
      <c r="X210" s="489">
        <f t="shared" si="16"/>
        <v>-274761.18999999948</v>
      </c>
      <c r="Y210" s="489">
        <f t="shared" si="17"/>
        <v>-274761.18999999948</v>
      </c>
      <c r="Z210" s="489">
        <v>10474130</v>
      </c>
      <c r="AA210" s="489">
        <v>10474130</v>
      </c>
      <c r="AB210" s="489">
        <v>10199368.810000001</v>
      </c>
      <c r="AC210" s="489">
        <f t="shared" si="18"/>
        <v>-274761.18999999948</v>
      </c>
      <c r="AD210" s="489">
        <f t="shared" si="19"/>
        <v>-274761.18999999948</v>
      </c>
      <c r="AE210" s="489">
        <v>0</v>
      </c>
      <c r="AF210" s="489">
        <v>0</v>
      </c>
      <c r="AG210" s="490" t="s">
        <v>1250</v>
      </c>
      <c r="AH210" s="490" t="s">
        <v>1252</v>
      </c>
      <c r="AI210" s="490" t="s">
        <v>1248</v>
      </c>
      <c r="AJ210" s="490" t="s">
        <v>1234</v>
      </c>
      <c r="AK210" s="490" t="s">
        <v>1251</v>
      </c>
      <c r="AL210" s="491"/>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row>
    <row r="211" spans="1:80" ht="18" customHeight="1" x14ac:dyDescent="0.25">
      <c r="A211" s="485">
        <f t="shared" si="15"/>
        <v>209</v>
      </c>
      <c r="B211" s="485" t="s">
        <v>3456</v>
      </c>
      <c r="C211" s="485">
        <v>1200000133</v>
      </c>
      <c r="D211" s="485" t="s">
        <v>4826</v>
      </c>
      <c r="E211" s="485" t="s">
        <v>1479</v>
      </c>
      <c r="F211" s="485" t="s">
        <v>2756</v>
      </c>
      <c r="G211" s="485" t="s">
        <v>2767</v>
      </c>
      <c r="H211" s="485" t="s">
        <v>2612</v>
      </c>
      <c r="I211" s="485" t="s">
        <v>3454</v>
      </c>
      <c r="J211" s="485" t="s">
        <v>3455</v>
      </c>
      <c r="K211" s="485" t="s">
        <v>1756</v>
      </c>
      <c r="L211" s="485" t="s">
        <v>1473</v>
      </c>
      <c r="M211" s="486" t="s">
        <v>1230</v>
      </c>
      <c r="N211" s="486" t="s">
        <v>1231</v>
      </c>
      <c r="O211" s="485" t="s">
        <v>1232</v>
      </c>
      <c r="P211" s="485" t="s">
        <v>1156</v>
      </c>
      <c r="Q211" s="487">
        <v>44012</v>
      </c>
      <c r="R211" s="487">
        <v>46203</v>
      </c>
      <c r="S211" s="488">
        <v>1</v>
      </c>
      <c r="T211" s="488">
        <v>0.2</v>
      </c>
      <c r="U211" s="489">
        <v>500000</v>
      </c>
      <c r="V211" s="489">
        <v>500000</v>
      </c>
      <c r="W211" s="489">
        <v>500000</v>
      </c>
      <c r="X211" s="489">
        <f t="shared" si="16"/>
        <v>0</v>
      </c>
      <c r="Y211" s="489">
        <f t="shared" si="17"/>
        <v>0</v>
      </c>
      <c r="Z211" s="489">
        <v>500000</v>
      </c>
      <c r="AA211" s="489">
        <v>500000</v>
      </c>
      <c r="AB211" s="489">
        <v>500000</v>
      </c>
      <c r="AC211" s="489">
        <f t="shared" si="18"/>
        <v>0</v>
      </c>
      <c r="AD211" s="489">
        <f t="shared" si="19"/>
        <v>0</v>
      </c>
      <c r="AE211" s="489">
        <v>0</v>
      </c>
      <c r="AF211" s="489">
        <v>0</v>
      </c>
      <c r="AG211" s="490" t="s">
        <v>1237</v>
      </c>
      <c r="AH211" s="490" t="s">
        <v>1236</v>
      </c>
      <c r="AI211" s="490"/>
      <c r="AJ211" s="490" t="s">
        <v>1259</v>
      </c>
      <c r="AK211" s="490" t="s">
        <v>1260</v>
      </c>
      <c r="AL211" s="49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row>
    <row r="212" spans="1:80" ht="18" customHeight="1" x14ac:dyDescent="0.25">
      <c r="A212" s="485">
        <f t="shared" si="15"/>
        <v>210</v>
      </c>
      <c r="B212" s="485" t="s">
        <v>3457</v>
      </c>
      <c r="C212" s="485">
        <v>1200000134</v>
      </c>
      <c r="D212" s="485" t="s">
        <v>4827</v>
      </c>
      <c r="E212" s="485" t="s">
        <v>1479</v>
      </c>
      <c r="F212" s="485" t="s">
        <v>2756</v>
      </c>
      <c r="G212" s="485" t="s">
        <v>2767</v>
      </c>
      <c r="H212" s="485" t="s">
        <v>2612</v>
      </c>
      <c r="I212" s="485" t="s">
        <v>3454</v>
      </c>
      <c r="J212" s="485" t="s">
        <v>3455</v>
      </c>
      <c r="K212" s="485" t="s">
        <v>1756</v>
      </c>
      <c r="L212" s="485" t="s">
        <v>1473</v>
      </c>
      <c r="M212" s="486" t="s">
        <v>1230</v>
      </c>
      <c r="N212" s="486" t="s">
        <v>1231</v>
      </c>
      <c r="O212" s="485" t="s">
        <v>1232</v>
      </c>
      <c r="P212" s="485" t="s">
        <v>1156</v>
      </c>
      <c r="Q212" s="487">
        <v>44012</v>
      </c>
      <c r="R212" s="487">
        <v>46203</v>
      </c>
      <c r="S212" s="488">
        <v>1</v>
      </c>
      <c r="T212" s="488">
        <v>0.2</v>
      </c>
      <c r="U212" s="489">
        <v>487998.51</v>
      </c>
      <c r="V212" s="489">
        <v>487998.51</v>
      </c>
      <c r="W212" s="489">
        <v>487998.51</v>
      </c>
      <c r="X212" s="489">
        <f t="shared" si="16"/>
        <v>0</v>
      </c>
      <c r="Y212" s="489">
        <f t="shared" si="17"/>
        <v>0</v>
      </c>
      <c r="Z212" s="489">
        <v>487998.51</v>
      </c>
      <c r="AA212" s="489">
        <v>487998.51</v>
      </c>
      <c r="AB212" s="489">
        <v>487998.51</v>
      </c>
      <c r="AC212" s="489">
        <f t="shared" si="18"/>
        <v>0</v>
      </c>
      <c r="AD212" s="489">
        <f t="shared" si="19"/>
        <v>0</v>
      </c>
      <c r="AE212" s="489">
        <v>0</v>
      </c>
      <c r="AF212" s="489">
        <v>0</v>
      </c>
      <c r="AG212" s="490" t="s">
        <v>1237</v>
      </c>
      <c r="AH212" s="490" t="s">
        <v>1236</v>
      </c>
      <c r="AI212" s="490"/>
      <c r="AJ212" s="490" t="s">
        <v>1259</v>
      </c>
      <c r="AK212" s="490" t="s">
        <v>1260</v>
      </c>
      <c r="AL212" s="491"/>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row>
    <row r="213" spans="1:80" ht="18" customHeight="1" x14ac:dyDescent="0.25">
      <c r="A213" s="485">
        <f t="shared" si="15"/>
        <v>211</v>
      </c>
      <c r="B213" s="485" t="s">
        <v>3458</v>
      </c>
      <c r="C213" s="485">
        <v>3200000120</v>
      </c>
      <c r="D213" s="485" t="s">
        <v>4828</v>
      </c>
      <c r="E213" s="485" t="s">
        <v>1355</v>
      </c>
      <c r="F213" s="485" t="s">
        <v>1355</v>
      </c>
      <c r="G213" s="485" t="s">
        <v>3050</v>
      </c>
      <c r="H213" s="485" t="s">
        <v>2572</v>
      </c>
      <c r="I213" s="485" t="s">
        <v>3051</v>
      </c>
      <c r="J213" s="485" t="s">
        <v>3052</v>
      </c>
      <c r="K213" s="485" t="s">
        <v>1756</v>
      </c>
      <c r="L213" s="485" t="s">
        <v>1473</v>
      </c>
      <c r="M213" s="486" t="s">
        <v>1230</v>
      </c>
      <c r="N213" s="486" t="s">
        <v>1231</v>
      </c>
      <c r="O213" s="485" t="s">
        <v>1232</v>
      </c>
      <c r="P213" s="485" t="s">
        <v>469</v>
      </c>
      <c r="Q213" s="487">
        <v>44019</v>
      </c>
      <c r="R213" s="487">
        <v>45302</v>
      </c>
      <c r="S213" s="488">
        <v>1</v>
      </c>
      <c r="T213" s="488">
        <v>0.2</v>
      </c>
      <c r="U213" s="489">
        <v>286400</v>
      </c>
      <c r="V213" s="489">
        <v>286400</v>
      </c>
      <c r="W213" s="489">
        <v>286400</v>
      </c>
      <c r="X213" s="489">
        <f t="shared" si="16"/>
        <v>0</v>
      </c>
      <c r="Y213" s="489">
        <f t="shared" si="17"/>
        <v>0</v>
      </c>
      <c r="Z213" s="489">
        <v>286400</v>
      </c>
      <c r="AA213" s="489">
        <v>286400</v>
      </c>
      <c r="AB213" s="489">
        <v>286400</v>
      </c>
      <c r="AC213" s="489">
        <f t="shared" si="18"/>
        <v>0</v>
      </c>
      <c r="AD213" s="489">
        <f t="shared" si="19"/>
        <v>0</v>
      </c>
      <c r="AE213" s="489">
        <v>0</v>
      </c>
      <c r="AF213" s="489">
        <v>0</v>
      </c>
      <c r="AG213" s="490" t="s">
        <v>1250</v>
      </c>
      <c r="AH213" s="490" t="s">
        <v>1291</v>
      </c>
      <c r="AI213" s="490" t="s">
        <v>1317</v>
      </c>
      <c r="AJ213" s="490" t="s">
        <v>1234</v>
      </c>
      <c r="AK213" s="490" t="s">
        <v>1240</v>
      </c>
      <c r="AL213" s="491"/>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row>
    <row r="214" spans="1:80" ht="18" customHeight="1" x14ac:dyDescent="0.25">
      <c r="A214" s="485">
        <f t="shared" si="15"/>
        <v>212</v>
      </c>
      <c r="B214" s="485" t="s">
        <v>3459</v>
      </c>
      <c r="C214" s="485">
        <v>1200000153</v>
      </c>
      <c r="D214" s="485" t="s">
        <v>4829</v>
      </c>
      <c r="E214" s="485" t="s">
        <v>1327</v>
      </c>
      <c r="F214" s="485" t="s">
        <v>199</v>
      </c>
      <c r="G214" s="485" t="s">
        <v>2980</v>
      </c>
      <c r="H214" s="485" t="s">
        <v>2564</v>
      </c>
      <c r="I214" s="485" t="s">
        <v>2981</v>
      </c>
      <c r="J214" s="485" t="s">
        <v>2982</v>
      </c>
      <c r="K214" s="485" t="s">
        <v>1756</v>
      </c>
      <c r="L214" s="485" t="s">
        <v>1473</v>
      </c>
      <c r="M214" s="486" t="s">
        <v>1230</v>
      </c>
      <c r="N214" s="486" t="s">
        <v>1231</v>
      </c>
      <c r="O214" s="485" t="s">
        <v>1232</v>
      </c>
      <c r="P214" s="485" t="s">
        <v>1156</v>
      </c>
      <c r="Q214" s="487">
        <v>44025</v>
      </c>
      <c r="R214" s="487">
        <v>46216</v>
      </c>
      <c r="S214" s="488">
        <v>1</v>
      </c>
      <c r="T214" s="488">
        <v>0.2</v>
      </c>
      <c r="U214" s="489">
        <v>2777237.53</v>
      </c>
      <c r="V214" s="489">
        <v>2777237.53</v>
      </c>
      <c r="W214" s="489">
        <v>2777237.53</v>
      </c>
      <c r="X214" s="489">
        <f t="shared" si="16"/>
        <v>0</v>
      </c>
      <c r="Y214" s="489">
        <f t="shared" si="17"/>
        <v>0</v>
      </c>
      <c r="Z214" s="489">
        <v>1640373</v>
      </c>
      <c r="AA214" s="489">
        <v>2324675</v>
      </c>
      <c r="AB214" s="489">
        <v>2324675</v>
      </c>
      <c r="AC214" s="489">
        <f t="shared" si="18"/>
        <v>684302</v>
      </c>
      <c r="AD214" s="489">
        <f t="shared" si="19"/>
        <v>0</v>
      </c>
      <c r="AE214" s="489">
        <v>452562.53</v>
      </c>
      <c r="AF214" s="489">
        <v>0</v>
      </c>
      <c r="AG214" s="490" t="s">
        <v>1237</v>
      </c>
      <c r="AH214" s="490" t="s">
        <v>1236</v>
      </c>
      <c r="AI214" s="490"/>
      <c r="AJ214" s="490" t="s">
        <v>1259</v>
      </c>
      <c r="AK214" s="490" t="s">
        <v>1240</v>
      </c>
      <c r="AL214" s="491"/>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row>
    <row r="215" spans="1:80" ht="18" customHeight="1" x14ac:dyDescent="0.25">
      <c r="A215" s="485">
        <f t="shared" si="15"/>
        <v>213</v>
      </c>
      <c r="B215" s="485" t="s">
        <v>3460</v>
      </c>
      <c r="C215" s="485">
        <v>1200000154</v>
      </c>
      <c r="D215" s="485" t="s">
        <v>4830</v>
      </c>
      <c r="E215" s="485" t="s">
        <v>1327</v>
      </c>
      <c r="F215" s="485" t="s">
        <v>199</v>
      </c>
      <c r="G215" s="485" t="s">
        <v>2980</v>
      </c>
      <c r="H215" s="485" t="s">
        <v>2564</v>
      </c>
      <c r="I215" s="485" t="s">
        <v>2981</v>
      </c>
      <c r="J215" s="485" t="s">
        <v>2982</v>
      </c>
      <c r="K215" s="485" t="s">
        <v>1756</v>
      </c>
      <c r="L215" s="485" t="s">
        <v>1473</v>
      </c>
      <c r="M215" s="486" t="s">
        <v>1230</v>
      </c>
      <c r="N215" s="486" t="s">
        <v>1231</v>
      </c>
      <c r="O215" s="485" t="s">
        <v>1232</v>
      </c>
      <c r="P215" s="485" t="s">
        <v>1156</v>
      </c>
      <c r="Q215" s="487">
        <v>44025</v>
      </c>
      <c r="R215" s="487">
        <v>46216</v>
      </c>
      <c r="S215" s="488">
        <v>1</v>
      </c>
      <c r="T215" s="488">
        <v>0.2</v>
      </c>
      <c r="U215" s="489">
        <v>2212742.4700000002</v>
      </c>
      <c r="V215" s="489">
        <v>2212742.4700000002</v>
      </c>
      <c r="W215" s="489">
        <v>2212742.4700000002</v>
      </c>
      <c r="X215" s="489">
        <f t="shared" si="16"/>
        <v>0</v>
      </c>
      <c r="Y215" s="489">
        <f t="shared" si="17"/>
        <v>0</v>
      </c>
      <c r="Z215" s="489">
        <v>2202457.79</v>
      </c>
      <c r="AA215" s="489">
        <v>2202457.79</v>
      </c>
      <c r="AB215" s="489">
        <v>2202457.79</v>
      </c>
      <c r="AC215" s="489">
        <f t="shared" si="18"/>
        <v>0</v>
      </c>
      <c r="AD215" s="489">
        <f t="shared" si="19"/>
        <v>0</v>
      </c>
      <c r="AE215" s="489">
        <v>10284.68</v>
      </c>
      <c r="AF215" s="489">
        <v>0</v>
      </c>
      <c r="AG215" s="490" t="s">
        <v>1237</v>
      </c>
      <c r="AH215" s="490" t="s">
        <v>1236</v>
      </c>
      <c r="AI215" s="490"/>
      <c r="AJ215" s="490" t="s">
        <v>1259</v>
      </c>
      <c r="AK215" s="490" t="s">
        <v>1240</v>
      </c>
      <c r="AL215" s="491"/>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row>
    <row r="216" spans="1:80" ht="18" customHeight="1" x14ac:dyDescent="0.25">
      <c r="A216" s="485">
        <f t="shared" si="15"/>
        <v>214</v>
      </c>
      <c r="B216" s="485" t="s">
        <v>4831</v>
      </c>
      <c r="C216" s="485">
        <v>2200000181</v>
      </c>
      <c r="D216" s="485" t="s">
        <v>4832</v>
      </c>
      <c r="E216" s="485" t="s">
        <v>1316</v>
      </c>
      <c r="F216" s="485" t="s">
        <v>1315</v>
      </c>
      <c r="G216" s="485" t="s">
        <v>2954</v>
      </c>
      <c r="H216" s="485" t="s">
        <v>2560</v>
      </c>
      <c r="I216" s="485" t="s">
        <v>2955</v>
      </c>
      <c r="J216" s="485" t="s">
        <v>2956</v>
      </c>
      <c r="K216" s="485" t="s">
        <v>1756</v>
      </c>
      <c r="L216" s="485" t="s">
        <v>1473</v>
      </c>
      <c r="M216" s="486" t="s">
        <v>1230</v>
      </c>
      <c r="N216" s="486" t="s">
        <v>1231</v>
      </c>
      <c r="O216" s="485" t="s">
        <v>1231</v>
      </c>
      <c r="P216" s="485" t="s">
        <v>469</v>
      </c>
      <c r="Q216" s="487">
        <v>44033</v>
      </c>
      <c r="R216" s="487">
        <v>44963</v>
      </c>
      <c r="S216" s="488">
        <v>1.5</v>
      </c>
      <c r="T216" s="488">
        <v>0.3</v>
      </c>
      <c r="U216" s="489">
        <v>250150</v>
      </c>
      <c r="V216" s="489">
        <v>250150</v>
      </c>
      <c r="W216" s="489">
        <v>250150</v>
      </c>
      <c r="X216" s="489">
        <f t="shared" si="16"/>
        <v>0</v>
      </c>
      <c r="Y216" s="489">
        <f t="shared" si="17"/>
        <v>0</v>
      </c>
      <c r="Z216" s="489">
        <v>250150</v>
      </c>
      <c r="AA216" s="489">
        <v>250150</v>
      </c>
      <c r="AB216" s="489">
        <v>250150</v>
      </c>
      <c r="AC216" s="489">
        <f t="shared" si="18"/>
        <v>0</v>
      </c>
      <c r="AD216" s="489">
        <f t="shared" si="19"/>
        <v>0</v>
      </c>
      <c r="AE216" s="489">
        <v>0</v>
      </c>
      <c r="AF216" s="489">
        <v>0</v>
      </c>
      <c r="AG216" s="490" t="s">
        <v>1245</v>
      </c>
      <c r="AH216" s="490" t="s">
        <v>1247</v>
      </c>
      <c r="AI216" s="490" t="s">
        <v>1248</v>
      </c>
      <c r="AJ216" s="490" t="s">
        <v>1246</v>
      </c>
      <c r="AK216" s="490" t="s">
        <v>1235</v>
      </c>
      <c r="AL216" s="491"/>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row>
    <row r="217" spans="1:80" ht="18" customHeight="1" x14ac:dyDescent="0.25">
      <c r="A217" s="492">
        <f t="shared" si="15"/>
        <v>215</v>
      </c>
      <c r="B217" s="492" t="s">
        <v>3463</v>
      </c>
      <c r="C217" s="492">
        <v>1100000006</v>
      </c>
      <c r="D217" s="492" t="s">
        <v>4833</v>
      </c>
      <c r="E217" s="492" t="s">
        <v>1044</v>
      </c>
      <c r="F217" s="492" t="s">
        <v>3462</v>
      </c>
      <c r="G217" s="492" t="s">
        <v>1062</v>
      </c>
      <c r="H217" s="492" t="s">
        <v>3462</v>
      </c>
      <c r="I217" s="492" t="s">
        <v>1062</v>
      </c>
      <c r="J217" s="492" t="s">
        <v>3461</v>
      </c>
      <c r="K217" s="492" t="s">
        <v>1281</v>
      </c>
      <c r="L217" s="492" t="s">
        <v>2783</v>
      </c>
      <c r="M217" s="493" t="s">
        <v>1230</v>
      </c>
      <c r="N217" s="493" t="s">
        <v>1232</v>
      </c>
      <c r="O217" s="492" t="s">
        <v>1232</v>
      </c>
      <c r="P217" s="492" t="s">
        <v>1156</v>
      </c>
      <c r="Q217" s="494">
        <v>44035</v>
      </c>
      <c r="R217" s="494">
        <v>44767</v>
      </c>
      <c r="S217" s="498">
        <v>1</v>
      </c>
      <c r="T217" s="498"/>
      <c r="U217" s="496">
        <v>4000000</v>
      </c>
      <c r="V217" s="496">
        <v>4000000</v>
      </c>
      <c r="W217" s="496">
        <v>4000000</v>
      </c>
      <c r="X217" s="496">
        <f t="shared" si="16"/>
        <v>0</v>
      </c>
      <c r="Y217" s="496">
        <f t="shared" si="17"/>
        <v>0</v>
      </c>
      <c r="Z217" s="496">
        <v>3922008.82</v>
      </c>
      <c r="AA217" s="496">
        <v>3922008.82</v>
      </c>
      <c r="AB217" s="496">
        <v>3940966.62</v>
      </c>
      <c r="AC217" s="496">
        <f t="shared" si="18"/>
        <v>18957.800000000279</v>
      </c>
      <c r="AD217" s="496">
        <f t="shared" si="19"/>
        <v>18957.800000000279</v>
      </c>
      <c r="AE217" s="496">
        <v>59033.38</v>
      </c>
      <c r="AF217" s="496">
        <v>0</v>
      </c>
      <c r="AG217" s="497" t="s">
        <v>1237</v>
      </c>
      <c r="AH217" s="497" t="s">
        <v>1888</v>
      </c>
      <c r="AI217" s="497" t="s">
        <v>1321</v>
      </c>
      <c r="AJ217" s="497" t="s">
        <v>1279</v>
      </c>
      <c r="AK217" s="497" t="s">
        <v>1260</v>
      </c>
      <c r="AL217" s="491"/>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row>
    <row r="218" spans="1:80" ht="18" customHeight="1" x14ac:dyDescent="0.25">
      <c r="A218" s="492">
        <f t="shared" si="15"/>
        <v>216</v>
      </c>
      <c r="B218" s="492" t="s">
        <v>3465</v>
      </c>
      <c r="C218" s="492">
        <v>1200000157</v>
      </c>
      <c r="D218" s="492" t="s">
        <v>4834</v>
      </c>
      <c r="E218" s="492" t="s">
        <v>1038</v>
      </c>
      <c r="F218" s="492" t="s">
        <v>994</v>
      </c>
      <c r="G218" s="492" t="s">
        <v>1061</v>
      </c>
      <c r="H218" s="492" t="s">
        <v>994</v>
      </c>
      <c r="I218" s="492" t="s">
        <v>1061</v>
      </c>
      <c r="J218" s="492" t="s">
        <v>3464</v>
      </c>
      <c r="K218" s="492" t="s">
        <v>1756</v>
      </c>
      <c r="L218" s="492" t="s">
        <v>1473</v>
      </c>
      <c r="M218" s="493" t="s">
        <v>1230</v>
      </c>
      <c r="N218" s="493" t="s">
        <v>1232</v>
      </c>
      <c r="O218" s="492" t="s">
        <v>1232</v>
      </c>
      <c r="P218" s="492" t="s">
        <v>1156</v>
      </c>
      <c r="Q218" s="494">
        <v>44043</v>
      </c>
      <c r="R218" s="494">
        <v>45869</v>
      </c>
      <c r="S218" s="498">
        <v>1</v>
      </c>
      <c r="T218" s="498">
        <v>0.2</v>
      </c>
      <c r="U218" s="496">
        <v>1932432.43</v>
      </c>
      <c r="V218" s="496">
        <v>1932432.43</v>
      </c>
      <c r="W218" s="496">
        <v>1882882.88</v>
      </c>
      <c r="X218" s="496">
        <f t="shared" si="16"/>
        <v>-49549.550000000047</v>
      </c>
      <c r="Y218" s="496">
        <f t="shared" si="17"/>
        <v>-49549.550000000047</v>
      </c>
      <c r="Z218" s="496">
        <v>1932432.43</v>
      </c>
      <c r="AA218" s="496">
        <v>1932432.43</v>
      </c>
      <c r="AB218" s="496">
        <v>1882882.88</v>
      </c>
      <c r="AC218" s="496">
        <f t="shared" si="18"/>
        <v>-49549.550000000047</v>
      </c>
      <c r="AD218" s="496">
        <f t="shared" si="19"/>
        <v>-49549.550000000047</v>
      </c>
      <c r="AE218" s="496">
        <v>0</v>
      </c>
      <c r="AF218" s="496">
        <v>0</v>
      </c>
      <c r="AG218" s="497" t="s">
        <v>1237</v>
      </c>
      <c r="AH218" s="497" t="s">
        <v>1254</v>
      </c>
      <c r="AI218" s="497"/>
      <c r="AJ218" s="497" t="s">
        <v>1253</v>
      </c>
      <c r="AK218" s="497" t="s">
        <v>1260</v>
      </c>
      <c r="AL218" s="491"/>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row>
    <row r="219" spans="1:80" ht="18" customHeight="1" x14ac:dyDescent="0.25">
      <c r="A219" s="486">
        <f t="shared" si="15"/>
        <v>217</v>
      </c>
      <c r="B219" s="486" t="s">
        <v>3468</v>
      </c>
      <c r="C219" s="486">
        <v>1200000002</v>
      </c>
      <c r="D219" s="486" t="s">
        <v>4835</v>
      </c>
      <c r="E219" s="486" t="s">
        <v>1039</v>
      </c>
      <c r="F219" s="486" t="s">
        <v>3467</v>
      </c>
      <c r="G219" s="486" t="s">
        <v>1112</v>
      </c>
      <c r="H219" s="485" t="s">
        <v>3467</v>
      </c>
      <c r="I219" s="486" t="s">
        <v>1112</v>
      </c>
      <c r="J219" s="486" t="s">
        <v>3466</v>
      </c>
      <c r="K219" s="486" t="s">
        <v>1756</v>
      </c>
      <c r="L219" s="486" t="s">
        <v>1473</v>
      </c>
      <c r="M219" s="486" t="s">
        <v>1230</v>
      </c>
      <c r="N219" s="486" t="s">
        <v>1231</v>
      </c>
      <c r="O219" s="486" t="s">
        <v>1232</v>
      </c>
      <c r="P219" s="486" t="s">
        <v>1156</v>
      </c>
      <c r="Q219" s="487">
        <v>44043</v>
      </c>
      <c r="R219" s="487">
        <v>45138</v>
      </c>
      <c r="S219" s="488">
        <v>1</v>
      </c>
      <c r="T219" s="488">
        <v>0.2</v>
      </c>
      <c r="U219" s="489">
        <v>15000000</v>
      </c>
      <c r="V219" s="489">
        <v>15000000</v>
      </c>
      <c r="W219" s="489">
        <v>15000000</v>
      </c>
      <c r="X219" s="489">
        <f t="shared" si="16"/>
        <v>0</v>
      </c>
      <c r="Y219" s="489">
        <f t="shared" si="17"/>
        <v>0</v>
      </c>
      <c r="Z219" s="489">
        <v>15000000</v>
      </c>
      <c r="AA219" s="489">
        <v>15000000</v>
      </c>
      <c r="AB219" s="489">
        <v>15000000</v>
      </c>
      <c r="AC219" s="489">
        <f t="shared" si="18"/>
        <v>0</v>
      </c>
      <c r="AD219" s="489">
        <f t="shared" si="19"/>
        <v>0</v>
      </c>
      <c r="AE219" s="489">
        <v>0</v>
      </c>
      <c r="AF219" s="489">
        <v>0</v>
      </c>
      <c r="AG219" s="490" t="s">
        <v>1237</v>
      </c>
      <c r="AH219" s="490" t="s">
        <v>1236</v>
      </c>
      <c r="AI219" s="490"/>
      <c r="AJ219" s="490" t="s">
        <v>1259</v>
      </c>
      <c r="AK219" s="518" t="s">
        <v>1260</v>
      </c>
      <c r="AL219" s="491"/>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row>
    <row r="220" spans="1:80" ht="18" customHeight="1" x14ac:dyDescent="0.25">
      <c r="A220" s="486">
        <f t="shared" si="15"/>
        <v>218</v>
      </c>
      <c r="B220" s="486" t="s">
        <v>3469</v>
      </c>
      <c r="C220" s="486">
        <v>1100000225</v>
      </c>
      <c r="D220" s="486" t="s">
        <v>4836</v>
      </c>
      <c r="E220" s="486" t="s">
        <v>1039</v>
      </c>
      <c r="F220" s="486" t="s">
        <v>3467</v>
      </c>
      <c r="G220" s="486" t="s">
        <v>1112</v>
      </c>
      <c r="H220" s="485" t="s">
        <v>3467</v>
      </c>
      <c r="I220" s="486" t="s">
        <v>1112</v>
      </c>
      <c r="J220" s="486" t="s">
        <v>3466</v>
      </c>
      <c r="K220" s="486" t="s">
        <v>1756</v>
      </c>
      <c r="L220" s="486" t="s">
        <v>2783</v>
      </c>
      <c r="M220" s="486" t="s">
        <v>1230</v>
      </c>
      <c r="N220" s="486" t="s">
        <v>1231</v>
      </c>
      <c r="O220" s="486" t="s">
        <v>1232</v>
      </c>
      <c r="P220" s="486" t="s">
        <v>1156</v>
      </c>
      <c r="Q220" s="487">
        <v>44043</v>
      </c>
      <c r="R220" s="487">
        <v>45138</v>
      </c>
      <c r="S220" s="488">
        <v>1</v>
      </c>
      <c r="T220" s="488"/>
      <c r="U220" s="489">
        <v>15000000</v>
      </c>
      <c r="V220" s="489">
        <v>15000000</v>
      </c>
      <c r="W220" s="489">
        <v>15000000</v>
      </c>
      <c r="X220" s="489">
        <f t="shared" si="16"/>
        <v>0</v>
      </c>
      <c r="Y220" s="489">
        <f t="shared" si="17"/>
        <v>0</v>
      </c>
      <c r="Z220" s="489">
        <v>15000000</v>
      </c>
      <c r="AA220" s="489">
        <v>15000000</v>
      </c>
      <c r="AB220" s="489">
        <v>15000000</v>
      </c>
      <c r="AC220" s="489">
        <f t="shared" si="18"/>
        <v>0</v>
      </c>
      <c r="AD220" s="489">
        <f t="shared" si="19"/>
        <v>0</v>
      </c>
      <c r="AE220" s="489">
        <v>0</v>
      </c>
      <c r="AF220" s="489">
        <v>0</v>
      </c>
      <c r="AG220" s="490" t="s">
        <v>1237</v>
      </c>
      <c r="AH220" s="490" t="s">
        <v>1236</v>
      </c>
      <c r="AI220" s="490"/>
      <c r="AJ220" s="490" t="s">
        <v>1259</v>
      </c>
      <c r="AK220" s="490" t="s">
        <v>1260</v>
      </c>
      <c r="AL220" s="491"/>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row>
    <row r="221" spans="1:80" ht="18" customHeight="1" x14ac:dyDescent="0.25">
      <c r="A221" s="492">
        <f t="shared" si="15"/>
        <v>219</v>
      </c>
      <c r="B221" s="492" t="s">
        <v>3472</v>
      </c>
      <c r="C221" s="492">
        <v>4100000022</v>
      </c>
      <c r="D221" s="492" t="s">
        <v>4837</v>
      </c>
      <c r="E221" s="492" t="s">
        <v>1483</v>
      </c>
      <c r="F221" s="492" t="s">
        <v>2613</v>
      </c>
      <c r="G221" s="492" t="s">
        <v>3470</v>
      </c>
      <c r="H221" s="492" t="s">
        <v>2613</v>
      </c>
      <c r="I221" s="492" t="s">
        <v>3470</v>
      </c>
      <c r="J221" s="492" t="s">
        <v>3471</v>
      </c>
      <c r="K221" s="492" t="s">
        <v>1756</v>
      </c>
      <c r="L221" s="492" t="s">
        <v>2783</v>
      </c>
      <c r="M221" s="493" t="s">
        <v>1230</v>
      </c>
      <c r="N221" s="493" t="s">
        <v>1232</v>
      </c>
      <c r="O221" s="492" t="s">
        <v>1232</v>
      </c>
      <c r="P221" s="492" t="s">
        <v>469</v>
      </c>
      <c r="Q221" s="494">
        <v>44043</v>
      </c>
      <c r="R221" s="494">
        <v>45504</v>
      </c>
      <c r="S221" s="498">
        <v>1</v>
      </c>
      <c r="T221" s="498"/>
      <c r="U221" s="496">
        <v>547000</v>
      </c>
      <c r="V221" s="496">
        <v>547000</v>
      </c>
      <c r="W221" s="496">
        <v>547000</v>
      </c>
      <c r="X221" s="496">
        <f t="shared" si="16"/>
        <v>0</v>
      </c>
      <c r="Y221" s="496">
        <f t="shared" si="17"/>
        <v>0</v>
      </c>
      <c r="Z221" s="496">
        <v>547000</v>
      </c>
      <c r="AA221" s="496">
        <v>547000</v>
      </c>
      <c r="AB221" s="496">
        <v>547000</v>
      </c>
      <c r="AC221" s="496">
        <f t="shared" si="18"/>
        <v>0</v>
      </c>
      <c r="AD221" s="496">
        <f t="shared" si="19"/>
        <v>0</v>
      </c>
      <c r="AE221" s="496">
        <v>0</v>
      </c>
      <c r="AF221" s="496">
        <v>0</v>
      </c>
      <c r="AG221" s="497" t="s">
        <v>1250</v>
      </c>
      <c r="AH221" s="497" t="s">
        <v>1291</v>
      </c>
      <c r="AI221" s="497" t="s">
        <v>1292</v>
      </c>
      <c r="AJ221" s="497" t="s">
        <v>1234</v>
      </c>
      <c r="AK221" s="497" t="s">
        <v>1240</v>
      </c>
      <c r="AL221" s="49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c r="BV221"/>
      <c r="BW221"/>
      <c r="BX221"/>
      <c r="BY221"/>
      <c r="BZ221"/>
      <c r="CA221"/>
      <c r="CB221"/>
    </row>
    <row r="222" spans="1:80" ht="18" customHeight="1" x14ac:dyDescent="0.25">
      <c r="A222" s="485">
        <f t="shared" si="15"/>
        <v>220</v>
      </c>
      <c r="B222" s="485" t="s">
        <v>3482</v>
      </c>
      <c r="C222" s="485">
        <v>1100000009</v>
      </c>
      <c r="D222" s="485" t="s">
        <v>4838</v>
      </c>
      <c r="E222" s="485" t="s">
        <v>3480</v>
      </c>
      <c r="F222" s="485" t="s">
        <v>3481</v>
      </c>
      <c r="G222" s="485" t="s">
        <v>1120</v>
      </c>
      <c r="H222" s="485" t="s">
        <v>2615</v>
      </c>
      <c r="I222" s="485" t="s">
        <v>3478</v>
      </c>
      <c r="J222" s="485" t="s">
        <v>3479</v>
      </c>
      <c r="K222" s="485" t="s">
        <v>1281</v>
      </c>
      <c r="L222" s="485" t="s">
        <v>2783</v>
      </c>
      <c r="M222" s="486" t="s">
        <v>1230</v>
      </c>
      <c r="N222" s="486" t="s">
        <v>1231</v>
      </c>
      <c r="O222" s="486" t="s">
        <v>1232</v>
      </c>
      <c r="P222" s="485" t="s">
        <v>1156</v>
      </c>
      <c r="Q222" s="487">
        <v>44043</v>
      </c>
      <c r="R222" s="487">
        <v>45138</v>
      </c>
      <c r="S222" s="488">
        <v>1</v>
      </c>
      <c r="T222" s="488"/>
      <c r="U222" s="489">
        <v>30000000</v>
      </c>
      <c r="V222" s="489">
        <v>30000000</v>
      </c>
      <c r="W222" s="489">
        <v>30000000</v>
      </c>
      <c r="X222" s="489">
        <f t="shared" si="16"/>
        <v>0</v>
      </c>
      <c r="Y222" s="489">
        <f t="shared" si="17"/>
        <v>0</v>
      </c>
      <c r="Z222" s="489">
        <v>10976193.800000001</v>
      </c>
      <c r="AA222" s="489">
        <v>9889943.8000000007</v>
      </c>
      <c r="AB222" s="489">
        <v>14131443.800000001</v>
      </c>
      <c r="AC222" s="489">
        <f t="shared" si="18"/>
        <v>3155250</v>
      </c>
      <c r="AD222" s="489">
        <f t="shared" si="19"/>
        <v>4241500</v>
      </c>
      <c r="AE222" s="489">
        <v>0</v>
      </c>
      <c r="AF222" s="489">
        <v>15868556.199999999</v>
      </c>
      <c r="AG222" s="490" t="s">
        <v>1237</v>
      </c>
      <c r="AH222" s="490" t="s">
        <v>1485</v>
      </c>
      <c r="AI222" s="490"/>
      <c r="AJ222" s="490" t="s">
        <v>1279</v>
      </c>
      <c r="AK222" s="490" t="s">
        <v>1260</v>
      </c>
      <c r="AL222" s="491"/>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row>
    <row r="223" spans="1:80" ht="18" customHeight="1" x14ac:dyDescent="0.25">
      <c r="A223" s="493">
        <f t="shared" si="15"/>
        <v>221</v>
      </c>
      <c r="B223" s="493" t="s">
        <v>3486</v>
      </c>
      <c r="C223" s="493">
        <v>5200000005</v>
      </c>
      <c r="D223" s="493" t="s">
        <v>4839</v>
      </c>
      <c r="E223" s="493" t="s">
        <v>3485</v>
      </c>
      <c r="F223" s="493" t="s">
        <v>1486</v>
      </c>
      <c r="G223" s="493" t="s">
        <v>3483</v>
      </c>
      <c r="H223" s="493" t="s">
        <v>1486</v>
      </c>
      <c r="I223" s="493" t="s">
        <v>3483</v>
      </c>
      <c r="J223" s="493" t="s">
        <v>3484</v>
      </c>
      <c r="K223" s="492" t="s">
        <v>1756</v>
      </c>
      <c r="L223" s="493" t="s">
        <v>1473</v>
      </c>
      <c r="M223" s="493" t="s">
        <v>1230</v>
      </c>
      <c r="N223" s="493" t="s">
        <v>1232</v>
      </c>
      <c r="O223" s="492" t="s">
        <v>1232</v>
      </c>
      <c r="P223" s="492" t="s">
        <v>469</v>
      </c>
      <c r="Q223" s="494">
        <v>44049</v>
      </c>
      <c r="R223" s="494">
        <v>44781</v>
      </c>
      <c r="S223" s="498">
        <v>1</v>
      </c>
      <c r="T223" s="498">
        <v>0.2</v>
      </c>
      <c r="U223" s="496">
        <v>253477.24</v>
      </c>
      <c r="V223" s="496">
        <v>253477.24</v>
      </c>
      <c r="W223" s="496">
        <v>253477.24</v>
      </c>
      <c r="X223" s="496">
        <f t="shared" si="16"/>
        <v>0</v>
      </c>
      <c r="Y223" s="496">
        <f t="shared" si="17"/>
        <v>0</v>
      </c>
      <c r="Z223" s="496">
        <v>253477.24</v>
      </c>
      <c r="AA223" s="496">
        <v>253477.24</v>
      </c>
      <c r="AB223" s="496">
        <v>253477.24</v>
      </c>
      <c r="AC223" s="496">
        <f t="shared" si="18"/>
        <v>0</v>
      </c>
      <c r="AD223" s="496">
        <f t="shared" si="19"/>
        <v>0</v>
      </c>
      <c r="AE223" s="496">
        <v>0</v>
      </c>
      <c r="AF223" s="496">
        <v>0</v>
      </c>
      <c r="AG223" s="497" t="s">
        <v>1288</v>
      </c>
      <c r="AH223" s="497" t="s">
        <v>1252</v>
      </c>
      <c r="AI223" s="497" t="s">
        <v>1248</v>
      </c>
      <c r="AJ223" s="497" t="s">
        <v>1234</v>
      </c>
      <c r="AK223" s="497" t="s">
        <v>1278</v>
      </c>
      <c r="AL223" s="491"/>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row>
    <row r="224" spans="1:80" ht="18" customHeight="1" x14ac:dyDescent="0.25">
      <c r="A224" s="485">
        <f t="shared" si="15"/>
        <v>222</v>
      </c>
      <c r="B224" s="485" t="s">
        <v>3487</v>
      </c>
      <c r="C224" s="485">
        <v>3200000108</v>
      </c>
      <c r="D224" s="485" t="s">
        <v>4840</v>
      </c>
      <c r="E224" s="485" t="s">
        <v>1411</v>
      </c>
      <c r="F224" s="485" t="s">
        <v>3222</v>
      </c>
      <c r="G224" s="485" t="s">
        <v>3220</v>
      </c>
      <c r="H224" s="485" t="s">
        <v>2591</v>
      </c>
      <c r="I224" s="485" t="s">
        <v>3216</v>
      </c>
      <c r="J224" s="485" t="s">
        <v>3221</v>
      </c>
      <c r="K224" s="485" t="s">
        <v>1756</v>
      </c>
      <c r="L224" s="485" t="s">
        <v>1473</v>
      </c>
      <c r="M224" s="486" t="s">
        <v>1230</v>
      </c>
      <c r="N224" s="486" t="s">
        <v>1231</v>
      </c>
      <c r="O224" s="485" t="s">
        <v>1232</v>
      </c>
      <c r="P224" s="485" t="s">
        <v>469</v>
      </c>
      <c r="Q224" s="487">
        <v>44054</v>
      </c>
      <c r="R224" s="487">
        <v>45576</v>
      </c>
      <c r="S224" s="488">
        <v>0.35</v>
      </c>
      <c r="T224" s="488">
        <v>7.0000000000000007E-2</v>
      </c>
      <c r="U224" s="489">
        <v>82200</v>
      </c>
      <c r="V224" s="489">
        <v>82200</v>
      </c>
      <c r="W224" s="489">
        <v>82200</v>
      </c>
      <c r="X224" s="489">
        <f t="shared" si="16"/>
        <v>0</v>
      </c>
      <c r="Y224" s="489">
        <f t="shared" si="17"/>
        <v>0</v>
      </c>
      <c r="Z224" s="489">
        <v>82200</v>
      </c>
      <c r="AA224" s="489">
        <v>82200</v>
      </c>
      <c r="AB224" s="489">
        <v>82200</v>
      </c>
      <c r="AC224" s="489">
        <f t="shared" si="18"/>
        <v>0</v>
      </c>
      <c r="AD224" s="489">
        <f t="shared" si="19"/>
        <v>0</v>
      </c>
      <c r="AE224" s="489">
        <v>0</v>
      </c>
      <c r="AF224" s="489">
        <v>0</v>
      </c>
      <c r="AG224" s="490" t="s">
        <v>1250</v>
      </c>
      <c r="AH224" s="490" t="s">
        <v>1252</v>
      </c>
      <c r="AI224" s="490" t="s">
        <v>1269</v>
      </c>
      <c r="AJ224" s="490" t="s">
        <v>1234</v>
      </c>
      <c r="AK224" s="490" t="s">
        <v>1251</v>
      </c>
      <c r="AL224" s="491"/>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row>
    <row r="225" spans="1:80" ht="18" customHeight="1" x14ac:dyDescent="0.25">
      <c r="A225" s="485">
        <f t="shared" si="15"/>
        <v>223</v>
      </c>
      <c r="B225" s="485" t="s">
        <v>3488</v>
      </c>
      <c r="C225" s="485">
        <v>3100000107</v>
      </c>
      <c r="D225" s="485" t="s">
        <v>4841</v>
      </c>
      <c r="E225" s="485" t="s">
        <v>1436</v>
      </c>
      <c r="F225" s="485" t="s">
        <v>1435</v>
      </c>
      <c r="G225" s="485" t="s">
        <v>3320</v>
      </c>
      <c r="H225" s="485" t="s">
        <v>2541</v>
      </c>
      <c r="I225" s="485" t="s">
        <v>2805</v>
      </c>
      <c r="J225" s="485" t="s">
        <v>3321</v>
      </c>
      <c r="K225" s="485" t="s">
        <v>1756</v>
      </c>
      <c r="L225" s="485" t="s">
        <v>2783</v>
      </c>
      <c r="M225" s="486" t="s">
        <v>1307</v>
      </c>
      <c r="N225" s="486" t="s">
        <v>1231</v>
      </c>
      <c r="O225" s="485" t="s">
        <v>1232</v>
      </c>
      <c r="P225" s="485" t="s">
        <v>469</v>
      </c>
      <c r="Q225" s="487">
        <v>44060</v>
      </c>
      <c r="R225" s="487">
        <v>44733</v>
      </c>
      <c r="S225" s="488">
        <v>1.5</v>
      </c>
      <c r="T225" s="488"/>
      <c r="U225" s="489">
        <v>2020218</v>
      </c>
      <c r="V225" s="489">
        <v>2020218</v>
      </c>
      <c r="W225" s="489">
        <v>2020218</v>
      </c>
      <c r="X225" s="489">
        <f t="shared" si="16"/>
        <v>0</v>
      </c>
      <c r="Y225" s="489">
        <f t="shared" si="17"/>
        <v>0</v>
      </c>
      <c r="Z225" s="489">
        <v>2020218</v>
      </c>
      <c r="AA225" s="489">
        <v>2020218</v>
      </c>
      <c r="AB225" s="489">
        <v>2020218</v>
      </c>
      <c r="AC225" s="489">
        <f t="shared" si="18"/>
        <v>0</v>
      </c>
      <c r="AD225" s="489">
        <f t="shared" si="19"/>
        <v>0</v>
      </c>
      <c r="AE225" s="489">
        <v>0</v>
      </c>
      <c r="AF225" s="489">
        <v>0</v>
      </c>
      <c r="AG225" s="490" t="s">
        <v>1233</v>
      </c>
      <c r="AH225" s="490" t="s">
        <v>1247</v>
      </c>
      <c r="AI225" s="490" t="s">
        <v>1248</v>
      </c>
      <c r="AJ225" s="490" t="s">
        <v>1234</v>
      </c>
      <c r="AK225" s="490" t="s">
        <v>1235</v>
      </c>
      <c r="AL225" s="491"/>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row>
    <row r="226" spans="1:80" ht="18" customHeight="1" x14ac:dyDescent="0.25">
      <c r="A226" s="485">
        <f t="shared" si="15"/>
        <v>224</v>
      </c>
      <c r="B226" s="485" t="s">
        <v>3489</v>
      </c>
      <c r="C226" s="485">
        <v>3100000108</v>
      </c>
      <c r="D226" s="485" t="s">
        <v>4842</v>
      </c>
      <c r="E226" s="485" t="s">
        <v>1436</v>
      </c>
      <c r="F226" s="485" t="s">
        <v>1435</v>
      </c>
      <c r="G226" s="485" t="s">
        <v>3320</v>
      </c>
      <c r="H226" s="485" t="s">
        <v>2541</v>
      </c>
      <c r="I226" s="485" t="s">
        <v>2805</v>
      </c>
      <c r="J226" s="485" t="s">
        <v>3321</v>
      </c>
      <c r="K226" s="485" t="s">
        <v>1756</v>
      </c>
      <c r="L226" s="485" t="s">
        <v>2783</v>
      </c>
      <c r="M226" s="486" t="s">
        <v>1307</v>
      </c>
      <c r="N226" s="486" t="s">
        <v>1231</v>
      </c>
      <c r="O226" s="485" t="s">
        <v>1232</v>
      </c>
      <c r="P226" s="485" t="s">
        <v>469</v>
      </c>
      <c r="Q226" s="487">
        <v>44060</v>
      </c>
      <c r="R226" s="487">
        <v>44733</v>
      </c>
      <c r="S226" s="488">
        <v>1.5</v>
      </c>
      <c r="T226" s="488"/>
      <c r="U226" s="489">
        <v>2236834</v>
      </c>
      <c r="V226" s="489">
        <v>2236834</v>
      </c>
      <c r="W226" s="489">
        <v>2236834</v>
      </c>
      <c r="X226" s="489">
        <f t="shared" si="16"/>
        <v>0</v>
      </c>
      <c r="Y226" s="489">
        <f t="shared" si="17"/>
        <v>0</v>
      </c>
      <c r="Z226" s="489">
        <v>649493.63</v>
      </c>
      <c r="AA226" s="489">
        <v>653430.62</v>
      </c>
      <c r="AB226" s="489">
        <v>653430.62</v>
      </c>
      <c r="AC226" s="489">
        <f t="shared" si="18"/>
        <v>3936.9899999999907</v>
      </c>
      <c r="AD226" s="489">
        <f t="shared" si="19"/>
        <v>0</v>
      </c>
      <c r="AE226" s="489">
        <v>0</v>
      </c>
      <c r="AF226" s="489">
        <v>1583403.38</v>
      </c>
      <c r="AG226" s="490" t="s">
        <v>1233</v>
      </c>
      <c r="AH226" s="490" t="s">
        <v>1247</v>
      </c>
      <c r="AI226" s="490" t="s">
        <v>1248</v>
      </c>
      <c r="AJ226" s="490" t="s">
        <v>1234</v>
      </c>
      <c r="AK226" s="490" t="s">
        <v>1235</v>
      </c>
      <c r="AL226" s="491"/>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c r="BV226"/>
      <c r="BW226"/>
      <c r="BX226"/>
      <c r="BY226"/>
      <c r="BZ226"/>
      <c r="CA226"/>
      <c r="CB226"/>
    </row>
    <row r="227" spans="1:80" ht="18" customHeight="1" x14ac:dyDescent="0.25">
      <c r="A227" s="485">
        <f t="shared" si="15"/>
        <v>225</v>
      </c>
      <c r="B227" s="485" t="s">
        <v>3492</v>
      </c>
      <c r="C227" s="485">
        <v>4100000023</v>
      </c>
      <c r="D227" s="485" t="s">
        <v>4843</v>
      </c>
      <c r="E227" s="485" t="s">
        <v>1488</v>
      </c>
      <c r="F227" s="485" t="s">
        <v>1487</v>
      </c>
      <c r="G227" s="485" t="s">
        <v>3490</v>
      </c>
      <c r="H227" s="485" t="s">
        <v>2546</v>
      </c>
      <c r="I227" s="485" t="s">
        <v>2834</v>
      </c>
      <c r="J227" s="485" t="s">
        <v>3491</v>
      </c>
      <c r="K227" s="485" t="s">
        <v>1756</v>
      </c>
      <c r="L227" s="485" t="s">
        <v>2783</v>
      </c>
      <c r="M227" s="486" t="s">
        <v>1230</v>
      </c>
      <c r="N227" s="486" t="s">
        <v>1231</v>
      </c>
      <c r="O227" s="485" t="s">
        <v>1232</v>
      </c>
      <c r="P227" s="485" t="s">
        <v>469</v>
      </c>
      <c r="Q227" s="487">
        <v>44060</v>
      </c>
      <c r="R227" s="487">
        <v>45155</v>
      </c>
      <c r="S227" s="488">
        <v>1</v>
      </c>
      <c r="T227" s="488"/>
      <c r="U227" s="489">
        <v>5971500</v>
      </c>
      <c r="V227" s="489">
        <v>5971500</v>
      </c>
      <c r="W227" s="489">
        <v>5971500</v>
      </c>
      <c r="X227" s="489">
        <f t="shared" si="16"/>
        <v>0</v>
      </c>
      <c r="Y227" s="489">
        <f t="shared" si="17"/>
        <v>0</v>
      </c>
      <c r="Z227" s="489">
        <v>3209500</v>
      </c>
      <c r="AA227" s="489">
        <v>3209500</v>
      </c>
      <c r="AB227" s="489">
        <v>3209500</v>
      </c>
      <c r="AC227" s="489">
        <f t="shared" si="18"/>
        <v>0</v>
      </c>
      <c r="AD227" s="489">
        <f t="shared" si="19"/>
        <v>0</v>
      </c>
      <c r="AE227" s="489">
        <v>0</v>
      </c>
      <c r="AF227" s="489">
        <v>2762000</v>
      </c>
      <c r="AG227" s="490" t="s">
        <v>1250</v>
      </c>
      <c r="AH227" s="490" t="s">
        <v>1357</v>
      </c>
      <c r="AI227" s="490"/>
      <c r="AJ227" s="490" t="s">
        <v>1234</v>
      </c>
      <c r="AK227" s="490" t="s">
        <v>1240</v>
      </c>
      <c r="AL227" s="491"/>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row>
    <row r="228" spans="1:80" ht="18" customHeight="1" x14ac:dyDescent="0.25">
      <c r="A228" s="485">
        <f t="shared" si="15"/>
        <v>226</v>
      </c>
      <c r="B228" s="485" t="s">
        <v>3496</v>
      </c>
      <c r="C228" s="485">
        <v>1100000013</v>
      </c>
      <c r="D228" s="485" t="s">
        <v>4844</v>
      </c>
      <c r="E228" s="485" t="s">
        <v>3495</v>
      </c>
      <c r="F228" s="485" t="s">
        <v>1014</v>
      </c>
      <c r="G228" s="485" t="s">
        <v>1121</v>
      </c>
      <c r="H228" s="485" t="s">
        <v>2616</v>
      </c>
      <c r="I228" s="485" t="s">
        <v>3493</v>
      </c>
      <c r="J228" s="485" t="s">
        <v>3494</v>
      </c>
      <c r="K228" s="485" t="s">
        <v>1281</v>
      </c>
      <c r="L228" s="485" t="s">
        <v>2783</v>
      </c>
      <c r="M228" s="486" t="s">
        <v>1230</v>
      </c>
      <c r="N228" s="486" t="s">
        <v>1231</v>
      </c>
      <c r="O228" s="485" t="s">
        <v>1232</v>
      </c>
      <c r="P228" s="485" t="s">
        <v>1156</v>
      </c>
      <c r="Q228" s="487">
        <v>44062</v>
      </c>
      <c r="R228" s="487">
        <v>45159</v>
      </c>
      <c r="S228" s="488">
        <v>1</v>
      </c>
      <c r="T228" s="488"/>
      <c r="U228" s="489">
        <v>5000000</v>
      </c>
      <c r="V228" s="489">
        <v>5000000</v>
      </c>
      <c r="W228" s="489">
        <v>5000000</v>
      </c>
      <c r="X228" s="489">
        <f t="shared" si="16"/>
        <v>0</v>
      </c>
      <c r="Y228" s="489">
        <f t="shared" si="17"/>
        <v>0</v>
      </c>
      <c r="Z228" s="489">
        <v>0</v>
      </c>
      <c r="AA228" s="489">
        <v>0</v>
      </c>
      <c r="AB228" s="489">
        <v>0</v>
      </c>
      <c r="AC228" s="489">
        <f t="shared" si="18"/>
        <v>0</v>
      </c>
      <c r="AD228" s="489">
        <f t="shared" si="19"/>
        <v>0</v>
      </c>
      <c r="AE228" s="489">
        <v>0</v>
      </c>
      <c r="AF228" s="489">
        <v>5000000</v>
      </c>
      <c r="AG228" s="490" t="s">
        <v>1237</v>
      </c>
      <c r="AH228" s="490" t="s">
        <v>1888</v>
      </c>
      <c r="AI228" s="490" t="s">
        <v>1321</v>
      </c>
      <c r="AJ228" s="490" t="s">
        <v>1279</v>
      </c>
      <c r="AK228" s="490" t="s">
        <v>1260</v>
      </c>
      <c r="AL228" s="515"/>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row>
    <row r="229" spans="1:80" ht="18" customHeight="1" x14ac:dyDescent="0.25">
      <c r="A229" s="485">
        <f t="shared" si="15"/>
        <v>227</v>
      </c>
      <c r="B229" s="485" t="s">
        <v>3497</v>
      </c>
      <c r="C229" s="485">
        <v>1100000014</v>
      </c>
      <c r="D229" s="485" t="s">
        <v>4845</v>
      </c>
      <c r="E229" s="485" t="s">
        <v>3495</v>
      </c>
      <c r="F229" s="485" t="s">
        <v>1014</v>
      </c>
      <c r="G229" s="485" t="s">
        <v>1121</v>
      </c>
      <c r="H229" s="485" t="s">
        <v>2616</v>
      </c>
      <c r="I229" s="485" t="s">
        <v>3493</v>
      </c>
      <c r="J229" s="485" t="s">
        <v>3494</v>
      </c>
      <c r="K229" s="485" t="s">
        <v>1281</v>
      </c>
      <c r="L229" s="485" t="s">
        <v>2783</v>
      </c>
      <c r="M229" s="486" t="s">
        <v>1230</v>
      </c>
      <c r="N229" s="486" t="s">
        <v>1231</v>
      </c>
      <c r="O229" s="485" t="s">
        <v>1232</v>
      </c>
      <c r="P229" s="485" t="s">
        <v>1156</v>
      </c>
      <c r="Q229" s="487">
        <v>44062</v>
      </c>
      <c r="R229" s="487">
        <v>45159</v>
      </c>
      <c r="S229" s="488">
        <v>1</v>
      </c>
      <c r="T229" s="488"/>
      <c r="U229" s="489">
        <v>5000000</v>
      </c>
      <c r="V229" s="489">
        <v>5000000</v>
      </c>
      <c r="W229" s="489">
        <v>5000000</v>
      </c>
      <c r="X229" s="489">
        <f t="shared" si="16"/>
        <v>0</v>
      </c>
      <c r="Y229" s="489">
        <f t="shared" si="17"/>
        <v>0</v>
      </c>
      <c r="Z229" s="489">
        <v>0</v>
      </c>
      <c r="AA229" s="489">
        <v>0</v>
      </c>
      <c r="AB229" s="489">
        <v>0</v>
      </c>
      <c r="AC229" s="489">
        <f t="shared" si="18"/>
        <v>0</v>
      </c>
      <c r="AD229" s="489">
        <f t="shared" si="19"/>
        <v>0</v>
      </c>
      <c r="AE229" s="489">
        <v>0</v>
      </c>
      <c r="AF229" s="489">
        <v>5000000</v>
      </c>
      <c r="AG229" s="490" t="s">
        <v>1237</v>
      </c>
      <c r="AH229" s="490" t="s">
        <v>1888</v>
      </c>
      <c r="AI229" s="490" t="s">
        <v>1321</v>
      </c>
      <c r="AJ229" s="490" t="s">
        <v>1279</v>
      </c>
      <c r="AK229" s="490" t="s">
        <v>1260</v>
      </c>
      <c r="AL229" s="515"/>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row>
    <row r="230" spans="1:80" ht="18" customHeight="1" x14ac:dyDescent="0.25">
      <c r="A230" s="485">
        <f t="shared" si="15"/>
        <v>228</v>
      </c>
      <c r="B230" s="485" t="s">
        <v>3498</v>
      </c>
      <c r="C230" s="485">
        <v>1100000117</v>
      </c>
      <c r="D230" s="485" t="s">
        <v>4846</v>
      </c>
      <c r="E230" s="485" t="s">
        <v>3495</v>
      </c>
      <c r="F230" s="485" t="s">
        <v>1014</v>
      </c>
      <c r="G230" s="485" t="s">
        <v>1121</v>
      </c>
      <c r="H230" s="485" t="s">
        <v>2616</v>
      </c>
      <c r="I230" s="485" t="s">
        <v>3493</v>
      </c>
      <c r="J230" s="485" t="s">
        <v>3494</v>
      </c>
      <c r="K230" s="485" t="s">
        <v>1281</v>
      </c>
      <c r="L230" s="485" t="s">
        <v>2783</v>
      </c>
      <c r="M230" s="486" t="s">
        <v>1230</v>
      </c>
      <c r="N230" s="486" t="s">
        <v>1231</v>
      </c>
      <c r="O230" s="485" t="s">
        <v>1232</v>
      </c>
      <c r="P230" s="485" t="s">
        <v>1156</v>
      </c>
      <c r="Q230" s="487">
        <v>44062</v>
      </c>
      <c r="R230" s="487">
        <v>45159</v>
      </c>
      <c r="S230" s="488">
        <v>1</v>
      </c>
      <c r="T230" s="488"/>
      <c r="U230" s="489">
        <v>5000000</v>
      </c>
      <c r="V230" s="489">
        <v>5000000</v>
      </c>
      <c r="W230" s="489">
        <v>5000000</v>
      </c>
      <c r="X230" s="489">
        <f t="shared" si="16"/>
        <v>0</v>
      </c>
      <c r="Y230" s="489">
        <f t="shared" si="17"/>
        <v>0</v>
      </c>
      <c r="Z230" s="489">
        <v>0</v>
      </c>
      <c r="AA230" s="489">
        <v>0</v>
      </c>
      <c r="AB230" s="489">
        <v>0</v>
      </c>
      <c r="AC230" s="489">
        <f t="shared" si="18"/>
        <v>0</v>
      </c>
      <c r="AD230" s="489">
        <f t="shared" si="19"/>
        <v>0</v>
      </c>
      <c r="AE230" s="489">
        <v>0</v>
      </c>
      <c r="AF230" s="489">
        <v>5000000</v>
      </c>
      <c r="AG230" s="490" t="s">
        <v>1237</v>
      </c>
      <c r="AH230" s="490" t="s">
        <v>1888</v>
      </c>
      <c r="AI230" s="490" t="s">
        <v>1321</v>
      </c>
      <c r="AJ230" s="490" t="s">
        <v>1279</v>
      </c>
      <c r="AK230" s="490" t="s">
        <v>1260</v>
      </c>
      <c r="AL230" s="515"/>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row>
    <row r="231" spans="1:80" ht="18" customHeight="1" x14ac:dyDescent="0.25">
      <c r="A231" s="485">
        <f t="shared" si="15"/>
        <v>229</v>
      </c>
      <c r="B231" s="485" t="s">
        <v>3499</v>
      </c>
      <c r="C231" s="485">
        <v>1100000118</v>
      </c>
      <c r="D231" s="485" t="s">
        <v>4847</v>
      </c>
      <c r="E231" s="485" t="s">
        <v>3495</v>
      </c>
      <c r="F231" s="485" t="s">
        <v>1014</v>
      </c>
      <c r="G231" s="485" t="s">
        <v>1121</v>
      </c>
      <c r="H231" s="485" t="s">
        <v>2616</v>
      </c>
      <c r="I231" s="485" t="s">
        <v>3493</v>
      </c>
      <c r="J231" s="485" t="s">
        <v>3494</v>
      </c>
      <c r="K231" s="485" t="s">
        <v>1281</v>
      </c>
      <c r="L231" s="485" t="s">
        <v>2783</v>
      </c>
      <c r="M231" s="486" t="s">
        <v>1230</v>
      </c>
      <c r="N231" s="486" t="s">
        <v>1231</v>
      </c>
      <c r="O231" s="485" t="s">
        <v>1232</v>
      </c>
      <c r="P231" s="485" t="s">
        <v>1156</v>
      </c>
      <c r="Q231" s="487">
        <v>44062</v>
      </c>
      <c r="R231" s="487">
        <v>45152</v>
      </c>
      <c r="S231" s="488">
        <v>1</v>
      </c>
      <c r="T231" s="488"/>
      <c r="U231" s="489">
        <v>5000000</v>
      </c>
      <c r="V231" s="489">
        <v>5000000</v>
      </c>
      <c r="W231" s="489">
        <v>5000000</v>
      </c>
      <c r="X231" s="489">
        <f t="shared" si="16"/>
        <v>0</v>
      </c>
      <c r="Y231" s="489">
        <f t="shared" si="17"/>
        <v>0</v>
      </c>
      <c r="Z231" s="489">
        <v>0</v>
      </c>
      <c r="AA231" s="489">
        <v>0</v>
      </c>
      <c r="AB231" s="489">
        <v>0</v>
      </c>
      <c r="AC231" s="489">
        <f t="shared" si="18"/>
        <v>0</v>
      </c>
      <c r="AD231" s="489">
        <f t="shared" si="19"/>
        <v>0</v>
      </c>
      <c r="AE231" s="489">
        <v>0</v>
      </c>
      <c r="AF231" s="489">
        <v>5000000</v>
      </c>
      <c r="AG231" s="490" t="s">
        <v>1237</v>
      </c>
      <c r="AH231" s="490" t="s">
        <v>1888</v>
      </c>
      <c r="AI231" s="490" t="s">
        <v>1321</v>
      </c>
      <c r="AJ231" s="490" t="s">
        <v>1279</v>
      </c>
      <c r="AK231" s="490" t="s">
        <v>1260</v>
      </c>
      <c r="AL231" s="515"/>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row>
    <row r="232" spans="1:80" ht="18" customHeight="1" x14ac:dyDescent="0.25">
      <c r="A232" s="492">
        <f t="shared" si="15"/>
        <v>230</v>
      </c>
      <c r="B232" s="492" t="s">
        <v>3504</v>
      </c>
      <c r="C232" s="492">
        <v>4100000024</v>
      </c>
      <c r="D232" s="492" t="s">
        <v>4848</v>
      </c>
      <c r="E232" s="492" t="s">
        <v>3502</v>
      </c>
      <c r="F232" s="492" t="s">
        <v>3503</v>
      </c>
      <c r="G232" s="492" t="s">
        <v>3500</v>
      </c>
      <c r="H232" s="492" t="s">
        <v>3503</v>
      </c>
      <c r="I232" s="492" t="s">
        <v>3500</v>
      </c>
      <c r="J232" s="492" t="s">
        <v>3501</v>
      </c>
      <c r="K232" s="492" t="s">
        <v>1281</v>
      </c>
      <c r="L232" s="492" t="s">
        <v>2783</v>
      </c>
      <c r="M232" s="493" t="s">
        <v>1230</v>
      </c>
      <c r="N232" s="493" t="s">
        <v>1232</v>
      </c>
      <c r="O232" s="492" t="s">
        <v>1232</v>
      </c>
      <c r="P232" s="492" t="s">
        <v>469</v>
      </c>
      <c r="Q232" s="494">
        <v>44068</v>
      </c>
      <c r="R232" s="494">
        <v>45895</v>
      </c>
      <c r="S232" s="498">
        <v>0.35</v>
      </c>
      <c r="T232" s="498"/>
      <c r="U232" s="496">
        <v>50000000</v>
      </c>
      <c r="V232" s="496">
        <v>50000000</v>
      </c>
      <c r="W232" s="496">
        <v>50000000</v>
      </c>
      <c r="X232" s="496">
        <f t="shared" si="16"/>
        <v>0</v>
      </c>
      <c r="Y232" s="496">
        <f t="shared" si="17"/>
        <v>0</v>
      </c>
      <c r="Z232" s="496">
        <v>25108373</v>
      </c>
      <c r="AA232" s="496">
        <v>25108373</v>
      </c>
      <c r="AB232" s="496">
        <v>25108373</v>
      </c>
      <c r="AC232" s="496">
        <f t="shared" si="18"/>
        <v>0</v>
      </c>
      <c r="AD232" s="496">
        <f t="shared" si="19"/>
        <v>0</v>
      </c>
      <c r="AE232" s="496">
        <v>0</v>
      </c>
      <c r="AF232" s="496">
        <v>24891627</v>
      </c>
      <c r="AG232" s="497" t="s">
        <v>1250</v>
      </c>
      <c r="AH232" s="497" t="s">
        <v>1252</v>
      </c>
      <c r="AI232" s="497" t="s">
        <v>1248</v>
      </c>
      <c r="AJ232" s="497" t="s">
        <v>1234</v>
      </c>
      <c r="AK232" s="497" t="s">
        <v>1251</v>
      </c>
      <c r="AL232" s="491"/>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row>
    <row r="233" spans="1:80" ht="18" customHeight="1" x14ac:dyDescent="0.25">
      <c r="A233" s="485">
        <f t="shared" si="15"/>
        <v>231</v>
      </c>
      <c r="B233" s="485" t="s">
        <v>3507</v>
      </c>
      <c r="C233" s="485">
        <v>5200000009</v>
      </c>
      <c r="D233" s="485" t="s">
        <v>4849</v>
      </c>
      <c r="E233" s="485" t="s">
        <v>1490</v>
      </c>
      <c r="F233" s="485" t="s">
        <v>1489</v>
      </c>
      <c r="G233" s="485" t="s">
        <v>3505</v>
      </c>
      <c r="H233" s="485" t="s">
        <v>1489</v>
      </c>
      <c r="I233" s="485" t="s">
        <v>3505</v>
      </c>
      <c r="J233" s="485" t="s">
        <v>3506</v>
      </c>
      <c r="K233" s="485" t="s">
        <v>1756</v>
      </c>
      <c r="L233" s="485" t="s">
        <v>1473</v>
      </c>
      <c r="M233" s="486" t="s">
        <v>1230</v>
      </c>
      <c r="N233" s="486" t="s">
        <v>1231</v>
      </c>
      <c r="O233" s="486" t="s">
        <v>1232</v>
      </c>
      <c r="P233" s="485" t="s">
        <v>469</v>
      </c>
      <c r="Q233" s="487">
        <v>44078</v>
      </c>
      <c r="R233" s="487">
        <v>44809</v>
      </c>
      <c r="S233" s="488">
        <v>1</v>
      </c>
      <c r="T233" s="488">
        <v>0.2</v>
      </c>
      <c r="U233" s="489">
        <v>4973200</v>
      </c>
      <c r="V233" s="489">
        <v>4973200</v>
      </c>
      <c r="W233" s="489">
        <v>4973200</v>
      </c>
      <c r="X233" s="489">
        <f t="shared" si="16"/>
        <v>0</v>
      </c>
      <c r="Y233" s="489">
        <f t="shared" si="17"/>
        <v>0</v>
      </c>
      <c r="Z233" s="489">
        <v>4973200</v>
      </c>
      <c r="AA233" s="489">
        <v>4973200</v>
      </c>
      <c r="AB233" s="489">
        <v>4973200</v>
      </c>
      <c r="AC233" s="489">
        <f t="shared" si="18"/>
        <v>0</v>
      </c>
      <c r="AD233" s="489">
        <f t="shared" si="19"/>
        <v>0</v>
      </c>
      <c r="AE233" s="489">
        <v>0</v>
      </c>
      <c r="AF233" s="489">
        <v>0</v>
      </c>
      <c r="AG233" s="490" t="s">
        <v>1288</v>
      </c>
      <c r="AH233" s="490" t="s">
        <v>1291</v>
      </c>
      <c r="AI233" s="490" t="s">
        <v>1292</v>
      </c>
      <c r="AJ233" s="490" t="s">
        <v>1234</v>
      </c>
      <c r="AK233" s="490" t="s">
        <v>1240</v>
      </c>
      <c r="AL233" s="491"/>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row>
    <row r="234" spans="1:80" ht="18" customHeight="1" x14ac:dyDescent="0.25">
      <c r="A234" s="485">
        <f t="shared" si="15"/>
        <v>232</v>
      </c>
      <c r="B234" s="485" t="s">
        <v>3508</v>
      </c>
      <c r="C234" s="485">
        <v>5100000007</v>
      </c>
      <c r="D234" s="485" t="s">
        <v>4850</v>
      </c>
      <c r="E234" s="485" t="s">
        <v>1490</v>
      </c>
      <c r="F234" s="485" t="s">
        <v>1489</v>
      </c>
      <c r="G234" s="485" t="s">
        <v>3505</v>
      </c>
      <c r="H234" s="485" t="s">
        <v>1489</v>
      </c>
      <c r="I234" s="485" t="s">
        <v>3505</v>
      </c>
      <c r="J234" s="485" t="s">
        <v>3506</v>
      </c>
      <c r="K234" s="485" t="s">
        <v>1756</v>
      </c>
      <c r="L234" s="485" t="s">
        <v>2783</v>
      </c>
      <c r="M234" s="486" t="s">
        <v>1230</v>
      </c>
      <c r="N234" s="486" t="s">
        <v>1231</v>
      </c>
      <c r="O234" s="486" t="s">
        <v>1232</v>
      </c>
      <c r="P234" s="485" t="s">
        <v>469</v>
      </c>
      <c r="Q234" s="487">
        <v>44078</v>
      </c>
      <c r="R234" s="487">
        <v>44809</v>
      </c>
      <c r="S234" s="488">
        <v>1</v>
      </c>
      <c r="T234" s="488"/>
      <c r="U234" s="489">
        <v>1508076</v>
      </c>
      <c r="V234" s="489">
        <v>1508076</v>
      </c>
      <c r="W234" s="489">
        <v>1508076</v>
      </c>
      <c r="X234" s="489">
        <f t="shared" si="16"/>
        <v>0</v>
      </c>
      <c r="Y234" s="489">
        <f t="shared" si="17"/>
        <v>0</v>
      </c>
      <c r="Z234" s="489">
        <v>899478.61</v>
      </c>
      <c r="AA234" s="489">
        <v>899478.61</v>
      </c>
      <c r="AB234" s="489">
        <v>933099.63</v>
      </c>
      <c r="AC234" s="489">
        <f t="shared" si="18"/>
        <v>33621.020000000019</v>
      </c>
      <c r="AD234" s="489">
        <f t="shared" si="19"/>
        <v>33621.020000000019</v>
      </c>
      <c r="AE234" s="489">
        <v>574976.37</v>
      </c>
      <c r="AF234" s="489">
        <v>0</v>
      </c>
      <c r="AG234" s="490" t="s">
        <v>1288</v>
      </c>
      <c r="AH234" s="490" t="s">
        <v>1291</v>
      </c>
      <c r="AI234" s="490" t="s">
        <v>1292</v>
      </c>
      <c r="AJ234" s="490" t="s">
        <v>1234</v>
      </c>
      <c r="AK234" s="490" t="s">
        <v>1240</v>
      </c>
      <c r="AL234" s="491"/>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row>
    <row r="235" spans="1:80" ht="18" customHeight="1" x14ac:dyDescent="0.25">
      <c r="A235" s="492">
        <f t="shared" si="15"/>
        <v>233</v>
      </c>
      <c r="B235" s="492" t="s">
        <v>3512</v>
      </c>
      <c r="C235" s="492">
        <v>2100000017</v>
      </c>
      <c r="D235" s="492" t="s">
        <v>4851</v>
      </c>
      <c r="E235" s="492" t="s">
        <v>1492</v>
      </c>
      <c r="F235" s="492" t="s">
        <v>1491</v>
      </c>
      <c r="G235" s="492" t="s">
        <v>3509</v>
      </c>
      <c r="H235" s="492" t="s">
        <v>2617</v>
      </c>
      <c r="I235" s="492" t="s">
        <v>3510</v>
      </c>
      <c r="J235" s="492" t="s">
        <v>3511</v>
      </c>
      <c r="K235" s="504" t="s">
        <v>1756</v>
      </c>
      <c r="L235" s="492" t="s">
        <v>2783</v>
      </c>
      <c r="M235" s="493" t="s">
        <v>1230</v>
      </c>
      <c r="N235" s="493" t="s">
        <v>1232</v>
      </c>
      <c r="O235" s="493" t="s">
        <v>1231</v>
      </c>
      <c r="P235" s="492" t="s">
        <v>469</v>
      </c>
      <c r="Q235" s="494">
        <v>44081</v>
      </c>
      <c r="R235" s="494">
        <v>45240</v>
      </c>
      <c r="S235" s="498">
        <v>1.5</v>
      </c>
      <c r="T235" s="498"/>
      <c r="U235" s="496">
        <v>5500000</v>
      </c>
      <c r="V235" s="496">
        <v>5500000</v>
      </c>
      <c r="W235" s="496">
        <v>5500000</v>
      </c>
      <c r="X235" s="496">
        <f t="shared" si="16"/>
        <v>0</v>
      </c>
      <c r="Y235" s="496">
        <f t="shared" si="17"/>
        <v>0</v>
      </c>
      <c r="Z235" s="496">
        <v>2197786.42</v>
      </c>
      <c r="AA235" s="496">
        <v>2412361.25</v>
      </c>
      <c r="AB235" s="496">
        <v>2412361.25</v>
      </c>
      <c r="AC235" s="496">
        <f t="shared" si="18"/>
        <v>214574.83000000007</v>
      </c>
      <c r="AD235" s="496">
        <f t="shared" si="19"/>
        <v>0</v>
      </c>
      <c r="AE235" s="496">
        <v>0</v>
      </c>
      <c r="AF235" s="496">
        <v>3087638.75</v>
      </c>
      <c r="AG235" s="497" t="s">
        <v>1245</v>
      </c>
      <c r="AH235" s="497" t="s">
        <v>1247</v>
      </c>
      <c r="AI235" s="497" t="s">
        <v>1269</v>
      </c>
      <c r="AJ235" s="497" t="s">
        <v>1246</v>
      </c>
      <c r="AK235" s="497" t="s">
        <v>1235</v>
      </c>
      <c r="AL235" s="491"/>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row>
    <row r="236" spans="1:80" ht="18" customHeight="1" x14ac:dyDescent="0.25">
      <c r="A236" s="492">
        <f t="shared" si="15"/>
        <v>234</v>
      </c>
      <c r="B236" s="492" t="s">
        <v>3517</v>
      </c>
      <c r="C236" s="492">
        <v>2200000004</v>
      </c>
      <c r="D236" s="492" t="s">
        <v>4852</v>
      </c>
      <c r="E236" s="492" t="s">
        <v>3515</v>
      </c>
      <c r="F236" s="492" t="s">
        <v>3516</v>
      </c>
      <c r="G236" s="492" t="s">
        <v>3513</v>
      </c>
      <c r="H236" s="492" t="s">
        <v>3516</v>
      </c>
      <c r="I236" s="492" t="s">
        <v>3513</v>
      </c>
      <c r="J236" s="492" t="s">
        <v>3514</v>
      </c>
      <c r="K236" s="504" t="s">
        <v>1756</v>
      </c>
      <c r="L236" s="492" t="s">
        <v>1473</v>
      </c>
      <c r="M236" s="493" t="s">
        <v>1230</v>
      </c>
      <c r="N236" s="493" t="s">
        <v>1232</v>
      </c>
      <c r="O236" s="493" t="s">
        <v>1232</v>
      </c>
      <c r="P236" s="492" t="s">
        <v>469</v>
      </c>
      <c r="Q236" s="494">
        <v>44085</v>
      </c>
      <c r="R236" s="494">
        <v>44903</v>
      </c>
      <c r="S236" s="498">
        <v>1.5</v>
      </c>
      <c r="T236" s="498">
        <v>0.3</v>
      </c>
      <c r="U236" s="496">
        <v>4639141</v>
      </c>
      <c r="V236" s="496">
        <v>4639141</v>
      </c>
      <c r="W236" s="496">
        <v>4639141</v>
      </c>
      <c r="X236" s="496">
        <f t="shared" si="16"/>
        <v>0</v>
      </c>
      <c r="Y236" s="496">
        <f t="shared" si="17"/>
        <v>0</v>
      </c>
      <c r="Z236" s="496">
        <v>1176091.1000000001</v>
      </c>
      <c r="AA236" s="496">
        <v>1427563.94</v>
      </c>
      <c r="AB236" s="496">
        <v>1427563.94</v>
      </c>
      <c r="AC236" s="496">
        <f t="shared" si="18"/>
        <v>251472.83999999985</v>
      </c>
      <c r="AD236" s="496">
        <f t="shared" si="19"/>
        <v>0</v>
      </c>
      <c r="AE236" s="496">
        <v>3211577.06</v>
      </c>
      <c r="AF236" s="496">
        <v>0</v>
      </c>
      <c r="AG236" s="497" t="s">
        <v>1245</v>
      </c>
      <c r="AH236" s="497" t="s">
        <v>1298</v>
      </c>
      <c r="AI236" s="497"/>
      <c r="AJ236" s="497" t="s">
        <v>1246</v>
      </c>
      <c r="AK236" s="497" t="s">
        <v>1235</v>
      </c>
      <c r="AL236" s="491"/>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row>
    <row r="237" spans="1:80" ht="18" customHeight="1" x14ac:dyDescent="0.25">
      <c r="A237" s="492">
        <f t="shared" si="15"/>
        <v>235</v>
      </c>
      <c r="B237" s="492" t="s">
        <v>3520</v>
      </c>
      <c r="C237" s="492">
        <v>5200000011</v>
      </c>
      <c r="D237" s="492" t="s">
        <v>4853</v>
      </c>
      <c r="E237" s="492" t="s">
        <v>1494</v>
      </c>
      <c r="F237" s="492" t="s">
        <v>2619</v>
      </c>
      <c r="G237" s="492" t="s">
        <v>3518</v>
      </c>
      <c r="H237" s="492" t="s">
        <v>2619</v>
      </c>
      <c r="I237" s="492" t="s">
        <v>3518</v>
      </c>
      <c r="J237" s="492" t="s">
        <v>3519</v>
      </c>
      <c r="K237" s="504" t="s">
        <v>1756</v>
      </c>
      <c r="L237" s="492" t="s">
        <v>1473</v>
      </c>
      <c r="M237" s="493" t="s">
        <v>1230</v>
      </c>
      <c r="N237" s="493" t="s">
        <v>1232</v>
      </c>
      <c r="O237" s="493" t="s">
        <v>1232</v>
      </c>
      <c r="P237" s="492" t="s">
        <v>469</v>
      </c>
      <c r="Q237" s="494">
        <v>44088</v>
      </c>
      <c r="R237" s="494">
        <v>44862</v>
      </c>
      <c r="S237" s="498">
        <v>1</v>
      </c>
      <c r="T237" s="498">
        <v>0.2</v>
      </c>
      <c r="U237" s="496">
        <v>1647525.23</v>
      </c>
      <c r="V237" s="496">
        <v>1392950.23</v>
      </c>
      <c r="W237" s="496">
        <v>1392950.23</v>
      </c>
      <c r="X237" s="496">
        <f t="shared" si="16"/>
        <v>-254575</v>
      </c>
      <c r="Y237" s="496">
        <f t="shared" si="17"/>
        <v>0</v>
      </c>
      <c r="Z237" s="496">
        <v>1647525.23</v>
      </c>
      <c r="AA237" s="496">
        <v>1392950.23</v>
      </c>
      <c r="AB237" s="496">
        <v>1392950.23</v>
      </c>
      <c r="AC237" s="496">
        <f t="shared" si="18"/>
        <v>-254575</v>
      </c>
      <c r="AD237" s="496">
        <f t="shared" si="19"/>
        <v>0</v>
      </c>
      <c r="AE237" s="496">
        <v>0</v>
      </c>
      <c r="AF237" s="496">
        <v>0</v>
      </c>
      <c r="AG237" s="497" t="s">
        <v>1288</v>
      </c>
      <c r="AH237" s="497" t="s">
        <v>1252</v>
      </c>
      <c r="AI237" s="497" t="s">
        <v>1248</v>
      </c>
      <c r="AJ237" s="497" t="s">
        <v>1234</v>
      </c>
      <c r="AK237" s="497" t="s">
        <v>1278</v>
      </c>
      <c r="AL237" s="491"/>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row>
    <row r="238" spans="1:80" ht="18" customHeight="1" x14ac:dyDescent="0.25">
      <c r="A238" s="492">
        <f t="shared" si="15"/>
        <v>236</v>
      </c>
      <c r="B238" s="492" t="s">
        <v>3525</v>
      </c>
      <c r="C238" s="492">
        <v>4200000003</v>
      </c>
      <c r="D238" s="492" t="s">
        <v>4854</v>
      </c>
      <c r="E238" s="492" t="s">
        <v>1493</v>
      </c>
      <c r="F238" s="492" t="s">
        <v>3524</v>
      </c>
      <c r="G238" s="492" t="s">
        <v>3521</v>
      </c>
      <c r="H238" s="492" t="s">
        <v>2618</v>
      </c>
      <c r="I238" s="492" t="s">
        <v>3522</v>
      </c>
      <c r="J238" s="492" t="s">
        <v>3523</v>
      </c>
      <c r="K238" s="504" t="s">
        <v>1756</v>
      </c>
      <c r="L238" s="492" t="s">
        <v>1473</v>
      </c>
      <c r="M238" s="493" t="s">
        <v>1230</v>
      </c>
      <c r="N238" s="493" t="s">
        <v>1232</v>
      </c>
      <c r="O238" s="493" t="s">
        <v>1232</v>
      </c>
      <c r="P238" s="492" t="s">
        <v>469</v>
      </c>
      <c r="Q238" s="494">
        <v>44089</v>
      </c>
      <c r="R238" s="494">
        <v>45020</v>
      </c>
      <c r="S238" s="498">
        <v>1</v>
      </c>
      <c r="T238" s="498">
        <v>0.2</v>
      </c>
      <c r="U238" s="496">
        <v>733117.8</v>
      </c>
      <c r="V238" s="496">
        <v>733117.8</v>
      </c>
      <c r="W238" s="496">
        <v>733117.8</v>
      </c>
      <c r="X238" s="496">
        <f t="shared" si="16"/>
        <v>0</v>
      </c>
      <c r="Y238" s="496">
        <f t="shared" si="17"/>
        <v>0</v>
      </c>
      <c r="Z238" s="496">
        <v>733117.8</v>
      </c>
      <c r="AA238" s="496">
        <v>733117.8</v>
      </c>
      <c r="AB238" s="496">
        <v>733117.8</v>
      </c>
      <c r="AC238" s="496">
        <f t="shared" si="18"/>
        <v>0</v>
      </c>
      <c r="AD238" s="496">
        <f t="shared" si="19"/>
        <v>0</v>
      </c>
      <c r="AE238" s="496">
        <v>0</v>
      </c>
      <c r="AF238" s="496">
        <v>0</v>
      </c>
      <c r="AG238" s="497" t="s">
        <v>1233</v>
      </c>
      <c r="AH238" s="497" t="s">
        <v>1247</v>
      </c>
      <c r="AI238" s="497" t="s">
        <v>1248</v>
      </c>
      <c r="AJ238" s="497" t="s">
        <v>1234</v>
      </c>
      <c r="AK238" s="497" t="s">
        <v>1278</v>
      </c>
      <c r="AL238" s="491"/>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row>
    <row r="239" spans="1:80" ht="18" customHeight="1" x14ac:dyDescent="0.25">
      <c r="A239" s="485">
        <f t="shared" si="15"/>
        <v>237</v>
      </c>
      <c r="B239" s="485" t="s">
        <v>3526</v>
      </c>
      <c r="C239" s="485">
        <v>2200000182</v>
      </c>
      <c r="D239" s="485" t="s">
        <v>4855</v>
      </c>
      <c r="E239" s="485" t="s">
        <v>1405</v>
      </c>
      <c r="F239" s="485" t="s">
        <v>2590</v>
      </c>
      <c r="G239" s="485" t="s">
        <v>3204</v>
      </c>
      <c r="H239" s="485" t="s">
        <v>2590</v>
      </c>
      <c r="I239" s="485" t="s">
        <v>3204</v>
      </c>
      <c r="J239" s="485" t="s">
        <v>3205</v>
      </c>
      <c r="K239" s="485" t="s">
        <v>1756</v>
      </c>
      <c r="L239" s="485" t="s">
        <v>1473</v>
      </c>
      <c r="M239" s="486" t="s">
        <v>1230</v>
      </c>
      <c r="N239" s="486" t="s">
        <v>1231</v>
      </c>
      <c r="O239" s="486" t="s">
        <v>1231</v>
      </c>
      <c r="P239" s="485" t="s">
        <v>469</v>
      </c>
      <c r="Q239" s="487">
        <v>44090</v>
      </c>
      <c r="R239" s="487">
        <v>44942</v>
      </c>
      <c r="S239" s="488">
        <v>1.5</v>
      </c>
      <c r="T239" s="488">
        <v>0.3</v>
      </c>
      <c r="U239" s="489">
        <v>4975505</v>
      </c>
      <c r="V239" s="489">
        <v>4975505</v>
      </c>
      <c r="W239" s="489">
        <v>4975505</v>
      </c>
      <c r="X239" s="489">
        <f t="shared" si="16"/>
        <v>0</v>
      </c>
      <c r="Y239" s="489">
        <f t="shared" si="17"/>
        <v>0</v>
      </c>
      <c r="Z239" s="489">
        <v>4960999.24</v>
      </c>
      <c r="AA239" s="489">
        <v>4975505</v>
      </c>
      <c r="AB239" s="489">
        <v>4975505</v>
      </c>
      <c r="AC239" s="489">
        <f t="shared" si="18"/>
        <v>14505.759999999776</v>
      </c>
      <c r="AD239" s="489">
        <f t="shared" si="19"/>
        <v>0</v>
      </c>
      <c r="AE239" s="489">
        <v>0</v>
      </c>
      <c r="AF239" s="489">
        <v>0</v>
      </c>
      <c r="AG239" s="490" t="s">
        <v>1245</v>
      </c>
      <c r="AH239" s="490" t="s">
        <v>1247</v>
      </c>
      <c r="AI239" s="490" t="s">
        <v>1269</v>
      </c>
      <c r="AJ239" s="490" t="s">
        <v>1246</v>
      </c>
      <c r="AK239" s="490" t="s">
        <v>1235</v>
      </c>
      <c r="AL239" s="491"/>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row>
    <row r="240" spans="1:80" ht="18" customHeight="1" x14ac:dyDescent="0.25">
      <c r="A240" s="485">
        <f t="shared" si="15"/>
        <v>238</v>
      </c>
      <c r="B240" s="485" t="s">
        <v>3527</v>
      </c>
      <c r="C240" s="485">
        <v>4100000025</v>
      </c>
      <c r="D240" s="485" t="s">
        <v>4856</v>
      </c>
      <c r="E240" s="485" t="s">
        <v>1469</v>
      </c>
      <c r="F240" s="485" t="s">
        <v>1468</v>
      </c>
      <c r="G240" s="485" t="s">
        <v>3412</v>
      </c>
      <c r="H240" s="485" t="s">
        <v>1468</v>
      </c>
      <c r="I240" s="485" t="s">
        <v>3412</v>
      </c>
      <c r="J240" s="485" t="s">
        <v>3413</v>
      </c>
      <c r="K240" s="485" t="s">
        <v>1756</v>
      </c>
      <c r="L240" s="485" t="s">
        <v>2783</v>
      </c>
      <c r="M240" s="486" t="s">
        <v>1230</v>
      </c>
      <c r="N240" s="486" t="s">
        <v>1231</v>
      </c>
      <c r="O240" s="485" t="s">
        <v>1232</v>
      </c>
      <c r="P240" s="485" t="s">
        <v>469</v>
      </c>
      <c r="Q240" s="487">
        <v>44091</v>
      </c>
      <c r="R240" s="487">
        <v>45775</v>
      </c>
      <c r="S240" s="488">
        <v>0.35</v>
      </c>
      <c r="T240" s="488"/>
      <c r="U240" s="489">
        <v>307500</v>
      </c>
      <c r="V240" s="489">
        <v>307500</v>
      </c>
      <c r="W240" s="489">
        <v>307500</v>
      </c>
      <c r="X240" s="489">
        <f t="shared" si="16"/>
        <v>0</v>
      </c>
      <c r="Y240" s="489">
        <f t="shared" si="17"/>
        <v>0</v>
      </c>
      <c r="Z240" s="489">
        <v>307500</v>
      </c>
      <c r="AA240" s="489">
        <v>307500</v>
      </c>
      <c r="AB240" s="489">
        <v>307500</v>
      </c>
      <c r="AC240" s="489">
        <f t="shared" si="18"/>
        <v>0</v>
      </c>
      <c r="AD240" s="489">
        <f t="shared" si="19"/>
        <v>0</v>
      </c>
      <c r="AE240" s="489">
        <v>0</v>
      </c>
      <c r="AF240" s="489">
        <v>0</v>
      </c>
      <c r="AG240" s="490" t="s">
        <v>1250</v>
      </c>
      <c r="AH240" s="490" t="s">
        <v>1379</v>
      </c>
      <c r="AI240" s="490"/>
      <c r="AJ240" s="490" t="s">
        <v>1234</v>
      </c>
      <c r="AK240" s="490" t="s">
        <v>1251</v>
      </c>
      <c r="AL240" s="515"/>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row>
    <row r="241" spans="1:80" ht="18" customHeight="1" x14ac:dyDescent="0.25">
      <c r="A241" s="492">
        <f t="shared" si="15"/>
        <v>239</v>
      </c>
      <c r="B241" s="492" t="s">
        <v>3536</v>
      </c>
      <c r="C241" s="492">
        <v>4100000026</v>
      </c>
      <c r="D241" s="492" t="s">
        <v>4857</v>
      </c>
      <c r="E241" s="492" t="s">
        <v>1497</v>
      </c>
      <c r="F241" s="492" t="s">
        <v>3535</v>
      </c>
      <c r="G241" s="492" t="s">
        <v>3533</v>
      </c>
      <c r="H241" s="492" t="s">
        <v>3535</v>
      </c>
      <c r="I241" s="492" t="s">
        <v>3533</v>
      </c>
      <c r="J241" s="492" t="s">
        <v>3534</v>
      </c>
      <c r="K241" s="504" t="s">
        <v>1756</v>
      </c>
      <c r="L241" s="492" t="s">
        <v>2783</v>
      </c>
      <c r="M241" s="493" t="s">
        <v>1230</v>
      </c>
      <c r="N241" s="493" t="s">
        <v>1232</v>
      </c>
      <c r="O241" s="493" t="s">
        <v>1232</v>
      </c>
      <c r="P241" s="492" t="s">
        <v>469</v>
      </c>
      <c r="Q241" s="494">
        <v>44103</v>
      </c>
      <c r="R241" s="494">
        <v>45145</v>
      </c>
      <c r="S241" s="498">
        <v>1</v>
      </c>
      <c r="T241" s="498"/>
      <c r="U241" s="496">
        <v>3029000</v>
      </c>
      <c r="V241" s="496">
        <v>3029000</v>
      </c>
      <c r="W241" s="496">
        <v>3029000</v>
      </c>
      <c r="X241" s="496">
        <f t="shared" si="16"/>
        <v>0</v>
      </c>
      <c r="Y241" s="496">
        <f t="shared" si="17"/>
        <v>0</v>
      </c>
      <c r="Z241" s="496">
        <v>3029000</v>
      </c>
      <c r="AA241" s="496">
        <v>3029000</v>
      </c>
      <c r="AB241" s="496">
        <v>3029000</v>
      </c>
      <c r="AC241" s="496">
        <f t="shared" si="18"/>
        <v>0</v>
      </c>
      <c r="AD241" s="496">
        <f t="shared" si="19"/>
        <v>0</v>
      </c>
      <c r="AE241" s="496">
        <v>0</v>
      </c>
      <c r="AF241" s="496">
        <v>0</v>
      </c>
      <c r="AG241" s="497" t="s">
        <v>1250</v>
      </c>
      <c r="AH241" s="497" t="s">
        <v>1291</v>
      </c>
      <c r="AI241" s="497" t="s">
        <v>1268</v>
      </c>
      <c r="AJ241" s="497" t="s">
        <v>1234</v>
      </c>
      <c r="AK241" s="497" t="s">
        <v>1240</v>
      </c>
      <c r="AL241" s="49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row>
    <row r="242" spans="1:80" ht="18" customHeight="1" x14ac:dyDescent="0.25">
      <c r="A242" s="485">
        <f t="shared" si="15"/>
        <v>240</v>
      </c>
      <c r="B242" s="485" t="s">
        <v>3540</v>
      </c>
      <c r="C242" s="485">
        <v>2200000010</v>
      </c>
      <c r="D242" s="485" t="s">
        <v>4858</v>
      </c>
      <c r="E242" s="485" t="s">
        <v>1498</v>
      </c>
      <c r="F242" s="485" t="s">
        <v>3539</v>
      </c>
      <c r="G242" s="485" t="s">
        <v>3537</v>
      </c>
      <c r="H242" s="485" t="s">
        <v>2614</v>
      </c>
      <c r="I242" s="485" t="s">
        <v>3474</v>
      </c>
      <c r="J242" s="485" t="s">
        <v>3538</v>
      </c>
      <c r="K242" s="485" t="s">
        <v>1756</v>
      </c>
      <c r="L242" s="485" t="s">
        <v>1473</v>
      </c>
      <c r="M242" s="486" t="s">
        <v>1230</v>
      </c>
      <c r="N242" s="486" t="s">
        <v>1231</v>
      </c>
      <c r="O242" s="486" t="s">
        <v>1232</v>
      </c>
      <c r="P242" s="485" t="s">
        <v>469</v>
      </c>
      <c r="Q242" s="487">
        <v>44105</v>
      </c>
      <c r="R242" s="487">
        <v>44865</v>
      </c>
      <c r="S242" s="488">
        <v>1.5</v>
      </c>
      <c r="T242" s="488">
        <v>0.3</v>
      </c>
      <c r="U242" s="489">
        <v>2156253</v>
      </c>
      <c r="V242" s="489">
        <v>2156253</v>
      </c>
      <c r="W242" s="489">
        <v>2156253</v>
      </c>
      <c r="X242" s="489">
        <f t="shared" si="16"/>
        <v>0</v>
      </c>
      <c r="Y242" s="489">
        <f t="shared" si="17"/>
        <v>0</v>
      </c>
      <c r="Z242" s="489">
        <v>1683090</v>
      </c>
      <c r="AA242" s="489">
        <v>1693014.53</v>
      </c>
      <c r="AB242" s="489">
        <v>1693014.53</v>
      </c>
      <c r="AC242" s="489">
        <f t="shared" si="18"/>
        <v>9924.5300000000279</v>
      </c>
      <c r="AD242" s="489">
        <f t="shared" si="19"/>
        <v>0</v>
      </c>
      <c r="AE242" s="489">
        <v>463238.47000000003</v>
      </c>
      <c r="AF242" s="489">
        <v>0</v>
      </c>
      <c r="AG242" s="490" t="s">
        <v>1245</v>
      </c>
      <c r="AH242" s="490" t="s">
        <v>1247</v>
      </c>
      <c r="AI242" s="490" t="s">
        <v>1248</v>
      </c>
      <c r="AJ242" s="490" t="s">
        <v>1246</v>
      </c>
      <c r="AK242" s="490" t="s">
        <v>1235</v>
      </c>
      <c r="AL242" s="491"/>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row>
    <row r="243" spans="1:80" ht="18" customHeight="1" x14ac:dyDescent="0.25">
      <c r="A243" s="485">
        <f t="shared" si="15"/>
        <v>241</v>
      </c>
      <c r="B243" s="485" t="s">
        <v>3544</v>
      </c>
      <c r="C243" s="485">
        <v>2200000011</v>
      </c>
      <c r="D243" s="485" t="s">
        <v>4859</v>
      </c>
      <c r="E243" s="485" t="s">
        <v>1499</v>
      </c>
      <c r="F243" s="485" t="s">
        <v>3543</v>
      </c>
      <c r="G243" s="485" t="s">
        <v>3541</v>
      </c>
      <c r="H243" s="485" t="s">
        <v>2614</v>
      </c>
      <c r="I243" s="485" t="s">
        <v>3474</v>
      </c>
      <c r="J243" s="485" t="s">
        <v>3542</v>
      </c>
      <c r="K243" s="485" t="s">
        <v>1756</v>
      </c>
      <c r="L243" s="485" t="s">
        <v>1473</v>
      </c>
      <c r="M243" s="486" t="s">
        <v>1230</v>
      </c>
      <c r="N243" s="486" t="s">
        <v>1231</v>
      </c>
      <c r="O243" s="486" t="s">
        <v>1232</v>
      </c>
      <c r="P243" s="485" t="s">
        <v>469</v>
      </c>
      <c r="Q243" s="487">
        <v>44105</v>
      </c>
      <c r="R243" s="487">
        <v>44865</v>
      </c>
      <c r="S243" s="488">
        <v>1.5</v>
      </c>
      <c r="T243" s="488">
        <v>0.3</v>
      </c>
      <c r="U243" s="489">
        <v>2734698</v>
      </c>
      <c r="V243" s="489">
        <v>2734698</v>
      </c>
      <c r="W243" s="489">
        <v>2734698</v>
      </c>
      <c r="X243" s="489">
        <f t="shared" si="16"/>
        <v>0</v>
      </c>
      <c r="Y243" s="489">
        <f t="shared" si="17"/>
        <v>0</v>
      </c>
      <c r="Z243" s="489">
        <v>2650525.5</v>
      </c>
      <c r="AA243" s="489">
        <v>2650525.5</v>
      </c>
      <c r="AB243" s="489">
        <v>2662027.7000000002</v>
      </c>
      <c r="AC243" s="489">
        <f t="shared" si="18"/>
        <v>11502.200000000186</v>
      </c>
      <c r="AD243" s="489">
        <f t="shared" si="19"/>
        <v>11502.200000000186</v>
      </c>
      <c r="AE243" s="489">
        <v>72670.3</v>
      </c>
      <c r="AF243" s="489">
        <v>0</v>
      </c>
      <c r="AG243" s="490" t="s">
        <v>1245</v>
      </c>
      <c r="AH243" s="490" t="s">
        <v>1247</v>
      </c>
      <c r="AI243" s="490" t="s">
        <v>1248</v>
      </c>
      <c r="AJ243" s="490" t="s">
        <v>1246</v>
      </c>
      <c r="AK243" s="490" t="s">
        <v>1235</v>
      </c>
      <c r="AL243" s="491"/>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row>
    <row r="244" spans="1:80" ht="18" customHeight="1" x14ac:dyDescent="0.25">
      <c r="A244" s="485">
        <f t="shared" si="15"/>
        <v>242</v>
      </c>
      <c r="B244" s="485" t="s">
        <v>3545</v>
      </c>
      <c r="C244" s="485">
        <v>2200000012</v>
      </c>
      <c r="D244" s="485" t="s">
        <v>4860</v>
      </c>
      <c r="E244" s="485" t="s">
        <v>1339</v>
      </c>
      <c r="F244" s="485" t="s">
        <v>2569</v>
      </c>
      <c r="G244" s="485" t="s">
        <v>3023</v>
      </c>
      <c r="H244" s="485" t="s">
        <v>2569</v>
      </c>
      <c r="I244" s="485" t="s">
        <v>3023</v>
      </c>
      <c r="J244" s="485" t="s">
        <v>3024</v>
      </c>
      <c r="K244" s="485" t="s">
        <v>1756</v>
      </c>
      <c r="L244" s="485" t="s">
        <v>1473</v>
      </c>
      <c r="M244" s="486" t="s">
        <v>1230</v>
      </c>
      <c r="N244" s="486" t="s">
        <v>1231</v>
      </c>
      <c r="O244" s="486" t="s">
        <v>1232</v>
      </c>
      <c r="P244" s="485" t="s">
        <v>469</v>
      </c>
      <c r="Q244" s="487">
        <v>44110</v>
      </c>
      <c r="R244" s="487">
        <v>44840</v>
      </c>
      <c r="S244" s="488">
        <v>1.5</v>
      </c>
      <c r="T244" s="488">
        <v>0.3</v>
      </c>
      <c r="U244" s="489">
        <v>1278556</v>
      </c>
      <c r="V244" s="489">
        <v>1278556</v>
      </c>
      <c r="W244" s="489">
        <v>1278556</v>
      </c>
      <c r="X244" s="489">
        <f t="shared" si="16"/>
        <v>0</v>
      </c>
      <c r="Y244" s="489">
        <f t="shared" si="17"/>
        <v>0</v>
      </c>
      <c r="Z244" s="489">
        <v>1278218.8600000001</v>
      </c>
      <c r="AA244" s="489">
        <v>1278219.8400000001</v>
      </c>
      <c r="AB244" s="489">
        <v>1278219.8400000001</v>
      </c>
      <c r="AC244" s="489">
        <f t="shared" si="18"/>
        <v>0.97999999998137355</v>
      </c>
      <c r="AD244" s="489">
        <f t="shared" si="19"/>
        <v>0</v>
      </c>
      <c r="AE244" s="489">
        <v>336.16</v>
      </c>
      <c r="AF244" s="489">
        <v>0</v>
      </c>
      <c r="AG244" s="490" t="s">
        <v>1245</v>
      </c>
      <c r="AH244" s="490" t="s">
        <v>1247</v>
      </c>
      <c r="AI244" s="490" t="s">
        <v>1248</v>
      </c>
      <c r="AJ244" s="490" t="s">
        <v>1246</v>
      </c>
      <c r="AK244" s="490" t="s">
        <v>1235</v>
      </c>
      <c r="AL244" s="491"/>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row>
    <row r="245" spans="1:80" ht="18" customHeight="1" x14ac:dyDescent="0.25">
      <c r="A245" s="485">
        <f t="shared" si="15"/>
        <v>243</v>
      </c>
      <c r="B245" s="485" t="s">
        <v>3546</v>
      </c>
      <c r="C245" s="485">
        <v>2200000013</v>
      </c>
      <c r="D245" s="485" t="s">
        <v>4861</v>
      </c>
      <c r="E245" s="485" t="s">
        <v>1339</v>
      </c>
      <c r="F245" s="485" t="s">
        <v>2569</v>
      </c>
      <c r="G245" s="485" t="s">
        <v>3023</v>
      </c>
      <c r="H245" s="485" t="s">
        <v>2569</v>
      </c>
      <c r="I245" s="485" t="s">
        <v>3023</v>
      </c>
      <c r="J245" s="485" t="s">
        <v>3024</v>
      </c>
      <c r="K245" s="485" t="s">
        <v>1756</v>
      </c>
      <c r="L245" s="485" t="s">
        <v>1473</v>
      </c>
      <c r="M245" s="486" t="s">
        <v>1230</v>
      </c>
      <c r="N245" s="486" t="s">
        <v>1231</v>
      </c>
      <c r="O245" s="486" t="s">
        <v>1232</v>
      </c>
      <c r="P245" s="485" t="s">
        <v>469</v>
      </c>
      <c r="Q245" s="487">
        <v>44110</v>
      </c>
      <c r="R245" s="487">
        <v>44840</v>
      </c>
      <c r="S245" s="488">
        <v>1.5</v>
      </c>
      <c r="T245" s="488">
        <v>0.3</v>
      </c>
      <c r="U245" s="489">
        <v>192539</v>
      </c>
      <c r="V245" s="489">
        <v>192539</v>
      </c>
      <c r="W245" s="489">
        <v>192539</v>
      </c>
      <c r="X245" s="489">
        <f t="shared" si="16"/>
        <v>0</v>
      </c>
      <c r="Y245" s="489">
        <f t="shared" si="17"/>
        <v>0</v>
      </c>
      <c r="Z245" s="489">
        <v>184091.4</v>
      </c>
      <c r="AA245" s="489">
        <v>185300.48000000001</v>
      </c>
      <c r="AB245" s="489">
        <v>185300.48000000001</v>
      </c>
      <c r="AC245" s="489">
        <f t="shared" si="18"/>
        <v>1209.0800000000163</v>
      </c>
      <c r="AD245" s="489">
        <f t="shared" si="19"/>
        <v>0</v>
      </c>
      <c r="AE245" s="489">
        <v>7238.52</v>
      </c>
      <c r="AF245" s="489">
        <v>0</v>
      </c>
      <c r="AG245" s="490" t="s">
        <v>1245</v>
      </c>
      <c r="AH245" s="490" t="s">
        <v>1247</v>
      </c>
      <c r="AI245" s="490" t="s">
        <v>1248</v>
      </c>
      <c r="AJ245" s="490" t="s">
        <v>1246</v>
      </c>
      <c r="AK245" s="490" t="s">
        <v>1235</v>
      </c>
      <c r="AL245" s="491"/>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row>
    <row r="246" spans="1:80" ht="18" customHeight="1" x14ac:dyDescent="0.25">
      <c r="A246" s="485">
        <f t="shared" si="15"/>
        <v>244</v>
      </c>
      <c r="B246" s="485" t="s">
        <v>4862</v>
      </c>
      <c r="C246" s="485">
        <v>2200000101</v>
      </c>
      <c r="D246" s="485" t="s">
        <v>4863</v>
      </c>
      <c r="E246" s="485" t="s">
        <v>1500</v>
      </c>
      <c r="F246" s="485" t="s">
        <v>3550</v>
      </c>
      <c r="G246" s="485" t="s">
        <v>3547</v>
      </c>
      <c r="H246" s="485" t="s">
        <v>4522</v>
      </c>
      <c r="I246" s="485" t="s">
        <v>3548</v>
      </c>
      <c r="J246" s="485" t="s">
        <v>3549</v>
      </c>
      <c r="K246" s="485" t="s">
        <v>1281</v>
      </c>
      <c r="L246" s="485" t="s">
        <v>1473</v>
      </c>
      <c r="M246" s="486" t="s">
        <v>1230</v>
      </c>
      <c r="N246" s="486" t="s">
        <v>1231</v>
      </c>
      <c r="O246" s="486" t="s">
        <v>1232</v>
      </c>
      <c r="P246" s="485" t="s">
        <v>469</v>
      </c>
      <c r="Q246" s="487">
        <v>44112</v>
      </c>
      <c r="R246" s="487">
        <v>45124</v>
      </c>
      <c r="S246" s="488">
        <v>1.5</v>
      </c>
      <c r="T246" s="488">
        <v>0.3</v>
      </c>
      <c r="U246" s="489">
        <v>4607530</v>
      </c>
      <c r="V246" s="489">
        <v>3300000</v>
      </c>
      <c r="W246" s="489">
        <v>3300000</v>
      </c>
      <c r="X246" s="489">
        <f t="shared" si="16"/>
        <v>-1307530</v>
      </c>
      <c r="Y246" s="489">
        <f t="shared" si="17"/>
        <v>0</v>
      </c>
      <c r="Z246" s="489">
        <v>2695924.08</v>
      </c>
      <c r="AA246" s="489">
        <v>2645862.71</v>
      </c>
      <c r="AB246" s="489">
        <v>2645862.71</v>
      </c>
      <c r="AC246" s="489">
        <f t="shared" si="18"/>
        <v>-50061.370000000112</v>
      </c>
      <c r="AD246" s="489">
        <f t="shared" si="19"/>
        <v>0</v>
      </c>
      <c r="AE246" s="489">
        <v>0</v>
      </c>
      <c r="AF246" s="489">
        <v>654137.29</v>
      </c>
      <c r="AG246" s="490" t="s">
        <v>1245</v>
      </c>
      <c r="AH246" s="490" t="s">
        <v>1247</v>
      </c>
      <c r="AI246" s="490" t="s">
        <v>1269</v>
      </c>
      <c r="AJ246" s="490" t="s">
        <v>1246</v>
      </c>
      <c r="AK246" s="490" t="s">
        <v>1235</v>
      </c>
      <c r="AL246" s="491"/>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row>
    <row r="247" spans="1:80" ht="18" customHeight="1" x14ac:dyDescent="0.25">
      <c r="A247" s="485">
        <f t="shared" si="15"/>
        <v>245</v>
      </c>
      <c r="B247" s="485" t="s">
        <v>3555</v>
      </c>
      <c r="C247" s="485">
        <v>2200000143</v>
      </c>
      <c r="D247" s="485" t="s">
        <v>4864</v>
      </c>
      <c r="E247" s="485" t="s">
        <v>1384</v>
      </c>
      <c r="F247" s="485" t="s">
        <v>1383</v>
      </c>
      <c r="G247" s="485" t="s">
        <v>3152</v>
      </c>
      <c r="H247" s="485" t="s">
        <v>1383</v>
      </c>
      <c r="I247" s="485" t="s">
        <v>3152</v>
      </c>
      <c r="J247" s="485" t="s">
        <v>3153</v>
      </c>
      <c r="K247" s="485" t="s">
        <v>1756</v>
      </c>
      <c r="L247" s="485" t="s">
        <v>1473</v>
      </c>
      <c r="M247" s="486" t="s">
        <v>1307</v>
      </c>
      <c r="N247" s="486" t="s">
        <v>1231</v>
      </c>
      <c r="O247" s="486" t="s">
        <v>1231</v>
      </c>
      <c r="P247" s="485" t="s">
        <v>469</v>
      </c>
      <c r="Q247" s="487">
        <v>44119</v>
      </c>
      <c r="R247" s="487">
        <v>44929</v>
      </c>
      <c r="S247" s="488">
        <v>1.5</v>
      </c>
      <c r="T247" s="488">
        <v>0.3</v>
      </c>
      <c r="U247" s="489">
        <v>239998</v>
      </c>
      <c r="V247" s="489">
        <v>239998</v>
      </c>
      <c r="W247" s="489">
        <v>239998</v>
      </c>
      <c r="X247" s="489">
        <f t="shared" si="16"/>
        <v>0</v>
      </c>
      <c r="Y247" s="489">
        <f t="shared" si="17"/>
        <v>0</v>
      </c>
      <c r="Z247" s="489">
        <v>239998</v>
      </c>
      <c r="AA247" s="489">
        <v>239998</v>
      </c>
      <c r="AB247" s="489">
        <v>239998</v>
      </c>
      <c r="AC247" s="489">
        <f t="shared" si="18"/>
        <v>0</v>
      </c>
      <c r="AD247" s="489">
        <f t="shared" si="19"/>
        <v>0</v>
      </c>
      <c r="AE247" s="489">
        <v>0</v>
      </c>
      <c r="AF247" s="489">
        <v>0</v>
      </c>
      <c r="AG247" s="490" t="s">
        <v>1245</v>
      </c>
      <c r="AH247" s="490" t="s">
        <v>1247</v>
      </c>
      <c r="AI247" s="490" t="s">
        <v>1248</v>
      </c>
      <c r="AJ247" s="490" t="s">
        <v>1246</v>
      </c>
      <c r="AK247" s="490" t="s">
        <v>1235</v>
      </c>
      <c r="AL247" s="491"/>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row>
    <row r="248" spans="1:80" ht="18" customHeight="1" x14ac:dyDescent="0.25">
      <c r="A248" s="492">
        <f t="shared" si="15"/>
        <v>246</v>
      </c>
      <c r="B248" s="492" t="s">
        <v>3558</v>
      </c>
      <c r="C248" s="492">
        <v>5200000100</v>
      </c>
      <c r="D248" s="492" t="s">
        <v>4865</v>
      </c>
      <c r="E248" s="492" t="s">
        <v>1503</v>
      </c>
      <c r="F248" s="492" t="s">
        <v>2620</v>
      </c>
      <c r="G248" s="492" t="s">
        <v>3556</v>
      </c>
      <c r="H248" s="492" t="s">
        <v>2620</v>
      </c>
      <c r="I248" s="492" t="s">
        <v>3556</v>
      </c>
      <c r="J248" s="492" t="s">
        <v>3557</v>
      </c>
      <c r="K248" s="492" t="s">
        <v>1756</v>
      </c>
      <c r="L248" s="492" t="s">
        <v>1473</v>
      </c>
      <c r="M248" s="493" t="s">
        <v>1230</v>
      </c>
      <c r="N248" s="493" t="s">
        <v>1232</v>
      </c>
      <c r="O248" s="493" t="s">
        <v>1232</v>
      </c>
      <c r="P248" s="492" t="s">
        <v>469</v>
      </c>
      <c r="Q248" s="494">
        <v>44120</v>
      </c>
      <c r="R248" s="494">
        <v>44858</v>
      </c>
      <c r="S248" s="498">
        <v>1</v>
      </c>
      <c r="T248" s="498">
        <v>0.2</v>
      </c>
      <c r="U248" s="496">
        <v>3068293.64</v>
      </c>
      <c r="V248" s="496">
        <v>3068293.64</v>
      </c>
      <c r="W248" s="496">
        <v>3068293.64</v>
      </c>
      <c r="X248" s="496">
        <f t="shared" si="16"/>
        <v>0</v>
      </c>
      <c r="Y248" s="496">
        <f t="shared" si="17"/>
        <v>0</v>
      </c>
      <c r="Z248" s="496">
        <v>3068293.64</v>
      </c>
      <c r="AA248" s="496">
        <v>3068293.64</v>
      </c>
      <c r="AB248" s="496">
        <v>3068293.64</v>
      </c>
      <c r="AC248" s="519">
        <f t="shared" si="18"/>
        <v>0</v>
      </c>
      <c r="AD248" s="496">
        <f t="shared" si="19"/>
        <v>0</v>
      </c>
      <c r="AE248" s="496">
        <v>0</v>
      </c>
      <c r="AF248" s="496">
        <v>0</v>
      </c>
      <c r="AG248" s="497" t="s">
        <v>1288</v>
      </c>
      <c r="AH248" s="497" t="s">
        <v>1291</v>
      </c>
      <c r="AI248" s="497" t="s">
        <v>1292</v>
      </c>
      <c r="AJ248" s="497" t="s">
        <v>1234</v>
      </c>
      <c r="AK248" s="497" t="s">
        <v>1240</v>
      </c>
      <c r="AL248" s="491"/>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row>
    <row r="249" spans="1:80" ht="18" customHeight="1" x14ac:dyDescent="0.25">
      <c r="A249" s="492">
        <f t="shared" si="15"/>
        <v>247</v>
      </c>
      <c r="B249" s="492" t="s">
        <v>3562</v>
      </c>
      <c r="C249" s="492">
        <v>2200000103</v>
      </c>
      <c r="D249" s="492" t="s">
        <v>4866</v>
      </c>
      <c r="E249" s="492" t="s">
        <v>1504</v>
      </c>
      <c r="F249" s="492" t="s">
        <v>3561</v>
      </c>
      <c r="G249" s="492" t="s">
        <v>3559</v>
      </c>
      <c r="H249" s="492" t="s">
        <v>3561</v>
      </c>
      <c r="I249" s="492" t="s">
        <v>3559</v>
      </c>
      <c r="J249" s="492" t="s">
        <v>3560</v>
      </c>
      <c r="K249" s="492" t="s">
        <v>1756</v>
      </c>
      <c r="L249" s="492" t="s">
        <v>1473</v>
      </c>
      <c r="M249" s="493" t="s">
        <v>1230</v>
      </c>
      <c r="N249" s="493" t="s">
        <v>1232</v>
      </c>
      <c r="O249" s="493" t="s">
        <v>1232</v>
      </c>
      <c r="P249" s="492" t="s">
        <v>469</v>
      </c>
      <c r="Q249" s="494">
        <v>44124</v>
      </c>
      <c r="R249" s="494">
        <v>44942</v>
      </c>
      <c r="S249" s="498">
        <v>1.5</v>
      </c>
      <c r="T249" s="498">
        <v>0.3</v>
      </c>
      <c r="U249" s="496">
        <v>2354823.46</v>
      </c>
      <c r="V249" s="496">
        <v>2354823.46</v>
      </c>
      <c r="W249" s="496">
        <v>2354823.46</v>
      </c>
      <c r="X249" s="496">
        <f t="shared" si="16"/>
        <v>0</v>
      </c>
      <c r="Y249" s="496">
        <f t="shared" si="17"/>
        <v>0</v>
      </c>
      <c r="Z249" s="496">
        <v>1614791.81</v>
      </c>
      <c r="AA249" s="496">
        <v>1624820.36</v>
      </c>
      <c r="AB249" s="496">
        <v>1739754.36</v>
      </c>
      <c r="AC249" s="496">
        <f t="shared" si="18"/>
        <v>124962.55000000005</v>
      </c>
      <c r="AD249" s="496">
        <f t="shared" si="19"/>
        <v>114934</v>
      </c>
      <c r="AE249" s="496">
        <v>615069.1</v>
      </c>
      <c r="AF249" s="496">
        <v>0</v>
      </c>
      <c r="AG249" s="497" t="s">
        <v>1245</v>
      </c>
      <c r="AH249" s="497" t="s">
        <v>1247</v>
      </c>
      <c r="AI249" s="497" t="s">
        <v>1248</v>
      </c>
      <c r="AJ249" s="497" t="s">
        <v>1246</v>
      </c>
      <c r="AK249" s="497" t="s">
        <v>1235</v>
      </c>
      <c r="AL249" s="491"/>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row>
    <row r="250" spans="1:80" ht="18" customHeight="1" x14ac:dyDescent="0.25">
      <c r="A250" s="485">
        <f t="shared" si="15"/>
        <v>248</v>
      </c>
      <c r="B250" s="485" t="s">
        <v>3564</v>
      </c>
      <c r="C250" s="485">
        <v>1100000111</v>
      </c>
      <c r="D250" s="485" t="s">
        <v>4867</v>
      </c>
      <c r="E250" s="485" t="s">
        <v>1047</v>
      </c>
      <c r="F250" s="485" t="s">
        <v>2621</v>
      </c>
      <c r="G250" s="485" t="s">
        <v>1117</v>
      </c>
      <c r="H250" s="485" t="s">
        <v>2621</v>
      </c>
      <c r="I250" s="485" t="s">
        <v>1117</v>
      </c>
      <c r="J250" s="485" t="s">
        <v>3563</v>
      </c>
      <c r="K250" s="485" t="s">
        <v>1281</v>
      </c>
      <c r="L250" s="485" t="s">
        <v>2783</v>
      </c>
      <c r="M250" s="486" t="s">
        <v>1230</v>
      </c>
      <c r="N250" s="486" t="s">
        <v>1231</v>
      </c>
      <c r="O250" s="485" t="s">
        <v>1231</v>
      </c>
      <c r="P250" s="485" t="s">
        <v>1156</v>
      </c>
      <c r="Q250" s="487">
        <v>44125</v>
      </c>
      <c r="R250" s="487">
        <v>45222</v>
      </c>
      <c r="S250" s="488">
        <v>1</v>
      </c>
      <c r="T250" s="488"/>
      <c r="U250" s="489">
        <v>1000000</v>
      </c>
      <c r="V250" s="489">
        <v>1000000</v>
      </c>
      <c r="W250" s="489">
        <v>1000000</v>
      </c>
      <c r="X250" s="489">
        <f t="shared" si="16"/>
        <v>0</v>
      </c>
      <c r="Y250" s="489">
        <f t="shared" si="17"/>
        <v>0</v>
      </c>
      <c r="Z250" s="489">
        <v>1000000</v>
      </c>
      <c r="AA250" s="489">
        <v>1000000</v>
      </c>
      <c r="AB250" s="489">
        <v>1000000</v>
      </c>
      <c r="AC250" s="489">
        <f t="shared" si="18"/>
        <v>0</v>
      </c>
      <c r="AD250" s="489">
        <f t="shared" si="19"/>
        <v>0</v>
      </c>
      <c r="AE250" s="489">
        <v>0</v>
      </c>
      <c r="AF250" s="489">
        <v>0</v>
      </c>
      <c r="AG250" s="490" t="s">
        <v>1237</v>
      </c>
      <c r="AH250" s="490" t="s">
        <v>614</v>
      </c>
      <c r="AI250" s="490" t="s">
        <v>1505</v>
      </c>
      <c r="AJ250" s="490" t="s">
        <v>1505</v>
      </c>
      <c r="AK250" s="490" t="s">
        <v>1260</v>
      </c>
      <c r="AL250" s="491"/>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row>
    <row r="251" spans="1:80" ht="18" customHeight="1" x14ac:dyDescent="0.25">
      <c r="A251" s="485">
        <f t="shared" si="15"/>
        <v>249</v>
      </c>
      <c r="B251" s="485" t="s">
        <v>3565</v>
      </c>
      <c r="C251" s="485">
        <v>1100000110</v>
      </c>
      <c r="D251" s="485" t="s">
        <v>4868</v>
      </c>
      <c r="E251" s="485" t="s">
        <v>1047</v>
      </c>
      <c r="F251" s="485" t="s">
        <v>2621</v>
      </c>
      <c r="G251" s="485" t="s">
        <v>1117</v>
      </c>
      <c r="H251" s="485" t="s">
        <v>2621</v>
      </c>
      <c r="I251" s="485" t="s">
        <v>1117</v>
      </c>
      <c r="J251" s="485" t="s">
        <v>3563</v>
      </c>
      <c r="K251" s="485" t="s">
        <v>1756</v>
      </c>
      <c r="L251" s="485" t="s">
        <v>2783</v>
      </c>
      <c r="M251" s="486" t="s">
        <v>1230</v>
      </c>
      <c r="N251" s="486" t="s">
        <v>1231</v>
      </c>
      <c r="O251" s="485" t="s">
        <v>1232</v>
      </c>
      <c r="P251" s="485" t="s">
        <v>1156</v>
      </c>
      <c r="Q251" s="487">
        <v>44125</v>
      </c>
      <c r="R251" s="487">
        <v>45222</v>
      </c>
      <c r="S251" s="488">
        <v>1</v>
      </c>
      <c r="T251" s="488"/>
      <c r="U251" s="489">
        <v>360000</v>
      </c>
      <c r="V251" s="489">
        <v>360000</v>
      </c>
      <c r="W251" s="489">
        <v>340000</v>
      </c>
      <c r="X251" s="489">
        <f t="shared" si="16"/>
        <v>-20000</v>
      </c>
      <c r="Y251" s="489">
        <f t="shared" si="17"/>
        <v>-20000</v>
      </c>
      <c r="Z251" s="489">
        <v>360000</v>
      </c>
      <c r="AA251" s="489">
        <v>360000</v>
      </c>
      <c r="AB251" s="489">
        <v>340000</v>
      </c>
      <c r="AC251" s="489">
        <f t="shared" si="18"/>
        <v>-20000</v>
      </c>
      <c r="AD251" s="489">
        <f t="shared" si="19"/>
        <v>-20000</v>
      </c>
      <c r="AE251" s="489">
        <v>0</v>
      </c>
      <c r="AF251" s="489">
        <v>0</v>
      </c>
      <c r="AG251" s="490" t="s">
        <v>1237</v>
      </c>
      <c r="AH251" s="490" t="s">
        <v>614</v>
      </c>
      <c r="AI251" s="490" t="s">
        <v>1505</v>
      </c>
      <c r="AJ251" s="490" t="s">
        <v>1505</v>
      </c>
      <c r="AK251" s="490" t="s">
        <v>1260</v>
      </c>
      <c r="AL251" s="49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row>
    <row r="252" spans="1:80" ht="18" customHeight="1" x14ac:dyDescent="0.25">
      <c r="A252" s="486">
        <f t="shared" si="15"/>
        <v>250</v>
      </c>
      <c r="B252" s="486" t="s">
        <v>3570</v>
      </c>
      <c r="C252" s="486">
        <v>5200000103</v>
      </c>
      <c r="D252" s="486" t="s">
        <v>4869</v>
      </c>
      <c r="E252" s="485" t="s">
        <v>1512</v>
      </c>
      <c r="F252" s="486" t="s">
        <v>3569</v>
      </c>
      <c r="G252" s="486" t="s">
        <v>3566</v>
      </c>
      <c r="H252" s="485" t="s">
        <v>2625</v>
      </c>
      <c r="I252" s="486" t="s">
        <v>3567</v>
      </c>
      <c r="J252" s="486" t="s">
        <v>3568</v>
      </c>
      <c r="K252" s="486" t="s">
        <v>1756</v>
      </c>
      <c r="L252" s="486" t="s">
        <v>1473</v>
      </c>
      <c r="M252" s="486" t="s">
        <v>1230</v>
      </c>
      <c r="N252" s="486" t="s">
        <v>1231</v>
      </c>
      <c r="O252" s="486" t="s">
        <v>1232</v>
      </c>
      <c r="P252" s="486" t="s">
        <v>469</v>
      </c>
      <c r="Q252" s="487">
        <v>44133</v>
      </c>
      <c r="R252" s="487">
        <v>44956</v>
      </c>
      <c r="S252" s="488">
        <v>1</v>
      </c>
      <c r="T252" s="488">
        <v>0.2</v>
      </c>
      <c r="U252" s="489">
        <v>1138727.23</v>
      </c>
      <c r="V252" s="489">
        <v>1138727.23</v>
      </c>
      <c r="W252" s="489">
        <v>1138727.23</v>
      </c>
      <c r="X252" s="489">
        <f t="shared" si="16"/>
        <v>0</v>
      </c>
      <c r="Y252" s="489">
        <f t="shared" si="17"/>
        <v>0</v>
      </c>
      <c r="Z252" s="489">
        <v>1138727.23</v>
      </c>
      <c r="AA252" s="489">
        <v>1138727.23</v>
      </c>
      <c r="AB252" s="489">
        <v>1138727.23</v>
      </c>
      <c r="AC252" s="489">
        <f t="shared" si="18"/>
        <v>0</v>
      </c>
      <c r="AD252" s="489">
        <f t="shared" si="19"/>
        <v>0</v>
      </c>
      <c r="AE252" s="489">
        <v>0</v>
      </c>
      <c r="AF252" s="489">
        <v>0</v>
      </c>
      <c r="AG252" s="520" t="s">
        <v>1288</v>
      </c>
      <c r="AH252" s="520" t="s">
        <v>1252</v>
      </c>
      <c r="AI252" s="520" t="s">
        <v>1269</v>
      </c>
      <c r="AJ252" s="520" t="s">
        <v>1234</v>
      </c>
      <c r="AK252" s="520" t="s">
        <v>1278</v>
      </c>
      <c r="AL252" s="491"/>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row>
    <row r="253" spans="1:80" ht="18" customHeight="1" x14ac:dyDescent="0.25">
      <c r="A253" s="486">
        <f t="shared" si="15"/>
        <v>251</v>
      </c>
      <c r="B253" s="486" t="s">
        <v>3571</v>
      </c>
      <c r="C253" s="486">
        <v>1200000147</v>
      </c>
      <c r="D253" s="486" t="s">
        <v>4870</v>
      </c>
      <c r="E253" s="486" t="s">
        <v>1399</v>
      </c>
      <c r="F253" s="486" t="s">
        <v>2589</v>
      </c>
      <c r="G253" s="486" t="s">
        <v>3191</v>
      </c>
      <c r="H253" s="485" t="s">
        <v>2589</v>
      </c>
      <c r="I253" s="486" t="s">
        <v>3191</v>
      </c>
      <c r="J253" s="486" t="s">
        <v>3192</v>
      </c>
      <c r="K253" s="486" t="s">
        <v>1756</v>
      </c>
      <c r="L253" s="486" t="s">
        <v>1473</v>
      </c>
      <c r="M253" s="486" t="s">
        <v>1230</v>
      </c>
      <c r="N253" s="486" t="s">
        <v>1231</v>
      </c>
      <c r="O253" s="486" t="s">
        <v>1232</v>
      </c>
      <c r="P253" s="486" t="s">
        <v>1156</v>
      </c>
      <c r="Q253" s="487">
        <v>44134</v>
      </c>
      <c r="R253" s="487">
        <v>46325</v>
      </c>
      <c r="S253" s="488">
        <v>1</v>
      </c>
      <c r="T253" s="488">
        <v>0.2</v>
      </c>
      <c r="U253" s="489">
        <v>4974300.32</v>
      </c>
      <c r="V253" s="489">
        <v>4762825.24</v>
      </c>
      <c r="W253" s="489">
        <v>4762825.24</v>
      </c>
      <c r="X253" s="489">
        <f t="shared" si="16"/>
        <v>-211475.08000000007</v>
      </c>
      <c r="Y253" s="489">
        <f t="shared" si="17"/>
        <v>0</v>
      </c>
      <c r="Z253" s="489">
        <v>4762825.24</v>
      </c>
      <c r="AA253" s="489">
        <v>4762825.24</v>
      </c>
      <c r="AB253" s="489">
        <v>4762825.24</v>
      </c>
      <c r="AC253" s="489">
        <f t="shared" si="18"/>
        <v>0</v>
      </c>
      <c r="AD253" s="489">
        <f t="shared" si="19"/>
        <v>0</v>
      </c>
      <c r="AE253" s="489">
        <v>0</v>
      </c>
      <c r="AF253" s="489">
        <v>0</v>
      </c>
      <c r="AG253" s="520" t="s">
        <v>1237</v>
      </c>
      <c r="AH253" s="520" t="s">
        <v>1236</v>
      </c>
      <c r="AI253" s="520"/>
      <c r="AJ253" s="520" t="s">
        <v>1259</v>
      </c>
      <c r="AK253" s="520" t="s">
        <v>1260</v>
      </c>
      <c r="AL253" s="491"/>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row>
    <row r="254" spans="1:80" ht="18" customHeight="1" x14ac:dyDescent="0.25">
      <c r="A254" s="486">
        <f t="shared" si="15"/>
        <v>252</v>
      </c>
      <c r="B254" s="486" t="s">
        <v>3574</v>
      </c>
      <c r="C254" s="486">
        <v>2200000104</v>
      </c>
      <c r="D254" s="486" t="s">
        <v>4871</v>
      </c>
      <c r="E254" s="485" t="s">
        <v>1506</v>
      </c>
      <c r="F254" s="486" t="s">
        <v>2622</v>
      </c>
      <c r="G254" s="486" t="s">
        <v>3572</v>
      </c>
      <c r="H254" s="485" t="s">
        <v>2622</v>
      </c>
      <c r="I254" s="486" t="s">
        <v>3572</v>
      </c>
      <c r="J254" s="486" t="s">
        <v>3573</v>
      </c>
      <c r="K254" s="486" t="s">
        <v>1756</v>
      </c>
      <c r="L254" s="486" t="s">
        <v>1473</v>
      </c>
      <c r="M254" s="486" t="s">
        <v>1230</v>
      </c>
      <c r="N254" s="486" t="s">
        <v>1231</v>
      </c>
      <c r="O254" s="486" t="s">
        <v>1232</v>
      </c>
      <c r="P254" s="486" t="s">
        <v>469</v>
      </c>
      <c r="Q254" s="487">
        <v>44134</v>
      </c>
      <c r="R254" s="487">
        <v>45107</v>
      </c>
      <c r="S254" s="488">
        <v>1.5</v>
      </c>
      <c r="T254" s="488">
        <v>0.3</v>
      </c>
      <c r="U254" s="489">
        <v>5000000</v>
      </c>
      <c r="V254" s="489">
        <v>5000000</v>
      </c>
      <c r="W254" s="489">
        <v>5000000</v>
      </c>
      <c r="X254" s="489">
        <f t="shared" si="16"/>
        <v>0</v>
      </c>
      <c r="Y254" s="489">
        <f t="shared" si="17"/>
        <v>0</v>
      </c>
      <c r="Z254" s="489">
        <v>2800055.59</v>
      </c>
      <c r="AA254" s="489">
        <v>2886555.59</v>
      </c>
      <c r="AB254" s="489">
        <v>2886555.59</v>
      </c>
      <c r="AC254" s="489">
        <f t="shared" si="18"/>
        <v>86500</v>
      </c>
      <c r="AD254" s="489">
        <f t="shared" si="19"/>
        <v>0</v>
      </c>
      <c r="AE254" s="489">
        <v>2113444.41</v>
      </c>
      <c r="AF254" s="489">
        <v>0</v>
      </c>
      <c r="AG254" s="520" t="s">
        <v>1245</v>
      </c>
      <c r="AH254" s="520" t="s">
        <v>1247</v>
      </c>
      <c r="AI254" s="520" t="s">
        <v>1248</v>
      </c>
      <c r="AJ254" s="520" t="s">
        <v>1246</v>
      </c>
      <c r="AK254" s="520" t="s">
        <v>1235</v>
      </c>
      <c r="AL254" s="491"/>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row>
    <row r="255" spans="1:80" ht="18" customHeight="1" x14ac:dyDescent="0.25">
      <c r="A255" s="486">
        <f t="shared" si="15"/>
        <v>253</v>
      </c>
      <c r="B255" s="486" t="s">
        <v>3575</v>
      </c>
      <c r="C255" s="486">
        <v>2100000100</v>
      </c>
      <c r="D255" s="486" t="s">
        <v>4872</v>
      </c>
      <c r="E255" s="485" t="s">
        <v>1506</v>
      </c>
      <c r="F255" s="486" t="s">
        <v>2622</v>
      </c>
      <c r="G255" s="486" t="s">
        <v>3572</v>
      </c>
      <c r="H255" s="485" t="s">
        <v>2622</v>
      </c>
      <c r="I255" s="486" t="s">
        <v>3572</v>
      </c>
      <c r="J255" s="486" t="s">
        <v>3573</v>
      </c>
      <c r="K255" s="486" t="s">
        <v>1756</v>
      </c>
      <c r="L255" s="486" t="s">
        <v>2783</v>
      </c>
      <c r="M255" s="486" t="s">
        <v>1230</v>
      </c>
      <c r="N255" s="486" t="s">
        <v>1231</v>
      </c>
      <c r="O255" s="486" t="s">
        <v>1231</v>
      </c>
      <c r="P255" s="486" t="s">
        <v>469</v>
      </c>
      <c r="Q255" s="487">
        <v>44134</v>
      </c>
      <c r="R255" s="487">
        <v>45107</v>
      </c>
      <c r="S255" s="488">
        <v>1.5</v>
      </c>
      <c r="T255" s="488"/>
      <c r="U255" s="489">
        <v>1550000</v>
      </c>
      <c r="V255" s="489">
        <v>1550000</v>
      </c>
      <c r="W255" s="489">
        <v>1550000</v>
      </c>
      <c r="X255" s="489">
        <f t="shared" si="16"/>
        <v>0</v>
      </c>
      <c r="Y255" s="489">
        <f t="shared" si="17"/>
        <v>0</v>
      </c>
      <c r="Z255" s="489">
        <v>131713.51999999999</v>
      </c>
      <c r="AA255" s="489">
        <v>131713.51999999999</v>
      </c>
      <c r="AB255" s="489">
        <v>154984.89000000001</v>
      </c>
      <c r="AC255" s="489">
        <f t="shared" si="18"/>
        <v>23271.370000000024</v>
      </c>
      <c r="AD255" s="489">
        <f t="shared" si="19"/>
        <v>23271.370000000024</v>
      </c>
      <c r="AE255" s="489">
        <v>0</v>
      </c>
      <c r="AF255" s="489">
        <v>1395015.1099999999</v>
      </c>
      <c r="AG255" s="520" t="s">
        <v>1245</v>
      </c>
      <c r="AH255" s="520" t="s">
        <v>1247</v>
      </c>
      <c r="AI255" s="520" t="s">
        <v>1248</v>
      </c>
      <c r="AJ255" s="520" t="s">
        <v>1246</v>
      </c>
      <c r="AK255" s="520" t="s">
        <v>1235</v>
      </c>
      <c r="AL255" s="491"/>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c r="BV255"/>
      <c r="BW255"/>
      <c r="BX255"/>
      <c r="BY255"/>
      <c r="BZ255"/>
      <c r="CA255"/>
      <c r="CB255"/>
    </row>
    <row r="256" spans="1:80" ht="18" customHeight="1" x14ac:dyDescent="0.25">
      <c r="A256" s="486">
        <f t="shared" si="15"/>
        <v>254</v>
      </c>
      <c r="B256" s="486" t="s">
        <v>3579</v>
      </c>
      <c r="C256" s="486">
        <v>2100000101</v>
      </c>
      <c r="D256" s="486" t="s">
        <v>4873</v>
      </c>
      <c r="E256" s="485" t="s">
        <v>1507</v>
      </c>
      <c r="F256" s="486" t="s">
        <v>3578</v>
      </c>
      <c r="G256" s="486" t="s">
        <v>3576</v>
      </c>
      <c r="H256" s="486" t="s">
        <v>3578</v>
      </c>
      <c r="I256" s="486" t="s">
        <v>3576</v>
      </c>
      <c r="J256" s="486" t="s">
        <v>3577</v>
      </c>
      <c r="K256" s="486" t="s">
        <v>1756</v>
      </c>
      <c r="L256" s="486" t="s">
        <v>2783</v>
      </c>
      <c r="M256" s="486" t="s">
        <v>1230</v>
      </c>
      <c r="N256" s="486" t="s">
        <v>1231</v>
      </c>
      <c r="O256" s="486" t="s">
        <v>1231</v>
      </c>
      <c r="P256" s="486" t="s">
        <v>469</v>
      </c>
      <c r="Q256" s="487">
        <v>44134</v>
      </c>
      <c r="R256" s="487">
        <v>45229</v>
      </c>
      <c r="S256" s="488">
        <v>1</v>
      </c>
      <c r="T256" s="488"/>
      <c r="U256" s="489">
        <v>8508706</v>
      </c>
      <c r="V256" s="489">
        <v>8508706</v>
      </c>
      <c r="W256" s="489">
        <v>8508706</v>
      </c>
      <c r="X256" s="489">
        <f t="shared" si="16"/>
        <v>0</v>
      </c>
      <c r="Y256" s="489">
        <f t="shared" si="17"/>
        <v>0</v>
      </c>
      <c r="Z256" s="489">
        <v>7597733.79</v>
      </c>
      <c r="AA256" s="489">
        <v>7597733.79</v>
      </c>
      <c r="AB256" s="489">
        <v>7597733.79</v>
      </c>
      <c r="AC256" s="489">
        <f t="shared" si="18"/>
        <v>0</v>
      </c>
      <c r="AD256" s="489">
        <f t="shared" si="19"/>
        <v>0</v>
      </c>
      <c r="AE256" s="489">
        <v>0</v>
      </c>
      <c r="AF256" s="489">
        <v>910972.21</v>
      </c>
      <c r="AG256" s="520" t="s">
        <v>1250</v>
      </c>
      <c r="AH256" s="520" t="s">
        <v>1291</v>
      </c>
      <c r="AI256" s="520" t="s">
        <v>1292</v>
      </c>
      <c r="AJ256" s="520" t="s">
        <v>1234</v>
      </c>
      <c r="AK256" s="520" t="s">
        <v>1240</v>
      </c>
      <c r="AL256" s="491"/>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row>
    <row r="257" spans="1:80" ht="18" customHeight="1" x14ac:dyDescent="0.25">
      <c r="A257" s="486">
        <f t="shared" si="15"/>
        <v>255</v>
      </c>
      <c r="B257" s="486" t="s">
        <v>3583</v>
      </c>
      <c r="C257" s="486">
        <v>2200000105</v>
      </c>
      <c r="D257" s="486" t="s">
        <v>4874</v>
      </c>
      <c r="E257" s="485" t="s">
        <v>1509</v>
      </c>
      <c r="F257" s="486" t="s">
        <v>3582</v>
      </c>
      <c r="G257" s="486" t="s">
        <v>3580</v>
      </c>
      <c r="H257" s="486" t="s">
        <v>3582</v>
      </c>
      <c r="I257" s="486" t="s">
        <v>3580</v>
      </c>
      <c r="J257" s="486" t="s">
        <v>3581</v>
      </c>
      <c r="K257" s="486" t="s">
        <v>1756</v>
      </c>
      <c r="L257" s="486" t="s">
        <v>1473</v>
      </c>
      <c r="M257" s="486" t="s">
        <v>1230</v>
      </c>
      <c r="N257" s="486" t="s">
        <v>1231</v>
      </c>
      <c r="O257" s="486" t="s">
        <v>1232</v>
      </c>
      <c r="P257" s="486" t="s">
        <v>469</v>
      </c>
      <c r="Q257" s="487">
        <v>44134</v>
      </c>
      <c r="R257" s="487">
        <v>45251</v>
      </c>
      <c r="S257" s="488">
        <v>1.5</v>
      </c>
      <c r="T257" s="488">
        <v>0.3</v>
      </c>
      <c r="U257" s="489">
        <v>5000000</v>
      </c>
      <c r="V257" s="489">
        <v>5000000</v>
      </c>
      <c r="W257" s="489">
        <v>5000000</v>
      </c>
      <c r="X257" s="489">
        <f t="shared" si="16"/>
        <v>0</v>
      </c>
      <c r="Y257" s="489">
        <f t="shared" si="17"/>
        <v>0</v>
      </c>
      <c r="Z257" s="489">
        <v>3391815</v>
      </c>
      <c r="AA257" s="489">
        <v>3391815</v>
      </c>
      <c r="AB257" s="489">
        <v>3391815</v>
      </c>
      <c r="AC257" s="489">
        <f t="shared" si="18"/>
        <v>0</v>
      </c>
      <c r="AD257" s="489">
        <f t="shared" si="19"/>
        <v>0</v>
      </c>
      <c r="AE257" s="489">
        <v>1608185</v>
      </c>
      <c r="AF257" s="489">
        <v>0</v>
      </c>
      <c r="AG257" s="520" t="s">
        <v>1245</v>
      </c>
      <c r="AH257" s="520" t="s">
        <v>1247</v>
      </c>
      <c r="AI257" s="520" t="s">
        <v>1248</v>
      </c>
      <c r="AJ257" s="520" t="s">
        <v>1246</v>
      </c>
      <c r="AK257" s="520" t="s">
        <v>1235</v>
      </c>
      <c r="AL257" s="491"/>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row>
    <row r="258" spans="1:80" ht="18" customHeight="1" x14ac:dyDescent="0.25">
      <c r="A258" s="486">
        <f t="shared" si="15"/>
        <v>256</v>
      </c>
      <c r="B258" s="486" t="s">
        <v>3584</v>
      </c>
      <c r="C258" s="486">
        <v>2100000103</v>
      </c>
      <c r="D258" s="486" t="s">
        <v>4875</v>
      </c>
      <c r="E258" s="485" t="s">
        <v>1509</v>
      </c>
      <c r="F258" s="486" t="s">
        <v>3582</v>
      </c>
      <c r="G258" s="486" t="s">
        <v>3580</v>
      </c>
      <c r="H258" s="486" t="s">
        <v>3582</v>
      </c>
      <c r="I258" s="486" t="s">
        <v>3580</v>
      </c>
      <c r="J258" s="486" t="s">
        <v>3581</v>
      </c>
      <c r="K258" s="486" t="s">
        <v>1756</v>
      </c>
      <c r="L258" s="486" t="s">
        <v>2783</v>
      </c>
      <c r="M258" s="486" t="s">
        <v>1230</v>
      </c>
      <c r="N258" s="486" t="s">
        <v>1231</v>
      </c>
      <c r="O258" s="486" t="s">
        <v>1231</v>
      </c>
      <c r="P258" s="486" t="s">
        <v>469</v>
      </c>
      <c r="Q258" s="487">
        <v>44134</v>
      </c>
      <c r="R258" s="487">
        <v>45251</v>
      </c>
      <c r="S258" s="488">
        <v>1.5</v>
      </c>
      <c r="T258" s="488"/>
      <c r="U258" s="489">
        <v>1275800</v>
      </c>
      <c r="V258" s="489">
        <v>1275800</v>
      </c>
      <c r="W258" s="489">
        <v>1275800</v>
      </c>
      <c r="X258" s="489">
        <f t="shared" si="16"/>
        <v>0</v>
      </c>
      <c r="Y258" s="489">
        <f t="shared" si="17"/>
        <v>0</v>
      </c>
      <c r="Z258" s="489">
        <v>166875.03</v>
      </c>
      <c r="AA258" s="489">
        <v>166875.03</v>
      </c>
      <c r="AB258" s="489">
        <v>167892.28</v>
      </c>
      <c r="AC258" s="489">
        <f t="shared" si="18"/>
        <v>1017.25</v>
      </c>
      <c r="AD258" s="489">
        <f t="shared" si="19"/>
        <v>1017.25</v>
      </c>
      <c r="AE258" s="489">
        <v>0</v>
      </c>
      <c r="AF258" s="489">
        <v>1107907.72</v>
      </c>
      <c r="AG258" s="520" t="s">
        <v>1245</v>
      </c>
      <c r="AH258" s="520" t="s">
        <v>1247</v>
      </c>
      <c r="AI258" s="520" t="s">
        <v>1248</v>
      </c>
      <c r="AJ258" s="520" t="s">
        <v>1246</v>
      </c>
      <c r="AK258" s="520" t="s">
        <v>1235</v>
      </c>
      <c r="AL258" s="491"/>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row>
    <row r="259" spans="1:80" ht="18" customHeight="1" x14ac:dyDescent="0.25">
      <c r="A259" s="492">
        <f t="shared" si="15"/>
        <v>257</v>
      </c>
      <c r="B259" s="492" t="s">
        <v>3587</v>
      </c>
      <c r="C259" s="492">
        <v>2200000106</v>
      </c>
      <c r="D259" s="492" t="s">
        <v>4876</v>
      </c>
      <c r="E259" s="492" t="s">
        <v>1510</v>
      </c>
      <c r="F259" s="492" t="s">
        <v>2623</v>
      </c>
      <c r="G259" s="492" t="s">
        <v>3585</v>
      </c>
      <c r="H259" s="492" t="s">
        <v>2623</v>
      </c>
      <c r="I259" s="492" t="s">
        <v>3585</v>
      </c>
      <c r="J259" s="492" t="s">
        <v>3586</v>
      </c>
      <c r="K259" s="492" t="s">
        <v>1756</v>
      </c>
      <c r="L259" s="492" t="s">
        <v>1473</v>
      </c>
      <c r="M259" s="493" t="s">
        <v>1230</v>
      </c>
      <c r="N259" s="493" t="s">
        <v>1232</v>
      </c>
      <c r="O259" s="493" t="s">
        <v>1232</v>
      </c>
      <c r="P259" s="492" t="s">
        <v>469</v>
      </c>
      <c r="Q259" s="494">
        <v>44134</v>
      </c>
      <c r="R259" s="494">
        <v>44956</v>
      </c>
      <c r="S259" s="498">
        <v>1.5</v>
      </c>
      <c r="T259" s="498">
        <v>0.3</v>
      </c>
      <c r="U259" s="496">
        <v>5000000</v>
      </c>
      <c r="V259" s="496">
        <v>5000000</v>
      </c>
      <c r="W259" s="496">
        <v>5000000</v>
      </c>
      <c r="X259" s="496">
        <f t="shared" si="16"/>
        <v>0</v>
      </c>
      <c r="Y259" s="496">
        <f t="shared" si="17"/>
        <v>0</v>
      </c>
      <c r="Z259" s="496">
        <v>3042288.48</v>
      </c>
      <c r="AA259" s="496">
        <v>3511251.58</v>
      </c>
      <c r="AB259" s="496">
        <v>3511251.58</v>
      </c>
      <c r="AC259" s="496">
        <f t="shared" si="18"/>
        <v>468963.10000000009</v>
      </c>
      <c r="AD259" s="496">
        <f t="shared" si="19"/>
        <v>0</v>
      </c>
      <c r="AE259" s="496">
        <v>1488748.42</v>
      </c>
      <c r="AF259" s="496">
        <v>0</v>
      </c>
      <c r="AG259" s="497" t="s">
        <v>1245</v>
      </c>
      <c r="AH259" s="497" t="s">
        <v>1298</v>
      </c>
      <c r="AI259" s="497"/>
      <c r="AJ259" s="497" t="s">
        <v>1246</v>
      </c>
      <c r="AK259" s="497" t="s">
        <v>1235</v>
      </c>
      <c r="AL259" s="491"/>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row>
    <row r="260" spans="1:80" ht="18" customHeight="1" x14ac:dyDescent="0.25">
      <c r="A260" s="492">
        <f t="shared" ref="A260:A323" si="20">A259+1</f>
        <v>258</v>
      </c>
      <c r="B260" s="492" t="s">
        <v>3596</v>
      </c>
      <c r="C260" s="492">
        <v>2200000107</v>
      </c>
      <c r="D260" s="492" t="s">
        <v>4877</v>
      </c>
      <c r="E260" s="492" t="s">
        <v>1514</v>
      </c>
      <c r="F260" s="492" t="s">
        <v>3595</v>
      </c>
      <c r="G260" s="492" t="s">
        <v>3593</v>
      </c>
      <c r="H260" s="492" t="s">
        <v>3595</v>
      </c>
      <c r="I260" s="492" t="s">
        <v>3593</v>
      </c>
      <c r="J260" s="492" t="s">
        <v>3594</v>
      </c>
      <c r="K260" s="492" t="s">
        <v>1756</v>
      </c>
      <c r="L260" s="492" t="s">
        <v>1473</v>
      </c>
      <c r="M260" s="493" t="s">
        <v>1230</v>
      </c>
      <c r="N260" s="493" t="s">
        <v>1232</v>
      </c>
      <c r="O260" s="493" t="s">
        <v>1232</v>
      </c>
      <c r="P260" s="492" t="s">
        <v>469</v>
      </c>
      <c r="Q260" s="494">
        <v>44141</v>
      </c>
      <c r="R260" s="494">
        <v>44966</v>
      </c>
      <c r="S260" s="498">
        <v>1</v>
      </c>
      <c r="T260" s="498">
        <v>0.2</v>
      </c>
      <c r="U260" s="496">
        <v>1043996</v>
      </c>
      <c r="V260" s="496">
        <v>1043996</v>
      </c>
      <c r="W260" s="496">
        <v>1043996</v>
      </c>
      <c r="X260" s="496">
        <f t="shared" si="16"/>
        <v>0</v>
      </c>
      <c r="Y260" s="496">
        <f t="shared" si="17"/>
        <v>0</v>
      </c>
      <c r="Z260" s="496">
        <v>1043996</v>
      </c>
      <c r="AA260" s="496">
        <v>1043996</v>
      </c>
      <c r="AB260" s="496">
        <v>1043996</v>
      </c>
      <c r="AC260" s="496">
        <f t="shared" si="18"/>
        <v>0</v>
      </c>
      <c r="AD260" s="496">
        <f t="shared" si="19"/>
        <v>0</v>
      </c>
      <c r="AE260" s="496">
        <v>0</v>
      </c>
      <c r="AF260" s="496">
        <v>0</v>
      </c>
      <c r="AG260" s="497" t="s">
        <v>1245</v>
      </c>
      <c r="AH260" s="497" t="s">
        <v>1247</v>
      </c>
      <c r="AI260" s="497" t="s">
        <v>1248</v>
      </c>
      <c r="AJ260" s="497" t="s">
        <v>1246</v>
      </c>
      <c r="AK260" s="497" t="s">
        <v>1278</v>
      </c>
      <c r="AL260" s="491"/>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row>
    <row r="261" spans="1:80" ht="18" customHeight="1" x14ac:dyDescent="0.25">
      <c r="A261" s="486">
        <f t="shared" si="20"/>
        <v>259</v>
      </c>
      <c r="B261" s="486" t="s">
        <v>3597</v>
      </c>
      <c r="C261" s="486">
        <v>1200000146</v>
      </c>
      <c r="D261" s="486" t="s">
        <v>4878</v>
      </c>
      <c r="E261" s="486" t="s">
        <v>279</v>
      </c>
      <c r="F261" s="486" t="s">
        <v>2755</v>
      </c>
      <c r="G261" s="486" t="s">
        <v>1078</v>
      </c>
      <c r="H261" s="485" t="s">
        <v>2554</v>
      </c>
      <c r="I261" s="486" t="s">
        <v>2907</v>
      </c>
      <c r="J261" s="486" t="s">
        <v>2908</v>
      </c>
      <c r="K261" s="486" t="s">
        <v>1756</v>
      </c>
      <c r="L261" s="486" t="s">
        <v>1473</v>
      </c>
      <c r="M261" s="486" t="s">
        <v>1230</v>
      </c>
      <c r="N261" s="486" t="s">
        <v>1231</v>
      </c>
      <c r="O261" s="486" t="s">
        <v>1232</v>
      </c>
      <c r="P261" s="486" t="s">
        <v>1156</v>
      </c>
      <c r="Q261" s="487">
        <v>44148</v>
      </c>
      <c r="R261" s="487">
        <v>44958</v>
      </c>
      <c r="S261" s="488">
        <v>1</v>
      </c>
      <c r="T261" s="488">
        <v>0.2</v>
      </c>
      <c r="U261" s="489">
        <v>2100000</v>
      </c>
      <c r="V261" s="489">
        <v>2100000</v>
      </c>
      <c r="W261" s="489">
        <v>2100000</v>
      </c>
      <c r="X261" s="489">
        <f t="shared" si="16"/>
        <v>0</v>
      </c>
      <c r="Y261" s="489">
        <f t="shared" si="17"/>
        <v>0</v>
      </c>
      <c r="Z261" s="489">
        <v>2100000</v>
      </c>
      <c r="AA261" s="489">
        <v>2100000</v>
      </c>
      <c r="AB261" s="489">
        <v>2100000</v>
      </c>
      <c r="AC261" s="489">
        <f t="shared" si="18"/>
        <v>0</v>
      </c>
      <c r="AD261" s="489">
        <f t="shared" si="19"/>
        <v>0</v>
      </c>
      <c r="AE261" s="489">
        <v>0</v>
      </c>
      <c r="AF261" s="489">
        <v>0</v>
      </c>
      <c r="AG261" s="490" t="s">
        <v>1237</v>
      </c>
      <c r="AH261" s="490" t="s">
        <v>1303</v>
      </c>
      <c r="AI261" s="490"/>
      <c r="AJ261" s="490" t="s">
        <v>1253</v>
      </c>
      <c r="AK261" s="490" t="s">
        <v>1260</v>
      </c>
      <c r="AL261" s="49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row>
    <row r="262" spans="1:80" ht="18" customHeight="1" x14ac:dyDescent="0.25">
      <c r="A262" s="486">
        <f t="shared" si="20"/>
        <v>260</v>
      </c>
      <c r="B262" s="486" t="s">
        <v>3602</v>
      </c>
      <c r="C262" s="486">
        <v>2100000104</v>
      </c>
      <c r="D262" s="486" t="s">
        <v>4879</v>
      </c>
      <c r="E262" s="486" t="s">
        <v>3600</v>
      </c>
      <c r="F262" s="486" t="s">
        <v>3601</v>
      </c>
      <c r="G262" s="486" t="s">
        <v>3598</v>
      </c>
      <c r="H262" s="485" t="s">
        <v>2571</v>
      </c>
      <c r="I262" s="486" t="s">
        <v>3044</v>
      </c>
      <c r="J262" s="486" t="s">
        <v>3599</v>
      </c>
      <c r="K262" s="486" t="s">
        <v>1756</v>
      </c>
      <c r="L262" s="486" t="s">
        <v>2783</v>
      </c>
      <c r="M262" s="486" t="s">
        <v>1230</v>
      </c>
      <c r="N262" s="486" t="s">
        <v>1231</v>
      </c>
      <c r="O262" s="486" t="s">
        <v>1231</v>
      </c>
      <c r="P262" s="486" t="s">
        <v>469</v>
      </c>
      <c r="Q262" s="487">
        <v>44151</v>
      </c>
      <c r="R262" s="487">
        <v>44881</v>
      </c>
      <c r="S262" s="488">
        <v>1</v>
      </c>
      <c r="T262" s="488"/>
      <c r="U262" s="489">
        <v>12292323.5</v>
      </c>
      <c r="V262" s="489">
        <v>12268042.25</v>
      </c>
      <c r="W262" s="489">
        <v>12212942.25</v>
      </c>
      <c r="X262" s="489">
        <f t="shared" si="16"/>
        <v>-79381.25</v>
      </c>
      <c r="Y262" s="489">
        <f t="shared" si="17"/>
        <v>-55100</v>
      </c>
      <c r="Z262" s="489">
        <v>11785683.18</v>
      </c>
      <c r="AA262" s="489">
        <v>11835742.25</v>
      </c>
      <c r="AB262" s="489">
        <v>11780642.25</v>
      </c>
      <c r="AC262" s="489">
        <f t="shared" si="18"/>
        <v>-5040.929999999702</v>
      </c>
      <c r="AD262" s="489">
        <f t="shared" si="19"/>
        <v>-55100</v>
      </c>
      <c r="AE262" s="489">
        <v>0</v>
      </c>
      <c r="AF262" s="489">
        <v>432300</v>
      </c>
      <c r="AG262" s="490" t="s">
        <v>1245</v>
      </c>
      <c r="AH262" s="490" t="s">
        <v>1247</v>
      </c>
      <c r="AI262" s="490" t="s">
        <v>1248</v>
      </c>
      <c r="AJ262" s="490" t="s">
        <v>1246</v>
      </c>
      <c r="AK262" s="490" t="s">
        <v>1278</v>
      </c>
      <c r="AL262" s="491"/>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row>
    <row r="263" spans="1:80" ht="18" customHeight="1" x14ac:dyDescent="0.25">
      <c r="A263" s="492">
        <f t="shared" si="20"/>
        <v>261</v>
      </c>
      <c r="B263" s="492" t="s">
        <v>4880</v>
      </c>
      <c r="C263" s="521">
        <v>1100000287</v>
      </c>
      <c r="D263" s="492" t="s">
        <v>4881</v>
      </c>
      <c r="E263" s="492" t="s">
        <v>1515</v>
      </c>
      <c r="F263" s="492" t="s">
        <v>1020</v>
      </c>
      <c r="G263" s="492" t="s">
        <v>3603</v>
      </c>
      <c r="H263" s="492" t="s">
        <v>1020</v>
      </c>
      <c r="I263" s="492" t="s">
        <v>3603</v>
      </c>
      <c r="J263" s="496" t="s">
        <v>3604</v>
      </c>
      <c r="K263" s="492" t="s">
        <v>1756</v>
      </c>
      <c r="L263" s="496" t="s">
        <v>2783</v>
      </c>
      <c r="M263" s="493" t="s">
        <v>1230</v>
      </c>
      <c r="N263" s="493" t="s">
        <v>1232</v>
      </c>
      <c r="O263" s="493" t="s">
        <v>1231</v>
      </c>
      <c r="P263" s="492" t="s">
        <v>1156</v>
      </c>
      <c r="Q263" s="494">
        <v>44153</v>
      </c>
      <c r="R263" s="494">
        <v>46169</v>
      </c>
      <c r="S263" s="498">
        <v>1</v>
      </c>
      <c r="T263" s="498"/>
      <c r="U263" s="496">
        <v>6312238</v>
      </c>
      <c r="V263" s="496">
        <v>6312238</v>
      </c>
      <c r="W263" s="496">
        <v>8250000</v>
      </c>
      <c r="X263" s="496">
        <f t="shared" si="16"/>
        <v>1937762</v>
      </c>
      <c r="Y263" s="496">
        <f t="shared" si="17"/>
        <v>1937762</v>
      </c>
      <c r="Z263" s="496">
        <v>5890823.4299999997</v>
      </c>
      <c r="AA263" s="496">
        <v>6019066.1799999997</v>
      </c>
      <c r="AB263" s="496">
        <v>8250000</v>
      </c>
      <c r="AC263" s="496">
        <f t="shared" si="18"/>
        <v>2359176.5700000003</v>
      </c>
      <c r="AD263" s="496">
        <f t="shared" si="19"/>
        <v>2230933.8200000003</v>
      </c>
      <c r="AE263" s="496">
        <v>0</v>
      </c>
      <c r="AF263" s="496">
        <v>0</v>
      </c>
      <c r="AG263" s="497" t="s">
        <v>1237</v>
      </c>
      <c r="AH263" s="497" t="s">
        <v>1357</v>
      </c>
      <c r="AI263" s="497"/>
      <c r="AJ263" s="497" t="s">
        <v>1363</v>
      </c>
      <c r="AK263" s="497" t="s">
        <v>1260</v>
      </c>
      <c r="AL263" s="491"/>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row>
    <row r="264" spans="1:80" ht="18" customHeight="1" x14ac:dyDescent="0.25">
      <c r="A264" s="492">
        <f t="shared" si="20"/>
        <v>262</v>
      </c>
      <c r="B264" s="492" t="s">
        <v>4882</v>
      </c>
      <c r="C264" s="492">
        <v>4100000101</v>
      </c>
      <c r="D264" s="492" t="s">
        <v>4883</v>
      </c>
      <c r="E264" s="492" t="s">
        <v>1516</v>
      </c>
      <c r="F264" s="521" t="s">
        <v>4884</v>
      </c>
      <c r="G264" s="492" t="s">
        <v>3605</v>
      </c>
      <c r="H264" s="521" t="s">
        <v>4884</v>
      </c>
      <c r="I264" s="492" t="s">
        <v>3605</v>
      </c>
      <c r="J264" s="496" t="s">
        <v>3606</v>
      </c>
      <c r="K264" s="492" t="s">
        <v>1756</v>
      </c>
      <c r="L264" s="496" t="s">
        <v>2783</v>
      </c>
      <c r="M264" s="493" t="s">
        <v>1230</v>
      </c>
      <c r="N264" s="493" t="s">
        <v>1232</v>
      </c>
      <c r="O264" s="493" t="s">
        <v>1232</v>
      </c>
      <c r="P264" s="492" t="s">
        <v>469</v>
      </c>
      <c r="Q264" s="494">
        <v>44155</v>
      </c>
      <c r="R264" s="494">
        <v>45250</v>
      </c>
      <c r="S264" s="498">
        <v>0.35</v>
      </c>
      <c r="T264" s="498"/>
      <c r="U264" s="496">
        <v>10479000</v>
      </c>
      <c r="V264" s="496">
        <v>10479000</v>
      </c>
      <c r="W264" s="496">
        <v>10479000</v>
      </c>
      <c r="X264" s="496">
        <f t="shared" ref="X264:X327" si="21">W264-U264</f>
        <v>0</v>
      </c>
      <c r="Y264" s="496">
        <f t="shared" ref="Y264:Y327" si="22">W264-V264</f>
        <v>0</v>
      </c>
      <c r="Z264" s="496">
        <v>10479000</v>
      </c>
      <c r="AA264" s="496">
        <v>10479000</v>
      </c>
      <c r="AB264" s="496">
        <v>10479000</v>
      </c>
      <c r="AC264" s="496">
        <f t="shared" ref="AC264:AC327" si="23">AB264-Z264</f>
        <v>0</v>
      </c>
      <c r="AD264" s="496">
        <f t="shared" ref="AD264:AD327" si="24">AB264-AA264</f>
        <v>0</v>
      </c>
      <c r="AE264" s="496">
        <v>0</v>
      </c>
      <c r="AF264" s="496">
        <v>0</v>
      </c>
      <c r="AG264" s="497" t="s">
        <v>1250</v>
      </c>
      <c r="AH264" s="497" t="s">
        <v>1252</v>
      </c>
      <c r="AI264" s="497" t="s">
        <v>1248</v>
      </c>
      <c r="AJ264" s="497" t="s">
        <v>1234</v>
      </c>
      <c r="AK264" s="497" t="s">
        <v>1251</v>
      </c>
      <c r="AL264" s="491"/>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row>
    <row r="265" spans="1:80" ht="18" customHeight="1" x14ac:dyDescent="0.25">
      <c r="A265" s="492">
        <f t="shared" si="20"/>
        <v>263</v>
      </c>
      <c r="B265" s="492" t="s">
        <v>3608</v>
      </c>
      <c r="C265" s="492">
        <v>1200000116</v>
      </c>
      <c r="D265" s="492" t="s">
        <v>4885</v>
      </c>
      <c r="E265" s="492" t="s">
        <v>263</v>
      </c>
      <c r="F265" s="492" t="s">
        <v>2626</v>
      </c>
      <c r="G265" s="492" t="s">
        <v>1119</v>
      </c>
      <c r="H265" s="492" t="s">
        <v>2626</v>
      </c>
      <c r="I265" s="492" t="s">
        <v>1119</v>
      </c>
      <c r="J265" s="492" t="s">
        <v>3607</v>
      </c>
      <c r="K265" s="492" t="s">
        <v>1756</v>
      </c>
      <c r="L265" s="492" t="s">
        <v>1473</v>
      </c>
      <c r="M265" s="493" t="s">
        <v>1230</v>
      </c>
      <c r="N265" s="493" t="s">
        <v>1232</v>
      </c>
      <c r="O265" s="493" t="s">
        <v>1232</v>
      </c>
      <c r="P265" s="492" t="s">
        <v>1156</v>
      </c>
      <c r="Q265" s="494">
        <v>44155</v>
      </c>
      <c r="R265" s="494">
        <v>45889</v>
      </c>
      <c r="S265" s="498">
        <v>1</v>
      </c>
      <c r="T265" s="498">
        <v>0.2</v>
      </c>
      <c r="U265" s="496">
        <v>405001</v>
      </c>
      <c r="V265" s="496">
        <v>405001</v>
      </c>
      <c r="W265" s="496">
        <v>405001</v>
      </c>
      <c r="X265" s="496">
        <f t="shared" si="21"/>
        <v>0</v>
      </c>
      <c r="Y265" s="496">
        <f t="shared" si="22"/>
        <v>0</v>
      </c>
      <c r="Z265" s="496">
        <v>405001</v>
      </c>
      <c r="AA265" s="496">
        <v>405001</v>
      </c>
      <c r="AB265" s="496">
        <v>405001</v>
      </c>
      <c r="AC265" s="496">
        <f t="shared" si="23"/>
        <v>0</v>
      </c>
      <c r="AD265" s="496">
        <f t="shared" si="24"/>
        <v>0</v>
      </c>
      <c r="AE265" s="496">
        <v>0</v>
      </c>
      <c r="AF265" s="496">
        <v>0</v>
      </c>
      <c r="AG265" s="497" t="s">
        <v>1237</v>
      </c>
      <c r="AH265" s="497" t="s">
        <v>614</v>
      </c>
      <c r="AI265" s="497" t="s">
        <v>1505</v>
      </c>
      <c r="AJ265" s="497" t="s">
        <v>1505</v>
      </c>
      <c r="AK265" s="497" t="s">
        <v>1260</v>
      </c>
      <c r="AL265" s="491"/>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row>
    <row r="266" spans="1:80" ht="18" customHeight="1" x14ac:dyDescent="0.25">
      <c r="A266" s="485">
        <f t="shared" si="20"/>
        <v>264</v>
      </c>
      <c r="B266" s="485" t="s">
        <v>3609</v>
      </c>
      <c r="C266" s="485">
        <v>4100000028</v>
      </c>
      <c r="D266" s="485" t="s">
        <v>4886</v>
      </c>
      <c r="E266" s="485" t="s">
        <v>1469</v>
      </c>
      <c r="F266" s="485" t="s">
        <v>1468</v>
      </c>
      <c r="G266" s="485" t="s">
        <v>3412</v>
      </c>
      <c r="H266" s="485" t="s">
        <v>1468</v>
      </c>
      <c r="I266" s="485" t="s">
        <v>3412</v>
      </c>
      <c r="J266" s="485" t="s">
        <v>3413</v>
      </c>
      <c r="K266" s="485" t="s">
        <v>1756</v>
      </c>
      <c r="L266" s="485" t="s">
        <v>2783</v>
      </c>
      <c r="M266" s="486" t="s">
        <v>1230</v>
      </c>
      <c r="N266" s="486" t="s">
        <v>1231</v>
      </c>
      <c r="O266" s="485" t="s">
        <v>1232</v>
      </c>
      <c r="P266" s="485" t="s">
        <v>469</v>
      </c>
      <c r="Q266" s="487">
        <v>44158</v>
      </c>
      <c r="R266" s="487">
        <v>45775</v>
      </c>
      <c r="S266" s="488">
        <v>0.35</v>
      </c>
      <c r="T266" s="488"/>
      <c r="U266" s="489">
        <v>940000</v>
      </c>
      <c r="V266" s="489">
        <v>940000</v>
      </c>
      <c r="W266" s="489">
        <v>940000</v>
      </c>
      <c r="X266" s="489">
        <f t="shared" si="21"/>
        <v>0</v>
      </c>
      <c r="Y266" s="489">
        <f t="shared" si="22"/>
        <v>0</v>
      </c>
      <c r="Z266" s="489">
        <v>462500</v>
      </c>
      <c r="AA266" s="489">
        <v>462500</v>
      </c>
      <c r="AB266" s="489">
        <v>462500</v>
      </c>
      <c r="AC266" s="489">
        <f t="shared" si="23"/>
        <v>0</v>
      </c>
      <c r="AD266" s="489">
        <f t="shared" si="24"/>
        <v>0</v>
      </c>
      <c r="AE266" s="489">
        <v>477500</v>
      </c>
      <c r="AF266" s="489">
        <v>0</v>
      </c>
      <c r="AG266" s="490" t="s">
        <v>1250</v>
      </c>
      <c r="AH266" s="490" t="s">
        <v>1379</v>
      </c>
      <c r="AI266" s="490"/>
      <c r="AJ266" s="490" t="s">
        <v>1234</v>
      </c>
      <c r="AK266" s="490" t="s">
        <v>1251</v>
      </c>
      <c r="AL266" s="515"/>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row>
    <row r="267" spans="1:80" ht="18" customHeight="1" x14ac:dyDescent="0.25">
      <c r="A267" s="492">
        <f t="shared" si="20"/>
        <v>265</v>
      </c>
      <c r="B267" s="492" t="s">
        <v>4887</v>
      </c>
      <c r="C267" s="492">
        <v>5100000104</v>
      </c>
      <c r="D267" s="492" t="s">
        <v>4888</v>
      </c>
      <c r="E267" s="492" t="s">
        <v>1508</v>
      </c>
      <c r="F267" s="492" t="s">
        <v>3612</v>
      </c>
      <c r="G267" s="492" t="s">
        <v>3610</v>
      </c>
      <c r="H267" s="492" t="s">
        <v>3612</v>
      </c>
      <c r="I267" s="492" t="s">
        <v>3610</v>
      </c>
      <c r="J267" s="492" t="s">
        <v>3611</v>
      </c>
      <c r="K267" s="492" t="s">
        <v>1756</v>
      </c>
      <c r="L267" s="492" t="s">
        <v>2783</v>
      </c>
      <c r="M267" s="493" t="s">
        <v>1230</v>
      </c>
      <c r="N267" s="493" t="s">
        <v>1232</v>
      </c>
      <c r="O267" s="493" t="s">
        <v>1232</v>
      </c>
      <c r="P267" s="492" t="s">
        <v>469</v>
      </c>
      <c r="Q267" s="494">
        <v>44161</v>
      </c>
      <c r="R267" s="494">
        <v>44778</v>
      </c>
      <c r="S267" s="498">
        <v>1</v>
      </c>
      <c r="T267" s="498"/>
      <c r="U267" s="496">
        <v>8000000</v>
      </c>
      <c r="V267" s="496">
        <v>8000000</v>
      </c>
      <c r="W267" s="496">
        <v>8000000</v>
      </c>
      <c r="X267" s="496">
        <f t="shared" si="21"/>
        <v>0</v>
      </c>
      <c r="Y267" s="496">
        <f t="shared" si="22"/>
        <v>0</v>
      </c>
      <c r="Z267" s="496">
        <v>7479073.2300000004</v>
      </c>
      <c r="AA267" s="496">
        <v>7479073.2300000004</v>
      </c>
      <c r="AB267" s="496">
        <v>7479073.2300000004</v>
      </c>
      <c r="AC267" s="496">
        <f t="shared" si="23"/>
        <v>0</v>
      </c>
      <c r="AD267" s="496">
        <f t="shared" si="24"/>
        <v>0</v>
      </c>
      <c r="AE267" s="496">
        <v>520926.77</v>
      </c>
      <c r="AF267" s="496">
        <v>0</v>
      </c>
      <c r="AG267" s="497" t="s">
        <v>1288</v>
      </c>
      <c r="AH267" s="497" t="s">
        <v>1252</v>
      </c>
      <c r="AI267" s="497" t="s">
        <v>1269</v>
      </c>
      <c r="AJ267" s="497" t="s">
        <v>1234</v>
      </c>
      <c r="AK267" s="497" t="s">
        <v>1278</v>
      </c>
      <c r="AL267" s="491"/>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row>
    <row r="268" spans="1:80" ht="18" customHeight="1" x14ac:dyDescent="0.25">
      <c r="A268" s="492">
        <f t="shared" si="20"/>
        <v>266</v>
      </c>
      <c r="B268" s="492" t="s">
        <v>3616</v>
      </c>
      <c r="C268" s="492">
        <v>2100000106</v>
      </c>
      <c r="D268" s="492" t="s">
        <v>4889</v>
      </c>
      <c r="E268" s="492" t="s">
        <v>1517</v>
      </c>
      <c r="F268" s="492" t="s">
        <v>3615</v>
      </c>
      <c r="G268" s="492" t="s">
        <v>3613</v>
      </c>
      <c r="H268" s="492" t="s">
        <v>3615</v>
      </c>
      <c r="I268" s="492" t="s">
        <v>3613</v>
      </c>
      <c r="J268" s="492" t="s">
        <v>3614</v>
      </c>
      <c r="K268" s="492" t="s">
        <v>1756</v>
      </c>
      <c r="L268" s="492" t="s">
        <v>2783</v>
      </c>
      <c r="M268" s="493" t="s">
        <v>1230</v>
      </c>
      <c r="N268" s="493" t="s">
        <v>1232</v>
      </c>
      <c r="O268" s="493" t="s">
        <v>1232</v>
      </c>
      <c r="P268" s="492" t="s">
        <v>469</v>
      </c>
      <c r="Q268" s="494">
        <v>44165</v>
      </c>
      <c r="R268" s="494">
        <v>44895</v>
      </c>
      <c r="S268" s="498">
        <v>1.5</v>
      </c>
      <c r="T268" s="498"/>
      <c r="U268" s="496">
        <v>21467564</v>
      </c>
      <c r="V268" s="496">
        <v>21467564</v>
      </c>
      <c r="W268" s="496">
        <v>21467564</v>
      </c>
      <c r="X268" s="496">
        <f t="shared" si="21"/>
        <v>0</v>
      </c>
      <c r="Y268" s="496">
        <f t="shared" si="22"/>
        <v>0</v>
      </c>
      <c r="Z268" s="496">
        <v>15748659.619999999</v>
      </c>
      <c r="AA268" s="496">
        <v>15748659.619999999</v>
      </c>
      <c r="AB268" s="496">
        <v>16375025.6</v>
      </c>
      <c r="AC268" s="496">
        <f t="shared" si="23"/>
        <v>626365.98000000045</v>
      </c>
      <c r="AD268" s="496">
        <f t="shared" si="24"/>
        <v>626365.98000000045</v>
      </c>
      <c r="AE268" s="496">
        <v>0</v>
      </c>
      <c r="AF268" s="496">
        <v>5092538.4000000004</v>
      </c>
      <c r="AG268" s="497" t="s">
        <v>1245</v>
      </c>
      <c r="AH268" s="497" t="s">
        <v>1247</v>
      </c>
      <c r="AI268" s="497" t="s">
        <v>1248</v>
      </c>
      <c r="AJ268" s="497" t="s">
        <v>1246</v>
      </c>
      <c r="AK268" s="497" t="s">
        <v>1235</v>
      </c>
      <c r="AL268" s="491"/>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row>
    <row r="269" spans="1:80" ht="18" customHeight="1" x14ac:dyDescent="0.25">
      <c r="A269" s="492">
        <f t="shared" si="20"/>
        <v>267</v>
      </c>
      <c r="B269" s="492" t="s">
        <v>3619</v>
      </c>
      <c r="C269" s="492">
        <v>4200000100</v>
      </c>
      <c r="D269" s="492" t="s">
        <v>4890</v>
      </c>
      <c r="E269" s="492" t="s">
        <v>1518</v>
      </c>
      <c r="F269" s="492" t="s">
        <v>2627</v>
      </c>
      <c r="G269" s="492" t="s">
        <v>3617</v>
      </c>
      <c r="H269" s="492" t="s">
        <v>2627</v>
      </c>
      <c r="I269" s="492" t="s">
        <v>3617</v>
      </c>
      <c r="J269" s="492" t="s">
        <v>3618</v>
      </c>
      <c r="K269" s="492" t="s">
        <v>1756</v>
      </c>
      <c r="L269" s="492" t="s">
        <v>1473</v>
      </c>
      <c r="M269" s="493" t="s">
        <v>1230</v>
      </c>
      <c r="N269" s="493" t="s">
        <v>1232</v>
      </c>
      <c r="O269" s="493" t="s">
        <v>1232</v>
      </c>
      <c r="P269" s="492" t="s">
        <v>469</v>
      </c>
      <c r="Q269" s="494">
        <v>44166</v>
      </c>
      <c r="R269" s="494">
        <v>44713</v>
      </c>
      <c r="S269" s="498">
        <v>1</v>
      </c>
      <c r="T269" s="498">
        <v>0.2</v>
      </c>
      <c r="U269" s="496">
        <v>1651022</v>
      </c>
      <c r="V269" s="496">
        <v>1651022</v>
      </c>
      <c r="W269" s="496">
        <v>1651022</v>
      </c>
      <c r="X269" s="496">
        <f t="shared" si="21"/>
        <v>0</v>
      </c>
      <c r="Y269" s="496">
        <f t="shared" si="22"/>
        <v>0</v>
      </c>
      <c r="Z269" s="496">
        <v>1651022</v>
      </c>
      <c r="AA269" s="496">
        <v>1651022</v>
      </c>
      <c r="AB269" s="496">
        <v>1651022</v>
      </c>
      <c r="AC269" s="496">
        <f t="shared" si="23"/>
        <v>0</v>
      </c>
      <c r="AD269" s="496">
        <f t="shared" si="24"/>
        <v>0</v>
      </c>
      <c r="AE269" s="496">
        <v>0</v>
      </c>
      <c r="AF269" s="496">
        <v>0</v>
      </c>
      <c r="AG269" s="497" t="s">
        <v>1233</v>
      </c>
      <c r="AH269" s="497" t="s">
        <v>1236</v>
      </c>
      <c r="AI269" s="497"/>
      <c r="AJ269" s="497" t="s">
        <v>1259</v>
      </c>
      <c r="AK269" s="497" t="s">
        <v>1240</v>
      </c>
      <c r="AL269" s="491"/>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row>
    <row r="270" spans="1:80" ht="18" customHeight="1" x14ac:dyDescent="0.25">
      <c r="A270" s="486">
        <f t="shared" si="20"/>
        <v>268</v>
      </c>
      <c r="B270" s="486" t="s">
        <v>3620</v>
      </c>
      <c r="C270" s="486">
        <v>1200000129</v>
      </c>
      <c r="D270" s="486" t="s">
        <v>4891</v>
      </c>
      <c r="E270" s="486" t="s">
        <v>286</v>
      </c>
      <c r="F270" s="486" t="s">
        <v>995</v>
      </c>
      <c r="G270" s="486" t="s">
        <v>1064</v>
      </c>
      <c r="H270" s="485" t="s">
        <v>995</v>
      </c>
      <c r="I270" s="486" t="s">
        <v>1064</v>
      </c>
      <c r="J270" s="486" t="s">
        <v>2930</v>
      </c>
      <c r="K270" s="486" t="s">
        <v>1756</v>
      </c>
      <c r="L270" s="486" t="s">
        <v>1473</v>
      </c>
      <c r="M270" s="486" t="s">
        <v>1230</v>
      </c>
      <c r="N270" s="486" t="s">
        <v>1231</v>
      </c>
      <c r="O270" s="486" t="s">
        <v>1232</v>
      </c>
      <c r="P270" s="486" t="s">
        <v>1156</v>
      </c>
      <c r="Q270" s="487">
        <v>44168</v>
      </c>
      <c r="R270" s="487">
        <v>46359</v>
      </c>
      <c r="S270" s="488">
        <v>1</v>
      </c>
      <c r="T270" s="488">
        <v>0.2</v>
      </c>
      <c r="U270" s="489">
        <v>4000000</v>
      </c>
      <c r="V270" s="489">
        <v>4000000</v>
      </c>
      <c r="W270" s="489">
        <v>4000000</v>
      </c>
      <c r="X270" s="489">
        <f t="shared" si="21"/>
        <v>0</v>
      </c>
      <c r="Y270" s="489">
        <f t="shared" si="22"/>
        <v>0</v>
      </c>
      <c r="Z270" s="489">
        <v>4000000</v>
      </c>
      <c r="AA270" s="489">
        <v>4000000</v>
      </c>
      <c r="AB270" s="489">
        <v>4000000</v>
      </c>
      <c r="AC270" s="489">
        <f t="shared" si="23"/>
        <v>0</v>
      </c>
      <c r="AD270" s="489">
        <f t="shared" si="24"/>
        <v>0</v>
      </c>
      <c r="AE270" s="489">
        <v>0</v>
      </c>
      <c r="AF270" s="489">
        <v>0</v>
      </c>
      <c r="AG270" s="490" t="s">
        <v>1237</v>
      </c>
      <c r="AH270" s="490" t="s">
        <v>1236</v>
      </c>
      <c r="AI270" s="490"/>
      <c r="AJ270" s="490" t="s">
        <v>1259</v>
      </c>
      <c r="AK270" s="490" t="s">
        <v>1260</v>
      </c>
      <c r="AL270" s="491"/>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c r="BV270"/>
      <c r="BW270"/>
      <c r="BX270"/>
      <c r="BY270"/>
      <c r="BZ270"/>
      <c r="CA270"/>
      <c r="CB270"/>
    </row>
    <row r="271" spans="1:80" ht="18" customHeight="1" x14ac:dyDescent="0.25">
      <c r="A271" s="492">
        <f t="shared" si="20"/>
        <v>269</v>
      </c>
      <c r="B271" s="492" t="s">
        <v>3623</v>
      </c>
      <c r="C271" s="492">
        <v>2200000110</v>
      </c>
      <c r="D271" s="492" t="s">
        <v>4892</v>
      </c>
      <c r="E271" s="492" t="s">
        <v>1519</v>
      </c>
      <c r="F271" s="492" t="s">
        <v>2628</v>
      </c>
      <c r="G271" s="492" t="s">
        <v>3621</v>
      </c>
      <c r="H271" s="492" t="s">
        <v>2628</v>
      </c>
      <c r="I271" s="492" t="s">
        <v>3621</v>
      </c>
      <c r="J271" s="492" t="s">
        <v>3622</v>
      </c>
      <c r="K271" s="492" t="s">
        <v>1756</v>
      </c>
      <c r="L271" s="492" t="s">
        <v>1473</v>
      </c>
      <c r="M271" s="493" t="s">
        <v>1230</v>
      </c>
      <c r="N271" s="505" t="s">
        <v>1232</v>
      </c>
      <c r="O271" s="505" t="s">
        <v>1232</v>
      </c>
      <c r="P271" s="492" t="s">
        <v>469</v>
      </c>
      <c r="Q271" s="494">
        <v>44175</v>
      </c>
      <c r="R271" s="494">
        <v>45247</v>
      </c>
      <c r="S271" s="498">
        <v>1.5</v>
      </c>
      <c r="T271" s="498">
        <v>0.3</v>
      </c>
      <c r="U271" s="496">
        <v>788027</v>
      </c>
      <c r="V271" s="496">
        <v>788027</v>
      </c>
      <c r="W271" s="496">
        <v>225457</v>
      </c>
      <c r="X271" s="496">
        <f t="shared" si="21"/>
        <v>-562570</v>
      </c>
      <c r="Y271" s="496">
        <f t="shared" si="22"/>
        <v>-562570</v>
      </c>
      <c r="Z271" s="496">
        <v>752500.29</v>
      </c>
      <c r="AA271" s="496">
        <v>756651.8</v>
      </c>
      <c r="AB271" s="496">
        <v>194081.8</v>
      </c>
      <c r="AC271" s="496">
        <f t="shared" si="23"/>
        <v>-558418.49</v>
      </c>
      <c r="AD271" s="496">
        <f t="shared" si="24"/>
        <v>-562570</v>
      </c>
      <c r="AE271" s="496">
        <v>31375.199999999997</v>
      </c>
      <c r="AF271" s="496">
        <v>0</v>
      </c>
      <c r="AG271" s="497" t="s">
        <v>1245</v>
      </c>
      <c r="AH271" s="497" t="s">
        <v>1247</v>
      </c>
      <c r="AI271" s="497" t="s">
        <v>1269</v>
      </c>
      <c r="AJ271" s="497" t="s">
        <v>1246</v>
      </c>
      <c r="AK271" s="497" t="s">
        <v>1235</v>
      </c>
      <c r="AL271" s="49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row>
    <row r="272" spans="1:80" ht="18" customHeight="1" x14ac:dyDescent="0.25">
      <c r="A272" s="486">
        <f t="shared" si="20"/>
        <v>270</v>
      </c>
      <c r="B272" s="486" t="s">
        <v>3630</v>
      </c>
      <c r="C272" s="486">
        <v>1200000102</v>
      </c>
      <c r="D272" s="486" t="s">
        <v>4893</v>
      </c>
      <c r="E272" s="486" t="s">
        <v>1522</v>
      </c>
      <c r="F272" s="486" t="s">
        <v>1521</v>
      </c>
      <c r="G272" s="486" t="s">
        <v>3628</v>
      </c>
      <c r="H272" s="485" t="s">
        <v>1521</v>
      </c>
      <c r="I272" s="486" t="s">
        <v>3628</v>
      </c>
      <c r="J272" s="486" t="s">
        <v>3629</v>
      </c>
      <c r="K272" s="486" t="s">
        <v>1756</v>
      </c>
      <c r="L272" s="486" t="s">
        <v>1473</v>
      </c>
      <c r="M272" s="486" t="s">
        <v>1230</v>
      </c>
      <c r="N272" s="486" t="s">
        <v>1231</v>
      </c>
      <c r="O272" s="486" t="s">
        <v>1232</v>
      </c>
      <c r="P272" s="486" t="s">
        <v>1156</v>
      </c>
      <c r="Q272" s="487">
        <v>44176</v>
      </c>
      <c r="R272" s="487">
        <v>46441</v>
      </c>
      <c r="S272" s="488">
        <v>1</v>
      </c>
      <c r="T272" s="488">
        <v>0.2</v>
      </c>
      <c r="U272" s="489">
        <v>5000000</v>
      </c>
      <c r="V272" s="489">
        <v>5000000</v>
      </c>
      <c r="W272" s="489">
        <v>5000000</v>
      </c>
      <c r="X272" s="489">
        <f t="shared" si="21"/>
        <v>0</v>
      </c>
      <c r="Y272" s="489">
        <f t="shared" si="22"/>
        <v>0</v>
      </c>
      <c r="Z272" s="489">
        <v>5000000</v>
      </c>
      <c r="AA272" s="489">
        <v>5000000</v>
      </c>
      <c r="AB272" s="489">
        <v>5000000</v>
      </c>
      <c r="AC272" s="489">
        <f t="shared" si="23"/>
        <v>0</v>
      </c>
      <c r="AD272" s="489">
        <f t="shared" si="24"/>
        <v>0</v>
      </c>
      <c r="AE272" s="489">
        <v>0</v>
      </c>
      <c r="AF272" s="489">
        <v>0</v>
      </c>
      <c r="AG272" s="490" t="s">
        <v>1237</v>
      </c>
      <c r="AH272" s="490" t="s">
        <v>1236</v>
      </c>
      <c r="AI272" s="490"/>
      <c r="AJ272" s="490" t="s">
        <v>1259</v>
      </c>
      <c r="AK272" s="490" t="s">
        <v>1260</v>
      </c>
      <c r="AL272" s="491"/>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c r="BV272"/>
      <c r="BW272"/>
      <c r="BX272"/>
      <c r="BY272"/>
      <c r="BZ272"/>
      <c r="CA272"/>
      <c r="CB272"/>
    </row>
    <row r="273" spans="1:80" ht="18" customHeight="1" x14ac:dyDescent="0.25">
      <c r="A273" s="486">
        <f t="shared" si="20"/>
        <v>271</v>
      </c>
      <c r="B273" s="486" t="s">
        <v>3631</v>
      </c>
      <c r="C273" s="486">
        <v>1100000113</v>
      </c>
      <c r="D273" s="486" t="s">
        <v>4894</v>
      </c>
      <c r="E273" s="486" t="s">
        <v>1522</v>
      </c>
      <c r="F273" s="486" t="s">
        <v>1521</v>
      </c>
      <c r="G273" s="486" t="s">
        <v>3628</v>
      </c>
      <c r="H273" s="485" t="s">
        <v>1521</v>
      </c>
      <c r="I273" s="486" t="s">
        <v>3628</v>
      </c>
      <c r="J273" s="486" t="s">
        <v>3629</v>
      </c>
      <c r="K273" s="486" t="s">
        <v>1756</v>
      </c>
      <c r="L273" s="486" t="s">
        <v>2783</v>
      </c>
      <c r="M273" s="486" t="s">
        <v>1230</v>
      </c>
      <c r="N273" s="486" t="s">
        <v>1231</v>
      </c>
      <c r="O273" s="486" t="s">
        <v>1232</v>
      </c>
      <c r="P273" s="486" t="s">
        <v>1156</v>
      </c>
      <c r="Q273" s="487">
        <v>44176</v>
      </c>
      <c r="R273" s="487">
        <v>46076</v>
      </c>
      <c r="S273" s="488">
        <v>1</v>
      </c>
      <c r="T273" s="488"/>
      <c r="U273" s="489">
        <v>26271931</v>
      </c>
      <c r="V273" s="489">
        <v>26271931</v>
      </c>
      <c r="W273" s="489">
        <v>26271931</v>
      </c>
      <c r="X273" s="489">
        <f t="shared" si="21"/>
        <v>0</v>
      </c>
      <c r="Y273" s="489">
        <f t="shared" si="22"/>
        <v>0</v>
      </c>
      <c r="Z273" s="489">
        <v>5577300.96</v>
      </c>
      <c r="AA273" s="489">
        <v>5747188.1600000001</v>
      </c>
      <c r="AB273" s="489">
        <v>5834079.0300000003</v>
      </c>
      <c r="AC273" s="489">
        <f t="shared" si="23"/>
        <v>256778.0700000003</v>
      </c>
      <c r="AD273" s="489">
        <f t="shared" si="24"/>
        <v>86890.870000000112</v>
      </c>
      <c r="AE273" s="489">
        <v>20437851.969999999</v>
      </c>
      <c r="AF273" s="489">
        <v>0</v>
      </c>
      <c r="AG273" s="490" t="s">
        <v>1237</v>
      </c>
      <c r="AH273" s="490" t="s">
        <v>1236</v>
      </c>
      <c r="AI273" s="490"/>
      <c r="AJ273" s="490" t="s">
        <v>1259</v>
      </c>
      <c r="AK273" s="490" t="s">
        <v>1260</v>
      </c>
      <c r="AL273" s="491"/>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c r="BV273"/>
      <c r="BW273"/>
      <c r="BX273"/>
      <c r="BY273"/>
      <c r="BZ273"/>
      <c r="CA273"/>
      <c r="CB273"/>
    </row>
    <row r="274" spans="1:80" ht="18" customHeight="1" x14ac:dyDescent="0.25">
      <c r="A274" s="486">
        <f t="shared" si="20"/>
        <v>272</v>
      </c>
      <c r="B274" s="486" t="s">
        <v>3632</v>
      </c>
      <c r="C274" s="486">
        <v>1100000114</v>
      </c>
      <c r="D274" s="486" t="s">
        <v>4895</v>
      </c>
      <c r="E274" s="486" t="s">
        <v>1522</v>
      </c>
      <c r="F274" s="486" t="s">
        <v>1521</v>
      </c>
      <c r="G274" s="486" t="s">
        <v>3628</v>
      </c>
      <c r="H274" s="485" t="s">
        <v>1521</v>
      </c>
      <c r="I274" s="486" t="s">
        <v>3628</v>
      </c>
      <c r="J274" s="486" t="s">
        <v>3629</v>
      </c>
      <c r="K274" s="486" t="s">
        <v>1756</v>
      </c>
      <c r="L274" s="486" t="s">
        <v>2783</v>
      </c>
      <c r="M274" s="486" t="s">
        <v>1230</v>
      </c>
      <c r="N274" s="486" t="s">
        <v>1231</v>
      </c>
      <c r="O274" s="486" t="s">
        <v>1232</v>
      </c>
      <c r="P274" s="486" t="s">
        <v>1156</v>
      </c>
      <c r="Q274" s="487">
        <v>44176</v>
      </c>
      <c r="R274" s="487">
        <v>46076</v>
      </c>
      <c r="S274" s="488">
        <v>1</v>
      </c>
      <c r="T274" s="488"/>
      <c r="U274" s="489">
        <v>408004</v>
      </c>
      <c r="V274" s="489">
        <v>408004</v>
      </c>
      <c r="W274" s="489">
        <v>408004</v>
      </c>
      <c r="X274" s="489">
        <f t="shared" si="21"/>
        <v>0</v>
      </c>
      <c r="Y274" s="489">
        <f t="shared" si="22"/>
        <v>0</v>
      </c>
      <c r="Z274" s="489">
        <v>0</v>
      </c>
      <c r="AA274" s="489">
        <v>0</v>
      </c>
      <c r="AB274" s="489">
        <v>0</v>
      </c>
      <c r="AC274" s="489">
        <f t="shared" si="23"/>
        <v>0</v>
      </c>
      <c r="AD274" s="489">
        <f t="shared" si="24"/>
        <v>0</v>
      </c>
      <c r="AE274" s="489">
        <v>0</v>
      </c>
      <c r="AF274" s="489">
        <v>408004</v>
      </c>
      <c r="AG274" s="490" t="s">
        <v>1237</v>
      </c>
      <c r="AH274" s="490" t="s">
        <v>1236</v>
      </c>
      <c r="AI274" s="490"/>
      <c r="AJ274" s="490" t="s">
        <v>1259</v>
      </c>
      <c r="AK274" s="490" t="s">
        <v>1260</v>
      </c>
      <c r="AL274" s="491"/>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c r="BV274"/>
      <c r="BW274"/>
      <c r="BX274"/>
      <c r="BY274"/>
      <c r="BZ274"/>
      <c r="CA274"/>
      <c r="CB274"/>
    </row>
    <row r="275" spans="1:80" ht="18" customHeight="1" x14ac:dyDescent="0.25">
      <c r="A275" s="486">
        <f t="shared" si="20"/>
        <v>273</v>
      </c>
      <c r="B275" s="486" t="s">
        <v>3635</v>
      </c>
      <c r="C275" s="486">
        <v>2100000109</v>
      </c>
      <c r="D275" s="486" t="s">
        <v>4896</v>
      </c>
      <c r="E275" s="486" t="s">
        <v>1524</v>
      </c>
      <c r="F275" s="486" t="s">
        <v>1523</v>
      </c>
      <c r="G275" s="486" t="s">
        <v>3633</v>
      </c>
      <c r="H275" s="485" t="s">
        <v>4519</v>
      </c>
      <c r="I275" s="486" t="s">
        <v>3082</v>
      </c>
      <c r="J275" s="486" t="s">
        <v>3634</v>
      </c>
      <c r="K275" s="486" t="s">
        <v>1756</v>
      </c>
      <c r="L275" s="486" t="s">
        <v>2783</v>
      </c>
      <c r="M275" s="486" t="s">
        <v>1230</v>
      </c>
      <c r="N275" s="486" t="s">
        <v>1231</v>
      </c>
      <c r="O275" s="486" t="s">
        <v>1232</v>
      </c>
      <c r="P275" s="486" t="s">
        <v>469</v>
      </c>
      <c r="Q275" s="487">
        <v>44176</v>
      </c>
      <c r="R275" s="487">
        <v>45184</v>
      </c>
      <c r="S275" s="488">
        <v>1.5</v>
      </c>
      <c r="T275" s="488"/>
      <c r="U275" s="489">
        <v>30966220</v>
      </c>
      <c r="V275" s="489">
        <v>30966220</v>
      </c>
      <c r="W275" s="489">
        <v>30966220</v>
      </c>
      <c r="X275" s="489">
        <f t="shared" si="21"/>
        <v>0</v>
      </c>
      <c r="Y275" s="489">
        <f t="shared" si="22"/>
        <v>0</v>
      </c>
      <c r="Z275" s="489">
        <v>17087516.370000001</v>
      </c>
      <c r="AA275" s="489">
        <v>17183604.41</v>
      </c>
      <c r="AB275" s="489">
        <v>17183604.41</v>
      </c>
      <c r="AC275" s="489">
        <f t="shared" si="23"/>
        <v>96088.039999999106</v>
      </c>
      <c r="AD275" s="489">
        <f t="shared" si="24"/>
        <v>0</v>
      </c>
      <c r="AE275" s="489">
        <v>0</v>
      </c>
      <c r="AF275" s="489">
        <v>13782615.59</v>
      </c>
      <c r="AG275" s="490" t="s">
        <v>1245</v>
      </c>
      <c r="AH275" s="490" t="s">
        <v>1247</v>
      </c>
      <c r="AI275" s="490" t="s">
        <v>1248</v>
      </c>
      <c r="AJ275" s="490" t="s">
        <v>1246</v>
      </c>
      <c r="AK275" s="490" t="s">
        <v>1235</v>
      </c>
      <c r="AL275" s="491"/>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row>
    <row r="276" spans="1:80" ht="18" customHeight="1" x14ac:dyDescent="0.25">
      <c r="A276" s="486">
        <f t="shared" si="20"/>
        <v>274</v>
      </c>
      <c r="B276" s="486" t="s">
        <v>3639</v>
      </c>
      <c r="C276" s="486">
        <v>2100000107</v>
      </c>
      <c r="D276" s="486" t="s">
        <v>4897</v>
      </c>
      <c r="E276" s="486" t="s">
        <v>1526</v>
      </c>
      <c r="F276" s="486" t="s">
        <v>3638</v>
      </c>
      <c r="G276" s="486" t="s">
        <v>3636</v>
      </c>
      <c r="H276" s="485" t="s">
        <v>3638</v>
      </c>
      <c r="I276" s="486" t="s">
        <v>3636</v>
      </c>
      <c r="J276" s="486" t="s">
        <v>3637</v>
      </c>
      <c r="K276" s="486" t="s">
        <v>1756</v>
      </c>
      <c r="L276" s="486" t="s">
        <v>2783</v>
      </c>
      <c r="M276" s="486" t="s">
        <v>1230</v>
      </c>
      <c r="N276" s="486" t="s">
        <v>1231</v>
      </c>
      <c r="O276" s="486" t="s">
        <v>1232</v>
      </c>
      <c r="P276" s="486" t="s">
        <v>469</v>
      </c>
      <c r="Q276" s="487">
        <v>44176</v>
      </c>
      <c r="R276" s="487">
        <v>45275</v>
      </c>
      <c r="S276" s="488">
        <v>1</v>
      </c>
      <c r="T276" s="488"/>
      <c r="U276" s="489">
        <v>14841324.800000001</v>
      </c>
      <c r="V276" s="489">
        <v>14841324.800000001</v>
      </c>
      <c r="W276" s="489">
        <v>14841324.800000001</v>
      </c>
      <c r="X276" s="489">
        <f t="shared" si="21"/>
        <v>0</v>
      </c>
      <c r="Y276" s="489">
        <f t="shared" si="22"/>
        <v>0</v>
      </c>
      <c r="Z276" s="489">
        <v>13023355.42</v>
      </c>
      <c r="AA276" s="489">
        <v>13096158.779999999</v>
      </c>
      <c r="AB276" s="489">
        <v>13533560.310000001</v>
      </c>
      <c r="AC276" s="489">
        <f t="shared" si="23"/>
        <v>510204.8900000006</v>
      </c>
      <c r="AD276" s="489">
        <f t="shared" si="24"/>
        <v>437401.53000000119</v>
      </c>
      <c r="AE276" s="489">
        <v>1307764.49</v>
      </c>
      <c r="AF276" s="489">
        <v>0</v>
      </c>
      <c r="AG276" s="490" t="s">
        <v>1245</v>
      </c>
      <c r="AH276" s="490" t="s">
        <v>1485</v>
      </c>
      <c r="AI276" s="490"/>
      <c r="AJ276" s="490" t="s">
        <v>1246</v>
      </c>
      <c r="AK276" s="490" t="s">
        <v>1278</v>
      </c>
      <c r="AL276" s="491"/>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row>
    <row r="277" spans="1:80" ht="18" customHeight="1" x14ac:dyDescent="0.25">
      <c r="A277" s="486">
        <f t="shared" si="20"/>
        <v>275</v>
      </c>
      <c r="B277" s="486" t="s">
        <v>3640</v>
      </c>
      <c r="C277" s="486">
        <v>2100000108</v>
      </c>
      <c r="D277" s="486" t="s">
        <v>4898</v>
      </c>
      <c r="E277" s="486" t="s">
        <v>1526</v>
      </c>
      <c r="F277" s="486" t="s">
        <v>3638</v>
      </c>
      <c r="G277" s="486" t="s">
        <v>3636</v>
      </c>
      <c r="H277" s="485" t="s">
        <v>3638</v>
      </c>
      <c r="I277" s="486" t="s">
        <v>3636</v>
      </c>
      <c r="J277" s="486" t="s">
        <v>3637</v>
      </c>
      <c r="K277" s="486" t="s">
        <v>1756</v>
      </c>
      <c r="L277" s="486" t="s">
        <v>2783</v>
      </c>
      <c r="M277" s="486" t="s">
        <v>1230</v>
      </c>
      <c r="N277" s="486" t="s">
        <v>1231</v>
      </c>
      <c r="O277" s="486" t="s">
        <v>1232</v>
      </c>
      <c r="P277" s="486" t="s">
        <v>469</v>
      </c>
      <c r="Q277" s="487">
        <v>44176</v>
      </c>
      <c r="R277" s="487">
        <v>45642</v>
      </c>
      <c r="S277" s="488">
        <v>1.5</v>
      </c>
      <c r="T277" s="488"/>
      <c r="U277" s="489">
        <v>23000000</v>
      </c>
      <c r="V277" s="489">
        <v>23000000</v>
      </c>
      <c r="W277" s="489">
        <v>23000000</v>
      </c>
      <c r="X277" s="489">
        <f t="shared" si="21"/>
        <v>0</v>
      </c>
      <c r="Y277" s="489">
        <f t="shared" si="22"/>
        <v>0</v>
      </c>
      <c r="Z277" s="489">
        <v>5938986.4699999997</v>
      </c>
      <c r="AA277" s="489">
        <v>5971284.7999999998</v>
      </c>
      <c r="AB277" s="489">
        <v>5971284.7999999998</v>
      </c>
      <c r="AC277" s="489">
        <f t="shared" si="23"/>
        <v>32298.330000000075</v>
      </c>
      <c r="AD277" s="489">
        <f t="shared" si="24"/>
        <v>0</v>
      </c>
      <c r="AE277" s="489">
        <v>17028715.199999999</v>
      </c>
      <c r="AF277" s="489">
        <v>0</v>
      </c>
      <c r="AG277" s="490" t="s">
        <v>1245</v>
      </c>
      <c r="AH277" s="490" t="s">
        <v>1485</v>
      </c>
      <c r="AI277" s="490"/>
      <c r="AJ277" s="490" t="s">
        <v>1246</v>
      </c>
      <c r="AK277" s="490" t="s">
        <v>1235</v>
      </c>
      <c r="AL277" s="491"/>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row>
    <row r="278" spans="1:80" ht="18" customHeight="1" x14ac:dyDescent="0.25">
      <c r="A278" s="486">
        <f t="shared" si="20"/>
        <v>276</v>
      </c>
      <c r="B278" s="486" t="s">
        <v>3643</v>
      </c>
      <c r="C278" s="486">
        <v>2200000113</v>
      </c>
      <c r="D278" s="486" t="s">
        <v>4899</v>
      </c>
      <c r="E278" s="486" t="s">
        <v>1530</v>
      </c>
      <c r="F278" s="486" t="s">
        <v>1529</v>
      </c>
      <c r="G278" s="486" t="s">
        <v>3641</v>
      </c>
      <c r="H278" s="485" t="s">
        <v>2594</v>
      </c>
      <c r="I278" s="486" t="s">
        <v>3238</v>
      </c>
      <c r="J278" s="486" t="s">
        <v>3642</v>
      </c>
      <c r="K278" s="486" t="s">
        <v>1756</v>
      </c>
      <c r="L278" s="486" t="s">
        <v>1473</v>
      </c>
      <c r="M278" s="486" t="s">
        <v>1230</v>
      </c>
      <c r="N278" s="486" t="s">
        <v>1231</v>
      </c>
      <c r="O278" s="486" t="s">
        <v>1232</v>
      </c>
      <c r="P278" s="486" t="s">
        <v>469</v>
      </c>
      <c r="Q278" s="487">
        <v>44179</v>
      </c>
      <c r="R278" s="487">
        <v>45181</v>
      </c>
      <c r="S278" s="488">
        <v>1</v>
      </c>
      <c r="T278" s="488">
        <v>0.2</v>
      </c>
      <c r="U278" s="489">
        <v>1082045</v>
      </c>
      <c r="V278" s="489">
        <v>1082045</v>
      </c>
      <c r="W278" s="489">
        <v>1082045</v>
      </c>
      <c r="X278" s="489">
        <f t="shared" si="21"/>
        <v>0</v>
      </c>
      <c r="Y278" s="489">
        <f t="shared" si="22"/>
        <v>0</v>
      </c>
      <c r="Z278" s="489">
        <v>997172.03</v>
      </c>
      <c r="AA278" s="489">
        <v>1003090.99</v>
      </c>
      <c r="AB278" s="489">
        <v>1003090.99</v>
      </c>
      <c r="AC278" s="489">
        <f t="shared" si="23"/>
        <v>5918.9599999999627</v>
      </c>
      <c r="AD278" s="489">
        <f t="shared" si="24"/>
        <v>0</v>
      </c>
      <c r="AE278" s="489">
        <v>78954.009999999995</v>
      </c>
      <c r="AF278" s="489">
        <v>0</v>
      </c>
      <c r="AG278" s="490" t="s">
        <v>1245</v>
      </c>
      <c r="AH278" s="490" t="s">
        <v>1247</v>
      </c>
      <c r="AI278" s="490" t="s">
        <v>1248</v>
      </c>
      <c r="AJ278" s="490" t="s">
        <v>1246</v>
      </c>
      <c r="AK278" s="490" t="s">
        <v>1278</v>
      </c>
      <c r="AL278" s="491"/>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row>
    <row r="279" spans="1:80" ht="18" customHeight="1" x14ac:dyDescent="0.25">
      <c r="A279" s="485">
        <f t="shared" si="20"/>
        <v>277</v>
      </c>
      <c r="B279" s="485" t="s">
        <v>3644</v>
      </c>
      <c r="C279" s="485">
        <v>3200000119</v>
      </c>
      <c r="D279" s="485" t="s">
        <v>4900</v>
      </c>
      <c r="E279" s="485" t="s">
        <v>1329</v>
      </c>
      <c r="F279" s="485" t="s">
        <v>2990</v>
      </c>
      <c r="G279" s="485" t="s">
        <v>2987</v>
      </c>
      <c r="H279" s="485" t="s">
        <v>2566</v>
      </c>
      <c r="I279" s="485" t="s">
        <v>2988</v>
      </c>
      <c r="J279" s="486" t="s">
        <v>2989</v>
      </c>
      <c r="K279" s="485" t="s">
        <v>1756</v>
      </c>
      <c r="L279" s="486" t="s">
        <v>1473</v>
      </c>
      <c r="M279" s="486" t="s">
        <v>1230</v>
      </c>
      <c r="N279" s="486" t="s">
        <v>1231</v>
      </c>
      <c r="O279" s="485" t="s">
        <v>1232</v>
      </c>
      <c r="P279" s="486" t="s">
        <v>469</v>
      </c>
      <c r="Q279" s="487">
        <v>44183</v>
      </c>
      <c r="R279" s="487">
        <v>45644</v>
      </c>
      <c r="S279" s="488">
        <v>0.35</v>
      </c>
      <c r="T279" s="488">
        <v>7.0000000000000007E-2</v>
      </c>
      <c r="U279" s="489">
        <v>1000000</v>
      </c>
      <c r="V279" s="489">
        <v>1000000</v>
      </c>
      <c r="W279" s="489">
        <v>1000000</v>
      </c>
      <c r="X279" s="489">
        <f t="shared" si="21"/>
        <v>0</v>
      </c>
      <c r="Y279" s="489">
        <f t="shared" si="22"/>
        <v>0</v>
      </c>
      <c r="Z279" s="489">
        <v>1000000</v>
      </c>
      <c r="AA279" s="489">
        <v>1000000</v>
      </c>
      <c r="AB279" s="489">
        <v>1000000</v>
      </c>
      <c r="AC279" s="489">
        <f t="shared" si="23"/>
        <v>0</v>
      </c>
      <c r="AD279" s="489">
        <f t="shared" si="24"/>
        <v>0</v>
      </c>
      <c r="AE279" s="489">
        <v>0</v>
      </c>
      <c r="AF279" s="489">
        <v>0</v>
      </c>
      <c r="AG279" s="490" t="s">
        <v>1250</v>
      </c>
      <c r="AH279" s="490" t="s">
        <v>1252</v>
      </c>
      <c r="AI279" s="490" t="s">
        <v>1283</v>
      </c>
      <c r="AJ279" s="490" t="s">
        <v>1234</v>
      </c>
      <c r="AK279" s="490" t="s">
        <v>1251</v>
      </c>
      <c r="AL279" s="491"/>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row>
    <row r="280" spans="1:80" ht="18" customHeight="1" x14ac:dyDescent="0.25">
      <c r="A280" s="486">
        <f t="shared" si="20"/>
        <v>278</v>
      </c>
      <c r="B280" s="486" t="s">
        <v>3645</v>
      </c>
      <c r="C280" s="486">
        <v>3200000121</v>
      </c>
      <c r="D280" s="486" t="s">
        <v>4901</v>
      </c>
      <c r="E280" s="486" t="s">
        <v>1329</v>
      </c>
      <c r="F280" s="486" t="s">
        <v>2990</v>
      </c>
      <c r="G280" s="486" t="s">
        <v>2987</v>
      </c>
      <c r="H280" s="485" t="s">
        <v>2566</v>
      </c>
      <c r="I280" s="486" t="s">
        <v>2988</v>
      </c>
      <c r="J280" s="486" t="s">
        <v>2989</v>
      </c>
      <c r="K280" s="486" t="s">
        <v>1756</v>
      </c>
      <c r="L280" s="486" t="s">
        <v>1473</v>
      </c>
      <c r="M280" s="486" t="s">
        <v>1230</v>
      </c>
      <c r="N280" s="486" t="s">
        <v>1231</v>
      </c>
      <c r="O280" s="486" t="s">
        <v>1232</v>
      </c>
      <c r="P280" s="486" t="s">
        <v>469</v>
      </c>
      <c r="Q280" s="487">
        <v>44183</v>
      </c>
      <c r="R280" s="487">
        <v>45644</v>
      </c>
      <c r="S280" s="488">
        <v>0.35</v>
      </c>
      <c r="T280" s="488">
        <v>7.0000000000000007E-2</v>
      </c>
      <c r="U280" s="489">
        <v>110000</v>
      </c>
      <c r="V280" s="489">
        <v>110000</v>
      </c>
      <c r="W280" s="489">
        <v>110000</v>
      </c>
      <c r="X280" s="489">
        <f t="shared" si="21"/>
        <v>0</v>
      </c>
      <c r="Y280" s="489">
        <f t="shared" si="22"/>
        <v>0</v>
      </c>
      <c r="Z280" s="489">
        <v>110000</v>
      </c>
      <c r="AA280" s="489">
        <v>110000</v>
      </c>
      <c r="AB280" s="489">
        <v>110000</v>
      </c>
      <c r="AC280" s="489">
        <f t="shared" si="23"/>
        <v>0</v>
      </c>
      <c r="AD280" s="489">
        <f t="shared" si="24"/>
        <v>0</v>
      </c>
      <c r="AE280" s="489">
        <v>0</v>
      </c>
      <c r="AF280" s="489">
        <v>0</v>
      </c>
      <c r="AG280" s="490" t="s">
        <v>1250</v>
      </c>
      <c r="AH280" s="490" t="s">
        <v>1252</v>
      </c>
      <c r="AI280" s="490" t="s">
        <v>1283</v>
      </c>
      <c r="AJ280" s="490" t="s">
        <v>1234</v>
      </c>
      <c r="AK280" s="522" t="s">
        <v>1251</v>
      </c>
      <c r="AL280" s="523"/>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row>
    <row r="281" spans="1:80" ht="18" customHeight="1" x14ac:dyDescent="0.25">
      <c r="A281" s="492">
        <f t="shared" si="20"/>
        <v>279</v>
      </c>
      <c r="B281" s="492" t="s">
        <v>3650</v>
      </c>
      <c r="C281" s="492">
        <v>5200000118</v>
      </c>
      <c r="D281" s="492" t="s">
        <v>4902</v>
      </c>
      <c r="E281" s="492" t="s">
        <v>1531</v>
      </c>
      <c r="F281" s="492" t="s">
        <v>3649</v>
      </c>
      <c r="G281" s="492" t="s">
        <v>3646</v>
      </c>
      <c r="H281" s="492" t="s">
        <v>2630</v>
      </c>
      <c r="I281" s="492" t="s">
        <v>3647</v>
      </c>
      <c r="J281" s="492" t="s">
        <v>3648</v>
      </c>
      <c r="K281" s="492" t="s">
        <v>1756</v>
      </c>
      <c r="L281" s="492" t="s">
        <v>1473</v>
      </c>
      <c r="M281" s="493" t="s">
        <v>1230</v>
      </c>
      <c r="N281" s="505" t="s">
        <v>1232</v>
      </c>
      <c r="O281" s="505" t="s">
        <v>1232</v>
      </c>
      <c r="P281" s="492" t="s">
        <v>469</v>
      </c>
      <c r="Q281" s="494">
        <v>44183</v>
      </c>
      <c r="R281" s="494">
        <v>44918</v>
      </c>
      <c r="S281" s="498">
        <v>1</v>
      </c>
      <c r="T281" s="498">
        <v>0.2</v>
      </c>
      <c r="U281" s="496">
        <v>145769.4</v>
      </c>
      <c r="V281" s="496">
        <v>145769.4</v>
      </c>
      <c r="W281" s="496">
        <v>145769.4</v>
      </c>
      <c r="X281" s="496">
        <f t="shared" si="21"/>
        <v>0</v>
      </c>
      <c r="Y281" s="496">
        <f t="shared" si="22"/>
        <v>0</v>
      </c>
      <c r="Z281" s="496">
        <v>145769.4</v>
      </c>
      <c r="AA281" s="496">
        <v>145769.4</v>
      </c>
      <c r="AB281" s="496">
        <v>145769.4</v>
      </c>
      <c r="AC281" s="496">
        <f t="shared" si="23"/>
        <v>0</v>
      </c>
      <c r="AD281" s="496">
        <f t="shared" si="24"/>
        <v>0</v>
      </c>
      <c r="AE281" s="496">
        <v>0</v>
      </c>
      <c r="AF281" s="496">
        <v>0</v>
      </c>
      <c r="AG281" s="497" t="s">
        <v>1288</v>
      </c>
      <c r="AH281" s="497" t="s">
        <v>1252</v>
      </c>
      <c r="AI281" s="497" t="s">
        <v>1248</v>
      </c>
      <c r="AJ281" s="497" t="s">
        <v>1234</v>
      </c>
      <c r="AK281" s="497" t="s">
        <v>1278</v>
      </c>
      <c r="AL281" s="49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row>
    <row r="282" spans="1:80" ht="18" customHeight="1" x14ac:dyDescent="0.25">
      <c r="A282" s="492">
        <f t="shared" si="20"/>
        <v>280</v>
      </c>
      <c r="B282" s="492" t="s">
        <v>3654</v>
      </c>
      <c r="C282" s="492">
        <v>2100000222</v>
      </c>
      <c r="D282" s="492" t="s">
        <v>4903</v>
      </c>
      <c r="E282" s="492" t="s">
        <v>1532</v>
      </c>
      <c r="F282" s="492" t="s">
        <v>3653</v>
      </c>
      <c r="G282" s="492" t="s">
        <v>3651</v>
      </c>
      <c r="H282" s="492" t="s">
        <v>3653</v>
      </c>
      <c r="I282" s="492" t="s">
        <v>3651</v>
      </c>
      <c r="J282" s="492" t="s">
        <v>3652</v>
      </c>
      <c r="K282" s="492" t="s">
        <v>1756</v>
      </c>
      <c r="L282" s="492" t="s">
        <v>2783</v>
      </c>
      <c r="M282" s="493" t="s">
        <v>1230</v>
      </c>
      <c r="N282" s="505" t="s">
        <v>1232</v>
      </c>
      <c r="O282" s="505" t="s">
        <v>1231</v>
      </c>
      <c r="P282" s="492" t="s">
        <v>469</v>
      </c>
      <c r="Q282" s="494">
        <v>44187</v>
      </c>
      <c r="R282" s="494">
        <v>45558</v>
      </c>
      <c r="S282" s="498">
        <v>1.5</v>
      </c>
      <c r="T282" s="498"/>
      <c r="U282" s="496">
        <v>13800000</v>
      </c>
      <c r="V282" s="496">
        <v>13800000</v>
      </c>
      <c r="W282" s="496">
        <v>13800000</v>
      </c>
      <c r="X282" s="496">
        <f t="shared" si="21"/>
        <v>0</v>
      </c>
      <c r="Y282" s="496">
        <f t="shared" si="22"/>
        <v>0</v>
      </c>
      <c r="Z282" s="496">
        <v>8684479.7899999991</v>
      </c>
      <c r="AA282" s="496">
        <v>9117304.7899999991</v>
      </c>
      <c r="AB282" s="496">
        <v>9173451.3000000007</v>
      </c>
      <c r="AC282" s="496">
        <f t="shared" si="23"/>
        <v>488971.51000000164</v>
      </c>
      <c r="AD282" s="496">
        <f t="shared" si="24"/>
        <v>56146.510000001639</v>
      </c>
      <c r="AE282" s="496">
        <v>0</v>
      </c>
      <c r="AF282" s="496">
        <v>4626548.7</v>
      </c>
      <c r="AG282" s="497" t="s">
        <v>1245</v>
      </c>
      <c r="AH282" s="497" t="s">
        <v>1247</v>
      </c>
      <c r="AI282" s="497" t="s">
        <v>1269</v>
      </c>
      <c r="AJ282" s="497" t="s">
        <v>1246</v>
      </c>
      <c r="AK282" s="497" t="s">
        <v>1235</v>
      </c>
      <c r="AL282" s="491"/>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row>
    <row r="283" spans="1:80" ht="18" customHeight="1" x14ac:dyDescent="0.25">
      <c r="A283" s="486">
        <f t="shared" si="20"/>
        <v>281</v>
      </c>
      <c r="B283" s="486" t="s">
        <v>3658</v>
      </c>
      <c r="C283" s="486">
        <v>2200000115</v>
      </c>
      <c r="D283" s="486" t="s">
        <v>4904</v>
      </c>
      <c r="E283" s="486" t="s">
        <v>1533</v>
      </c>
      <c r="F283" s="486" t="s">
        <v>3657</v>
      </c>
      <c r="G283" s="486" t="s">
        <v>3655</v>
      </c>
      <c r="H283" s="485" t="s">
        <v>3657</v>
      </c>
      <c r="I283" s="486" t="s">
        <v>3655</v>
      </c>
      <c r="J283" s="486" t="s">
        <v>3656</v>
      </c>
      <c r="K283" s="486" t="s">
        <v>1756</v>
      </c>
      <c r="L283" s="486" t="s">
        <v>1473</v>
      </c>
      <c r="M283" s="486" t="s">
        <v>1230</v>
      </c>
      <c r="N283" s="486" t="s">
        <v>1231</v>
      </c>
      <c r="O283" s="486" t="s">
        <v>1232</v>
      </c>
      <c r="P283" s="486" t="s">
        <v>469</v>
      </c>
      <c r="Q283" s="487">
        <v>44188</v>
      </c>
      <c r="R283" s="487">
        <v>45194</v>
      </c>
      <c r="S283" s="488">
        <v>1.5</v>
      </c>
      <c r="T283" s="488">
        <v>0.3</v>
      </c>
      <c r="U283" s="489">
        <v>5000000</v>
      </c>
      <c r="V283" s="489">
        <v>5000000</v>
      </c>
      <c r="W283" s="489">
        <v>5000000</v>
      </c>
      <c r="X283" s="489">
        <f t="shared" si="21"/>
        <v>0</v>
      </c>
      <c r="Y283" s="489">
        <f t="shared" si="22"/>
        <v>0</v>
      </c>
      <c r="Z283" s="489">
        <v>4859252.01</v>
      </c>
      <c r="AA283" s="489">
        <v>4859252.01</v>
      </c>
      <c r="AB283" s="489">
        <v>4884807.1900000004</v>
      </c>
      <c r="AC283" s="489">
        <f t="shared" si="23"/>
        <v>25555.180000000633</v>
      </c>
      <c r="AD283" s="489">
        <f t="shared" si="24"/>
        <v>25555.180000000633</v>
      </c>
      <c r="AE283" s="489">
        <v>115192.81</v>
      </c>
      <c r="AF283" s="489">
        <v>0</v>
      </c>
      <c r="AG283" s="490" t="s">
        <v>1245</v>
      </c>
      <c r="AH283" s="490" t="s">
        <v>1247</v>
      </c>
      <c r="AI283" s="490" t="s">
        <v>1248</v>
      </c>
      <c r="AJ283" s="490" t="s">
        <v>1246</v>
      </c>
      <c r="AK283" s="490" t="s">
        <v>1235</v>
      </c>
      <c r="AL283" s="491"/>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row>
    <row r="284" spans="1:80" ht="18" customHeight="1" x14ac:dyDescent="0.25">
      <c r="A284" s="486">
        <f t="shared" si="20"/>
        <v>282</v>
      </c>
      <c r="B284" s="486" t="s">
        <v>3659</v>
      </c>
      <c r="C284" s="486">
        <v>2100000112</v>
      </c>
      <c r="D284" s="486" t="s">
        <v>4905</v>
      </c>
      <c r="E284" s="486" t="s">
        <v>1533</v>
      </c>
      <c r="F284" s="486" t="s">
        <v>3657</v>
      </c>
      <c r="G284" s="486" t="s">
        <v>3655</v>
      </c>
      <c r="H284" s="485" t="s">
        <v>3657</v>
      </c>
      <c r="I284" s="486" t="s">
        <v>3655</v>
      </c>
      <c r="J284" s="486" t="s">
        <v>3656</v>
      </c>
      <c r="K284" s="486" t="s">
        <v>1756</v>
      </c>
      <c r="L284" s="486" t="s">
        <v>2783</v>
      </c>
      <c r="M284" s="486" t="s">
        <v>1230</v>
      </c>
      <c r="N284" s="486" t="s">
        <v>1231</v>
      </c>
      <c r="O284" s="486" t="s">
        <v>1231</v>
      </c>
      <c r="P284" s="486" t="s">
        <v>469</v>
      </c>
      <c r="Q284" s="487">
        <v>44188</v>
      </c>
      <c r="R284" s="487">
        <v>45194</v>
      </c>
      <c r="S284" s="488">
        <v>1.5</v>
      </c>
      <c r="T284" s="488"/>
      <c r="U284" s="489">
        <v>3068939</v>
      </c>
      <c r="V284" s="489">
        <v>3068939</v>
      </c>
      <c r="W284" s="489">
        <v>3068939</v>
      </c>
      <c r="X284" s="489">
        <f t="shared" si="21"/>
        <v>0</v>
      </c>
      <c r="Y284" s="489">
        <f t="shared" si="22"/>
        <v>0</v>
      </c>
      <c r="Z284" s="489">
        <v>915025.49</v>
      </c>
      <c r="AA284" s="489">
        <v>915025.49</v>
      </c>
      <c r="AB284" s="489">
        <v>1335123.27</v>
      </c>
      <c r="AC284" s="489">
        <f t="shared" si="23"/>
        <v>420097.78</v>
      </c>
      <c r="AD284" s="489">
        <f t="shared" si="24"/>
        <v>420097.78</v>
      </c>
      <c r="AE284" s="489">
        <v>0</v>
      </c>
      <c r="AF284" s="489">
        <v>1733815.73</v>
      </c>
      <c r="AG284" s="490" t="s">
        <v>1245</v>
      </c>
      <c r="AH284" s="490" t="s">
        <v>1247</v>
      </c>
      <c r="AI284" s="490" t="s">
        <v>1248</v>
      </c>
      <c r="AJ284" s="490" t="s">
        <v>1246</v>
      </c>
      <c r="AK284" s="490" t="s">
        <v>1235</v>
      </c>
      <c r="AL284" s="491"/>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row>
    <row r="285" spans="1:80" ht="18" customHeight="1" x14ac:dyDescent="0.25">
      <c r="A285" s="486">
        <f t="shared" si="20"/>
        <v>283</v>
      </c>
      <c r="B285" s="486" t="s">
        <v>3660</v>
      </c>
      <c r="C285" s="486">
        <v>4200000104</v>
      </c>
      <c r="D285" s="486" t="s">
        <v>4906</v>
      </c>
      <c r="E285" s="486" t="s">
        <v>1277</v>
      </c>
      <c r="F285" s="486" t="s">
        <v>2860</v>
      </c>
      <c r="G285" s="486" t="s">
        <v>2858</v>
      </c>
      <c r="H285" s="485" t="s">
        <v>2546</v>
      </c>
      <c r="I285" s="486" t="s">
        <v>2834</v>
      </c>
      <c r="J285" s="486" t="s">
        <v>2859</v>
      </c>
      <c r="K285" s="486" t="s">
        <v>1756</v>
      </c>
      <c r="L285" s="486" t="s">
        <v>1473</v>
      </c>
      <c r="M285" s="486" t="s">
        <v>1230</v>
      </c>
      <c r="N285" s="486" t="s">
        <v>1231</v>
      </c>
      <c r="O285" s="486" t="s">
        <v>1232</v>
      </c>
      <c r="P285" s="486" t="s">
        <v>469</v>
      </c>
      <c r="Q285" s="487">
        <v>44189</v>
      </c>
      <c r="R285" s="487">
        <v>44888</v>
      </c>
      <c r="S285" s="488">
        <v>1</v>
      </c>
      <c r="T285" s="488">
        <v>0.2</v>
      </c>
      <c r="U285" s="489">
        <v>739072.16</v>
      </c>
      <c r="V285" s="489">
        <v>739072.16</v>
      </c>
      <c r="W285" s="489">
        <v>737905.28</v>
      </c>
      <c r="X285" s="489">
        <f t="shared" si="21"/>
        <v>-1166.8800000000047</v>
      </c>
      <c r="Y285" s="489">
        <f t="shared" si="22"/>
        <v>-1166.8800000000047</v>
      </c>
      <c r="Z285" s="489">
        <v>735563.37</v>
      </c>
      <c r="AA285" s="489">
        <v>735563.37</v>
      </c>
      <c r="AB285" s="489">
        <v>737905.28</v>
      </c>
      <c r="AC285" s="489">
        <f t="shared" si="23"/>
        <v>2341.9100000000326</v>
      </c>
      <c r="AD285" s="489">
        <f t="shared" si="24"/>
        <v>2341.9100000000326</v>
      </c>
      <c r="AE285" s="489">
        <v>0</v>
      </c>
      <c r="AF285" s="489">
        <v>0</v>
      </c>
      <c r="AG285" s="490" t="s">
        <v>1233</v>
      </c>
      <c r="AH285" s="490" t="s">
        <v>1247</v>
      </c>
      <c r="AI285" s="490" t="s">
        <v>1241</v>
      </c>
      <c r="AJ285" s="490" t="s">
        <v>1234</v>
      </c>
      <c r="AK285" s="490" t="s">
        <v>1278</v>
      </c>
      <c r="AL285" s="491"/>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row>
    <row r="286" spans="1:80" ht="18" customHeight="1" x14ac:dyDescent="0.25">
      <c r="A286" s="486">
        <f t="shared" si="20"/>
        <v>284</v>
      </c>
      <c r="B286" s="486" t="s">
        <v>3665</v>
      </c>
      <c r="C286" s="486">
        <v>2100000113</v>
      </c>
      <c r="D286" s="486" t="s">
        <v>4907</v>
      </c>
      <c r="E286" s="486" t="s">
        <v>1534</v>
      </c>
      <c r="F286" s="486" t="s">
        <v>3664</v>
      </c>
      <c r="G286" s="486" t="s">
        <v>3661</v>
      </c>
      <c r="H286" s="485" t="s">
        <v>2631</v>
      </c>
      <c r="I286" s="486" t="s">
        <v>3662</v>
      </c>
      <c r="J286" s="486" t="s">
        <v>3663</v>
      </c>
      <c r="K286" s="486" t="s">
        <v>1756</v>
      </c>
      <c r="L286" s="486" t="s">
        <v>2783</v>
      </c>
      <c r="M286" s="486" t="s">
        <v>1230</v>
      </c>
      <c r="N286" s="486" t="s">
        <v>1231</v>
      </c>
      <c r="O286" s="486" t="s">
        <v>1231</v>
      </c>
      <c r="P286" s="486" t="s">
        <v>469</v>
      </c>
      <c r="Q286" s="487">
        <v>44189</v>
      </c>
      <c r="R286" s="487">
        <v>45012</v>
      </c>
      <c r="S286" s="488">
        <v>1</v>
      </c>
      <c r="T286" s="488"/>
      <c r="U286" s="489">
        <v>5618153</v>
      </c>
      <c r="V286" s="489">
        <v>5618153</v>
      </c>
      <c r="W286" s="489">
        <v>5618153</v>
      </c>
      <c r="X286" s="489">
        <f t="shared" si="21"/>
        <v>0</v>
      </c>
      <c r="Y286" s="489">
        <f t="shared" si="22"/>
        <v>0</v>
      </c>
      <c r="Z286" s="489">
        <v>2984665.02</v>
      </c>
      <c r="AA286" s="489">
        <v>3229817.62</v>
      </c>
      <c r="AB286" s="489">
        <v>3249067.99</v>
      </c>
      <c r="AC286" s="489">
        <f t="shared" si="23"/>
        <v>264402.9700000002</v>
      </c>
      <c r="AD286" s="489">
        <f t="shared" si="24"/>
        <v>19250.370000000112</v>
      </c>
      <c r="AE286" s="489">
        <v>0</v>
      </c>
      <c r="AF286" s="489">
        <v>2369085.0099999998</v>
      </c>
      <c r="AG286" s="490" t="s">
        <v>1245</v>
      </c>
      <c r="AH286" s="490" t="s">
        <v>1247</v>
      </c>
      <c r="AI286" s="490" t="s">
        <v>1248</v>
      </c>
      <c r="AJ286" s="490" t="s">
        <v>1246</v>
      </c>
      <c r="AK286" s="490" t="s">
        <v>1278</v>
      </c>
      <c r="AL286" s="491"/>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row>
    <row r="287" spans="1:80" ht="18" customHeight="1" x14ac:dyDescent="0.25">
      <c r="A287" s="492">
        <f t="shared" si="20"/>
        <v>285</v>
      </c>
      <c r="B287" s="492" t="s">
        <v>3668</v>
      </c>
      <c r="C287" s="492">
        <v>2200000116</v>
      </c>
      <c r="D287" s="492" t="s">
        <v>4908</v>
      </c>
      <c r="E287" s="492" t="s">
        <v>1536</v>
      </c>
      <c r="F287" s="492" t="s">
        <v>2633</v>
      </c>
      <c r="G287" s="492" t="s">
        <v>3666</v>
      </c>
      <c r="H287" s="492" t="s">
        <v>2633</v>
      </c>
      <c r="I287" s="492" t="s">
        <v>3666</v>
      </c>
      <c r="J287" s="492" t="s">
        <v>3667</v>
      </c>
      <c r="K287" s="492" t="s">
        <v>1756</v>
      </c>
      <c r="L287" s="492" t="s">
        <v>1473</v>
      </c>
      <c r="M287" s="493" t="s">
        <v>1230</v>
      </c>
      <c r="N287" s="505" t="s">
        <v>1232</v>
      </c>
      <c r="O287" s="505" t="s">
        <v>1232</v>
      </c>
      <c r="P287" s="492" t="s">
        <v>469</v>
      </c>
      <c r="Q287" s="494">
        <v>44195</v>
      </c>
      <c r="R287" s="494">
        <v>45351</v>
      </c>
      <c r="S287" s="498">
        <v>1.5</v>
      </c>
      <c r="T287" s="498">
        <v>0.3</v>
      </c>
      <c r="U287" s="496">
        <v>2302179</v>
      </c>
      <c r="V287" s="496">
        <v>2302179</v>
      </c>
      <c r="W287" s="496">
        <v>2302179</v>
      </c>
      <c r="X287" s="496">
        <f t="shared" si="21"/>
        <v>0</v>
      </c>
      <c r="Y287" s="496">
        <f t="shared" si="22"/>
        <v>0</v>
      </c>
      <c r="Z287" s="496">
        <v>1.01</v>
      </c>
      <c r="AA287" s="496">
        <v>1.01</v>
      </c>
      <c r="AB287" s="496">
        <v>1.02</v>
      </c>
      <c r="AC287" s="496">
        <f t="shared" si="23"/>
        <v>1.0000000000000009E-2</v>
      </c>
      <c r="AD287" s="496">
        <f t="shared" si="24"/>
        <v>1.0000000000000009E-2</v>
      </c>
      <c r="AE287" s="496">
        <v>2302177.98</v>
      </c>
      <c r="AF287" s="496">
        <v>0</v>
      </c>
      <c r="AG287" s="497" t="s">
        <v>1245</v>
      </c>
      <c r="AH287" s="497" t="s">
        <v>1247</v>
      </c>
      <c r="AI287" s="497" t="s">
        <v>1248</v>
      </c>
      <c r="AJ287" s="497" t="s">
        <v>1246</v>
      </c>
      <c r="AK287" s="497" t="s">
        <v>1235</v>
      </c>
      <c r="AL287" s="491"/>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row>
    <row r="288" spans="1:80" ht="18" customHeight="1" x14ac:dyDescent="0.25">
      <c r="A288" s="492">
        <f t="shared" si="20"/>
        <v>286</v>
      </c>
      <c r="B288" s="492" t="s">
        <v>3671</v>
      </c>
      <c r="C288" s="492">
        <v>1200000104</v>
      </c>
      <c r="D288" s="492" t="s">
        <v>4909</v>
      </c>
      <c r="E288" s="492" t="s">
        <v>1535</v>
      </c>
      <c r="F288" s="492" t="s">
        <v>2632</v>
      </c>
      <c r="G288" s="492" t="s">
        <v>3669</v>
      </c>
      <c r="H288" s="492" t="s">
        <v>2632</v>
      </c>
      <c r="I288" s="492" t="s">
        <v>3669</v>
      </c>
      <c r="J288" s="492" t="s">
        <v>3670</v>
      </c>
      <c r="K288" s="492" t="s">
        <v>1756</v>
      </c>
      <c r="L288" s="492" t="s">
        <v>1473</v>
      </c>
      <c r="M288" s="493" t="s">
        <v>1230</v>
      </c>
      <c r="N288" s="505" t="s">
        <v>1232</v>
      </c>
      <c r="O288" s="505" t="s">
        <v>1232</v>
      </c>
      <c r="P288" s="492" t="s">
        <v>1156</v>
      </c>
      <c r="Q288" s="494">
        <v>44196</v>
      </c>
      <c r="R288" s="494">
        <v>46063</v>
      </c>
      <c r="S288" s="498">
        <v>1</v>
      </c>
      <c r="T288" s="498">
        <v>0.2</v>
      </c>
      <c r="U288" s="496">
        <v>4395184</v>
      </c>
      <c r="V288" s="496">
        <v>4395184</v>
      </c>
      <c r="W288" s="496">
        <v>4395184</v>
      </c>
      <c r="X288" s="496">
        <f t="shared" si="21"/>
        <v>0</v>
      </c>
      <c r="Y288" s="496">
        <f t="shared" si="22"/>
        <v>0</v>
      </c>
      <c r="Z288" s="496">
        <v>4190298.21</v>
      </c>
      <c r="AA288" s="496">
        <v>4214202.18</v>
      </c>
      <c r="AB288" s="496">
        <v>4313819.54</v>
      </c>
      <c r="AC288" s="496">
        <f t="shared" si="23"/>
        <v>123521.33000000007</v>
      </c>
      <c r="AD288" s="496">
        <f t="shared" si="24"/>
        <v>99617.360000000335</v>
      </c>
      <c r="AE288" s="496">
        <v>81364.460000000006</v>
      </c>
      <c r="AF288" s="496">
        <v>0</v>
      </c>
      <c r="AG288" s="497" t="s">
        <v>1237</v>
      </c>
      <c r="AH288" s="497" t="s">
        <v>1357</v>
      </c>
      <c r="AI288" s="497"/>
      <c r="AJ288" s="497" t="s">
        <v>1363</v>
      </c>
      <c r="AK288" s="497" t="s">
        <v>1260</v>
      </c>
      <c r="AL288" s="491"/>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row>
    <row r="289" spans="1:80" ht="18" customHeight="1" x14ac:dyDescent="0.25">
      <c r="A289" s="486">
        <f t="shared" si="20"/>
        <v>287</v>
      </c>
      <c r="B289" s="486" t="s">
        <v>3675</v>
      </c>
      <c r="C289" s="486">
        <v>2100000114</v>
      </c>
      <c r="D289" s="486" t="s">
        <v>4910</v>
      </c>
      <c r="E289" s="486" t="s">
        <v>1537</v>
      </c>
      <c r="F289" s="486" t="s">
        <v>3674</v>
      </c>
      <c r="G289" s="486" t="s">
        <v>3672</v>
      </c>
      <c r="H289" s="485" t="s">
        <v>2564</v>
      </c>
      <c r="I289" s="486" t="s">
        <v>2981</v>
      </c>
      <c r="J289" s="486" t="s">
        <v>3673</v>
      </c>
      <c r="K289" s="486" t="s">
        <v>1756</v>
      </c>
      <c r="L289" s="486" t="s">
        <v>2783</v>
      </c>
      <c r="M289" s="486" t="s">
        <v>1230</v>
      </c>
      <c r="N289" s="486" t="s">
        <v>1231</v>
      </c>
      <c r="O289" s="486" t="s">
        <v>1231</v>
      </c>
      <c r="P289" s="486" t="s">
        <v>469</v>
      </c>
      <c r="Q289" s="487">
        <v>44196</v>
      </c>
      <c r="R289" s="487">
        <v>46022</v>
      </c>
      <c r="S289" s="488">
        <v>1.5</v>
      </c>
      <c r="T289" s="488"/>
      <c r="U289" s="489">
        <v>10360420</v>
      </c>
      <c r="V289" s="489">
        <v>10360420</v>
      </c>
      <c r="W289" s="489">
        <v>10360420</v>
      </c>
      <c r="X289" s="489">
        <f t="shared" si="21"/>
        <v>0</v>
      </c>
      <c r="Y289" s="489">
        <f t="shared" si="22"/>
        <v>0</v>
      </c>
      <c r="Z289" s="489">
        <v>0</v>
      </c>
      <c r="AA289" s="489">
        <v>0</v>
      </c>
      <c r="AB289" s="489">
        <v>0</v>
      </c>
      <c r="AC289" s="489">
        <f t="shared" si="23"/>
        <v>0</v>
      </c>
      <c r="AD289" s="489">
        <f t="shared" si="24"/>
        <v>0</v>
      </c>
      <c r="AE289" s="489">
        <v>0</v>
      </c>
      <c r="AF289" s="489">
        <v>10360420</v>
      </c>
      <c r="AG289" s="490" t="s">
        <v>1245</v>
      </c>
      <c r="AH289" s="490" t="s">
        <v>1242</v>
      </c>
      <c r="AI289" s="490" t="s">
        <v>1292</v>
      </c>
      <c r="AJ289" s="490" t="s">
        <v>1246</v>
      </c>
      <c r="AK289" s="490" t="s">
        <v>1235</v>
      </c>
      <c r="AL289" s="491"/>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row>
    <row r="290" spans="1:80" ht="18" customHeight="1" x14ac:dyDescent="0.25">
      <c r="A290" s="486">
        <f t="shared" si="20"/>
        <v>288</v>
      </c>
      <c r="B290" s="486" t="s">
        <v>3676</v>
      </c>
      <c r="C290" s="486">
        <v>4100000141</v>
      </c>
      <c r="D290" s="486" t="s">
        <v>4911</v>
      </c>
      <c r="E290" s="486" t="s">
        <v>1537</v>
      </c>
      <c r="F290" s="486" t="s">
        <v>3674</v>
      </c>
      <c r="G290" s="486" t="s">
        <v>3672</v>
      </c>
      <c r="H290" s="485" t="s">
        <v>2564</v>
      </c>
      <c r="I290" s="486" t="s">
        <v>2981</v>
      </c>
      <c r="J290" s="486" t="s">
        <v>3673</v>
      </c>
      <c r="K290" s="486" t="s">
        <v>1756</v>
      </c>
      <c r="L290" s="486" t="s">
        <v>2783</v>
      </c>
      <c r="M290" s="486" t="s">
        <v>1230</v>
      </c>
      <c r="N290" s="486" t="s">
        <v>1231</v>
      </c>
      <c r="O290" s="486" t="s">
        <v>1231</v>
      </c>
      <c r="P290" s="486" t="s">
        <v>469</v>
      </c>
      <c r="Q290" s="487">
        <v>44196</v>
      </c>
      <c r="R290" s="487">
        <v>46022</v>
      </c>
      <c r="S290" s="488">
        <v>1</v>
      </c>
      <c r="T290" s="488"/>
      <c r="U290" s="489">
        <v>306760</v>
      </c>
      <c r="V290" s="489">
        <v>306760</v>
      </c>
      <c r="W290" s="489">
        <v>306760</v>
      </c>
      <c r="X290" s="489">
        <f t="shared" si="21"/>
        <v>0</v>
      </c>
      <c r="Y290" s="489">
        <f t="shared" si="22"/>
        <v>0</v>
      </c>
      <c r="Z290" s="489">
        <v>0</v>
      </c>
      <c r="AA290" s="489">
        <v>0</v>
      </c>
      <c r="AB290" s="489">
        <v>0</v>
      </c>
      <c r="AC290" s="489">
        <f t="shared" si="23"/>
        <v>0</v>
      </c>
      <c r="AD290" s="489">
        <f t="shared" si="24"/>
        <v>0</v>
      </c>
      <c r="AE290" s="489">
        <v>0</v>
      </c>
      <c r="AF290" s="489">
        <v>306760</v>
      </c>
      <c r="AG290" s="490" t="s">
        <v>1250</v>
      </c>
      <c r="AH290" s="490" t="s">
        <v>1291</v>
      </c>
      <c r="AI290" s="490" t="s">
        <v>1292</v>
      </c>
      <c r="AJ290" s="490" t="s">
        <v>1234</v>
      </c>
      <c r="AK290" s="490" t="s">
        <v>1240</v>
      </c>
      <c r="AL290" s="491"/>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row>
    <row r="291" spans="1:80" ht="18" customHeight="1" x14ac:dyDescent="0.25">
      <c r="A291" s="486">
        <f t="shared" si="20"/>
        <v>289</v>
      </c>
      <c r="B291" s="486" t="s">
        <v>3679</v>
      </c>
      <c r="C291" s="486">
        <v>2200000118</v>
      </c>
      <c r="D291" s="486" t="s">
        <v>4912</v>
      </c>
      <c r="E291" s="486" t="s">
        <v>1539</v>
      </c>
      <c r="F291" s="486" t="s">
        <v>1538</v>
      </c>
      <c r="G291" s="486" t="s">
        <v>3677</v>
      </c>
      <c r="H291" s="485" t="s">
        <v>2544</v>
      </c>
      <c r="I291" s="486" t="s">
        <v>2818</v>
      </c>
      <c r="J291" s="486" t="s">
        <v>3678</v>
      </c>
      <c r="K291" s="486" t="s">
        <v>1756</v>
      </c>
      <c r="L291" s="486" t="s">
        <v>1473</v>
      </c>
      <c r="M291" s="486" t="s">
        <v>1230</v>
      </c>
      <c r="N291" s="486" t="s">
        <v>1231</v>
      </c>
      <c r="O291" s="486" t="s">
        <v>1232</v>
      </c>
      <c r="P291" s="486" t="s">
        <v>469</v>
      </c>
      <c r="Q291" s="487">
        <v>44196</v>
      </c>
      <c r="R291" s="487">
        <v>45107</v>
      </c>
      <c r="S291" s="488">
        <v>1.5</v>
      </c>
      <c r="T291" s="488">
        <v>0.3</v>
      </c>
      <c r="U291" s="489">
        <v>5000000</v>
      </c>
      <c r="V291" s="489">
        <v>5000000</v>
      </c>
      <c r="W291" s="489">
        <v>5000000</v>
      </c>
      <c r="X291" s="489">
        <f t="shared" si="21"/>
        <v>0</v>
      </c>
      <c r="Y291" s="489">
        <f t="shared" si="22"/>
        <v>0</v>
      </c>
      <c r="Z291" s="489">
        <v>3875765.63</v>
      </c>
      <c r="AA291" s="489">
        <v>3875765.63</v>
      </c>
      <c r="AB291" s="489">
        <v>3875765.63</v>
      </c>
      <c r="AC291" s="489">
        <f t="shared" si="23"/>
        <v>0</v>
      </c>
      <c r="AD291" s="489">
        <f t="shared" si="24"/>
        <v>0</v>
      </c>
      <c r="AE291" s="489">
        <v>1124234.3700000001</v>
      </c>
      <c r="AF291" s="489">
        <v>0</v>
      </c>
      <c r="AG291" s="490" t="s">
        <v>1245</v>
      </c>
      <c r="AH291" s="490" t="s">
        <v>1247</v>
      </c>
      <c r="AI291" s="490" t="s">
        <v>1248</v>
      </c>
      <c r="AJ291" s="490" t="s">
        <v>1246</v>
      </c>
      <c r="AK291" s="490" t="s">
        <v>1235</v>
      </c>
      <c r="AL291" s="4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row>
    <row r="292" spans="1:80" ht="18" customHeight="1" x14ac:dyDescent="0.25">
      <c r="A292" s="486">
        <f t="shared" si="20"/>
        <v>290</v>
      </c>
      <c r="B292" s="486" t="s">
        <v>3680</v>
      </c>
      <c r="C292" s="486">
        <v>2100000116</v>
      </c>
      <c r="D292" s="486" t="s">
        <v>4913</v>
      </c>
      <c r="E292" s="486" t="s">
        <v>1539</v>
      </c>
      <c r="F292" s="486" t="s">
        <v>1538</v>
      </c>
      <c r="G292" s="486" t="s">
        <v>3677</v>
      </c>
      <c r="H292" s="485" t="s">
        <v>2544</v>
      </c>
      <c r="I292" s="486" t="s">
        <v>2818</v>
      </c>
      <c r="J292" s="486" t="s">
        <v>3678</v>
      </c>
      <c r="K292" s="486" t="s">
        <v>1756</v>
      </c>
      <c r="L292" s="486" t="s">
        <v>2783</v>
      </c>
      <c r="M292" s="486" t="s">
        <v>1230</v>
      </c>
      <c r="N292" s="486" t="s">
        <v>1231</v>
      </c>
      <c r="O292" s="486" t="s">
        <v>1231</v>
      </c>
      <c r="P292" s="486" t="s">
        <v>469</v>
      </c>
      <c r="Q292" s="487">
        <v>44196</v>
      </c>
      <c r="R292" s="487">
        <v>45107</v>
      </c>
      <c r="S292" s="488">
        <v>1.5</v>
      </c>
      <c r="T292" s="488"/>
      <c r="U292" s="489">
        <v>3424403</v>
      </c>
      <c r="V292" s="489">
        <v>3424403</v>
      </c>
      <c r="W292" s="489">
        <v>3424403</v>
      </c>
      <c r="X292" s="489">
        <f t="shared" si="21"/>
        <v>0</v>
      </c>
      <c r="Y292" s="489">
        <f t="shared" si="22"/>
        <v>0</v>
      </c>
      <c r="Z292" s="489">
        <v>67931.199999999997</v>
      </c>
      <c r="AA292" s="489">
        <v>67931.199999999997</v>
      </c>
      <c r="AB292" s="489">
        <v>92336.67</v>
      </c>
      <c r="AC292" s="489">
        <f t="shared" si="23"/>
        <v>24405.47</v>
      </c>
      <c r="AD292" s="489">
        <f t="shared" si="24"/>
        <v>24405.47</v>
      </c>
      <c r="AE292" s="489">
        <v>0</v>
      </c>
      <c r="AF292" s="489">
        <v>3332066.33</v>
      </c>
      <c r="AG292" s="490" t="s">
        <v>1245</v>
      </c>
      <c r="AH292" s="490" t="s">
        <v>1247</v>
      </c>
      <c r="AI292" s="490" t="s">
        <v>1248</v>
      </c>
      <c r="AJ292" s="490" t="s">
        <v>1246</v>
      </c>
      <c r="AK292" s="490" t="s">
        <v>1235</v>
      </c>
      <c r="AL292" s="491"/>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row>
    <row r="293" spans="1:80" ht="18" customHeight="1" x14ac:dyDescent="0.25">
      <c r="A293" s="492">
        <f t="shared" si="20"/>
        <v>291</v>
      </c>
      <c r="B293" s="492" t="s">
        <v>3684</v>
      </c>
      <c r="C293" s="492">
        <v>3100000100</v>
      </c>
      <c r="D293" s="492" t="s">
        <v>4914</v>
      </c>
      <c r="E293" s="492" t="s">
        <v>1540</v>
      </c>
      <c r="F293" s="492" t="s">
        <v>3683</v>
      </c>
      <c r="G293" s="492" t="s">
        <v>3681</v>
      </c>
      <c r="H293" s="492" t="s">
        <v>3683</v>
      </c>
      <c r="I293" s="492" t="s">
        <v>3681</v>
      </c>
      <c r="J293" s="492" t="s">
        <v>3682</v>
      </c>
      <c r="K293" s="492" t="s">
        <v>1756</v>
      </c>
      <c r="L293" s="492" t="s">
        <v>2783</v>
      </c>
      <c r="M293" s="493" t="s">
        <v>1230</v>
      </c>
      <c r="N293" s="493" t="s">
        <v>1232</v>
      </c>
      <c r="O293" s="492" t="s">
        <v>1232</v>
      </c>
      <c r="P293" s="492" t="s">
        <v>469</v>
      </c>
      <c r="Q293" s="494">
        <v>44208</v>
      </c>
      <c r="R293" s="494">
        <v>44938</v>
      </c>
      <c r="S293" s="498">
        <v>1</v>
      </c>
      <c r="T293" s="498"/>
      <c r="U293" s="496">
        <v>47113061.759999998</v>
      </c>
      <c r="V293" s="496">
        <v>47113061.759999998</v>
      </c>
      <c r="W293" s="496">
        <v>47113061.759999998</v>
      </c>
      <c r="X293" s="496">
        <f t="shared" si="21"/>
        <v>0</v>
      </c>
      <c r="Y293" s="496">
        <f t="shared" si="22"/>
        <v>0</v>
      </c>
      <c r="Z293" s="496">
        <v>44858473.420000002</v>
      </c>
      <c r="AA293" s="496">
        <v>44858473.420000002</v>
      </c>
      <c r="AB293" s="496">
        <v>45134875.359999999</v>
      </c>
      <c r="AC293" s="496">
        <f t="shared" si="23"/>
        <v>276401.93999999762</v>
      </c>
      <c r="AD293" s="496">
        <f t="shared" si="24"/>
        <v>276401.93999999762</v>
      </c>
      <c r="AE293" s="496">
        <v>1978186.4</v>
      </c>
      <c r="AF293" s="496">
        <v>0</v>
      </c>
      <c r="AG293" s="497" t="s">
        <v>1233</v>
      </c>
      <c r="AH293" s="497" t="s">
        <v>1247</v>
      </c>
      <c r="AI293" s="497" t="s">
        <v>1248</v>
      </c>
      <c r="AJ293" s="497" t="s">
        <v>1234</v>
      </c>
      <c r="AK293" s="497" t="s">
        <v>1278</v>
      </c>
      <c r="AL293" s="491"/>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row>
    <row r="294" spans="1:80" ht="18" customHeight="1" x14ac:dyDescent="0.25">
      <c r="A294" s="492">
        <f t="shared" si="20"/>
        <v>292</v>
      </c>
      <c r="B294" s="492" t="s">
        <v>1032</v>
      </c>
      <c r="C294" s="492">
        <v>1200000105</v>
      </c>
      <c r="D294" s="492" t="s">
        <v>4915</v>
      </c>
      <c r="E294" s="492" t="s">
        <v>1054</v>
      </c>
      <c r="F294" s="492" t="s">
        <v>3686</v>
      </c>
      <c r="G294" s="492" t="s">
        <v>1065</v>
      </c>
      <c r="H294" s="492" t="s">
        <v>3686</v>
      </c>
      <c r="I294" s="492" t="s">
        <v>1065</v>
      </c>
      <c r="J294" s="492" t="s">
        <v>3685</v>
      </c>
      <c r="K294" s="492" t="s">
        <v>1756</v>
      </c>
      <c r="L294" s="492" t="s">
        <v>1473</v>
      </c>
      <c r="M294" s="493" t="s">
        <v>1230</v>
      </c>
      <c r="N294" s="505" t="s">
        <v>1232</v>
      </c>
      <c r="O294" s="505" t="s">
        <v>1232</v>
      </c>
      <c r="P294" s="492" t="s">
        <v>1156</v>
      </c>
      <c r="Q294" s="494">
        <v>44211</v>
      </c>
      <c r="R294" s="494">
        <v>46037</v>
      </c>
      <c r="S294" s="498">
        <v>1</v>
      </c>
      <c r="T294" s="498">
        <v>0.2</v>
      </c>
      <c r="U294" s="496">
        <v>1720648.04</v>
      </c>
      <c r="V294" s="496">
        <v>1713000.72</v>
      </c>
      <c r="W294" s="496">
        <v>1713000.72</v>
      </c>
      <c r="X294" s="496">
        <f t="shared" si="21"/>
        <v>-7647.3200000000652</v>
      </c>
      <c r="Y294" s="496">
        <f t="shared" si="22"/>
        <v>0</v>
      </c>
      <c r="Z294" s="496">
        <v>1720648.04</v>
      </c>
      <c r="AA294" s="496">
        <v>1713000.72</v>
      </c>
      <c r="AB294" s="496">
        <v>1713000.72</v>
      </c>
      <c r="AC294" s="496">
        <f t="shared" si="23"/>
        <v>-7647.3200000000652</v>
      </c>
      <c r="AD294" s="496">
        <f t="shared" si="24"/>
        <v>0</v>
      </c>
      <c r="AE294" s="496">
        <v>0</v>
      </c>
      <c r="AF294" s="496">
        <v>0</v>
      </c>
      <c r="AG294" s="497" t="s">
        <v>1237</v>
      </c>
      <c r="AH294" s="497" t="s">
        <v>1236</v>
      </c>
      <c r="AI294" s="497"/>
      <c r="AJ294" s="497" t="s">
        <v>1259</v>
      </c>
      <c r="AK294" s="497" t="s">
        <v>1260</v>
      </c>
      <c r="AL294" s="491"/>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row>
    <row r="295" spans="1:80" ht="18" customHeight="1" x14ac:dyDescent="0.25">
      <c r="A295" s="486">
        <f t="shared" si="20"/>
        <v>293</v>
      </c>
      <c r="B295" s="486" t="s">
        <v>3687</v>
      </c>
      <c r="C295" s="486">
        <v>7200000103</v>
      </c>
      <c r="D295" s="486" t="s">
        <v>4916</v>
      </c>
      <c r="E295" s="486" t="s">
        <v>1381</v>
      </c>
      <c r="F295" s="486" t="s">
        <v>1380</v>
      </c>
      <c r="G295" s="486" t="s">
        <v>3140</v>
      </c>
      <c r="H295" s="485" t="s">
        <v>2584</v>
      </c>
      <c r="I295" s="486" t="s">
        <v>3141</v>
      </c>
      <c r="J295" s="486" t="s">
        <v>3142</v>
      </c>
      <c r="K295" s="486" t="s">
        <v>1756</v>
      </c>
      <c r="L295" s="486" t="s">
        <v>1473</v>
      </c>
      <c r="M295" s="486" t="s">
        <v>1230</v>
      </c>
      <c r="N295" s="486" t="s">
        <v>1231</v>
      </c>
      <c r="O295" s="486" t="s">
        <v>1232</v>
      </c>
      <c r="P295" s="486" t="s">
        <v>469</v>
      </c>
      <c r="Q295" s="487">
        <v>44216</v>
      </c>
      <c r="R295" s="487">
        <v>44834</v>
      </c>
      <c r="S295" s="488">
        <v>1</v>
      </c>
      <c r="T295" s="488">
        <v>0.2</v>
      </c>
      <c r="U295" s="489">
        <v>5000000</v>
      </c>
      <c r="V295" s="489">
        <v>5000000</v>
      </c>
      <c r="W295" s="489">
        <v>5000000</v>
      </c>
      <c r="X295" s="489">
        <f t="shared" si="21"/>
        <v>0</v>
      </c>
      <c r="Y295" s="489">
        <f t="shared" si="22"/>
        <v>0</v>
      </c>
      <c r="Z295" s="489">
        <v>4073231.54</v>
      </c>
      <c r="AA295" s="489">
        <v>4191313.45</v>
      </c>
      <c r="AB295" s="489">
        <v>4191313.45</v>
      </c>
      <c r="AC295" s="489">
        <f t="shared" si="23"/>
        <v>118081.91000000015</v>
      </c>
      <c r="AD295" s="489">
        <f t="shared" si="24"/>
        <v>0</v>
      </c>
      <c r="AE295" s="489">
        <v>808686.54999999993</v>
      </c>
      <c r="AF295" s="489">
        <v>0</v>
      </c>
      <c r="AG295" s="490" t="s">
        <v>1258</v>
      </c>
      <c r="AH295" s="490" t="s">
        <v>1236</v>
      </c>
      <c r="AI295" s="490"/>
      <c r="AJ295" s="490" t="s">
        <v>1259</v>
      </c>
      <c r="AK295" s="490" t="s">
        <v>1240</v>
      </c>
      <c r="AL295" s="491"/>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row>
    <row r="296" spans="1:80" ht="18" customHeight="1" x14ac:dyDescent="0.25">
      <c r="A296" s="486">
        <f t="shared" si="20"/>
        <v>294</v>
      </c>
      <c r="B296" s="486" t="s">
        <v>3689</v>
      </c>
      <c r="C296" s="486">
        <v>1200000106</v>
      </c>
      <c r="D296" s="486" t="s">
        <v>4917</v>
      </c>
      <c r="E296" s="486" t="s">
        <v>329</v>
      </c>
      <c r="F296" s="486" t="s">
        <v>142</v>
      </c>
      <c r="G296" s="486" t="s">
        <v>1122</v>
      </c>
      <c r="H296" s="485" t="s">
        <v>4515</v>
      </c>
      <c r="I296" s="486" t="s">
        <v>2964</v>
      </c>
      <c r="J296" s="486" t="s">
        <v>3688</v>
      </c>
      <c r="K296" s="486" t="s">
        <v>1756</v>
      </c>
      <c r="L296" s="486" t="s">
        <v>1473</v>
      </c>
      <c r="M296" s="486" t="s">
        <v>1230</v>
      </c>
      <c r="N296" s="486" t="s">
        <v>1231</v>
      </c>
      <c r="O296" s="486" t="s">
        <v>1232</v>
      </c>
      <c r="P296" s="486" t="s">
        <v>1156</v>
      </c>
      <c r="Q296" s="487">
        <v>44216</v>
      </c>
      <c r="R296" s="487">
        <v>45946</v>
      </c>
      <c r="S296" s="488">
        <v>1</v>
      </c>
      <c r="T296" s="488">
        <v>0.2</v>
      </c>
      <c r="U296" s="489">
        <v>4176333.67</v>
      </c>
      <c r="V296" s="489">
        <v>4156853.67</v>
      </c>
      <c r="W296" s="489">
        <v>4156853.67</v>
      </c>
      <c r="X296" s="489">
        <f t="shared" si="21"/>
        <v>-19480</v>
      </c>
      <c r="Y296" s="489">
        <f t="shared" si="22"/>
        <v>0</v>
      </c>
      <c r="Z296" s="489">
        <v>4176333.67</v>
      </c>
      <c r="AA296" s="489">
        <v>4156853.67</v>
      </c>
      <c r="AB296" s="489">
        <v>4156853.67</v>
      </c>
      <c r="AC296" s="489">
        <f t="shared" si="23"/>
        <v>-19480</v>
      </c>
      <c r="AD296" s="489">
        <f t="shared" si="24"/>
        <v>0</v>
      </c>
      <c r="AE296" s="489">
        <v>0</v>
      </c>
      <c r="AF296" s="489">
        <v>0</v>
      </c>
      <c r="AG296" s="490" t="s">
        <v>1237</v>
      </c>
      <c r="AH296" s="490" t="s">
        <v>614</v>
      </c>
      <c r="AI296" s="490" t="s">
        <v>1505</v>
      </c>
      <c r="AJ296" s="490" t="s">
        <v>1505</v>
      </c>
      <c r="AK296" s="490" t="s">
        <v>1260</v>
      </c>
      <c r="AL296" s="491"/>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row>
    <row r="297" spans="1:80" ht="18" customHeight="1" x14ac:dyDescent="0.25">
      <c r="A297" s="492">
        <f t="shared" si="20"/>
        <v>295</v>
      </c>
      <c r="B297" s="492" t="s">
        <v>3693</v>
      </c>
      <c r="C297" s="492">
        <v>4100000103</v>
      </c>
      <c r="D297" s="492" t="s">
        <v>4918</v>
      </c>
      <c r="E297" s="492" t="s">
        <v>1543</v>
      </c>
      <c r="F297" s="492" t="s">
        <v>3692</v>
      </c>
      <c r="G297" s="492" t="s">
        <v>3690</v>
      </c>
      <c r="H297" s="492" t="s">
        <v>3692</v>
      </c>
      <c r="I297" s="492" t="s">
        <v>3690</v>
      </c>
      <c r="J297" s="492" t="s">
        <v>3691</v>
      </c>
      <c r="K297" s="492" t="s">
        <v>1756</v>
      </c>
      <c r="L297" s="492" t="s">
        <v>2783</v>
      </c>
      <c r="M297" s="493" t="s">
        <v>1230</v>
      </c>
      <c r="N297" s="505" t="s">
        <v>1232</v>
      </c>
      <c r="O297" s="505" t="s">
        <v>1232</v>
      </c>
      <c r="P297" s="492" t="s">
        <v>469</v>
      </c>
      <c r="Q297" s="494">
        <v>44218</v>
      </c>
      <c r="R297" s="494">
        <v>45287</v>
      </c>
      <c r="S297" s="498">
        <v>0.35</v>
      </c>
      <c r="T297" s="498"/>
      <c r="U297" s="496">
        <v>550000</v>
      </c>
      <c r="V297" s="496">
        <v>550000</v>
      </c>
      <c r="W297" s="496">
        <v>550000</v>
      </c>
      <c r="X297" s="496">
        <f t="shared" si="21"/>
        <v>0</v>
      </c>
      <c r="Y297" s="496">
        <f t="shared" si="22"/>
        <v>0</v>
      </c>
      <c r="Z297" s="496">
        <v>550000</v>
      </c>
      <c r="AA297" s="496">
        <v>550000</v>
      </c>
      <c r="AB297" s="496">
        <v>550000</v>
      </c>
      <c r="AC297" s="496">
        <f t="shared" si="23"/>
        <v>0</v>
      </c>
      <c r="AD297" s="496">
        <f t="shared" si="24"/>
        <v>0</v>
      </c>
      <c r="AE297" s="496">
        <v>0</v>
      </c>
      <c r="AF297" s="496">
        <v>0</v>
      </c>
      <c r="AG297" s="497" t="s">
        <v>1250</v>
      </c>
      <c r="AH297" s="497" t="s">
        <v>1252</v>
      </c>
      <c r="AI297" s="497" t="s">
        <v>1248</v>
      </c>
      <c r="AJ297" s="497" t="s">
        <v>1234</v>
      </c>
      <c r="AK297" s="497" t="s">
        <v>1251</v>
      </c>
      <c r="AL297" s="491"/>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row>
    <row r="298" spans="1:80" ht="18" customHeight="1" x14ac:dyDescent="0.25">
      <c r="A298" s="486">
        <f t="shared" si="20"/>
        <v>296</v>
      </c>
      <c r="B298" s="486" t="s">
        <v>3694</v>
      </c>
      <c r="C298" s="486">
        <v>1200000135</v>
      </c>
      <c r="D298" s="486" t="s">
        <v>4919</v>
      </c>
      <c r="E298" s="486" t="s">
        <v>327</v>
      </c>
      <c r="F298" s="486" t="s">
        <v>3179</v>
      </c>
      <c r="G298" s="486" t="s">
        <v>1102</v>
      </c>
      <c r="H298" s="485" t="s">
        <v>3179</v>
      </c>
      <c r="I298" s="486" t="s">
        <v>1102</v>
      </c>
      <c r="J298" s="486" t="s">
        <v>3178</v>
      </c>
      <c r="K298" s="486" t="s">
        <v>1756</v>
      </c>
      <c r="L298" s="486" t="s">
        <v>1473</v>
      </c>
      <c r="M298" s="486" t="s">
        <v>1230</v>
      </c>
      <c r="N298" s="486" t="s">
        <v>1231</v>
      </c>
      <c r="O298" s="486" t="s">
        <v>1232</v>
      </c>
      <c r="P298" s="486" t="s">
        <v>1156</v>
      </c>
      <c r="Q298" s="487">
        <v>44222</v>
      </c>
      <c r="R298" s="487">
        <v>44834</v>
      </c>
      <c r="S298" s="488">
        <v>1</v>
      </c>
      <c r="T298" s="488">
        <v>0.2</v>
      </c>
      <c r="U298" s="489">
        <v>5000000</v>
      </c>
      <c r="V298" s="489">
        <v>5000000</v>
      </c>
      <c r="W298" s="489">
        <v>5000000</v>
      </c>
      <c r="X298" s="489">
        <f t="shared" si="21"/>
        <v>0</v>
      </c>
      <c r="Y298" s="489">
        <f t="shared" si="22"/>
        <v>0</v>
      </c>
      <c r="Z298" s="489">
        <v>4178175.14</v>
      </c>
      <c r="AA298" s="489">
        <v>4178175.14</v>
      </c>
      <c r="AB298" s="489">
        <v>4178175.14</v>
      </c>
      <c r="AC298" s="489">
        <f t="shared" si="23"/>
        <v>0</v>
      </c>
      <c r="AD298" s="489">
        <f t="shared" si="24"/>
        <v>0</v>
      </c>
      <c r="AE298" s="489">
        <v>821824.86</v>
      </c>
      <c r="AF298" s="489">
        <v>0</v>
      </c>
      <c r="AG298" s="490" t="s">
        <v>1237</v>
      </c>
      <c r="AH298" s="490" t="s">
        <v>1236</v>
      </c>
      <c r="AI298" s="490"/>
      <c r="AJ298" s="490" t="s">
        <v>1259</v>
      </c>
      <c r="AK298" s="490" t="s">
        <v>1260</v>
      </c>
      <c r="AL298" s="491"/>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row>
    <row r="299" spans="1:80" ht="18" customHeight="1" x14ac:dyDescent="0.25">
      <c r="A299" s="486">
        <f t="shared" si="20"/>
        <v>297</v>
      </c>
      <c r="B299" s="486" t="s">
        <v>3697</v>
      </c>
      <c r="C299" s="486">
        <v>1200000107</v>
      </c>
      <c r="D299" s="486" t="s">
        <v>4920</v>
      </c>
      <c r="E299" s="486" t="s">
        <v>1177</v>
      </c>
      <c r="F299" s="486" t="s">
        <v>3696</v>
      </c>
      <c r="G299" s="486" t="s">
        <v>1066</v>
      </c>
      <c r="H299" s="485" t="s">
        <v>3696</v>
      </c>
      <c r="I299" s="486" t="s">
        <v>1066</v>
      </c>
      <c r="J299" s="486" t="s">
        <v>3695</v>
      </c>
      <c r="K299" s="486" t="s">
        <v>1756</v>
      </c>
      <c r="L299" s="486" t="s">
        <v>1473</v>
      </c>
      <c r="M299" s="486" t="s">
        <v>1230</v>
      </c>
      <c r="N299" s="486" t="s">
        <v>1231</v>
      </c>
      <c r="O299" s="486" t="s">
        <v>1232</v>
      </c>
      <c r="P299" s="486" t="s">
        <v>1156</v>
      </c>
      <c r="Q299" s="487">
        <v>44222</v>
      </c>
      <c r="R299" s="487">
        <v>44763</v>
      </c>
      <c r="S299" s="488">
        <v>1</v>
      </c>
      <c r="T299" s="488">
        <v>0.2</v>
      </c>
      <c r="U299" s="489">
        <v>5000000</v>
      </c>
      <c r="V299" s="489">
        <v>5000000</v>
      </c>
      <c r="W299" s="489">
        <v>5000000</v>
      </c>
      <c r="X299" s="489">
        <f t="shared" si="21"/>
        <v>0</v>
      </c>
      <c r="Y299" s="489">
        <f t="shared" si="22"/>
        <v>0</v>
      </c>
      <c r="Z299" s="489">
        <v>4887089.54</v>
      </c>
      <c r="AA299" s="489">
        <v>4887089.54</v>
      </c>
      <c r="AB299" s="489">
        <v>4887089.54</v>
      </c>
      <c r="AC299" s="489">
        <f t="shared" si="23"/>
        <v>0</v>
      </c>
      <c r="AD299" s="489">
        <f t="shared" si="24"/>
        <v>0</v>
      </c>
      <c r="AE299" s="489">
        <v>112910.46</v>
      </c>
      <c r="AF299" s="489">
        <v>0</v>
      </c>
      <c r="AG299" s="490" t="s">
        <v>1237</v>
      </c>
      <c r="AH299" s="490" t="s">
        <v>1236</v>
      </c>
      <c r="AI299" s="490"/>
      <c r="AJ299" s="490" t="s">
        <v>1259</v>
      </c>
      <c r="AK299" s="490" t="s">
        <v>1260</v>
      </c>
      <c r="AL299" s="491" t="s">
        <v>4921</v>
      </c>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row>
    <row r="300" spans="1:80" ht="18" customHeight="1" x14ac:dyDescent="0.25">
      <c r="A300" s="492">
        <f t="shared" si="20"/>
        <v>298</v>
      </c>
      <c r="B300" s="492" t="s">
        <v>3701</v>
      </c>
      <c r="C300" s="492">
        <v>4100000105</v>
      </c>
      <c r="D300" s="492" t="s">
        <v>4922</v>
      </c>
      <c r="E300" s="492" t="s">
        <v>1545</v>
      </c>
      <c r="F300" s="492" t="s">
        <v>3700</v>
      </c>
      <c r="G300" s="492" t="s">
        <v>3698</v>
      </c>
      <c r="H300" s="492" t="s">
        <v>3700</v>
      </c>
      <c r="I300" s="492" t="s">
        <v>3698</v>
      </c>
      <c r="J300" s="492" t="s">
        <v>3699</v>
      </c>
      <c r="K300" s="492" t="s">
        <v>1756</v>
      </c>
      <c r="L300" s="492" t="s">
        <v>2783</v>
      </c>
      <c r="M300" s="493" t="s">
        <v>1230</v>
      </c>
      <c r="N300" s="505" t="s">
        <v>1232</v>
      </c>
      <c r="O300" s="505" t="s">
        <v>1232</v>
      </c>
      <c r="P300" s="492" t="s">
        <v>469</v>
      </c>
      <c r="Q300" s="494">
        <v>44225</v>
      </c>
      <c r="R300" s="494">
        <v>45362</v>
      </c>
      <c r="S300" s="498">
        <v>0.35</v>
      </c>
      <c r="T300" s="498"/>
      <c r="U300" s="496">
        <v>475000</v>
      </c>
      <c r="V300" s="496">
        <v>475000</v>
      </c>
      <c r="W300" s="496">
        <v>475000</v>
      </c>
      <c r="X300" s="496">
        <f t="shared" si="21"/>
        <v>0</v>
      </c>
      <c r="Y300" s="496">
        <f t="shared" si="22"/>
        <v>0</v>
      </c>
      <c r="Z300" s="496">
        <v>475000</v>
      </c>
      <c r="AA300" s="496">
        <v>475000</v>
      </c>
      <c r="AB300" s="496">
        <v>475000</v>
      </c>
      <c r="AC300" s="496">
        <f t="shared" si="23"/>
        <v>0</v>
      </c>
      <c r="AD300" s="496">
        <f t="shared" si="24"/>
        <v>0</v>
      </c>
      <c r="AE300" s="496">
        <v>0</v>
      </c>
      <c r="AF300" s="496">
        <v>0</v>
      </c>
      <c r="AG300" s="497" t="s">
        <v>1250</v>
      </c>
      <c r="AH300" s="497" t="s">
        <v>1252</v>
      </c>
      <c r="AI300" s="497" t="s">
        <v>1269</v>
      </c>
      <c r="AJ300" s="497" t="s">
        <v>1234</v>
      </c>
      <c r="AK300" s="497" t="s">
        <v>1251</v>
      </c>
      <c r="AL300" s="491"/>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row>
    <row r="301" spans="1:80" ht="18" customHeight="1" x14ac:dyDescent="0.25">
      <c r="A301" s="492">
        <f t="shared" si="20"/>
        <v>299</v>
      </c>
      <c r="B301" s="492" t="s">
        <v>3704</v>
      </c>
      <c r="C301" s="492">
        <v>2200000121</v>
      </c>
      <c r="D301" s="492" t="s">
        <v>4923</v>
      </c>
      <c r="E301" s="492" t="s">
        <v>1549</v>
      </c>
      <c r="F301" s="492" t="s">
        <v>2635</v>
      </c>
      <c r="G301" s="492" t="s">
        <v>3702</v>
      </c>
      <c r="H301" s="492" t="s">
        <v>2635</v>
      </c>
      <c r="I301" s="492" t="s">
        <v>3702</v>
      </c>
      <c r="J301" s="492" t="s">
        <v>3703</v>
      </c>
      <c r="K301" s="492" t="s">
        <v>1756</v>
      </c>
      <c r="L301" s="492" t="s">
        <v>1473</v>
      </c>
      <c r="M301" s="493" t="s">
        <v>1230</v>
      </c>
      <c r="N301" s="505" t="s">
        <v>1232</v>
      </c>
      <c r="O301" s="505" t="s">
        <v>1232</v>
      </c>
      <c r="P301" s="492" t="s">
        <v>469</v>
      </c>
      <c r="Q301" s="494">
        <v>44230</v>
      </c>
      <c r="R301" s="494">
        <v>44865</v>
      </c>
      <c r="S301" s="498">
        <v>1.5</v>
      </c>
      <c r="T301" s="498">
        <v>0.3</v>
      </c>
      <c r="U301" s="496">
        <v>3891597</v>
      </c>
      <c r="V301" s="496">
        <v>3891597</v>
      </c>
      <c r="W301" s="496">
        <v>3891597</v>
      </c>
      <c r="X301" s="496">
        <f t="shared" si="21"/>
        <v>0</v>
      </c>
      <c r="Y301" s="496">
        <f t="shared" si="22"/>
        <v>0</v>
      </c>
      <c r="Z301" s="496">
        <v>2574908.19</v>
      </c>
      <c r="AA301" s="496">
        <v>2574908.19</v>
      </c>
      <c r="AB301" s="496">
        <v>2590744.94</v>
      </c>
      <c r="AC301" s="496">
        <f t="shared" si="23"/>
        <v>15836.75</v>
      </c>
      <c r="AD301" s="496">
        <f t="shared" si="24"/>
        <v>15836.75</v>
      </c>
      <c r="AE301" s="496">
        <v>1300852.06</v>
      </c>
      <c r="AF301" s="496">
        <v>0</v>
      </c>
      <c r="AG301" s="497" t="s">
        <v>1245</v>
      </c>
      <c r="AH301" s="497" t="s">
        <v>1247</v>
      </c>
      <c r="AI301" s="497" t="s">
        <v>1269</v>
      </c>
      <c r="AJ301" s="497" t="s">
        <v>1246</v>
      </c>
      <c r="AK301" s="497" t="s">
        <v>1235</v>
      </c>
      <c r="AL301" s="49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row>
    <row r="302" spans="1:80" ht="18" customHeight="1" x14ac:dyDescent="0.25">
      <c r="A302" s="485">
        <f t="shared" si="20"/>
        <v>300</v>
      </c>
      <c r="B302" s="485" t="s">
        <v>3705</v>
      </c>
      <c r="C302" s="485">
        <v>1100000115</v>
      </c>
      <c r="D302" s="485" t="s">
        <v>4924</v>
      </c>
      <c r="E302" s="485" t="s">
        <v>3495</v>
      </c>
      <c r="F302" s="485" t="s">
        <v>1014</v>
      </c>
      <c r="G302" s="485" t="s">
        <v>1121</v>
      </c>
      <c r="H302" s="485" t="s">
        <v>2616</v>
      </c>
      <c r="I302" s="485" t="s">
        <v>3493</v>
      </c>
      <c r="J302" s="485" t="s">
        <v>3494</v>
      </c>
      <c r="K302" s="485" t="s">
        <v>1281</v>
      </c>
      <c r="L302" s="485" t="s">
        <v>2783</v>
      </c>
      <c r="M302" s="486" t="s">
        <v>1230</v>
      </c>
      <c r="N302" s="486" t="s">
        <v>1231</v>
      </c>
      <c r="O302" s="485" t="s">
        <v>1232</v>
      </c>
      <c r="P302" s="485" t="s">
        <v>1156</v>
      </c>
      <c r="Q302" s="487">
        <v>44236</v>
      </c>
      <c r="R302" s="487">
        <v>45159</v>
      </c>
      <c r="S302" s="488">
        <v>1</v>
      </c>
      <c r="T302" s="488"/>
      <c r="U302" s="489">
        <v>5000000</v>
      </c>
      <c r="V302" s="489">
        <v>5000000</v>
      </c>
      <c r="W302" s="489">
        <v>5000000</v>
      </c>
      <c r="X302" s="489">
        <f t="shared" si="21"/>
        <v>0</v>
      </c>
      <c r="Y302" s="489">
        <f t="shared" si="22"/>
        <v>0</v>
      </c>
      <c r="Z302" s="489">
        <v>0</v>
      </c>
      <c r="AA302" s="489">
        <v>0</v>
      </c>
      <c r="AB302" s="489">
        <v>0</v>
      </c>
      <c r="AC302" s="489">
        <f t="shared" si="23"/>
        <v>0</v>
      </c>
      <c r="AD302" s="489">
        <f t="shared" si="24"/>
        <v>0</v>
      </c>
      <c r="AE302" s="489">
        <v>0</v>
      </c>
      <c r="AF302" s="489">
        <v>5000000</v>
      </c>
      <c r="AG302" s="490" t="s">
        <v>1237</v>
      </c>
      <c r="AH302" s="490" t="s">
        <v>1888</v>
      </c>
      <c r="AI302" s="490" t="s">
        <v>1321</v>
      </c>
      <c r="AJ302" s="490" t="s">
        <v>1279</v>
      </c>
      <c r="AK302" s="490" t="s">
        <v>1260</v>
      </c>
      <c r="AL302" s="515"/>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c r="BV302"/>
      <c r="BW302"/>
      <c r="BX302"/>
      <c r="BY302"/>
      <c r="BZ302"/>
      <c r="CA302"/>
      <c r="CB302"/>
    </row>
    <row r="303" spans="1:80" ht="18" customHeight="1" x14ac:dyDescent="0.25">
      <c r="A303" s="485">
        <f t="shared" si="20"/>
        <v>301</v>
      </c>
      <c r="B303" s="485" t="s">
        <v>3706</v>
      </c>
      <c r="C303" s="485">
        <v>1100000116</v>
      </c>
      <c r="D303" s="485" t="s">
        <v>4925</v>
      </c>
      <c r="E303" s="485" t="s">
        <v>3495</v>
      </c>
      <c r="F303" s="485" t="s">
        <v>1014</v>
      </c>
      <c r="G303" s="485" t="s">
        <v>1121</v>
      </c>
      <c r="H303" s="485" t="s">
        <v>2616</v>
      </c>
      <c r="I303" s="485" t="s">
        <v>3493</v>
      </c>
      <c r="J303" s="485" t="s">
        <v>3494</v>
      </c>
      <c r="K303" s="485" t="s">
        <v>1281</v>
      </c>
      <c r="L303" s="485" t="s">
        <v>2783</v>
      </c>
      <c r="M303" s="486" t="s">
        <v>1230</v>
      </c>
      <c r="N303" s="486" t="s">
        <v>1231</v>
      </c>
      <c r="O303" s="485" t="s">
        <v>1232</v>
      </c>
      <c r="P303" s="485" t="s">
        <v>1156</v>
      </c>
      <c r="Q303" s="487">
        <v>44236</v>
      </c>
      <c r="R303" s="487">
        <v>45159</v>
      </c>
      <c r="S303" s="488">
        <v>1</v>
      </c>
      <c r="T303" s="488"/>
      <c r="U303" s="489">
        <v>5000000</v>
      </c>
      <c r="V303" s="489">
        <v>5000000</v>
      </c>
      <c r="W303" s="489">
        <v>5000000</v>
      </c>
      <c r="X303" s="489">
        <f t="shared" si="21"/>
        <v>0</v>
      </c>
      <c r="Y303" s="489">
        <f t="shared" si="22"/>
        <v>0</v>
      </c>
      <c r="Z303" s="489">
        <v>0</v>
      </c>
      <c r="AA303" s="489">
        <v>0</v>
      </c>
      <c r="AB303" s="489">
        <v>0</v>
      </c>
      <c r="AC303" s="489">
        <f t="shared" si="23"/>
        <v>0</v>
      </c>
      <c r="AD303" s="489">
        <f t="shared" si="24"/>
        <v>0</v>
      </c>
      <c r="AE303" s="489">
        <v>0</v>
      </c>
      <c r="AF303" s="489">
        <v>5000000</v>
      </c>
      <c r="AG303" s="490" t="s">
        <v>1237</v>
      </c>
      <c r="AH303" s="490" t="s">
        <v>1888</v>
      </c>
      <c r="AI303" s="490" t="s">
        <v>1321</v>
      </c>
      <c r="AJ303" s="490" t="s">
        <v>1279</v>
      </c>
      <c r="AK303" s="490" t="s">
        <v>1260</v>
      </c>
      <c r="AL303" s="515"/>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c r="BV303"/>
      <c r="BW303"/>
      <c r="BX303"/>
      <c r="BY303"/>
      <c r="BZ303"/>
      <c r="CA303"/>
      <c r="CB303"/>
    </row>
    <row r="304" spans="1:80" ht="18" customHeight="1" x14ac:dyDescent="0.25">
      <c r="A304" s="486">
        <f t="shared" si="20"/>
        <v>302</v>
      </c>
      <c r="B304" s="486" t="s">
        <v>3710</v>
      </c>
      <c r="C304" s="486">
        <v>4100000106</v>
      </c>
      <c r="D304" s="486" t="s">
        <v>4926</v>
      </c>
      <c r="E304" s="486" t="s">
        <v>1547</v>
      </c>
      <c r="F304" s="486" t="s">
        <v>3709</v>
      </c>
      <c r="G304" s="486" t="s">
        <v>3707</v>
      </c>
      <c r="H304" s="485" t="s">
        <v>2610</v>
      </c>
      <c r="I304" s="486" t="s">
        <v>3431</v>
      </c>
      <c r="J304" s="486" t="s">
        <v>3708</v>
      </c>
      <c r="K304" s="486" t="s">
        <v>1756</v>
      </c>
      <c r="L304" s="486" t="s">
        <v>2783</v>
      </c>
      <c r="M304" s="486" t="s">
        <v>1230</v>
      </c>
      <c r="N304" s="486" t="s">
        <v>1231</v>
      </c>
      <c r="O304" s="486" t="s">
        <v>1232</v>
      </c>
      <c r="P304" s="486" t="s">
        <v>469</v>
      </c>
      <c r="Q304" s="487">
        <v>44237</v>
      </c>
      <c r="R304" s="487">
        <v>44967</v>
      </c>
      <c r="S304" s="488">
        <v>1</v>
      </c>
      <c r="T304" s="488"/>
      <c r="U304" s="489">
        <v>5300000</v>
      </c>
      <c r="V304" s="489">
        <v>5300000</v>
      </c>
      <c r="W304" s="489">
        <v>5300000</v>
      </c>
      <c r="X304" s="489">
        <f t="shared" si="21"/>
        <v>0</v>
      </c>
      <c r="Y304" s="489">
        <f t="shared" si="22"/>
        <v>0</v>
      </c>
      <c r="Z304" s="489">
        <v>5300000</v>
      </c>
      <c r="AA304" s="489">
        <v>5300000</v>
      </c>
      <c r="AB304" s="489">
        <v>5300000</v>
      </c>
      <c r="AC304" s="489">
        <f t="shared" si="23"/>
        <v>0</v>
      </c>
      <c r="AD304" s="489">
        <f t="shared" si="24"/>
        <v>0</v>
      </c>
      <c r="AE304" s="489">
        <v>0</v>
      </c>
      <c r="AF304" s="489">
        <v>0</v>
      </c>
      <c r="AG304" s="490" t="s">
        <v>1250</v>
      </c>
      <c r="AH304" s="490" t="s">
        <v>1291</v>
      </c>
      <c r="AI304" s="490" t="s">
        <v>1292</v>
      </c>
      <c r="AJ304" s="490" t="s">
        <v>1234</v>
      </c>
      <c r="AK304" s="490" t="s">
        <v>1240</v>
      </c>
      <c r="AL304" s="491"/>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row>
    <row r="305" spans="1:80" ht="18" customHeight="1" x14ac:dyDescent="0.25">
      <c r="A305" s="492">
        <f t="shared" si="20"/>
        <v>303</v>
      </c>
      <c r="B305" s="492" t="s">
        <v>3713</v>
      </c>
      <c r="C305" s="492">
        <v>2200000122</v>
      </c>
      <c r="D305" s="492" t="s">
        <v>4927</v>
      </c>
      <c r="E305" s="492" t="s">
        <v>1548</v>
      </c>
      <c r="F305" s="492" t="s">
        <v>2634</v>
      </c>
      <c r="G305" s="492" t="s">
        <v>3711</v>
      </c>
      <c r="H305" s="492" t="s">
        <v>2634</v>
      </c>
      <c r="I305" s="492" t="s">
        <v>3711</v>
      </c>
      <c r="J305" s="492" t="s">
        <v>3712</v>
      </c>
      <c r="K305" s="492" t="s">
        <v>1756</v>
      </c>
      <c r="L305" s="492" t="s">
        <v>1473</v>
      </c>
      <c r="M305" s="493" t="s">
        <v>1230</v>
      </c>
      <c r="N305" s="505" t="s">
        <v>1232</v>
      </c>
      <c r="O305" s="505" t="s">
        <v>1232</v>
      </c>
      <c r="P305" s="492" t="s">
        <v>469</v>
      </c>
      <c r="Q305" s="494">
        <v>44237</v>
      </c>
      <c r="R305" s="494">
        <v>45390</v>
      </c>
      <c r="S305" s="498">
        <v>1</v>
      </c>
      <c r="T305" s="498">
        <v>0.2</v>
      </c>
      <c r="U305" s="496">
        <v>3960272</v>
      </c>
      <c r="V305" s="496">
        <v>3960272</v>
      </c>
      <c r="W305" s="496">
        <v>3960272</v>
      </c>
      <c r="X305" s="496">
        <f t="shared" si="21"/>
        <v>0</v>
      </c>
      <c r="Y305" s="496">
        <f t="shared" si="22"/>
        <v>0</v>
      </c>
      <c r="Z305" s="496">
        <v>856737.2</v>
      </c>
      <c r="AA305" s="496">
        <v>925734.07</v>
      </c>
      <c r="AB305" s="496">
        <v>925734.07</v>
      </c>
      <c r="AC305" s="496">
        <f t="shared" si="23"/>
        <v>68996.87</v>
      </c>
      <c r="AD305" s="496">
        <f t="shared" si="24"/>
        <v>0</v>
      </c>
      <c r="AE305" s="496">
        <v>3034537.9299999997</v>
      </c>
      <c r="AF305" s="496">
        <v>0</v>
      </c>
      <c r="AG305" s="497" t="s">
        <v>1245</v>
      </c>
      <c r="AH305" s="497" t="s">
        <v>1441</v>
      </c>
      <c r="AI305" s="497"/>
      <c r="AJ305" s="497" t="s">
        <v>1246</v>
      </c>
      <c r="AK305" s="497" t="s">
        <v>1278</v>
      </c>
      <c r="AL305" s="491"/>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row>
    <row r="306" spans="1:80" ht="18" customHeight="1" x14ac:dyDescent="0.25">
      <c r="A306" s="493">
        <f t="shared" si="20"/>
        <v>304</v>
      </c>
      <c r="B306" s="493" t="s">
        <v>3716</v>
      </c>
      <c r="C306" s="493">
        <v>2100000117</v>
      </c>
      <c r="D306" s="493" t="s">
        <v>4928</v>
      </c>
      <c r="E306" s="493" t="s">
        <v>1550</v>
      </c>
      <c r="F306" s="493" t="s">
        <v>2636</v>
      </c>
      <c r="G306" s="493" t="s">
        <v>3714</v>
      </c>
      <c r="H306" s="492" t="s">
        <v>2636</v>
      </c>
      <c r="I306" s="493" t="s">
        <v>3714</v>
      </c>
      <c r="J306" s="493" t="s">
        <v>3715</v>
      </c>
      <c r="K306" s="493" t="s">
        <v>1756</v>
      </c>
      <c r="L306" s="493" t="s">
        <v>2783</v>
      </c>
      <c r="M306" s="493" t="s">
        <v>1230</v>
      </c>
      <c r="N306" s="493" t="s">
        <v>1232</v>
      </c>
      <c r="O306" s="493" t="s">
        <v>1231</v>
      </c>
      <c r="P306" s="493" t="s">
        <v>469</v>
      </c>
      <c r="Q306" s="494">
        <v>44237</v>
      </c>
      <c r="R306" s="494">
        <v>44967</v>
      </c>
      <c r="S306" s="498">
        <v>1.5</v>
      </c>
      <c r="T306" s="498"/>
      <c r="U306" s="493">
        <v>19988373</v>
      </c>
      <c r="V306" s="493">
        <v>21988545</v>
      </c>
      <c r="W306" s="493">
        <v>21988545</v>
      </c>
      <c r="X306" s="493">
        <f t="shared" si="21"/>
        <v>2000172</v>
      </c>
      <c r="Y306" s="493">
        <f t="shared" si="22"/>
        <v>0</v>
      </c>
      <c r="Z306" s="524">
        <v>17214256.059999999</v>
      </c>
      <c r="AA306" s="524">
        <v>17305108.870000001</v>
      </c>
      <c r="AB306" s="524">
        <v>19210918.870000001</v>
      </c>
      <c r="AC306" s="524">
        <f t="shared" si="23"/>
        <v>1996662.8100000024</v>
      </c>
      <c r="AD306" s="524">
        <f t="shared" si="24"/>
        <v>1905810</v>
      </c>
      <c r="AE306" s="524">
        <v>0</v>
      </c>
      <c r="AF306" s="524">
        <v>2777626.13</v>
      </c>
      <c r="AG306" s="497" t="s">
        <v>1245</v>
      </c>
      <c r="AH306" s="497" t="s">
        <v>1247</v>
      </c>
      <c r="AI306" s="497" t="s">
        <v>1248</v>
      </c>
      <c r="AJ306" s="497" t="s">
        <v>1246</v>
      </c>
      <c r="AK306" s="497" t="s">
        <v>1235</v>
      </c>
      <c r="AL306" s="491"/>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row>
    <row r="307" spans="1:80" ht="18" customHeight="1" x14ac:dyDescent="0.25">
      <c r="A307" s="492">
        <f t="shared" si="20"/>
        <v>305</v>
      </c>
      <c r="B307" s="492" t="s">
        <v>3719</v>
      </c>
      <c r="C307" s="492">
        <v>2200000124</v>
      </c>
      <c r="D307" s="492" t="s">
        <v>4929</v>
      </c>
      <c r="E307" s="492" t="s">
        <v>1551</v>
      </c>
      <c r="F307" s="492" t="s">
        <v>2637</v>
      </c>
      <c r="G307" s="492" t="s">
        <v>3717</v>
      </c>
      <c r="H307" s="492" t="s">
        <v>2637</v>
      </c>
      <c r="I307" s="492" t="s">
        <v>3717</v>
      </c>
      <c r="J307" s="492" t="s">
        <v>3718</v>
      </c>
      <c r="K307" s="492" t="s">
        <v>1756</v>
      </c>
      <c r="L307" s="492" t="s">
        <v>1473</v>
      </c>
      <c r="M307" s="493" t="s">
        <v>1230</v>
      </c>
      <c r="N307" s="505" t="s">
        <v>1232</v>
      </c>
      <c r="O307" s="505" t="s">
        <v>1232</v>
      </c>
      <c r="P307" s="492" t="s">
        <v>469</v>
      </c>
      <c r="Q307" s="494">
        <v>44239</v>
      </c>
      <c r="R307" s="494">
        <v>45338</v>
      </c>
      <c r="S307" s="498">
        <v>1.5</v>
      </c>
      <c r="T307" s="498">
        <v>0.3</v>
      </c>
      <c r="U307" s="496">
        <v>3836510</v>
      </c>
      <c r="V307" s="496">
        <v>3081660</v>
      </c>
      <c r="W307" s="496">
        <v>2360593.83</v>
      </c>
      <c r="X307" s="496">
        <f t="shared" si="21"/>
        <v>-1475916.17</v>
      </c>
      <c r="Y307" s="496">
        <f t="shared" si="22"/>
        <v>-721066.16999999993</v>
      </c>
      <c r="Z307" s="496">
        <v>2384248</v>
      </c>
      <c r="AA307" s="496">
        <v>1889385</v>
      </c>
      <c r="AB307" s="496">
        <v>1168318.83</v>
      </c>
      <c r="AC307" s="496">
        <f t="shared" si="23"/>
        <v>-1215929.17</v>
      </c>
      <c r="AD307" s="496">
        <f t="shared" si="24"/>
        <v>-721066.16999999993</v>
      </c>
      <c r="AE307" s="496">
        <v>1192275</v>
      </c>
      <c r="AF307" s="496">
        <v>0</v>
      </c>
      <c r="AG307" s="497" t="s">
        <v>1245</v>
      </c>
      <c r="AH307" s="497" t="s">
        <v>1247</v>
      </c>
      <c r="AI307" s="497" t="s">
        <v>1269</v>
      </c>
      <c r="AJ307" s="497" t="s">
        <v>1246</v>
      </c>
      <c r="AK307" s="497" t="s">
        <v>1235</v>
      </c>
      <c r="AL307" s="491"/>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row>
    <row r="308" spans="1:80" ht="18" customHeight="1" x14ac:dyDescent="0.25">
      <c r="A308" s="492">
        <f t="shared" si="20"/>
        <v>306</v>
      </c>
      <c r="B308" s="492" t="s">
        <v>3722</v>
      </c>
      <c r="C308" s="492">
        <v>2200000125</v>
      </c>
      <c r="D308" s="492" t="s">
        <v>4930</v>
      </c>
      <c r="E308" s="492" t="s">
        <v>1555</v>
      </c>
      <c r="F308" s="492" t="s">
        <v>2638</v>
      </c>
      <c r="G308" s="492" t="s">
        <v>3720</v>
      </c>
      <c r="H308" s="492" t="s">
        <v>2638</v>
      </c>
      <c r="I308" s="492" t="s">
        <v>3720</v>
      </c>
      <c r="J308" s="492" t="s">
        <v>3721</v>
      </c>
      <c r="K308" s="492" t="s">
        <v>1756</v>
      </c>
      <c r="L308" s="492" t="s">
        <v>1473</v>
      </c>
      <c r="M308" s="493" t="s">
        <v>1230</v>
      </c>
      <c r="N308" s="493" t="s">
        <v>1232</v>
      </c>
      <c r="O308" s="492" t="s">
        <v>1232</v>
      </c>
      <c r="P308" s="492" t="s">
        <v>469</v>
      </c>
      <c r="Q308" s="494">
        <v>44243</v>
      </c>
      <c r="R308" s="494">
        <v>45323</v>
      </c>
      <c r="S308" s="495">
        <v>1.5</v>
      </c>
      <c r="T308" s="495">
        <v>0.3</v>
      </c>
      <c r="U308" s="496">
        <v>2951119</v>
      </c>
      <c r="V308" s="496">
        <v>2951119</v>
      </c>
      <c r="W308" s="496">
        <v>2951119</v>
      </c>
      <c r="X308" s="496">
        <f t="shared" si="21"/>
        <v>0</v>
      </c>
      <c r="Y308" s="496">
        <f t="shared" si="22"/>
        <v>0</v>
      </c>
      <c r="Z308" s="496">
        <v>2538481.7799999998</v>
      </c>
      <c r="AA308" s="496">
        <v>2553247.4300000002</v>
      </c>
      <c r="AB308" s="496">
        <v>2620732.8199999998</v>
      </c>
      <c r="AC308" s="496">
        <f t="shared" si="23"/>
        <v>82251.040000000037</v>
      </c>
      <c r="AD308" s="496">
        <f t="shared" si="24"/>
        <v>67485.389999999665</v>
      </c>
      <c r="AE308" s="496">
        <v>330386.18</v>
      </c>
      <c r="AF308" s="496">
        <v>0</v>
      </c>
      <c r="AG308" s="497" t="s">
        <v>1245</v>
      </c>
      <c r="AH308" s="497" t="s">
        <v>1247</v>
      </c>
      <c r="AI308" s="497" t="s">
        <v>1248</v>
      </c>
      <c r="AJ308" s="497" t="s">
        <v>1246</v>
      </c>
      <c r="AK308" s="497" t="s">
        <v>1235</v>
      </c>
      <c r="AL308" s="491"/>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row>
    <row r="309" spans="1:80" ht="18" customHeight="1" x14ac:dyDescent="0.25">
      <c r="A309" s="492">
        <f t="shared" si="20"/>
        <v>307</v>
      </c>
      <c r="B309" s="492" t="s">
        <v>3724</v>
      </c>
      <c r="C309" s="492">
        <v>1100000119</v>
      </c>
      <c r="D309" s="492" t="s">
        <v>4931</v>
      </c>
      <c r="E309" s="492" t="s">
        <v>1174</v>
      </c>
      <c r="F309" s="492" t="s">
        <v>1552</v>
      </c>
      <c r="G309" s="492" t="s">
        <v>2765</v>
      </c>
      <c r="H309" s="492" t="s">
        <v>1552</v>
      </c>
      <c r="I309" s="492" t="s">
        <v>2765</v>
      </c>
      <c r="J309" s="492" t="s">
        <v>3723</v>
      </c>
      <c r="K309" s="492" t="s">
        <v>1756</v>
      </c>
      <c r="L309" s="492" t="s">
        <v>2783</v>
      </c>
      <c r="M309" s="493" t="s">
        <v>1230</v>
      </c>
      <c r="N309" s="505" t="s">
        <v>1232</v>
      </c>
      <c r="O309" s="505" t="s">
        <v>1232</v>
      </c>
      <c r="P309" s="492" t="s">
        <v>1156</v>
      </c>
      <c r="Q309" s="494">
        <v>44245</v>
      </c>
      <c r="R309" s="494">
        <v>46071</v>
      </c>
      <c r="S309" s="498">
        <v>1</v>
      </c>
      <c r="T309" s="498"/>
      <c r="U309" s="496">
        <v>3066666.62</v>
      </c>
      <c r="V309" s="496">
        <v>2999999.95</v>
      </c>
      <c r="W309" s="496">
        <v>2999999.95</v>
      </c>
      <c r="X309" s="496">
        <f t="shared" si="21"/>
        <v>-66666.669999999925</v>
      </c>
      <c r="Y309" s="496">
        <f t="shared" si="22"/>
        <v>0</v>
      </c>
      <c r="Z309" s="496">
        <v>3066666.62</v>
      </c>
      <c r="AA309" s="496">
        <v>2999999.95</v>
      </c>
      <c r="AB309" s="496">
        <v>2999999.95</v>
      </c>
      <c r="AC309" s="496">
        <f t="shared" si="23"/>
        <v>-66666.669999999925</v>
      </c>
      <c r="AD309" s="496">
        <f t="shared" si="24"/>
        <v>0</v>
      </c>
      <c r="AE309" s="496">
        <v>0</v>
      </c>
      <c r="AF309" s="496">
        <v>0</v>
      </c>
      <c r="AG309" s="497" t="s">
        <v>1237</v>
      </c>
      <c r="AH309" s="497" t="s">
        <v>614</v>
      </c>
      <c r="AI309" s="497" t="s">
        <v>1280</v>
      </c>
      <c r="AJ309" s="497" t="s">
        <v>1279</v>
      </c>
      <c r="AK309" s="497" t="s">
        <v>1260</v>
      </c>
      <c r="AL309" s="491"/>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row>
    <row r="310" spans="1:80" ht="18" customHeight="1" x14ac:dyDescent="0.25">
      <c r="A310" s="485">
        <f t="shared" si="20"/>
        <v>308</v>
      </c>
      <c r="B310" s="485" t="s">
        <v>3726</v>
      </c>
      <c r="C310" s="485">
        <v>1200000111</v>
      </c>
      <c r="D310" s="485" t="s">
        <v>4932</v>
      </c>
      <c r="E310" s="485" t="s">
        <v>315</v>
      </c>
      <c r="F310" s="485" t="s">
        <v>120</v>
      </c>
      <c r="G310" s="485" t="s">
        <v>2760</v>
      </c>
      <c r="H310" s="485" t="s">
        <v>120</v>
      </c>
      <c r="I310" s="485" t="s">
        <v>2760</v>
      </c>
      <c r="J310" s="485" t="s">
        <v>3725</v>
      </c>
      <c r="K310" s="485" t="s">
        <v>1756</v>
      </c>
      <c r="L310" s="485" t="s">
        <v>1473</v>
      </c>
      <c r="M310" s="486" t="s">
        <v>1230</v>
      </c>
      <c r="N310" s="486" t="s">
        <v>1231</v>
      </c>
      <c r="O310" s="485" t="s">
        <v>1232</v>
      </c>
      <c r="P310" s="485" t="s">
        <v>1156</v>
      </c>
      <c r="Q310" s="487">
        <v>44245</v>
      </c>
      <c r="R310" s="487">
        <v>45000</v>
      </c>
      <c r="S310" s="488">
        <v>1</v>
      </c>
      <c r="T310" s="488">
        <v>0.2</v>
      </c>
      <c r="U310" s="489">
        <v>599999.89</v>
      </c>
      <c r="V310" s="489">
        <v>266666.56</v>
      </c>
      <c r="W310" s="489">
        <v>266666.56</v>
      </c>
      <c r="X310" s="489">
        <f t="shared" si="21"/>
        <v>-333333.33</v>
      </c>
      <c r="Y310" s="489">
        <f t="shared" si="22"/>
        <v>0</v>
      </c>
      <c r="Z310" s="489">
        <v>599999.89</v>
      </c>
      <c r="AA310" s="489">
        <v>266666.56</v>
      </c>
      <c r="AB310" s="489">
        <v>266666.56</v>
      </c>
      <c r="AC310" s="489">
        <f t="shared" si="23"/>
        <v>-333333.33</v>
      </c>
      <c r="AD310" s="489">
        <f t="shared" si="24"/>
        <v>0</v>
      </c>
      <c r="AE310" s="489">
        <v>0</v>
      </c>
      <c r="AF310" s="489">
        <v>0</v>
      </c>
      <c r="AG310" s="490" t="s">
        <v>1237</v>
      </c>
      <c r="AH310" s="490" t="s">
        <v>1305</v>
      </c>
      <c r="AI310" s="490"/>
      <c r="AJ310" s="490" t="s">
        <v>1554</v>
      </c>
      <c r="AK310" s="490" t="s">
        <v>1260</v>
      </c>
      <c r="AL310" s="491"/>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row>
    <row r="311" spans="1:80" ht="18" customHeight="1" x14ac:dyDescent="0.25">
      <c r="A311" s="485">
        <f t="shared" si="20"/>
        <v>309</v>
      </c>
      <c r="B311" s="485" t="s">
        <v>3727</v>
      </c>
      <c r="C311" s="485">
        <v>1200000112</v>
      </c>
      <c r="D311" s="485" t="s">
        <v>4933</v>
      </c>
      <c r="E311" s="485" t="s">
        <v>315</v>
      </c>
      <c r="F311" s="485" t="s">
        <v>120</v>
      </c>
      <c r="G311" s="485" t="s">
        <v>2760</v>
      </c>
      <c r="H311" s="485" t="s">
        <v>120</v>
      </c>
      <c r="I311" s="485" t="s">
        <v>2760</v>
      </c>
      <c r="J311" s="485" t="s">
        <v>3725</v>
      </c>
      <c r="K311" s="485" t="s">
        <v>1281</v>
      </c>
      <c r="L311" s="485" t="s">
        <v>1473</v>
      </c>
      <c r="M311" s="486" t="s">
        <v>1230</v>
      </c>
      <c r="N311" s="486" t="s">
        <v>1231</v>
      </c>
      <c r="O311" s="485" t="s">
        <v>1232</v>
      </c>
      <c r="P311" s="485" t="s">
        <v>1156</v>
      </c>
      <c r="Q311" s="487">
        <v>44245</v>
      </c>
      <c r="R311" s="487">
        <v>44977</v>
      </c>
      <c r="S311" s="488">
        <v>1</v>
      </c>
      <c r="T311" s="488">
        <v>0.2</v>
      </c>
      <c r="U311" s="489">
        <v>300000</v>
      </c>
      <c r="V311" s="489">
        <v>300000</v>
      </c>
      <c r="W311" s="489">
        <v>300000</v>
      </c>
      <c r="X311" s="489">
        <f t="shared" si="21"/>
        <v>0</v>
      </c>
      <c r="Y311" s="489">
        <f t="shared" si="22"/>
        <v>0</v>
      </c>
      <c r="Z311" s="489">
        <v>100</v>
      </c>
      <c r="AA311" s="489">
        <v>100</v>
      </c>
      <c r="AB311" s="489">
        <v>100</v>
      </c>
      <c r="AC311" s="489">
        <f t="shared" si="23"/>
        <v>0</v>
      </c>
      <c r="AD311" s="489">
        <f t="shared" si="24"/>
        <v>0</v>
      </c>
      <c r="AE311" s="489">
        <v>299900</v>
      </c>
      <c r="AF311" s="489">
        <v>0</v>
      </c>
      <c r="AG311" s="490" t="s">
        <v>1237</v>
      </c>
      <c r="AH311" s="490" t="s">
        <v>1305</v>
      </c>
      <c r="AI311" s="490"/>
      <c r="AJ311" s="490" t="s">
        <v>1554</v>
      </c>
      <c r="AK311" s="490" t="s">
        <v>1260</v>
      </c>
      <c r="AL311" s="49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row>
    <row r="312" spans="1:80" ht="18" customHeight="1" x14ac:dyDescent="0.25">
      <c r="A312" s="486">
        <f t="shared" si="20"/>
        <v>310</v>
      </c>
      <c r="B312" s="486" t="s">
        <v>3729</v>
      </c>
      <c r="C312" s="486">
        <v>1100000120</v>
      </c>
      <c r="D312" s="486" t="s">
        <v>4934</v>
      </c>
      <c r="E312" s="486" t="s">
        <v>299</v>
      </c>
      <c r="F312" s="486" t="s">
        <v>1057</v>
      </c>
      <c r="G312" s="486" t="s">
        <v>1088</v>
      </c>
      <c r="H312" s="511" t="s">
        <v>1057</v>
      </c>
      <c r="I312" s="486" t="s">
        <v>1088</v>
      </c>
      <c r="J312" s="486" t="s">
        <v>3728</v>
      </c>
      <c r="K312" s="486" t="s">
        <v>1281</v>
      </c>
      <c r="L312" s="486" t="s">
        <v>2783</v>
      </c>
      <c r="M312" s="486" t="s">
        <v>1230</v>
      </c>
      <c r="N312" s="486" t="s">
        <v>1231</v>
      </c>
      <c r="O312" s="486" t="s">
        <v>1232</v>
      </c>
      <c r="P312" s="486" t="s">
        <v>1156</v>
      </c>
      <c r="Q312" s="487">
        <v>44245</v>
      </c>
      <c r="R312" s="487">
        <v>45531</v>
      </c>
      <c r="S312" s="488">
        <v>1</v>
      </c>
      <c r="T312" s="488"/>
      <c r="U312" s="489">
        <v>10000000</v>
      </c>
      <c r="V312" s="489">
        <v>10000000</v>
      </c>
      <c r="W312" s="489">
        <v>10000000</v>
      </c>
      <c r="X312" s="489">
        <f t="shared" si="21"/>
        <v>0</v>
      </c>
      <c r="Y312" s="489">
        <f t="shared" si="22"/>
        <v>0</v>
      </c>
      <c r="Z312" s="489">
        <v>10000000</v>
      </c>
      <c r="AA312" s="489">
        <v>10000000</v>
      </c>
      <c r="AB312" s="489">
        <v>10000000</v>
      </c>
      <c r="AC312" s="489">
        <f t="shared" si="23"/>
        <v>0</v>
      </c>
      <c r="AD312" s="489">
        <f t="shared" si="24"/>
        <v>0</v>
      </c>
      <c r="AE312" s="489">
        <v>0</v>
      </c>
      <c r="AF312" s="489">
        <v>0</v>
      </c>
      <c r="AG312" s="490" t="s">
        <v>1237</v>
      </c>
      <c r="AH312" s="490" t="s">
        <v>1888</v>
      </c>
      <c r="AI312" s="490" t="s">
        <v>1321</v>
      </c>
      <c r="AJ312" s="490" t="s">
        <v>1279</v>
      </c>
      <c r="AK312" s="490" t="s">
        <v>1260</v>
      </c>
      <c r="AL312" s="491"/>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row>
    <row r="313" spans="1:80" ht="18" customHeight="1" x14ac:dyDescent="0.25">
      <c r="A313" s="486">
        <f t="shared" si="20"/>
        <v>311</v>
      </c>
      <c r="B313" s="486" t="s">
        <v>3730</v>
      </c>
      <c r="C313" s="486">
        <v>1100000121</v>
      </c>
      <c r="D313" s="486" t="s">
        <v>4935</v>
      </c>
      <c r="E313" s="486" t="s">
        <v>299</v>
      </c>
      <c r="F313" s="486" t="s">
        <v>1057</v>
      </c>
      <c r="G313" s="486" t="s">
        <v>1088</v>
      </c>
      <c r="H313" s="511" t="s">
        <v>1057</v>
      </c>
      <c r="I313" s="486" t="s">
        <v>1088</v>
      </c>
      <c r="J313" s="486" t="s">
        <v>3728</v>
      </c>
      <c r="K313" s="486" t="s">
        <v>1281</v>
      </c>
      <c r="L313" s="486" t="s">
        <v>2783</v>
      </c>
      <c r="M313" s="486" t="s">
        <v>1230</v>
      </c>
      <c r="N313" s="486" t="s">
        <v>1231</v>
      </c>
      <c r="O313" s="486" t="s">
        <v>1232</v>
      </c>
      <c r="P313" s="486" t="s">
        <v>1156</v>
      </c>
      <c r="Q313" s="487">
        <v>44245</v>
      </c>
      <c r="R313" s="487">
        <v>45531</v>
      </c>
      <c r="S313" s="488">
        <v>1</v>
      </c>
      <c r="T313" s="488"/>
      <c r="U313" s="489">
        <v>10000000</v>
      </c>
      <c r="V313" s="489">
        <v>10000000</v>
      </c>
      <c r="W313" s="489">
        <v>10000000</v>
      </c>
      <c r="X313" s="489">
        <f t="shared" si="21"/>
        <v>0</v>
      </c>
      <c r="Y313" s="489">
        <f t="shared" si="22"/>
        <v>0</v>
      </c>
      <c r="Z313" s="489">
        <v>10000000</v>
      </c>
      <c r="AA313" s="489">
        <v>10000000</v>
      </c>
      <c r="AB313" s="489">
        <v>10000000</v>
      </c>
      <c r="AC313" s="489">
        <f t="shared" si="23"/>
        <v>0</v>
      </c>
      <c r="AD313" s="489">
        <f t="shared" si="24"/>
        <v>0</v>
      </c>
      <c r="AE313" s="489">
        <v>0</v>
      </c>
      <c r="AF313" s="489">
        <v>0</v>
      </c>
      <c r="AG313" s="490" t="s">
        <v>1237</v>
      </c>
      <c r="AH313" s="490" t="s">
        <v>1888</v>
      </c>
      <c r="AI313" s="490" t="s">
        <v>1321</v>
      </c>
      <c r="AJ313" s="490" t="s">
        <v>1279</v>
      </c>
      <c r="AK313" s="490" t="s">
        <v>1260</v>
      </c>
      <c r="AL313" s="491"/>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row>
    <row r="314" spans="1:80" ht="18" customHeight="1" x14ac:dyDescent="0.25">
      <c r="A314" s="486">
        <f t="shared" si="20"/>
        <v>312</v>
      </c>
      <c r="B314" s="486" t="s">
        <v>3731</v>
      </c>
      <c r="C314" s="486">
        <v>1100000122</v>
      </c>
      <c r="D314" s="486" t="s">
        <v>4936</v>
      </c>
      <c r="E314" s="486" t="s">
        <v>299</v>
      </c>
      <c r="F314" s="486" t="s">
        <v>1057</v>
      </c>
      <c r="G314" s="486" t="s">
        <v>1088</v>
      </c>
      <c r="H314" s="511" t="s">
        <v>1057</v>
      </c>
      <c r="I314" s="486" t="s">
        <v>1088</v>
      </c>
      <c r="J314" s="486" t="s">
        <v>3728</v>
      </c>
      <c r="K314" s="486" t="s">
        <v>1281</v>
      </c>
      <c r="L314" s="486" t="s">
        <v>2783</v>
      </c>
      <c r="M314" s="486" t="s">
        <v>1230</v>
      </c>
      <c r="N314" s="486" t="s">
        <v>1231</v>
      </c>
      <c r="O314" s="486" t="s">
        <v>1232</v>
      </c>
      <c r="P314" s="486" t="s">
        <v>1156</v>
      </c>
      <c r="Q314" s="487">
        <v>44245</v>
      </c>
      <c r="R314" s="487">
        <v>45531</v>
      </c>
      <c r="S314" s="488">
        <v>1</v>
      </c>
      <c r="T314" s="488"/>
      <c r="U314" s="489">
        <v>10000000</v>
      </c>
      <c r="V314" s="489">
        <v>10000000</v>
      </c>
      <c r="W314" s="489">
        <v>10000000</v>
      </c>
      <c r="X314" s="489">
        <f t="shared" si="21"/>
        <v>0</v>
      </c>
      <c r="Y314" s="489">
        <f t="shared" si="22"/>
        <v>0</v>
      </c>
      <c r="Z314" s="489">
        <v>10000000</v>
      </c>
      <c r="AA314" s="489">
        <v>10000000</v>
      </c>
      <c r="AB314" s="489">
        <v>10000000</v>
      </c>
      <c r="AC314" s="489">
        <f t="shared" si="23"/>
        <v>0</v>
      </c>
      <c r="AD314" s="489">
        <f t="shared" si="24"/>
        <v>0</v>
      </c>
      <c r="AE314" s="489">
        <v>0</v>
      </c>
      <c r="AF314" s="489">
        <v>0</v>
      </c>
      <c r="AG314" s="490" t="s">
        <v>1237</v>
      </c>
      <c r="AH314" s="490" t="s">
        <v>1888</v>
      </c>
      <c r="AI314" s="490" t="s">
        <v>1321</v>
      </c>
      <c r="AJ314" s="490" t="s">
        <v>1279</v>
      </c>
      <c r="AK314" s="490" t="s">
        <v>1260</v>
      </c>
      <c r="AL314" s="491"/>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row>
    <row r="315" spans="1:80" ht="18" customHeight="1" x14ac:dyDescent="0.25">
      <c r="A315" s="486">
        <f t="shared" si="20"/>
        <v>313</v>
      </c>
      <c r="B315" s="486" t="s">
        <v>3732</v>
      </c>
      <c r="C315" s="486">
        <v>1100000123</v>
      </c>
      <c r="D315" s="486" t="s">
        <v>4937</v>
      </c>
      <c r="E315" s="486" t="s">
        <v>299</v>
      </c>
      <c r="F315" s="486" t="s">
        <v>1057</v>
      </c>
      <c r="G315" s="486" t="s">
        <v>1088</v>
      </c>
      <c r="H315" s="511" t="s">
        <v>1057</v>
      </c>
      <c r="I315" s="486" t="s">
        <v>1088</v>
      </c>
      <c r="J315" s="486" t="s">
        <v>3728</v>
      </c>
      <c r="K315" s="486" t="s">
        <v>1281</v>
      </c>
      <c r="L315" s="486" t="s">
        <v>2783</v>
      </c>
      <c r="M315" s="486" t="s">
        <v>1230</v>
      </c>
      <c r="N315" s="486" t="s">
        <v>1231</v>
      </c>
      <c r="O315" s="486" t="s">
        <v>1232</v>
      </c>
      <c r="P315" s="486" t="s">
        <v>1156</v>
      </c>
      <c r="Q315" s="487">
        <v>44245</v>
      </c>
      <c r="R315" s="487">
        <v>45531</v>
      </c>
      <c r="S315" s="488">
        <v>1</v>
      </c>
      <c r="T315" s="488"/>
      <c r="U315" s="489">
        <v>10000000</v>
      </c>
      <c r="V315" s="489">
        <v>10000000</v>
      </c>
      <c r="W315" s="489">
        <v>10000000</v>
      </c>
      <c r="X315" s="489">
        <f t="shared" si="21"/>
        <v>0</v>
      </c>
      <c r="Y315" s="489">
        <f t="shared" si="22"/>
        <v>0</v>
      </c>
      <c r="Z315" s="489">
        <v>10000000</v>
      </c>
      <c r="AA315" s="489">
        <v>10000000</v>
      </c>
      <c r="AB315" s="489">
        <v>10000000</v>
      </c>
      <c r="AC315" s="489">
        <f t="shared" si="23"/>
        <v>0</v>
      </c>
      <c r="AD315" s="489">
        <f t="shared" si="24"/>
        <v>0</v>
      </c>
      <c r="AE315" s="489">
        <v>0</v>
      </c>
      <c r="AF315" s="489">
        <v>0</v>
      </c>
      <c r="AG315" s="490" t="s">
        <v>1237</v>
      </c>
      <c r="AH315" s="490" t="s">
        <v>1888</v>
      </c>
      <c r="AI315" s="490" t="s">
        <v>1321</v>
      </c>
      <c r="AJ315" s="490" t="s">
        <v>1279</v>
      </c>
      <c r="AK315" s="490" t="s">
        <v>1260</v>
      </c>
      <c r="AL315" s="491"/>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row>
    <row r="316" spans="1:80" ht="18" customHeight="1" x14ac:dyDescent="0.25">
      <c r="A316" s="486">
        <f t="shared" si="20"/>
        <v>314</v>
      </c>
      <c r="B316" s="486" t="s">
        <v>3733</v>
      </c>
      <c r="C316" s="486">
        <v>1100000124</v>
      </c>
      <c r="D316" s="486" t="s">
        <v>4938</v>
      </c>
      <c r="E316" s="486" t="s">
        <v>299</v>
      </c>
      <c r="F316" s="486" t="s">
        <v>1057</v>
      </c>
      <c r="G316" s="486" t="s">
        <v>1088</v>
      </c>
      <c r="H316" s="511" t="s">
        <v>1057</v>
      </c>
      <c r="I316" s="486" t="s">
        <v>1088</v>
      </c>
      <c r="J316" s="486" t="s">
        <v>3728</v>
      </c>
      <c r="K316" s="486" t="s">
        <v>1281</v>
      </c>
      <c r="L316" s="486" t="s">
        <v>2783</v>
      </c>
      <c r="M316" s="486" t="s">
        <v>1230</v>
      </c>
      <c r="N316" s="486" t="s">
        <v>1231</v>
      </c>
      <c r="O316" s="486" t="s">
        <v>1232</v>
      </c>
      <c r="P316" s="486" t="s">
        <v>1156</v>
      </c>
      <c r="Q316" s="487">
        <v>44245</v>
      </c>
      <c r="R316" s="487">
        <v>45531</v>
      </c>
      <c r="S316" s="488">
        <v>1</v>
      </c>
      <c r="T316" s="488"/>
      <c r="U316" s="489">
        <v>10000000</v>
      </c>
      <c r="V316" s="489">
        <v>10000000</v>
      </c>
      <c r="W316" s="489">
        <v>10000000</v>
      </c>
      <c r="X316" s="489">
        <f t="shared" si="21"/>
        <v>0</v>
      </c>
      <c r="Y316" s="489">
        <f t="shared" si="22"/>
        <v>0</v>
      </c>
      <c r="Z316" s="489">
        <v>10000000</v>
      </c>
      <c r="AA316" s="489">
        <v>10000000</v>
      </c>
      <c r="AB316" s="489">
        <v>10000000</v>
      </c>
      <c r="AC316" s="489">
        <f t="shared" si="23"/>
        <v>0</v>
      </c>
      <c r="AD316" s="489">
        <f t="shared" si="24"/>
        <v>0</v>
      </c>
      <c r="AE316" s="489">
        <v>0</v>
      </c>
      <c r="AF316" s="489">
        <v>0</v>
      </c>
      <c r="AG316" s="490" t="s">
        <v>1237</v>
      </c>
      <c r="AH316" s="490" t="s">
        <v>1888</v>
      </c>
      <c r="AI316" s="490" t="s">
        <v>1321</v>
      </c>
      <c r="AJ316" s="490" t="s">
        <v>1279</v>
      </c>
      <c r="AK316" s="490" t="s">
        <v>1260</v>
      </c>
      <c r="AL316" s="491"/>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row>
    <row r="317" spans="1:80" ht="18" customHeight="1" x14ac:dyDescent="0.25">
      <c r="A317" s="486">
        <f t="shared" si="20"/>
        <v>315</v>
      </c>
      <c r="B317" s="486" t="s">
        <v>3734</v>
      </c>
      <c r="C317" s="486">
        <v>1100000125</v>
      </c>
      <c r="D317" s="486" t="s">
        <v>4939</v>
      </c>
      <c r="E317" s="486" t="s">
        <v>299</v>
      </c>
      <c r="F317" s="486" t="s">
        <v>1057</v>
      </c>
      <c r="G317" s="486" t="s">
        <v>1088</v>
      </c>
      <c r="H317" s="511" t="s">
        <v>1057</v>
      </c>
      <c r="I317" s="486" t="s">
        <v>1088</v>
      </c>
      <c r="J317" s="486" t="s">
        <v>3728</v>
      </c>
      <c r="K317" s="486" t="s">
        <v>1281</v>
      </c>
      <c r="L317" s="486" t="s">
        <v>2783</v>
      </c>
      <c r="M317" s="486" t="s">
        <v>1230</v>
      </c>
      <c r="N317" s="486" t="s">
        <v>1231</v>
      </c>
      <c r="O317" s="486" t="s">
        <v>1232</v>
      </c>
      <c r="P317" s="486" t="s">
        <v>1156</v>
      </c>
      <c r="Q317" s="487">
        <v>44245</v>
      </c>
      <c r="R317" s="487">
        <v>45531</v>
      </c>
      <c r="S317" s="488">
        <v>1</v>
      </c>
      <c r="T317" s="488"/>
      <c r="U317" s="489">
        <v>3000000</v>
      </c>
      <c r="V317" s="489">
        <v>3000000</v>
      </c>
      <c r="W317" s="489">
        <v>3000000</v>
      </c>
      <c r="X317" s="489">
        <f t="shared" si="21"/>
        <v>0</v>
      </c>
      <c r="Y317" s="489">
        <f t="shared" si="22"/>
        <v>0</v>
      </c>
      <c r="Z317" s="489">
        <v>3000000</v>
      </c>
      <c r="AA317" s="489">
        <v>3000000</v>
      </c>
      <c r="AB317" s="489">
        <v>3000000</v>
      </c>
      <c r="AC317" s="489">
        <f t="shared" si="23"/>
        <v>0</v>
      </c>
      <c r="AD317" s="489">
        <f t="shared" si="24"/>
        <v>0</v>
      </c>
      <c r="AE317" s="489">
        <v>0</v>
      </c>
      <c r="AF317" s="489">
        <v>0</v>
      </c>
      <c r="AG317" s="490" t="s">
        <v>1237</v>
      </c>
      <c r="AH317" s="490" t="s">
        <v>1888</v>
      </c>
      <c r="AI317" s="490" t="s">
        <v>1321</v>
      </c>
      <c r="AJ317" s="490" t="s">
        <v>1279</v>
      </c>
      <c r="AK317" s="490" t="s">
        <v>1260</v>
      </c>
      <c r="AL317" s="491"/>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row>
    <row r="318" spans="1:80" ht="18" customHeight="1" x14ac:dyDescent="0.25">
      <c r="A318" s="486">
        <f t="shared" si="20"/>
        <v>316</v>
      </c>
      <c r="B318" s="486" t="s">
        <v>4940</v>
      </c>
      <c r="C318" s="486">
        <v>1200000110</v>
      </c>
      <c r="D318" s="486" t="s">
        <v>4941</v>
      </c>
      <c r="E318" s="486" t="s">
        <v>1173</v>
      </c>
      <c r="F318" s="486" t="s">
        <v>2639</v>
      </c>
      <c r="G318" s="486" t="s">
        <v>1100</v>
      </c>
      <c r="H318" s="485" t="s">
        <v>2639</v>
      </c>
      <c r="I318" s="486" t="s">
        <v>1100</v>
      </c>
      <c r="J318" s="486" t="s">
        <v>3735</v>
      </c>
      <c r="K318" s="486" t="s">
        <v>1756</v>
      </c>
      <c r="L318" s="486" t="s">
        <v>1473</v>
      </c>
      <c r="M318" s="486" t="s">
        <v>1230</v>
      </c>
      <c r="N318" s="486" t="s">
        <v>1231</v>
      </c>
      <c r="O318" s="486" t="s">
        <v>1232</v>
      </c>
      <c r="P318" s="486" t="s">
        <v>1156</v>
      </c>
      <c r="Q318" s="487">
        <v>44249</v>
      </c>
      <c r="R318" s="487">
        <v>46156</v>
      </c>
      <c r="S318" s="488">
        <v>1.5</v>
      </c>
      <c r="T318" s="488">
        <v>0.3</v>
      </c>
      <c r="U318" s="489">
        <v>1920000</v>
      </c>
      <c r="V318" s="489">
        <v>1920000</v>
      </c>
      <c r="W318" s="489">
        <v>1920000</v>
      </c>
      <c r="X318" s="489">
        <f t="shared" si="21"/>
        <v>0</v>
      </c>
      <c r="Y318" s="489">
        <f t="shared" si="22"/>
        <v>0</v>
      </c>
      <c r="Z318" s="489">
        <v>515801.26</v>
      </c>
      <c r="AA318" s="489">
        <v>515801.26</v>
      </c>
      <c r="AB318" s="489">
        <v>636036.22</v>
      </c>
      <c r="AC318" s="489">
        <f t="shared" si="23"/>
        <v>120234.95999999996</v>
      </c>
      <c r="AD318" s="489">
        <f t="shared" si="24"/>
        <v>120234.95999999996</v>
      </c>
      <c r="AE318" s="489">
        <v>1283963.78</v>
      </c>
      <c r="AF318" s="489">
        <v>0</v>
      </c>
      <c r="AG318" s="490" t="s">
        <v>1237</v>
      </c>
      <c r="AH318" s="490" t="s">
        <v>1236</v>
      </c>
      <c r="AI318" s="490"/>
      <c r="AJ318" s="490" t="s">
        <v>1259</v>
      </c>
      <c r="AK318" s="490" t="s">
        <v>1235</v>
      </c>
      <c r="AL318" s="491"/>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row>
    <row r="319" spans="1:80" ht="18" customHeight="1" x14ac:dyDescent="0.25">
      <c r="A319" s="486">
        <f t="shared" si="20"/>
        <v>317</v>
      </c>
      <c r="B319" s="486" t="s">
        <v>4942</v>
      </c>
      <c r="C319" s="486">
        <v>1200000109</v>
      </c>
      <c r="D319" s="486" t="s">
        <v>4943</v>
      </c>
      <c r="E319" s="486" t="s">
        <v>1173</v>
      </c>
      <c r="F319" s="486" t="s">
        <v>2639</v>
      </c>
      <c r="G319" s="486" t="s">
        <v>1100</v>
      </c>
      <c r="H319" s="485" t="s">
        <v>2639</v>
      </c>
      <c r="I319" s="486" t="s">
        <v>1100</v>
      </c>
      <c r="J319" s="486" t="s">
        <v>3735</v>
      </c>
      <c r="K319" s="486" t="s">
        <v>1756</v>
      </c>
      <c r="L319" s="486" t="s">
        <v>1473</v>
      </c>
      <c r="M319" s="486" t="s">
        <v>1230</v>
      </c>
      <c r="N319" s="486" t="s">
        <v>1231</v>
      </c>
      <c r="O319" s="486" t="s">
        <v>1232</v>
      </c>
      <c r="P319" s="486" t="s">
        <v>1156</v>
      </c>
      <c r="Q319" s="487">
        <v>44249</v>
      </c>
      <c r="R319" s="487">
        <v>46156</v>
      </c>
      <c r="S319" s="488">
        <v>1.5</v>
      </c>
      <c r="T319" s="488">
        <v>0.3</v>
      </c>
      <c r="U319" s="489">
        <v>1816022</v>
      </c>
      <c r="V319" s="489">
        <v>1816022</v>
      </c>
      <c r="W319" s="489">
        <v>1816022</v>
      </c>
      <c r="X319" s="489">
        <f t="shared" si="21"/>
        <v>0</v>
      </c>
      <c r="Y319" s="489">
        <f t="shared" si="22"/>
        <v>0</v>
      </c>
      <c r="Z319" s="489">
        <v>189318</v>
      </c>
      <c r="AA319" s="489">
        <v>189318</v>
      </c>
      <c r="AB319" s="489">
        <v>189318</v>
      </c>
      <c r="AC319" s="489">
        <f t="shared" si="23"/>
        <v>0</v>
      </c>
      <c r="AD319" s="489">
        <f t="shared" si="24"/>
        <v>0</v>
      </c>
      <c r="AE319" s="489">
        <v>1626704</v>
      </c>
      <c r="AF319" s="489">
        <v>0</v>
      </c>
      <c r="AG319" s="490" t="s">
        <v>1237</v>
      </c>
      <c r="AH319" s="490" t="s">
        <v>1236</v>
      </c>
      <c r="AI319" s="490"/>
      <c r="AJ319" s="490" t="s">
        <v>1259</v>
      </c>
      <c r="AK319" s="490" t="s">
        <v>1235</v>
      </c>
      <c r="AL319" s="491"/>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row>
    <row r="320" spans="1:80" ht="18" customHeight="1" x14ac:dyDescent="0.25">
      <c r="A320" s="486">
        <f t="shared" si="20"/>
        <v>318</v>
      </c>
      <c r="B320" s="486" t="s">
        <v>3736</v>
      </c>
      <c r="C320" s="486">
        <v>1200000108</v>
      </c>
      <c r="D320" s="486" t="s">
        <v>4944</v>
      </c>
      <c r="E320" s="486" t="s">
        <v>1173</v>
      </c>
      <c r="F320" s="486" t="s">
        <v>2639</v>
      </c>
      <c r="G320" s="486" t="s">
        <v>1100</v>
      </c>
      <c r="H320" s="485" t="s">
        <v>2639</v>
      </c>
      <c r="I320" s="486" t="s">
        <v>1100</v>
      </c>
      <c r="J320" s="486" t="s">
        <v>3735</v>
      </c>
      <c r="K320" s="486" t="s">
        <v>1756</v>
      </c>
      <c r="L320" s="486" t="s">
        <v>1473</v>
      </c>
      <c r="M320" s="486" t="s">
        <v>1230</v>
      </c>
      <c r="N320" s="486" t="s">
        <v>1231</v>
      </c>
      <c r="O320" s="486" t="s">
        <v>1232</v>
      </c>
      <c r="P320" s="486" t="s">
        <v>1156</v>
      </c>
      <c r="Q320" s="487">
        <v>44249</v>
      </c>
      <c r="R320" s="487">
        <v>45467</v>
      </c>
      <c r="S320" s="488">
        <v>1</v>
      </c>
      <c r="T320" s="488">
        <v>0.2</v>
      </c>
      <c r="U320" s="489">
        <v>1002000</v>
      </c>
      <c r="V320" s="489">
        <v>1002000</v>
      </c>
      <c r="W320" s="489">
        <v>992000</v>
      </c>
      <c r="X320" s="489">
        <f t="shared" si="21"/>
        <v>-10000</v>
      </c>
      <c r="Y320" s="489">
        <f t="shared" si="22"/>
        <v>-10000</v>
      </c>
      <c r="Z320" s="489">
        <v>1002000</v>
      </c>
      <c r="AA320" s="489">
        <v>1002000</v>
      </c>
      <c r="AB320" s="489">
        <v>992000</v>
      </c>
      <c r="AC320" s="489">
        <f t="shared" si="23"/>
        <v>-10000</v>
      </c>
      <c r="AD320" s="489">
        <f t="shared" si="24"/>
        <v>-10000</v>
      </c>
      <c r="AE320" s="489">
        <v>0</v>
      </c>
      <c r="AF320" s="489">
        <v>0</v>
      </c>
      <c r="AG320" s="490" t="s">
        <v>1237</v>
      </c>
      <c r="AH320" s="490" t="s">
        <v>1236</v>
      </c>
      <c r="AI320" s="490"/>
      <c r="AJ320" s="490" t="s">
        <v>1259</v>
      </c>
      <c r="AK320" s="490" t="s">
        <v>1260</v>
      </c>
      <c r="AL320" s="491"/>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row>
    <row r="321" spans="1:80" ht="18" customHeight="1" x14ac:dyDescent="0.25">
      <c r="A321" s="486">
        <f t="shared" si="20"/>
        <v>319</v>
      </c>
      <c r="B321" s="486" t="s">
        <v>3739</v>
      </c>
      <c r="C321" s="486">
        <v>2200000126</v>
      </c>
      <c r="D321" s="486" t="s">
        <v>4945</v>
      </c>
      <c r="E321" s="486" t="s">
        <v>1561</v>
      </c>
      <c r="F321" s="486" t="s">
        <v>2640</v>
      </c>
      <c r="G321" s="486" t="s">
        <v>3737</v>
      </c>
      <c r="H321" s="485" t="s">
        <v>2640</v>
      </c>
      <c r="I321" s="486" t="s">
        <v>3737</v>
      </c>
      <c r="J321" s="486" t="s">
        <v>3738</v>
      </c>
      <c r="K321" s="486" t="s">
        <v>1756</v>
      </c>
      <c r="L321" s="486" t="s">
        <v>1473</v>
      </c>
      <c r="M321" s="486" t="s">
        <v>1230</v>
      </c>
      <c r="N321" s="486" t="s">
        <v>1231</v>
      </c>
      <c r="O321" s="486" t="s">
        <v>1232</v>
      </c>
      <c r="P321" s="486" t="s">
        <v>469</v>
      </c>
      <c r="Q321" s="487">
        <v>44250</v>
      </c>
      <c r="R321" s="487">
        <v>44796</v>
      </c>
      <c r="S321" s="488">
        <v>1.5</v>
      </c>
      <c r="T321" s="488">
        <v>0.3</v>
      </c>
      <c r="U321" s="489">
        <v>2173273</v>
      </c>
      <c r="V321" s="489">
        <v>2173273</v>
      </c>
      <c r="W321" s="489">
        <v>1964023</v>
      </c>
      <c r="X321" s="489">
        <f t="shared" si="21"/>
        <v>-209250</v>
      </c>
      <c r="Y321" s="489">
        <f t="shared" si="22"/>
        <v>-209250</v>
      </c>
      <c r="Z321" s="489">
        <v>1908071.65</v>
      </c>
      <c r="AA321" s="489">
        <v>1998541.47</v>
      </c>
      <c r="AB321" s="489">
        <v>1800391.28</v>
      </c>
      <c r="AC321" s="489">
        <f t="shared" si="23"/>
        <v>-107680.36999999988</v>
      </c>
      <c r="AD321" s="489">
        <f t="shared" si="24"/>
        <v>-198150.18999999994</v>
      </c>
      <c r="AE321" s="489">
        <v>163631.72</v>
      </c>
      <c r="AF321" s="489">
        <v>0</v>
      </c>
      <c r="AG321" s="490" t="s">
        <v>1245</v>
      </c>
      <c r="AH321" s="490" t="s">
        <v>1247</v>
      </c>
      <c r="AI321" s="490" t="s">
        <v>1269</v>
      </c>
      <c r="AJ321" s="490" t="s">
        <v>1246</v>
      </c>
      <c r="AK321" s="490" t="s">
        <v>1235</v>
      </c>
      <c r="AL321" s="49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row>
    <row r="322" spans="1:80" ht="18" customHeight="1" x14ac:dyDescent="0.25">
      <c r="A322" s="486">
        <f t="shared" si="20"/>
        <v>320</v>
      </c>
      <c r="B322" s="486" t="s">
        <v>3740</v>
      </c>
      <c r="C322" s="486">
        <v>2200000127</v>
      </c>
      <c r="D322" s="486" t="s">
        <v>4946</v>
      </c>
      <c r="E322" s="486" t="s">
        <v>1561</v>
      </c>
      <c r="F322" s="486" t="s">
        <v>2640</v>
      </c>
      <c r="G322" s="486" t="s">
        <v>3737</v>
      </c>
      <c r="H322" s="485" t="s">
        <v>2640</v>
      </c>
      <c r="I322" s="486" t="s">
        <v>3737</v>
      </c>
      <c r="J322" s="486" t="s">
        <v>3738</v>
      </c>
      <c r="K322" s="486" t="s">
        <v>1756</v>
      </c>
      <c r="L322" s="486" t="s">
        <v>1473</v>
      </c>
      <c r="M322" s="486" t="s">
        <v>1230</v>
      </c>
      <c r="N322" s="486" t="s">
        <v>1231</v>
      </c>
      <c r="O322" s="486" t="s">
        <v>1232</v>
      </c>
      <c r="P322" s="486" t="s">
        <v>469</v>
      </c>
      <c r="Q322" s="487">
        <v>44250</v>
      </c>
      <c r="R322" s="487">
        <v>44886</v>
      </c>
      <c r="S322" s="488">
        <v>1.5</v>
      </c>
      <c r="T322" s="488">
        <v>0.3</v>
      </c>
      <c r="U322" s="489">
        <v>795490</v>
      </c>
      <c r="V322" s="489">
        <v>795490</v>
      </c>
      <c r="W322" s="489">
        <v>795490</v>
      </c>
      <c r="X322" s="489">
        <f t="shared" si="21"/>
        <v>0</v>
      </c>
      <c r="Y322" s="489">
        <f t="shared" si="22"/>
        <v>0</v>
      </c>
      <c r="Z322" s="489">
        <v>285437.33</v>
      </c>
      <c r="AA322" s="489">
        <v>285437.33</v>
      </c>
      <c r="AB322" s="489">
        <v>317687.33</v>
      </c>
      <c r="AC322" s="489">
        <f t="shared" si="23"/>
        <v>32250</v>
      </c>
      <c r="AD322" s="489">
        <f t="shared" si="24"/>
        <v>32250</v>
      </c>
      <c r="AE322" s="489">
        <v>477802.67</v>
      </c>
      <c r="AF322" s="489">
        <v>0</v>
      </c>
      <c r="AG322" s="490" t="s">
        <v>1245</v>
      </c>
      <c r="AH322" s="490" t="s">
        <v>1247</v>
      </c>
      <c r="AI322" s="490" t="s">
        <v>1269</v>
      </c>
      <c r="AJ322" s="490" t="s">
        <v>1246</v>
      </c>
      <c r="AK322" s="490" t="s">
        <v>1235</v>
      </c>
      <c r="AL322" s="491"/>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row>
    <row r="323" spans="1:80" ht="18" customHeight="1" x14ac:dyDescent="0.25">
      <c r="A323" s="492">
        <f t="shared" si="20"/>
        <v>321</v>
      </c>
      <c r="B323" s="492" t="s">
        <v>3743</v>
      </c>
      <c r="C323" s="492">
        <v>2100000119</v>
      </c>
      <c r="D323" s="492" t="s">
        <v>4947</v>
      </c>
      <c r="E323" s="492" t="s">
        <v>1560</v>
      </c>
      <c r="F323" s="492" t="s">
        <v>1559</v>
      </c>
      <c r="G323" s="492" t="s">
        <v>3741</v>
      </c>
      <c r="H323" s="492" t="s">
        <v>1559</v>
      </c>
      <c r="I323" s="492" t="s">
        <v>3741</v>
      </c>
      <c r="J323" s="492" t="s">
        <v>3742</v>
      </c>
      <c r="K323" s="492" t="s">
        <v>1756</v>
      </c>
      <c r="L323" s="492" t="s">
        <v>2783</v>
      </c>
      <c r="M323" s="493" t="s">
        <v>1230</v>
      </c>
      <c r="N323" s="493" t="s">
        <v>1232</v>
      </c>
      <c r="O323" s="492" t="s">
        <v>1231</v>
      </c>
      <c r="P323" s="492" t="s">
        <v>469</v>
      </c>
      <c r="Q323" s="494">
        <v>44251</v>
      </c>
      <c r="R323" s="494">
        <v>45257</v>
      </c>
      <c r="S323" s="495">
        <v>1.5</v>
      </c>
      <c r="T323" s="495"/>
      <c r="U323" s="496">
        <v>25400000</v>
      </c>
      <c r="V323" s="496">
        <v>25400000</v>
      </c>
      <c r="W323" s="496">
        <v>25400000</v>
      </c>
      <c r="X323" s="496">
        <f t="shared" si="21"/>
        <v>0</v>
      </c>
      <c r="Y323" s="496">
        <f t="shared" si="22"/>
        <v>0</v>
      </c>
      <c r="Z323" s="496">
        <v>5208855.49</v>
      </c>
      <c r="AA323" s="496">
        <v>5208855.49</v>
      </c>
      <c r="AB323" s="496">
        <v>7447832.8099999996</v>
      </c>
      <c r="AC323" s="496">
        <f t="shared" si="23"/>
        <v>2238977.3199999994</v>
      </c>
      <c r="AD323" s="496">
        <f t="shared" si="24"/>
        <v>2238977.3199999994</v>
      </c>
      <c r="AE323" s="496">
        <v>0</v>
      </c>
      <c r="AF323" s="496">
        <v>17952167.190000001</v>
      </c>
      <c r="AG323" s="497" t="s">
        <v>1245</v>
      </c>
      <c r="AH323" s="497" t="s">
        <v>1242</v>
      </c>
      <c r="AI323" s="497" t="s">
        <v>1292</v>
      </c>
      <c r="AJ323" s="497" t="s">
        <v>1246</v>
      </c>
      <c r="AK323" s="497" t="s">
        <v>1235</v>
      </c>
      <c r="AL323" s="491"/>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row>
    <row r="324" spans="1:80" ht="18" customHeight="1" x14ac:dyDescent="0.25">
      <c r="A324" s="486">
        <f t="shared" ref="A324:A387" si="25">A323+1</f>
        <v>322</v>
      </c>
      <c r="B324" s="486" t="s">
        <v>3745</v>
      </c>
      <c r="C324" s="486">
        <v>2200000128</v>
      </c>
      <c r="D324" s="486" t="s">
        <v>4948</v>
      </c>
      <c r="E324" s="486" t="s">
        <v>1543</v>
      </c>
      <c r="F324" s="486" t="s">
        <v>3692</v>
      </c>
      <c r="G324" s="486" t="s">
        <v>3690</v>
      </c>
      <c r="H324" s="485" t="s">
        <v>3692</v>
      </c>
      <c r="I324" s="486" t="s">
        <v>3690</v>
      </c>
      <c r="J324" s="486" t="s">
        <v>3744</v>
      </c>
      <c r="K324" s="486" t="s">
        <v>1756</v>
      </c>
      <c r="L324" s="486" t="s">
        <v>1473</v>
      </c>
      <c r="M324" s="486" t="s">
        <v>1230</v>
      </c>
      <c r="N324" s="486" t="s">
        <v>1231</v>
      </c>
      <c r="O324" s="486" t="s">
        <v>1232</v>
      </c>
      <c r="P324" s="486" t="s">
        <v>469</v>
      </c>
      <c r="Q324" s="487">
        <v>44253</v>
      </c>
      <c r="R324" s="487">
        <v>45287</v>
      </c>
      <c r="S324" s="488">
        <v>1</v>
      </c>
      <c r="T324" s="488">
        <v>0.2</v>
      </c>
      <c r="U324" s="489">
        <v>585000</v>
      </c>
      <c r="V324" s="489">
        <v>585000</v>
      </c>
      <c r="W324" s="489">
        <v>585000</v>
      </c>
      <c r="X324" s="489">
        <f t="shared" si="21"/>
        <v>0</v>
      </c>
      <c r="Y324" s="489">
        <f t="shared" si="22"/>
        <v>0</v>
      </c>
      <c r="Z324" s="489">
        <v>406805.71</v>
      </c>
      <c r="AA324" s="489">
        <v>460808.93</v>
      </c>
      <c r="AB324" s="489">
        <v>460808.93</v>
      </c>
      <c r="AC324" s="489">
        <f t="shared" si="23"/>
        <v>54003.219999999972</v>
      </c>
      <c r="AD324" s="489">
        <f t="shared" si="24"/>
        <v>0</v>
      </c>
      <c r="AE324" s="489">
        <v>124191.07</v>
      </c>
      <c r="AF324" s="489">
        <v>0</v>
      </c>
      <c r="AG324" s="490" t="s">
        <v>1245</v>
      </c>
      <c r="AH324" s="490" t="s">
        <v>1247</v>
      </c>
      <c r="AI324" s="490" t="s">
        <v>1248</v>
      </c>
      <c r="AJ324" s="490" t="s">
        <v>1246</v>
      </c>
      <c r="AK324" s="490" t="s">
        <v>1278</v>
      </c>
      <c r="AL324" s="491"/>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c r="BV324"/>
      <c r="BW324"/>
      <c r="BX324"/>
      <c r="BY324"/>
      <c r="BZ324"/>
      <c r="CA324"/>
      <c r="CB324"/>
    </row>
    <row r="325" spans="1:80" ht="18" customHeight="1" x14ac:dyDescent="0.25">
      <c r="A325" s="486">
        <f t="shared" si="25"/>
        <v>323</v>
      </c>
      <c r="B325" s="486" t="s">
        <v>3748</v>
      </c>
      <c r="C325" s="486">
        <v>2200000130</v>
      </c>
      <c r="D325" s="486" t="s">
        <v>4949</v>
      </c>
      <c r="E325" s="486" t="s">
        <v>1558</v>
      </c>
      <c r="F325" s="486" t="s">
        <v>1557</v>
      </c>
      <c r="G325" s="486" t="s">
        <v>3746</v>
      </c>
      <c r="H325" s="485" t="s">
        <v>1557</v>
      </c>
      <c r="I325" s="486" t="s">
        <v>3746</v>
      </c>
      <c r="J325" s="486" t="s">
        <v>3747</v>
      </c>
      <c r="K325" s="486" t="s">
        <v>1756</v>
      </c>
      <c r="L325" s="486" t="s">
        <v>1473</v>
      </c>
      <c r="M325" s="486" t="s">
        <v>1230</v>
      </c>
      <c r="N325" s="486" t="s">
        <v>1231</v>
      </c>
      <c r="O325" s="486" t="s">
        <v>1232</v>
      </c>
      <c r="P325" s="486" t="s">
        <v>469</v>
      </c>
      <c r="Q325" s="487">
        <v>44253</v>
      </c>
      <c r="R325" s="487">
        <v>45384</v>
      </c>
      <c r="S325" s="488">
        <v>1.5</v>
      </c>
      <c r="T325" s="488">
        <v>0.3</v>
      </c>
      <c r="U325" s="489">
        <v>5000000</v>
      </c>
      <c r="V325" s="489">
        <v>5000000</v>
      </c>
      <c r="W325" s="489">
        <v>5000000</v>
      </c>
      <c r="X325" s="489">
        <f t="shared" si="21"/>
        <v>0</v>
      </c>
      <c r="Y325" s="489">
        <f t="shared" si="22"/>
        <v>0</v>
      </c>
      <c r="Z325" s="489">
        <v>3818467.28</v>
      </c>
      <c r="AA325" s="489">
        <v>3981581.28</v>
      </c>
      <c r="AB325" s="489">
        <v>4003740.31</v>
      </c>
      <c r="AC325" s="489">
        <f t="shared" si="23"/>
        <v>185273.03000000026</v>
      </c>
      <c r="AD325" s="489">
        <f t="shared" si="24"/>
        <v>22159.030000000261</v>
      </c>
      <c r="AE325" s="489">
        <v>996259.69</v>
      </c>
      <c r="AF325" s="489">
        <v>0</v>
      </c>
      <c r="AG325" s="490" t="s">
        <v>1245</v>
      </c>
      <c r="AH325" s="490" t="s">
        <v>1247</v>
      </c>
      <c r="AI325" s="490" t="s">
        <v>1248</v>
      </c>
      <c r="AJ325" s="490" t="s">
        <v>1246</v>
      </c>
      <c r="AK325" s="490" t="s">
        <v>1235</v>
      </c>
      <c r="AL325" s="491"/>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c r="BV325"/>
      <c r="BW325"/>
      <c r="BX325"/>
      <c r="BY325"/>
      <c r="BZ325"/>
      <c r="CA325"/>
      <c r="CB325"/>
    </row>
    <row r="326" spans="1:80" ht="18" customHeight="1" x14ac:dyDescent="0.25">
      <c r="A326" s="486">
        <f t="shared" si="25"/>
        <v>324</v>
      </c>
      <c r="B326" s="486" t="s">
        <v>3749</v>
      </c>
      <c r="C326" s="486">
        <v>2100000120</v>
      </c>
      <c r="D326" s="486" t="s">
        <v>4950</v>
      </c>
      <c r="E326" s="486" t="s">
        <v>1558</v>
      </c>
      <c r="F326" s="486" t="s">
        <v>1557</v>
      </c>
      <c r="G326" s="486" t="s">
        <v>3746</v>
      </c>
      <c r="H326" s="485" t="s">
        <v>1557</v>
      </c>
      <c r="I326" s="486" t="s">
        <v>3746</v>
      </c>
      <c r="J326" s="486" t="s">
        <v>3747</v>
      </c>
      <c r="K326" s="486" t="s">
        <v>1756</v>
      </c>
      <c r="L326" s="486" t="s">
        <v>2783</v>
      </c>
      <c r="M326" s="486" t="s">
        <v>1230</v>
      </c>
      <c r="N326" s="486" t="s">
        <v>1231</v>
      </c>
      <c r="O326" s="486" t="s">
        <v>1231</v>
      </c>
      <c r="P326" s="486" t="s">
        <v>469</v>
      </c>
      <c r="Q326" s="487">
        <v>44253</v>
      </c>
      <c r="R326" s="487">
        <v>45384</v>
      </c>
      <c r="S326" s="488">
        <v>1.5</v>
      </c>
      <c r="T326" s="488"/>
      <c r="U326" s="489">
        <v>629296</v>
      </c>
      <c r="V326" s="489">
        <v>629296</v>
      </c>
      <c r="W326" s="489">
        <v>629296</v>
      </c>
      <c r="X326" s="489">
        <f t="shared" si="21"/>
        <v>0</v>
      </c>
      <c r="Y326" s="489">
        <f t="shared" si="22"/>
        <v>0</v>
      </c>
      <c r="Z326" s="489">
        <v>0</v>
      </c>
      <c r="AA326" s="489">
        <v>0</v>
      </c>
      <c r="AB326" s="489">
        <v>0</v>
      </c>
      <c r="AC326" s="489">
        <f t="shared" si="23"/>
        <v>0</v>
      </c>
      <c r="AD326" s="489">
        <f t="shared" si="24"/>
        <v>0</v>
      </c>
      <c r="AE326" s="489">
        <v>0</v>
      </c>
      <c r="AF326" s="489">
        <v>629296</v>
      </c>
      <c r="AG326" s="490" t="s">
        <v>1245</v>
      </c>
      <c r="AH326" s="490" t="s">
        <v>1247</v>
      </c>
      <c r="AI326" s="490" t="s">
        <v>1248</v>
      </c>
      <c r="AJ326" s="490" t="s">
        <v>1246</v>
      </c>
      <c r="AK326" s="490" t="s">
        <v>1235</v>
      </c>
      <c r="AL326" s="491"/>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c r="BV326"/>
      <c r="BW326"/>
      <c r="BX326"/>
      <c r="BY326"/>
      <c r="BZ326"/>
      <c r="CA326"/>
      <c r="CB326"/>
    </row>
    <row r="327" spans="1:80" ht="18" customHeight="1" x14ac:dyDescent="0.25">
      <c r="A327" s="486">
        <f t="shared" si="25"/>
        <v>325</v>
      </c>
      <c r="B327" s="486" t="s">
        <v>3752</v>
      </c>
      <c r="C327" s="486">
        <v>2200000131</v>
      </c>
      <c r="D327" s="486" t="s">
        <v>4951</v>
      </c>
      <c r="E327" s="486" t="s">
        <v>1563</v>
      </c>
      <c r="F327" s="486" t="s">
        <v>1562</v>
      </c>
      <c r="G327" s="486" t="s">
        <v>3750</v>
      </c>
      <c r="H327" s="485" t="s">
        <v>1562</v>
      </c>
      <c r="I327" s="486" t="s">
        <v>3750</v>
      </c>
      <c r="J327" s="486" t="s">
        <v>3751</v>
      </c>
      <c r="K327" s="486" t="s">
        <v>1756</v>
      </c>
      <c r="L327" s="486" t="s">
        <v>1473</v>
      </c>
      <c r="M327" s="486" t="s">
        <v>1230</v>
      </c>
      <c r="N327" s="486" t="s">
        <v>1231</v>
      </c>
      <c r="O327" s="486" t="s">
        <v>1232</v>
      </c>
      <c r="P327" s="486" t="s">
        <v>469</v>
      </c>
      <c r="Q327" s="487">
        <v>44253</v>
      </c>
      <c r="R327" s="487">
        <v>45404</v>
      </c>
      <c r="S327" s="488">
        <v>1.5</v>
      </c>
      <c r="T327" s="488">
        <v>0.3</v>
      </c>
      <c r="U327" s="489">
        <v>4500000</v>
      </c>
      <c r="V327" s="489">
        <v>4500000</v>
      </c>
      <c r="W327" s="489">
        <v>4500000</v>
      </c>
      <c r="X327" s="489">
        <f t="shared" si="21"/>
        <v>0</v>
      </c>
      <c r="Y327" s="489">
        <f t="shared" si="22"/>
        <v>0</v>
      </c>
      <c r="Z327" s="489">
        <v>1428609.21</v>
      </c>
      <c r="AA327" s="489">
        <v>1775586.21</v>
      </c>
      <c r="AB327" s="489">
        <v>1775586.21</v>
      </c>
      <c r="AC327" s="489">
        <f t="shared" si="23"/>
        <v>346977</v>
      </c>
      <c r="AD327" s="489">
        <f t="shared" si="24"/>
        <v>0</v>
      </c>
      <c r="AE327" s="489">
        <v>2724413.79</v>
      </c>
      <c r="AF327" s="489">
        <v>0</v>
      </c>
      <c r="AG327" s="490" t="s">
        <v>1245</v>
      </c>
      <c r="AH327" s="490" t="s">
        <v>1247</v>
      </c>
      <c r="AI327" s="490" t="s">
        <v>1248</v>
      </c>
      <c r="AJ327" s="490" t="s">
        <v>1246</v>
      </c>
      <c r="AK327" s="490" t="s">
        <v>1235</v>
      </c>
      <c r="AL327" s="491"/>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row>
    <row r="328" spans="1:80" ht="18" customHeight="1" x14ac:dyDescent="0.25">
      <c r="A328" s="486">
        <f t="shared" si="25"/>
        <v>326</v>
      </c>
      <c r="B328" s="486" t="s">
        <v>3753</v>
      </c>
      <c r="C328" s="486">
        <v>2100000121</v>
      </c>
      <c r="D328" s="486" t="s">
        <v>4952</v>
      </c>
      <c r="E328" s="486" t="s">
        <v>1563</v>
      </c>
      <c r="F328" s="486" t="s">
        <v>1562</v>
      </c>
      <c r="G328" s="486" t="s">
        <v>3750</v>
      </c>
      <c r="H328" s="485" t="s">
        <v>1562</v>
      </c>
      <c r="I328" s="486" t="s">
        <v>3750</v>
      </c>
      <c r="J328" s="486" t="s">
        <v>3751</v>
      </c>
      <c r="K328" s="486" t="s">
        <v>1756</v>
      </c>
      <c r="L328" s="486" t="s">
        <v>2783</v>
      </c>
      <c r="M328" s="486" t="s">
        <v>1230</v>
      </c>
      <c r="N328" s="486" t="s">
        <v>1231</v>
      </c>
      <c r="O328" s="486" t="s">
        <v>1231</v>
      </c>
      <c r="P328" s="486" t="s">
        <v>469</v>
      </c>
      <c r="Q328" s="487">
        <v>44253</v>
      </c>
      <c r="R328" s="487">
        <v>45404</v>
      </c>
      <c r="S328" s="488">
        <v>1.5</v>
      </c>
      <c r="T328" s="488"/>
      <c r="U328" s="489">
        <v>1519393</v>
      </c>
      <c r="V328" s="489">
        <v>1519393</v>
      </c>
      <c r="W328" s="489">
        <v>1519393</v>
      </c>
      <c r="X328" s="489">
        <f t="shared" ref="X328:X391" si="26">W328-U328</f>
        <v>0</v>
      </c>
      <c r="Y328" s="489">
        <f t="shared" ref="Y328:Y391" si="27">W328-V328</f>
        <v>0</v>
      </c>
      <c r="Z328" s="489">
        <v>0</v>
      </c>
      <c r="AA328" s="489">
        <v>0</v>
      </c>
      <c r="AB328" s="489">
        <v>646.98</v>
      </c>
      <c r="AC328" s="489">
        <f t="shared" ref="AC328:AC391" si="28">AB328-Z328</f>
        <v>646.98</v>
      </c>
      <c r="AD328" s="489">
        <f t="shared" ref="AD328:AD391" si="29">AB328-AA328</f>
        <v>646.98</v>
      </c>
      <c r="AE328" s="489">
        <v>0</v>
      </c>
      <c r="AF328" s="489">
        <v>1518746.02</v>
      </c>
      <c r="AG328" s="490" t="s">
        <v>1245</v>
      </c>
      <c r="AH328" s="490" t="s">
        <v>1247</v>
      </c>
      <c r="AI328" s="490" t="s">
        <v>1248</v>
      </c>
      <c r="AJ328" s="490" t="s">
        <v>1246</v>
      </c>
      <c r="AK328" s="490" t="s">
        <v>1235</v>
      </c>
      <c r="AL328" s="491"/>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row>
    <row r="329" spans="1:80" ht="18" customHeight="1" x14ac:dyDescent="0.25">
      <c r="A329" s="486">
        <f t="shared" si="25"/>
        <v>327</v>
      </c>
      <c r="B329" s="486" t="s">
        <v>3757</v>
      </c>
      <c r="C329" s="486">
        <v>2200000132</v>
      </c>
      <c r="D329" s="486" t="s">
        <v>4953</v>
      </c>
      <c r="E329" s="486" t="s">
        <v>1564</v>
      </c>
      <c r="F329" s="486" t="s">
        <v>3756</v>
      </c>
      <c r="G329" s="486" t="s">
        <v>3754</v>
      </c>
      <c r="H329" s="485" t="s">
        <v>2586</v>
      </c>
      <c r="I329" s="486" t="s">
        <v>3160</v>
      </c>
      <c r="J329" s="486" t="s">
        <v>3755</v>
      </c>
      <c r="K329" s="486" t="s">
        <v>1756</v>
      </c>
      <c r="L329" s="486" t="s">
        <v>1473</v>
      </c>
      <c r="M329" s="486" t="s">
        <v>1230</v>
      </c>
      <c r="N329" s="486" t="s">
        <v>1231</v>
      </c>
      <c r="O329" s="486" t="s">
        <v>1232</v>
      </c>
      <c r="P329" s="486" t="s">
        <v>469</v>
      </c>
      <c r="Q329" s="487">
        <v>44253</v>
      </c>
      <c r="R329" s="487">
        <v>45348</v>
      </c>
      <c r="S329" s="488">
        <v>1.5</v>
      </c>
      <c r="T329" s="488">
        <v>0.3</v>
      </c>
      <c r="U329" s="489">
        <v>1510302</v>
      </c>
      <c r="V329" s="489">
        <v>1510302</v>
      </c>
      <c r="W329" s="489">
        <v>1510302</v>
      </c>
      <c r="X329" s="489">
        <f t="shared" si="26"/>
        <v>0</v>
      </c>
      <c r="Y329" s="489">
        <f t="shared" si="27"/>
        <v>0</v>
      </c>
      <c r="Z329" s="489">
        <v>1510302</v>
      </c>
      <c r="AA329" s="489">
        <v>1510302</v>
      </c>
      <c r="AB329" s="489">
        <v>1510302</v>
      </c>
      <c r="AC329" s="489">
        <f t="shared" si="28"/>
        <v>0</v>
      </c>
      <c r="AD329" s="489">
        <f t="shared" si="29"/>
        <v>0</v>
      </c>
      <c r="AE329" s="489">
        <v>0</v>
      </c>
      <c r="AF329" s="489">
        <v>0</v>
      </c>
      <c r="AG329" s="490" t="s">
        <v>1245</v>
      </c>
      <c r="AH329" s="490" t="s">
        <v>1247</v>
      </c>
      <c r="AI329" s="490" t="s">
        <v>1269</v>
      </c>
      <c r="AJ329" s="490" t="s">
        <v>1246</v>
      </c>
      <c r="AK329" s="490" t="s">
        <v>1235</v>
      </c>
      <c r="AL329" s="491"/>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row>
    <row r="330" spans="1:80" ht="18" customHeight="1" x14ac:dyDescent="0.25">
      <c r="A330" s="486">
        <f t="shared" si="25"/>
        <v>328</v>
      </c>
      <c r="B330" s="486" t="s">
        <v>3758</v>
      </c>
      <c r="C330" s="486">
        <v>2200000133</v>
      </c>
      <c r="D330" s="486" t="s">
        <v>4954</v>
      </c>
      <c r="E330" s="486" t="s">
        <v>1564</v>
      </c>
      <c r="F330" s="486" t="s">
        <v>3756</v>
      </c>
      <c r="G330" s="486" t="s">
        <v>3754</v>
      </c>
      <c r="H330" s="485" t="s">
        <v>2586</v>
      </c>
      <c r="I330" s="486" t="s">
        <v>3160</v>
      </c>
      <c r="J330" s="486" t="s">
        <v>3755</v>
      </c>
      <c r="K330" s="486" t="s">
        <v>1756</v>
      </c>
      <c r="L330" s="486" t="s">
        <v>1473</v>
      </c>
      <c r="M330" s="486" t="s">
        <v>1230</v>
      </c>
      <c r="N330" s="486" t="s">
        <v>1231</v>
      </c>
      <c r="O330" s="486" t="s">
        <v>1232</v>
      </c>
      <c r="P330" s="486" t="s">
        <v>469</v>
      </c>
      <c r="Q330" s="487">
        <v>44253</v>
      </c>
      <c r="R330" s="487">
        <v>45348</v>
      </c>
      <c r="S330" s="488">
        <v>1.5</v>
      </c>
      <c r="T330" s="488">
        <v>0.3</v>
      </c>
      <c r="U330" s="489">
        <v>3489698</v>
      </c>
      <c r="V330" s="489">
        <v>3489698</v>
      </c>
      <c r="W330" s="489">
        <v>3489698</v>
      </c>
      <c r="X330" s="489">
        <f t="shared" si="26"/>
        <v>0</v>
      </c>
      <c r="Y330" s="489">
        <f t="shared" si="27"/>
        <v>0</v>
      </c>
      <c r="Z330" s="489">
        <v>1080294.5</v>
      </c>
      <c r="AA330" s="489">
        <v>1342034.5</v>
      </c>
      <c r="AB330" s="489">
        <v>1342034.5</v>
      </c>
      <c r="AC330" s="489">
        <f t="shared" si="28"/>
        <v>261740</v>
      </c>
      <c r="AD330" s="489">
        <f t="shared" si="29"/>
        <v>0</v>
      </c>
      <c r="AE330" s="489">
        <v>2147663.5</v>
      </c>
      <c r="AF330" s="489">
        <v>0</v>
      </c>
      <c r="AG330" s="490" t="s">
        <v>1245</v>
      </c>
      <c r="AH330" s="490" t="s">
        <v>1247</v>
      </c>
      <c r="AI330" s="490" t="s">
        <v>1269</v>
      </c>
      <c r="AJ330" s="490" t="s">
        <v>1246</v>
      </c>
      <c r="AK330" s="490" t="s">
        <v>1235</v>
      </c>
      <c r="AL330" s="491"/>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row>
    <row r="331" spans="1:80" ht="18" customHeight="1" x14ac:dyDescent="0.25">
      <c r="A331" s="486">
        <f t="shared" si="25"/>
        <v>329</v>
      </c>
      <c r="B331" s="486" t="s">
        <v>3759</v>
      </c>
      <c r="C331" s="486">
        <v>2100000122</v>
      </c>
      <c r="D331" s="486" t="s">
        <v>4955</v>
      </c>
      <c r="E331" s="486" t="s">
        <v>1564</v>
      </c>
      <c r="F331" s="486" t="s">
        <v>3756</v>
      </c>
      <c r="G331" s="486" t="s">
        <v>3754</v>
      </c>
      <c r="H331" s="485" t="s">
        <v>2586</v>
      </c>
      <c r="I331" s="486" t="s">
        <v>3160</v>
      </c>
      <c r="J331" s="486" t="s">
        <v>3755</v>
      </c>
      <c r="K331" s="486" t="s">
        <v>1756</v>
      </c>
      <c r="L331" s="486" t="s">
        <v>2783</v>
      </c>
      <c r="M331" s="486" t="s">
        <v>1230</v>
      </c>
      <c r="N331" s="486" t="s">
        <v>1231</v>
      </c>
      <c r="O331" s="486" t="s">
        <v>1231</v>
      </c>
      <c r="P331" s="486" t="s">
        <v>469</v>
      </c>
      <c r="Q331" s="487">
        <v>44253</v>
      </c>
      <c r="R331" s="487">
        <v>45348</v>
      </c>
      <c r="S331" s="488">
        <v>1.5</v>
      </c>
      <c r="T331" s="488"/>
      <c r="U331" s="489">
        <v>1795000</v>
      </c>
      <c r="V331" s="489">
        <v>1795000</v>
      </c>
      <c r="W331" s="489">
        <v>1795000</v>
      </c>
      <c r="X331" s="489">
        <f t="shared" si="26"/>
        <v>0</v>
      </c>
      <c r="Y331" s="489">
        <f t="shared" si="27"/>
        <v>0</v>
      </c>
      <c r="Z331" s="489">
        <v>38120.959999999999</v>
      </c>
      <c r="AA331" s="489">
        <v>44678.38</v>
      </c>
      <c r="AB331" s="489">
        <v>65735.39</v>
      </c>
      <c r="AC331" s="489">
        <f t="shared" si="28"/>
        <v>27614.43</v>
      </c>
      <c r="AD331" s="489">
        <f t="shared" si="29"/>
        <v>21057.010000000002</v>
      </c>
      <c r="AE331" s="489">
        <v>0</v>
      </c>
      <c r="AF331" s="489">
        <v>1729264.6099999999</v>
      </c>
      <c r="AG331" s="490" t="s">
        <v>1245</v>
      </c>
      <c r="AH331" s="490" t="s">
        <v>1247</v>
      </c>
      <c r="AI331" s="490" t="s">
        <v>1269</v>
      </c>
      <c r="AJ331" s="490" t="s">
        <v>1246</v>
      </c>
      <c r="AK331" s="490" t="s">
        <v>1235</v>
      </c>
      <c r="AL331" s="49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row>
    <row r="332" spans="1:80" ht="18" customHeight="1" x14ac:dyDescent="0.25">
      <c r="A332" s="492">
        <f t="shared" si="25"/>
        <v>330</v>
      </c>
      <c r="B332" s="492" t="s">
        <v>3761</v>
      </c>
      <c r="C332" s="492">
        <v>1100000126</v>
      </c>
      <c r="D332" s="492" t="s">
        <v>4956</v>
      </c>
      <c r="E332" s="492" t="s">
        <v>1176</v>
      </c>
      <c r="F332" s="492" t="s">
        <v>2641</v>
      </c>
      <c r="G332" s="492" t="s">
        <v>2758</v>
      </c>
      <c r="H332" s="492" t="s">
        <v>2641</v>
      </c>
      <c r="I332" s="492" t="s">
        <v>2758</v>
      </c>
      <c r="J332" s="492" t="s">
        <v>3760</v>
      </c>
      <c r="K332" s="492" t="s">
        <v>1756</v>
      </c>
      <c r="L332" s="492" t="s">
        <v>2783</v>
      </c>
      <c r="M332" s="493" t="s">
        <v>1230</v>
      </c>
      <c r="N332" s="493" t="s">
        <v>1232</v>
      </c>
      <c r="O332" s="492" t="s">
        <v>1232</v>
      </c>
      <c r="P332" s="492" t="s">
        <v>1156</v>
      </c>
      <c r="Q332" s="494">
        <v>44256</v>
      </c>
      <c r="R332" s="494">
        <v>45352</v>
      </c>
      <c r="S332" s="495">
        <v>1</v>
      </c>
      <c r="T332" s="495"/>
      <c r="U332" s="496">
        <v>833332</v>
      </c>
      <c r="V332" s="496">
        <v>833332</v>
      </c>
      <c r="W332" s="496">
        <v>833332</v>
      </c>
      <c r="X332" s="496">
        <f t="shared" si="26"/>
        <v>0</v>
      </c>
      <c r="Y332" s="496">
        <f t="shared" si="27"/>
        <v>0</v>
      </c>
      <c r="Z332" s="496">
        <v>833332</v>
      </c>
      <c r="AA332" s="496">
        <v>833332</v>
      </c>
      <c r="AB332" s="496">
        <v>833332</v>
      </c>
      <c r="AC332" s="496">
        <f t="shared" si="28"/>
        <v>0</v>
      </c>
      <c r="AD332" s="496">
        <f t="shared" si="29"/>
        <v>0</v>
      </c>
      <c r="AE332" s="496">
        <v>0</v>
      </c>
      <c r="AF332" s="496">
        <v>0</v>
      </c>
      <c r="AG332" s="497" t="s">
        <v>1237</v>
      </c>
      <c r="AH332" s="497" t="s">
        <v>1305</v>
      </c>
      <c r="AI332" s="497"/>
      <c r="AJ332" s="497" t="s">
        <v>1304</v>
      </c>
      <c r="AK332" s="497" t="s">
        <v>1260</v>
      </c>
      <c r="AL332" s="491"/>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row>
    <row r="333" spans="1:80" ht="18" customHeight="1" x14ac:dyDescent="0.25">
      <c r="A333" s="486">
        <f t="shared" si="25"/>
        <v>331</v>
      </c>
      <c r="B333" s="486" t="s">
        <v>3765</v>
      </c>
      <c r="C333" s="486">
        <v>2200000134</v>
      </c>
      <c r="D333" s="486" t="s">
        <v>4957</v>
      </c>
      <c r="E333" s="486" t="s">
        <v>1570</v>
      </c>
      <c r="F333" s="486" t="s">
        <v>3764</v>
      </c>
      <c r="G333" s="486" t="s">
        <v>3762</v>
      </c>
      <c r="H333" s="485" t="s">
        <v>4522</v>
      </c>
      <c r="I333" s="486" t="s">
        <v>3548</v>
      </c>
      <c r="J333" s="486" t="s">
        <v>3763</v>
      </c>
      <c r="K333" s="486" t="s">
        <v>1756</v>
      </c>
      <c r="L333" s="486" t="s">
        <v>1473</v>
      </c>
      <c r="M333" s="486" t="s">
        <v>1230</v>
      </c>
      <c r="N333" s="486" t="s">
        <v>1231</v>
      </c>
      <c r="O333" s="486" t="s">
        <v>1232</v>
      </c>
      <c r="P333" s="486" t="s">
        <v>469</v>
      </c>
      <c r="Q333" s="487">
        <v>44257</v>
      </c>
      <c r="R333" s="487">
        <v>45124</v>
      </c>
      <c r="S333" s="488">
        <v>1.5</v>
      </c>
      <c r="T333" s="488">
        <v>0.3</v>
      </c>
      <c r="U333" s="489">
        <v>250000</v>
      </c>
      <c r="V333" s="489">
        <v>250000</v>
      </c>
      <c r="W333" s="489">
        <v>250000</v>
      </c>
      <c r="X333" s="489">
        <f t="shared" si="26"/>
        <v>0</v>
      </c>
      <c r="Y333" s="489">
        <f t="shared" si="27"/>
        <v>0</v>
      </c>
      <c r="Z333" s="489">
        <v>250000</v>
      </c>
      <c r="AA333" s="489">
        <v>250000</v>
      </c>
      <c r="AB333" s="489">
        <v>250000</v>
      </c>
      <c r="AC333" s="489">
        <f t="shared" si="28"/>
        <v>0</v>
      </c>
      <c r="AD333" s="489">
        <f t="shared" si="29"/>
        <v>0</v>
      </c>
      <c r="AE333" s="489">
        <v>0</v>
      </c>
      <c r="AF333" s="489">
        <v>0</v>
      </c>
      <c r="AG333" s="490" t="s">
        <v>1245</v>
      </c>
      <c r="AH333" s="490" t="s">
        <v>1247</v>
      </c>
      <c r="AI333" s="490" t="s">
        <v>1269</v>
      </c>
      <c r="AJ333" s="490" t="s">
        <v>1246</v>
      </c>
      <c r="AK333" s="490" t="s">
        <v>1235</v>
      </c>
      <c r="AL333" s="491"/>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row>
    <row r="334" spans="1:80" ht="18" customHeight="1" x14ac:dyDescent="0.25">
      <c r="A334" s="492">
        <f t="shared" si="25"/>
        <v>332</v>
      </c>
      <c r="B334" s="492" t="s">
        <v>3769</v>
      </c>
      <c r="C334" s="492">
        <v>2100000123</v>
      </c>
      <c r="D334" s="492" t="s">
        <v>4958</v>
      </c>
      <c r="E334" s="492" t="s">
        <v>1567</v>
      </c>
      <c r="F334" s="492" t="s">
        <v>3768</v>
      </c>
      <c r="G334" s="492" t="s">
        <v>3766</v>
      </c>
      <c r="H334" s="492" t="s">
        <v>3768</v>
      </c>
      <c r="I334" s="492" t="s">
        <v>3766</v>
      </c>
      <c r="J334" s="492" t="s">
        <v>3767</v>
      </c>
      <c r="K334" s="492" t="s">
        <v>1756</v>
      </c>
      <c r="L334" s="492" t="s">
        <v>2783</v>
      </c>
      <c r="M334" s="493" t="s">
        <v>1230</v>
      </c>
      <c r="N334" s="493" t="s">
        <v>1232</v>
      </c>
      <c r="O334" s="492" t="s">
        <v>1232</v>
      </c>
      <c r="P334" s="492" t="s">
        <v>469</v>
      </c>
      <c r="Q334" s="494">
        <v>44260</v>
      </c>
      <c r="R334" s="494">
        <v>44809</v>
      </c>
      <c r="S334" s="495">
        <v>1</v>
      </c>
      <c r="T334" s="495"/>
      <c r="U334" s="496">
        <v>4830000</v>
      </c>
      <c r="V334" s="496">
        <v>4830000</v>
      </c>
      <c r="W334" s="496">
        <v>4830000</v>
      </c>
      <c r="X334" s="496">
        <f t="shared" si="26"/>
        <v>0</v>
      </c>
      <c r="Y334" s="496">
        <f t="shared" si="27"/>
        <v>0</v>
      </c>
      <c r="Z334" s="496">
        <v>4658527.99</v>
      </c>
      <c r="AA334" s="496">
        <v>4658527.99</v>
      </c>
      <c r="AB334" s="496">
        <v>4685904.82</v>
      </c>
      <c r="AC334" s="496">
        <f t="shared" si="28"/>
        <v>27376.830000000075</v>
      </c>
      <c r="AD334" s="496">
        <f t="shared" si="29"/>
        <v>27376.830000000075</v>
      </c>
      <c r="AE334" s="496">
        <v>144095.18</v>
      </c>
      <c r="AF334" s="496">
        <v>0</v>
      </c>
      <c r="AG334" s="497" t="s">
        <v>1245</v>
      </c>
      <c r="AH334" s="497" t="s">
        <v>1242</v>
      </c>
      <c r="AI334" s="497" t="s">
        <v>1292</v>
      </c>
      <c r="AJ334" s="497" t="s">
        <v>1246</v>
      </c>
      <c r="AK334" s="497" t="s">
        <v>1240</v>
      </c>
      <c r="AL334" s="491"/>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row>
    <row r="335" spans="1:80" ht="18" customHeight="1" x14ac:dyDescent="0.25">
      <c r="A335" s="486">
        <f t="shared" si="25"/>
        <v>333</v>
      </c>
      <c r="B335" s="486" t="s">
        <v>3772</v>
      </c>
      <c r="C335" s="486">
        <v>2100000124</v>
      </c>
      <c r="D335" s="486" t="s">
        <v>4959</v>
      </c>
      <c r="E335" s="486" t="s">
        <v>1566</v>
      </c>
      <c r="F335" s="486" t="s">
        <v>1565</v>
      </c>
      <c r="G335" s="486" t="s">
        <v>3770</v>
      </c>
      <c r="H335" s="485" t="s">
        <v>2541</v>
      </c>
      <c r="I335" s="486" t="s">
        <v>2805</v>
      </c>
      <c r="J335" s="486" t="s">
        <v>3771</v>
      </c>
      <c r="K335" s="486" t="s">
        <v>1756</v>
      </c>
      <c r="L335" s="486" t="s">
        <v>2783</v>
      </c>
      <c r="M335" s="486" t="s">
        <v>1230</v>
      </c>
      <c r="N335" s="486" t="s">
        <v>1231</v>
      </c>
      <c r="O335" s="486" t="s">
        <v>1232</v>
      </c>
      <c r="P335" s="486" t="s">
        <v>469</v>
      </c>
      <c r="Q335" s="487">
        <v>44263</v>
      </c>
      <c r="R335" s="487">
        <v>44993</v>
      </c>
      <c r="S335" s="488">
        <v>1.5</v>
      </c>
      <c r="T335" s="488"/>
      <c r="U335" s="489">
        <v>7562651</v>
      </c>
      <c r="V335" s="489">
        <v>7562651</v>
      </c>
      <c r="W335" s="489">
        <v>7562651</v>
      </c>
      <c r="X335" s="489">
        <f t="shared" si="26"/>
        <v>0</v>
      </c>
      <c r="Y335" s="489">
        <f t="shared" si="27"/>
        <v>0</v>
      </c>
      <c r="Z335" s="489">
        <v>3402288.17</v>
      </c>
      <c r="AA335" s="489">
        <v>3421453.93</v>
      </c>
      <c r="AB335" s="489">
        <v>3734331.83</v>
      </c>
      <c r="AC335" s="489">
        <f t="shared" si="28"/>
        <v>332043.66000000015</v>
      </c>
      <c r="AD335" s="489">
        <f t="shared" si="29"/>
        <v>312877.89999999991</v>
      </c>
      <c r="AE335" s="489">
        <v>0</v>
      </c>
      <c r="AF335" s="489">
        <v>3828319.17</v>
      </c>
      <c r="AG335" s="490" t="s">
        <v>1245</v>
      </c>
      <c r="AH335" s="490" t="s">
        <v>1242</v>
      </c>
      <c r="AI335" s="490" t="s">
        <v>1292</v>
      </c>
      <c r="AJ335" s="490" t="s">
        <v>1246</v>
      </c>
      <c r="AK335" s="490" t="s">
        <v>1235</v>
      </c>
      <c r="AL335" s="491"/>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row>
    <row r="336" spans="1:80" ht="18" customHeight="1" x14ac:dyDescent="0.25">
      <c r="A336" s="486">
        <f t="shared" si="25"/>
        <v>334</v>
      </c>
      <c r="B336" s="486" t="s">
        <v>3773</v>
      </c>
      <c r="C336" s="486">
        <v>2200000147</v>
      </c>
      <c r="D336" s="486" t="s">
        <v>4960</v>
      </c>
      <c r="E336" s="486" t="s">
        <v>1463</v>
      </c>
      <c r="F336" s="486" t="s">
        <v>1462</v>
      </c>
      <c r="G336" s="486" t="s">
        <v>3404</v>
      </c>
      <c r="H336" s="485" t="s">
        <v>2550</v>
      </c>
      <c r="I336" s="486" t="s">
        <v>2867</v>
      </c>
      <c r="J336" s="486" t="s">
        <v>3405</v>
      </c>
      <c r="K336" s="486" t="s">
        <v>1756</v>
      </c>
      <c r="L336" s="486" t="s">
        <v>1473</v>
      </c>
      <c r="M336" s="486" t="s">
        <v>1230</v>
      </c>
      <c r="N336" s="486" t="s">
        <v>1231</v>
      </c>
      <c r="O336" s="486" t="s">
        <v>1232</v>
      </c>
      <c r="P336" s="486" t="s">
        <v>469</v>
      </c>
      <c r="Q336" s="487">
        <v>44265</v>
      </c>
      <c r="R336" s="487">
        <v>45261</v>
      </c>
      <c r="S336" s="488">
        <v>1</v>
      </c>
      <c r="T336" s="488">
        <v>0.2</v>
      </c>
      <c r="U336" s="489">
        <v>996000</v>
      </c>
      <c r="V336" s="489">
        <v>1247586</v>
      </c>
      <c r="W336" s="489">
        <v>1247586</v>
      </c>
      <c r="X336" s="489">
        <f t="shared" si="26"/>
        <v>251586</v>
      </c>
      <c r="Y336" s="489">
        <f t="shared" si="27"/>
        <v>0</v>
      </c>
      <c r="Z336" s="489">
        <v>996000</v>
      </c>
      <c r="AA336" s="489">
        <v>1247586</v>
      </c>
      <c r="AB336" s="489">
        <v>1247586</v>
      </c>
      <c r="AC336" s="489">
        <f t="shared" si="28"/>
        <v>251586</v>
      </c>
      <c r="AD336" s="489">
        <f t="shared" si="29"/>
        <v>0</v>
      </c>
      <c r="AE336" s="489">
        <v>0</v>
      </c>
      <c r="AF336" s="489">
        <v>0</v>
      </c>
      <c r="AG336" s="490" t="s">
        <v>1245</v>
      </c>
      <c r="AH336" s="490" t="s">
        <v>1236</v>
      </c>
      <c r="AI336" s="490"/>
      <c r="AJ336" s="490" t="s">
        <v>1259</v>
      </c>
      <c r="AK336" s="490" t="s">
        <v>1240</v>
      </c>
      <c r="AL336" s="491"/>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row>
    <row r="337" spans="1:80" ht="18" customHeight="1" x14ac:dyDescent="0.25">
      <c r="A337" s="486">
        <f t="shared" si="25"/>
        <v>335</v>
      </c>
      <c r="B337" s="486" t="s">
        <v>3774</v>
      </c>
      <c r="C337" s="486">
        <v>2200000148</v>
      </c>
      <c r="D337" s="486" t="s">
        <v>4961</v>
      </c>
      <c r="E337" s="486" t="s">
        <v>1463</v>
      </c>
      <c r="F337" s="486" t="s">
        <v>1462</v>
      </c>
      <c r="G337" s="486" t="s">
        <v>3404</v>
      </c>
      <c r="H337" s="485" t="s">
        <v>2550</v>
      </c>
      <c r="I337" s="486" t="s">
        <v>2867</v>
      </c>
      <c r="J337" s="486" t="s">
        <v>3405</v>
      </c>
      <c r="K337" s="486" t="s">
        <v>1756</v>
      </c>
      <c r="L337" s="486" t="s">
        <v>1473</v>
      </c>
      <c r="M337" s="486" t="s">
        <v>1230</v>
      </c>
      <c r="N337" s="486" t="s">
        <v>1231</v>
      </c>
      <c r="O337" s="486" t="s">
        <v>1232</v>
      </c>
      <c r="P337" s="486" t="s">
        <v>469</v>
      </c>
      <c r="Q337" s="487">
        <v>44265</v>
      </c>
      <c r="R337" s="487">
        <v>45261</v>
      </c>
      <c r="S337" s="488">
        <v>1</v>
      </c>
      <c r="T337" s="488">
        <v>0.2</v>
      </c>
      <c r="U337" s="489">
        <v>4004000</v>
      </c>
      <c r="V337" s="489">
        <v>3752414</v>
      </c>
      <c r="W337" s="489">
        <v>3752414</v>
      </c>
      <c r="X337" s="489">
        <f t="shared" si="26"/>
        <v>-251586</v>
      </c>
      <c r="Y337" s="489">
        <f t="shared" si="27"/>
        <v>0</v>
      </c>
      <c r="Z337" s="489">
        <v>4004000</v>
      </c>
      <c r="AA337" s="489">
        <v>3752414</v>
      </c>
      <c r="AB337" s="489">
        <v>3752414</v>
      </c>
      <c r="AC337" s="489">
        <f t="shared" si="28"/>
        <v>-251586</v>
      </c>
      <c r="AD337" s="489">
        <f t="shared" si="29"/>
        <v>0</v>
      </c>
      <c r="AE337" s="489">
        <v>0</v>
      </c>
      <c r="AF337" s="489">
        <v>0</v>
      </c>
      <c r="AG337" s="490" t="s">
        <v>1245</v>
      </c>
      <c r="AH337" s="490" t="s">
        <v>1236</v>
      </c>
      <c r="AI337" s="490"/>
      <c r="AJ337" s="490" t="s">
        <v>1259</v>
      </c>
      <c r="AK337" s="490" t="s">
        <v>1240</v>
      </c>
      <c r="AL337" s="491"/>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row>
    <row r="338" spans="1:80" ht="18" customHeight="1" x14ac:dyDescent="0.25">
      <c r="A338" s="492">
        <f t="shared" si="25"/>
        <v>336</v>
      </c>
      <c r="B338" s="492" t="s">
        <v>3778</v>
      </c>
      <c r="C338" s="492">
        <v>4100000107</v>
      </c>
      <c r="D338" s="492" t="s">
        <v>4962</v>
      </c>
      <c r="E338" s="492" t="s">
        <v>1569</v>
      </c>
      <c r="F338" s="492" t="s">
        <v>3777</v>
      </c>
      <c r="G338" s="492" t="s">
        <v>3775</v>
      </c>
      <c r="H338" s="492" t="s">
        <v>3777</v>
      </c>
      <c r="I338" s="492" t="s">
        <v>3775</v>
      </c>
      <c r="J338" s="492" t="s">
        <v>3776</v>
      </c>
      <c r="K338" s="492" t="s">
        <v>1756</v>
      </c>
      <c r="L338" s="492" t="s">
        <v>2783</v>
      </c>
      <c r="M338" s="493" t="s">
        <v>1230</v>
      </c>
      <c r="N338" s="493" t="s">
        <v>1232</v>
      </c>
      <c r="O338" s="492" t="s">
        <v>1232</v>
      </c>
      <c r="P338" s="492" t="s">
        <v>469</v>
      </c>
      <c r="Q338" s="494">
        <v>44265</v>
      </c>
      <c r="R338" s="494">
        <v>46104</v>
      </c>
      <c r="S338" s="495">
        <v>1</v>
      </c>
      <c r="T338" s="495"/>
      <c r="U338" s="496">
        <v>12600000</v>
      </c>
      <c r="V338" s="496">
        <v>12600000</v>
      </c>
      <c r="W338" s="496">
        <v>12600000</v>
      </c>
      <c r="X338" s="496">
        <f t="shared" si="26"/>
        <v>0</v>
      </c>
      <c r="Y338" s="496">
        <f t="shared" si="27"/>
        <v>0</v>
      </c>
      <c r="Z338" s="496">
        <v>12600000</v>
      </c>
      <c r="AA338" s="496">
        <v>12600000</v>
      </c>
      <c r="AB338" s="496">
        <v>12600000</v>
      </c>
      <c r="AC338" s="496">
        <f t="shared" si="28"/>
        <v>0</v>
      </c>
      <c r="AD338" s="496">
        <f t="shared" si="29"/>
        <v>0</v>
      </c>
      <c r="AE338" s="496">
        <v>0</v>
      </c>
      <c r="AF338" s="496">
        <v>0</v>
      </c>
      <c r="AG338" s="497" t="s">
        <v>1250</v>
      </c>
      <c r="AH338" s="497" t="s">
        <v>1298</v>
      </c>
      <c r="AI338" s="497"/>
      <c r="AJ338" s="497" t="s">
        <v>1234</v>
      </c>
      <c r="AK338" s="497" t="s">
        <v>1278</v>
      </c>
      <c r="AL338" s="491"/>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row>
    <row r="339" spans="1:80" ht="18" customHeight="1" x14ac:dyDescent="0.25">
      <c r="A339" s="486">
        <f t="shared" si="25"/>
        <v>337</v>
      </c>
      <c r="B339" s="486" t="s">
        <v>3779</v>
      </c>
      <c r="C339" s="486">
        <v>2100000125</v>
      </c>
      <c r="D339" s="486" t="s">
        <v>4963</v>
      </c>
      <c r="E339" s="486" t="s">
        <v>1530</v>
      </c>
      <c r="F339" s="486" t="s">
        <v>1529</v>
      </c>
      <c r="G339" s="486" t="s">
        <v>3641</v>
      </c>
      <c r="H339" s="485" t="s">
        <v>2594</v>
      </c>
      <c r="I339" s="486" t="s">
        <v>3238</v>
      </c>
      <c r="J339" s="486" t="s">
        <v>3642</v>
      </c>
      <c r="K339" s="486" t="s">
        <v>1756</v>
      </c>
      <c r="L339" s="486" t="s">
        <v>2783</v>
      </c>
      <c r="M339" s="486" t="s">
        <v>1230</v>
      </c>
      <c r="N339" s="486" t="s">
        <v>1231</v>
      </c>
      <c r="O339" s="486" t="s">
        <v>1232</v>
      </c>
      <c r="P339" s="486" t="s">
        <v>469</v>
      </c>
      <c r="Q339" s="487">
        <v>44267</v>
      </c>
      <c r="R339" s="487">
        <v>45181</v>
      </c>
      <c r="S339" s="488">
        <v>1</v>
      </c>
      <c r="T339" s="488"/>
      <c r="U339" s="489">
        <v>52838</v>
      </c>
      <c r="V339" s="489">
        <v>52838</v>
      </c>
      <c r="W339" s="489">
        <v>52838</v>
      </c>
      <c r="X339" s="489">
        <f t="shared" si="26"/>
        <v>0</v>
      </c>
      <c r="Y339" s="489">
        <f t="shared" si="27"/>
        <v>0</v>
      </c>
      <c r="Z339" s="489">
        <v>0</v>
      </c>
      <c r="AA339" s="489">
        <v>0</v>
      </c>
      <c r="AB339" s="489">
        <v>0</v>
      </c>
      <c r="AC339" s="489">
        <f t="shared" si="28"/>
        <v>0</v>
      </c>
      <c r="AD339" s="489">
        <f t="shared" si="29"/>
        <v>0</v>
      </c>
      <c r="AE339" s="489">
        <v>0</v>
      </c>
      <c r="AF339" s="489">
        <v>52838</v>
      </c>
      <c r="AG339" s="490" t="s">
        <v>1245</v>
      </c>
      <c r="AH339" s="490" t="s">
        <v>1247</v>
      </c>
      <c r="AI339" s="490" t="s">
        <v>1248</v>
      </c>
      <c r="AJ339" s="490" t="s">
        <v>1246</v>
      </c>
      <c r="AK339" s="490" t="s">
        <v>1278</v>
      </c>
      <c r="AL339" s="491"/>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row>
    <row r="340" spans="1:80" ht="18" customHeight="1" x14ac:dyDescent="0.25">
      <c r="A340" s="492">
        <f t="shared" si="25"/>
        <v>338</v>
      </c>
      <c r="B340" s="492" t="s">
        <v>3782</v>
      </c>
      <c r="C340" s="492">
        <v>5200000130</v>
      </c>
      <c r="D340" s="492" t="s">
        <v>4964</v>
      </c>
      <c r="E340" s="492" t="s">
        <v>1571</v>
      </c>
      <c r="F340" s="492" t="s">
        <v>2642</v>
      </c>
      <c r="G340" s="492" t="s">
        <v>3780</v>
      </c>
      <c r="H340" s="492" t="s">
        <v>2642</v>
      </c>
      <c r="I340" s="492" t="s">
        <v>3780</v>
      </c>
      <c r="J340" s="492" t="s">
        <v>3781</v>
      </c>
      <c r="K340" s="492" t="s">
        <v>1756</v>
      </c>
      <c r="L340" s="492" t="s">
        <v>1473</v>
      </c>
      <c r="M340" s="493" t="s">
        <v>1230</v>
      </c>
      <c r="N340" s="493" t="s">
        <v>1232</v>
      </c>
      <c r="O340" s="492" t="s">
        <v>1232</v>
      </c>
      <c r="P340" s="492" t="s">
        <v>469</v>
      </c>
      <c r="Q340" s="494">
        <v>44267</v>
      </c>
      <c r="R340" s="494">
        <v>44853</v>
      </c>
      <c r="S340" s="495">
        <v>1</v>
      </c>
      <c r="T340" s="495">
        <v>0.2</v>
      </c>
      <c r="U340" s="496">
        <v>2851171.07</v>
      </c>
      <c r="V340" s="496">
        <v>2851171.07</v>
      </c>
      <c r="W340" s="496">
        <v>2851171.07</v>
      </c>
      <c r="X340" s="496">
        <f t="shared" si="26"/>
        <v>0</v>
      </c>
      <c r="Y340" s="496">
        <f t="shared" si="27"/>
        <v>0</v>
      </c>
      <c r="Z340" s="496">
        <v>2851171.07</v>
      </c>
      <c r="AA340" s="496">
        <v>2851171.07</v>
      </c>
      <c r="AB340" s="496">
        <v>2851171.07</v>
      </c>
      <c r="AC340" s="496">
        <f t="shared" si="28"/>
        <v>0</v>
      </c>
      <c r="AD340" s="496">
        <f t="shared" si="29"/>
        <v>0</v>
      </c>
      <c r="AE340" s="496">
        <v>0</v>
      </c>
      <c r="AF340" s="496">
        <v>0</v>
      </c>
      <c r="AG340" s="497" t="s">
        <v>1288</v>
      </c>
      <c r="AH340" s="497" t="s">
        <v>1252</v>
      </c>
      <c r="AI340" s="497" t="s">
        <v>1269</v>
      </c>
      <c r="AJ340" s="497" t="s">
        <v>1234</v>
      </c>
      <c r="AK340" s="497" t="s">
        <v>1278</v>
      </c>
      <c r="AL340" s="491"/>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row>
    <row r="341" spans="1:80" ht="18" customHeight="1" x14ac:dyDescent="0.25">
      <c r="A341" s="486">
        <f t="shared" si="25"/>
        <v>339</v>
      </c>
      <c r="B341" s="486" t="s">
        <v>3785</v>
      </c>
      <c r="C341" s="486">
        <v>3200000103</v>
      </c>
      <c r="D341" s="486" t="s">
        <v>4965</v>
      </c>
      <c r="E341" s="486" t="s">
        <v>1573</v>
      </c>
      <c r="F341" s="486" t="s">
        <v>1572</v>
      </c>
      <c r="G341" s="486" t="s">
        <v>3783</v>
      </c>
      <c r="H341" s="485" t="s">
        <v>1572</v>
      </c>
      <c r="I341" s="486" t="s">
        <v>3783</v>
      </c>
      <c r="J341" s="486" t="s">
        <v>3784</v>
      </c>
      <c r="K341" s="486" t="s">
        <v>1756</v>
      </c>
      <c r="L341" s="486" t="s">
        <v>1473</v>
      </c>
      <c r="M341" s="486" t="s">
        <v>1230</v>
      </c>
      <c r="N341" s="486" t="s">
        <v>1231</v>
      </c>
      <c r="O341" s="486" t="s">
        <v>1232</v>
      </c>
      <c r="P341" s="486" t="s">
        <v>469</v>
      </c>
      <c r="Q341" s="487">
        <v>44267</v>
      </c>
      <c r="R341" s="487">
        <v>45334</v>
      </c>
      <c r="S341" s="488">
        <v>0.35</v>
      </c>
      <c r="T341" s="488">
        <v>7.0000000000000007E-2</v>
      </c>
      <c r="U341" s="489">
        <v>3516788.17</v>
      </c>
      <c r="V341" s="489">
        <v>3516788.17</v>
      </c>
      <c r="W341" s="489">
        <v>3516788.17</v>
      </c>
      <c r="X341" s="489">
        <f t="shared" si="26"/>
        <v>0</v>
      </c>
      <c r="Y341" s="489">
        <f t="shared" si="27"/>
        <v>0</v>
      </c>
      <c r="Z341" s="489">
        <v>3516788.17</v>
      </c>
      <c r="AA341" s="489">
        <v>3516788.17</v>
      </c>
      <c r="AB341" s="489">
        <v>3516788.17</v>
      </c>
      <c r="AC341" s="489">
        <f t="shared" si="28"/>
        <v>0</v>
      </c>
      <c r="AD341" s="489">
        <f t="shared" si="29"/>
        <v>0</v>
      </c>
      <c r="AE341" s="489">
        <v>0</v>
      </c>
      <c r="AF341" s="489">
        <v>0</v>
      </c>
      <c r="AG341" s="490" t="s">
        <v>1250</v>
      </c>
      <c r="AH341" s="490" t="s">
        <v>1252</v>
      </c>
      <c r="AI341" s="490" t="s">
        <v>1248</v>
      </c>
      <c r="AJ341" s="490" t="s">
        <v>1234</v>
      </c>
      <c r="AK341" s="490" t="s">
        <v>1251</v>
      </c>
      <c r="AL341" s="49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row>
    <row r="342" spans="1:80" ht="18" customHeight="1" x14ac:dyDescent="0.25">
      <c r="A342" s="486">
        <f t="shared" si="25"/>
        <v>340</v>
      </c>
      <c r="B342" s="486" t="s">
        <v>3786</v>
      </c>
      <c r="C342" s="486">
        <v>4100000108</v>
      </c>
      <c r="D342" s="486" t="s">
        <v>4966</v>
      </c>
      <c r="E342" s="486" t="s">
        <v>1573</v>
      </c>
      <c r="F342" s="486" t="s">
        <v>1572</v>
      </c>
      <c r="G342" s="486" t="s">
        <v>3783</v>
      </c>
      <c r="H342" s="485" t="s">
        <v>1572</v>
      </c>
      <c r="I342" s="486" t="s">
        <v>3783</v>
      </c>
      <c r="J342" s="486" t="s">
        <v>3784</v>
      </c>
      <c r="K342" s="486" t="s">
        <v>1756</v>
      </c>
      <c r="L342" s="486" t="s">
        <v>2783</v>
      </c>
      <c r="M342" s="486" t="s">
        <v>1230</v>
      </c>
      <c r="N342" s="486" t="s">
        <v>1231</v>
      </c>
      <c r="O342" s="486" t="s">
        <v>1232</v>
      </c>
      <c r="P342" s="486" t="s">
        <v>469</v>
      </c>
      <c r="Q342" s="487">
        <v>44267</v>
      </c>
      <c r="R342" s="487">
        <v>45334</v>
      </c>
      <c r="S342" s="488">
        <v>0.35</v>
      </c>
      <c r="T342" s="488"/>
      <c r="U342" s="489">
        <v>199171.47</v>
      </c>
      <c r="V342" s="489">
        <v>199171.47</v>
      </c>
      <c r="W342" s="489">
        <v>199171.47</v>
      </c>
      <c r="X342" s="489">
        <f t="shared" si="26"/>
        <v>0</v>
      </c>
      <c r="Y342" s="489">
        <f t="shared" si="27"/>
        <v>0</v>
      </c>
      <c r="Z342" s="489">
        <v>0</v>
      </c>
      <c r="AA342" s="489">
        <v>0</v>
      </c>
      <c r="AB342" s="489">
        <v>0</v>
      </c>
      <c r="AC342" s="489">
        <f t="shared" si="28"/>
        <v>0</v>
      </c>
      <c r="AD342" s="489">
        <f t="shared" si="29"/>
        <v>0</v>
      </c>
      <c r="AE342" s="489">
        <v>0</v>
      </c>
      <c r="AF342" s="489">
        <v>199171.47</v>
      </c>
      <c r="AG342" s="490" t="s">
        <v>1250</v>
      </c>
      <c r="AH342" s="490" t="s">
        <v>1252</v>
      </c>
      <c r="AI342" s="490" t="s">
        <v>1248</v>
      </c>
      <c r="AJ342" s="490" t="s">
        <v>1234</v>
      </c>
      <c r="AK342" s="490" t="s">
        <v>1251</v>
      </c>
      <c r="AL342" s="491"/>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row>
    <row r="343" spans="1:80" ht="18" customHeight="1" x14ac:dyDescent="0.25">
      <c r="A343" s="492">
        <f t="shared" si="25"/>
        <v>341</v>
      </c>
      <c r="B343" s="492" t="s">
        <v>3789</v>
      </c>
      <c r="C343" s="492">
        <v>1100000128</v>
      </c>
      <c r="D343" s="492" t="s">
        <v>4967</v>
      </c>
      <c r="E343" s="492" t="s">
        <v>1727</v>
      </c>
      <c r="F343" s="492" t="s">
        <v>2643</v>
      </c>
      <c r="G343" s="492" t="s">
        <v>3787</v>
      </c>
      <c r="H343" s="492" t="s">
        <v>2643</v>
      </c>
      <c r="I343" s="492" t="s">
        <v>3787</v>
      </c>
      <c r="J343" s="492" t="s">
        <v>3788</v>
      </c>
      <c r="K343" s="492" t="s">
        <v>1281</v>
      </c>
      <c r="L343" s="492" t="s">
        <v>2783</v>
      </c>
      <c r="M343" s="493" t="s">
        <v>1230</v>
      </c>
      <c r="N343" s="493" t="s">
        <v>1232</v>
      </c>
      <c r="O343" s="492" t="s">
        <v>1232</v>
      </c>
      <c r="P343" s="492" t="s">
        <v>1156</v>
      </c>
      <c r="Q343" s="494">
        <v>44271</v>
      </c>
      <c r="R343" s="494">
        <v>46007</v>
      </c>
      <c r="S343" s="495">
        <v>1</v>
      </c>
      <c r="T343" s="495"/>
      <c r="U343" s="496">
        <v>5000000</v>
      </c>
      <c r="V343" s="496">
        <v>5000000</v>
      </c>
      <c r="W343" s="496">
        <v>5000000</v>
      </c>
      <c r="X343" s="496">
        <f t="shared" si="26"/>
        <v>0</v>
      </c>
      <c r="Y343" s="496">
        <f t="shared" si="27"/>
        <v>0</v>
      </c>
      <c r="Z343" s="496">
        <v>0</v>
      </c>
      <c r="AA343" s="496">
        <v>0</v>
      </c>
      <c r="AB343" s="496">
        <v>0</v>
      </c>
      <c r="AC343" s="496">
        <f t="shared" si="28"/>
        <v>0</v>
      </c>
      <c r="AD343" s="496">
        <f t="shared" si="29"/>
        <v>0</v>
      </c>
      <c r="AE343" s="496">
        <v>5000000</v>
      </c>
      <c r="AF343" s="496">
        <v>0</v>
      </c>
      <c r="AG343" s="497" t="s">
        <v>1237</v>
      </c>
      <c r="AH343" s="497" t="s">
        <v>1419</v>
      </c>
      <c r="AI343" s="497"/>
      <c r="AJ343" s="497" t="s">
        <v>1419</v>
      </c>
      <c r="AK343" s="497" t="s">
        <v>1260</v>
      </c>
      <c r="AL343" s="491"/>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row>
    <row r="344" spans="1:80" ht="18" customHeight="1" x14ac:dyDescent="0.25">
      <c r="A344" s="492">
        <f t="shared" si="25"/>
        <v>342</v>
      </c>
      <c r="B344" s="492" t="s">
        <v>3791</v>
      </c>
      <c r="C344" s="492">
        <v>2200000135</v>
      </c>
      <c r="D344" s="492" t="s">
        <v>4968</v>
      </c>
      <c r="E344" s="492" t="s">
        <v>1574</v>
      </c>
      <c r="F344" s="492" t="s">
        <v>2644</v>
      </c>
      <c r="G344" s="492" t="s">
        <v>3790</v>
      </c>
      <c r="H344" s="492" t="s">
        <v>2644</v>
      </c>
      <c r="I344" s="492" t="s">
        <v>3790</v>
      </c>
      <c r="J344" s="492">
        <v>1171000</v>
      </c>
      <c r="K344" s="492" t="s">
        <v>1756</v>
      </c>
      <c r="L344" s="492" t="s">
        <v>1473</v>
      </c>
      <c r="M344" s="493" t="s">
        <v>1230</v>
      </c>
      <c r="N344" s="493" t="s">
        <v>1232</v>
      </c>
      <c r="O344" s="492" t="s">
        <v>1232</v>
      </c>
      <c r="P344" s="492" t="s">
        <v>469</v>
      </c>
      <c r="Q344" s="494">
        <v>44273</v>
      </c>
      <c r="R344" s="494">
        <v>45362</v>
      </c>
      <c r="S344" s="495">
        <v>1.5</v>
      </c>
      <c r="T344" s="495">
        <v>0.3</v>
      </c>
      <c r="U344" s="496">
        <v>1162904</v>
      </c>
      <c r="V344" s="496">
        <v>1162904</v>
      </c>
      <c r="W344" s="496">
        <v>1162904</v>
      </c>
      <c r="X344" s="496">
        <f t="shared" si="26"/>
        <v>0</v>
      </c>
      <c r="Y344" s="496">
        <f t="shared" si="27"/>
        <v>0</v>
      </c>
      <c r="Z344" s="496">
        <v>576508.21</v>
      </c>
      <c r="AA344" s="496">
        <v>673226.94</v>
      </c>
      <c r="AB344" s="496">
        <v>673226.94</v>
      </c>
      <c r="AC344" s="496">
        <f t="shared" si="28"/>
        <v>96718.729999999981</v>
      </c>
      <c r="AD344" s="496">
        <f t="shared" si="29"/>
        <v>0</v>
      </c>
      <c r="AE344" s="496">
        <v>489677.06</v>
      </c>
      <c r="AF344" s="496">
        <v>0</v>
      </c>
      <c r="AG344" s="497" t="s">
        <v>1245</v>
      </c>
      <c r="AH344" s="497" t="s">
        <v>1247</v>
      </c>
      <c r="AI344" s="497" t="s">
        <v>1248</v>
      </c>
      <c r="AJ344" s="497" t="s">
        <v>1246</v>
      </c>
      <c r="AK344" s="497" t="s">
        <v>1235</v>
      </c>
      <c r="AL344" s="491"/>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row>
    <row r="345" spans="1:80" ht="18" customHeight="1" x14ac:dyDescent="0.25">
      <c r="A345" s="485">
        <f t="shared" si="25"/>
        <v>343</v>
      </c>
      <c r="B345" s="485" t="s">
        <v>4969</v>
      </c>
      <c r="C345" s="511">
        <v>5100000155</v>
      </c>
      <c r="D345" s="485" t="s">
        <v>4970</v>
      </c>
      <c r="E345" s="485" t="s">
        <v>1891</v>
      </c>
      <c r="F345" s="485" t="s">
        <v>3042</v>
      </c>
      <c r="G345" s="485" t="s">
        <v>3039</v>
      </c>
      <c r="H345" s="485" t="s">
        <v>2570</v>
      </c>
      <c r="I345" s="485" t="s">
        <v>3040</v>
      </c>
      <c r="J345" s="485" t="s">
        <v>3041</v>
      </c>
      <c r="K345" s="485" t="s">
        <v>1756</v>
      </c>
      <c r="L345" s="485" t="s">
        <v>2783</v>
      </c>
      <c r="M345" s="486" t="s">
        <v>1230</v>
      </c>
      <c r="N345" s="486" t="s">
        <v>1231</v>
      </c>
      <c r="O345" s="503" t="s">
        <v>1231</v>
      </c>
      <c r="P345" s="485" t="s">
        <v>469</v>
      </c>
      <c r="Q345" s="487">
        <v>44274</v>
      </c>
      <c r="R345" s="487">
        <v>45435</v>
      </c>
      <c r="S345" s="512">
        <v>1</v>
      </c>
      <c r="T345" s="488"/>
      <c r="U345" s="489">
        <v>2018776.65</v>
      </c>
      <c r="V345" s="489">
        <v>2009170.77</v>
      </c>
      <c r="W345" s="489">
        <v>27244000</v>
      </c>
      <c r="X345" s="489">
        <f t="shared" si="26"/>
        <v>25225223.350000001</v>
      </c>
      <c r="Y345" s="489">
        <f t="shared" si="27"/>
        <v>25234829.23</v>
      </c>
      <c r="Z345" s="489">
        <v>2018776.65</v>
      </c>
      <c r="AA345" s="489">
        <v>2008723.71</v>
      </c>
      <c r="AB345" s="489">
        <v>17287898</v>
      </c>
      <c r="AC345" s="489">
        <f t="shared" si="28"/>
        <v>15269121.35</v>
      </c>
      <c r="AD345" s="489">
        <f t="shared" si="29"/>
        <v>15279174.289999999</v>
      </c>
      <c r="AE345" s="489">
        <v>0</v>
      </c>
      <c r="AF345" s="489">
        <v>9956102</v>
      </c>
      <c r="AG345" s="513" t="s">
        <v>1288</v>
      </c>
      <c r="AH345" s="513" t="s">
        <v>1252</v>
      </c>
      <c r="AI345" s="490" t="s">
        <v>1248</v>
      </c>
      <c r="AJ345" s="490" t="s">
        <v>1234</v>
      </c>
      <c r="AK345" s="513" t="s">
        <v>1278</v>
      </c>
      <c r="AL345" s="491"/>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row>
    <row r="346" spans="1:80" ht="18" customHeight="1" x14ac:dyDescent="0.25">
      <c r="A346" s="492">
        <f t="shared" si="25"/>
        <v>344</v>
      </c>
      <c r="B346" s="492" t="s">
        <v>3797</v>
      </c>
      <c r="C346" s="492">
        <v>2100000127</v>
      </c>
      <c r="D346" s="492" t="s">
        <v>4971</v>
      </c>
      <c r="E346" s="492" t="s">
        <v>1577</v>
      </c>
      <c r="F346" s="492" t="s">
        <v>2645</v>
      </c>
      <c r="G346" s="492" t="s">
        <v>3795</v>
      </c>
      <c r="H346" s="492" t="s">
        <v>2645</v>
      </c>
      <c r="I346" s="492" t="s">
        <v>3795</v>
      </c>
      <c r="J346" s="492" t="s">
        <v>3796</v>
      </c>
      <c r="K346" s="492" t="s">
        <v>1756</v>
      </c>
      <c r="L346" s="492" t="s">
        <v>2783</v>
      </c>
      <c r="M346" s="493" t="s">
        <v>1230</v>
      </c>
      <c r="N346" s="493" t="s">
        <v>1232</v>
      </c>
      <c r="O346" s="492" t="s">
        <v>1231</v>
      </c>
      <c r="P346" s="492" t="s">
        <v>469</v>
      </c>
      <c r="Q346" s="494">
        <v>44274</v>
      </c>
      <c r="R346" s="494">
        <v>45279</v>
      </c>
      <c r="S346" s="495">
        <v>1.5</v>
      </c>
      <c r="T346" s="495"/>
      <c r="U346" s="496">
        <v>8229903</v>
      </c>
      <c r="V346" s="496">
        <v>8229903</v>
      </c>
      <c r="W346" s="496">
        <v>8229903</v>
      </c>
      <c r="X346" s="496">
        <f t="shared" si="26"/>
        <v>0</v>
      </c>
      <c r="Y346" s="496">
        <f t="shared" si="27"/>
        <v>0</v>
      </c>
      <c r="Z346" s="496">
        <v>0</v>
      </c>
      <c r="AA346" s="496">
        <v>0</v>
      </c>
      <c r="AB346" s="496">
        <v>0</v>
      </c>
      <c r="AC346" s="496">
        <f t="shared" si="28"/>
        <v>0</v>
      </c>
      <c r="AD346" s="496">
        <f t="shared" si="29"/>
        <v>0</v>
      </c>
      <c r="AE346" s="496">
        <v>0</v>
      </c>
      <c r="AF346" s="496">
        <v>8229903</v>
      </c>
      <c r="AG346" s="497" t="s">
        <v>1245</v>
      </c>
      <c r="AH346" s="497" t="s">
        <v>1247</v>
      </c>
      <c r="AI346" s="497" t="s">
        <v>1248</v>
      </c>
      <c r="AJ346" s="497" t="s">
        <v>1246</v>
      </c>
      <c r="AK346" s="497" t="s">
        <v>1235</v>
      </c>
      <c r="AL346" s="491"/>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row>
    <row r="347" spans="1:80" ht="18" customHeight="1" x14ac:dyDescent="0.25">
      <c r="A347" s="486">
        <f t="shared" si="25"/>
        <v>345</v>
      </c>
      <c r="B347" s="486" t="s">
        <v>3800</v>
      </c>
      <c r="C347" s="486">
        <v>2200000136</v>
      </c>
      <c r="D347" s="486" t="s">
        <v>4972</v>
      </c>
      <c r="E347" s="486" t="s">
        <v>1579</v>
      </c>
      <c r="F347" s="486" t="s">
        <v>1578</v>
      </c>
      <c r="G347" s="486" t="s">
        <v>3798</v>
      </c>
      <c r="H347" s="485" t="s">
        <v>1578</v>
      </c>
      <c r="I347" s="486" t="s">
        <v>3798</v>
      </c>
      <c r="J347" s="486" t="s">
        <v>3799</v>
      </c>
      <c r="K347" s="486" t="s">
        <v>1756</v>
      </c>
      <c r="L347" s="486" t="s">
        <v>1473</v>
      </c>
      <c r="M347" s="486" t="s">
        <v>1230</v>
      </c>
      <c r="N347" s="486" t="s">
        <v>1231</v>
      </c>
      <c r="O347" s="486" t="s">
        <v>1232</v>
      </c>
      <c r="P347" s="486" t="s">
        <v>469</v>
      </c>
      <c r="Q347" s="487">
        <v>44280</v>
      </c>
      <c r="R347" s="487">
        <v>45436</v>
      </c>
      <c r="S347" s="488">
        <v>1.5</v>
      </c>
      <c r="T347" s="488">
        <v>0.3</v>
      </c>
      <c r="U347" s="489">
        <v>5000000</v>
      </c>
      <c r="V347" s="489">
        <v>5000000</v>
      </c>
      <c r="W347" s="489">
        <v>5000000</v>
      </c>
      <c r="X347" s="489">
        <f t="shared" si="26"/>
        <v>0</v>
      </c>
      <c r="Y347" s="489">
        <f t="shared" si="27"/>
        <v>0</v>
      </c>
      <c r="Z347" s="489">
        <v>3845174.88</v>
      </c>
      <c r="AA347" s="489">
        <v>4269978.83</v>
      </c>
      <c r="AB347" s="489">
        <v>4269978.83</v>
      </c>
      <c r="AC347" s="489">
        <f t="shared" si="28"/>
        <v>424803.95000000019</v>
      </c>
      <c r="AD347" s="489">
        <f t="shared" si="29"/>
        <v>0</v>
      </c>
      <c r="AE347" s="489">
        <v>730021.17</v>
      </c>
      <c r="AF347" s="489">
        <v>0</v>
      </c>
      <c r="AG347" s="490" t="s">
        <v>1245</v>
      </c>
      <c r="AH347" s="490" t="s">
        <v>1247</v>
      </c>
      <c r="AI347" s="490" t="s">
        <v>1248</v>
      </c>
      <c r="AJ347" s="490" t="s">
        <v>1246</v>
      </c>
      <c r="AK347" s="490" t="s">
        <v>1235</v>
      </c>
      <c r="AL347" s="491"/>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row>
    <row r="348" spans="1:80" ht="18" customHeight="1" x14ac:dyDescent="0.25">
      <c r="A348" s="486">
        <f t="shared" si="25"/>
        <v>346</v>
      </c>
      <c r="B348" s="486" t="s">
        <v>3801</v>
      </c>
      <c r="C348" s="486">
        <v>2100000128</v>
      </c>
      <c r="D348" s="486" t="s">
        <v>4973</v>
      </c>
      <c r="E348" s="486" t="s">
        <v>1579</v>
      </c>
      <c r="F348" s="486" t="s">
        <v>1578</v>
      </c>
      <c r="G348" s="486" t="s">
        <v>3798</v>
      </c>
      <c r="H348" s="485" t="s">
        <v>1578</v>
      </c>
      <c r="I348" s="486" t="s">
        <v>3798</v>
      </c>
      <c r="J348" s="486" t="s">
        <v>3799</v>
      </c>
      <c r="K348" s="486" t="s">
        <v>1756</v>
      </c>
      <c r="L348" s="486" t="s">
        <v>2783</v>
      </c>
      <c r="M348" s="486" t="s">
        <v>1230</v>
      </c>
      <c r="N348" s="486" t="s">
        <v>1231</v>
      </c>
      <c r="O348" s="486" t="s">
        <v>1231</v>
      </c>
      <c r="P348" s="486" t="s">
        <v>469</v>
      </c>
      <c r="Q348" s="487">
        <v>44280</v>
      </c>
      <c r="R348" s="487">
        <v>45436</v>
      </c>
      <c r="S348" s="488">
        <v>1.5</v>
      </c>
      <c r="T348" s="488"/>
      <c r="U348" s="489">
        <v>4242870</v>
      </c>
      <c r="V348" s="489">
        <v>4242870</v>
      </c>
      <c r="W348" s="489">
        <v>4242870</v>
      </c>
      <c r="X348" s="489">
        <f t="shared" si="26"/>
        <v>0</v>
      </c>
      <c r="Y348" s="489">
        <f t="shared" si="27"/>
        <v>0</v>
      </c>
      <c r="Z348" s="489">
        <v>0</v>
      </c>
      <c r="AA348" s="489">
        <v>0</v>
      </c>
      <c r="AB348" s="489">
        <v>0</v>
      </c>
      <c r="AC348" s="489">
        <f t="shared" si="28"/>
        <v>0</v>
      </c>
      <c r="AD348" s="489">
        <f t="shared" si="29"/>
        <v>0</v>
      </c>
      <c r="AE348" s="489">
        <v>0</v>
      </c>
      <c r="AF348" s="489">
        <v>4242870</v>
      </c>
      <c r="AG348" s="490" t="s">
        <v>1245</v>
      </c>
      <c r="AH348" s="490" t="s">
        <v>1247</v>
      </c>
      <c r="AI348" s="490" t="s">
        <v>1248</v>
      </c>
      <c r="AJ348" s="490" t="s">
        <v>1246</v>
      </c>
      <c r="AK348" s="490" t="s">
        <v>1235</v>
      </c>
      <c r="AL348" s="491"/>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row>
    <row r="349" spans="1:80" ht="18" customHeight="1" x14ac:dyDescent="0.25">
      <c r="A349" s="492">
        <f t="shared" si="25"/>
        <v>347</v>
      </c>
      <c r="B349" s="492" t="s">
        <v>3803</v>
      </c>
      <c r="C349" s="492">
        <v>1100000136</v>
      </c>
      <c r="D349" s="492" t="s">
        <v>4974</v>
      </c>
      <c r="E349" s="492" t="s">
        <v>1175</v>
      </c>
      <c r="F349" s="492" t="s">
        <v>1165</v>
      </c>
      <c r="G349" s="492" t="s">
        <v>2757</v>
      </c>
      <c r="H349" s="492" t="s">
        <v>1165</v>
      </c>
      <c r="I349" s="492" t="s">
        <v>2757</v>
      </c>
      <c r="J349" s="492" t="s">
        <v>3802</v>
      </c>
      <c r="K349" s="492" t="s">
        <v>1756</v>
      </c>
      <c r="L349" s="492" t="s">
        <v>2783</v>
      </c>
      <c r="M349" s="493" t="s">
        <v>1230</v>
      </c>
      <c r="N349" s="493" t="s">
        <v>1232</v>
      </c>
      <c r="O349" s="492" t="s">
        <v>1232</v>
      </c>
      <c r="P349" s="492" t="s">
        <v>1156</v>
      </c>
      <c r="Q349" s="494">
        <v>44281</v>
      </c>
      <c r="R349" s="494">
        <v>46107</v>
      </c>
      <c r="S349" s="495">
        <v>1</v>
      </c>
      <c r="T349" s="495"/>
      <c r="U349" s="496">
        <v>2312500</v>
      </c>
      <c r="V349" s="496">
        <v>2312500</v>
      </c>
      <c r="W349" s="496">
        <v>2312500</v>
      </c>
      <c r="X349" s="496">
        <f t="shared" si="26"/>
        <v>0</v>
      </c>
      <c r="Y349" s="496">
        <f t="shared" si="27"/>
        <v>0</v>
      </c>
      <c r="Z349" s="496">
        <v>2312500</v>
      </c>
      <c r="AA349" s="496">
        <v>2312500</v>
      </c>
      <c r="AB349" s="496">
        <v>2312500</v>
      </c>
      <c r="AC349" s="496">
        <f t="shared" si="28"/>
        <v>0</v>
      </c>
      <c r="AD349" s="496">
        <f t="shared" si="29"/>
        <v>0</v>
      </c>
      <c r="AE349" s="496">
        <v>0</v>
      </c>
      <c r="AF349" s="496">
        <v>0</v>
      </c>
      <c r="AG349" s="497" t="s">
        <v>1237</v>
      </c>
      <c r="AH349" s="497" t="s">
        <v>1236</v>
      </c>
      <c r="AI349" s="497"/>
      <c r="AJ349" s="497" t="s">
        <v>1259</v>
      </c>
      <c r="AK349" s="497" t="s">
        <v>1260</v>
      </c>
      <c r="AL349" s="491"/>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row>
    <row r="350" spans="1:80" ht="18" customHeight="1" x14ac:dyDescent="0.25">
      <c r="A350" s="486">
        <f t="shared" si="25"/>
        <v>348</v>
      </c>
      <c r="B350" s="486" t="s">
        <v>4975</v>
      </c>
      <c r="C350" s="486">
        <v>1100000138</v>
      </c>
      <c r="D350" s="486" t="s">
        <v>4976</v>
      </c>
      <c r="E350" s="486" t="s">
        <v>276</v>
      </c>
      <c r="F350" s="486" t="s">
        <v>227</v>
      </c>
      <c r="G350" s="486" t="s">
        <v>1076</v>
      </c>
      <c r="H350" s="485" t="s">
        <v>227</v>
      </c>
      <c r="I350" s="486" t="s">
        <v>1076</v>
      </c>
      <c r="J350" s="486" t="s">
        <v>3804</v>
      </c>
      <c r="K350" s="486" t="s">
        <v>1281</v>
      </c>
      <c r="L350" s="486" t="s">
        <v>2783</v>
      </c>
      <c r="M350" s="486" t="s">
        <v>1230</v>
      </c>
      <c r="N350" s="486" t="s">
        <v>1231</v>
      </c>
      <c r="O350" s="486" t="s">
        <v>1231</v>
      </c>
      <c r="P350" s="486" t="s">
        <v>1156</v>
      </c>
      <c r="Q350" s="487">
        <v>44281</v>
      </c>
      <c r="R350" s="487">
        <v>45377</v>
      </c>
      <c r="S350" s="488">
        <v>1</v>
      </c>
      <c r="T350" s="488"/>
      <c r="U350" s="489">
        <v>11942000</v>
      </c>
      <c r="V350" s="489">
        <v>11942000</v>
      </c>
      <c r="W350" s="489">
        <v>11942000</v>
      </c>
      <c r="X350" s="489">
        <f t="shared" si="26"/>
        <v>0</v>
      </c>
      <c r="Y350" s="489">
        <f t="shared" si="27"/>
        <v>0</v>
      </c>
      <c r="Z350" s="489">
        <v>11942000</v>
      </c>
      <c r="AA350" s="489">
        <v>11942000</v>
      </c>
      <c r="AB350" s="489">
        <v>11942000</v>
      </c>
      <c r="AC350" s="489">
        <f t="shared" si="28"/>
        <v>0</v>
      </c>
      <c r="AD350" s="489">
        <f t="shared" si="29"/>
        <v>0</v>
      </c>
      <c r="AE350" s="489">
        <v>0</v>
      </c>
      <c r="AF350" s="489">
        <v>0</v>
      </c>
      <c r="AG350" s="490" t="s">
        <v>1237</v>
      </c>
      <c r="AH350" s="490" t="s">
        <v>1888</v>
      </c>
      <c r="AI350" s="490" t="s">
        <v>1321</v>
      </c>
      <c r="AJ350" s="490" t="s">
        <v>1279</v>
      </c>
      <c r="AK350" s="490" t="s">
        <v>1260</v>
      </c>
      <c r="AL350" s="491"/>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row>
    <row r="351" spans="1:80" ht="18" customHeight="1" x14ac:dyDescent="0.25">
      <c r="A351" s="486">
        <f t="shared" si="25"/>
        <v>349</v>
      </c>
      <c r="B351" s="486" t="s">
        <v>4977</v>
      </c>
      <c r="C351" s="486">
        <v>1100000137</v>
      </c>
      <c r="D351" s="486" t="s">
        <v>4978</v>
      </c>
      <c r="E351" s="486" t="s">
        <v>276</v>
      </c>
      <c r="F351" s="486" t="s">
        <v>227</v>
      </c>
      <c r="G351" s="486" t="s">
        <v>1076</v>
      </c>
      <c r="H351" s="485" t="s">
        <v>227</v>
      </c>
      <c r="I351" s="486" t="s">
        <v>1076</v>
      </c>
      <c r="J351" s="486" t="s">
        <v>3804</v>
      </c>
      <c r="K351" s="486" t="s">
        <v>1281</v>
      </c>
      <c r="L351" s="486" t="s">
        <v>2783</v>
      </c>
      <c r="M351" s="486" t="s">
        <v>1230</v>
      </c>
      <c r="N351" s="486" t="s">
        <v>1231</v>
      </c>
      <c r="O351" s="486" t="s">
        <v>1232</v>
      </c>
      <c r="P351" s="486" t="s">
        <v>1156</v>
      </c>
      <c r="Q351" s="487">
        <v>44281</v>
      </c>
      <c r="R351" s="487">
        <v>45377</v>
      </c>
      <c r="S351" s="488">
        <v>1</v>
      </c>
      <c r="T351" s="488"/>
      <c r="U351" s="489">
        <v>10500000</v>
      </c>
      <c r="V351" s="489">
        <v>10500000</v>
      </c>
      <c r="W351" s="489">
        <v>10500000</v>
      </c>
      <c r="X351" s="489">
        <f t="shared" si="26"/>
        <v>0</v>
      </c>
      <c r="Y351" s="489">
        <f t="shared" si="27"/>
        <v>0</v>
      </c>
      <c r="Z351" s="489">
        <v>4670000</v>
      </c>
      <c r="AA351" s="489">
        <v>5020000</v>
      </c>
      <c r="AB351" s="489">
        <v>5020000</v>
      </c>
      <c r="AC351" s="489">
        <f t="shared" si="28"/>
        <v>350000</v>
      </c>
      <c r="AD351" s="489">
        <f t="shared" si="29"/>
        <v>0</v>
      </c>
      <c r="AE351" s="489">
        <v>0</v>
      </c>
      <c r="AF351" s="489">
        <v>5480000</v>
      </c>
      <c r="AG351" s="490" t="s">
        <v>1237</v>
      </c>
      <c r="AH351" s="490" t="s">
        <v>1888</v>
      </c>
      <c r="AI351" s="490" t="s">
        <v>1321</v>
      </c>
      <c r="AJ351" s="490" t="s">
        <v>1279</v>
      </c>
      <c r="AK351" s="490" t="s">
        <v>1260</v>
      </c>
      <c r="AL351" s="49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row>
    <row r="352" spans="1:80" ht="18" customHeight="1" x14ac:dyDescent="0.25">
      <c r="A352" s="492">
        <f t="shared" si="25"/>
        <v>350</v>
      </c>
      <c r="B352" s="492" t="s">
        <v>3808</v>
      </c>
      <c r="C352" s="492">
        <v>5200000133</v>
      </c>
      <c r="D352" s="492" t="s">
        <v>4979</v>
      </c>
      <c r="E352" s="492" t="s">
        <v>1587</v>
      </c>
      <c r="F352" s="492" t="s">
        <v>3807</v>
      </c>
      <c r="G352" s="492" t="s">
        <v>3805</v>
      </c>
      <c r="H352" s="492" t="s">
        <v>3807</v>
      </c>
      <c r="I352" s="492" t="s">
        <v>3805</v>
      </c>
      <c r="J352" s="492" t="s">
        <v>3806</v>
      </c>
      <c r="K352" s="492" t="s">
        <v>1756</v>
      </c>
      <c r="L352" s="492" t="s">
        <v>1473</v>
      </c>
      <c r="M352" s="493" t="s">
        <v>1230</v>
      </c>
      <c r="N352" s="493" t="s">
        <v>1232</v>
      </c>
      <c r="O352" s="492" t="s">
        <v>1232</v>
      </c>
      <c r="P352" s="492" t="s">
        <v>469</v>
      </c>
      <c r="Q352" s="494">
        <v>44281</v>
      </c>
      <c r="R352" s="494">
        <v>45400</v>
      </c>
      <c r="S352" s="495">
        <v>1</v>
      </c>
      <c r="T352" s="495">
        <v>0.2</v>
      </c>
      <c r="U352" s="496">
        <v>3915911</v>
      </c>
      <c r="V352" s="496">
        <v>3915911</v>
      </c>
      <c r="W352" s="496">
        <v>3915911</v>
      </c>
      <c r="X352" s="496">
        <f t="shared" si="26"/>
        <v>0</v>
      </c>
      <c r="Y352" s="496">
        <f t="shared" si="27"/>
        <v>0</v>
      </c>
      <c r="Z352" s="496">
        <v>3915911</v>
      </c>
      <c r="AA352" s="496">
        <v>3915911</v>
      </c>
      <c r="AB352" s="496">
        <v>3915911</v>
      </c>
      <c r="AC352" s="496">
        <f t="shared" si="28"/>
        <v>0</v>
      </c>
      <c r="AD352" s="496">
        <f t="shared" si="29"/>
        <v>0</v>
      </c>
      <c r="AE352" s="496">
        <v>0</v>
      </c>
      <c r="AF352" s="496">
        <v>0</v>
      </c>
      <c r="AG352" s="497" t="s">
        <v>1288</v>
      </c>
      <c r="AH352" s="497" t="s">
        <v>1252</v>
      </c>
      <c r="AI352" s="497" t="s">
        <v>1248</v>
      </c>
      <c r="AJ352" s="497" t="s">
        <v>1234</v>
      </c>
      <c r="AK352" s="497" t="s">
        <v>1278</v>
      </c>
      <c r="AL352" s="491"/>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row>
    <row r="353" spans="1:80" ht="18" customHeight="1" x14ac:dyDescent="0.25">
      <c r="A353" s="486">
        <f t="shared" si="25"/>
        <v>351</v>
      </c>
      <c r="B353" s="486" t="s">
        <v>3809</v>
      </c>
      <c r="C353" s="486">
        <v>3200000126</v>
      </c>
      <c r="D353" s="486" t="s">
        <v>4980</v>
      </c>
      <c r="E353" s="486" t="s">
        <v>1461</v>
      </c>
      <c r="F353" s="486" t="s">
        <v>3402</v>
      </c>
      <c r="G353" s="486" t="s">
        <v>3399</v>
      </c>
      <c r="H353" s="485" t="s">
        <v>2607</v>
      </c>
      <c r="I353" s="486" t="s">
        <v>3400</v>
      </c>
      <c r="J353" s="486" t="s">
        <v>3401</v>
      </c>
      <c r="K353" s="486" t="s">
        <v>1756</v>
      </c>
      <c r="L353" s="486" t="s">
        <v>1473</v>
      </c>
      <c r="M353" s="486" t="s">
        <v>1230</v>
      </c>
      <c r="N353" s="486" t="s">
        <v>1231</v>
      </c>
      <c r="O353" s="486" t="s">
        <v>1232</v>
      </c>
      <c r="P353" s="486" t="s">
        <v>469</v>
      </c>
      <c r="Q353" s="487">
        <v>44284</v>
      </c>
      <c r="R353" s="487">
        <v>46022</v>
      </c>
      <c r="S353" s="488">
        <v>1</v>
      </c>
      <c r="T353" s="488">
        <v>0.2</v>
      </c>
      <c r="U353" s="489">
        <v>1500000</v>
      </c>
      <c r="V353" s="489">
        <v>1500000</v>
      </c>
      <c r="W353" s="489">
        <v>1500000</v>
      </c>
      <c r="X353" s="489">
        <f t="shared" si="26"/>
        <v>0</v>
      </c>
      <c r="Y353" s="489">
        <f t="shared" si="27"/>
        <v>0</v>
      </c>
      <c r="Z353" s="489">
        <v>1500000</v>
      </c>
      <c r="AA353" s="489">
        <v>1500000</v>
      </c>
      <c r="AB353" s="489">
        <v>1500000</v>
      </c>
      <c r="AC353" s="489">
        <f t="shared" si="28"/>
        <v>0</v>
      </c>
      <c r="AD353" s="489">
        <f t="shared" si="29"/>
        <v>0</v>
      </c>
      <c r="AE353" s="489">
        <v>0</v>
      </c>
      <c r="AF353" s="489">
        <v>0</v>
      </c>
      <c r="AG353" s="490" t="s">
        <v>1250</v>
      </c>
      <c r="AH353" s="490" t="s">
        <v>1298</v>
      </c>
      <c r="AI353" s="490"/>
      <c r="AJ353" s="490" t="s">
        <v>1234</v>
      </c>
      <c r="AK353" s="490" t="s">
        <v>1278</v>
      </c>
      <c r="AL353" s="491"/>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row>
    <row r="354" spans="1:80" ht="18" customHeight="1" x14ac:dyDescent="0.25">
      <c r="A354" s="486">
        <f t="shared" si="25"/>
        <v>352</v>
      </c>
      <c r="B354" s="486" t="s">
        <v>4981</v>
      </c>
      <c r="C354" s="486">
        <v>2100000129</v>
      </c>
      <c r="D354" s="486" t="s">
        <v>4982</v>
      </c>
      <c r="E354" s="486" t="s">
        <v>1585</v>
      </c>
      <c r="F354" s="486" t="s">
        <v>1584</v>
      </c>
      <c r="G354" s="486" t="s">
        <v>3813</v>
      </c>
      <c r="H354" s="485" t="s">
        <v>2646</v>
      </c>
      <c r="I354" s="486" t="s">
        <v>3814</v>
      </c>
      <c r="J354" s="486" t="s">
        <v>3815</v>
      </c>
      <c r="K354" s="486" t="s">
        <v>1756</v>
      </c>
      <c r="L354" s="486" t="s">
        <v>2783</v>
      </c>
      <c r="M354" s="486" t="s">
        <v>1230</v>
      </c>
      <c r="N354" s="486" t="s">
        <v>1231</v>
      </c>
      <c r="O354" s="486" t="s">
        <v>1232</v>
      </c>
      <c r="P354" s="486" t="s">
        <v>469</v>
      </c>
      <c r="Q354" s="487">
        <v>44286</v>
      </c>
      <c r="R354" s="487">
        <v>45201</v>
      </c>
      <c r="S354" s="488">
        <v>1.5</v>
      </c>
      <c r="T354" s="488"/>
      <c r="U354" s="489">
        <v>24764744</v>
      </c>
      <c r="V354" s="489">
        <v>24764744</v>
      </c>
      <c r="W354" s="489">
        <v>24764744</v>
      </c>
      <c r="X354" s="489">
        <f t="shared" si="26"/>
        <v>0</v>
      </c>
      <c r="Y354" s="489">
        <f t="shared" si="27"/>
        <v>0</v>
      </c>
      <c r="Z354" s="489">
        <v>0</v>
      </c>
      <c r="AA354" s="489">
        <v>0</v>
      </c>
      <c r="AB354" s="489">
        <v>0</v>
      </c>
      <c r="AC354" s="489">
        <f t="shared" si="28"/>
        <v>0</v>
      </c>
      <c r="AD354" s="489">
        <f t="shared" si="29"/>
        <v>0</v>
      </c>
      <c r="AE354" s="489">
        <v>0</v>
      </c>
      <c r="AF354" s="489">
        <v>24764744</v>
      </c>
      <c r="AG354" s="490" t="s">
        <v>1245</v>
      </c>
      <c r="AH354" s="490" t="s">
        <v>1242</v>
      </c>
      <c r="AI354" s="490" t="s">
        <v>1292</v>
      </c>
      <c r="AJ354" s="490" t="s">
        <v>1246</v>
      </c>
      <c r="AK354" s="490" t="s">
        <v>1235</v>
      </c>
      <c r="AL354" s="491"/>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row>
    <row r="355" spans="1:80" ht="18" customHeight="1" x14ac:dyDescent="0.25">
      <c r="A355" s="486">
        <f t="shared" si="25"/>
        <v>353</v>
      </c>
      <c r="B355" s="486" t="s">
        <v>3819</v>
      </c>
      <c r="C355" s="486">
        <v>2100000131</v>
      </c>
      <c r="D355" s="486" t="s">
        <v>4983</v>
      </c>
      <c r="E355" s="486" t="s">
        <v>1586</v>
      </c>
      <c r="F355" s="486" t="s">
        <v>3818</v>
      </c>
      <c r="G355" s="486" t="s">
        <v>3816</v>
      </c>
      <c r="H355" s="485" t="s">
        <v>3818</v>
      </c>
      <c r="I355" s="486" t="s">
        <v>3816</v>
      </c>
      <c r="J355" s="486" t="s">
        <v>3817</v>
      </c>
      <c r="K355" s="486" t="s">
        <v>1756</v>
      </c>
      <c r="L355" s="486" t="s">
        <v>2783</v>
      </c>
      <c r="M355" s="486" t="s">
        <v>1230</v>
      </c>
      <c r="N355" s="486" t="s">
        <v>1231</v>
      </c>
      <c r="O355" s="486" t="s">
        <v>1232</v>
      </c>
      <c r="P355" s="486" t="s">
        <v>469</v>
      </c>
      <c r="Q355" s="487">
        <v>44286</v>
      </c>
      <c r="R355" s="487">
        <v>46876</v>
      </c>
      <c r="S355" s="488">
        <v>1.5</v>
      </c>
      <c r="T355" s="488"/>
      <c r="U355" s="489">
        <v>23678188</v>
      </c>
      <c r="V355" s="489">
        <v>23678188</v>
      </c>
      <c r="W355" s="489">
        <v>23678188</v>
      </c>
      <c r="X355" s="489">
        <f t="shared" si="26"/>
        <v>0</v>
      </c>
      <c r="Y355" s="489">
        <f t="shared" si="27"/>
        <v>0</v>
      </c>
      <c r="Z355" s="489">
        <v>12698809.41</v>
      </c>
      <c r="AA355" s="489">
        <v>13458549.91</v>
      </c>
      <c r="AB355" s="489">
        <v>13458549.91</v>
      </c>
      <c r="AC355" s="489">
        <f t="shared" si="28"/>
        <v>759740.5</v>
      </c>
      <c r="AD355" s="489">
        <f t="shared" si="29"/>
        <v>0</v>
      </c>
      <c r="AE355" s="489">
        <v>10219638.09</v>
      </c>
      <c r="AF355" s="489">
        <v>0</v>
      </c>
      <c r="AG355" s="490" t="s">
        <v>1245</v>
      </c>
      <c r="AH355" s="490" t="s">
        <v>1298</v>
      </c>
      <c r="AI355" s="490"/>
      <c r="AJ355" s="490" t="s">
        <v>1246</v>
      </c>
      <c r="AK355" s="490" t="s">
        <v>1235</v>
      </c>
      <c r="AL355" s="491"/>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row>
    <row r="356" spans="1:80" ht="18" customHeight="1" x14ac:dyDescent="0.25">
      <c r="A356" s="486">
        <f t="shared" si="25"/>
        <v>354</v>
      </c>
      <c r="B356" s="486" t="s">
        <v>3820</v>
      </c>
      <c r="C356" s="486">
        <v>2100000132</v>
      </c>
      <c r="D356" s="486" t="s">
        <v>4984</v>
      </c>
      <c r="E356" s="486" t="s">
        <v>1586</v>
      </c>
      <c r="F356" s="486" t="s">
        <v>3818</v>
      </c>
      <c r="G356" s="486" t="s">
        <v>3816</v>
      </c>
      <c r="H356" s="485" t="s">
        <v>3818</v>
      </c>
      <c r="I356" s="486" t="s">
        <v>3816</v>
      </c>
      <c r="J356" s="486" t="s">
        <v>3817</v>
      </c>
      <c r="K356" s="486" t="s">
        <v>1756</v>
      </c>
      <c r="L356" s="486" t="s">
        <v>2783</v>
      </c>
      <c r="M356" s="486" t="s">
        <v>1230</v>
      </c>
      <c r="N356" s="486" t="s">
        <v>1231</v>
      </c>
      <c r="O356" s="486" t="s">
        <v>1232</v>
      </c>
      <c r="P356" s="486" t="s">
        <v>469</v>
      </c>
      <c r="Q356" s="487">
        <v>44286</v>
      </c>
      <c r="R356" s="487">
        <v>46876</v>
      </c>
      <c r="S356" s="488">
        <v>1.5</v>
      </c>
      <c r="T356" s="488"/>
      <c r="U356" s="489">
        <v>6043147</v>
      </c>
      <c r="V356" s="489">
        <v>6043147</v>
      </c>
      <c r="W356" s="489">
        <v>6043147</v>
      </c>
      <c r="X356" s="489">
        <f t="shared" si="26"/>
        <v>0</v>
      </c>
      <c r="Y356" s="489">
        <f t="shared" si="27"/>
        <v>0</v>
      </c>
      <c r="Z356" s="489">
        <v>3848142.92</v>
      </c>
      <c r="AA356" s="489">
        <v>4280221.83</v>
      </c>
      <c r="AB356" s="489">
        <v>4280221.83</v>
      </c>
      <c r="AC356" s="489">
        <f t="shared" si="28"/>
        <v>432078.91000000015</v>
      </c>
      <c r="AD356" s="489">
        <f t="shared" si="29"/>
        <v>0</v>
      </c>
      <c r="AE356" s="489">
        <v>1762925.1700000002</v>
      </c>
      <c r="AF356" s="489">
        <v>0</v>
      </c>
      <c r="AG356" s="490" t="s">
        <v>1245</v>
      </c>
      <c r="AH356" s="490" t="s">
        <v>1298</v>
      </c>
      <c r="AI356" s="490"/>
      <c r="AJ356" s="490" t="s">
        <v>1246</v>
      </c>
      <c r="AK356" s="490" t="s">
        <v>1235</v>
      </c>
      <c r="AL356" s="491"/>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row>
    <row r="357" spans="1:80" ht="18" customHeight="1" x14ac:dyDescent="0.25">
      <c r="A357" s="485">
        <f t="shared" si="25"/>
        <v>355</v>
      </c>
      <c r="B357" s="485" t="s">
        <v>3823</v>
      </c>
      <c r="C357" s="485">
        <v>2100000136</v>
      </c>
      <c r="D357" s="485" t="s">
        <v>4985</v>
      </c>
      <c r="E357" s="485" t="s">
        <v>1465</v>
      </c>
      <c r="F357" s="485" t="s">
        <v>1464</v>
      </c>
      <c r="G357" s="485" t="s">
        <v>3821</v>
      </c>
      <c r="H357" s="485" t="s">
        <v>1464</v>
      </c>
      <c r="I357" s="485" t="s">
        <v>3821</v>
      </c>
      <c r="J357" s="485" t="s">
        <v>3822</v>
      </c>
      <c r="K357" s="485" t="s">
        <v>1756</v>
      </c>
      <c r="L357" s="485" t="s">
        <v>2783</v>
      </c>
      <c r="M357" s="486" t="s">
        <v>1230</v>
      </c>
      <c r="N357" s="486" t="s">
        <v>1231</v>
      </c>
      <c r="O357" s="485" t="s">
        <v>1231</v>
      </c>
      <c r="P357" s="485" t="s">
        <v>469</v>
      </c>
      <c r="Q357" s="487">
        <v>44287</v>
      </c>
      <c r="R357" s="487">
        <v>44804</v>
      </c>
      <c r="S357" s="488">
        <v>1.5</v>
      </c>
      <c r="T357" s="488"/>
      <c r="U357" s="489">
        <v>35344.129999999997</v>
      </c>
      <c r="V357" s="489">
        <v>35344.129999999997</v>
      </c>
      <c r="W357" s="489">
        <v>35344.129999999997</v>
      </c>
      <c r="X357" s="489">
        <f t="shared" si="26"/>
        <v>0</v>
      </c>
      <c r="Y357" s="489">
        <f t="shared" si="27"/>
        <v>0</v>
      </c>
      <c r="Z357" s="489">
        <v>0</v>
      </c>
      <c r="AA357" s="489">
        <v>0</v>
      </c>
      <c r="AB357" s="489">
        <v>0</v>
      </c>
      <c r="AC357" s="489">
        <f t="shared" si="28"/>
        <v>0</v>
      </c>
      <c r="AD357" s="489">
        <f t="shared" si="29"/>
        <v>0</v>
      </c>
      <c r="AE357" s="489">
        <v>0</v>
      </c>
      <c r="AF357" s="489">
        <v>35344.129999999997</v>
      </c>
      <c r="AG357" s="490" t="s">
        <v>1245</v>
      </c>
      <c r="AH357" s="490" t="s">
        <v>1247</v>
      </c>
      <c r="AI357" s="490" t="s">
        <v>1248</v>
      </c>
      <c r="AJ357" s="490" t="s">
        <v>1246</v>
      </c>
      <c r="AK357" s="490" t="s">
        <v>1235</v>
      </c>
      <c r="AL357" s="491"/>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row>
    <row r="358" spans="1:80" ht="18" customHeight="1" x14ac:dyDescent="0.25">
      <c r="A358" s="485">
        <f t="shared" si="25"/>
        <v>356</v>
      </c>
      <c r="B358" s="485" t="s">
        <v>3824</v>
      </c>
      <c r="C358" s="485">
        <v>2100000135</v>
      </c>
      <c r="D358" s="485" t="s">
        <v>4986</v>
      </c>
      <c r="E358" s="485" t="s">
        <v>1465</v>
      </c>
      <c r="F358" s="485" t="s">
        <v>1464</v>
      </c>
      <c r="G358" s="485" t="s">
        <v>3821</v>
      </c>
      <c r="H358" s="485" t="s">
        <v>1464</v>
      </c>
      <c r="I358" s="485" t="s">
        <v>3821</v>
      </c>
      <c r="J358" s="485" t="s">
        <v>3822</v>
      </c>
      <c r="K358" s="485" t="s">
        <v>1756</v>
      </c>
      <c r="L358" s="485" t="s">
        <v>2783</v>
      </c>
      <c r="M358" s="486" t="s">
        <v>1230</v>
      </c>
      <c r="N358" s="486" t="s">
        <v>1231</v>
      </c>
      <c r="O358" s="485" t="s">
        <v>1231</v>
      </c>
      <c r="P358" s="485" t="s">
        <v>469</v>
      </c>
      <c r="Q358" s="487">
        <v>44287</v>
      </c>
      <c r="R358" s="487">
        <v>44804</v>
      </c>
      <c r="S358" s="488">
        <v>1.5</v>
      </c>
      <c r="T358" s="488"/>
      <c r="U358" s="489">
        <v>6451838.21</v>
      </c>
      <c r="V358" s="489">
        <v>6346876.9000000004</v>
      </c>
      <c r="W358" s="489">
        <v>6246166.5599999996</v>
      </c>
      <c r="X358" s="489">
        <f t="shared" si="26"/>
        <v>-205671.65000000037</v>
      </c>
      <c r="Y358" s="489">
        <f t="shared" si="27"/>
        <v>-100710.34000000078</v>
      </c>
      <c r="Z358" s="489">
        <v>4614698.83</v>
      </c>
      <c r="AA358" s="489">
        <v>4509737.5199999996</v>
      </c>
      <c r="AB358" s="489">
        <v>4840260.18</v>
      </c>
      <c r="AC358" s="489">
        <f t="shared" si="28"/>
        <v>225561.34999999963</v>
      </c>
      <c r="AD358" s="489">
        <f t="shared" si="29"/>
        <v>330522.66000000015</v>
      </c>
      <c r="AE358" s="489">
        <v>0</v>
      </c>
      <c r="AF358" s="489">
        <v>1405906.38</v>
      </c>
      <c r="AG358" s="490" t="s">
        <v>1245</v>
      </c>
      <c r="AH358" s="490" t="s">
        <v>1247</v>
      </c>
      <c r="AI358" s="490" t="s">
        <v>1248</v>
      </c>
      <c r="AJ358" s="490" t="s">
        <v>1246</v>
      </c>
      <c r="AK358" s="490" t="s">
        <v>1235</v>
      </c>
      <c r="AL358" s="491"/>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row>
    <row r="359" spans="1:80" ht="18" customHeight="1" x14ac:dyDescent="0.25">
      <c r="A359" s="485">
        <f t="shared" si="25"/>
        <v>357</v>
      </c>
      <c r="B359" s="485" t="s">
        <v>3825</v>
      </c>
      <c r="C359" s="485">
        <v>2100000137</v>
      </c>
      <c r="D359" s="485" t="s">
        <v>4987</v>
      </c>
      <c r="E359" s="485" t="s">
        <v>1465</v>
      </c>
      <c r="F359" s="485" t="s">
        <v>1464</v>
      </c>
      <c r="G359" s="485" t="s">
        <v>3821</v>
      </c>
      <c r="H359" s="485" t="s">
        <v>1464</v>
      </c>
      <c r="I359" s="485" t="s">
        <v>3821</v>
      </c>
      <c r="J359" s="485" t="s">
        <v>3822</v>
      </c>
      <c r="K359" s="485" t="s">
        <v>1756</v>
      </c>
      <c r="L359" s="485" t="s">
        <v>2783</v>
      </c>
      <c r="M359" s="486" t="s">
        <v>1230</v>
      </c>
      <c r="N359" s="486" t="s">
        <v>1231</v>
      </c>
      <c r="O359" s="485" t="s">
        <v>1231</v>
      </c>
      <c r="P359" s="485" t="s">
        <v>469</v>
      </c>
      <c r="Q359" s="487">
        <v>44287</v>
      </c>
      <c r="R359" s="487">
        <v>44804</v>
      </c>
      <c r="S359" s="488">
        <v>1.5</v>
      </c>
      <c r="T359" s="488"/>
      <c r="U359" s="489">
        <v>376931</v>
      </c>
      <c r="V359" s="489">
        <v>376931</v>
      </c>
      <c r="W359" s="489">
        <v>376931</v>
      </c>
      <c r="X359" s="489">
        <f t="shared" si="26"/>
        <v>0</v>
      </c>
      <c r="Y359" s="489">
        <f t="shared" si="27"/>
        <v>0</v>
      </c>
      <c r="Z359" s="489">
        <v>115559.91</v>
      </c>
      <c r="AA359" s="489">
        <v>117141.95</v>
      </c>
      <c r="AB359" s="489">
        <v>117214.58</v>
      </c>
      <c r="AC359" s="489">
        <f t="shared" si="28"/>
        <v>1654.6699999999983</v>
      </c>
      <c r="AD359" s="489">
        <f t="shared" si="29"/>
        <v>72.630000000004657</v>
      </c>
      <c r="AE359" s="489">
        <v>0</v>
      </c>
      <c r="AF359" s="489">
        <v>259716.42</v>
      </c>
      <c r="AG359" s="490" t="s">
        <v>1245</v>
      </c>
      <c r="AH359" s="490" t="s">
        <v>1247</v>
      </c>
      <c r="AI359" s="490" t="s">
        <v>1248</v>
      </c>
      <c r="AJ359" s="490" t="s">
        <v>1246</v>
      </c>
      <c r="AK359" s="490" t="s">
        <v>1235</v>
      </c>
      <c r="AL359" s="491"/>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row>
    <row r="360" spans="1:80" ht="18" customHeight="1" x14ac:dyDescent="0.25">
      <c r="A360" s="485">
        <f t="shared" si="25"/>
        <v>358</v>
      </c>
      <c r="B360" s="485" t="s">
        <v>3828</v>
      </c>
      <c r="C360" s="485">
        <v>4100000142</v>
      </c>
      <c r="D360" s="485" t="s">
        <v>4988</v>
      </c>
      <c r="E360" s="485" t="s">
        <v>1589</v>
      </c>
      <c r="F360" s="485" t="s">
        <v>1588</v>
      </c>
      <c r="G360" s="485" t="s">
        <v>3826</v>
      </c>
      <c r="H360" s="485" t="s">
        <v>1588</v>
      </c>
      <c r="I360" s="485" t="s">
        <v>3826</v>
      </c>
      <c r="J360" s="485" t="s">
        <v>3827</v>
      </c>
      <c r="K360" s="485" t="s">
        <v>1756</v>
      </c>
      <c r="L360" s="485" t="s">
        <v>2783</v>
      </c>
      <c r="M360" s="486" t="s">
        <v>1230</v>
      </c>
      <c r="N360" s="486" t="s">
        <v>1231</v>
      </c>
      <c r="O360" s="485" t="s">
        <v>1232</v>
      </c>
      <c r="P360" s="485" t="s">
        <v>469</v>
      </c>
      <c r="Q360" s="487">
        <v>44288</v>
      </c>
      <c r="R360" s="487">
        <v>45749</v>
      </c>
      <c r="S360" s="488">
        <v>0.35</v>
      </c>
      <c r="T360" s="488"/>
      <c r="U360" s="489">
        <v>50000000</v>
      </c>
      <c r="V360" s="489">
        <v>50000000</v>
      </c>
      <c r="W360" s="489">
        <v>50000000</v>
      </c>
      <c r="X360" s="489">
        <f t="shared" si="26"/>
        <v>0</v>
      </c>
      <c r="Y360" s="489">
        <f t="shared" si="27"/>
        <v>0</v>
      </c>
      <c r="Z360" s="489">
        <v>43576736.799999997</v>
      </c>
      <c r="AA360" s="489">
        <v>43576736.799999997</v>
      </c>
      <c r="AB360" s="489">
        <v>43576736.799999997</v>
      </c>
      <c r="AC360" s="489">
        <f t="shared" si="28"/>
        <v>0</v>
      </c>
      <c r="AD360" s="489">
        <f t="shared" si="29"/>
        <v>0</v>
      </c>
      <c r="AE360" s="489">
        <v>6423263.2000000002</v>
      </c>
      <c r="AF360" s="489">
        <v>0</v>
      </c>
      <c r="AG360" s="490" t="s">
        <v>1250</v>
      </c>
      <c r="AH360" s="490" t="s">
        <v>1379</v>
      </c>
      <c r="AI360" s="490"/>
      <c r="AJ360" s="490" t="s">
        <v>1234</v>
      </c>
      <c r="AK360" s="490" t="s">
        <v>1251</v>
      </c>
      <c r="AL360" s="491"/>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row>
    <row r="361" spans="1:80" ht="18" customHeight="1" x14ac:dyDescent="0.25">
      <c r="A361" s="492">
        <f t="shared" si="25"/>
        <v>359</v>
      </c>
      <c r="B361" s="492" t="s">
        <v>3832</v>
      </c>
      <c r="C361" s="492">
        <v>5100000106</v>
      </c>
      <c r="D361" s="492" t="s">
        <v>4989</v>
      </c>
      <c r="E361" s="492" t="s">
        <v>1599</v>
      </c>
      <c r="F361" s="492" t="s">
        <v>1598</v>
      </c>
      <c r="G361" s="492" t="s">
        <v>3829</v>
      </c>
      <c r="H361" s="492" t="s">
        <v>2557</v>
      </c>
      <c r="I361" s="492" t="s">
        <v>3830</v>
      </c>
      <c r="J361" s="492" t="s">
        <v>3831</v>
      </c>
      <c r="K361" s="492" t="s">
        <v>1756</v>
      </c>
      <c r="L361" s="492" t="s">
        <v>2783</v>
      </c>
      <c r="M361" s="493" t="s">
        <v>1230</v>
      </c>
      <c r="N361" s="514" t="s">
        <v>1232</v>
      </c>
      <c r="O361" s="492" t="s">
        <v>1231</v>
      </c>
      <c r="P361" s="492" t="s">
        <v>469</v>
      </c>
      <c r="Q361" s="494">
        <v>44293</v>
      </c>
      <c r="R361" s="494">
        <v>44651</v>
      </c>
      <c r="S361" s="495">
        <v>1.5</v>
      </c>
      <c r="T361" s="495"/>
      <c r="U361" s="496">
        <v>14475000</v>
      </c>
      <c r="V361" s="496">
        <v>14475000</v>
      </c>
      <c r="W361" s="496">
        <v>14475000</v>
      </c>
      <c r="X361" s="496">
        <f t="shared" si="26"/>
        <v>0</v>
      </c>
      <c r="Y361" s="496">
        <f t="shared" si="27"/>
        <v>0</v>
      </c>
      <c r="Z361" s="496">
        <v>14012848.539999999</v>
      </c>
      <c r="AA361" s="496">
        <v>14069664.470000001</v>
      </c>
      <c r="AB361" s="496">
        <v>14069664.470000001</v>
      </c>
      <c r="AC361" s="496">
        <f t="shared" si="28"/>
        <v>56815.930000001565</v>
      </c>
      <c r="AD361" s="496">
        <f t="shared" si="29"/>
        <v>0</v>
      </c>
      <c r="AE361" s="496">
        <v>0</v>
      </c>
      <c r="AF361" s="496">
        <v>405335.53</v>
      </c>
      <c r="AG361" s="497" t="s">
        <v>1288</v>
      </c>
      <c r="AH361" s="497" t="s">
        <v>1252</v>
      </c>
      <c r="AI361" s="497" t="s">
        <v>1248</v>
      </c>
      <c r="AJ361" s="497" t="s">
        <v>1234</v>
      </c>
      <c r="AK361" s="497" t="s">
        <v>1235</v>
      </c>
      <c r="AL361" s="49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row>
    <row r="362" spans="1:80" ht="18" customHeight="1" x14ac:dyDescent="0.25">
      <c r="A362" s="486">
        <f t="shared" si="25"/>
        <v>360</v>
      </c>
      <c r="B362" s="486" t="s">
        <v>3835</v>
      </c>
      <c r="C362" s="486">
        <v>2200000138</v>
      </c>
      <c r="D362" s="486" t="s">
        <v>4990</v>
      </c>
      <c r="E362" s="486" t="s">
        <v>1593</v>
      </c>
      <c r="F362" s="486" t="s">
        <v>1592</v>
      </c>
      <c r="G362" s="486" t="s">
        <v>3833</v>
      </c>
      <c r="H362" s="485" t="s">
        <v>2631</v>
      </c>
      <c r="I362" s="486" t="s">
        <v>3662</v>
      </c>
      <c r="J362" s="486" t="s">
        <v>3834</v>
      </c>
      <c r="K362" s="486" t="s">
        <v>1756</v>
      </c>
      <c r="L362" s="486" t="s">
        <v>1473</v>
      </c>
      <c r="M362" s="486" t="s">
        <v>1230</v>
      </c>
      <c r="N362" s="486" t="s">
        <v>1231</v>
      </c>
      <c r="O362" s="486" t="s">
        <v>1232</v>
      </c>
      <c r="P362" s="486" t="s">
        <v>469</v>
      </c>
      <c r="Q362" s="487">
        <v>44295</v>
      </c>
      <c r="R362" s="487">
        <v>45450</v>
      </c>
      <c r="S362" s="488">
        <v>1.5</v>
      </c>
      <c r="T362" s="488">
        <v>0.3</v>
      </c>
      <c r="U362" s="489">
        <v>5000000</v>
      </c>
      <c r="V362" s="489">
        <v>5000000</v>
      </c>
      <c r="W362" s="489">
        <v>5000000</v>
      </c>
      <c r="X362" s="489">
        <f t="shared" si="26"/>
        <v>0</v>
      </c>
      <c r="Y362" s="489">
        <f t="shared" si="27"/>
        <v>0</v>
      </c>
      <c r="Z362" s="489">
        <v>2670239.54</v>
      </c>
      <c r="AA362" s="489">
        <v>3033437.49</v>
      </c>
      <c r="AB362" s="489">
        <v>3033437.49</v>
      </c>
      <c r="AC362" s="489">
        <f t="shared" si="28"/>
        <v>363197.95000000019</v>
      </c>
      <c r="AD362" s="489">
        <f t="shared" si="29"/>
        <v>0</v>
      </c>
      <c r="AE362" s="489">
        <v>1966562.51</v>
      </c>
      <c r="AF362" s="489">
        <v>0</v>
      </c>
      <c r="AG362" s="490" t="s">
        <v>1245</v>
      </c>
      <c r="AH362" s="490" t="s">
        <v>1247</v>
      </c>
      <c r="AI362" s="490" t="s">
        <v>1283</v>
      </c>
      <c r="AJ362" s="490" t="s">
        <v>1246</v>
      </c>
      <c r="AK362" s="490" t="s">
        <v>1235</v>
      </c>
      <c r="AL362" s="491"/>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row>
    <row r="363" spans="1:80" ht="18" customHeight="1" x14ac:dyDescent="0.25">
      <c r="A363" s="486">
        <f t="shared" si="25"/>
        <v>361</v>
      </c>
      <c r="B363" s="486" t="s">
        <v>3836</v>
      </c>
      <c r="C363" s="486">
        <v>2100000138</v>
      </c>
      <c r="D363" s="486" t="s">
        <v>4991</v>
      </c>
      <c r="E363" s="486" t="s">
        <v>1593</v>
      </c>
      <c r="F363" s="486" t="s">
        <v>1592</v>
      </c>
      <c r="G363" s="486" t="s">
        <v>3833</v>
      </c>
      <c r="H363" s="485" t="s">
        <v>2631</v>
      </c>
      <c r="I363" s="486" t="s">
        <v>3662</v>
      </c>
      <c r="J363" s="486" t="s">
        <v>3834</v>
      </c>
      <c r="K363" s="486" t="s">
        <v>1756</v>
      </c>
      <c r="L363" s="486" t="s">
        <v>2783</v>
      </c>
      <c r="M363" s="486" t="s">
        <v>1230</v>
      </c>
      <c r="N363" s="486" t="s">
        <v>1231</v>
      </c>
      <c r="O363" s="486" t="s">
        <v>1231</v>
      </c>
      <c r="P363" s="486" t="s">
        <v>469</v>
      </c>
      <c r="Q363" s="487">
        <v>44295</v>
      </c>
      <c r="R363" s="487">
        <v>45450</v>
      </c>
      <c r="S363" s="488">
        <v>1.5</v>
      </c>
      <c r="T363" s="488"/>
      <c r="U363" s="489">
        <v>73536</v>
      </c>
      <c r="V363" s="489">
        <v>73536</v>
      </c>
      <c r="W363" s="489">
        <v>73536</v>
      </c>
      <c r="X363" s="489">
        <f t="shared" si="26"/>
        <v>0</v>
      </c>
      <c r="Y363" s="489">
        <f t="shared" si="27"/>
        <v>0</v>
      </c>
      <c r="Z363" s="489">
        <v>970.16</v>
      </c>
      <c r="AA363" s="489">
        <v>976.77</v>
      </c>
      <c r="AB363" s="489">
        <v>976.77</v>
      </c>
      <c r="AC363" s="489">
        <f t="shared" si="28"/>
        <v>6.6100000000000136</v>
      </c>
      <c r="AD363" s="489">
        <f t="shared" si="29"/>
        <v>0</v>
      </c>
      <c r="AE363" s="489">
        <v>0</v>
      </c>
      <c r="AF363" s="489">
        <v>72559.23</v>
      </c>
      <c r="AG363" s="490" t="s">
        <v>1245</v>
      </c>
      <c r="AH363" s="490" t="s">
        <v>1247</v>
      </c>
      <c r="AI363" s="490" t="s">
        <v>1283</v>
      </c>
      <c r="AJ363" s="490" t="s">
        <v>1246</v>
      </c>
      <c r="AK363" s="490" t="s">
        <v>1235</v>
      </c>
      <c r="AL363" s="491"/>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row>
    <row r="364" spans="1:80" ht="18" customHeight="1" x14ac:dyDescent="0.25">
      <c r="A364" s="492">
        <f t="shared" si="25"/>
        <v>362</v>
      </c>
      <c r="B364" s="492" t="s">
        <v>3839</v>
      </c>
      <c r="C364" s="492">
        <v>4100000144</v>
      </c>
      <c r="D364" s="492" t="s">
        <v>4992</v>
      </c>
      <c r="E364" s="492" t="s">
        <v>1591</v>
      </c>
      <c r="F364" s="492" t="s">
        <v>1590</v>
      </c>
      <c r="G364" s="492" t="s">
        <v>3837</v>
      </c>
      <c r="H364" s="492" t="s">
        <v>1590</v>
      </c>
      <c r="I364" s="492" t="s">
        <v>3837</v>
      </c>
      <c r="J364" s="492" t="s">
        <v>3838</v>
      </c>
      <c r="K364" s="492" t="s">
        <v>1756</v>
      </c>
      <c r="L364" s="492" t="s">
        <v>2783</v>
      </c>
      <c r="M364" s="493" t="s">
        <v>1230</v>
      </c>
      <c r="N364" s="493" t="s">
        <v>1232</v>
      </c>
      <c r="O364" s="492" t="s">
        <v>1232</v>
      </c>
      <c r="P364" s="492" t="s">
        <v>469</v>
      </c>
      <c r="Q364" s="494">
        <v>44298</v>
      </c>
      <c r="R364" s="494">
        <v>45670</v>
      </c>
      <c r="S364" s="495">
        <v>1</v>
      </c>
      <c r="T364" s="495"/>
      <c r="U364" s="496">
        <v>2042689.03</v>
      </c>
      <c r="V364" s="496">
        <v>2042689.03</v>
      </c>
      <c r="W364" s="496">
        <v>2042689.03</v>
      </c>
      <c r="X364" s="496">
        <f t="shared" si="26"/>
        <v>0</v>
      </c>
      <c r="Y364" s="496">
        <f t="shared" si="27"/>
        <v>0</v>
      </c>
      <c r="Z364" s="496">
        <v>2042689.03</v>
      </c>
      <c r="AA364" s="496">
        <v>2042689.03</v>
      </c>
      <c r="AB364" s="496">
        <v>2042689.03</v>
      </c>
      <c r="AC364" s="496">
        <f t="shared" si="28"/>
        <v>0</v>
      </c>
      <c r="AD364" s="496">
        <f t="shared" si="29"/>
        <v>0</v>
      </c>
      <c r="AE364" s="496">
        <v>0</v>
      </c>
      <c r="AF364" s="496">
        <v>0</v>
      </c>
      <c r="AG364" s="497" t="s">
        <v>1250</v>
      </c>
      <c r="AH364" s="497" t="s">
        <v>1291</v>
      </c>
      <c r="AI364" s="497" t="s">
        <v>1292</v>
      </c>
      <c r="AJ364" s="497" t="s">
        <v>1234</v>
      </c>
      <c r="AK364" s="497" t="s">
        <v>1240</v>
      </c>
      <c r="AL364" s="491"/>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row>
    <row r="365" spans="1:80" ht="18" customHeight="1" x14ac:dyDescent="0.25">
      <c r="A365" s="486">
        <f t="shared" si="25"/>
        <v>363</v>
      </c>
      <c r="B365" s="486" t="s">
        <v>3843</v>
      </c>
      <c r="C365" s="486">
        <v>1100000148</v>
      </c>
      <c r="D365" s="486" t="s">
        <v>4993</v>
      </c>
      <c r="E365" s="486" t="s">
        <v>1596</v>
      </c>
      <c r="F365" s="486" t="s">
        <v>1595</v>
      </c>
      <c r="G365" s="486" t="s">
        <v>3840</v>
      </c>
      <c r="H365" s="485" t="s">
        <v>2648</v>
      </c>
      <c r="I365" s="486" t="s">
        <v>3841</v>
      </c>
      <c r="J365" s="486" t="s">
        <v>3842</v>
      </c>
      <c r="K365" s="486" t="s">
        <v>1756</v>
      </c>
      <c r="L365" s="486" t="s">
        <v>2783</v>
      </c>
      <c r="M365" s="486" t="s">
        <v>1230</v>
      </c>
      <c r="N365" s="486" t="s">
        <v>1231</v>
      </c>
      <c r="O365" s="486" t="s">
        <v>1231</v>
      </c>
      <c r="P365" s="486" t="s">
        <v>1156</v>
      </c>
      <c r="Q365" s="487">
        <v>44298</v>
      </c>
      <c r="R365" s="487">
        <v>46342</v>
      </c>
      <c r="S365" s="488">
        <v>1.5</v>
      </c>
      <c r="T365" s="488"/>
      <c r="U365" s="489">
        <v>6409736</v>
      </c>
      <c r="V365" s="489">
        <v>6409736</v>
      </c>
      <c r="W365" s="489">
        <v>6409736</v>
      </c>
      <c r="X365" s="489">
        <f t="shared" si="26"/>
        <v>0</v>
      </c>
      <c r="Y365" s="489">
        <f t="shared" si="27"/>
        <v>0</v>
      </c>
      <c r="Z365" s="489">
        <v>3333090.95</v>
      </c>
      <c r="AA365" s="489">
        <v>3655600.07</v>
      </c>
      <c r="AB365" s="489">
        <v>3675697.23</v>
      </c>
      <c r="AC365" s="489">
        <f t="shared" si="28"/>
        <v>342606.2799999998</v>
      </c>
      <c r="AD365" s="489">
        <f t="shared" si="29"/>
        <v>20097.160000000149</v>
      </c>
      <c r="AE365" s="489">
        <v>0</v>
      </c>
      <c r="AF365" s="489">
        <v>2734038.77</v>
      </c>
      <c r="AG365" s="490" t="s">
        <v>1237</v>
      </c>
      <c r="AH365" s="490" t="s">
        <v>1236</v>
      </c>
      <c r="AI365" s="490"/>
      <c r="AJ365" s="490" t="s">
        <v>1259</v>
      </c>
      <c r="AK365" s="490" t="s">
        <v>1235</v>
      </c>
      <c r="AL365" s="491"/>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row>
    <row r="366" spans="1:80" ht="18" customHeight="1" x14ac:dyDescent="0.25">
      <c r="A366" s="486">
        <f t="shared" si="25"/>
        <v>364</v>
      </c>
      <c r="B366" s="486" t="s">
        <v>3847</v>
      </c>
      <c r="C366" s="486">
        <v>1200000117</v>
      </c>
      <c r="D366" s="486" t="s">
        <v>4994</v>
      </c>
      <c r="E366" s="486" t="s">
        <v>3845</v>
      </c>
      <c r="F366" s="486" t="s">
        <v>3846</v>
      </c>
      <c r="G366" s="486" t="s">
        <v>2769</v>
      </c>
      <c r="H366" s="485" t="s">
        <v>2648</v>
      </c>
      <c r="I366" s="486" t="s">
        <v>3841</v>
      </c>
      <c r="J366" s="486" t="s">
        <v>3844</v>
      </c>
      <c r="K366" s="486" t="s">
        <v>1756</v>
      </c>
      <c r="L366" s="486" t="s">
        <v>1473</v>
      </c>
      <c r="M366" s="486" t="s">
        <v>1230</v>
      </c>
      <c r="N366" s="486" t="s">
        <v>1231</v>
      </c>
      <c r="O366" s="486" t="s">
        <v>1232</v>
      </c>
      <c r="P366" s="486" t="s">
        <v>1156</v>
      </c>
      <c r="Q366" s="487">
        <v>44298</v>
      </c>
      <c r="R366" s="487">
        <v>46489</v>
      </c>
      <c r="S366" s="488">
        <v>1</v>
      </c>
      <c r="T366" s="488">
        <v>0.2</v>
      </c>
      <c r="U366" s="489">
        <v>3000000</v>
      </c>
      <c r="V366" s="489">
        <v>3000000</v>
      </c>
      <c r="W366" s="489">
        <v>3000000</v>
      </c>
      <c r="X366" s="489">
        <f t="shared" si="26"/>
        <v>0</v>
      </c>
      <c r="Y366" s="489">
        <f t="shared" si="27"/>
        <v>0</v>
      </c>
      <c r="Z366" s="489">
        <v>3000000</v>
      </c>
      <c r="AA366" s="489">
        <v>3000000</v>
      </c>
      <c r="AB366" s="489">
        <v>3000000</v>
      </c>
      <c r="AC366" s="489">
        <f t="shared" si="28"/>
        <v>0</v>
      </c>
      <c r="AD366" s="489">
        <f t="shared" si="29"/>
        <v>0</v>
      </c>
      <c r="AE366" s="489">
        <v>0</v>
      </c>
      <c r="AF366" s="489">
        <v>0</v>
      </c>
      <c r="AG366" s="490" t="s">
        <v>1237</v>
      </c>
      <c r="AH366" s="490" t="s">
        <v>1236</v>
      </c>
      <c r="AI366" s="490"/>
      <c r="AJ366" s="490" t="s">
        <v>1259</v>
      </c>
      <c r="AK366" s="490" t="s">
        <v>1260</v>
      </c>
      <c r="AL366" s="491"/>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row>
    <row r="367" spans="1:80" ht="18" customHeight="1" x14ac:dyDescent="0.25">
      <c r="A367" s="486">
        <f t="shared" si="25"/>
        <v>365</v>
      </c>
      <c r="B367" s="486" t="s">
        <v>3848</v>
      </c>
      <c r="C367" s="486">
        <v>1100000150</v>
      </c>
      <c r="D367" s="486" t="s">
        <v>4995</v>
      </c>
      <c r="E367" s="486" t="s">
        <v>3845</v>
      </c>
      <c r="F367" s="486" t="s">
        <v>3846</v>
      </c>
      <c r="G367" s="486" t="s">
        <v>2769</v>
      </c>
      <c r="H367" s="485" t="s">
        <v>2648</v>
      </c>
      <c r="I367" s="486" t="s">
        <v>3841</v>
      </c>
      <c r="J367" s="486" t="s">
        <v>3844</v>
      </c>
      <c r="K367" s="486" t="s">
        <v>1756</v>
      </c>
      <c r="L367" s="486" t="s">
        <v>2783</v>
      </c>
      <c r="M367" s="486" t="s">
        <v>1230</v>
      </c>
      <c r="N367" s="486" t="s">
        <v>1231</v>
      </c>
      <c r="O367" s="486" t="s">
        <v>1232</v>
      </c>
      <c r="P367" s="486" t="s">
        <v>1156</v>
      </c>
      <c r="Q367" s="487">
        <v>44298</v>
      </c>
      <c r="R367" s="487">
        <v>46125</v>
      </c>
      <c r="S367" s="488">
        <v>1</v>
      </c>
      <c r="T367" s="488"/>
      <c r="U367" s="489">
        <v>3305721.9</v>
      </c>
      <c r="V367" s="489">
        <v>3305721.9</v>
      </c>
      <c r="W367" s="489">
        <v>3300873.9</v>
      </c>
      <c r="X367" s="489">
        <f t="shared" si="26"/>
        <v>-4848</v>
      </c>
      <c r="Y367" s="489">
        <f t="shared" si="27"/>
        <v>-4848</v>
      </c>
      <c r="Z367" s="489">
        <v>3305721.9</v>
      </c>
      <c r="AA367" s="489">
        <v>3305721.9</v>
      </c>
      <c r="AB367" s="489">
        <v>3300873.9</v>
      </c>
      <c r="AC367" s="489">
        <f t="shared" si="28"/>
        <v>-4848</v>
      </c>
      <c r="AD367" s="489">
        <f t="shared" si="29"/>
        <v>-4848</v>
      </c>
      <c r="AE367" s="489">
        <v>0</v>
      </c>
      <c r="AF367" s="489">
        <v>0</v>
      </c>
      <c r="AG367" s="490" t="s">
        <v>1237</v>
      </c>
      <c r="AH367" s="490" t="s">
        <v>1236</v>
      </c>
      <c r="AI367" s="490"/>
      <c r="AJ367" s="490" t="s">
        <v>1259</v>
      </c>
      <c r="AK367" s="490" t="s">
        <v>1260</v>
      </c>
      <c r="AL367" s="491"/>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row>
    <row r="368" spans="1:80" ht="18" customHeight="1" x14ac:dyDescent="0.25">
      <c r="A368" s="492">
        <f t="shared" si="25"/>
        <v>366</v>
      </c>
      <c r="B368" s="492" t="s">
        <v>3852</v>
      </c>
      <c r="C368" s="492">
        <v>2100000139</v>
      </c>
      <c r="D368" s="492" t="s">
        <v>4996</v>
      </c>
      <c r="E368" s="492" t="s">
        <v>1594</v>
      </c>
      <c r="F368" s="492" t="s">
        <v>3851</v>
      </c>
      <c r="G368" s="492" t="s">
        <v>3849</v>
      </c>
      <c r="H368" s="492" t="s">
        <v>2624</v>
      </c>
      <c r="I368" s="492" t="s">
        <v>3589</v>
      </c>
      <c r="J368" s="492" t="s">
        <v>3850</v>
      </c>
      <c r="K368" s="492" t="s">
        <v>1756</v>
      </c>
      <c r="L368" s="492" t="s">
        <v>2783</v>
      </c>
      <c r="M368" s="493" t="s">
        <v>1230</v>
      </c>
      <c r="N368" s="514" t="s">
        <v>1232</v>
      </c>
      <c r="O368" s="492" t="s">
        <v>1231</v>
      </c>
      <c r="P368" s="492" t="s">
        <v>469</v>
      </c>
      <c r="Q368" s="494">
        <v>44299</v>
      </c>
      <c r="R368" s="494">
        <v>45194</v>
      </c>
      <c r="S368" s="495">
        <v>1.5</v>
      </c>
      <c r="T368" s="495"/>
      <c r="U368" s="496">
        <v>3253825</v>
      </c>
      <c r="V368" s="496">
        <v>3253825</v>
      </c>
      <c r="W368" s="496">
        <v>3253825</v>
      </c>
      <c r="X368" s="496">
        <f t="shared" si="26"/>
        <v>0</v>
      </c>
      <c r="Y368" s="496">
        <f t="shared" si="27"/>
        <v>0</v>
      </c>
      <c r="Z368" s="496">
        <v>1353328.11</v>
      </c>
      <c r="AA368" s="496">
        <v>1581292.86</v>
      </c>
      <c r="AB368" s="496">
        <v>1589400.87</v>
      </c>
      <c r="AC368" s="496">
        <f t="shared" si="28"/>
        <v>236072.76</v>
      </c>
      <c r="AD368" s="496">
        <f t="shared" si="29"/>
        <v>8108.0100000000093</v>
      </c>
      <c r="AE368" s="496">
        <v>0</v>
      </c>
      <c r="AF368" s="496">
        <v>1664424.13</v>
      </c>
      <c r="AG368" s="497" t="s">
        <v>1245</v>
      </c>
      <c r="AH368" s="497" t="s">
        <v>1247</v>
      </c>
      <c r="AI368" s="497" t="s">
        <v>1248</v>
      </c>
      <c r="AJ368" s="497" t="s">
        <v>1246</v>
      </c>
      <c r="AK368" s="497" t="s">
        <v>1235</v>
      </c>
      <c r="AL368" s="491"/>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c r="BV368"/>
      <c r="BW368"/>
      <c r="BX368"/>
      <c r="BY368"/>
      <c r="BZ368"/>
      <c r="CA368"/>
      <c r="CB368"/>
    </row>
    <row r="369" spans="1:80" ht="18" customHeight="1" x14ac:dyDescent="0.25">
      <c r="A369" s="492">
        <f t="shared" si="25"/>
        <v>367</v>
      </c>
      <c r="B369" s="492" t="s">
        <v>3856</v>
      </c>
      <c r="C369" s="492">
        <v>2200000139</v>
      </c>
      <c r="D369" s="492" t="s">
        <v>4997</v>
      </c>
      <c r="E369" s="492" t="s">
        <v>3855</v>
      </c>
      <c r="F369" s="492" t="s">
        <v>2647</v>
      </c>
      <c r="G369" s="492" t="s">
        <v>3853</v>
      </c>
      <c r="H369" s="492" t="s">
        <v>2647</v>
      </c>
      <c r="I369" s="492" t="s">
        <v>3853</v>
      </c>
      <c r="J369" s="492" t="s">
        <v>3854</v>
      </c>
      <c r="K369" s="492" t="s">
        <v>1756</v>
      </c>
      <c r="L369" s="492" t="s">
        <v>1473</v>
      </c>
      <c r="M369" s="493" t="s">
        <v>1230</v>
      </c>
      <c r="N369" s="493" t="s">
        <v>1232</v>
      </c>
      <c r="O369" s="492" t="s">
        <v>1232</v>
      </c>
      <c r="P369" s="492" t="s">
        <v>469</v>
      </c>
      <c r="Q369" s="494">
        <v>44301</v>
      </c>
      <c r="R369" s="494">
        <v>45449</v>
      </c>
      <c r="S369" s="495">
        <v>1</v>
      </c>
      <c r="T369" s="495">
        <v>0.2</v>
      </c>
      <c r="U369" s="496">
        <v>1948614</v>
      </c>
      <c r="V369" s="496">
        <v>1948614</v>
      </c>
      <c r="W369" s="496">
        <v>1948614</v>
      </c>
      <c r="X369" s="496">
        <f t="shared" si="26"/>
        <v>0</v>
      </c>
      <c r="Y369" s="496">
        <f t="shared" si="27"/>
        <v>0</v>
      </c>
      <c r="Z369" s="496">
        <v>1639354.64</v>
      </c>
      <c r="AA369" s="496">
        <v>1639354.64</v>
      </c>
      <c r="AB369" s="496">
        <v>1690328.64</v>
      </c>
      <c r="AC369" s="496">
        <f t="shared" si="28"/>
        <v>50974</v>
      </c>
      <c r="AD369" s="496">
        <f t="shared" si="29"/>
        <v>50974</v>
      </c>
      <c r="AE369" s="496">
        <v>258285.36</v>
      </c>
      <c r="AF369" s="496">
        <v>0</v>
      </c>
      <c r="AG369" s="497" t="s">
        <v>1245</v>
      </c>
      <c r="AH369" s="497" t="s">
        <v>1247</v>
      </c>
      <c r="AI369" s="497" t="s">
        <v>1248</v>
      </c>
      <c r="AJ369" s="497" t="s">
        <v>1246</v>
      </c>
      <c r="AK369" s="497" t="s">
        <v>1278</v>
      </c>
      <c r="AL369" s="491"/>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row>
    <row r="370" spans="1:80" ht="18" customHeight="1" x14ac:dyDescent="0.25">
      <c r="A370" s="492">
        <f t="shared" si="25"/>
        <v>368</v>
      </c>
      <c r="B370" s="492" t="s">
        <v>3859</v>
      </c>
      <c r="C370" s="492">
        <v>1100000156</v>
      </c>
      <c r="D370" s="492" t="s">
        <v>4998</v>
      </c>
      <c r="E370" s="492" t="s">
        <v>1597</v>
      </c>
      <c r="F370" s="492" t="s">
        <v>2649</v>
      </c>
      <c r="G370" s="492" t="s">
        <v>3857</v>
      </c>
      <c r="H370" s="492" t="s">
        <v>2649</v>
      </c>
      <c r="I370" s="492" t="s">
        <v>3857</v>
      </c>
      <c r="J370" s="492" t="s">
        <v>3858</v>
      </c>
      <c r="K370" s="492" t="s">
        <v>1756</v>
      </c>
      <c r="L370" s="492" t="s">
        <v>2783</v>
      </c>
      <c r="M370" s="493" t="s">
        <v>1230</v>
      </c>
      <c r="N370" s="493" t="s">
        <v>1232</v>
      </c>
      <c r="O370" s="492" t="s">
        <v>1232</v>
      </c>
      <c r="P370" s="492" t="s">
        <v>1156</v>
      </c>
      <c r="Q370" s="494">
        <v>44302</v>
      </c>
      <c r="R370" s="494">
        <v>46133</v>
      </c>
      <c r="S370" s="495">
        <v>1</v>
      </c>
      <c r="T370" s="495"/>
      <c r="U370" s="496">
        <v>13000000</v>
      </c>
      <c r="V370" s="496">
        <v>13000000</v>
      </c>
      <c r="W370" s="496">
        <v>13000000</v>
      </c>
      <c r="X370" s="496">
        <f t="shared" si="26"/>
        <v>0</v>
      </c>
      <c r="Y370" s="496">
        <f t="shared" si="27"/>
        <v>0</v>
      </c>
      <c r="Z370" s="496">
        <v>6205972.7699999996</v>
      </c>
      <c r="AA370" s="496">
        <v>7416006.5300000003</v>
      </c>
      <c r="AB370" s="496">
        <v>7416006.5300000003</v>
      </c>
      <c r="AC370" s="496">
        <f t="shared" si="28"/>
        <v>1210033.7600000007</v>
      </c>
      <c r="AD370" s="496">
        <f t="shared" si="29"/>
        <v>0</v>
      </c>
      <c r="AE370" s="496">
        <v>5583993.4700000007</v>
      </c>
      <c r="AF370" s="496">
        <v>0</v>
      </c>
      <c r="AG370" s="497" t="s">
        <v>1237</v>
      </c>
      <c r="AH370" s="497" t="s">
        <v>1236</v>
      </c>
      <c r="AI370" s="497"/>
      <c r="AJ370" s="497" t="s">
        <v>1259</v>
      </c>
      <c r="AK370" s="497" t="s">
        <v>1260</v>
      </c>
      <c r="AL370" s="491"/>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c r="BV370"/>
      <c r="BW370"/>
      <c r="BX370"/>
      <c r="BY370"/>
      <c r="BZ370"/>
      <c r="CA370"/>
      <c r="CB370"/>
    </row>
    <row r="371" spans="1:80" ht="18" customHeight="1" x14ac:dyDescent="0.25">
      <c r="A371" s="486">
        <f t="shared" si="25"/>
        <v>369</v>
      </c>
      <c r="B371" s="486" t="s">
        <v>3863</v>
      </c>
      <c r="C371" s="486">
        <v>2200000140</v>
      </c>
      <c r="D371" s="486" t="s">
        <v>4999</v>
      </c>
      <c r="E371" s="486" t="s">
        <v>1604</v>
      </c>
      <c r="F371" s="486" t="s">
        <v>3862</v>
      </c>
      <c r="G371" s="486" t="s">
        <v>3860</v>
      </c>
      <c r="H371" s="485" t="s">
        <v>3862</v>
      </c>
      <c r="I371" s="486" t="s">
        <v>3860</v>
      </c>
      <c r="J371" s="486" t="s">
        <v>3861</v>
      </c>
      <c r="K371" s="486" t="s">
        <v>1756</v>
      </c>
      <c r="L371" s="486" t="s">
        <v>1473</v>
      </c>
      <c r="M371" s="486" t="s">
        <v>1230</v>
      </c>
      <c r="N371" s="486" t="s">
        <v>1231</v>
      </c>
      <c r="O371" s="486" t="s">
        <v>1232</v>
      </c>
      <c r="P371" s="486" t="s">
        <v>469</v>
      </c>
      <c r="Q371" s="487">
        <v>44306</v>
      </c>
      <c r="R371" s="487">
        <v>45036</v>
      </c>
      <c r="S371" s="488">
        <v>1.5</v>
      </c>
      <c r="T371" s="488">
        <v>0.3</v>
      </c>
      <c r="U371" s="489">
        <v>5000000</v>
      </c>
      <c r="V371" s="489">
        <v>5000000</v>
      </c>
      <c r="W371" s="489">
        <v>5000000</v>
      </c>
      <c r="X371" s="489">
        <f t="shared" si="26"/>
        <v>0</v>
      </c>
      <c r="Y371" s="489">
        <f t="shared" si="27"/>
        <v>0</v>
      </c>
      <c r="Z371" s="489">
        <v>5000000</v>
      </c>
      <c r="AA371" s="489">
        <v>5000000</v>
      </c>
      <c r="AB371" s="489">
        <v>5000000</v>
      </c>
      <c r="AC371" s="489">
        <f t="shared" si="28"/>
        <v>0</v>
      </c>
      <c r="AD371" s="489">
        <f t="shared" si="29"/>
        <v>0</v>
      </c>
      <c r="AE371" s="489">
        <v>0</v>
      </c>
      <c r="AF371" s="489">
        <v>0</v>
      </c>
      <c r="AG371" s="490" t="s">
        <v>1245</v>
      </c>
      <c r="AH371" s="490" t="s">
        <v>1247</v>
      </c>
      <c r="AI371" s="490" t="s">
        <v>1248</v>
      </c>
      <c r="AJ371" s="490" t="s">
        <v>1246</v>
      </c>
      <c r="AK371" s="490" t="s">
        <v>1235</v>
      </c>
      <c r="AL371" s="49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row>
    <row r="372" spans="1:80" ht="18" customHeight="1" x14ac:dyDescent="0.25">
      <c r="A372" s="486">
        <f t="shared" si="25"/>
        <v>370</v>
      </c>
      <c r="B372" s="486" t="s">
        <v>3864</v>
      </c>
      <c r="C372" s="486">
        <v>2100000142</v>
      </c>
      <c r="D372" s="486" t="s">
        <v>5000</v>
      </c>
      <c r="E372" s="486" t="s">
        <v>1604</v>
      </c>
      <c r="F372" s="486" t="s">
        <v>3862</v>
      </c>
      <c r="G372" s="486" t="s">
        <v>3860</v>
      </c>
      <c r="H372" s="485" t="s">
        <v>3862</v>
      </c>
      <c r="I372" s="486" t="s">
        <v>3860</v>
      </c>
      <c r="J372" s="486" t="s">
        <v>3861</v>
      </c>
      <c r="K372" s="486" t="s">
        <v>1756</v>
      </c>
      <c r="L372" s="486" t="s">
        <v>2783</v>
      </c>
      <c r="M372" s="486" t="s">
        <v>1230</v>
      </c>
      <c r="N372" s="486" t="s">
        <v>1231</v>
      </c>
      <c r="O372" s="486" t="s">
        <v>1231</v>
      </c>
      <c r="P372" s="486" t="s">
        <v>469</v>
      </c>
      <c r="Q372" s="487">
        <v>44306</v>
      </c>
      <c r="R372" s="487">
        <v>45036</v>
      </c>
      <c r="S372" s="488">
        <v>1.5</v>
      </c>
      <c r="T372" s="488"/>
      <c r="U372" s="489">
        <v>13127117</v>
      </c>
      <c r="V372" s="489">
        <v>13127117</v>
      </c>
      <c r="W372" s="489">
        <v>13127117</v>
      </c>
      <c r="X372" s="489">
        <f t="shared" si="26"/>
        <v>0</v>
      </c>
      <c r="Y372" s="489">
        <f t="shared" si="27"/>
        <v>0</v>
      </c>
      <c r="Z372" s="489">
        <v>2314301.4</v>
      </c>
      <c r="AA372" s="489">
        <v>2527114.14</v>
      </c>
      <c r="AB372" s="489">
        <v>2527114.14</v>
      </c>
      <c r="AC372" s="489">
        <f t="shared" si="28"/>
        <v>212812.74000000022</v>
      </c>
      <c r="AD372" s="489">
        <f t="shared" si="29"/>
        <v>0</v>
      </c>
      <c r="AE372" s="489">
        <v>0</v>
      </c>
      <c r="AF372" s="489">
        <v>10600002.859999999</v>
      </c>
      <c r="AG372" s="490" t="s">
        <v>1245</v>
      </c>
      <c r="AH372" s="490" t="s">
        <v>1247</v>
      </c>
      <c r="AI372" s="490" t="s">
        <v>1248</v>
      </c>
      <c r="AJ372" s="490" t="s">
        <v>1246</v>
      </c>
      <c r="AK372" s="490" t="s">
        <v>1235</v>
      </c>
      <c r="AL372" s="491"/>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c r="BV372"/>
      <c r="BW372"/>
      <c r="BX372"/>
      <c r="BY372"/>
      <c r="BZ372"/>
      <c r="CA372"/>
      <c r="CB372"/>
    </row>
    <row r="373" spans="1:80" ht="18" customHeight="1" x14ac:dyDescent="0.25">
      <c r="A373" s="486">
        <f t="shared" si="25"/>
        <v>371</v>
      </c>
      <c r="B373" s="486" t="s">
        <v>1168</v>
      </c>
      <c r="C373" s="486">
        <v>1200000118</v>
      </c>
      <c r="D373" s="486" t="s">
        <v>5001</v>
      </c>
      <c r="E373" s="486" t="s">
        <v>1178</v>
      </c>
      <c r="F373" s="486" t="s">
        <v>1602</v>
      </c>
      <c r="G373" s="486" t="s">
        <v>3865</v>
      </c>
      <c r="H373" s="485" t="s">
        <v>1602</v>
      </c>
      <c r="I373" s="486" t="s">
        <v>3865</v>
      </c>
      <c r="J373" s="486" t="s">
        <v>3866</v>
      </c>
      <c r="K373" s="486" t="s">
        <v>1756</v>
      </c>
      <c r="L373" s="486" t="s">
        <v>1473</v>
      </c>
      <c r="M373" s="486" t="s">
        <v>1230</v>
      </c>
      <c r="N373" s="486" t="s">
        <v>1231</v>
      </c>
      <c r="O373" s="486" t="s">
        <v>1232</v>
      </c>
      <c r="P373" s="486" t="s">
        <v>1156</v>
      </c>
      <c r="Q373" s="487">
        <v>44307</v>
      </c>
      <c r="R373" s="487">
        <v>46139</v>
      </c>
      <c r="S373" s="488">
        <v>1</v>
      </c>
      <c r="T373" s="488">
        <v>0.2</v>
      </c>
      <c r="U373" s="489">
        <v>5000000</v>
      </c>
      <c r="V373" s="489">
        <v>5000000</v>
      </c>
      <c r="W373" s="489">
        <v>5000000</v>
      </c>
      <c r="X373" s="489">
        <f t="shared" si="26"/>
        <v>0</v>
      </c>
      <c r="Y373" s="489">
        <f t="shared" si="27"/>
        <v>0</v>
      </c>
      <c r="Z373" s="489">
        <v>5000000</v>
      </c>
      <c r="AA373" s="489">
        <v>5000000</v>
      </c>
      <c r="AB373" s="489">
        <v>5000000</v>
      </c>
      <c r="AC373" s="489">
        <f t="shared" si="28"/>
        <v>0</v>
      </c>
      <c r="AD373" s="489">
        <f t="shared" si="29"/>
        <v>0</v>
      </c>
      <c r="AE373" s="489">
        <v>0</v>
      </c>
      <c r="AF373" s="489">
        <v>0</v>
      </c>
      <c r="AG373" s="490" t="s">
        <v>1237</v>
      </c>
      <c r="AH373" s="490" t="s">
        <v>1305</v>
      </c>
      <c r="AI373" s="490"/>
      <c r="AJ373" s="490" t="s">
        <v>1319</v>
      </c>
      <c r="AK373" s="490" t="s">
        <v>1260</v>
      </c>
      <c r="AL373" s="491"/>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row>
    <row r="374" spans="1:80" ht="18" customHeight="1" x14ac:dyDescent="0.25">
      <c r="A374" s="486">
        <f t="shared" si="25"/>
        <v>372</v>
      </c>
      <c r="B374" s="486" t="s">
        <v>1169</v>
      </c>
      <c r="C374" s="486">
        <v>1100000157</v>
      </c>
      <c r="D374" s="486" t="s">
        <v>5002</v>
      </c>
      <c r="E374" s="486" t="s">
        <v>1178</v>
      </c>
      <c r="F374" s="486" t="s">
        <v>1602</v>
      </c>
      <c r="G374" s="486" t="s">
        <v>3865</v>
      </c>
      <c r="H374" s="485" t="s">
        <v>1602</v>
      </c>
      <c r="I374" s="486" t="s">
        <v>3865</v>
      </c>
      <c r="J374" s="486" t="s">
        <v>3866</v>
      </c>
      <c r="K374" s="486" t="s">
        <v>1281</v>
      </c>
      <c r="L374" s="486" t="s">
        <v>2783</v>
      </c>
      <c r="M374" s="486" t="s">
        <v>1230</v>
      </c>
      <c r="N374" s="486" t="s">
        <v>1231</v>
      </c>
      <c r="O374" s="486" t="s">
        <v>1232</v>
      </c>
      <c r="P374" s="486" t="s">
        <v>1156</v>
      </c>
      <c r="Q374" s="487">
        <v>44307</v>
      </c>
      <c r="R374" s="487">
        <v>46139</v>
      </c>
      <c r="S374" s="488">
        <v>1</v>
      </c>
      <c r="T374" s="488"/>
      <c r="U374" s="489">
        <v>1500000</v>
      </c>
      <c r="V374" s="489">
        <v>1500000</v>
      </c>
      <c r="W374" s="489">
        <v>1500000</v>
      </c>
      <c r="X374" s="489">
        <f t="shared" si="26"/>
        <v>0</v>
      </c>
      <c r="Y374" s="489">
        <f t="shared" si="27"/>
        <v>0</v>
      </c>
      <c r="Z374" s="489">
        <v>1500000</v>
      </c>
      <c r="AA374" s="489">
        <v>1500000</v>
      </c>
      <c r="AB374" s="489">
        <v>1500000</v>
      </c>
      <c r="AC374" s="489">
        <f t="shared" si="28"/>
        <v>0</v>
      </c>
      <c r="AD374" s="489">
        <f t="shared" si="29"/>
        <v>0</v>
      </c>
      <c r="AE374" s="489">
        <v>0</v>
      </c>
      <c r="AF374" s="489">
        <v>0</v>
      </c>
      <c r="AG374" s="490" t="s">
        <v>1237</v>
      </c>
      <c r="AH374" s="490" t="s">
        <v>1305</v>
      </c>
      <c r="AI374" s="490"/>
      <c r="AJ374" s="490" t="s">
        <v>1319</v>
      </c>
      <c r="AK374" s="490" t="s">
        <v>1260</v>
      </c>
      <c r="AL374" s="491"/>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row>
    <row r="375" spans="1:80" ht="18" customHeight="1" x14ac:dyDescent="0.25">
      <c r="A375" s="486">
        <f t="shared" si="25"/>
        <v>373</v>
      </c>
      <c r="B375" s="486" t="s">
        <v>3867</v>
      </c>
      <c r="C375" s="486">
        <v>1200000119</v>
      </c>
      <c r="D375" s="486" t="s">
        <v>5003</v>
      </c>
      <c r="E375" s="486" t="s">
        <v>1397</v>
      </c>
      <c r="F375" s="486" t="s">
        <v>203</v>
      </c>
      <c r="G375" s="486" t="s">
        <v>3188</v>
      </c>
      <c r="H375" s="485" t="s">
        <v>203</v>
      </c>
      <c r="I375" s="486" t="s">
        <v>3188</v>
      </c>
      <c r="J375" s="486" t="s">
        <v>3189</v>
      </c>
      <c r="K375" s="486" t="s">
        <v>1756</v>
      </c>
      <c r="L375" s="486" t="s">
        <v>1473</v>
      </c>
      <c r="M375" s="486" t="s">
        <v>1230</v>
      </c>
      <c r="N375" s="486" t="s">
        <v>1231</v>
      </c>
      <c r="O375" s="486" t="s">
        <v>1232</v>
      </c>
      <c r="P375" s="486" t="s">
        <v>1156</v>
      </c>
      <c r="Q375" s="487">
        <v>44309</v>
      </c>
      <c r="R375" s="487">
        <v>46500</v>
      </c>
      <c r="S375" s="488">
        <v>1</v>
      </c>
      <c r="T375" s="488">
        <v>0.2</v>
      </c>
      <c r="U375" s="489">
        <v>3260403</v>
      </c>
      <c r="V375" s="489">
        <v>3260403</v>
      </c>
      <c r="W375" s="489">
        <v>3260403</v>
      </c>
      <c r="X375" s="489">
        <f t="shared" si="26"/>
        <v>0</v>
      </c>
      <c r="Y375" s="489">
        <f t="shared" si="27"/>
        <v>0</v>
      </c>
      <c r="Z375" s="489">
        <v>3260403</v>
      </c>
      <c r="AA375" s="489">
        <v>3260403</v>
      </c>
      <c r="AB375" s="489">
        <v>3260403</v>
      </c>
      <c r="AC375" s="489">
        <f t="shared" si="28"/>
        <v>0</v>
      </c>
      <c r="AD375" s="489">
        <f t="shared" si="29"/>
        <v>0</v>
      </c>
      <c r="AE375" s="489">
        <v>0</v>
      </c>
      <c r="AF375" s="489">
        <v>0</v>
      </c>
      <c r="AG375" s="490" t="s">
        <v>1237</v>
      </c>
      <c r="AH375" s="490" t="s">
        <v>1236</v>
      </c>
      <c r="AI375" s="490"/>
      <c r="AJ375" s="490" t="s">
        <v>1259</v>
      </c>
      <c r="AK375" s="490" t="s">
        <v>1260</v>
      </c>
      <c r="AL375" s="491"/>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row>
    <row r="376" spans="1:80" ht="18" customHeight="1" x14ac:dyDescent="0.25">
      <c r="A376" s="486">
        <f t="shared" si="25"/>
        <v>374</v>
      </c>
      <c r="B376" s="486" t="s">
        <v>3868</v>
      </c>
      <c r="C376" s="486">
        <v>1200000120</v>
      </c>
      <c r="D376" s="486" t="s">
        <v>5004</v>
      </c>
      <c r="E376" s="486" t="s">
        <v>1397</v>
      </c>
      <c r="F376" s="486" t="s">
        <v>203</v>
      </c>
      <c r="G376" s="486" t="s">
        <v>3188</v>
      </c>
      <c r="H376" s="485" t="s">
        <v>203</v>
      </c>
      <c r="I376" s="486" t="s">
        <v>3188</v>
      </c>
      <c r="J376" s="486" t="s">
        <v>3189</v>
      </c>
      <c r="K376" s="486" t="s">
        <v>1756</v>
      </c>
      <c r="L376" s="486" t="s">
        <v>1473</v>
      </c>
      <c r="M376" s="486" t="s">
        <v>1230</v>
      </c>
      <c r="N376" s="486" t="s">
        <v>1231</v>
      </c>
      <c r="O376" s="486" t="s">
        <v>1231</v>
      </c>
      <c r="P376" s="486" t="s">
        <v>1156</v>
      </c>
      <c r="Q376" s="487">
        <v>44309</v>
      </c>
      <c r="R376" s="487">
        <v>46500</v>
      </c>
      <c r="S376" s="488">
        <v>1</v>
      </c>
      <c r="T376" s="488">
        <v>0.2</v>
      </c>
      <c r="U376" s="489">
        <v>1739597</v>
      </c>
      <c r="V376" s="489">
        <v>1739597</v>
      </c>
      <c r="W376" s="489">
        <v>1739597</v>
      </c>
      <c r="X376" s="489">
        <f t="shared" si="26"/>
        <v>0</v>
      </c>
      <c r="Y376" s="489">
        <f t="shared" si="27"/>
        <v>0</v>
      </c>
      <c r="Z376" s="489">
        <v>1739597</v>
      </c>
      <c r="AA376" s="489">
        <v>1739597</v>
      </c>
      <c r="AB376" s="489">
        <v>1739597</v>
      </c>
      <c r="AC376" s="489">
        <f t="shared" si="28"/>
        <v>0</v>
      </c>
      <c r="AD376" s="489">
        <f t="shared" si="29"/>
        <v>0</v>
      </c>
      <c r="AE376" s="489">
        <v>0</v>
      </c>
      <c r="AF376" s="489">
        <v>0</v>
      </c>
      <c r="AG376" s="490" t="s">
        <v>1237</v>
      </c>
      <c r="AH376" s="490" t="s">
        <v>1236</v>
      </c>
      <c r="AI376" s="490"/>
      <c r="AJ376" s="490" t="s">
        <v>1259</v>
      </c>
      <c r="AK376" s="490" t="s">
        <v>1260</v>
      </c>
      <c r="AL376" s="491"/>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row>
    <row r="377" spans="1:80" ht="18" customHeight="1" x14ac:dyDescent="0.25">
      <c r="A377" s="492">
        <f t="shared" si="25"/>
        <v>375</v>
      </c>
      <c r="B377" s="492" t="s">
        <v>1170</v>
      </c>
      <c r="C377" s="492">
        <v>1200000121</v>
      </c>
      <c r="D377" s="492" t="s">
        <v>5005</v>
      </c>
      <c r="E377" s="492" t="s">
        <v>1182</v>
      </c>
      <c r="F377" s="492" t="s">
        <v>2650</v>
      </c>
      <c r="G377" s="492" t="s">
        <v>2766</v>
      </c>
      <c r="H377" s="492" t="s">
        <v>2650</v>
      </c>
      <c r="I377" s="492" t="s">
        <v>2766</v>
      </c>
      <c r="J377" s="492" t="s">
        <v>3869</v>
      </c>
      <c r="K377" s="492" t="s">
        <v>1756</v>
      </c>
      <c r="L377" s="492" t="s">
        <v>1473</v>
      </c>
      <c r="M377" s="493" t="s">
        <v>1230</v>
      </c>
      <c r="N377" s="493" t="s">
        <v>1232</v>
      </c>
      <c r="O377" s="492" t="s">
        <v>1232</v>
      </c>
      <c r="P377" s="492" t="s">
        <v>1156</v>
      </c>
      <c r="Q377" s="494">
        <v>44312</v>
      </c>
      <c r="R377" s="494">
        <v>46590</v>
      </c>
      <c r="S377" s="495">
        <v>1</v>
      </c>
      <c r="T377" s="495">
        <v>0.2</v>
      </c>
      <c r="U377" s="496">
        <v>2300000</v>
      </c>
      <c r="V377" s="496">
        <v>2300000</v>
      </c>
      <c r="W377" s="496">
        <v>2300000</v>
      </c>
      <c r="X377" s="496">
        <f t="shared" si="26"/>
        <v>0</v>
      </c>
      <c r="Y377" s="496">
        <f t="shared" si="27"/>
        <v>0</v>
      </c>
      <c r="Z377" s="496">
        <v>2300000</v>
      </c>
      <c r="AA377" s="496">
        <v>2300000</v>
      </c>
      <c r="AB377" s="496">
        <v>2300000</v>
      </c>
      <c r="AC377" s="496">
        <f t="shared" si="28"/>
        <v>0</v>
      </c>
      <c r="AD377" s="496">
        <f t="shared" si="29"/>
        <v>0</v>
      </c>
      <c r="AE377" s="496">
        <v>0</v>
      </c>
      <c r="AF377" s="496">
        <v>0</v>
      </c>
      <c r="AG377" s="497" t="s">
        <v>1237</v>
      </c>
      <c r="AH377" s="497" t="s">
        <v>1236</v>
      </c>
      <c r="AI377" s="497"/>
      <c r="AJ377" s="497" t="s">
        <v>1259</v>
      </c>
      <c r="AK377" s="497" t="s">
        <v>1260</v>
      </c>
      <c r="AL377" s="491"/>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c r="BV377"/>
      <c r="BW377"/>
      <c r="BX377"/>
      <c r="BY377"/>
      <c r="BZ377"/>
      <c r="CA377"/>
      <c r="CB377"/>
    </row>
    <row r="378" spans="1:80" ht="18" customHeight="1" x14ac:dyDescent="0.25">
      <c r="A378" s="492">
        <f t="shared" si="25"/>
        <v>376</v>
      </c>
      <c r="B378" s="492" t="s">
        <v>3873</v>
      </c>
      <c r="C378" s="492">
        <v>5100000108</v>
      </c>
      <c r="D378" s="492" t="s">
        <v>5006</v>
      </c>
      <c r="E378" s="492" t="s">
        <v>1614</v>
      </c>
      <c r="F378" s="492" t="s">
        <v>1613</v>
      </c>
      <c r="G378" s="492" t="s">
        <v>3870</v>
      </c>
      <c r="H378" s="492" t="s">
        <v>2629</v>
      </c>
      <c r="I378" s="492" t="s">
        <v>3871</v>
      </c>
      <c r="J378" s="492" t="s">
        <v>3872</v>
      </c>
      <c r="K378" s="492" t="s">
        <v>1756</v>
      </c>
      <c r="L378" s="492" t="s">
        <v>2783</v>
      </c>
      <c r="M378" s="493" t="s">
        <v>1230</v>
      </c>
      <c r="N378" s="493" t="s">
        <v>1232</v>
      </c>
      <c r="O378" s="492" t="s">
        <v>1232</v>
      </c>
      <c r="P378" s="492" t="s">
        <v>469</v>
      </c>
      <c r="Q378" s="494">
        <v>44314</v>
      </c>
      <c r="R378" s="494">
        <v>45044</v>
      </c>
      <c r="S378" s="495">
        <v>1</v>
      </c>
      <c r="T378" s="495"/>
      <c r="U378" s="496">
        <v>3727301.7</v>
      </c>
      <c r="V378" s="496">
        <v>3727301.7</v>
      </c>
      <c r="W378" s="496">
        <v>3727301.7</v>
      </c>
      <c r="X378" s="496">
        <f t="shared" si="26"/>
        <v>0</v>
      </c>
      <c r="Y378" s="496">
        <f t="shared" si="27"/>
        <v>0</v>
      </c>
      <c r="Z378" s="496">
        <v>3727301.7</v>
      </c>
      <c r="AA378" s="496">
        <v>3727301.7</v>
      </c>
      <c r="AB378" s="496">
        <v>3727301.7</v>
      </c>
      <c r="AC378" s="496">
        <f t="shared" si="28"/>
        <v>0</v>
      </c>
      <c r="AD378" s="496">
        <f t="shared" si="29"/>
        <v>0</v>
      </c>
      <c r="AE378" s="496">
        <v>0</v>
      </c>
      <c r="AF378" s="496">
        <v>0</v>
      </c>
      <c r="AG378" s="497" t="s">
        <v>1288</v>
      </c>
      <c r="AH378" s="497" t="s">
        <v>1252</v>
      </c>
      <c r="AI378" s="497" t="s">
        <v>1248</v>
      </c>
      <c r="AJ378" s="497" t="s">
        <v>1234</v>
      </c>
      <c r="AK378" s="497" t="s">
        <v>1278</v>
      </c>
      <c r="AL378" s="491"/>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row>
    <row r="379" spans="1:80" ht="18" customHeight="1" x14ac:dyDescent="0.25">
      <c r="A379" s="486">
        <f t="shared" si="25"/>
        <v>377</v>
      </c>
      <c r="B379" s="486" t="s">
        <v>3874</v>
      </c>
      <c r="C379" s="486">
        <v>2100000143</v>
      </c>
      <c r="D379" s="486" t="s">
        <v>5007</v>
      </c>
      <c r="E379" s="486" t="s">
        <v>1533</v>
      </c>
      <c r="F379" s="486" t="s">
        <v>3657</v>
      </c>
      <c r="G379" s="486" t="s">
        <v>3655</v>
      </c>
      <c r="H379" s="485" t="s">
        <v>3657</v>
      </c>
      <c r="I379" s="486" t="s">
        <v>3655</v>
      </c>
      <c r="J379" s="486" t="s">
        <v>3656</v>
      </c>
      <c r="K379" s="486" t="s">
        <v>1756</v>
      </c>
      <c r="L379" s="486" t="s">
        <v>2783</v>
      </c>
      <c r="M379" s="486" t="s">
        <v>1230</v>
      </c>
      <c r="N379" s="486" t="s">
        <v>1231</v>
      </c>
      <c r="O379" s="486" t="s">
        <v>1231</v>
      </c>
      <c r="P379" s="486" t="s">
        <v>469</v>
      </c>
      <c r="Q379" s="487">
        <v>44316</v>
      </c>
      <c r="R379" s="487">
        <v>45194</v>
      </c>
      <c r="S379" s="488">
        <v>1.5</v>
      </c>
      <c r="T379" s="488"/>
      <c r="U379" s="489">
        <v>370856</v>
      </c>
      <c r="V379" s="489">
        <v>370856</v>
      </c>
      <c r="W379" s="489">
        <v>370856</v>
      </c>
      <c r="X379" s="489">
        <f t="shared" si="26"/>
        <v>0</v>
      </c>
      <c r="Y379" s="489">
        <f t="shared" si="27"/>
        <v>0</v>
      </c>
      <c r="Z379" s="489">
        <v>0</v>
      </c>
      <c r="AA379" s="489">
        <v>0</v>
      </c>
      <c r="AB379" s="489">
        <v>0</v>
      </c>
      <c r="AC379" s="489">
        <f t="shared" si="28"/>
        <v>0</v>
      </c>
      <c r="AD379" s="489">
        <f t="shared" si="29"/>
        <v>0</v>
      </c>
      <c r="AE379" s="489">
        <v>0</v>
      </c>
      <c r="AF379" s="489">
        <v>370856</v>
      </c>
      <c r="AG379" s="490" t="s">
        <v>1245</v>
      </c>
      <c r="AH379" s="490" t="s">
        <v>1247</v>
      </c>
      <c r="AI379" s="490" t="s">
        <v>1248</v>
      </c>
      <c r="AJ379" s="490" t="s">
        <v>1246</v>
      </c>
      <c r="AK379" s="490" t="s">
        <v>1235</v>
      </c>
      <c r="AL379" s="491"/>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c r="BV379"/>
      <c r="BW379"/>
      <c r="BX379"/>
      <c r="BY379"/>
      <c r="BZ379"/>
      <c r="CA379"/>
      <c r="CB379"/>
    </row>
    <row r="380" spans="1:80" ht="18" customHeight="1" x14ac:dyDescent="0.25">
      <c r="A380" s="486">
        <f t="shared" si="25"/>
        <v>378</v>
      </c>
      <c r="B380" s="486" t="s">
        <v>3878</v>
      </c>
      <c r="C380" s="486">
        <v>2100000144</v>
      </c>
      <c r="D380" s="486" t="s">
        <v>5008</v>
      </c>
      <c r="E380" s="486" t="s">
        <v>1544</v>
      </c>
      <c r="F380" s="486" t="s">
        <v>3877</v>
      </c>
      <c r="G380" s="486" t="s">
        <v>3875</v>
      </c>
      <c r="H380" s="485" t="s">
        <v>2611</v>
      </c>
      <c r="I380" s="486" t="s">
        <v>3438</v>
      </c>
      <c r="J380" s="486" t="s">
        <v>3876</v>
      </c>
      <c r="K380" s="486" t="s">
        <v>1756</v>
      </c>
      <c r="L380" s="486" t="s">
        <v>2783</v>
      </c>
      <c r="M380" s="486" t="s">
        <v>1230</v>
      </c>
      <c r="N380" s="486" t="s">
        <v>1231</v>
      </c>
      <c r="O380" s="486" t="s">
        <v>1231</v>
      </c>
      <c r="P380" s="486" t="s">
        <v>469</v>
      </c>
      <c r="Q380" s="487">
        <v>44316</v>
      </c>
      <c r="R380" s="487">
        <v>45072</v>
      </c>
      <c r="S380" s="488">
        <v>1.5</v>
      </c>
      <c r="T380" s="488"/>
      <c r="U380" s="489">
        <v>4051823</v>
      </c>
      <c r="V380" s="489">
        <v>4051823</v>
      </c>
      <c r="W380" s="489">
        <v>3659729</v>
      </c>
      <c r="X380" s="489">
        <f t="shared" si="26"/>
        <v>-392094</v>
      </c>
      <c r="Y380" s="489">
        <f t="shared" si="27"/>
        <v>-392094</v>
      </c>
      <c r="Z380" s="489">
        <v>1066388.49</v>
      </c>
      <c r="AA380" s="489">
        <v>1315482.49</v>
      </c>
      <c r="AB380" s="489">
        <v>930656.94</v>
      </c>
      <c r="AC380" s="489">
        <f t="shared" si="28"/>
        <v>-135731.55000000005</v>
      </c>
      <c r="AD380" s="489">
        <f t="shared" si="29"/>
        <v>-384825.55000000005</v>
      </c>
      <c r="AE380" s="489">
        <v>0</v>
      </c>
      <c r="AF380" s="489">
        <v>2729072.06</v>
      </c>
      <c r="AG380" s="490" t="s">
        <v>1245</v>
      </c>
      <c r="AH380" s="490" t="s">
        <v>1247</v>
      </c>
      <c r="AI380" s="490" t="s">
        <v>1269</v>
      </c>
      <c r="AJ380" s="490" t="s">
        <v>1246</v>
      </c>
      <c r="AK380" s="490" t="s">
        <v>1235</v>
      </c>
      <c r="AL380" s="491"/>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row>
    <row r="381" spans="1:80" ht="18" customHeight="1" x14ac:dyDescent="0.25">
      <c r="A381" s="492">
        <f t="shared" si="25"/>
        <v>379</v>
      </c>
      <c r="B381" s="492" t="s">
        <v>3882</v>
      </c>
      <c r="C381" s="492">
        <v>5100000111</v>
      </c>
      <c r="D381" s="492" t="s">
        <v>5009</v>
      </c>
      <c r="E381" s="492" t="s">
        <v>1605</v>
      </c>
      <c r="F381" s="492" t="s">
        <v>3881</v>
      </c>
      <c r="G381" s="492" t="s">
        <v>3879</v>
      </c>
      <c r="H381" s="492" t="s">
        <v>3881</v>
      </c>
      <c r="I381" s="492" t="s">
        <v>3879</v>
      </c>
      <c r="J381" s="492" t="s">
        <v>3880</v>
      </c>
      <c r="K381" s="492" t="s">
        <v>1756</v>
      </c>
      <c r="L381" s="492" t="s">
        <v>2783</v>
      </c>
      <c r="M381" s="493" t="s">
        <v>1230</v>
      </c>
      <c r="N381" s="493" t="s">
        <v>1232</v>
      </c>
      <c r="O381" s="492" t="s">
        <v>1232</v>
      </c>
      <c r="P381" s="492" t="s">
        <v>469</v>
      </c>
      <c r="Q381" s="494">
        <v>44316</v>
      </c>
      <c r="R381" s="494">
        <v>45048</v>
      </c>
      <c r="S381" s="495">
        <v>1</v>
      </c>
      <c r="T381" s="495"/>
      <c r="U381" s="496">
        <v>36908470.539999999</v>
      </c>
      <c r="V381" s="496">
        <v>36908470.539999999</v>
      </c>
      <c r="W381" s="496">
        <v>36719245.240000002</v>
      </c>
      <c r="X381" s="496">
        <f t="shared" si="26"/>
        <v>-189225.29999999702</v>
      </c>
      <c r="Y381" s="496">
        <f t="shared" si="27"/>
        <v>-189225.29999999702</v>
      </c>
      <c r="Z381" s="496">
        <v>36908470.539999999</v>
      </c>
      <c r="AA381" s="496">
        <v>36908470.539999999</v>
      </c>
      <c r="AB381" s="496">
        <v>36719245.240000002</v>
      </c>
      <c r="AC381" s="496">
        <f t="shared" si="28"/>
        <v>-189225.29999999702</v>
      </c>
      <c r="AD381" s="496">
        <f t="shared" si="29"/>
        <v>-189225.29999999702</v>
      </c>
      <c r="AE381" s="496">
        <v>0</v>
      </c>
      <c r="AF381" s="496">
        <v>0</v>
      </c>
      <c r="AG381" s="497" t="s">
        <v>1288</v>
      </c>
      <c r="AH381" s="497" t="s">
        <v>1485</v>
      </c>
      <c r="AI381" s="497"/>
      <c r="AJ381" s="497" t="s">
        <v>1234</v>
      </c>
      <c r="AK381" s="497" t="s">
        <v>1278</v>
      </c>
      <c r="AL381" s="49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c r="BV381"/>
      <c r="BW381"/>
      <c r="BX381"/>
      <c r="BY381"/>
      <c r="BZ381"/>
      <c r="CA381"/>
      <c r="CB381"/>
    </row>
    <row r="382" spans="1:80" ht="18" customHeight="1" x14ac:dyDescent="0.25">
      <c r="A382" s="486">
        <f t="shared" si="25"/>
        <v>380</v>
      </c>
      <c r="B382" s="486" t="s">
        <v>3885</v>
      </c>
      <c r="C382" s="486">
        <v>5200000138</v>
      </c>
      <c r="D382" s="486" t="s">
        <v>5010</v>
      </c>
      <c r="E382" s="486" t="s">
        <v>1607</v>
      </c>
      <c r="F382" s="486" t="s">
        <v>1606</v>
      </c>
      <c r="G382" s="486" t="s">
        <v>3883</v>
      </c>
      <c r="H382" s="485" t="s">
        <v>1606</v>
      </c>
      <c r="I382" s="486" t="s">
        <v>3883</v>
      </c>
      <c r="J382" s="486" t="s">
        <v>3884</v>
      </c>
      <c r="K382" s="486" t="s">
        <v>1756</v>
      </c>
      <c r="L382" s="486" t="s">
        <v>1473</v>
      </c>
      <c r="M382" s="486" t="s">
        <v>1230</v>
      </c>
      <c r="N382" s="486" t="s">
        <v>1231</v>
      </c>
      <c r="O382" s="486" t="s">
        <v>1232</v>
      </c>
      <c r="P382" s="486" t="s">
        <v>469</v>
      </c>
      <c r="Q382" s="487">
        <v>44316</v>
      </c>
      <c r="R382" s="487">
        <v>45390</v>
      </c>
      <c r="S382" s="488">
        <v>1</v>
      </c>
      <c r="T382" s="488">
        <v>0.2</v>
      </c>
      <c r="U382" s="489">
        <v>501250</v>
      </c>
      <c r="V382" s="489">
        <v>221690</v>
      </c>
      <c r="W382" s="489">
        <v>221690</v>
      </c>
      <c r="X382" s="489">
        <f t="shared" si="26"/>
        <v>-279560</v>
      </c>
      <c r="Y382" s="489">
        <f t="shared" si="27"/>
        <v>0</v>
      </c>
      <c r="Z382" s="489">
        <v>501250</v>
      </c>
      <c r="AA382" s="489">
        <v>221690</v>
      </c>
      <c r="AB382" s="489">
        <v>221690</v>
      </c>
      <c r="AC382" s="489">
        <f t="shared" si="28"/>
        <v>-279560</v>
      </c>
      <c r="AD382" s="489">
        <f t="shared" si="29"/>
        <v>0</v>
      </c>
      <c r="AE382" s="489">
        <v>0</v>
      </c>
      <c r="AF382" s="489">
        <v>0</v>
      </c>
      <c r="AG382" s="490" t="s">
        <v>1288</v>
      </c>
      <c r="AH382" s="490" t="s">
        <v>1252</v>
      </c>
      <c r="AI382" s="490" t="s">
        <v>1248</v>
      </c>
      <c r="AJ382" s="490" t="s">
        <v>1234</v>
      </c>
      <c r="AK382" s="490" t="s">
        <v>1278</v>
      </c>
      <c r="AL382" s="491"/>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row>
    <row r="383" spans="1:80" ht="18" customHeight="1" x14ac:dyDescent="0.25">
      <c r="A383" s="486">
        <f t="shared" si="25"/>
        <v>381</v>
      </c>
      <c r="B383" s="486" t="s">
        <v>3886</v>
      </c>
      <c r="C383" s="486">
        <v>4100000211</v>
      </c>
      <c r="D383" s="486" t="s">
        <v>5011</v>
      </c>
      <c r="E383" s="486" t="s">
        <v>1607</v>
      </c>
      <c r="F383" s="486" t="s">
        <v>1606</v>
      </c>
      <c r="G383" s="486" t="s">
        <v>3883</v>
      </c>
      <c r="H383" s="485" t="s">
        <v>1606</v>
      </c>
      <c r="I383" s="486" t="s">
        <v>3883</v>
      </c>
      <c r="J383" s="486" t="s">
        <v>3884</v>
      </c>
      <c r="K383" s="486" t="s">
        <v>1756</v>
      </c>
      <c r="L383" s="486" t="s">
        <v>2783</v>
      </c>
      <c r="M383" s="486" t="s">
        <v>1230</v>
      </c>
      <c r="N383" s="486" t="s">
        <v>1231</v>
      </c>
      <c r="O383" s="486" t="s">
        <v>1232</v>
      </c>
      <c r="P383" s="486" t="s">
        <v>469</v>
      </c>
      <c r="Q383" s="487">
        <v>44316</v>
      </c>
      <c r="R383" s="487">
        <v>45390</v>
      </c>
      <c r="S383" s="488">
        <v>0.35</v>
      </c>
      <c r="T383" s="488"/>
      <c r="U383" s="489">
        <v>6667730.9199999999</v>
      </c>
      <c r="V383" s="489">
        <v>4957336.25</v>
      </c>
      <c r="W383" s="489">
        <v>4499969.25</v>
      </c>
      <c r="X383" s="489">
        <f t="shared" si="26"/>
        <v>-2167761.67</v>
      </c>
      <c r="Y383" s="489">
        <f t="shared" si="27"/>
        <v>-457367</v>
      </c>
      <c r="Z383" s="489">
        <v>6667730.9199999999</v>
      </c>
      <c r="AA383" s="489">
        <v>4957336.25</v>
      </c>
      <c r="AB383" s="489">
        <v>4499969.25</v>
      </c>
      <c r="AC383" s="489">
        <f t="shared" si="28"/>
        <v>-2167761.67</v>
      </c>
      <c r="AD383" s="489">
        <f t="shared" si="29"/>
        <v>-457367</v>
      </c>
      <c r="AE383" s="489">
        <v>0</v>
      </c>
      <c r="AF383" s="489">
        <v>0</v>
      </c>
      <c r="AG383" s="490" t="s">
        <v>1250</v>
      </c>
      <c r="AH383" s="490" t="s">
        <v>1252</v>
      </c>
      <c r="AI383" s="490" t="s">
        <v>1248</v>
      </c>
      <c r="AJ383" s="490" t="s">
        <v>1234</v>
      </c>
      <c r="AK383" s="490" t="s">
        <v>1251</v>
      </c>
      <c r="AL383" s="491"/>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row>
    <row r="384" spans="1:80" ht="18" customHeight="1" x14ac:dyDescent="0.25">
      <c r="A384" s="492">
        <f t="shared" si="25"/>
        <v>382</v>
      </c>
      <c r="B384" s="492" t="s">
        <v>3889</v>
      </c>
      <c r="C384" s="492">
        <v>3100000111</v>
      </c>
      <c r="D384" s="492" t="s">
        <v>5012</v>
      </c>
      <c r="E384" s="492" t="s">
        <v>1609</v>
      </c>
      <c r="F384" s="492" t="s">
        <v>1608</v>
      </c>
      <c r="G384" s="492" t="s">
        <v>3887</v>
      </c>
      <c r="H384" s="492" t="s">
        <v>1608</v>
      </c>
      <c r="I384" s="492" t="s">
        <v>3887</v>
      </c>
      <c r="J384" s="492" t="s">
        <v>3888</v>
      </c>
      <c r="K384" s="492" t="s">
        <v>1756</v>
      </c>
      <c r="L384" s="492" t="s">
        <v>2783</v>
      </c>
      <c r="M384" s="493" t="s">
        <v>1230</v>
      </c>
      <c r="N384" s="493" t="s">
        <v>1232</v>
      </c>
      <c r="O384" s="492" t="s">
        <v>1232</v>
      </c>
      <c r="P384" s="492" t="s">
        <v>469</v>
      </c>
      <c r="Q384" s="494">
        <v>44316</v>
      </c>
      <c r="R384" s="494">
        <v>44875</v>
      </c>
      <c r="S384" s="495">
        <v>1</v>
      </c>
      <c r="T384" s="495"/>
      <c r="U384" s="496">
        <v>8002500</v>
      </c>
      <c r="V384" s="496">
        <v>8002500</v>
      </c>
      <c r="W384" s="496">
        <v>8002500</v>
      </c>
      <c r="X384" s="496">
        <f t="shared" si="26"/>
        <v>0</v>
      </c>
      <c r="Y384" s="496">
        <f t="shared" si="27"/>
        <v>0</v>
      </c>
      <c r="Z384" s="496">
        <v>8002500</v>
      </c>
      <c r="AA384" s="496">
        <v>8002500</v>
      </c>
      <c r="AB384" s="496">
        <v>8002500</v>
      </c>
      <c r="AC384" s="496">
        <f t="shared" si="28"/>
        <v>0</v>
      </c>
      <c r="AD384" s="496">
        <f t="shared" si="29"/>
        <v>0</v>
      </c>
      <c r="AE384" s="496">
        <v>0</v>
      </c>
      <c r="AF384" s="496">
        <v>0</v>
      </c>
      <c r="AG384" s="497" t="s">
        <v>1233</v>
      </c>
      <c r="AH384" s="497" t="s">
        <v>1242</v>
      </c>
      <c r="AI384" s="497" t="s">
        <v>1292</v>
      </c>
      <c r="AJ384" s="497" t="s">
        <v>1234</v>
      </c>
      <c r="AK384" s="497" t="s">
        <v>1240</v>
      </c>
      <c r="AL384" s="491"/>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row>
    <row r="385" spans="1:80" ht="18" customHeight="1" x14ac:dyDescent="0.25">
      <c r="A385" s="492">
        <f t="shared" si="25"/>
        <v>383</v>
      </c>
      <c r="B385" s="492" t="s">
        <v>3892</v>
      </c>
      <c r="C385" s="492">
        <v>2100000145</v>
      </c>
      <c r="D385" s="492" t="s">
        <v>5013</v>
      </c>
      <c r="E385" s="492" t="s">
        <v>1611</v>
      </c>
      <c r="F385" s="492" t="s">
        <v>1610</v>
      </c>
      <c r="G385" s="492" t="s">
        <v>3890</v>
      </c>
      <c r="H385" s="492" t="s">
        <v>1610</v>
      </c>
      <c r="I385" s="492" t="s">
        <v>3890</v>
      </c>
      <c r="J385" s="492" t="s">
        <v>3891</v>
      </c>
      <c r="K385" s="492" t="s">
        <v>1756</v>
      </c>
      <c r="L385" s="492" t="s">
        <v>2783</v>
      </c>
      <c r="M385" s="493" t="s">
        <v>1230</v>
      </c>
      <c r="N385" s="493" t="s">
        <v>1232</v>
      </c>
      <c r="O385" s="492" t="s">
        <v>1231</v>
      </c>
      <c r="P385" s="492" t="s">
        <v>469</v>
      </c>
      <c r="Q385" s="494">
        <v>44316</v>
      </c>
      <c r="R385" s="494">
        <v>46142</v>
      </c>
      <c r="S385" s="495">
        <v>1.5</v>
      </c>
      <c r="T385" s="495"/>
      <c r="U385" s="496">
        <v>2710630</v>
      </c>
      <c r="V385" s="496">
        <v>2710630</v>
      </c>
      <c r="W385" s="496">
        <v>2710630</v>
      </c>
      <c r="X385" s="496">
        <f t="shared" si="26"/>
        <v>0</v>
      </c>
      <c r="Y385" s="496">
        <f t="shared" si="27"/>
        <v>0</v>
      </c>
      <c r="Z385" s="496">
        <v>1628488.41</v>
      </c>
      <c r="AA385" s="496">
        <v>1839226.55</v>
      </c>
      <c r="AB385" s="496">
        <v>1839226.55</v>
      </c>
      <c r="AC385" s="496">
        <f t="shared" si="28"/>
        <v>210738.14000000013</v>
      </c>
      <c r="AD385" s="496">
        <f t="shared" si="29"/>
        <v>0</v>
      </c>
      <c r="AE385" s="496">
        <v>0</v>
      </c>
      <c r="AF385" s="496">
        <v>871403.45</v>
      </c>
      <c r="AG385" s="497" t="s">
        <v>1245</v>
      </c>
      <c r="AH385" s="497" t="s">
        <v>1242</v>
      </c>
      <c r="AI385" s="497" t="s">
        <v>1292</v>
      </c>
      <c r="AJ385" s="497" t="s">
        <v>1246</v>
      </c>
      <c r="AK385" s="497" t="s">
        <v>1235</v>
      </c>
      <c r="AL385" s="491"/>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row>
    <row r="386" spans="1:80" ht="18" customHeight="1" x14ac:dyDescent="0.25">
      <c r="A386" s="492">
        <f t="shared" si="25"/>
        <v>384</v>
      </c>
      <c r="B386" s="492" t="s">
        <v>3895</v>
      </c>
      <c r="C386" s="492">
        <v>1100000158</v>
      </c>
      <c r="D386" s="492" t="s">
        <v>5014</v>
      </c>
      <c r="E386" s="492" t="s">
        <v>1211</v>
      </c>
      <c r="F386" s="492" t="s">
        <v>1213</v>
      </c>
      <c r="G386" s="492" t="s">
        <v>3893</v>
      </c>
      <c r="H386" s="492" t="s">
        <v>1213</v>
      </c>
      <c r="I386" s="492" t="s">
        <v>3893</v>
      </c>
      <c r="J386" s="492" t="s">
        <v>3894</v>
      </c>
      <c r="K386" s="492" t="s">
        <v>1756</v>
      </c>
      <c r="L386" s="492" t="s">
        <v>2783</v>
      </c>
      <c r="M386" s="493" t="s">
        <v>1230</v>
      </c>
      <c r="N386" s="493" t="s">
        <v>1232</v>
      </c>
      <c r="O386" s="492" t="s">
        <v>1231</v>
      </c>
      <c r="P386" s="492" t="s">
        <v>1156</v>
      </c>
      <c r="Q386" s="494">
        <v>44316</v>
      </c>
      <c r="R386" s="494">
        <v>46147</v>
      </c>
      <c r="S386" s="495">
        <v>1</v>
      </c>
      <c r="T386" s="495"/>
      <c r="U386" s="496">
        <v>8500000</v>
      </c>
      <c r="V386" s="496">
        <v>8500000</v>
      </c>
      <c r="W386" s="496">
        <v>8500000</v>
      </c>
      <c r="X386" s="496">
        <f t="shared" si="26"/>
        <v>0</v>
      </c>
      <c r="Y386" s="496">
        <f t="shared" si="27"/>
        <v>0</v>
      </c>
      <c r="Z386" s="496">
        <v>7752254.6500000004</v>
      </c>
      <c r="AA386" s="496">
        <v>7752254.6500000004</v>
      </c>
      <c r="AB386" s="496">
        <v>7752254.6500000004</v>
      </c>
      <c r="AC386" s="496">
        <f t="shared" si="28"/>
        <v>0</v>
      </c>
      <c r="AD386" s="496">
        <f t="shared" si="29"/>
        <v>0</v>
      </c>
      <c r="AE386" s="496">
        <v>0</v>
      </c>
      <c r="AF386" s="496">
        <v>747745.35000000009</v>
      </c>
      <c r="AG386" s="497" t="s">
        <v>1237</v>
      </c>
      <c r="AH386" s="497" t="s">
        <v>1236</v>
      </c>
      <c r="AI386" s="497"/>
      <c r="AJ386" s="497" t="s">
        <v>1259</v>
      </c>
      <c r="AK386" s="497" t="s">
        <v>1260</v>
      </c>
      <c r="AL386" s="491"/>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row>
    <row r="387" spans="1:80" ht="18" customHeight="1" x14ac:dyDescent="0.25">
      <c r="A387" s="492">
        <f t="shared" si="25"/>
        <v>385</v>
      </c>
      <c r="B387" s="492" t="s">
        <v>3898</v>
      </c>
      <c r="C387" s="492">
        <v>3200000113</v>
      </c>
      <c r="D387" s="492" t="s">
        <v>5015</v>
      </c>
      <c r="E387" s="492" t="s">
        <v>1615</v>
      </c>
      <c r="F387" s="492" t="s">
        <v>2651</v>
      </c>
      <c r="G387" s="492" t="s">
        <v>3896</v>
      </c>
      <c r="H387" s="492" t="s">
        <v>2651</v>
      </c>
      <c r="I387" s="492" t="s">
        <v>3896</v>
      </c>
      <c r="J387" s="492" t="s">
        <v>3897</v>
      </c>
      <c r="K387" s="492" t="s">
        <v>1756</v>
      </c>
      <c r="L387" s="492" t="s">
        <v>1473</v>
      </c>
      <c r="M387" s="493" t="s">
        <v>1230</v>
      </c>
      <c r="N387" s="493" t="s">
        <v>1232</v>
      </c>
      <c r="O387" s="492" t="s">
        <v>1232</v>
      </c>
      <c r="P387" s="492" t="s">
        <v>469</v>
      </c>
      <c r="Q387" s="494">
        <v>44316</v>
      </c>
      <c r="R387" s="494">
        <v>45390</v>
      </c>
      <c r="S387" s="495">
        <v>1</v>
      </c>
      <c r="T387" s="495">
        <v>0.2</v>
      </c>
      <c r="U387" s="496">
        <v>2819576</v>
      </c>
      <c r="V387" s="496">
        <v>2799992</v>
      </c>
      <c r="W387" s="496">
        <v>2799992</v>
      </c>
      <c r="X387" s="496">
        <f t="shared" si="26"/>
        <v>-19584</v>
      </c>
      <c r="Y387" s="496">
        <f t="shared" si="27"/>
        <v>0</v>
      </c>
      <c r="Z387" s="496">
        <v>2819576</v>
      </c>
      <c r="AA387" s="496">
        <v>2799992</v>
      </c>
      <c r="AB387" s="496">
        <v>2799992</v>
      </c>
      <c r="AC387" s="496">
        <f t="shared" si="28"/>
        <v>-19584</v>
      </c>
      <c r="AD387" s="496">
        <f t="shared" si="29"/>
        <v>0</v>
      </c>
      <c r="AE387" s="496">
        <v>0</v>
      </c>
      <c r="AF387" s="496">
        <v>0</v>
      </c>
      <c r="AG387" s="497" t="s">
        <v>1250</v>
      </c>
      <c r="AH387" s="497" t="s">
        <v>1291</v>
      </c>
      <c r="AI387" s="497" t="s">
        <v>1616</v>
      </c>
      <c r="AJ387" s="497" t="s">
        <v>1234</v>
      </c>
      <c r="AK387" s="497" t="s">
        <v>1240</v>
      </c>
      <c r="AL387" s="491"/>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row>
    <row r="388" spans="1:80" ht="18" customHeight="1" x14ac:dyDescent="0.25">
      <c r="A388" s="492">
        <f t="shared" ref="A388:A451" si="30">A387+1</f>
        <v>386</v>
      </c>
      <c r="B388" s="492" t="s">
        <v>3902</v>
      </c>
      <c r="C388" s="492">
        <v>2200000151</v>
      </c>
      <c r="D388" s="492" t="s">
        <v>5016</v>
      </c>
      <c r="E388" s="492" t="s">
        <v>1618</v>
      </c>
      <c r="F388" s="492" t="s">
        <v>3901</v>
      </c>
      <c r="G388" s="492" t="s">
        <v>3899</v>
      </c>
      <c r="H388" s="492" t="s">
        <v>3901</v>
      </c>
      <c r="I388" s="492" t="s">
        <v>3899</v>
      </c>
      <c r="J388" s="492" t="s">
        <v>3900</v>
      </c>
      <c r="K388" s="492" t="s">
        <v>1756</v>
      </c>
      <c r="L388" s="492" t="s">
        <v>1473</v>
      </c>
      <c r="M388" s="493" t="s">
        <v>1230</v>
      </c>
      <c r="N388" s="493" t="s">
        <v>1232</v>
      </c>
      <c r="O388" s="492" t="s">
        <v>1232</v>
      </c>
      <c r="P388" s="492" t="s">
        <v>469</v>
      </c>
      <c r="Q388" s="494">
        <v>44326</v>
      </c>
      <c r="R388" s="494">
        <v>45394</v>
      </c>
      <c r="S388" s="495">
        <v>1.5</v>
      </c>
      <c r="T388" s="495">
        <v>0.3</v>
      </c>
      <c r="U388" s="496">
        <v>616776</v>
      </c>
      <c r="V388" s="496">
        <v>616776</v>
      </c>
      <c r="W388" s="496">
        <v>616776</v>
      </c>
      <c r="X388" s="496">
        <f t="shared" si="26"/>
        <v>0</v>
      </c>
      <c r="Y388" s="496">
        <f t="shared" si="27"/>
        <v>0</v>
      </c>
      <c r="Z388" s="496">
        <v>348826.7</v>
      </c>
      <c r="AA388" s="496">
        <v>348826.7</v>
      </c>
      <c r="AB388" s="496">
        <v>348826.7</v>
      </c>
      <c r="AC388" s="496">
        <f t="shared" si="28"/>
        <v>0</v>
      </c>
      <c r="AD388" s="496">
        <f t="shared" si="29"/>
        <v>0</v>
      </c>
      <c r="AE388" s="496">
        <v>267949.3</v>
      </c>
      <c r="AF388" s="496">
        <v>0</v>
      </c>
      <c r="AG388" s="497" t="s">
        <v>1245</v>
      </c>
      <c r="AH388" s="497" t="s">
        <v>1247</v>
      </c>
      <c r="AI388" s="497" t="s">
        <v>1269</v>
      </c>
      <c r="AJ388" s="497" t="s">
        <v>1246</v>
      </c>
      <c r="AK388" s="497" t="s">
        <v>1235</v>
      </c>
      <c r="AL388" s="491"/>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row>
    <row r="389" spans="1:80" ht="18" customHeight="1" x14ac:dyDescent="0.25">
      <c r="A389" s="492">
        <f t="shared" si="30"/>
        <v>387</v>
      </c>
      <c r="B389" s="492" t="s">
        <v>3906</v>
      </c>
      <c r="C389" s="492">
        <v>2200000152</v>
      </c>
      <c r="D389" s="492" t="s">
        <v>5017</v>
      </c>
      <c r="E389" s="492" t="s">
        <v>1617</v>
      </c>
      <c r="F389" s="492" t="s">
        <v>3905</v>
      </c>
      <c r="G389" s="492" t="s">
        <v>3903</v>
      </c>
      <c r="H389" s="492" t="s">
        <v>3905</v>
      </c>
      <c r="I389" s="492" t="s">
        <v>3903</v>
      </c>
      <c r="J389" s="492" t="s">
        <v>3904</v>
      </c>
      <c r="K389" s="492" t="s">
        <v>1756</v>
      </c>
      <c r="L389" s="492" t="s">
        <v>1473</v>
      </c>
      <c r="M389" s="493" t="s">
        <v>1230</v>
      </c>
      <c r="N389" s="493" t="s">
        <v>1232</v>
      </c>
      <c r="O389" s="492" t="s">
        <v>1232</v>
      </c>
      <c r="P389" s="492" t="s">
        <v>469</v>
      </c>
      <c r="Q389" s="494">
        <v>44328</v>
      </c>
      <c r="R389" s="494">
        <v>45441</v>
      </c>
      <c r="S389" s="495">
        <v>1.5</v>
      </c>
      <c r="T389" s="495">
        <v>0.3</v>
      </c>
      <c r="U389" s="496">
        <v>2440690</v>
      </c>
      <c r="V389" s="496">
        <v>2440690</v>
      </c>
      <c r="W389" s="496">
        <v>2440690</v>
      </c>
      <c r="X389" s="496">
        <f t="shared" si="26"/>
        <v>0</v>
      </c>
      <c r="Y389" s="496">
        <f t="shared" si="27"/>
        <v>0</v>
      </c>
      <c r="Z389" s="496">
        <v>1850145.6</v>
      </c>
      <c r="AA389" s="496">
        <v>2042436.63</v>
      </c>
      <c r="AB389" s="496">
        <v>2042436.63</v>
      </c>
      <c r="AC389" s="496">
        <f t="shared" si="28"/>
        <v>192291.0299999998</v>
      </c>
      <c r="AD389" s="496">
        <f t="shared" si="29"/>
        <v>0</v>
      </c>
      <c r="AE389" s="496">
        <v>398253.37</v>
      </c>
      <c r="AF389" s="496">
        <v>0</v>
      </c>
      <c r="AG389" s="497" t="s">
        <v>1245</v>
      </c>
      <c r="AH389" s="497" t="s">
        <v>1247</v>
      </c>
      <c r="AI389" s="497" t="s">
        <v>1248</v>
      </c>
      <c r="AJ389" s="497" t="s">
        <v>1246</v>
      </c>
      <c r="AK389" s="497" t="s">
        <v>1235</v>
      </c>
      <c r="AL389" s="491"/>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row>
    <row r="390" spans="1:80" ht="18" customHeight="1" x14ac:dyDescent="0.25">
      <c r="A390" s="492">
        <f t="shared" si="30"/>
        <v>388</v>
      </c>
      <c r="B390" s="492" t="s">
        <v>3909</v>
      </c>
      <c r="C390" s="492">
        <v>6100000161</v>
      </c>
      <c r="D390" s="492" t="s">
        <v>5018</v>
      </c>
      <c r="E390" s="492" t="s">
        <v>1620</v>
      </c>
      <c r="F390" s="492" t="s">
        <v>1619</v>
      </c>
      <c r="G390" s="492" t="s">
        <v>3907</v>
      </c>
      <c r="H390" s="492" t="s">
        <v>1619</v>
      </c>
      <c r="I390" s="492" t="s">
        <v>3907</v>
      </c>
      <c r="J390" s="492" t="s">
        <v>3908</v>
      </c>
      <c r="K390" s="492" t="s">
        <v>1281</v>
      </c>
      <c r="L390" s="492" t="s">
        <v>2783</v>
      </c>
      <c r="M390" s="493" t="s">
        <v>1230</v>
      </c>
      <c r="N390" s="493" t="s">
        <v>1232</v>
      </c>
      <c r="O390" s="492" t="s">
        <v>1232</v>
      </c>
      <c r="P390" s="492" t="s">
        <v>469</v>
      </c>
      <c r="Q390" s="494">
        <v>44330</v>
      </c>
      <c r="R390" s="494">
        <v>45426</v>
      </c>
      <c r="S390" s="495">
        <v>1</v>
      </c>
      <c r="T390" s="495"/>
      <c r="U390" s="496">
        <v>30000000</v>
      </c>
      <c r="V390" s="496">
        <v>30000000</v>
      </c>
      <c r="W390" s="496">
        <v>30000000</v>
      </c>
      <c r="X390" s="496">
        <f t="shared" si="26"/>
        <v>0</v>
      </c>
      <c r="Y390" s="496">
        <f t="shared" si="27"/>
        <v>0</v>
      </c>
      <c r="Z390" s="496">
        <v>15006653.619999999</v>
      </c>
      <c r="AA390" s="496">
        <v>14870886.16</v>
      </c>
      <c r="AB390" s="496">
        <v>14870886.16</v>
      </c>
      <c r="AC390" s="496">
        <f t="shared" si="28"/>
        <v>-135767.45999999903</v>
      </c>
      <c r="AD390" s="496">
        <f t="shared" si="29"/>
        <v>0</v>
      </c>
      <c r="AE390" s="496">
        <v>0</v>
      </c>
      <c r="AF390" s="496">
        <v>15129113.84</v>
      </c>
      <c r="AG390" s="497" t="s">
        <v>1888</v>
      </c>
      <c r="AH390" s="497" t="s">
        <v>1888</v>
      </c>
      <c r="AI390" s="497" t="s">
        <v>1342</v>
      </c>
      <c r="AJ390" s="497" t="s">
        <v>1234</v>
      </c>
      <c r="AK390" s="497" t="s">
        <v>1260</v>
      </c>
      <c r="AL390" s="491"/>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row>
    <row r="391" spans="1:80" ht="18" customHeight="1" x14ac:dyDescent="0.25">
      <c r="A391" s="486">
        <f t="shared" si="30"/>
        <v>389</v>
      </c>
      <c r="B391" s="486" t="s">
        <v>3913</v>
      </c>
      <c r="C391" s="486">
        <v>3100000114</v>
      </c>
      <c r="D391" s="486" t="s">
        <v>5019</v>
      </c>
      <c r="E391" s="486" t="s">
        <v>1621</v>
      </c>
      <c r="F391" s="486" t="s">
        <v>3912</v>
      </c>
      <c r="G391" s="486" t="s">
        <v>3910</v>
      </c>
      <c r="H391" s="485" t="s">
        <v>4518</v>
      </c>
      <c r="I391" s="486" t="s">
        <v>3077</v>
      </c>
      <c r="J391" s="486" t="s">
        <v>3911</v>
      </c>
      <c r="K391" s="486" t="s">
        <v>1756</v>
      </c>
      <c r="L391" s="486" t="s">
        <v>2783</v>
      </c>
      <c r="M391" s="486" t="s">
        <v>1230</v>
      </c>
      <c r="N391" s="486" t="s">
        <v>1231</v>
      </c>
      <c r="O391" s="486" t="s">
        <v>1232</v>
      </c>
      <c r="P391" s="486" t="s">
        <v>469</v>
      </c>
      <c r="Q391" s="487">
        <v>44330</v>
      </c>
      <c r="R391" s="487">
        <v>44879</v>
      </c>
      <c r="S391" s="488">
        <v>1</v>
      </c>
      <c r="T391" s="488"/>
      <c r="U391" s="489">
        <v>3560000</v>
      </c>
      <c r="V391" s="489">
        <v>3560000</v>
      </c>
      <c r="W391" s="489">
        <v>3560000</v>
      </c>
      <c r="X391" s="489">
        <f t="shared" si="26"/>
        <v>0</v>
      </c>
      <c r="Y391" s="489">
        <f t="shared" si="27"/>
        <v>0</v>
      </c>
      <c r="Z391" s="489">
        <v>3430897.78</v>
      </c>
      <c r="AA391" s="489">
        <v>3430897.78</v>
      </c>
      <c r="AB391" s="489">
        <v>3430897.78</v>
      </c>
      <c r="AC391" s="489">
        <f t="shared" si="28"/>
        <v>0</v>
      </c>
      <c r="AD391" s="489">
        <f t="shared" si="29"/>
        <v>0</v>
      </c>
      <c r="AE391" s="489">
        <v>129102.22</v>
      </c>
      <c r="AF391" s="489">
        <v>0</v>
      </c>
      <c r="AG391" s="490" t="s">
        <v>1233</v>
      </c>
      <c r="AH391" s="490" t="s">
        <v>1242</v>
      </c>
      <c r="AI391" s="490" t="s">
        <v>1241</v>
      </c>
      <c r="AJ391" s="490" t="s">
        <v>1234</v>
      </c>
      <c r="AK391" s="490" t="s">
        <v>1240</v>
      </c>
      <c r="AL391" s="4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row>
    <row r="392" spans="1:80" ht="18" customHeight="1" x14ac:dyDescent="0.25">
      <c r="A392" s="486">
        <f t="shared" si="30"/>
        <v>390</v>
      </c>
      <c r="B392" s="486" t="s">
        <v>3914</v>
      </c>
      <c r="C392" s="486">
        <v>3200000118</v>
      </c>
      <c r="D392" s="486" t="s">
        <v>5020</v>
      </c>
      <c r="E392" s="486" t="s">
        <v>1299</v>
      </c>
      <c r="F392" s="486" t="s">
        <v>2552</v>
      </c>
      <c r="G392" s="486" t="s">
        <v>2896</v>
      </c>
      <c r="H392" s="485" t="s">
        <v>2552</v>
      </c>
      <c r="I392" s="486" t="s">
        <v>2896</v>
      </c>
      <c r="J392" s="486" t="s">
        <v>2897</v>
      </c>
      <c r="K392" s="486" t="s">
        <v>1756</v>
      </c>
      <c r="L392" s="486" t="s">
        <v>1473</v>
      </c>
      <c r="M392" s="486" t="s">
        <v>1230</v>
      </c>
      <c r="N392" s="486" t="s">
        <v>1231</v>
      </c>
      <c r="O392" s="486" t="s">
        <v>1232</v>
      </c>
      <c r="P392" s="486" t="s">
        <v>469</v>
      </c>
      <c r="Q392" s="487">
        <v>44333</v>
      </c>
      <c r="R392" s="487">
        <v>44935</v>
      </c>
      <c r="S392" s="488">
        <v>0.35</v>
      </c>
      <c r="T392" s="488">
        <v>7.0000000000000007E-2</v>
      </c>
      <c r="U392" s="489">
        <v>3000000</v>
      </c>
      <c r="V392" s="489">
        <v>3000000</v>
      </c>
      <c r="W392" s="489">
        <v>3000000</v>
      </c>
      <c r="X392" s="489">
        <f t="shared" ref="X392:X455" si="31">W392-U392</f>
        <v>0</v>
      </c>
      <c r="Y392" s="489">
        <f t="shared" ref="Y392:Y455" si="32">W392-V392</f>
        <v>0</v>
      </c>
      <c r="Z392" s="489">
        <v>3000000</v>
      </c>
      <c r="AA392" s="489">
        <v>3000000</v>
      </c>
      <c r="AB392" s="489">
        <v>3000000</v>
      </c>
      <c r="AC392" s="489">
        <f t="shared" ref="AC392:AC455" si="33">AB392-Z392</f>
        <v>0</v>
      </c>
      <c r="AD392" s="489">
        <f t="shared" ref="AD392:AD455" si="34">AB392-AA392</f>
        <v>0</v>
      </c>
      <c r="AE392" s="489">
        <v>0</v>
      </c>
      <c r="AF392" s="489">
        <v>0</v>
      </c>
      <c r="AG392" s="490" t="s">
        <v>1250</v>
      </c>
      <c r="AH392" s="490" t="s">
        <v>1252</v>
      </c>
      <c r="AI392" s="490" t="s">
        <v>1248</v>
      </c>
      <c r="AJ392" s="490" t="s">
        <v>1234</v>
      </c>
      <c r="AK392" s="490" t="s">
        <v>1251</v>
      </c>
      <c r="AL392" s="491"/>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row>
    <row r="393" spans="1:80" ht="18" customHeight="1" x14ac:dyDescent="0.25">
      <c r="A393" s="486">
        <f t="shared" si="30"/>
        <v>391</v>
      </c>
      <c r="B393" s="486" t="s">
        <v>3917</v>
      </c>
      <c r="C393" s="486">
        <v>1200000136</v>
      </c>
      <c r="D393" s="486" t="s">
        <v>5021</v>
      </c>
      <c r="E393" s="486" t="s">
        <v>1212</v>
      </c>
      <c r="F393" s="486" t="s">
        <v>1214</v>
      </c>
      <c r="G393" s="486" t="s">
        <v>3915</v>
      </c>
      <c r="H393" s="485" t="s">
        <v>1214</v>
      </c>
      <c r="I393" s="486" t="s">
        <v>3915</v>
      </c>
      <c r="J393" s="486" t="s">
        <v>3916</v>
      </c>
      <c r="K393" s="486" t="s">
        <v>1756</v>
      </c>
      <c r="L393" s="486" t="s">
        <v>1473</v>
      </c>
      <c r="M393" s="486" t="s">
        <v>1230</v>
      </c>
      <c r="N393" s="486" t="s">
        <v>1231</v>
      </c>
      <c r="O393" s="486" t="s">
        <v>1232</v>
      </c>
      <c r="P393" s="486" t="s">
        <v>1156</v>
      </c>
      <c r="Q393" s="487">
        <v>44333</v>
      </c>
      <c r="R393" s="487">
        <v>46549</v>
      </c>
      <c r="S393" s="488">
        <v>1</v>
      </c>
      <c r="T393" s="488">
        <v>0.2</v>
      </c>
      <c r="U393" s="489">
        <v>3282828</v>
      </c>
      <c r="V393" s="489">
        <v>3282828</v>
      </c>
      <c r="W393" s="489">
        <v>3282828</v>
      </c>
      <c r="X393" s="489">
        <f t="shared" si="31"/>
        <v>0</v>
      </c>
      <c r="Y393" s="489">
        <f t="shared" si="32"/>
        <v>0</v>
      </c>
      <c r="Z393" s="489">
        <v>3212310.47</v>
      </c>
      <c r="AA393" s="489">
        <v>3282828</v>
      </c>
      <c r="AB393" s="489">
        <v>3282828</v>
      </c>
      <c r="AC393" s="489">
        <f t="shared" si="33"/>
        <v>70517.529999999795</v>
      </c>
      <c r="AD393" s="489">
        <f t="shared" si="34"/>
        <v>0</v>
      </c>
      <c r="AE393" s="489">
        <v>0</v>
      </c>
      <c r="AF393" s="489">
        <v>0</v>
      </c>
      <c r="AG393" s="490" t="s">
        <v>1237</v>
      </c>
      <c r="AH393" s="490" t="s">
        <v>1236</v>
      </c>
      <c r="AI393" s="490"/>
      <c r="AJ393" s="490" t="s">
        <v>1259</v>
      </c>
      <c r="AK393" s="490" t="s">
        <v>1260</v>
      </c>
      <c r="AL393" s="491"/>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row>
    <row r="394" spans="1:80" ht="18" customHeight="1" x14ac:dyDescent="0.25">
      <c r="A394" s="486">
        <f t="shared" si="30"/>
        <v>392</v>
      </c>
      <c r="B394" s="486" t="s">
        <v>3918</v>
      </c>
      <c r="C394" s="486">
        <v>1100000189</v>
      </c>
      <c r="D394" s="486" t="s">
        <v>5022</v>
      </c>
      <c r="E394" s="486" t="s">
        <v>1212</v>
      </c>
      <c r="F394" s="486" t="s">
        <v>1214</v>
      </c>
      <c r="G394" s="486" t="s">
        <v>3915</v>
      </c>
      <c r="H394" s="485" t="s">
        <v>1214</v>
      </c>
      <c r="I394" s="486" t="s">
        <v>3915</v>
      </c>
      <c r="J394" s="486" t="s">
        <v>3916</v>
      </c>
      <c r="K394" s="486" t="s">
        <v>1756</v>
      </c>
      <c r="L394" s="486" t="s">
        <v>2783</v>
      </c>
      <c r="M394" s="486" t="s">
        <v>1230</v>
      </c>
      <c r="N394" s="486" t="s">
        <v>1231</v>
      </c>
      <c r="O394" s="486" t="s">
        <v>1232</v>
      </c>
      <c r="P394" s="486" t="s">
        <v>1156</v>
      </c>
      <c r="Q394" s="487">
        <v>44333</v>
      </c>
      <c r="R394" s="487">
        <v>46549</v>
      </c>
      <c r="S394" s="488">
        <v>1</v>
      </c>
      <c r="T394" s="488"/>
      <c r="U394" s="489">
        <v>217172</v>
      </c>
      <c r="V394" s="489">
        <v>217172</v>
      </c>
      <c r="W394" s="489">
        <v>217172</v>
      </c>
      <c r="X394" s="489">
        <f t="shared" si="31"/>
        <v>0</v>
      </c>
      <c r="Y394" s="489">
        <f t="shared" si="32"/>
        <v>0</v>
      </c>
      <c r="Z394" s="489">
        <v>0</v>
      </c>
      <c r="AA394" s="489">
        <v>0</v>
      </c>
      <c r="AB394" s="489">
        <v>0</v>
      </c>
      <c r="AC394" s="489">
        <f t="shared" si="33"/>
        <v>0</v>
      </c>
      <c r="AD394" s="489">
        <f t="shared" si="34"/>
        <v>0</v>
      </c>
      <c r="AE394" s="489">
        <v>0</v>
      </c>
      <c r="AF394" s="489">
        <v>217172</v>
      </c>
      <c r="AG394" s="490" t="s">
        <v>1237</v>
      </c>
      <c r="AH394" s="490" t="s">
        <v>1236</v>
      </c>
      <c r="AI394" s="490"/>
      <c r="AJ394" s="490" t="s">
        <v>1259</v>
      </c>
      <c r="AK394" s="490" t="s">
        <v>1260</v>
      </c>
      <c r="AL394" s="491"/>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row>
    <row r="395" spans="1:80" ht="18" customHeight="1" x14ac:dyDescent="0.25">
      <c r="A395" s="486">
        <f t="shared" si="30"/>
        <v>393</v>
      </c>
      <c r="B395" s="486" t="s">
        <v>3922</v>
      </c>
      <c r="C395" s="486">
        <v>2200000154</v>
      </c>
      <c r="D395" s="486" t="s">
        <v>5023</v>
      </c>
      <c r="E395" s="486" t="s">
        <v>1623</v>
      </c>
      <c r="F395" s="486" t="s">
        <v>1622</v>
      </c>
      <c r="G395" s="486" t="s">
        <v>3919</v>
      </c>
      <c r="H395" s="485" t="s">
        <v>2652</v>
      </c>
      <c r="I395" s="486" t="s">
        <v>3920</v>
      </c>
      <c r="J395" s="486" t="s">
        <v>3921</v>
      </c>
      <c r="K395" s="486" t="s">
        <v>1756</v>
      </c>
      <c r="L395" s="486" t="s">
        <v>1473</v>
      </c>
      <c r="M395" s="486" t="s">
        <v>1230</v>
      </c>
      <c r="N395" s="486" t="s">
        <v>1231</v>
      </c>
      <c r="O395" s="486" t="s">
        <v>1232</v>
      </c>
      <c r="P395" s="486" t="s">
        <v>469</v>
      </c>
      <c r="Q395" s="487">
        <v>44336</v>
      </c>
      <c r="R395" s="487">
        <v>45492</v>
      </c>
      <c r="S395" s="488">
        <v>1.5</v>
      </c>
      <c r="T395" s="488">
        <v>0.3</v>
      </c>
      <c r="U395" s="489">
        <v>1380729</v>
      </c>
      <c r="V395" s="489">
        <v>1380729</v>
      </c>
      <c r="W395" s="489">
        <v>1380729</v>
      </c>
      <c r="X395" s="489">
        <f t="shared" si="31"/>
        <v>0</v>
      </c>
      <c r="Y395" s="489">
        <f t="shared" si="32"/>
        <v>0</v>
      </c>
      <c r="Z395" s="489">
        <v>396628.34</v>
      </c>
      <c r="AA395" s="489">
        <v>435537.6</v>
      </c>
      <c r="AB395" s="489">
        <v>435537.6</v>
      </c>
      <c r="AC395" s="489">
        <f t="shared" si="33"/>
        <v>38909.259999999951</v>
      </c>
      <c r="AD395" s="489">
        <f t="shared" si="34"/>
        <v>0</v>
      </c>
      <c r="AE395" s="489">
        <v>945191.4</v>
      </c>
      <c r="AF395" s="489">
        <v>0</v>
      </c>
      <c r="AG395" s="490" t="s">
        <v>1245</v>
      </c>
      <c r="AH395" s="490" t="s">
        <v>1247</v>
      </c>
      <c r="AI395" s="490" t="s">
        <v>1248</v>
      </c>
      <c r="AJ395" s="490" t="s">
        <v>1246</v>
      </c>
      <c r="AK395" s="490" t="s">
        <v>1235</v>
      </c>
      <c r="AL395" s="491"/>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row>
    <row r="396" spans="1:80" ht="18" customHeight="1" x14ac:dyDescent="0.25">
      <c r="A396" s="486">
        <f t="shared" si="30"/>
        <v>394</v>
      </c>
      <c r="B396" s="486" t="s">
        <v>3923</v>
      </c>
      <c r="C396" s="486">
        <v>2100000191</v>
      </c>
      <c r="D396" s="486" t="s">
        <v>5024</v>
      </c>
      <c r="E396" s="486" t="s">
        <v>1623</v>
      </c>
      <c r="F396" s="486" t="s">
        <v>1622</v>
      </c>
      <c r="G396" s="486" t="s">
        <v>3919</v>
      </c>
      <c r="H396" s="485" t="s">
        <v>2652</v>
      </c>
      <c r="I396" s="486" t="s">
        <v>3920</v>
      </c>
      <c r="J396" s="486" t="s">
        <v>3921</v>
      </c>
      <c r="K396" s="486" t="s">
        <v>1756</v>
      </c>
      <c r="L396" s="486" t="s">
        <v>2783</v>
      </c>
      <c r="M396" s="486" t="s">
        <v>1230</v>
      </c>
      <c r="N396" s="486" t="s">
        <v>1231</v>
      </c>
      <c r="O396" s="486" t="s">
        <v>1231</v>
      </c>
      <c r="P396" s="486" t="s">
        <v>469</v>
      </c>
      <c r="Q396" s="487">
        <v>44336</v>
      </c>
      <c r="R396" s="487">
        <v>45492</v>
      </c>
      <c r="S396" s="488">
        <v>1.5</v>
      </c>
      <c r="T396" s="488"/>
      <c r="U396" s="489">
        <v>907855</v>
      </c>
      <c r="V396" s="489">
        <v>907855</v>
      </c>
      <c r="W396" s="489">
        <v>907855</v>
      </c>
      <c r="X396" s="489">
        <f t="shared" si="31"/>
        <v>0</v>
      </c>
      <c r="Y396" s="489">
        <f t="shared" si="32"/>
        <v>0</v>
      </c>
      <c r="Z396" s="489">
        <v>0</v>
      </c>
      <c r="AA396" s="489">
        <v>0</v>
      </c>
      <c r="AB396" s="489">
        <v>0</v>
      </c>
      <c r="AC396" s="489">
        <f t="shared" si="33"/>
        <v>0</v>
      </c>
      <c r="AD396" s="489">
        <f t="shared" si="34"/>
        <v>0</v>
      </c>
      <c r="AE396" s="489">
        <v>0</v>
      </c>
      <c r="AF396" s="489">
        <v>907855</v>
      </c>
      <c r="AG396" s="490" t="s">
        <v>1245</v>
      </c>
      <c r="AH396" s="490" t="s">
        <v>1247</v>
      </c>
      <c r="AI396" s="490" t="s">
        <v>1248</v>
      </c>
      <c r="AJ396" s="490" t="s">
        <v>1246</v>
      </c>
      <c r="AK396" s="490" t="s">
        <v>1235</v>
      </c>
      <c r="AL396" s="491"/>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row>
    <row r="397" spans="1:80" ht="18" customHeight="1" x14ac:dyDescent="0.25">
      <c r="A397" s="486">
        <f t="shared" si="30"/>
        <v>395</v>
      </c>
      <c r="B397" s="486" t="s">
        <v>3927</v>
      </c>
      <c r="C397" s="486">
        <v>2200000153</v>
      </c>
      <c r="D397" s="486" t="s">
        <v>5025</v>
      </c>
      <c r="E397" s="486" t="s">
        <v>1624</v>
      </c>
      <c r="F397" s="486" t="s">
        <v>3926</v>
      </c>
      <c r="G397" s="486" t="s">
        <v>3924</v>
      </c>
      <c r="H397" s="485" t="s">
        <v>2652</v>
      </c>
      <c r="I397" s="486" t="s">
        <v>3920</v>
      </c>
      <c r="J397" s="486" t="s">
        <v>3925</v>
      </c>
      <c r="K397" s="486" t="s">
        <v>1756</v>
      </c>
      <c r="L397" s="486" t="s">
        <v>1473</v>
      </c>
      <c r="M397" s="486" t="s">
        <v>1230</v>
      </c>
      <c r="N397" s="486" t="s">
        <v>1231</v>
      </c>
      <c r="O397" s="486" t="s">
        <v>1232</v>
      </c>
      <c r="P397" s="486" t="s">
        <v>469</v>
      </c>
      <c r="Q397" s="487">
        <v>44336</v>
      </c>
      <c r="R397" s="487">
        <v>45492</v>
      </c>
      <c r="S397" s="488">
        <v>1.5</v>
      </c>
      <c r="T397" s="488">
        <v>0.3</v>
      </c>
      <c r="U397" s="489">
        <v>3619271</v>
      </c>
      <c r="V397" s="489">
        <v>3619271</v>
      </c>
      <c r="W397" s="489">
        <v>3619271</v>
      </c>
      <c r="X397" s="489">
        <f t="shared" si="31"/>
        <v>0</v>
      </c>
      <c r="Y397" s="489">
        <f t="shared" si="32"/>
        <v>0</v>
      </c>
      <c r="Z397" s="489">
        <v>1</v>
      </c>
      <c r="AA397" s="489">
        <v>568834.63</v>
      </c>
      <c r="AB397" s="489">
        <v>568834.63</v>
      </c>
      <c r="AC397" s="489">
        <f t="shared" si="33"/>
        <v>568833.63</v>
      </c>
      <c r="AD397" s="489">
        <f t="shared" si="34"/>
        <v>0</v>
      </c>
      <c r="AE397" s="489">
        <v>3050436.37</v>
      </c>
      <c r="AF397" s="489">
        <v>0</v>
      </c>
      <c r="AG397" s="490" t="s">
        <v>1245</v>
      </c>
      <c r="AH397" s="490" t="s">
        <v>1247</v>
      </c>
      <c r="AI397" s="490" t="s">
        <v>1248</v>
      </c>
      <c r="AJ397" s="490" t="s">
        <v>1246</v>
      </c>
      <c r="AK397" s="490" t="s">
        <v>1235</v>
      </c>
      <c r="AL397" s="491"/>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row>
    <row r="398" spans="1:80" ht="18" customHeight="1" x14ac:dyDescent="0.25">
      <c r="A398" s="492">
        <f t="shared" si="30"/>
        <v>396</v>
      </c>
      <c r="B398" s="492" t="s">
        <v>3937</v>
      </c>
      <c r="C398" s="492">
        <v>2200000155</v>
      </c>
      <c r="D398" s="492" t="s">
        <v>5026</v>
      </c>
      <c r="E398" s="492" t="s">
        <v>1626</v>
      </c>
      <c r="F398" s="492" t="s">
        <v>3936</v>
      </c>
      <c r="G398" s="492" t="s">
        <v>3934</v>
      </c>
      <c r="H398" s="492" t="s">
        <v>3936</v>
      </c>
      <c r="I398" s="492" t="s">
        <v>3934</v>
      </c>
      <c r="J398" s="492" t="s">
        <v>3935</v>
      </c>
      <c r="K398" s="492" t="s">
        <v>1756</v>
      </c>
      <c r="L398" s="492" t="s">
        <v>1473</v>
      </c>
      <c r="M398" s="493" t="s">
        <v>1230</v>
      </c>
      <c r="N398" s="493" t="s">
        <v>1232</v>
      </c>
      <c r="O398" s="492" t="s">
        <v>1232</v>
      </c>
      <c r="P398" s="492" t="s">
        <v>469</v>
      </c>
      <c r="Q398" s="494">
        <v>44337</v>
      </c>
      <c r="R398" s="494">
        <v>45113</v>
      </c>
      <c r="S398" s="495">
        <v>1.5</v>
      </c>
      <c r="T398" s="495">
        <v>0.3</v>
      </c>
      <c r="U398" s="496">
        <v>2934240</v>
      </c>
      <c r="V398" s="496">
        <v>2934240</v>
      </c>
      <c r="W398" s="496">
        <v>2934240</v>
      </c>
      <c r="X398" s="496">
        <f t="shared" si="31"/>
        <v>0</v>
      </c>
      <c r="Y398" s="496">
        <f t="shared" si="32"/>
        <v>0</v>
      </c>
      <c r="Z398" s="496">
        <v>1290207.6499999999</v>
      </c>
      <c r="AA398" s="496">
        <v>1290207.6499999999</v>
      </c>
      <c r="AB398" s="496">
        <v>1336987.5900000001</v>
      </c>
      <c r="AC398" s="496">
        <f t="shared" si="33"/>
        <v>46779.940000000177</v>
      </c>
      <c r="AD398" s="496">
        <f t="shared" si="34"/>
        <v>46779.940000000177</v>
      </c>
      <c r="AE398" s="496">
        <v>1597252.41</v>
      </c>
      <c r="AF398" s="496">
        <v>0</v>
      </c>
      <c r="AG398" s="497" t="s">
        <v>1245</v>
      </c>
      <c r="AH398" s="497" t="s">
        <v>1247</v>
      </c>
      <c r="AI398" s="497" t="s">
        <v>1248</v>
      </c>
      <c r="AJ398" s="497" t="s">
        <v>1246</v>
      </c>
      <c r="AK398" s="497" t="s">
        <v>1235</v>
      </c>
      <c r="AL398" s="491"/>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c r="BV398"/>
      <c r="BW398"/>
      <c r="BX398"/>
      <c r="BY398"/>
      <c r="BZ398"/>
      <c r="CA398"/>
      <c r="CB398"/>
    </row>
    <row r="399" spans="1:80" ht="18" customHeight="1" x14ac:dyDescent="0.25">
      <c r="A399" s="486">
        <f t="shared" si="30"/>
        <v>397</v>
      </c>
      <c r="B399" s="486" t="s">
        <v>3940</v>
      </c>
      <c r="C399" s="486">
        <v>2200000157</v>
      </c>
      <c r="D399" s="486" t="s">
        <v>5027</v>
      </c>
      <c r="E399" s="486" t="s">
        <v>1627</v>
      </c>
      <c r="F399" s="486" t="s">
        <v>2654</v>
      </c>
      <c r="G399" s="486" t="s">
        <v>3938</v>
      </c>
      <c r="H399" s="485" t="s">
        <v>2654</v>
      </c>
      <c r="I399" s="486" t="s">
        <v>3938</v>
      </c>
      <c r="J399" s="486" t="s">
        <v>3939</v>
      </c>
      <c r="K399" s="486" t="s">
        <v>1756</v>
      </c>
      <c r="L399" s="486" t="s">
        <v>1473</v>
      </c>
      <c r="M399" s="486" t="s">
        <v>1230</v>
      </c>
      <c r="N399" s="486" t="s">
        <v>1231</v>
      </c>
      <c r="O399" s="486" t="s">
        <v>1232</v>
      </c>
      <c r="P399" s="486" t="s">
        <v>469</v>
      </c>
      <c r="Q399" s="487">
        <v>44337</v>
      </c>
      <c r="R399" s="487">
        <v>45476</v>
      </c>
      <c r="S399" s="488">
        <v>1.5</v>
      </c>
      <c r="T399" s="488">
        <v>0.3</v>
      </c>
      <c r="U399" s="489">
        <v>1847313</v>
      </c>
      <c r="V399" s="489">
        <v>1847313</v>
      </c>
      <c r="W399" s="489">
        <v>1847313</v>
      </c>
      <c r="X399" s="489">
        <f t="shared" si="31"/>
        <v>0</v>
      </c>
      <c r="Y399" s="489">
        <f t="shared" si="32"/>
        <v>0</v>
      </c>
      <c r="Z399" s="489">
        <v>1547175.37</v>
      </c>
      <c r="AA399" s="489">
        <v>1547175.37</v>
      </c>
      <c r="AB399" s="489">
        <v>1627513.37</v>
      </c>
      <c r="AC399" s="489">
        <f t="shared" si="33"/>
        <v>80338</v>
      </c>
      <c r="AD399" s="489">
        <f t="shared" si="34"/>
        <v>80338</v>
      </c>
      <c r="AE399" s="489">
        <v>219799.63</v>
      </c>
      <c r="AF399" s="489">
        <v>0</v>
      </c>
      <c r="AG399" s="490" t="s">
        <v>1245</v>
      </c>
      <c r="AH399" s="490" t="s">
        <v>1247</v>
      </c>
      <c r="AI399" s="490" t="s">
        <v>1269</v>
      </c>
      <c r="AJ399" s="490" t="s">
        <v>1246</v>
      </c>
      <c r="AK399" s="490" t="s">
        <v>1235</v>
      </c>
      <c r="AL399" s="491"/>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c r="BV399"/>
      <c r="BW399"/>
      <c r="BX399"/>
      <c r="BY399"/>
      <c r="BZ399"/>
      <c r="CA399"/>
      <c r="CB399"/>
    </row>
    <row r="400" spans="1:80" ht="18" customHeight="1" x14ac:dyDescent="0.25">
      <c r="A400" s="486">
        <f t="shared" si="30"/>
        <v>398</v>
      </c>
      <c r="B400" s="486" t="s">
        <v>3941</v>
      </c>
      <c r="C400" s="486">
        <v>2200000158</v>
      </c>
      <c r="D400" s="486" t="s">
        <v>5028</v>
      </c>
      <c r="E400" s="486" t="s">
        <v>1627</v>
      </c>
      <c r="F400" s="486" t="s">
        <v>2654</v>
      </c>
      <c r="G400" s="486" t="s">
        <v>3938</v>
      </c>
      <c r="H400" s="485" t="s">
        <v>2654</v>
      </c>
      <c r="I400" s="486" t="s">
        <v>3938</v>
      </c>
      <c r="J400" s="486" t="s">
        <v>3939</v>
      </c>
      <c r="K400" s="486" t="s">
        <v>1756</v>
      </c>
      <c r="L400" s="486" t="s">
        <v>1473</v>
      </c>
      <c r="M400" s="486" t="s">
        <v>1230</v>
      </c>
      <c r="N400" s="486" t="s">
        <v>1231</v>
      </c>
      <c r="O400" s="486" t="s">
        <v>1232</v>
      </c>
      <c r="P400" s="486" t="s">
        <v>469</v>
      </c>
      <c r="Q400" s="487">
        <v>44337</v>
      </c>
      <c r="R400" s="487">
        <v>45476</v>
      </c>
      <c r="S400" s="488">
        <v>1.5</v>
      </c>
      <c r="T400" s="488">
        <v>0.3</v>
      </c>
      <c r="U400" s="489">
        <v>2211907</v>
      </c>
      <c r="V400" s="489">
        <v>2211907</v>
      </c>
      <c r="W400" s="489">
        <v>2211907</v>
      </c>
      <c r="X400" s="489">
        <f t="shared" si="31"/>
        <v>0</v>
      </c>
      <c r="Y400" s="489">
        <f t="shared" si="32"/>
        <v>0</v>
      </c>
      <c r="Z400" s="489">
        <v>1781720.08</v>
      </c>
      <c r="AA400" s="489">
        <v>1781720.08</v>
      </c>
      <c r="AB400" s="489">
        <v>1884972.08</v>
      </c>
      <c r="AC400" s="489">
        <f t="shared" si="33"/>
        <v>103252</v>
      </c>
      <c r="AD400" s="489">
        <f t="shared" si="34"/>
        <v>103252</v>
      </c>
      <c r="AE400" s="489">
        <v>326934.92000000004</v>
      </c>
      <c r="AF400" s="489">
        <v>0</v>
      </c>
      <c r="AG400" s="490" t="s">
        <v>1245</v>
      </c>
      <c r="AH400" s="490" t="s">
        <v>1247</v>
      </c>
      <c r="AI400" s="490" t="s">
        <v>1269</v>
      </c>
      <c r="AJ400" s="490" t="s">
        <v>1246</v>
      </c>
      <c r="AK400" s="490" t="s">
        <v>1235</v>
      </c>
      <c r="AL400" s="491"/>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c r="BV400"/>
      <c r="BW400"/>
      <c r="BX400"/>
      <c r="BY400"/>
      <c r="BZ400"/>
      <c r="CA400"/>
      <c r="CB400"/>
    </row>
    <row r="401" spans="1:80" ht="18" customHeight="1" x14ac:dyDescent="0.25">
      <c r="A401" s="492">
        <f t="shared" si="30"/>
        <v>399</v>
      </c>
      <c r="B401" s="492" t="s">
        <v>3944</v>
      </c>
      <c r="C401" s="492">
        <v>7200000104</v>
      </c>
      <c r="D401" s="492" t="s">
        <v>5029</v>
      </c>
      <c r="E401" s="492" t="s">
        <v>1628</v>
      </c>
      <c r="F401" s="492" t="s">
        <v>2655</v>
      </c>
      <c r="G401" s="492" t="s">
        <v>3942</v>
      </c>
      <c r="H401" s="492" t="s">
        <v>2655</v>
      </c>
      <c r="I401" s="492" t="s">
        <v>3942</v>
      </c>
      <c r="J401" s="492" t="s">
        <v>3943</v>
      </c>
      <c r="K401" s="492" t="s">
        <v>1756</v>
      </c>
      <c r="L401" s="492" t="s">
        <v>1473</v>
      </c>
      <c r="M401" s="493" t="s">
        <v>1230</v>
      </c>
      <c r="N401" s="493" t="s">
        <v>1232</v>
      </c>
      <c r="O401" s="492" t="s">
        <v>1232</v>
      </c>
      <c r="P401" s="492" t="s">
        <v>469</v>
      </c>
      <c r="Q401" s="494">
        <v>44337</v>
      </c>
      <c r="R401" s="494">
        <v>45492</v>
      </c>
      <c r="S401" s="495">
        <v>1</v>
      </c>
      <c r="T401" s="495">
        <v>0.2</v>
      </c>
      <c r="U401" s="496">
        <v>1140807</v>
      </c>
      <c r="V401" s="496">
        <v>1140807</v>
      </c>
      <c r="W401" s="496">
        <v>1140807</v>
      </c>
      <c r="X401" s="496">
        <f t="shared" si="31"/>
        <v>0</v>
      </c>
      <c r="Y401" s="496">
        <f t="shared" si="32"/>
        <v>0</v>
      </c>
      <c r="Z401" s="496">
        <v>904352</v>
      </c>
      <c r="AA401" s="496">
        <v>904352</v>
      </c>
      <c r="AB401" s="496">
        <v>957739</v>
      </c>
      <c r="AC401" s="496">
        <f t="shared" si="33"/>
        <v>53387</v>
      </c>
      <c r="AD401" s="496">
        <f t="shared" si="34"/>
        <v>53387</v>
      </c>
      <c r="AE401" s="496">
        <v>183068</v>
      </c>
      <c r="AF401" s="496">
        <v>0</v>
      </c>
      <c r="AG401" s="497" t="s">
        <v>1258</v>
      </c>
      <c r="AH401" s="497" t="s">
        <v>1247</v>
      </c>
      <c r="AI401" s="497" t="s">
        <v>1248</v>
      </c>
      <c r="AJ401" s="497" t="s">
        <v>1246</v>
      </c>
      <c r="AK401" s="497" t="s">
        <v>1278</v>
      </c>
      <c r="AL401" s="49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c r="BV401"/>
      <c r="BW401"/>
      <c r="BX401"/>
      <c r="BY401"/>
      <c r="BZ401"/>
      <c r="CA401"/>
      <c r="CB401"/>
    </row>
    <row r="402" spans="1:80" ht="18" customHeight="1" x14ac:dyDescent="0.25">
      <c r="A402" s="486">
        <f t="shared" si="30"/>
        <v>400</v>
      </c>
      <c r="B402" s="486" t="s">
        <v>3947</v>
      </c>
      <c r="C402" s="486">
        <v>3200000123</v>
      </c>
      <c r="D402" s="486" t="s">
        <v>5030</v>
      </c>
      <c r="E402" s="486" t="s">
        <v>1629</v>
      </c>
      <c r="F402" s="486" t="s">
        <v>2656</v>
      </c>
      <c r="G402" s="486" t="s">
        <v>3945</v>
      </c>
      <c r="H402" s="485" t="s">
        <v>2656</v>
      </c>
      <c r="I402" s="486" t="s">
        <v>3945</v>
      </c>
      <c r="J402" s="486" t="s">
        <v>3946</v>
      </c>
      <c r="K402" s="486" t="s">
        <v>1756</v>
      </c>
      <c r="L402" s="486" t="s">
        <v>1473</v>
      </c>
      <c r="M402" s="486" t="s">
        <v>1230</v>
      </c>
      <c r="N402" s="486" t="s">
        <v>1231</v>
      </c>
      <c r="O402" s="486" t="s">
        <v>1232</v>
      </c>
      <c r="P402" s="486" t="s">
        <v>469</v>
      </c>
      <c r="Q402" s="487">
        <v>44337</v>
      </c>
      <c r="R402" s="487">
        <v>45495</v>
      </c>
      <c r="S402" s="488">
        <v>0.35</v>
      </c>
      <c r="T402" s="488">
        <v>7.0000000000000007E-2</v>
      </c>
      <c r="U402" s="489">
        <v>2924000</v>
      </c>
      <c r="V402" s="489">
        <v>2924000</v>
      </c>
      <c r="W402" s="489">
        <v>2924000</v>
      </c>
      <c r="X402" s="489">
        <f t="shared" si="31"/>
        <v>0</v>
      </c>
      <c r="Y402" s="489">
        <f t="shared" si="32"/>
        <v>0</v>
      </c>
      <c r="Z402" s="489">
        <v>2924000</v>
      </c>
      <c r="AA402" s="489">
        <v>2924000</v>
      </c>
      <c r="AB402" s="489">
        <v>2924000</v>
      </c>
      <c r="AC402" s="489">
        <f t="shared" si="33"/>
        <v>0</v>
      </c>
      <c r="AD402" s="489">
        <f t="shared" si="34"/>
        <v>0</v>
      </c>
      <c r="AE402" s="489">
        <v>0</v>
      </c>
      <c r="AF402" s="489">
        <v>0</v>
      </c>
      <c r="AG402" s="490" t="s">
        <v>1250</v>
      </c>
      <c r="AH402" s="490" t="s">
        <v>1252</v>
      </c>
      <c r="AI402" s="490" t="s">
        <v>1248</v>
      </c>
      <c r="AJ402" s="490" t="s">
        <v>1234</v>
      </c>
      <c r="AK402" s="490" t="s">
        <v>1251</v>
      </c>
      <c r="AL402" s="491"/>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c r="BV402"/>
      <c r="BW402"/>
      <c r="BX402"/>
      <c r="BY402"/>
      <c r="BZ402"/>
      <c r="CA402"/>
      <c r="CB402"/>
    </row>
    <row r="403" spans="1:80" ht="18" customHeight="1" x14ac:dyDescent="0.25">
      <c r="A403" s="486">
        <f t="shared" si="30"/>
        <v>401</v>
      </c>
      <c r="B403" s="486" t="s">
        <v>3948</v>
      </c>
      <c r="C403" s="486">
        <v>3200000122</v>
      </c>
      <c r="D403" s="486" t="s">
        <v>5031</v>
      </c>
      <c r="E403" s="486" t="s">
        <v>1629</v>
      </c>
      <c r="F403" s="486" t="s">
        <v>2656</v>
      </c>
      <c r="G403" s="486" t="s">
        <v>3945</v>
      </c>
      <c r="H403" s="485" t="s">
        <v>2656</v>
      </c>
      <c r="I403" s="486" t="s">
        <v>3945</v>
      </c>
      <c r="J403" s="486" t="s">
        <v>3946</v>
      </c>
      <c r="K403" s="486" t="s">
        <v>1756</v>
      </c>
      <c r="L403" s="486" t="s">
        <v>1473</v>
      </c>
      <c r="M403" s="486" t="s">
        <v>1230</v>
      </c>
      <c r="N403" s="486" t="s">
        <v>1231</v>
      </c>
      <c r="O403" s="486" t="s">
        <v>1232</v>
      </c>
      <c r="P403" s="486" t="s">
        <v>469</v>
      </c>
      <c r="Q403" s="487">
        <v>44337</v>
      </c>
      <c r="R403" s="487">
        <v>45495</v>
      </c>
      <c r="S403" s="488">
        <v>1</v>
      </c>
      <c r="T403" s="488">
        <v>0.2</v>
      </c>
      <c r="U403" s="489">
        <v>406000</v>
      </c>
      <c r="V403" s="489">
        <v>406000</v>
      </c>
      <c r="W403" s="489">
        <v>406000</v>
      </c>
      <c r="X403" s="489">
        <f t="shared" si="31"/>
        <v>0</v>
      </c>
      <c r="Y403" s="489">
        <f t="shared" si="32"/>
        <v>0</v>
      </c>
      <c r="Z403" s="489">
        <v>406000</v>
      </c>
      <c r="AA403" s="489">
        <v>406000</v>
      </c>
      <c r="AB403" s="489">
        <v>406000</v>
      </c>
      <c r="AC403" s="489">
        <f t="shared" si="33"/>
        <v>0</v>
      </c>
      <c r="AD403" s="489">
        <f t="shared" si="34"/>
        <v>0</v>
      </c>
      <c r="AE403" s="489">
        <v>0</v>
      </c>
      <c r="AF403" s="489">
        <v>0</v>
      </c>
      <c r="AG403" s="490" t="s">
        <v>1250</v>
      </c>
      <c r="AH403" s="490" t="s">
        <v>1291</v>
      </c>
      <c r="AI403" s="490" t="s">
        <v>1317</v>
      </c>
      <c r="AJ403" s="490" t="s">
        <v>1234</v>
      </c>
      <c r="AK403" s="490" t="s">
        <v>1240</v>
      </c>
      <c r="AL403" s="491"/>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c r="BV403"/>
      <c r="BW403"/>
      <c r="BX403"/>
      <c r="BY403"/>
      <c r="BZ403"/>
      <c r="CA403"/>
      <c r="CB403"/>
    </row>
    <row r="404" spans="1:80" ht="18" customHeight="1" x14ac:dyDescent="0.25">
      <c r="A404" s="492">
        <f t="shared" si="30"/>
        <v>402</v>
      </c>
      <c r="B404" s="492" t="s">
        <v>3952</v>
      </c>
      <c r="C404" s="492">
        <v>2200000156</v>
      </c>
      <c r="D404" s="492" t="s">
        <v>5032</v>
      </c>
      <c r="E404" s="492" t="s">
        <v>1630</v>
      </c>
      <c r="F404" s="492" t="s">
        <v>3951</v>
      </c>
      <c r="G404" s="492" t="s">
        <v>3949</v>
      </c>
      <c r="H404" s="492" t="s">
        <v>3951</v>
      </c>
      <c r="I404" s="492" t="s">
        <v>3949</v>
      </c>
      <c r="J404" s="492" t="s">
        <v>3950</v>
      </c>
      <c r="K404" s="492" t="s">
        <v>1756</v>
      </c>
      <c r="L404" s="492" t="s">
        <v>1473</v>
      </c>
      <c r="M404" s="493" t="s">
        <v>1230</v>
      </c>
      <c r="N404" s="493" t="s">
        <v>1232</v>
      </c>
      <c r="O404" s="492" t="s">
        <v>1232</v>
      </c>
      <c r="P404" s="492" t="s">
        <v>469</v>
      </c>
      <c r="Q404" s="494">
        <v>44337</v>
      </c>
      <c r="R404" s="494">
        <v>45495</v>
      </c>
      <c r="S404" s="495">
        <v>1.5</v>
      </c>
      <c r="T404" s="495">
        <v>0.3</v>
      </c>
      <c r="U404" s="496">
        <v>1246665</v>
      </c>
      <c r="V404" s="496">
        <v>1246665</v>
      </c>
      <c r="W404" s="496">
        <v>1246665</v>
      </c>
      <c r="X404" s="496">
        <f t="shared" si="31"/>
        <v>0</v>
      </c>
      <c r="Y404" s="496">
        <f t="shared" si="32"/>
        <v>0</v>
      </c>
      <c r="Z404" s="496">
        <v>114996.12</v>
      </c>
      <c r="AA404" s="496">
        <v>114996.12</v>
      </c>
      <c r="AB404" s="496">
        <v>114996.12</v>
      </c>
      <c r="AC404" s="496">
        <f t="shared" si="33"/>
        <v>0</v>
      </c>
      <c r="AD404" s="496">
        <f t="shared" si="34"/>
        <v>0</v>
      </c>
      <c r="AE404" s="496">
        <v>1131668.8799999999</v>
      </c>
      <c r="AF404" s="496">
        <v>0</v>
      </c>
      <c r="AG404" s="497" t="s">
        <v>1245</v>
      </c>
      <c r="AH404" s="497" t="s">
        <v>1247</v>
      </c>
      <c r="AI404" s="497" t="s">
        <v>1248</v>
      </c>
      <c r="AJ404" s="497" t="s">
        <v>1246</v>
      </c>
      <c r="AK404" s="497" t="s">
        <v>1235</v>
      </c>
      <c r="AL404" s="491"/>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row>
    <row r="405" spans="1:80" ht="18" customHeight="1" x14ac:dyDescent="0.25">
      <c r="A405" s="492">
        <f t="shared" si="30"/>
        <v>403</v>
      </c>
      <c r="B405" s="492" t="s">
        <v>3956</v>
      </c>
      <c r="C405" s="492">
        <v>5200000149</v>
      </c>
      <c r="D405" s="492" t="s">
        <v>5033</v>
      </c>
      <c r="E405" s="492" t="s">
        <v>1633</v>
      </c>
      <c r="F405" s="492" t="s">
        <v>2658</v>
      </c>
      <c r="G405" s="492" t="s">
        <v>3954</v>
      </c>
      <c r="H405" s="492" t="s">
        <v>2658</v>
      </c>
      <c r="I405" s="492" t="s">
        <v>3954</v>
      </c>
      <c r="J405" s="492" t="s">
        <v>3955</v>
      </c>
      <c r="K405" s="492" t="s">
        <v>1756</v>
      </c>
      <c r="L405" s="492" t="s">
        <v>1473</v>
      </c>
      <c r="M405" s="493" t="s">
        <v>1230</v>
      </c>
      <c r="N405" s="493" t="s">
        <v>1232</v>
      </c>
      <c r="O405" s="492" t="s">
        <v>1232</v>
      </c>
      <c r="P405" s="492" t="s">
        <v>469</v>
      </c>
      <c r="Q405" s="494">
        <v>44340</v>
      </c>
      <c r="R405" s="494">
        <v>45440</v>
      </c>
      <c r="S405" s="495">
        <v>1</v>
      </c>
      <c r="T405" s="495">
        <v>0.2</v>
      </c>
      <c r="U405" s="496">
        <v>931596</v>
      </c>
      <c r="V405" s="496">
        <v>931596</v>
      </c>
      <c r="W405" s="496">
        <v>931596</v>
      </c>
      <c r="X405" s="496">
        <f t="shared" si="31"/>
        <v>0</v>
      </c>
      <c r="Y405" s="496">
        <f t="shared" si="32"/>
        <v>0</v>
      </c>
      <c r="Z405" s="496">
        <v>931596</v>
      </c>
      <c r="AA405" s="496">
        <v>931596</v>
      </c>
      <c r="AB405" s="496">
        <v>931596</v>
      </c>
      <c r="AC405" s="496">
        <f t="shared" si="33"/>
        <v>0</v>
      </c>
      <c r="AD405" s="496">
        <f t="shared" si="34"/>
        <v>0</v>
      </c>
      <c r="AE405" s="496">
        <v>0</v>
      </c>
      <c r="AF405" s="496">
        <v>0</v>
      </c>
      <c r="AG405" s="497" t="s">
        <v>1288</v>
      </c>
      <c r="AH405" s="497" t="s">
        <v>1252</v>
      </c>
      <c r="AI405" s="497" t="s">
        <v>1248</v>
      </c>
      <c r="AJ405" s="497" t="s">
        <v>1234</v>
      </c>
      <c r="AK405" s="497" t="s">
        <v>1278</v>
      </c>
      <c r="AL405" s="491"/>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row>
    <row r="406" spans="1:80" ht="18" customHeight="1" x14ac:dyDescent="0.25">
      <c r="A406" s="492">
        <f t="shared" si="30"/>
        <v>404</v>
      </c>
      <c r="B406" s="492" t="s">
        <v>3959</v>
      </c>
      <c r="C406" s="492">
        <v>1200000156</v>
      </c>
      <c r="D406" s="492" t="s">
        <v>5034</v>
      </c>
      <c r="E406" s="492" t="s">
        <v>1207</v>
      </c>
      <c r="F406" s="492" t="s">
        <v>2673</v>
      </c>
      <c r="G406" s="492" t="s">
        <v>3957</v>
      </c>
      <c r="H406" s="492" t="s">
        <v>2673</v>
      </c>
      <c r="I406" s="492" t="s">
        <v>3957</v>
      </c>
      <c r="J406" s="492" t="s">
        <v>3958</v>
      </c>
      <c r="K406" s="492" t="s">
        <v>1756</v>
      </c>
      <c r="L406" s="492" t="s">
        <v>1473</v>
      </c>
      <c r="M406" s="493" t="s">
        <v>1230</v>
      </c>
      <c r="N406" s="493" t="s">
        <v>1232</v>
      </c>
      <c r="O406" s="492" t="s">
        <v>1232</v>
      </c>
      <c r="P406" s="492" t="s">
        <v>1156</v>
      </c>
      <c r="Q406" s="494">
        <v>44340</v>
      </c>
      <c r="R406" s="494">
        <v>46622</v>
      </c>
      <c r="S406" s="495">
        <v>1</v>
      </c>
      <c r="T406" s="495">
        <v>0.2</v>
      </c>
      <c r="U406" s="496">
        <v>5000000</v>
      </c>
      <c r="V406" s="496">
        <v>5000000</v>
      </c>
      <c r="W406" s="496">
        <v>5000000</v>
      </c>
      <c r="X406" s="496">
        <f t="shared" si="31"/>
        <v>0</v>
      </c>
      <c r="Y406" s="496">
        <f t="shared" si="32"/>
        <v>0</v>
      </c>
      <c r="Z406" s="496">
        <v>3175426.88</v>
      </c>
      <c r="AA406" s="496">
        <v>3175426.88</v>
      </c>
      <c r="AB406" s="496">
        <v>3484264.17</v>
      </c>
      <c r="AC406" s="496">
        <f t="shared" si="33"/>
        <v>308837.29000000004</v>
      </c>
      <c r="AD406" s="496">
        <f t="shared" si="34"/>
        <v>308837.29000000004</v>
      </c>
      <c r="AE406" s="496">
        <v>1515735.83</v>
      </c>
      <c r="AF406" s="496">
        <v>0</v>
      </c>
      <c r="AG406" s="497" t="s">
        <v>1237</v>
      </c>
      <c r="AH406" s="497" t="s">
        <v>1419</v>
      </c>
      <c r="AI406" s="497" t="s">
        <v>1650</v>
      </c>
      <c r="AJ406" s="497" t="s">
        <v>1419</v>
      </c>
      <c r="AK406" s="497" t="s">
        <v>1260</v>
      </c>
      <c r="AL406" s="491"/>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row>
    <row r="407" spans="1:80" ht="18" customHeight="1" x14ac:dyDescent="0.25">
      <c r="A407" s="485">
        <f t="shared" si="30"/>
        <v>405</v>
      </c>
      <c r="B407" s="485" t="s">
        <v>3960</v>
      </c>
      <c r="C407" s="485">
        <v>1200000137</v>
      </c>
      <c r="D407" s="485" t="s">
        <v>5035</v>
      </c>
      <c r="E407" s="485" t="s">
        <v>278</v>
      </c>
      <c r="F407" s="485" t="s">
        <v>109</v>
      </c>
      <c r="G407" s="485" t="s">
        <v>1077</v>
      </c>
      <c r="H407" s="485" t="s">
        <v>109</v>
      </c>
      <c r="I407" s="485" t="s">
        <v>1077</v>
      </c>
      <c r="J407" s="485" t="s">
        <v>3445</v>
      </c>
      <c r="K407" s="485" t="s">
        <v>1756</v>
      </c>
      <c r="L407" s="485" t="s">
        <v>1473</v>
      </c>
      <c r="M407" s="486" t="s">
        <v>1230</v>
      </c>
      <c r="N407" s="486" t="s">
        <v>1231</v>
      </c>
      <c r="O407" s="485" t="s">
        <v>1232</v>
      </c>
      <c r="P407" s="485" t="s">
        <v>1156</v>
      </c>
      <c r="Q407" s="487">
        <v>44341</v>
      </c>
      <c r="R407" s="487">
        <v>46532</v>
      </c>
      <c r="S407" s="488">
        <v>1</v>
      </c>
      <c r="T407" s="488">
        <v>0.2</v>
      </c>
      <c r="U407" s="489">
        <v>1141302.73</v>
      </c>
      <c r="V407" s="489">
        <v>1141302.73</v>
      </c>
      <c r="W407" s="489">
        <v>1141302.73</v>
      </c>
      <c r="X407" s="489">
        <f t="shared" si="31"/>
        <v>0</v>
      </c>
      <c r="Y407" s="489">
        <f t="shared" si="32"/>
        <v>0</v>
      </c>
      <c r="Z407" s="489">
        <v>1141302.73</v>
      </c>
      <c r="AA407" s="489">
        <v>1141302.73</v>
      </c>
      <c r="AB407" s="489">
        <v>1141302.73</v>
      </c>
      <c r="AC407" s="489">
        <f t="shared" si="33"/>
        <v>0</v>
      </c>
      <c r="AD407" s="489">
        <f t="shared" si="34"/>
        <v>0</v>
      </c>
      <c r="AE407" s="489">
        <v>0</v>
      </c>
      <c r="AF407" s="489">
        <v>0</v>
      </c>
      <c r="AG407" s="490" t="s">
        <v>1237</v>
      </c>
      <c r="AH407" s="490" t="s">
        <v>1254</v>
      </c>
      <c r="AI407" s="490"/>
      <c r="AJ407" s="490" t="s">
        <v>1253</v>
      </c>
      <c r="AK407" s="490" t="s">
        <v>1260</v>
      </c>
      <c r="AL407" s="491"/>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row>
    <row r="408" spans="1:80" ht="18" customHeight="1" x14ac:dyDescent="0.25">
      <c r="A408" s="485">
        <f t="shared" si="30"/>
        <v>406</v>
      </c>
      <c r="B408" s="485" t="s">
        <v>3961</v>
      </c>
      <c r="C408" s="485">
        <v>1200000138</v>
      </c>
      <c r="D408" s="485" t="s">
        <v>5036</v>
      </c>
      <c r="E408" s="485" t="s">
        <v>278</v>
      </c>
      <c r="F408" s="485" t="s">
        <v>109</v>
      </c>
      <c r="G408" s="485" t="s">
        <v>1077</v>
      </c>
      <c r="H408" s="485" t="s">
        <v>109</v>
      </c>
      <c r="I408" s="485" t="s">
        <v>1077</v>
      </c>
      <c r="J408" s="485" t="s">
        <v>3445</v>
      </c>
      <c r="K408" s="485" t="s">
        <v>1756</v>
      </c>
      <c r="L408" s="485" t="s">
        <v>1473</v>
      </c>
      <c r="M408" s="486" t="s">
        <v>1230</v>
      </c>
      <c r="N408" s="486" t="s">
        <v>1231</v>
      </c>
      <c r="O408" s="485" t="s">
        <v>1232</v>
      </c>
      <c r="P408" s="485" t="s">
        <v>1156</v>
      </c>
      <c r="Q408" s="487">
        <v>44341</v>
      </c>
      <c r="R408" s="487">
        <v>46532</v>
      </c>
      <c r="S408" s="488">
        <v>1</v>
      </c>
      <c r="T408" s="488">
        <v>0.2</v>
      </c>
      <c r="U408" s="489">
        <v>418000</v>
      </c>
      <c r="V408" s="489">
        <v>418000</v>
      </c>
      <c r="W408" s="489">
        <v>418000</v>
      </c>
      <c r="X408" s="489">
        <f t="shared" si="31"/>
        <v>0</v>
      </c>
      <c r="Y408" s="489">
        <f t="shared" si="32"/>
        <v>0</v>
      </c>
      <c r="Z408" s="489">
        <v>50000</v>
      </c>
      <c r="AA408" s="489">
        <v>50000</v>
      </c>
      <c r="AB408" s="489">
        <v>50000</v>
      </c>
      <c r="AC408" s="489">
        <f t="shared" si="33"/>
        <v>0</v>
      </c>
      <c r="AD408" s="489">
        <f t="shared" si="34"/>
        <v>0</v>
      </c>
      <c r="AE408" s="489">
        <v>368000</v>
      </c>
      <c r="AF408" s="489">
        <v>0</v>
      </c>
      <c r="AG408" s="490" t="s">
        <v>1237</v>
      </c>
      <c r="AH408" s="490" t="s">
        <v>1254</v>
      </c>
      <c r="AI408" s="490"/>
      <c r="AJ408" s="490" t="s">
        <v>1253</v>
      </c>
      <c r="AK408" s="490" t="s">
        <v>1260</v>
      </c>
      <c r="AL408" s="491"/>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row>
    <row r="409" spans="1:80" ht="18" customHeight="1" x14ac:dyDescent="0.25">
      <c r="A409" s="486">
        <f t="shared" si="30"/>
        <v>407</v>
      </c>
      <c r="B409" s="486" t="s">
        <v>3966</v>
      </c>
      <c r="C409" s="486">
        <v>5200000152</v>
      </c>
      <c r="D409" s="486" t="s">
        <v>5037</v>
      </c>
      <c r="E409" s="486" t="s">
        <v>1635</v>
      </c>
      <c r="F409" s="486" t="s">
        <v>3965</v>
      </c>
      <c r="G409" s="486" t="s">
        <v>3962</v>
      </c>
      <c r="H409" s="485" t="s">
        <v>2660</v>
      </c>
      <c r="I409" s="486" t="s">
        <v>3963</v>
      </c>
      <c r="J409" s="486" t="s">
        <v>3964</v>
      </c>
      <c r="K409" s="486" t="s">
        <v>1756</v>
      </c>
      <c r="L409" s="486" t="s">
        <v>1473</v>
      </c>
      <c r="M409" s="486" t="s">
        <v>1230</v>
      </c>
      <c r="N409" s="486" t="s">
        <v>1231</v>
      </c>
      <c r="O409" s="486" t="s">
        <v>1232</v>
      </c>
      <c r="P409" s="486" t="s">
        <v>469</v>
      </c>
      <c r="Q409" s="487">
        <v>44341</v>
      </c>
      <c r="R409" s="487">
        <v>45471</v>
      </c>
      <c r="S409" s="488">
        <v>1</v>
      </c>
      <c r="T409" s="488">
        <v>0.2</v>
      </c>
      <c r="U409" s="489">
        <v>2390644</v>
      </c>
      <c r="V409" s="489">
        <v>2390644</v>
      </c>
      <c r="W409" s="489">
        <v>2390644</v>
      </c>
      <c r="X409" s="489">
        <f t="shared" si="31"/>
        <v>0</v>
      </c>
      <c r="Y409" s="489">
        <f t="shared" si="32"/>
        <v>0</v>
      </c>
      <c r="Z409" s="489">
        <v>2390644</v>
      </c>
      <c r="AA409" s="489">
        <v>2390644</v>
      </c>
      <c r="AB409" s="489">
        <v>2390644</v>
      </c>
      <c r="AC409" s="489">
        <f t="shared" si="33"/>
        <v>0</v>
      </c>
      <c r="AD409" s="489">
        <f t="shared" si="34"/>
        <v>0</v>
      </c>
      <c r="AE409" s="489">
        <v>0</v>
      </c>
      <c r="AF409" s="489">
        <v>0</v>
      </c>
      <c r="AG409" s="490" t="s">
        <v>1288</v>
      </c>
      <c r="AH409" s="490" t="s">
        <v>1252</v>
      </c>
      <c r="AI409" s="490" t="s">
        <v>1269</v>
      </c>
      <c r="AJ409" s="490" t="s">
        <v>1234</v>
      </c>
      <c r="AK409" s="490" t="s">
        <v>1278</v>
      </c>
      <c r="AL409" s="491"/>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row>
    <row r="410" spans="1:80" ht="18" customHeight="1" x14ac:dyDescent="0.25">
      <c r="A410" s="492">
        <f t="shared" si="30"/>
        <v>408</v>
      </c>
      <c r="B410" s="492" t="s">
        <v>3969</v>
      </c>
      <c r="C410" s="492">
        <v>2200000161</v>
      </c>
      <c r="D410" s="492" t="s">
        <v>5038</v>
      </c>
      <c r="E410" s="492" t="s">
        <v>1637</v>
      </c>
      <c r="F410" s="492" t="s">
        <v>2661</v>
      </c>
      <c r="G410" s="492" t="s">
        <v>3967</v>
      </c>
      <c r="H410" s="492" t="s">
        <v>2661</v>
      </c>
      <c r="I410" s="492" t="s">
        <v>3967</v>
      </c>
      <c r="J410" s="492" t="s">
        <v>3968</v>
      </c>
      <c r="K410" s="492" t="s">
        <v>1756</v>
      </c>
      <c r="L410" s="492" t="s">
        <v>1473</v>
      </c>
      <c r="M410" s="493" t="s">
        <v>1230</v>
      </c>
      <c r="N410" s="493" t="s">
        <v>1232</v>
      </c>
      <c r="O410" s="492" t="s">
        <v>1231</v>
      </c>
      <c r="P410" s="492" t="s">
        <v>469</v>
      </c>
      <c r="Q410" s="494">
        <v>44341</v>
      </c>
      <c r="R410" s="494">
        <v>45498</v>
      </c>
      <c r="S410" s="495">
        <v>1</v>
      </c>
      <c r="T410" s="495">
        <v>0.2</v>
      </c>
      <c r="U410" s="496">
        <v>975868</v>
      </c>
      <c r="V410" s="496">
        <v>975868</v>
      </c>
      <c r="W410" s="496">
        <v>975868</v>
      </c>
      <c r="X410" s="496">
        <f t="shared" si="31"/>
        <v>0</v>
      </c>
      <c r="Y410" s="496">
        <f t="shared" si="32"/>
        <v>0</v>
      </c>
      <c r="Z410" s="496">
        <v>283258</v>
      </c>
      <c r="AA410" s="496">
        <v>365568.95</v>
      </c>
      <c r="AB410" s="496">
        <v>365568.95</v>
      </c>
      <c r="AC410" s="496">
        <f t="shared" si="33"/>
        <v>82310.950000000012</v>
      </c>
      <c r="AD410" s="496">
        <f t="shared" si="34"/>
        <v>0</v>
      </c>
      <c r="AE410" s="496">
        <v>610299.05000000005</v>
      </c>
      <c r="AF410" s="496">
        <v>0</v>
      </c>
      <c r="AG410" s="497" t="s">
        <v>1245</v>
      </c>
      <c r="AH410" s="497" t="s">
        <v>1247</v>
      </c>
      <c r="AI410" s="497" t="s">
        <v>1248</v>
      </c>
      <c r="AJ410" s="497" t="s">
        <v>1246</v>
      </c>
      <c r="AK410" s="497" t="s">
        <v>1278</v>
      </c>
      <c r="AL410" s="491"/>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row>
    <row r="411" spans="1:80" ht="18" customHeight="1" x14ac:dyDescent="0.25">
      <c r="A411" s="492">
        <f t="shared" si="30"/>
        <v>409</v>
      </c>
      <c r="B411" s="492" t="s">
        <v>3972</v>
      </c>
      <c r="C411" s="492">
        <v>2200000160</v>
      </c>
      <c r="D411" s="492" t="s">
        <v>5039</v>
      </c>
      <c r="E411" s="492" t="s">
        <v>1640</v>
      </c>
      <c r="F411" s="492" t="s">
        <v>2664</v>
      </c>
      <c r="G411" s="492" t="s">
        <v>3970</v>
      </c>
      <c r="H411" s="492" t="s">
        <v>2664</v>
      </c>
      <c r="I411" s="492" t="s">
        <v>3970</v>
      </c>
      <c r="J411" s="492" t="s">
        <v>3971</v>
      </c>
      <c r="K411" s="492" t="s">
        <v>1756</v>
      </c>
      <c r="L411" s="492" t="s">
        <v>1473</v>
      </c>
      <c r="M411" s="493" t="s">
        <v>1230</v>
      </c>
      <c r="N411" s="493" t="s">
        <v>1232</v>
      </c>
      <c r="O411" s="492" t="s">
        <v>1232</v>
      </c>
      <c r="P411" s="492" t="s">
        <v>469</v>
      </c>
      <c r="Q411" s="494">
        <v>44341</v>
      </c>
      <c r="R411" s="494">
        <v>45162</v>
      </c>
      <c r="S411" s="495">
        <v>1.5</v>
      </c>
      <c r="T411" s="495">
        <v>0.3</v>
      </c>
      <c r="U411" s="496">
        <v>2995387</v>
      </c>
      <c r="V411" s="496">
        <v>2995387</v>
      </c>
      <c r="W411" s="496">
        <v>2995387</v>
      </c>
      <c r="X411" s="496">
        <f t="shared" si="31"/>
        <v>0</v>
      </c>
      <c r="Y411" s="496">
        <f t="shared" si="32"/>
        <v>0</v>
      </c>
      <c r="Z411" s="496">
        <v>1</v>
      </c>
      <c r="AA411" s="496">
        <v>1</v>
      </c>
      <c r="AB411" s="496">
        <v>1</v>
      </c>
      <c r="AC411" s="496">
        <f t="shared" si="33"/>
        <v>0</v>
      </c>
      <c r="AD411" s="496">
        <f t="shared" si="34"/>
        <v>0</v>
      </c>
      <c r="AE411" s="496">
        <v>0</v>
      </c>
      <c r="AF411" s="496">
        <v>2995386</v>
      </c>
      <c r="AG411" s="497" t="s">
        <v>1245</v>
      </c>
      <c r="AH411" s="497" t="s">
        <v>1247</v>
      </c>
      <c r="AI411" s="497" t="s">
        <v>1269</v>
      </c>
      <c r="AJ411" s="497" t="s">
        <v>1246</v>
      </c>
      <c r="AK411" s="497" t="s">
        <v>1235</v>
      </c>
      <c r="AL411" s="49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row>
    <row r="412" spans="1:80" ht="18" customHeight="1" x14ac:dyDescent="0.25">
      <c r="A412" s="486">
        <f t="shared" si="30"/>
        <v>410</v>
      </c>
      <c r="B412" s="486" t="s">
        <v>3976</v>
      </c>
      <c r="C412" s="486">
        <v>2200000162</v>
      </c>
      <c r="D412" s="486" t="s">
        <v>5040</v>
      </c>
      <c r="E412" s="486" t="s">
        <v>1644</v>
      </c>
      <c r="F412" s="486" t="s">
        <v>3975</v>
      </c>
      <c r="G412" s="486" t="s">
        <v>3973</v>
      </c>
      <c r="H412" s="485" t="s">
        <v>3975</v>
      </c>
      <c r="I412" s="486" t="s">
        <v>3973</v>
      </c>
      <c r="J412" s="486" t="s">
        <v>3974</v>
      </c>
      <c r="K412" s="486" t="s">
        <v>1756</v>
      </c>
      <c r="L412" s="486" t="s">
        <v>1473</v>
      </c>
      <c r="M412" s="486" t="s">
        <v>1230</v>
      </c>
      <c r="N412" s="486" t="s">
        <v>1231</v>
      </c>
      <c r="O412" s="486" t="s">
        <v>1232</v>
      </c>
      <c r="P412" s="486" t="s">
        <v>469</v>
      </c>
      <c r="Q412" s="487">
        <v>44341</v>
      </c>
      <c r="R412" s="487">
        <v>45497</v>
      </c>
      <c r="S412" s="488">
        <v>1.5</v>
      </c>
      <c r="T412" s="488">
        <v>0.3</v>
      </c>
      <c r="U412" s="489">
        <v>2398043</v>
      </c>
      <c r="V412" s="489">
        <v>2398043</v>
      </c>
      <c r="W412" s="489">
        <v>2398043</v>
      </c>
      <c r="X412" s="489">
        <f t="shared" si="31"/>
        <v>0</v>
      </c>
      <c r="Y412" s="489">
        <f t="shared" si="32"/>
        <v>0</v>
      </c>
      <c r="Z412" s="489">
        <v>750001</v>
      </c>
      <c r="AA412" s="489">
        <v>750001</v>
      </c>
      <c r="AB412" s="489">
        <v>750001</v>
      </c>
      <c r="AC412" s="489">
        <f t="shared" si="33"/>
        <v>0</v>
      </c>
      <c r="AD412" s="489">
        <f t="shared" si="34"/>
        <v>0</v>
      </c>
      <c r="AE412" s="489">
        <v>1648042</v>
      </c>
      <c r="AF412" s="489">
        <v>0</v>
      </c>
      <c r="AG412" s="490" t="s">
        <v>1245</v>
      </c>
      <c r="AH412" s="490" t="s">
        <v>1247</v>
      </c>
      <c r="AI412" s="490" t="s">
        <v>1269</v>
      </c>
      <c r="AJ412" s="490" t="s">
        <v>1246</v>
      </c>
      <c r="AK412" s="490" t="s">
        <v>1235</v>
      </c>
      <c r="AL412" s="491"/>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row>
    <row r="413" spans="1:80" ht="18" customHeight="1" x14ac:dyDescent="0.25">
      <c r="A413" s="492">
        <f t="shared" si="30"/>
        <v>411</v>
      </c>
      <c r="B413" s="492" t="s">
        <v>3979</v>
      </c>
      <c r="C413" s="492">
        <v>2200000163</v>
      </c>
      <c r="D413" s="492" t="s">
        <v>5041</v>
      </c>
      <c r="E413" s="492" t="s">
        <v>1645</v>
      </c>
      <c r="F413" s="492" t="s">
        <v>2668</v>
      </c>
      <c r="G413" s="492" t="s">
        <v>3977</v>
      </c>
      <c r="H413" s="492" t="s">
        <v>2668</v>
      </c>
      <c r="I413" s="492" t="s">
        <v>3977</v>
      </c>
      <c r="J413" s="492" t="s">
        <v>3978</v>
      </c>
      <c r="K413" s="492" t="s">
        <v>1756</v>
      </c>
      <c r="L413" s="492" t="s">
        <v>1473</v>
      </c>
      <c r="M413" s="493" t="s">
        <v>1230</v>
      </c>
      <c r="N413" s="493" t="s">
        <v>1232</v>
      </c>
      <c r="O413" s="492" t="s">
        <v>1232</v>
      </c>
      <c r="P413" s="492" t="s">
        <v>469</v>
      </c>
      <c r="Q413" s="494">
        <v>44341</v>
      </c>
      <c r="R413" s="494">
        <v>44798</v>
      </c>
      <c r="S413" s="495">
        <v>1.5</v>
      </c>
      <c r="T413" s="495">
        <v>0.3</v>
      </c>
      <c r="U413" s="496">
        <v>2340404</v>
      </c>
      <c r="V413" s="496">
        <v>2340404</v>
      </c>
      <c r="W413" s="496">
        <v>2340404</v>
      </c>
      <c r="X413" s="496">
        <f t="shared" si="31"/>
        <v>0</v>
      </c>
      <c r="Y413" s="496">
        <f t="shared" si="32"/>
        <v>0</v>
      </c>
      <c r="Z413" s="496">
        <v>1863404</v>
      </c>
      <c r="AA413" s="496">
        <v>1863404</v>
      </c>
      <c r="AB413" s="496">
        <v>1863404</v>
      </c>
      <c r="AC413" s="496">
        <f t="shared" si="33"/>
        <v>0</v>
      </c>
      <c r="AD413" s="496">
        <f t="shared" si="34"/>
        <v>0</v>
      </c>
      <c r="AE413" s="496">
        <v>477000</v>
      </c>
      <c r="AF413" s="496">
        <v>0</v>
      </c>
      <c r="AG413" s="497" t="s">
        <v>1245</v>
      </c>
      <c r="AH413" s="497" t="s">
        <v>1247</v>
      </c>
      <c r="AI413" s="497" t="s">
        <v>1248</v>
      </c>
      <c r="AJ413" s="497" t="s">
        <v>1246</v>
      </c>
      <c r="AK413" s="497" t="s">
        <v>1235</v>
      </c>
      <c r="AL413" s="491"/>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row>
    <row r="414" spans="1:80" ht="18" customHeight="1" x14ac:dyDescent="0.25">
      <c r="A414" s="486">
        <f t="shared" si="30"/>
        <v>412</v>
      </c>
      <c r="B414" s="486" t="s">
        <v>3980</v>
      </c>
      <c r="C414" s="486">
        <v>2200000178</v>
      </c>
      <c r="D414" s="486" t="s">
        <v>5042</v>
      </c>
      <c r="E414" s="486" t="s">
        <v>1401</v>
      </c>
      <c r="F414" s="486" t="s">
        <v>1400</v>
      </c>
      <c r="G414" s="486" t="s">
        <v>3194</v>
      </c>
      <c r="H414" s="485" t="s">
        <v>1400</v>
      </c>
      <c r="I414" s="486" t="s">
        <v>3194</v>
      </c>
      <c r="J414" s="486" t="s">
        <v>3195</v>
      </c>
      <c r="K414" s="486" t="s">
        <v>1756</v>
      </c>
      <c r="L414" s="486" t="s">
        <v>1473</v>
      </c>
      <c r="M414" s="486" t="s">
        <v>1230</v>
      </c>
      <c r="N414" s="486" t="s">
        <v>1231</v>
      </c>
      <c r="O414" s="486" t="s">
        <v>1232</v>
      </c>
      <c r="P414" s="486" t="s">
        <v>469</v>
      </c>
      <c r="Q414" s="487">
        <v>44342</v>
      </c>
      <c r="R414" s="487">
        <v>44770</v>
      </c>
      <c r="S414" s="488">
        <v>1.5</v>
      </c>
      <c r="T414" s="488">
        <v>0.3</v>
      </c>
      <c r="U414" s="489">
        <v>3128276.26</v>
      </c>
      <c r="V414" s="489">
        <v>3128276.26</v>
      </c>
      <c r="W414" s="489">
        <v>3128276.26</v>
      </c>
      <c r="X414" s="489">
        <f t="shared" si="31"/>
        <v>0</v>
      </c>
      <c r="Y414" s="489">
        <f t="shared" si="32"/>
        <v>0</v>
      </c>
      <c r="Z414" s="489">
        <v>3128276.26</v>
      </c>
      <c r="AA414" s="489">
        <v>3128276.26</v>
      </c>
      <c r="AB414" s="489">
        <v>3128276.26</v>
      </c>
      <c r="AC414" s="489">
        <f t="shared" si="33"/>
        <v>0</v>
      </c>
      <c r="AD414" s="489">
        <f t="shared" si="34"/>
        <v>0</v>
      </c>
      <c r="AE414" s="489">
        <v>0</v>
      </c>
      <c r="AF414" s="489">
        <v>0</v>
      </c>
      <c r="AG414" s="490" t="s">
        <v>1245</v>
      </c>
      <c r="AH414" s="490" t="s">
        <v>1247</v>
      </c>
      <c r="AI414" s="490" t="s">
        <v>1248</v>
      </c>
      <c r="AJ414" s="490" t="s">
        <v>1246</v>
      </c>
      <c r="AK414" s="490" t="s">
        <v>1235</v>
      </c>
      <c r="AL414" s="491"/>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row>
    <row r="415" spans="1:80" ht="18" customHeight="1" x14ac:dyDescent="0.25">
      <c r="A415" s="486">
        <f t="shared" si="30"/>
        <v>413</v>
      </c>
      <c r="B415" s="486" t="s">
        <v>3981</v>
      </c>
      <c r="C415" s="486">
        <v>2200000179</v>
      </c>
      <c r="D415" s="486" t="s">
        <v>5043</v>
      </c>
      <c r="E415" s="486" t="s">
        <v>1401</v>
      </c>
      <c r="F415" s="486" t="s">
        <v>1400</v>
      </c>
      <c r="G415" s="486" t="s">
        <v>3194</v>
      </c>
      <c r="H415" s="485" t="s">
        <v>1400</v>
      </c>
      <c r="I415" s="486" t="s">
        <v>3194</v>
      </c>
      <c r="J415" s="486" t="s">
        <v>3195</v>
      </c>
      <c r="K415" s="486" t="s">
        <v>1756</v>
      </c>
      <c r="L415" s="486" t="s">
        <v>1473</v>
      </c>
      <c r="M415" s="486" t="s">
        <v>1230</v>
      </c>
      <c r="N415" s="486" t="s">
        <v>1231</v>
      </c>
      <c r="O415" s="486" t="s">
        <v>1232</v>
      </c>
      <c r="P415" s="486" t="s">
        <v>469</v>
      </c>
      <c r="Q415" s="487">
        <v>44342</v>
      </c>
      <c r="R415" s="487">
        <v>44770</v>
      </c>
      <c r="S415" s="488">
        <v>1.5</v>
      </c>
      <c r="T415" s="488">
        <v>0.3</v>
      </c>
      <c r="U415" s="489">
        <v>563404</v>
      </c>
      <c r="V415" s="489">
        <v>563404</v>
      </c>
      <c r="W415" s="489">
        <v>563404</v>
      </c>
      <c r="X415" s="489">
        <f t="shared" si="31"/>
        <v>0</v>
      </c>
      <c r="Y415" s="489">
        <f t="shared" si="32"/>
        <v>0</v>
      </c>
      <c r="Z415" s="489">
        <v>563404</v>
      </c>
      <c r="AA415" s="489">
        <v>563404</v>
      </c>
      <c r="AB415" s="489">
        <v>563404</v>
      </c>
      <c r="AC415" s="489">
        <f t="shared" si="33"/>
        <v>0</v>
      </c>
      <c r="AD415" s="489">
        <f t="shared" si="34"/>
        <v>0</v>
      </c>
      <c r="AE415" s="489">
        <v>0</v>
      </c>
      <c r="AF415" s="489">
        <v>0</v>
      </c>
      <c r="AG415" s="490" t="s">
        <v>1245</v>
      </c>
      <c r="AH415" s="490" t="s">
        <v>1247</v>
      </c>
      <c r="AI415" s="490" t="s">
        <v>1248</v>
      </c>
      <c r="AJ415" s="490" t="s">
        <v>1246</v>
      </c>
      <c r="AK415" s="490" t="s">
        <v>1235</v>
      </c>
      <c r="AL415" s="491"/>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row>
    <row r="416" spans="1:80" ht="18" customHeight="1" x14ac:dyDescent="0.25">
      <c r="A416" s="492">
        <f t="shared" si="30"/>
        <v>414</v>
      </c>
      <c r="B416" s="492" t="s">
        <v>3984</v>
      </c>
      <c r="C416" s="492">
        <v>2200000164</v>
      </c>
      <c r="D416" s="492" t="s">
        <v>5044</v>
      </c>
      <c r="E416" s="492" t="s">
        <v>1639</v>
      </c>
      <c r="F416" s="492" t="s">
        <v>2663</v>
      </c>
      <c r="G416" s="492" t="s">
        <v>3982</v>
      </c>
      <c r="H416" s="492" t="s">
        <v>2663</v>
      </c>
      <c r="I416" s="492" t="s">
        <v>3982</v>
      </c>
      <c r="J416" s="492" t="s">
        <v>3983</v>
      </c>
      <c r="K416" s="492" t="s">
        <v>1756</v>
      </c>
      <c r="L416" s="492" t="s">
        <v>1473</v>
      </c>
      <c r="M416" s="493" t="s">
        <v>1230</v>
      </c>
      <c r="N416" s="493" t="s">
        <v>1232</v>
      </c>
      <c r="O416" s="492" t="s">
        <v>1231</v>
      </c>
      <c r="P416" s="492" t="s">
        <v>469</v>
      </c>
      <c r="Q416" s="494">
        <v>44342</v>
      </c>
      <c r="R416" s="494">
        <v>45495</v>
      </c>
      <c r="S416" s="495">
        <v>1.5</v>
      </c>
      <c r="T416" s="495">
        <v>0.3</v>
      </c>
      <c r="U416" s="496">
        <v>3765212</v>
      </c>
      <c r="V416" s="496">
        <v>3765212</v>
      </c>
      <c r="W416" s="496">
        <v>3765212</v>
      </c>
      <c r="X416" s="496">
        <f t="shared" si="31"/>
        <v>0</v>
      </c>
      <c r="Y416" s="496">
        <f t="shared" si="32"/>
        <v>0</v>
      </c>
      <c r="Z416" s="496">
        <v>2727960.11</v>
      </c>
      <c r="AA416" s="496">
        <v>2806472.21</v>
      </c>
      <c r="AB416" s="496">
        <v>2806472.21</v>
      </c>
      <c r="AC416" s="496">
        <f t="shared" si="33"/>
        <v>78512.100000000093</v>
      </c>
      <c r="AD416" s="496">
        <f t="shared" si="34"/>
        <v>0</v>
      </c>
      <c r="AE416" s="496">
        <v>958739.79</v>
      </c>
      <c r="AF416" s="496">
        <v>0</v>
      </c>
      <c r="AG416" s="497" t="s">
        <v>1245</v>
      </c>
      <c r="AH416" s="497" t="s">
        <v>1247</v>
      </c>
      <c r="AI416" s="497" t="s">
        <v>1248</v>
      </c>
      <c r="AJ416" s="497" t="s">
        <v>1246</v>
      </c>
      <c r="AK416" s="497" t="s">
        <v>1235</v>
      </c>
      <c r="AL416" s="491"/>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row>
    <row r="417" spans="1:80" ht="18" customHeight="1" x14ac:dyDescent="0.25">
      <c r="A417" s="492">
        <f t="shared" si="30"/>
        <v>415</v>
      </c>
      <c r="B417" s="492" t="s">
        <v>3987</v>
      </c>
      <c r="C417" s="492">
        <v>2200000165</v>
      </c>
      <c r="D417" s="492" t="s">
        <v>5045</v>
      </c>
      <c r="E417" s="492" t="s">
        <v>1641</v>
      </c>
      <c r="F417" s="492" t="s">
        <v>2665</v>
      </c>
      <c r="G417" s="492" t="s">
        <v>3985</v>
      </c>
      <c r="H417" s="492" t="s">
        <v>2665</v>
      </c>
      <c r="I417" s="492" t="s">
        <v>3985</v>
      </c>
      <c r="J417" s="492" t="s">
        <v>3986</v>
      </c>
      <c r="K417" s="492" t="s">
        <v>1756</v>
      </c>
      <c r="L417" s="492" t="s">
        <v>1473</v>
      </c>
      <c r="M417" s="493" t="s">
        <v>1230</v>
      </c>
      <c r="N417" s="493" t="s">
        <v>1232</v>
      </c>
      <c r="O417" s="492" t="s">
        <v>1231</v>
      </c>
      <c r="P417" s="492" t="s">
        <v>469</v>
      </c>
      <c r="Q417" s="494">
        <v>44342</v>
      </c>
      <c r="R417" s="494">
        <v>45159</v>
      </c>
      <c r="S417" s="495">
        <v>1.5</v>
      </c>
      <c r="T417" s="495">
        <v>0.3</v>
      </c>
      <c r="U417" s="496">
        <v>3282924</v>
      </c>
      <c r="V417" s="496">
        <v>3282924</v>
      </c>
      <c r="W417" s="496">
        <v>3282924</v>
      </c>
      <c r="X417" s="496">
        <f t="shared" si="31"/>
        <v>0</v>
      </c>
      <c r="Y417" s="496">
        <f t="shared" si="32"/>
        <v>0</v>
      </c>
      <c r="Z417" s="496">
        <v>1750384.55</v>
      </c>
      <c r="AA417" s="496">
        <v>2074426.05</v>
      </c>
      <c r="AB417" s="496">
        <v>2074426.05</v>
      </c>
      <c r="AC417" s="496">
        <f t="shared" si="33"/>
        <v>324041.5</v>
      </c>
      <c r="AD417" s="496">
        <f t="shared" si="34"/>
        <v>0</v>
      </c>
      <c r="AE417" s="496">
        <v>1208497.95</v>
      </c>
      <c r="AF417" s="496">
        <v>0</v>
      </c>
      <c r="AG417" s="497" t="s">
        <v>1245</v>
      </c>
      <c r="AH417" s="497" t="s">
        <v>1247</v>
      </c>
      <c r="AI417" s="497" t="s">
        <v>1248</v>
      </c>
      <c r="AJ417" s="497" t="s">
        <v>1246</v>
      </c>
      <c r="AK417" s="497" t="s">
        <v>1235</v>
      </c>
      <c r="AL417" s="491"/>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row>
    <row r="418" spans="1:80" ht="18" customHeight="1" x14ac:dyDescent="0.25">
      <c r="A418" s="492">
        <f t="shared" si="30"/>
        <v>416</v>
      </c>
      <c r="B418" s="492" t="s">
        <v>3990</v>
      </c>
      <c r="C418" s="492">
        <v>1100000196</v>
      </c>
      <c r="D418" s="492" t="s">
        <v>5046</v>
      </c>
      <c r="E418" s="492" t="s">
        <v>1652</v>
      </c>
      <c r="F418" s="492" t="s">
        <v>1651</v>
      </c>
      <c r="G418" s="492" t="s">
        <v>3988</v>
      </c>
      <c r="H418" s="492" t="s">
        <v>1651</v>
      </c>
      <c r="I418" s="492" t="s">
        <v>3988</v>
      </c>
      <c r="J418" s="492" t="s">
        <v>3989</v>
      </c>
      <c r="K418" s="492" t="s">
        <v>1756</v>
      </c>
      <c r="L418" s="492" t="s">
        <v>2783</v>
      </c>
      <c r="M418" s="493" t="s">
        <v>1230</v>
      </c>
      <c r="N418" s="493" t="s">
        <v>1232</v>
      </c>
      <c r="O418" s="492" t="s">
        <v>1231</v>
      </c>
      <c r="P418" s="492" t="s">
        <v>1156</v>
      </c>
      <c r="Q418" s="494">
        <v>44342</v>
      </c>
      <c r="R418" s="494">
        <v>45180</v>
      </c>
      <c r="S418" s="495">
        <v>1</v>
      </c>
      <c r="T418" s="495"/>
      <c r="U418" s="496">
        <v>7628226</v>
      </c>
      <c r="V418" s="496">
        <v>7628226</v>
      </c>
      <c r="W418" s="496">
        <v>7628226</v>
      </c>
      <c r="X418" s="496">
        <f t="shared" si="31"/>
        <v>0</v>
      </c>
      <c r="Y418" s="496">
        <f t="shared" si="32"/>
        <v>0</v>
      </c>
      <c r="Z418" s="496">
        <v>4143361.51</v>
      </c>
      <c r="AA418" s="496">
        <v>4162392.34</v>
      </c>
      <c r="AB418" s="496">
        <v>4791140.34</v>
      </c>
      <c r="AC418" s="496">
        <f t="shared" si="33"/>
        <v>647778.83000000007</v>
      </c>
      <c r="AD418" s="496">
        <f t="shared" si="34"/>
        <v>628748</v>
      </c>
      <c r="AE418" s="496">
        <v>0</v>
      </c>
      <c r="AF418" s="496">
        <v>2837085.66</v>
      </c>
      <c r="AG418" s="497" t="s">
        <v>1237</v>
      </c>
      <c r="AH418" s="497" t="s">
        <v>1357</v>
      </c>
      <c r="AI418" s="497"/>
      <c r="AJ418" s="497" t="s">
        <v>1363</v>
      </c>
      <c r="AK418" s="497" t="s">
        <v>1260</v>
      </c>
      <c r="AL418" s="491"/>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row>
    <row r="419" spans="1:80" ht="18" customHeight="1" x14ac:dyDescent="0.25">
      <c r="A419" s="486">
        <f t="shared" si="30"/>
        <v>417</v>
      </c>
      <c r="B419" s="486" t="s">
        <v>3992</v>
      </c>
      <c r="C419" s="486">
        <v>2200000166</v>
      </c>
      <c r="D419" s="486" t="s">
        <v>5047</v>
      </c>
      <c r="E419" s="486" t="s">
        <v>1561</v>
      </c>
      <c r="F419" s="486" t="s">
        <v>2640</v>
      </c>
      <c r="G419" s="486" t="s">
        <v>3737</v>
      </c>
      <c r="H419" s="485" t="s">
        <v>2640</v>
      </c>
      <c r="I419" s="486" t="s">
        <v>3737</v>
      </c>
      <c r="J419" s="486" t="s">
        <v>3991</v>
      </c>
      <c r="K419" s="486" t="s">
        <v>1756</v>
      </c>
      <c r="L419" s="486" t="s">
        <v>1473</v>
      </c>
      <c r="M419" s="486" t="s">
        <v>1230</v>
      </c>
      <c r="N419" s="486" t="s">
        <v>1231</v>
      </c>
      <c r="O419" s="486" t="s">
        <v>1232</v>
      </c>
      <c r="P419" s="486" t="s">
        <v>469</v>
      </c>
      <c r="Q419" s="487">
        <v>44343</v>
      </c>
      <c r="R419" s="487">
        <v>45163</v>
      </c>
      <c r="S419" s="488">
        <v>1.5</v>
      </c>
      <c r="T419" s="488">
        <v>0.3</v>
      </c>
      <c r="U419" s="489">
        <v>2000000</v>
      </c>
      <c r="V419" s="489">
        <v>2000000</v>
      </c>
      <c r="W419" s="489">
        <v>2000000</v>
      </c>
      <c r="X419" s="489">
        <f t="shared" si="31"/>
        <v>0</v>
      </c>
      <c r="Y419" s="489">
        <f t="shared" si="32"/>
        <v>0</v>
      </c>
      <c r="Z419" s="489">
        <v>133967.15</v>
      </c>
      <c r="AA419" s="489">
        <v>182525.6</v>
      </c>
      <c r="AB419" s="489">
        <v>182525.6</v>
      </c>
      <c r="AC419" s="489">
        <f t="shared" si="33"/>
        <v>48558.450000000012</v>
      </c>
      <c r="AD419" s="489">
        <f t="shared" si="34"/>
        <v>0</v>
      </c>
      <c r="AE419" s="489">
        <v>1817474.4</v>
      </c>
      <c r="AF419" s="489">
        <v>0</v>
      </c>
      <c r="AG419" s="490" t="s">
        <v>1245</v>
      </c>
      <c r="AH419" s="490" t="s">
        <v>1247</v>
      </c>
      <c r="AI419" s="490" t="s">
        <v>1269</v>
      </c>
      <c r="AJ419" s="490" t="s">
        <v>1246</v>
      </c>
      <c r="AK419" s="490" t="s">
        <v>1235</v>
      </c>
      <c r="AL419" s="491"/>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row>
    <row r="420" spans="1:80" ht="18" customHeight="1" x14ac:dyDescent="0.25">
      <c r="A420" s="486">
        <f t="shared" si="30"/>
        <v>418</v>
      </c>
      <c r="B420" s="486" t="s">
        <v>3993</v>
      </c>
      <c r="C420" s="486">
        <v>2100000194</v>
      </c>
      <c r="D420" s="486" t="s">
        <v>5048</v>
      </c>
      <c r="E420" s="486" t="s">
        <v>1561</v>
      </c>
      <c r="F420" s="486" t="s">
        <v>2640</v>
      </c>
      <c r="G420" s="486" t="s">
        <v>3737</v>
      </c>
      <c r="H420" s="485" t="s">
        <v>2640</v>
      </c>
      <c r="I420" s="486" t="s">
        <v>3737</v>
      </c>
      <c r="J420" s="486" t="s">
        <v>3991</v>
      </c>
      <c r="K420" s="486" t="s">
        <v>1756</v>
      </c>
      <c r="L420" s="486" t="s">
        <v>2783</v>
      </c>
      <c r="M420" s="486" t="s">
        <v>1230</v>
      </c>
      <c r="N420" s="486" t="s">
        <v>1231</v>
      </c>
      <c r="O420" s="486" t="s">
        <v>1232</v>
      </c>
      <c r="P420" s="486" t="s">
        <v>469</v>
      </c>
      <c r="Q420" s="487">
        <v>44343</v>
      </c>
      <c r="R420" s="487">
        <v>45163</v>
      </c>
      <c r="S420" s="488">
        <v>1.5</v>
      </c>
      <c r="T420" s="488"/>
      <c r="U420" s="489">
        <v>1163924.1200000001</v>
      </c>
      <c r="V420" s="489">
        <v>1163924.1200000001</v>
      </c>
      <c r="W420" s="489">
        <v>1163924.1200000001</v>
      </c>
      <c r="X420" s="489">
        <f t="shared" si="31"/>
        <v>0</v>
      </c>
      <c r="Y420" s="489">
        <f t="shared" si="32"/>
        <v>0</v>
      </c>
      <c r="Z420" s="489">
        <v>0</v>
      </c>
      <c r="AA420" s="489">
        <v>0</v>
      </c>
      <c r="AB420" s="489">
        <v>0</v>
      </c>
      <c r="AC420" s="489">
        <f t="shared" si="33"/>
        <v>0</v>
      </c>
      <c r="AD420" s="489">
        <f t="shared" si="34"/>
        <v>0</v>
      </c>
      <c r="AE420" s="489">
        <v>0</v>
      </c>
      <c r="AF420" s="489">
        <v>1163924.1200000001</v>
      </c>
      <c r="AG420" s="490" t="s">
        <v>1245</v>
      </c>
      <c r="AH420" s="490" t="s">
        <v>1247</v>
      </c>
      <c r="AI420" s="490" t="s">
        <v>1269</v>
      </c>
      <c r="AJ420" s="490" t="s">
        <v>1246</v>
      </c>
      <c r="AK420" s="490" t="s">
        <v>1235</v>
      </c>
      <c r="AL420" s="491"/>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row>
    <row r="421" spans="1:80" ht="18" customHeight="1" x14ac:dyDescent="0.25">
      <c r="A421" s="492">
        <f t="shared" si="30"/>
        <v>419</v>
      </c>
      <c r="B421" s="492" t="s">
        <v>3996</v>
      </c>
      <c r="C421" s="492">
        <v>3200000114</v>
      </c>
      <c r="D421" s="492" t="s">
        <v>5049</v>
      </c>
      <c r="E421" s="492" t="s">
        <v>1634</v>
      </c>
      <c r="F421" s="492" t="s">
        <v>2659</v>
      </c>
      <c r="G421" s="492" t="s">
        <v>3994</v>
      </c>
      <c r="H421" s="492" t="s">
        <v>2659</v>
      </c>
      <c r="I421" s="492" t="s">
        <v>3994</v>
      </c>
      <c r="J421" s="492" t="s">
        <v>3995</v>
      </c>
      <c r="K421" s="492" t="s">
        <v>1756</v>
      </c>
      <c r="L421" s="492" t="s">
        <v>1473</v>
      </c>
      <c r="M421" s="493" t="s">
        <v>1230</v>
      </c>
      <c r="N421" s="493" t="s">
        <v>1232</v>
      </c>
      <c r="O421" s="492" t="s">
        <v>1232</v>
      </c>
      <c r="P421" s="492" t="s">
        <v>469</v>
      </c>
      <c r="Q421" s="494">
        <v>44343</v>
      </c>
      <c r="R421" s="494">
        <v>45531</v>
      </c>
      <c r="S421" s="495">
        <v>1</v>
      </c>
      <c r="T421" s="495">
        <v>0.2</v>
      </c>
      <c r="U421" s="496">
        <v>3250000</v>
      </c>
      <c r="V421" s="496">
        <v>3250000</v>
      </c>
      <c r="W421" s="496">
        <v>3250000</v>
      </c>
      <c r="X421" s="496">
        <f t="shared" si="31"/>
        <v>0</v>
      </c>
      <c r="Y421" s="496">
        <f t="shared" si="32"/>
        <v>0</v>
      </c>
      <c r="Z421" s="496">
        <v>3250000</v>
      </c>
      <c r="AA421" s="496">
        <v>3250000</v>
      </c>
      <c r="AB421" s="496">
        <v>3250000</v>
      </c>
      <c r="AC421" s="496">
        <f t="shared" si="33"/>
        <v>0</v>
      </c>
      <c r="AD421" s="496">
        <f t="shared" si="34"/>
        <v>0</v>
      </c>
      <c r="AE421" s="496">
        <v>0</v>
      </c>
      <c r="AF421" s="496">
        <v>0</v>
      </c>
      <c r="AG421" s="497" t="s">
        <v>1250</v>
      </c>
      <c r="AH421" s="497" t="s">
        <v>1291</v>
      </c>
      <c r="AI421" s="497" t="s">
        <v>1268</v>
      </c>
      <c r="AJ421" s="497" t="s">
        <v>1234</v>
      </c>
      <c r="AK421" s="497" t="s">
        <v>1240</v>
      </c>
      <c r="AL421" s="49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c r="BV421"/>
      <c r="BW421"/>
      <c r="BX421"/>
      <c r="BY421"/>
      <c r="BZ421"/>
      <c r="CA421"/>
      <c r="CB421"/>
    </row>
    <row r="422" spans="1:80" ht="18" customHeight="1" x14ac:dyDescent="0.25">
      <c r="A422" s="492">
        <f t="shared" si="30"/>
        <v>420</v>
      </c>
      <c r="B422" s="492" t="s">
        <v>3999</v>
      </c>
      <c r="C422" s="492">
        <v>2200000169</v>
      </c>
      <c r="D422" s="492" t="s">
        <v>5050</v>
      </c>
      <c r="E422" s="492" t="s">
        <v>1642</v>
      </c>
      <c r="F422" s="492" t="s">
        <v>2666</v>
      </c>
      <c r="G422" s="492" t="s">
        <v>3997</v>
      </c>
      <c r="H422" s="492" t="s">
        <v>2666</v>
      </c>
      <c r="I422" s="492" t="s">
        <v>3997</v>
      </c>
      <c r="J422" s="492" t="s">
        <v>3998</v>
      </c>
      <c r="K422" s="492" t="s">
        <v>1756</v>
      </c>
      <c r="L422" s="492" t="s">
        <v>1473</v>
      </c>
      <c r="M422" s="493" t="s">
        <v>1230</v>
      </c>
      <c r="N422" s="493" t="s">
        <v>1232</v>
      </c>
      <c r="O422" s="492" t="s">
        <v>1232</v>
      </c>
      <c r="P422" s="492" t="s">
        <v>469</v>
      </c>
      <c r="Q422" s="494">
        <v>44343</v>
      </c>
      <c r="R422" s="494">
        <v>45498</v>
      </c>
      <c r="S422" s="495">
        <v>1.5</v>
      </c>
      <c r="T422" s="495">
        <v>0.3</v>
      </c>
      <c r="U422" s="496">
        <v>2119840</v>
      </c>
      <c r="V422" s="496">
        <v>2119840</v>
      </c>
      <c r="W422" s="496">
        <v>2119840</v>
      </c>
      <c r="X422" s="496">
        <f t="shared" si="31"/>
        <v>0</v>
      </c>
      <c r="Y422" s="496">
        <f t="shared" si="32"/>
        <v>0</v>
      </c>
      <c r="Z422" s="496">
        <v>510527</v>
      </c>
      <c r="AA422" s="496">
        <v>510527</v>
      </c>
      <c r="AB422" s="496">
        <v>510527</v>
      </c>
      <c r="AC422" s="496">
        <f t="shared" si="33"/>
        <v>0</v>
      </c>
      <c r="AD422" s="496">
        <f t="shared" si="34"/>
        <v>0</v>
      </c>
      <c r="AE422" s="496">
        <v>1609313</v>
      </c>
      <c r="AF422" s="496">
        <v>0</v>
      </c>
      <c r="AG422" s="497" t="s">
        <v>1245</v>
      </c>
      <c r="AH422" s="497" t="s">
        <v>1247</v>
      </c>
      <c r="AI422" s="497" t="s">
        <v>1248</v>
      </c>
      <c r="AJ422" s="497" t="s">
        <v>1246</v>
      </c>
      <c r="AK422" s="497" t="s">
        <v>1235</v>
      </c>
      <c r="AL422" s="491"/>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row>
    <row r="423" spans="1:80" ht="18" customHeight="1" x14ac:dyDescent="0.25">
      <c r="A423" s="486">
        <f t="shared" si="30"/>
        <v>421</v>
      </c>
      <c r="B423" s="486" t="s">
        <v>4006</v>
      </c>
      <c r="C423" s="486">
        <v>5200000153</v>
      </c>
      <c r="D423" s="486" t="s">
        <v>5051</v>
      </c>
      <c r="E423" s="486" t="s">
        <v>1646</v>
      </c>
      <c r="F423" s="486" t="s">
        <v>4005</v>
      </c>
      <c r="G423" s="486" t="s">
        <v>4003</v>
      </c>
      <c r="H423" s="485" t="s">
        <v>2625</v>
      </c>
      <c r="I423" s="486" t="s">
        <v>3567</v>
      </c>
      <c r="J423" s="486" t="s">
        <v>4004</v>
      </c>
      <c r="K423" s="486" t="s">
        <v>1756</v>
      </c>
      <c r="L423" s="486" t="s">
        <v>1473</v>
      </c>
      <c r="M423" s="486" t="s">
        <v>1230</v>
      </c>
      <c r="N423" s="486" t="s">
        <v>1231</v>
      </c>
      <c r="O423" s="486" t="s">
        <v>1232</v>
      </c>
      <c r="P423" s="486" t="s">
        <v>469</v>
      </c>
      <c r="Q423" s="487">
        <v>44343</v>
      </c>
      <c r="R423" s="487">
        <v>45159</v>
      </c>
      <c r="S423" s="488">
        <v>1</v>
      </c>
      <c r="T423" s="488">
        <v>0.2</v>
      </c>
      <c r="U423" s="489">
        <v>1655646.32</v>
      </c>
      <c r="V423" s="489">
        <v>1242202.22</v>
      </c>
      <c r="W423" s="489">
        <v>1242202.22</v>
      </c>
      <c r="X423" s="489">
        <f t="shared" si="31"/>
        <v>-413444.10000000009</v>
      </c>
      <c r="Y423" s="489">
        <f t="shared" si="32"/>
        <v>0</v>
      </c>
      <c r="Z423" s="489">
        <v>1655646.32</v>
      </c>
      <c r="AA423" s="489">
        <v>1242202.22</v>
      </c>
      <c r="AB423" s="489">
        <v>1242202.22</v>
      </c>
      <c r="AC423" s="489">
        <f t="shared" si="33"/>
        <v>-413444.10000000009</v>
      </c>
      <c r="AD423" s="489">
        <f t="shared" si="34"/>
        <v>0</v>
      </c>
      <c r="AE423" s="489">
        <v>0</v>
      </c>
      <c r="AF423" s="489">
        <v>0</v>
      </c>
      <c r="AG423" s="490" t="s">
        <v>1288</v>
      </c>
      <c r="AH423" s="490" t="s">
        <v>1252</v>
      </c>
      <c r="AI423" s="490" t="s">
        <v>1248</v>
      </c>
      <c r="AJ423" s="490" t="s">
        <v>1234</v>
      </c>
      <c r="AK423" s="490" t="s">
        <v>1278</v>
      </c>
      <c r="AL423" s="491"/>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row>
    <row r="424" spans="1:80" ht="18" customHeight="1" x14ac:dyDescent="0.25">
      <c r="A424" s="492">
        <f t="shared" si="30"/>
        <v>422</v>
      </c>
      <c r="B424" s="492" t="s">
        <v>4009</v>
      </c>
      <c r="C424" s="492">
        <v>3200000115</v>
      </c>
      <c r="D424" s="492" t="s">
        <v>5052</v>
      </c>
      <c r="E424" s="492" t="s">
        <v>1647</v>
      </c>
      <c r="F424" s="492" t="s">
        <v>2669</v>
      </c>
      <c r="G424" s="492" t="s">
        <v>4007</v>
      </c>
      <c r="H424" s="492" t="s">
        <v>2669</v>
      </c>
      <c r="I424" s="492" t="s">
        <v>4007</v>
      </c>
      <c r="J424" s="492" t="s">
        <v>4008</v>
      </c>
      <c r="K424" s="492" t="s">
        <v>1756</v>
      </c>
      <c r="L424" s="492" t="s">
        <v>1473</v>
      </c>
      <c r="M424" s="493" t="s">
        <v>1230</v>
      </c>
      <c r="N424" s="493" t="s">
        <v>1232</v>
      </c>
      <c r="O424" s="492" t="s">
        <v>1232</v>
      </c>
      <c r="P424" s="492" t="s">
        <v>469</v>
      </c>
      <c r="Q424" s="494">
        <v>44343</v>
      </c>
      <c r="R424" s="494">
        <v>44893</v>
      </c>
      <c r="S424" s="495">
        <v>1</v>
      </c>
      <c r="T424" s="495">
        <v>0.2</v>
      </c>
      <c r="U424" s="496">
        <v>3625000</v>
      </c>
      <c r="V424" s="496">
        <v>3625000</v>
      </c>
      <c r="W424" s="496">
        <v>3625000</v>
      </c>
      <c r="X424" s="496">
        <f t="shared" si="31"/>
        <v>0</v>
      </c>
      <c r="Y424" s="496">
        <f t="shared" si="32"/>
        <v>0</v>
      </c>
      <c r="Z424" s="496">
        <v>3625000</v>
      </c>
      <c r="AA424" s="496">
        <v>3625000</v>
      </c>
      <c r="AB424" s="496">
        <v>3625000</v>
      </c>
      <c r="AC424" s="496">
        <f t="shared" si="33"/>
        <v>0</v>
      </c>
      <c r="AD424" s="496">
        <f t="shared" si="34"/>
        <v>0</v>
      </c>
      <c r="AE424" s="496">
        <v>0</v>
      </c>
      <c r="AF424" s="496">
        <v>0</v>
      </c>
      <c r="AG424" s="497" t="s">
        <v>1250</v>
      </c>
      <c r="AH424" s="497" t="s">
        <v>1291</v>
      </c>
      <c r="AI424" s="497" t="s">
        <v>1292</v>
      </c>
      <c r="AJ424" s="497" t="s">
        <v>1234</v>
      </c>
      <c r="AK424" s="497" t="s">
        <v>1240</v>
      </c>
      <c r="AL424" s="491"/>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row>
    <row r="425" spans="1:80" ht="18" customHeight="1" x14ac:dyDescent="0.25">
      <c r="A425" s="486">
        <f t="shared" si="30"/>
        <v>423</v>
      </c>
      <c r="B425" s="486" t="s">
        <v>4010</v>
      </c>
      <c r="C425" s="486">
        <v>1200000142</v>
      </c>
      <c r="D425" s="486" t="s">
        <v>5053</v>
      </c>
      <c r="E425" s="486" t="s">
        <v>1318</v>
      </c>
      <c r="F425" s="486" t="s">
        <v>198</v>
      </c>
      <c r="G425" s="486" t="s">
        <v>2768</v>
      </c>
      <c r="H425" s="485" t="s">
        <v>2562</v>
      </c>
      <c r="I425" s="486" t="s">
        <v>2961</v>
      </c>
      <c r="J425" s="486" t="s">
        <v>2962</v>
      </c>
      <c r="K425" s="486" t="s">
        <v>1756</v>
      </c>
      <c r="L425" s="486" t="s">
        <v>1473</v>
      </c>
      <c r="M425" s="486" t="s">
        <v>1230</v>
      </c>
      <c r="N425" s="486" t="s">
        <v>1231</v>
      </c>
      <c r="O425" s="486" t="s">
        <v>1232</v>
      </c>
      <c r="P425" s="486" t="s">
        <v>1156</v>
      </c>
      <c r="Q425" s="487">
        <v>44344</v>
      </c>
      <c r="R425" s="487">
        <v>46202</v>
      </c>
      <c r="S425" s="488">
        <v>1</v>
      </c>
      <c r="T425" s="488">
        <v>0.2</v>
      </c>
      <c r="U425" s="489">
        <v>1066519</v>
      </c>
      <c r="V425" s="489">
        <v>1066519</v>
      </c>
      <c r="W425" s="489">
        <v>867000</v>
      </c>
      <c r="X425" s="489">
        <f t="shared" si="31"/>
        <v>-199519</v>
      </c>
      <c r="Y425" s="489">
        <f t="shared" si="32"/>
        <v>-199519</v>
      </c>
      <c r="Z425" s="489">
        <v>867000</v>
      </c>
      <c r="AA425" s="489">
        <v>867000</v>
      </c>
      <c r="AB425" s="489">
        <v>867000</v>
      </c>
      <c r="AC425" s="489">
        <f t="shared" si="33"/>
        <v>0</v>
      </c>
      <c r="AD425" s="489">
        <f t="shared" si="34"/>
        <v>0</v>
      </c>
      <c r="AE425" s="489">
        <v>0</v>
      </c>
      <c r="AF425" s="489">
        <v>0</v>
      </c>
      <c r="AG425" s="490" t="s">
        <v>1237</v>
      </c>
      <c r="AH425" s="490" t="s">
        <v>1236</v>
      </c>
      <c r="AI425" s="490"/>
      <c r="AJ425" s="490" t="s">
        <v>1259</v>
      </c>
      <c r="AK425" s="490" t="s">
        <v>1260</v>
      </c>
      <c r="AL425" s="491"/>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row>
    <row r="426" spans="1:80" ht="18" customHeight="1" x14ac:dyDescent="0.25">
      <c r="A426" s="486">
        <f t="shared" si="30"/>
        <v>424</v>
      </c>
      <c r="B426" s="486" t="s">
        <v>4013</v>
      </c>
      <c r="C426" s="486">
        <v>2200000174</v>
      </c>
      <c r="D426" s="486" t="s">
        <v>5054</v>
      </c>
      <c r="E426" s="486" t="s">
        <v>1373</v>
      </c>
      <c r="F426" s="486" t="s">
        <v>4012</v>
      </c>
      <c r="G426" s="486" t="s">
        <v>4011</v>
      </c>
      <c r="H426" s="485" t="s">
        <v>2578</v>
      </c>
      <c r="I426" s="486" t="s">
        <v>3103</v>
      </c>
      <c r="J426" s="486" t="s">
        <v>3104</v>
      </c>
      <c r="K426" s="486" t="s">
        <v>1756</v>
      </c>
      <c r="L426" s="486" t="s">
        <v>1473</v>
      </c>
      <c r="M426" s="486" t="s">
        <v>1230</v>
      </c>
      <c r="N426" s="486" t="s">
        <v>1231</v>
      </c>
      <c r="O426" s="486" t="s">
        <v>1232</v>
      </c>
      <c r="P426" s="486" t="s">
        <v>469</v>
      </c>
      <c r="Q426" s="487">
        <v>44344</v>
      </c>
      <c r="R426" s="487">
        <v>45499</v>
      </c>
      <c r="S426" s="488">
        <v>1.5</v>
      </c>
      <c r="T426" s="488">
        <v>0.3</v>
      </c>
      <c r="U426" s="489">
        <v>3675129</v>
      </c>
      <c r="V426" s="489">
        <v>3675129</v>
      </c>
      <c r="W426" s="489">
        <v>3675129</v>
      </c>
      <c r="X426" s="489">
        <f t="shared" si="31"/>
        <v>0</v>
      </c>
      <c r="Y426" s="489">
        <f t="shared" si="32"/>
        <v>0</v>
      </c>
      <c r="Z426" s="489">
        <v>411697</v>
      </c>
      <c r="AA426" s="489">
        <v>466565</v>
      </c>
      <c r="AB426" s="489">
        <v>466565</v>
      </c>
      <c r="AC426" s="489">
        <f t="shared" si="33"/>
        <v>54868</v>
      </c>
      <c r="AD426" s="489">
        <f t="shared" si="34"/>
        <v>0</v>
      </c>
      <c r="AE426" s="489">
        <v>3208564</v>
      </c>
      <c r="AF426" s="489">
        <v>0</v>
      </c>
      <c r="AG426" s="490" t="s">
        <v>1245</v>
      </c>
      <c r="AH426" s="490" t="s">
        <v>1247</v>
      </c>
      <c r="AI426" s="490" t="s">
        <v>1248</v>
      </c>
      <c r="AJ426" s="490" t="s">
        <v>1246</v>
      </c>
      <c r="AK426" s="490" t="s">
        <v>1235</v>
      </c>
      <c r="AL426" s="491"/>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row>
    <row r="427" spans="1:80" ht="18" customHeight="1" x14ac:dyDescent="0.25">
      <c r="A427" s="485">
        <f t="shared" si="30"/>
        <v>425</v>
      </c>
      <c r="B427" s="485" t="s">
        <v>4014</v>
      </c>
      <c r="C427" s="485">
        <v>2200000176</v>
      </c>
      <c r="D427" s="485" t="s">
        <v>5055</v>
      </c>
      <c r="E427" s="485" t="s">
        <v>1384</v>
      </c>
      <c r="F427" s="485" t="s">
        <v>1383</v>
      </c>
      <c r="G427" s="485" t="s">
        <v>3152</v>
      </c>
      <c r="H427" s="485" t="s">
        <v>1383</v>
      </c>
      <c r="I427" s="485" t="s">
        <v>3152</v>
      </c>
      <c r="J427" s="485" t="s">
        <v>3153</v>
      </c>
      <c r="K427" s="485" t="s">
        <v>1756</v>
      </c>
      <c r="L427" s="485" t="s">
        <v>1473</v>
      </c>
      <c r="M427" s="486" t="s">
        <v>1307</v>
      </c>
      <c r="N427" s="486" t="s">
        <v>1231</v>
      </c>
      <c r="O427" s="486" t="s">
        <v>1231</v>
      </c>
      <c r="P427" s="485" t="s">
        <v>469</v>
      </c>
      <c r="Q427" s="487">
        <v>44344</v>
      </c>
      <c r="R427" s="487">
        <v>44929</v>
      </c>
      <c r="S427" s="488">
        <v>1.5</v>
      </c>
      <c r="T427" s="488">
        <v>0.3</v>
      </c>
      <c r="U427" s="489">
        <v>4701701</v>
      </c>
      <c r="V427" s="489">
        <v>4701701</v>
      </c>
      <c r="W427" s="489">
        <v>4701701</v>
      </c>
      <c r="X427" s="489">
        <f t="shared" si="31"/>
        <v>0</v>
      </c>
      <c r="Y427" s="489">
        <f t="shared" si="32"/>
        <v>0</v>
      </c>
      <c r="Z427" s="489">
        <v>1</v>
      </c>
      <c r="AA427" s="489">
        <v>1</v>
      </c>
      <c r="AB427" s="489">
        <v>1</v>
      </c>
      <c r="AC427" s="489">
        <f t="shared" si="33"/>
        <v>0</v>
      </c>
      <c r="AD427" s="489">
        <f t="shared" si="34"/>
        <v>0</v>
      </c>
      <c r="AE427" s="489">
        <v>4701700</v>
      </c>
      <c r="AF427" s="489">
        <v>0</v>
      </c>
      <c r="AG427" s="490" t="s">
        <v>1245</v>
      </c>
      <c r="AH427" s="490" t="s">
        <v>1247</v>
      </c>
      <c r="AI427" s="490" t="s">
        <v>1248</v>
      </c>
      <c r="AJ427" s="490" t="s">
        <v>1246</v>
      </c>
      <c r="AK427" s="490" t="s">
        <v>1235</v>
      </c>
      <c r="AL427" s="491"/>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c r="BV427"/>
      <c r="BW427"/>
      <c r="BX427"/>
      <c r="BY427"/>
      <c r="BZ427"/>
      <c r="CA427"/>
      <c r="CB427"/>
    </row>
    <row r="428" spans="1:80" ht="18" customHeight="1" x14ac:dyDescent="0.25">
      <c r="A428" s="486">
        <f t="shared" si="30"/>
        <v>426</v>
      </c>
      <c r="B428" s="486" t="s">
        <v>4016</v>
      </c>
      <c r="C428" s="486">
        <v>1200000143</v>
      </c>
      <c r="D428" s="486" t="s">
        <v>5056</v>
      </c>
      <c r="E428" s="486" t="s">
        <v>1479</v>
      </c>
      <c r="F428" s="486" t="s">
        <v>2756</v>
      </c>
      <c r="G428" s="486" t="s">
        <v>2767</v>
      </c>
      <c r="H428" s="485" t="s">
        <v>2612</v>
      </c>
      <c r="I428" s="486" t="s">
        <v>3454</v>
      </c>
      <c r="J428" s="486" t="s">
        <v>3455</v>
      </c>
      <c r="K428" s="486" t="s">
        <v>1756</v>
      </c>
      <c r="L428" s="486" t="s">
        <v>1473</v>
      </c>
      <c r="M428" s="486" t="s">
        <v>1230</v>
      </c>
      <c r="N428" s="486" t="s">
        <v>1231</v>
      </c>
      <c r="O428" s="486" t="s">
        <v>1232</v>
      </c>
      <c r="P428" s="486" t="s">
        <v>1156</v>
      </c>
      <c r="Q428" s="487">
        <v>44344</v>
      </c>
      <c r="R428" s="487">
        <v>46535</v>
      </c>
      <c r="S428" s="488">
        <v>1</v>
      </c>
      <c r="T428" s="488">
        <v>0.2</v>
      </c>
      <c r="U428" s="489">
        <v>2462727.33</v>
      </c>
      <c r="V428" s="489">
        <v>2462727.33</v>
      </c>
      <c r="W428" s="489">
        <v>2462727.33</v>
      </c>
      <c r="X428" s="489">
        <f t="shared" si="31"/>
        <v>0</v>
      </c>
      <c r="Y428" s="489">
        <f t="shared" si="32"/>
        <v>0</v>
      </c>
      <c r="Z428" s="489">
        <v>2462727.33</v>
      </c>
      <c r="AA428" s="489">
        <v>2462727.33</v>
      </c>
      <c r="AB428" s="489">
        <v>2462727.33</v>
      </c>
      <c r="AC428" s="489">
        <f t="shared" si="33"/>
        <v>0</v>
      </c>
      <c r="AD428" s="489">
        <f t="shared" si="34"/>
        <v>0</v>
      </c>
      <c r="AE428" s="489">
        <v>0</v>
      </c>
      <c r="AF428" s="489">
        <v>0</v>
      </c>
      <c r="AG428" s="490" t="s">
        <v>1237</v>
      </c>
      <c r="AH428" s="490" t="s">
        <v>1236</v>
      </c>
      <c r="AI428" s="490"/>
      <c r="AJ428" s="490" t="s">
        <v>1259</v>
      </c>
      <c r="AK428" s="490" t="s">
        <v>1260</v>
      </c>
      <c r="AL428" s="491"/>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row>
    <row r="429" spans="1:80" ht="18" customHeight="1" x14ac:dyDescent="0.25">
      <c r="A429" s="486">
        <f t="shared" si="30"/>
        <v>427</v>
      </c>
      <c r="B429" s="486" t="s">
        <v>4017</v>
      </c>
      <c r="C429" s="486">
        <v>1200000144</v>
      </c>
      <c r="D429" s="486" t="s">
        <v>5057</v>
      </c>
      <c r="E429" s="486" t="s">
        <v>1173</v>
      </c>
      <c r="F429" s="486" t="s">
        <v>2639</v>
      </c>
      <c r="G429" s="486" t="s">
        <v>1100</v>
      </c>
      <c r="H429" s="485" t="s">
        <v>2639</v>
      </c>
      <c r="I429" s="486" t="s">
        <v>1100</v>
      </c>
      <c r="J429" s="486" t="s">
        <v>3735</v>
      </c>
      <c r="K429" s="486" t="s">
        <v>1756</v>
      </c>
      <c r="L429" s="486" t="s">
        <v>1473</v>
      </c>
      <c r="M429" s="486" t="s">
        <v>1230</v>
      </c>
      <c r="N429" s="486" t="s">
        <v>1231</v>
      </c>
      <c r="O429" s="486" t="s">
        <v>1232</v>
      </c>
      <c r="P429" s="486" t="s">
        <v>1156</v>
      </c>
      <c r="Q429" s="487">
        <v>44344</v>
      </c>
      <c r="R429" s="487">
        <v>45467</v>
      </c>
      <c r="S429" s="488">
        <v>1</v>
      </c>
      <c r="T429" s="488">
        <v>0.2</v>
      </c>
      <c r="U429" s="489">
        <v>203978</v>
      </c>
      <c r="V429" s="489">
        <v>203978</v>
      </c>
      <c r="W429" s="489">
        <v>203978</v>
      </c>
      <c r="X429" s="489">
        <f t="shared" si="31"/>
        <v>0</v>
      </c>
      <c r="Y429" s="489">
        <f t="shared" si="32"/>
        <v>0</v>
      </c>
      <c r="Z429" s="489">
        <v>203978</v>
      </c>
      <c r="AA429" s="489">
        <v>203978</v>
      </c>
      <c r="AB429" s="489">
        <v>203978</v>
      </c>
      <c r="AC429" s="489">
        <f t="shared" si="33"/>
        <v>0</v>
      </c>
      <c r="AD429" s="489">
        <f t="shared" si="34"/>
        <v>0</v>
      </c>
      <c r="AE429" s="489">
        <v>0</v>
      </c>
      <c r="AF429" s="489">
        <v>0</v>
      </c>
      <c r="AG429" s="490" t="s">
        <v>1237</v>
      </c>
      <c r="AH429" s="490" t="s">
        <v>1236</v>
      </c>
      <c r="AI429" s="490"/>
      <c r="AJ429" s="490" t="s">
        <v>1259</v>
      </c>
      <c r="AK429" s="490" t="s">
        <v>1260</v>
      </c>
      <c r="AL429" s="491"/>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row>
    <row r="430" spans="1:80" ht="18" customHeight="1" x14ac:dyDescent="0.25">
      <c r="A430" s="492">
        <f t="shared" si="30"/>
        <v>428</v>
      </c>
      <c r="B430" s="492" t="s">
        <v>4022</v>
      </c>
      <c r="C430" s="492">
        <v>3200000117</v>
      </c>
      <c r="D430" s="492" t="s">
        <v>5058</v>
      </c>
      <c r="E430" s="492" t="s">
        <v>1631</v>
      </c>
      <c r="F430" s="492" t="s">
        <v>4021</v>
      </c>
      <c r="G430" s="492" t="s">
        <v>4018</v>
      </c>
      <c r="H430" s="492" t="s">
        <v>2657</v>
      </c>
      <c r="I430" s="492" t="s">
        <v>4019</v>
      </c>
      <c r="J430" s="492" t="s">
        <v>4020</v>
      </c>
      <c r="K430" s="492" t="s">
        <v>1756</v>
      </c>
      <c r="L430" s="492" t="s">
        <v>1473</v>
      </c>
      <c r="M430" s="493" t="s">
        <v>1230</v>
      </c>
      <c r="N430" s="493" t="s">
        <v>1232</v>
      </c>
      <c r="O430" s="492" t="s">
        <v>1232</v>
      </c>
      <c r="P430" s="492" t="s">
        <v>469</v>
      </c>
      <c r="Q430" s="494">
        <v>44344</v>
      </c>
      <c r="R430" s="494">
        <v>45497</v>
      </c>
      <c r="S430" s="495">
        <v>1</v>
      </c>
      <c r="T430" s="495">
        <v>0.2</v>
      </c>
      <c r="U430" s="496">
        <v>1083500</v>
      </c>
      <c r="V430" s="496">
        <v>1083500</v>
      </c>
      <c r="W430" s="496">
        <v>1083500</v>
      </c>
      <c r="X430" s="496">
        <f t="shared" si="31"/>
        <v>0</v>
      </c>
      <c r="Y430" s="496">
        <f t="shared" si="32"/>
        <v>0</v>
      </c>
      <c r="Z430" s="496">
        <v>1083500</v>
      </c>
      <c r="AA430" s="496">
        <v>1083500</v>
      </c>
      <c r="AB430" s="496">
        <v>1083500</v>
      </c>
      <c r="AC430" s="496">
        <f t="shared" si="33"/>
        <v>0</v>
      </c>
      <c r="AD430" s="496">
        <f t="shared" si="34"/>
        <v>0</v>
      </c>
      <c r="AE430" s="496">
        <v>0</v>
      </c>
      <c r="AF430" s="496">
        <v>0</v>
      </c>
      <c r="AG430" s="497" t="s">
        <v>1250</v>
      </c>
      <c r="AH430" s="497" t="s">
        <v>1291</v>
      </c>
      <c r="AI430" s="497" t="s">
        <v>1632</v>
      </c>
      <c r="AJ430" s="497" t="s">
        <v>1234</v>
      </c>
      <c r="AK430" s="497" t="s">
        <v>1240</v>
      </c>
      <c r="AL430" s="491"/>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c r="BV430"/>
      <c r="BW430"/>
      <c r="BX430"/>
      <c r="BY430"/>
      <c r="BZ430"/>
      <c r="CA430"/>
      <c r="CB430"/>
    </row>
    <row r="431" spans="1:80" ht="18" customHeight="1" x14ac:dyDescent="0.25">
      <c r="A431" s="492">
        <f t="shared" si="30"/>
        <v>429</v>
      </c>
      <c r="B431" s="492" t="s">
        <v>4025</v>
      </c>
      <c r="C431" s="492">
        <v>2200000170</v>
      </c>
      <c r="D431" s="492" t="s">
        <v>5059</v>
      </c>
      <c r="E431" s="492" t="s">
        <v>1638</v>
      </c>
      <c r="F431" s="492" t="s">
        <v>2662</v>
      </c>
      <c r="G431" s="492" t="s">
        <v>4023</v>
      </c>
      <c r="H431" s="492" t="s">
        <v>2662</v>
      </c>
      <c r="I431" s="492" t="s">
        <v>4023</v>
      </c>
      <c r="J431" s="492" t="s">
        <v>4024</v>
      </c>
      <c r="K431" s="492" t="s">
        <v>1756</v>
      </c>
      <c r="L431" s="492" t="s">
        <v>1473</v>
      </c>
      <c r="M431" s="493" t="s">
        <v>1230</v>
      </c>
      <c r="N431" s="493" t="s">
        <v>1232</v>
      </c>
      <c r="O431" s="492" t="s">
        <v>1232</v>
      </c>
      <c r="P431" s="492" t="s">
        <v>469</v>
      </c>
      <c r="Q431" s="494">
        <v>44344</v>
      </c>
      <c r="R431" s="494">
        <v>45502</v>
      </c>
      <c r="S431" s="495">
        <v>1.5</v>
      </c>
      <c r="T431" s="495">
        <v>0.3</v>
      </c>
      <c r="U431" s="496">
        <v>990000</v>
      </c>
      <c r="V431" s="496">
        <v>990000</v>
      </c>
      <c r="W431" s="496">
        <v>990000</v>
      </c>
      <c r="X431" s="496">
        <f t="shared" si="31"/>
        <v>0</v>
      </c>
      <c r="Y431" s="496">
        <f t="shared" si="32"/>
        <v>0</v>
      </c>
      <c r="Z431" s="496">
        <v>641155</v>
      </c>
      <c r="AA431" s="496">
        <v>822577</v>
      </c>
      <c r="AB431" s="496">
        <v>822577</v>
      </c>
      <c r="AC431" s="496">
        <f t="shared" si="33"/>
        <v>181422</v>
      </c>
      <c r="AD431" s="496">
        <f t="shared" si="34"/>
        <v>0</v>
      </c>
      <c r="AE431" s="496">
        <v>167423</v>
      </c>
      <c r="AF431" s="496">
        <v>0</v>
      </c>
      <c r="AG431" s="497" t="s">
        <v>1245</v>
      </c>
      <c r="AH431" s="497" t="s">
        <v>1247</v>
      </c>
      <c r="AI431" s="497" t="s">
        <v>1248</v>
      </c>
      <c r="AJ431" s="497" t="s">
        <v>1246</v>
      </c>
      <c r="AK431" s="497" t="s">
        <v>1235</v>
      </c>
      <c r="AL431" s="49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row>
    <row r="432" spans="1:80" ht="18" customHeight="1" x14ac:dyDescent="0.25">
      <c r="A432" s="492">
        <f t="shared" si="30"/>
        <v>430</v>
      </c>
      <c r="B432" s="492" t="s">
        <v>4028</v>
      </c>
      <c r="C432" s="492">
        <v>1200000139</v>
      </c>
      <c r="D432" s="492" t="s">
        <v>5060</v>
      </c>
      <c r="E432" s="492" t="s">
        <v>1197</v>
      </c>
      <c r="F432" s="492" t="s">
        <v>2670</v>
      </c>
      <c r="G432" s="492" t="s">
        <v>4026</v>
      </c>
      <c r="H432" s="492" t="s">
        <v>2670</v>
      </c>
      <c r="I432" s="492" t="s">
        <v>4026</v>
      </c>
      <c r="J432" s="492" t="s">
        <v>4027</v>
      </c>
      <c r="K432" s="492" t="s">
        <v>1756</v>
      </c>
      <c r="L432" s="492" t="s">
        <v>1473</v>
      </c>
      <c r="M432" s="493" t="s">
        <v>1230</v>
      </c>
      <c r="N432" s="493" t="s">
        <v>1232</v>
      </c>
      <c r="O432" s="492" t="s">
        <v>1232</v>
      </c>
      <c r="P432" s="492" t="s">
        <v>1156</v>
      </c>
      <c r="Q432" s="494">
        <v>44344</v>
      </c>
      <c r="R432" s="494">
        <v>45499</v>
      </c>
      <c r="S432" s="495">
        <v>1</v>
      </c>
      <c r="T432" s="495">
        <v>0.2</v>
      </c>
      <c r="U432" s="496">
        <v>5000000</v>
      </c>
      <c r="V432" s="496">
        <v>5000000</v>
      </c>
      <c r="W432" s="496">
        <v>5000000</v>
      </c>
      <c r="X432" s="496">
        <f t="shared" si="31"/>
        <v>0</v>
      </c>
      <c r="Y432" s="496">
        <f t="shared" si="32"/>
        <v>0</v>
      </c>
      <c r="Z432" s="496">
        <v>5000000</v>
      </c>
      <c r="AA432" s="496">
        <v>5000000</v>
      </c>
      <c r="AB432" s="496">
        <v>5000000</v>
      </c>
      <c r="AC432" s="496">
        <f t="shared" si="33"/>
        <v>0</v>
      </c>
      <c r="AD432" s="496">
        <f t="shared" si="34"/>
        <v>0</v>
      </c>
      <c r="AE432" s="496">
        <v>0</v>
      </c>
      <c r="AF432" s="496">
        <v>0</v>
      </c>
      <c r="AG432" s="497" t="s">
        <v>1237</v>
      </c>
      <c r="AH432" s="497" t="s">
        <v>1236</v>
      </c>
      <c r="AI432" s="497"/>
      <c r="AJ432" s="497" t="s">
        <v>1259</v>
      </c>
      <c r="AK432" s="497" t="s">
        <v>1260</v>
      </c>
      <c r="AL432" s="491"/>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row>
    <row r="433" spans="1:80" ht="18" customHeight="1" x14ac:dyDescent="0.25">
      <c r="A433" s="492">
        <f t="shared" si="30"/>
        <v>431</v>
      </c>
      <c r="B433" s="492" t="s">
        <v>4031</v>
      </c>
      <c r="C433" s="492">
        <v>3200000116</v>
      </c>
      <c r="D433" s="492" t="s">
        <v>5061</v>
      </c>
      <c r="E433" s="492" t="s">
        <v>1648</v>
      </c>
      <c r="F433" s="492" t="s">
        <v>2671</v>
      </c>
      <c r="G433" s="492" t="s">
        <v>4029</v>
      </c>
      <c r="H433" s="492" t="s">
        <v>2671</v>
      </c>
      <c r="I433" s="492" t="s">
        <v>4029</v>
      </c>
      <c r="J433" s="492" t="s">
        <v>4030</v>
      </c>
      <c r="K433" s="492" t="s">
        <v>1756</v>
      </c>
      <c r="L433" s="492" t="s">
        <v>1473</v>
      </c>
      <c r="M433" s="493" t="s">
        <v>1230</v>
      </c>
      <c r="N433" s="493" t="s">
        <v>1232</v>
      </c>
      <c r="O433" s="492" t="s">
        <v>1232</v>
      </c>
      <c r="P433" s="492" t="s">
        <v>469</v>
      </c>
      <c r="Q433" s="494">
        <v>44344</v>
      </c>
      <c r="R433" s="494">
        <v>44826</v>
      </c>
      <c r="S433" s="495">
        <v>1</v>
      </c>
      <c r="T433" s="495">
        <v>0.2</v>
      </c>
      <c r="U433" s="496">
        <v>2160000</v>
      </c>
      <c r="V433" s="496">
        <v>2160000</v>
      </c>
      <c r="W433" s="496">
        <v>2160000</v>
      </c>
      <c r="X433" s="496">
        <f t="shared" si="31"/>
        <v>0</v>
      </c>
      <c r="Y433" s="496">
        <f t="shared" si="32"/>
        <v>0</v>
      </c>
      <c r="Z433" s="496">
        <v>2160000</v>
      </c>
      <c r="AA433" s="496">
        <v>2160000</v>
      </c>
      <c r="AB433" s="496">
        <v>2160000</v>
      </c>
      <c r="AC433" s="496">
        <f t="shared" si="33"/>
        <v>0</v>
      </c>
      <c r="AD433" s="496">
        <f t="shared" si="34"/>
        <v>0</v>
      </c>
      <c r="AE433" s="496">
        <v>0</v>
      </c>
      <c r="AF433" s="496">
        <v>0</v>
      </c>
      <c r="AG433" s="497" t="s">
        <v>1250</v>
      </c>
      <c r="AH433" s="497" t="s">
        <v>1291</v>
      </c>
      <c r="AI433" s="497" t="s">
        <v>1292</v>
      </c>
      <c r="AJ433" s="497" t="s">
        <v>1234</v>
      </c>
      <c r="AK433" s="497" t="s">
        <v>1240</v>
      </c>
      <c r="AL433" s="491"/>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row>
    <row r="434" spans="1:80" ht="18" customHeight="1" x14ac:dyDescent="0.25">
      <c r="A434" s="492">
        <f t="shared" si="30"/>
        <v>432</v>
      </c>
      <c r="B434" s="492" t="s">
        <v>4034</v>
      </c>
      <c r="C434" s="492">
        <v>1200000140</v>
      </c>
      <c r="D434" s="492" t="s">
        <v>5062</v>
      </c>
      <c r="E434" s="492" t="s">
        <v>1649</v>
      </c>
      <c r="F434" s="492" t="s">
        <v>2672</v>
      </c>
      <c r="G434" s="492" t="s">
        <v>4032</v>
      </c>
      <c r="H434" s="492" t="s">
        <v>2672</v>
      </c>
      <c r="I434" s="492" t="s">
        <v>4032</v>
      </c>
      <c r="J434" s="492" t="s">
        <v>4033</v>
      </c>
      <c r="K434" s="492" t="s">
        <v>1756</v>
      </c>
      <c r="L434" s="492" t="s">
        <v>1473</v>
      </c>
      <c r="M434" s="493" t="s">
        <v>1230</v>
      </c>
      <c r="N434" s="493" t="s">
        <v>1232</v>
      </c>
      <c r="O434" s="492" t="s">
        <v>1232</v>
      </c>
      <c r="P434" s="492" t="s">
        <v>1156</v>
      </c>
      <c r="Q434" s="494">
        <v>44344</v>
      </c>
      <c r="R434" s="494">
        <v>46624</v>
      </c>
      <c r="S434" s="498">
        <v>1</v>
      </c>
      <c r="T434" s="498">
        <v>0.2</v>
      </c>
      <c r="U434" s="496">
        <v>4400273</v>
      </c>
      <c r="V434" s="496">
        <v>4400273</v>
      </c>
      <c r="W434" s="496">
        <v>4400273</v>
      </c>
      <c r="X434" s="496">
        <f t="shared" si="31"/>
        <v>0</v>
      </c>
      <c r="Y434" s="496">
        <f t="shared" si="32"/>
        <v>0</v>
      </c>
      <c r="Z434" s="496">
        <v>1622082.08</v>
      </c>
      <c r="AA434" s="496">
        <v>1622082.08</v>
      </c>
      <c r="AB434" s="496">
        <v>1927131.86</v>
      </c>
      <c r="AC434" s="496">
        <f t="shared" si="33"/>
        <v>305049.78000000003</v>
      </c>
      <c r="AD434" s="496">
        <f t="shared" si="34"/>
        <v>305049.78000000003</v>
      </c>
      <c r="AE434" s="496">
        <v>2473141.14</v>
      </c>
      <c r="AF434" s="496">
        <v>0</v>
      </c>
      <c r="AG434" s="497" t="s">
        <v>1237</v>
      </c>
      <c r="AH434" s="497" t="s">
        <v>1236</v>
      </c>
      <c r="AI434" s="497"/>
      <c r="AJ434" s="497" t="s">
        <v>1259</v>
      </c>
      <c r="AK434" s="497" t="s">
        <v>1260</v>
      </c>
      <c r="AL434" s="491"/>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c r="BV434"/>
      <c r="BW434"/>
      <c r="BX434"/>
      <c r="BY434"/>
      <c r="BZ434"/>
      <c r="CA434"/>
      <c r="CB434"/>
    </row>
    <row r="435" spans="1:80" ht="18" customHeight="1" x14ac:dyDescent="0.25">
      <c r="A435" s="492">
        <f t="shared" si="30"/>
        <v>433</v>
      </c>
      <c r="B435" s="492" t="s">
        <v>4041</v>
      </c>
      <c r="C435" s="492">
        <v>5200000157</v>
      </c>
      <c r="D435" s="492" t="s">
        <v>5063</v>
      </c>
      <c r="E435" s="492" t="s">
        <v>1654</v>
      </c>
      <c r="F435" s="492" t="s">
        <v>4040</v>
      </c>
      <c r="G435" s="492" t="s">
        <v>4038</v>
      </c>
      <c r="H435" s="492" t="s">
        <v>4040</v>
      </c>
      <c r="I435" s="492" t="s">
        <v>4038</v>
      </c>
      <c r="J435" s="492" t="s">
        <v>4039</v>
      </c>
      <c r="K435" s="492" t="s">
        <v>1756</v>
      </c>
      <c r="L435" s="492" t="s">
        <v>1473</v>
      </c>
      <c r="M435" s="493" t="s">
        <v>1230</v>
      </c>
      <c r="N435" s="493" t="s">
        <v>1232</v>
      </c>
      <c r="O435" s="492" t="s">
        <v>1232</v>
      </c>
      <c r="P435" s="492" t="s">
        <v>469</v>
      </c>
      <c r="Q435" s="494">
        <v>44344</v>
      </c>
      <c r="R435" s="494">
        <v>45477</v>
      </c>
      <c r="S435" s="495">
        <v>1</v>
      </c>
      <c r="T435" s="495">
        <v>0.2</v>
      </c>
      <c r="U435" s="496">
        <v>4566566.6900000004</v>
      </c>
      <c r="V435" s="496">
        <v>4566566.6900000004</v>
      </c>
      <c r="W435" s="496">
        <v>4566566.6900000004</v>
      </c>
      <c r="X435" s="496">
        <f t="shared" si="31"/>
        <v>0</v>
      </c>
      <c r="Y435" s="496">
        <f t="shared" si="32"/>
        <v>0</v>
      </c>
      <c r="Z435" s="496">
        <v>4566566.6900000004</v>
      </c>
      <c r="AA435" s="496">
        <v>4566566.6900000004</v>
      </c>
      <c r="AB435" s="496">
        <v>4566566.6900000004</v>
      </c>
      <c r="AC435" s="496">
        <f t="shared" si="33"/>
        <v>0</v>
      </c>
      <c r="AD435" s="496">
        <f t="shared" si="34"/>
        <v>0</v>
      </c>
      <c r="AE435" s="496">
        <v>0</v>
      </c>
      <c r="AF435" s="496">
        <v>0</v>
      </c>
      <c r="AG435" s="497" t="s">
        <v>1288</v>
      </c>
      <c r="AH435" s="497" t="s">
        <v>1485</v>
      </c>
      <c r="AI435" s="497"/>
      <c r="AJ435" s="497" t="s">
        <v>1234</v>
      </c>
      <c r="AK435" s="497" t="s">
        <v>1278</v>
      </c>
      <c r="AL435" s="491"/>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row>
    <row r="436" spans="1:80" ht="18" customHeight="1" x14ac:dyDescent="0.25">
      <c r="A436" s="486">
        <f t="shared" si="30"/>
        <v>434</v>
      </c>
      <c r="B436" s="486" t="s">
        <v>4044</v>
      </c>
      <c r="C436" s="486">
        <v>2100000202</v>
      </c>
      <c r="D436" s="486" t="s">
        <v>5064</v>
      </c>
      <c r="E436" s="486" t="s">
        <v>1656</v>
      </c>
      <c r="F436" s="486" t="s">
        <v>1655</v>
      </c>
      <c r="G436" s="486" t="s">
        <v>4042</v>
      </c>
      <c r="H436" s="485" t="s">
        <v>4523</v>
      </c>
      <c r="I436" s="486" t="s">
        <v>4042</v>
      </c>
      <c r="J436" s="486" t="s">
        <v>4043</v>
      </c>
      <c r="K436" s="486" t="s">
        <v>1756</v>
      </c>
      <c r="L436" s="486" t="s">
        <v>2783</v>
      </c>
      <c r="M436" s="486" t="s">
        <v>1230</v>
      </c>
      <c r="N436" s="486" t="s">
        <v>1231</v>
      </c>
      <c r="O436" s="486" t="s">
        <v>1232</v>
      </c>
      <c r="P436" s="486" t="s">
        <v>469</v>
      </c>
      <c r="Q436" s="487">
        <v>44344</v>
      </c>
      <c r="R436" s="487">
        <v>45502</v>
      </c>
      <c r="S436" s="488">
        <v>1.5</v>
      </c>
      <c r="T436" s="488"/>
      <c r="U436" s="489">
        <v>2643829</v>
      </c>
      <c r="V436" s="489">
        <v>2643829</v>
      </c>
      <c r="W436" s="489">
        <v>2643829</v>
      </c>
      <c r="X436" s="489">
        <f t="shared" si="31"/>
        <v>0</v>
      </c>
      <c r="Y436" s="489">
        <f t="shared" si="32"/>
        <v>0</v>
      </c>
      <c r="Z436" s="489">
        <v>41129.89</v>
      </c>
      <c r="AA436" s="489">
        <v>41129.89</v>
      </c>
      <c r="AB436" s="489">
        <v>41380.5</v>
      </c>
      <c r="AC436" s="489">
        <f t="shared" si="33"/>
        <v>250.61000000000058</v>
      </c>
      <c r="AD436" s="489">
        <f t="shared" si="34"/>
        <v>250.61000000000058</v>
      </c>
      <c r="AE436" s="489">
        <v>2602448.5</v>
      </c>
      <c r="AF436" s="489">
        <v>0</v>
      </c>
      <c r="AG436" s="490" t="s">
        <v>1245</v>
      </c>
      <c r="AH436" s="490" t="s">
        <v>1254</v>
      </c>
      <c r="AI436" s="490"/>
      <c r="AJ436" s="490" t="s">
        <v>1246</v>
      </c>
      <c r="AK436" s="490" t="s">
        <v>1235</v>
      </c>
      <c r="AL436" s="491"/>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c r="BV436"/>
      <c r="BW436"/>
      <c r="BX436"/>
      <c r="BY436"/>
      <c r="BZ436"/>
      <c r="CA436"/>
      <c r="CB436"/>
    </row>
    <row r="437" spans="1:80" ht="18" customHeight="1" x14ac:dyDescent="0.25">
      <c r="A437" s="486">
        <f t="shared" si="30"/>
        <v>435</v>
      </c>
      <c r="B437" s="486" t="s">
        <v>4045</v>
      </c>
      <c r="C437" s="486">
        <v>2200000173</v>
      </c>
      <c r="D437" s="486" t="s">
        <v>5065</v>
      </c>
      <c r="E437" s="486" t="s">
        <v>1656</v>
      </c>
      <c r="F437" s="486" t="s">
        <v>1655</v>
      </c>
      <c r="G437" s="486" t="s">
        <v>4042</v>
      </c>
      <c r="H437" s="485" t="s">
        <v>4523</v>
      </c>
      <c r="I437" s="486" t="s">
        <v>4042</v>
      </c>
      <c r="J437" s="486" t="s">
        <v>4043</v>
      </c>
      <c r="K437" s="486" t="s">
        <v>1756</v>
      </c>
      <c r="L437" s="486" t="s">
        <v>1473</v>
      </c>
      <c r="M437" s="486" t="s">
        <v>1230</v>
      </c>
      <c r="N437" s="486" t="s">
        <v>1231</v>
      </c>
      <c r="O437" s="486" t="s">
        <v>1232</v>
      </c>
      <c r="P437" s="486" t="s">
        <v>469</v>
      </c>
      <c r="Q437" s="487">
        <v>44344</v>
      </c>
      <c r="R437" s="487">
        <v>45502</v>
      </c>
      <c r="S437" s="488">
        <v>1.5</v>
      </c>
      <c r="T437" s="488">
        <v>0.3</v>
      </c>
      <c r="U437" s="489">
        <v>5000000</v>
      </c>
      <c r="V437" s="489">
        <v>5000000</v>
      </c>
      <c r="W437" s="489">
        <v>5000000</v>
      </c>
      <c r="X437" s="489">
        <f t="shared" si="31"/>
        <v>0</v>
      </c>
      <c r="Y437" s="489">
        <f t="shared" si="32"/>
        <v>0</v>
      </c>
      <c r="Z437" s="489">
        <v>509243.11</v>
      </c>
      <c r="AA437" s="489">
        <v>509243.11</v>
      </c>
      <c r="AB437" s="489">
        <v>524200.35</v>
      </c>
      <c r="AC437" s="489">
        <f t="shared" si="33"/>
        <v>14957.239999999991</v>
      </c>
      <c r="AD437" s="489">
        <f t="shared" si="34"/>
        <v>14957.239999999991</v>
      </c>
      <c r="AE437" s="489">
        <v>4475799.6500000004</v>
      </c>
      <c r="AF437" s="489">
        <v>0</v>
      </c>
      <c r="AG437" s="490" t="s">
        <v>1245</v>
      </c>
      <c r="AH437" s="490" t="s">
        <v>1254</v>
      </c>
      <c r="AI437" s="490"/>
      <c r="AJ437" s="490" t="s">
        <v>1246</v>
      </c>
      <c r="AK437" s="490" t="s">
        <v>1235</v>
      </c>
      <c r="AL437" s="491"/>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row>
    <row r="438" spans="1:80" ht="18" customHeight="1" x14ac:dyDescent="0.25">
      <c r="A438" s="485">
        <f t="shared" si="30"/>
        <v>436</v>
      </c>
      <c r="B438" s="485" t="s">
        <v>4048</v>
      </c>
      <c r="C438" s="485">
        <v>1100000192</v>
      </c>
      <c r="D438" s="485" t="s">
        <v>5066</v>
      </c>
      <c r="E438" s="485" t="s">
        <v>1658</v>
      </c>
      <c r="F438" s="485" t="s">
        <v>1657</v>
      </c>
      <c r="G438" s="485" t="s">
        <v>4046</v>
      </c>
      <c r="H438" s="485" t="s">
        <v>1657</v>
      </c>
      <c r="I438" s="485" t="s">
        <v>4046</v>
      </c>
      <c r="J438" s="485" t="s">
        <v>4047</v>
      </c>
      <c r="K438" s="485" t="s">
        <v>1756</v>
      </c>
      <c r="L438" s="485" t="s">
        <v>2783</v>
      </c>
      <c r="M438" s="486" t="s">
        <v>1230</v>
      </c>
      <c r="N438" s="486" t="s">
        <v>1231</v>
      </c>
      <c r="O438" s="485" t="s">
        <v>1232</v>
      </c>
      <c r="P438" s="485" t="s">
        <v>1156</v>
      </c>
      <c r="Q438" s="487">
        <v>44344</v>
      </c>
      <c r="R438" s="487">
        <v>44897</v>
      </c>
      <c r="S438" s="488">
        <v>1</v>
      </c>
      <c r="T438" s="488"/>
      <c r="U438" s="489">
        <v>3527448</v>
      </c>
      <c r="V438" s="489">
        <v>3527448</v>
      </c>
      <c r="W438" s="489">
        <v>3527448</v>
      </c>
      <c r="X438" s="489">
        <f t="shared" si="31"/>
        <v>0</v>
      </c>
      <c r="Y438" s="489">
        <f t="shared" si="32"/>
        <v>0</v>
      </c>
      <c r="Z438" s="489">
        <v>3527448</v>
      </c>
      <c r="AA438" s="489">
        <v>3527448</v>
      </c>
      <c r="AB438" s="489">
        <v>3527448</v>
      </c>
      <c r="AC438" s="489">
        <f t="shared" si="33"/>
        <v>0</v>
      </c>
      <c r="AD438" s="489">
        <f t="shared" si="34"/>
        <v>0</v>
      </c>
      <c r="AE438" s="489">
        <v>0</v>
      </c>
      <c r="AF438" s="489">
        <v>0</v>
      </c>
      <c r="AG438" s="490" t="s">
        <v>1237</v>
      </c>
      <c r="AH438" s="490" t="s">
        <v>1236</v>
      </c>
      <c r="AI438" s="490"/>
      <c r="AJ438" s="490" t="s">
        <v>1259</v>
      </c>
      <c r="AK438" s="490" t="s">
        <v>1260</v>
      </c>
      <c r="AL438" s="491"/>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row>
    <row r="439" spans="1:80" ht="18" customHeight="1" x14ac:dyDescent="0.25">
      <c r="A439" s="485">
        <f t="shared" si="30"/>
        <v>437</v>
      </c>
      <c r="B439" s="485" t="s">
        <v>4049</v>
      </c>
      <c r="C439" s="485">
        <v>1100000217</v>
      </c>
      <c r="D439" s="485" t="s">
        <v>5067</v>
      </c>
      <c r="E439" s="485" t="s">
        <v>1658</v>
      </c>
      <c r="F439" s="485" t="s">
        <v>1657</v>
      </c>
      <c r="G439" s="485" t="s">
        <v>4046</v>
      </c>
      <c r="H439" s="485" t="s">
        <v>1657</v>
      </c>
      <c r="I439" s="485" t="s">
        <v>4046</v>
      </c>
      <c r="J439" s="485" t="s">
        <v>4047</v>
      </c>
      <c r="K439" s="485" t="s">
        <v>1756</v>
      </c>
      <c r="L439" s="485" t="s">
        <v>2783</v>
      </c>
      <c r="M439" s="486" t="s">
        <v>1230</v>
      </c>
      <c r="N439" s="486" t="s">
        <v>1231</v>
      </c>
      <c r="O439" s="485" t="s">
        <v>1232</v>
      </c>
      <c r="P439" s="485" t="s">
        <v>1156</v>
      </c>
      <c r="Q439" s="487">
        <v>44344</v>
      </c>
      <c r="R439" s="487">
        <v>44897</v>
      </c>
      <c r="S439" s="488">
        <v>1</v>
      </c>
      <c r="T439" s="488"/>
      <c r="U439" s="489">
        <v>1000000</v>
      </c>
      <c r="V439" s="489">
        <v>1000000</v>
      </c>
      <c r="W439" s="489">
        <v>1000000</v>
      </c>
      <c r="X439" s="489">
        <f t="shared" si="31"/>
        <v>0</v>
      </c>
      <c r="Y439" s="489">
        <f t="shared" si="32"/>
        <v>0</v>
      </c>
      <c r="Z439" s="489">
        <v>1000000</v>
      </c>
      <c r="AA439" s="489">
        <v>1000000</v>
      </c>
      <c r="AB439" s="489">
        <v>1000000</v>
      </c>
      <c r="AC439" s="489">
        <f t="shared" si="33"/>
        <v>0</v>
      </c>
      <c r="AD439" s="489">
        <f t="shared" si="34"/>
        <v>0</v>
      </c>
      <c r="AE439" s="489">
        <v>0</v>
      </c>
      <c r="AF439" s="489">
        <v>0</v>
      </c>
      <c r="AG439" s="490" t="s">
        <v>1237</v>
      </c>
      <c r="AH439" s="490" t="s">
        <v>1236</v>
      </c>
      <c r="AI439" s="490"/>
      <c r="AJ439" s="490" t="s">
        <v>1259</v>
      </c>
      <c r="AK439" s="490" t="s">
        <v>1260</v>
      </c>
      <c r="AL439" s="491"/>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row>
    <row r="440" spans="1:80" ht="18" customHeight="1" x14ac:dyDescent="0.25">
      <c r="A440" s="486">
        <f t="shared" si="30"/>
        <v>438</v>
      </c>
      <c r="B440" s="486" t="s">
        <v>4050</v>
      </c>
      <c r="C440" s="486">
        <v>1100000193</v>
      </c>
      <c r="D440" s="486" t="s">
        <v>5068</v>
      </c>
      <c r="E440" s="486" t="s">
        <v>1522</v>
      </c>
      <c r="F440" s="486" t="s">
        <v>1521</v>
      </c>
      <c r="G440" s="486" t="s">
        <v>3628</v>
      </c>
      <c r="H440" s="485" t="s">
        <v>1521</v>
      </c>
      <c r="I440" s="486" t="s">
        <v>3628</v>
      </c>
      <c r="J440" s="486" t="s">
        <v>3629</v>
      </c>
      <c r="K440" s="486" t="s">
        <v>1756</v>
      </c>
      <c r="L440" s="486" t="s">
        <v>2783</v>
      </c>
      <c r="M440" s="486" t="s">
        <v>1230</v>
      </c>
      <c r="N440" s="486" t="s">
        <v>1231</v>
      </c>
      <c r="O440" s="486" t="s">
        <v>1232</v>
      </c>
      <c r="P440" s="486" t="s">
        <v>1156</v>
      </c>
      <c r="Q440" s="487">
        <v>44348</v>
      </c>
      <c r="R440" s="487">
        <v>46076</v>
      </c>
      <c r="S440" s="488">
        <v>1</v>
      </c>
      <c r="T440" s="488"/>
      <c r="U440" s="489">
        <v>2500000</v>
      </c>
      <c r="V440" s="489">
        <v>2500000</v>
      </c>
      <c r="W440" s="489">
        <v>2500000</v>
      </c>
      <c r="X440" s="489">
        <f t="shared" si="31"/>
        <v>0</v>
      </c>
      <c r="Y440" s="489">
        <f t="shared" si="32"/>
        <v>0</v>
      </c>
      <c r="Z440" s="489">
        <v>2500000</v>
      </c>
      <c r="AA440" s="489">
        <v>2500000</v>
      </c>
      <c r="AB440" s="489">
        <v>2500000</v>
      </c>
      <c r="AC440" s="489">
        <f t="shared" si="33"/>
        <v>0</v>
      </c>
      <c r="AD440" s="489">
        <f t="shared" si="34"/>
        <v>0</v>
      </c>
      <c r="AE440" s="489">
        <v>0</v>
      </c>
      <c r="AF440" s="489">
        <v>0</v>
      </c>
      <c r="AG440" s="490" t="s">
        <v>1237</v>
      </c>
      <c r="AH440" s="490" t="s">
        <v>1236</v>
      </c>
      <c r="AI440" s="490"/>
      <c r="AJ440" s="490" t="s">
        <v>1259</v>
      </c>
      <c r="AK440" s="490" t="s">
        <v>1260</v>
      </c>
      <c r="AL440" s="491"/>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c r="BV440"/>
      <c r="BW440"/>
      <c r="BX440"/>
      <c r="BY440"/>
      <c r="BZ440"/>
      <c r="CA440"/>
      <c r="CB440"/>
    </row>
    <row r="441" spans="1:80" ht="18" customHeight="1" x14ac:dyDescent="0.25">
      <c r="A441" s="485">
        <f t="shared" si="30"/>
        <v>439</v>
      </c>
      <c r="B441" s="485" t="s">
        <v>4051</v>
      </c>
      <c r="C441" s="485">
        <v>2100000234</v>
      </c>
      <c r="D441" s="485" t="s">
        <v>5069</v>
      </c>
      <c r="E441" s="485" t="s">
        <v>1467</v>
      </c>
      <c r="F441" s="485" t="s">
        <v>1466</v>
      </c>
      <c r="G441" s="485" t="s">
        <v>3409</v>
      </c>
      <c r="H441" s="485" t="s">
        <v>2585</v>
      </c>
      <c r="I441" s="485" t="s">
        <v>3156</v>
      </c>
      <c r="J441" s="485" t="s">
        <v>3410</v>
      </c>
      <c r="K441" s="485" t="s">
        <v>1756</v>
      </c>
      <c r="L441" s="485" t="s">
        <v>2783</v>
      </c>
      <c r="M441" s="486" t="s">
        <v>1307</v>
      </c>
      <c r="N441" s="486" t="s">
        <v>1231</v>
      </c>
      <c r="O441" s="485" t="s">
        <v>1231</v>
      </c>
      <c r="P441" s="485" t="s">
        <v>469</v>
      </c>
      <c r="Q441" s="487">
        <v>44349</v>
      </c>
      <c r="R441" s="487">
        <v>44718</v>
      </c>
      <c r="S441" s="488">
        <v>1.5</v>
      </c>
      <c r="T441" s="488"/>
      <c r="U441" s="489">
        <v>1500000</v>
      </c>
      <c r="V441" s="489">
        <v>1500000</v>
      </c>
      <c r="W441" s="489">
        <v>1500000</v>
      </c>
      <c r="X441" s="489">
        <f t="shared" si="31"/>
        <v>0</v>
      </c>
      <c r="Y441" s="489">
        <f t="shared" si="32"/>
        <v>0</v>
      </c>
      <c r="Z441" s="489">
        <v>1422886.23</v>
      </c>
      <c r="AA441" s="489">
        <v>1432990.68</v>
      </c>
      <c r="AB441" s="489">
        <v>1461917.51</v>
      </c>
      <c r="AC441" s="489">
        <f t="shared" si="33"/>
        <v>39031.280000000028</v>
      </c>
      <c r="AD441" s="489">
        <f t="shared" si="34"/>
        <v>28926.830000000075</v>
      </c>
      <c r="AE441" s="489">
        <v>0</v>
      </c>
      <c r="AF441" s="489">
        <v>38082.49</v>
      </c>
      <c r="AG441" s="490" t="s">
        <v>1245</v>
      </c>
      <c r="AH441" s="490" t="s">
        <v>1247</v>
      </c>
      <c r="AI441" s="490" t="s">
        <v>1248</v>
      </c>
      <c r="AJ441" s="490" t="s">
        <v>1246</v>
      </c>
      <c r="AK441" s="490" t="s">
        <v>1235</v>
      </c>
      <c r="AL441" s="49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row>
    <row r="442" spans="1:80" ht="18" customHeight="1" x14ac:dyDescent="0.25">
      <c r="A442" s="492">
        <f t="shared" si="30"/>
        <v>440</v>
      </c>
      <c r="B442" s="492" t="s">
        <v>4053</v>
      </c>
      <c r="C442" s="492">
        <v>1100000195</v>
      </c>
      <c r="D442" s="492" t="s">
        <v>5070</v>
      </c>
      <c r="E442" s="492" t="s">
        <v>1209</v>
      </c>
      <c r="F442" s="492" t="s">
        <v>1208</v>
      </c>
      <c r="G442" s="492" t="s">
        <v>2759</v>
      </c>
      <c r="H442" s="492" t="s">
        <v>1208</v>
      </c>
      <c r="I442" s="492" t="s">
        <v>2759</v>
      </c>
      <c r="J442" s="492" t="s">
        <v>4052</v>
      </c>
      <c r="K442" s="492" t="s">
        <v>1281</v>
      </c>
      <c r="L442" s="492" t="s">
        <v>2783</v>
      </c>
      <c r="M442" s="493" t="s">
        <v>1230</v>
      </c>
      <c r="N442" s="493" t="s">
        <v>1232</v>
      </c>
      <c r="O442" s="492" t="s">
        <v>1232</v>
      </c>
      <c r="P442" s="492" t="s">
        <v>1156</v>
      </c>
      <c r="Q442" s="494">
        <v>44349</v>
      </c>
      <c r="R442" s="494">
        <v>46175</v>
      </c>
      <c r="S442" s="495">
        <v>1</v>
      </c>
      <c r="T442" s="495"/>
      <c r="U442" s="496">
        <v>3000000</v>
      </c>
      <c r="V442" s="496">
        <v>3000000</v>
      </c>
      <c r="W442" s="496">
        <v>3000000</v>
      </c>
      <c r="X442" s="496">
        <f t="shared" si="31"/>
        <v>0</v>
      </c>
      <c r="Y442" s="496">
        <f t="shared" si="32"/>
        <v>0</v>
      </c>
      <c r="Z442" s="496">
        <v>3000000</v>
      </c>
      <c r="AA442" s="496">
        <v>3000000</v>
      </c>
      <c r="AB442" s="496">
        <v>3000000</v>
      </c>
      <c r="AC442" s="496">
        <f t="shared" si="33"/>
        <v>0</v>
      </c>
      <c r="AD442" s="496">
        <f t="shared" si="34"/>
        <v>0</v>
      </c>
      <c r="AE442" s="496">
        <v>0</v>
      </c>
      <c r="AF442" s="496">
        <v>0</v>
      </c>
      <c r="AG442" s="497" t="s">
        <v>1237</v>
      </c>
      <c r="AH442" s="497" t="s">
        <v>614</v>
      </c>
      <c r="AI442" s="497" t="s">
        <v>1505</v>
      </c>
      <c r="AJ442" s="497" t="s">
        <v>1505</v>
      </c>
      <c r="AK442" s="497" t="s">
        <v>1260</v>
      </c>
      <c r="AL442" s="491"/>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row>
    <row r="443" spans="1:80" ht="18" customHeight="1" x14ac:dyDescent="0.25">
      <c r="A443" s="486">
        <f t="shared" si="30"/>
        <v>441</v>
      </c>
      <c r="B443" s="486" t="s">
        <v>4056</v>
      </c>
      <c r="C443" s="486">
        <v>1100000218</v>
      </c>
      <c r="D443" s="486" t="s">
        <v>5071</v>
      </c>
      <c r="E443" s="486" t="s">
        <v>1662</v>
      </c>
      <c r="F443" s="486" t="s">
        <v>1661</v>
      </c>
      <c r="G443" s="486" t="s">
        <v>4054</v>
      </c>
      <c r="H443" s="485" t="s">
        <v>1661</v>
      </c>
      <c r="I443" s="486" t="s">
        <v>4054</v>
      </c>
      <c r="J443" s="486" t="s">
        <v>4055</v>
      </c>
      <c r="K443" s="486" t="s">
        <v>1756</v>
      </c>
      <c r="L443" s="486" t="s">
        <v>2783</v>
      </c>
      <c r="M443" s="486" t="s">
        <v>1230</v>
      </c>
      <c r="N443" s="486" t="s">
        <v>1231</v>
      </c>
      <c r="O443" s="486" t="s">
        <v>1232</v>
      </c>
      <c r="P443" s="486" t="s">
        <v>1156</v>
      </c>
      <c r="Q443" s="487">
        <v>44365</v>
      </c>
      <c r="R443" s="487">
        <v>46198</v>
      </c>
      <c r="S443" s="488">
        <v>1</v>
      </c>
      <c r="T443" s="488"/>
      <c r="U443" s="489">
        <v>44191905</v>
      </c>
      <c r="V443" s="489">
        <v>44191905</v>
      </c>
      <c r="W443" s="489">
        <v>44191905</v>
      </c>
      <c r="X443" s="489">
        <f t="shared" si="31"/>
        <v>0</v>
      </c>
      <c r="Y443" s="489">
        <f t="shared" si="32"/>
        <v>0</v>
      </c>
      <c r="Z443" s="489">
        <v>35000000</v>
      </c>
      <c r="AA443" s="489">
        <v>35000000</v>
      </c>
      <c r="AB443" s="489">
        <v>35000000</v>
      </c>
      <c r="AC443" s="489">
        <f t="shared" si="33"/>
        <v>0</v>
      </c>
      <c r="AD443" s="489">
        <f t="shared" si="34"/>
        <v>0</v>
      </c>
      <c r="AE443" s="489">
        <v>9191905</v>
      </c>
      <c r="AF443" s="489">
        <v>0</v>
      </c>
      <c r="AG443" s="490" t="s">
        <v>1237</v>
      </c>
      <c r="AH443" s="490" t="s">
        <v>1236</v>
      </c>
      <c r="AI443" s="490"/>
      <c r="AJ443" s="490" t="s">
        <v>1259</v>
      </c>
      <c r="AK443" s="490" t="s">
        <v>1260</v>
      </c>
      <c r="AL443" s="491"/>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row>
    <row r="444" spans="1:80" ht="18" customHeight="1" x14ac:dyDescent="0.25">
      <c r="A444" s="486">
        <f t="shared" si="30"/>
        <v>442</v>
      </c>
      <c r="B444" s="486" t="s">
        <v>4057</v>
      </c>
      <c r="C444" s="486">
        <v>7100000105</v>
      </c>
      <c r="D444" s="486" t="s">
        <v>5072</v>
      </c>
      <c r="E444" s="486" t="s">
        <v>1662</v>
      </c>
      <c r="F444" s="486" t="s">
        <v>1661</v>
      </c>
      <c r="G444" s="486" t="s">
        <v>4054</v>
      </c>
      <c r="H444" s="485" t="s">
        <v>1661</v>
      </c>
      <c r="I444" s="486" t="s">
        <v>4054</v>
      </c>
      <c r="J444" s="486" t="s">
        <v>4055</v>
      </c>
      <c r="K444" s="486" t="s">
        <v>1756</v>
      </c>
      <c r="L444" s="486" t="s">
        <v>2783</v>
      </c>
      <c r="M444" s="486" t="s">
        <v>1230</v>
      </c>
      <c r="N444" s="486" t="s">
        <v>1231</v>
      </c>
      <c r="O444" s="486" t="s">
        <v>1232</v>
      </c>
      <c r="P444" s="486" t="s">
        <v>469</v>
      </c>
      <c r="Q444" s="487">
        <v>44365</v>
      </c>
      <c r="R444" s="487">
        <v>46198</v>
      </c>
      <c r="S444" s="488">
        <v>1</v>
      </c>
      <c r="T444" s="488"/>
      <c r="U444" s="489">
        <v>30808095</v>
      </c>
      <c r="V444" s="489">
        <v>30808095</v>
      </c>
      <c r="W444" s="489">
        <v>30808095</v>
      </c>
      <c r="X444" s="489">
        <f t="shared" si="31"/>
        <v>0</v>
      </c>
      <c r="Y444" s="489">
        <f t="shared" si="32"/>
        <v>0</v>
      </c>
      <c r="Z444" s="489">
        <v>22750000</v>
      </c>
      <c r="AA444" s="489">
        <v>22750000</v>
      </c>
      <c r="AB444" s="489">
        <v>22750000</v>
      </c>
      <c r="AC444" s="489">
        <f t="shared" si="33"/>
        <v>0</v>
      </c>
      <c r="AD444" s="489">
        <f t="shared" si="34"/>
        <v>0</v>
      </c>
      <c r="AE444" s="489">
        <v>8058095</v>
      </c>
      <c r="AF444" s="489">
        <v>0</v>
      </c>
      <c r="AG444" s="490" t="s">
        <v>1258</v>
      </c>
      <c r="AH444" s="490" t="s">
        <v>1247</v>
      </c>
      <c r="AI444" s="490" t="s">
        <v>1248</v>
      </c>
      <c r="AJ444" s="490" t="s">
        <v>1246</v>
      </c>
      <c r="AK444" s="490" t="s">
        <v>1278</v>
      </c>
      <c r="AL444" s="491"/>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row>
    <row r="445" spans="1:80" ht="18" customHeight="1" x14ac:dyDescent="0.25">
      <c r="A445" s="492">
        <f t="shared" si="30"/>
        <v>443</v>
      </c>
      <c r="B445" s="492" t="s">
        <v>4060</v>
      </c>
      <c r="C445" s="492">
        <v>2100000240</v>
      </c>
      <c r="D445" s="492" t="s">
        <v>5073</v>
      </c>
      <c r="E445" s="492" t="s">
        <v>1670</v>
      </c>
      <c r="F445" s="492" t="s">
        <v>1669</v>
      </c>
      <c r="G445" s="492" t="s">
        <v>4058</v>
      </c>
      <c r="H445" s="492" t="s">
        <v>1669</v>
      </c>
      <c r="I445" s="492" t="s">
        <v>4058</v>
      </c>
      <c r="J445" s="492" t="s">
        <v>4059</v>
      </c>
      <c r="K445" s="492" t="s">
        <v>1756</v>
      </c>
      <c r="L445" s="492" t="s">
        <v>2783</v>
      </c>
      <c r="M445" s="493" t="s">
        <v>1230</v>
      </c>
      <c r="N445" s="493" t="s">
        <v>1232</v>
      </c>
      <c r="O445" s="492" t="s">
        <v>1232</v>
      </c>
      <c r="P445" s="492" t="s">
        <v>469</v>
      </c>
      <c r="Q445" s="494">
        <v>44375</v>
      </c>
      <c r="R445" s="494">
        <v>46202</v>
      </c>
      <c r="S445" s="495">
        <v>1</v>
      </c>
      <c r="T445" s="495"/>
      <c r="U445" s="496">
        <v>7923228</v>
      </c>
      <c r="V445" s="496">
        <v>7923228</v>
      </c>
      <c r="W445" s="496">
        <v>9259307</v>
      </c>
      <c r="X445" s="496">
        <f t="shared" si="31"/>
        <v>1336079</v>
      </c>
      <c r="Y445" s="496">
        <f t="shared" si="32"/>
        <v>1336079</v>
      </c>
      <c r="Z445" s="496">
        <v>5977114.2999999998</v>
      </c>
      <c r="AA445" s="496">
        <v>5977114.2999999998</v>
      </c>
      <c r="AB445" s="496">
        <v>6336904.5999999996</v>
      </c>
      <c r="AC445" s="496">
        <f t="shared" si="33"/>
        <v>359790.29999999981</v>
      </c>
      <c r="AD445" s="496">
        <f t="shared" si="34"/>
        <v>359790.29999999981</v>
      </c>
      <c r="AE445" s="496">
        <v>2922402.4</v>
      </c>
      <c r="AF445" s="496">
        <v>0</v>
      </c>
      <c r="AG445" s="497" t="s">
        <v>1245</v>
      </c>
      <c r="AH445" s="497" t="s">
        <v>1298</v>
      </c>
      <c r="AI445" s="497"/>
      <c r="AJ445" s="497" t="s">
        <v>1246</v>
      </c>
      <c r="AK445" s="497" t="s">
        <v>1278</v>
      </c>
      <c r="AL445" s="491"/>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row>
    <row r="446" spans="1:80" ht="18" customHeight="1" x14ac:dyDescent="0.25">
      <c r="A446" s="492">
        <f t="shared" si="30"/>
        <v>444</v>
      </c>
      <c r="B446" s="492" t="s">
        <v>4063</v>
      </c>
      <c r="C446" s="492">
        <v>2100000241</v>
      </c>
      <c r="D446" s="492" t="s">
        <v>5074</v>
      </c>
      <c r="E446" s="492" t="s">
        <v>1664</v>
      </c>
      <c r="F446" s="492" t="s">
        <v>1663</v>
      </c>
      <c r="G446" s="492" t="s">
        <v>4061</v>
      </c>
      <c r="H446" s="492" t="s">
        <v>1663</v>
      </c>
      <c r="I446" s="492" t="s">
        <v>4061</v>
      </c>
      <c r="J446" s="492" t="s">
        <v>4062</v>
      </c>
      <c r="K446" s="492" t="s">
        <v>1756</v>
      </c>
      <c r="L446" s="492" t="s">
        <v>2783</v>
      </c>
      <c r="M446" s="493" t="s">
        <v>1230</v>
      </c>
      <c r="N446" s="493" t="s">
        <v>1232</v>
      </c>
      <c r="O446" s="492" t="s">
        <v>1231</v>
      </c>
      <c r="P446" s="492" t="s">
        <v>469</v>
      </c>
      <c r="Q446" s="494">
        <v>44376</v>
      </c>
      <c r="R446" s="494">
        <v>45106</v>
      </c>
      <c r="S446" s="495">
        <v>1.5</v>
      </c>
      <c r="T446" s="495"/>
      <c r="U446" s="496">
        <v>10791242</v>
      </c>
      <c r="V446" s="496">
        <v>10791242</v>
      </c>
      <c r="W446" s="496">
        <v>10791242</v>
      </c>
      <c r="X446" s="496">
        <f t="shared" si="31"/>
        <v>0</v>
      </c>
      <c r="Y446" s="496">
        <f t="shared" si="32"/>
        <v>0</v>
      </c>
      <c r="Z446" s="496">
        <v>0</v>
      </c>
      <c r="AA446" s="496">
        <v>0</v>
      </c>
      <c r="AB446" s="496">
        <v>0</v>
      </c>
      <c r="AC446" s="496">
        <f t="shared" si="33"/>
        <v>0</v>
      </c>
      <c r="AD446" s="496">
        <f t="shared" si="34"/>
        <v>0</v>
      </c>
      <c r="AE446" s="496">
        <v>0</v>
      </c>
      <c r="AF446" s="496">
        <v>10791242</v>
      </c>
      <c r="AG446" s="497" t="s">
        <v>1245</v>
      </c>
      <c r="AH446" s="497" t="s">
        <v>1242</v>
      </c>
      <c r="AI446" s="497" t="s">
        <v>1665</v>
      </c>
      <c r="AJ446" s="497" t="s">
        <v>1246</v>
      </c>
      <c r="AK446" s="497" t="s">
        <v>1235</v>
      </c>
      <c r="AL446" s="491"/>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row>
    <row r="447" spans="1:80" ht="18" customHeight="1" x14ac:dyDescent="0.25">
      <c r="A447" s="492">
        <f t="shared" si="30"/>
        <v>445</v>
      </c>
      <c r="B447" s="492" t="s">
        <v>4068</v>
      </c>
      <c r="C447" s="492">
        <v>2100000242</v>
      </c>
      <c r="D447" s="492" t="s">
        <v>5075</v>
      </c>
      <c r="E447" s="492" t="s">
        <v>1668</v>
      </c>
      <c r="F447" s="492" t="s">
        <v>4067</v>
      </c>
      <c r="G447" s="492" t="s">
        <v>4064</v>
      </c>
      <c r="H447" s="492" t="s">
        <v>4524</v>
      </c>
      <c r="I447" s="492" t="s">
        <v>4065</v>
      </c>
      <c r="J447" s="492" t="s">
        <v>4066</v>
      </c>
      <c r="K447" s="492" t="s">
        <v>1756</v>
      </c>
      <c r="L447" s="492" t="s">
        <v>2783</v>
      </c>
      <c r="M447" s="493" t="s">
        <v>1230</v>
      </c>
      <c r="N447" s="493" t="s">
        <v>1232</v>
      </c>
      <c r="O447" s="492" t="s">
        <v>1231</v>
      </c>
      <c r="P447" s="492" t="s">
        <v>469</v>
      </c>
      <c r="Q447" s="494">
        <v>44376</v>
      </c>
      <c r="R447" s="494">
        <v>44741</v>
      </c>
      <c r="S447" s="495">
        <v>1</v>
      </c>
      <c r="T447" s="495"/>
      <c r="U447" s="496">
        <v>683279.37</v>
      </c>
      <c r="V447" s="496">
        <v>683279.37</v>
      </c>
      <c r="W447" s="496">
        <v>683279.37</v>
      </c>
      <c r="X447" s="496">
        <f t="shared" si="31"/>
        <v>0</v>
      </c>
      <c r="Y447" s="496">
        <f t="shared" si="32"/>
        <v>0</v>
      </c>
      <c r="Z447" s="496">
        <v>168191.24</v>
      </c>
      <c r="AA447" s="496">
        <v>468191.24</v>
      </c>
      <c r="AB447" s="496">
        <v>469874.09</v>
      </c>
      <c r="AC447" s="496">
        <f t="shared" si="33"/>
        <v>301682.85000000003</v>
      </c>
      <c r="AD447" s="496">
        <f t="shared" si="34"/>
        <v>1682.8500000000349</v>
      </c>
      <c r="AE447" s="496">
        <v>0</v>
      </c>
      <c r="AF447" s="496">
        <v>213405.28</v>
      </c>
      <c r="AG447" s="497" t="s">
        <v>1288</v>
      </c>
      <c r="AH447" s="497" t="s">
        <v>1252</v>
      </c>
      <c r="AI447" s="497" t="s">
        <v>1248</v>
      </c>
      <c r="AJ447" s="497" t="s">
        <v>1234</v>
      </c>
      <c r="AK447" s="497" t="s">
        <v>1278</v>
      </c>
      <c r="AL447" s="491"/>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row>
    <row r="448" spans="1:80" ht="18" customHeight="1" x14ac:dyDescent="0.25">
      <c r="A448" s="492">
        <f t="shared" si="30"/>
        <v>446</v>
      </c>
      <c r="B448" s="492" t="s">
        <v>4071</v>
      </c>
      <c r="C448" s="492">
        <v>4100000225</v>
      </c>
      <c r="D448" s="492" t="s">
        <v>5076</v>
      </c>
      <c r="E448" s="492" t="s">
        <v>1666</v>
      </c>
      <c r="F448" s="492" t="s">
        <v>2675</v>
      </c>
      <c r="G448" s="492" t="s">
        <v>4069</v>
      </c>
      <c r="H448" s="492" t="s">
        <v>2675</v>
      </c>
      <c r="I448" s="492" t="s">
        <v>4069</v>
      </c>
      <c r="J448" s="492" t="s">
        <v>4070</v>
      </c>
      <c r="K448" s="492" t="s">
        <v>1756</v>
      </c>
      <c r="L448" s="492" t="s">
        <v>2783</v>
      </c>
      <c r="M448" s="493" t="s">
        <v>1230</v>
      </c>
      <c r="N448" s="493" t="s">
        <v>1232</v>
      </c>
      <c r="O448" s="492" t="s">
        <v>1232</v>
      </c>
      <c r="P448" s="492" t="s">
        <v>469</v>
      </c>
      <c r="Q448" s="494">
        <v>44377</v>
      </c>
      <c r="R448" s="494">
        <v>45488</v>
      </c>
      <c r="S448" s="495">
        <v>1</v>
      </c>
      <c r="T448" s="495"/>
      <c r="U448" s="496">
        <v>10621150</v>
      </c>
      <c r="V448" s="496">
        <v>10526530.199999999</v>
      </c>
      <c r="W448" s="496">
        <v>10526530.199999999</v>
      </c>
      <c r="X448" s="496">
        <f t="shared" si="31"/>
        <v>-94619.800000000745</v>
      </c>
      <c r="Y448" s="496">
        <f t="shared" si="32"/>
        <v>0</v>
      </c>
      <c r="Z448" s="496">
        <v>10620950</v>
      </c>
      <c r="AA448" s="496">
        <v>10526530.199999999</v>
      </c>
      <c r="AB448" s="496">
        <v>10526530.199999999</v>
      </c>
      <c r="AC448" s="496">
        <f t="shared" si="33"/>
        <v>-94419.800000000745</v>
      </c>
      <c r="AD448" s="496">
        <f t="shared" si="34"/>
        <v>0</v>
      </c>
      <c r="AE448" s="496">
        <v>0</v>
      </c>
      <c r="AF448" s="496">
        <v>0</v>
      </c>
      <c r="AG448" s="497" t="s">
        <v>1250</v>
      </c>
      <c r="AH448" s="497" t="s">
        <v>1419</v>
      </c>
      <c r="AI448" s="497"/>
      <c r="AJ448" s="497" t="s">
        <v>1234</v>
      </c>
      <c r="AK448" s="497" t="s">
        <v>1240</v>
      </c>
      <c r="AL448" s="491"/>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row>
    <row r="449" spans="1:80" ht="18" customHeight="1" x14ac:dyDescent="0.25">
      <c r="A449" s="486">
        <f t="shared" si="30"/>
        <v>447</v>
      </c>
      <c r="B449" s="486" t="s">
        <v>4076</v>
      </c>
      <c r="C449" s="486">
        <v>5100000131</v>
      </c>
      <c r="D449" s="486" t="s">
        <v>5077</v>
      </c>
      <c r="E449" s="486" t="s">
        <v>1667</v>
      </c>
      <c r="F449" s="486" t="s">
        <v>4075</v>
      </c>
      <c r="G449" s="486" t="s">
        <v>4072</v>
      </c>
      <c r="H449" s="485" t="s">
        <v>4525</v>
      </c>
      <c r="I449" s="486" t="s">
        <v>4073</v>
      </c>
      <c r="J449" s="486" t="s">
        <v>4074</v>
      </c>
      <c r="K449" s="486" t="s">
        <v>1756</v>
      </c>
      <c r="L449" s="486" t="s">
        <v>2783</v>
      </c>
      <c r="M449" s="486" t="s">
        <v>1230</v>
      </c>
      <c r="N449" s="486" t="s">
        <v>1231</v>
      </c>
      <c r="O449" s="486" t="s">
        <v>1232</v>
      </c>
      <c r="P449" s="486" t="s">
        <v>469</v>
      </c>
      <c r="Q449" s="487">
        <v>44377</v>
      </c>
      <c r="R449" s="487">
        <v>45414</v>
      </c>
      <c r="S449" s="488">
        <v>1</v>
      </c>
      <c r="T449" s="488"/>
      <c r="U449" s="489">
        <v>20000000</v>
      </c>
      <c r="V449" s="489">
        <v>20000000</v>
      </c>
      <c r="W449" s="489">
        <v>20000000</v>
      </c>
      <c r="X449" s="489">
        <f t="shared" si="31"/>
        <v>0</v>
      </c>
      <c r="Y449" s="489">
        <f t="shared" si="32"/>
        <v>0</v>
      </c>
      <c r="Z449" s="489">
        <v>20000000</v>
      </c>
      <c r="AA449" s="489">
        <v>20000000</v>
      </c>
      <c r="AB449" s="489">
        <v>20000000</v>
      </c>
      <c r="AC449" s="489">
        <f t="shared" si="33"/>
        <v>0</v>
      </c>
      <c r="AD449" s="489">
        <f t="shared" si="34"/>
        <v>0</v>
      </c>
      <c r="AE449" s="489">
        <v>0</v>
      </c>
      <c r="AF449" s="489">
        <v>0</v>
      </c>
      <c r="AG449" s="490" t="s">
        <v>1288</v>
      </c>
      <c r="AH449" s="490" t="s">
        <v>1252</v>
      </c>
      <c r="AI449" s="490" t="s">
        <v>1248</v>
      </c>
      <c r="AJ449" s="490" t="s">
        <v>1234</v>
      </c>
      <c r="AK449" s="490" t="s">
        <v>1278</v>
      </c>
      <c r="AL449" s="491"/>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row>
    <row r="450" spans="1:80" ht="18" customHeight="1" x14ac:dyDescent="0.25">
      <c r="A450" s="486">
        <f t="shared" si="30"/>
        <v>448</v>
      </c>
      <c r="B450" s="486" t="s">
        <v>4079</v>
      </c>
      <c r="C450" s="486">
        <v>1100000224</v>
      </c>
      <c r="D450" s="486" t="s">
        <v>5078</v>
      </c>
      <c r="E450" s="486" t="s">
        <v>1667</v>
      </c>
      <c r="F450" s="486" t="s">
        <v>4078</v>
      </c>
      <c r="G450" s="486" t="s">
        <v>4077</v>
      </c>
      <c r="H450" s="485" t="s">
        <v>4525</v>
      </c>
      <c r="I450" s="486" t="s">
        <v>4073</v>
      </c>
      <c r="J450" s="486" t="s">
        <v>4074</v>
      </c>
      <c r="K450" s="486" t="s">
        <v>1756</v>
      </c>
      <c r="L450" s="486" t="s">
        <v>2783</v>
      </c>
      <c r="M450" s="486" t="s">
        <v>1230</v>
      </c>
      <c r="N450" s="486" t="s">
        <v>1231</v>
      </c>
      <c r="O450" s="486" t="s">
        <v>1232</v>
      </c>
      <c r="P450" s="486" t="s">
        <v>1156</v>
      </c>
      <c r="Q450" s="487">
        <v>44377</v>
      </c>
      <c r="R450" s="487">
        <v>46328</v>
      </c>
      <c r="S450" s="488">
        <v>1</v>
      </c>
      <c r="T450" s="488"/>
      <c r="U450" s="489">
        <v>32000000</v>
      </c>
      <c r="V450" s="489">
        <v>32000000</v>
      </c>
      <c r="W450" s="489">
        <v>32000000</v>
      </c>
      <c r="X450" s="489">
        <f t="shared" si="31"/>
        <v>0</v>
      </c>
      <c r="Y450" s="489">
        <f t="shared" si="32"/>
        <v>0</v>
      </c>
      <c r="Z450" s="489">
        <v>32000000</v>
      </c>
      <c r="AA450" s="489">
        <v>32000000</v>
      </c>
      <c r="AB450" s="489">
        <v>32000000</v>
      </c>
      <c r="AC450" s="489">
        <f t="shared" si="33"/>
        <v>0</v>
      </c>
      <c r="AD450" s="489">
        <f t="shared" si="34"/>
        <v>0</v>
      </c>
      <c r="AE450" s="489">
        <v>0</v>
      </c>
      <c r="AF450" s="489">
        <v>0</v>
      </c>
      <c r="AG450" s="490" t="s">
        <v>1237</v>
      </c>
      <c r="AH450" s="490" t="s">
        <v>1236</v>
      </c>
      <c r="AI450" s="490"/>
      <c r="AJ450" s="490" t="s">
        <v>1259</v>
      </c>
      <c r="AK450" s="490" t="s">
        <v>1260</v>
      </c>
      <c r="AL450" s="491"/>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row>
    <row r="451" spans="1:80" ht="18" customHeight="1" x14ac:dyDescent="0.25">
      <c r="A451" s="492">
        <f t="shared" si="30"/>
        <v>449</v>
      </c>
      <c r="B451" s="492" t="s">
        <v>4082</v>
      </c>
      <c r="C451" s="492">
        <v>5100000133</v>
      </c>
      <c r="D451" s="492" t="s">
        <v>5079</v>
      </c>
      <c r="E451" s="492" t="s">
        <v>1675</v>
      </c>
      <c r="F451" s="492" t="s">
        <v>2676</v>
      </c>
      <c r="G451" s="492" t="s">
        <v>4080</v>
      </c>
      <c r="H451" s="492" t="s">
        <v>2676</v>
      </c>
      <c r="I451" s="492" t="s">
        <v>4080</v>
      </c>
      <c r="J451" s="492" t="s">
        <v>4081</v>
      </c>
      <c r="K451" s="492" t="s">
        <v>1756</v>
      </c>
      <c r="L451" s="492" t="s">
        <v>2783</v>
      </c>
      <c r="M451" s="493" t="s">
        <v>1230</v>
      </c>
      <c r="N451" s="493" t="s">
        <v>1232</v>
      </c>
      <c r="O451" s="492" t="s">
        <v>1232</v>
      </c>
      <c r="P451" s="492" t="s">
        <v>469</v>
      </c>
      <c r="Q451" s="494">
        <v>44378</v>
      </c>
      <c r="R451" s="494">
        <v>44743</v>
      </c>
      <c r="S451" s="495">
        <v>1</v>
      </c>
      <c r="T451" s="495"/>
      <c r="U451" s="496">
        <v>4000000</v>
      </c>
      <c r="V451" s="496">
        <v>4000000</v>
      </c>
      <c r="W451" s="496">
        <v>4000000</v>
      </c>
      <c r="X451" s="496">
        <f t="shared" si="31"/>
        <v>0</v>
      </c>
      <c r="Y451" s="496">
        <f t="shared" si="32"/>
        <v>0</v>
      </c>
      <c r="Z451" s="496">
        <v>4000000</v>
      </c>
      <c r="AA451" s="496">
        <v>4000000</v>
      </c>
      <c r="AB451" s="496">
        <v>4000000</v>
      </c>
      <c r="AC451" s="496">
        <f t="shared" si="33"/>
        <v>0</v>
      </c>
      <c r="AD451" s="496">
        <f t="shared" si="34"/>
        <v>0</v>
      </c>
      <c r="AE451" s="496">
        <v>0</v>
      </c>
      <c r="AF451" s="496">
        <v>0</v>
      </c>
      <c r="AG451" s="497" t="s">
        <v>1288</v>
      </c>
      <c r="AH451" s="497" t="s">
        <v>1252</v>
      </c>
      <c r="AI451" s="497" t="s">
        <v>1248</v>
      </c>
      <c r="AJ451" s="497" t="s">
        <v>1234</v>
      </c>
      <c r="AK451" s="497" t="s">
        <v>1278</v>
      </c>
      <c r="AL451" s="49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row>
    <row r="452" spans="1:80" ht="18" customHeight="1" x14ac:dyDescent="0.25">
      <c r="A452" s="486">
        <f t="shared" ref="A452:A515" si="35">A451+1</f>
        <v>450</v>
      </c>
      <c r="B452" s="486" t="s">
        <v>4087</v>
      </c>
      <c r="C452" s="486">
        <v>2100000243</v>
      </c>
      <c r="D452" s="486" t="s">
        <v>5080</v>
      </c>
      <c r="E452" s="486" t="s">
        <v>1680</v>
      </c>
      <c r="F452" s="486" t="s">
        <v>4086</v>
      </c>
      <c r="G452" s="486" t="s">
        <v>4083</v>
      </c>
      <c r="H452" s="485" t="s">
        <v>2677</v>
      </c>
      <c r="I452" s="486" t="s">
        <v>4084</v>
      </c>
      <c r="J452" s="486" t="s">
        <v>4085</v>
      </c>
      <c r="K452" s="486" t="s">
        <v>1756</v>
      </c>
      <c r="L452" s="486" t="s">
        <v>2783</v>
      </c>
      <c r="M452" s="486" t="s">
        <v>1230</v>
      </c>
      <c r="N452" s="486" t="s">
        <v>1231</v>
      </c>
      <c r="O452" s="486" t="s">
        <v>1231</v>
      </c>
      <c r="P452" s="486" t="s">
        <v>469</v>
      </c>
      <c r="Q452" s="487">
        <v>44379</v>
      </c>
      <c r="R452" s="487">
        <v>44929</v>
      </c>
      <c r="S452" s="488">
        <v>1.5</v>
      </c>
      <c r="T452" s="488"/>
      <c r="U452" s="489">
        <v>3733148</v>
      </c>
      <c r="V452" s="489">
        <v>3733148</v>
      </c>
      <c r="W452" s="489">
        <v>3733148</v>
      </c>
      <c r="X452" s="489">
        <f t="shared" si="31"/>
        <v>0</v>
      </c>
      <c r="Y452" s="489">
        <f t="shared" si="32"/>
        <v>0</v>
      </c>
      <c r="Z452" s="489">
        <v>1041463.14</v>
      </c>
      <c r="AA452" s="489">
        <v>1047693.95</v>
      </c>
      <c r="AB452" s="489">
        <v>1047693.95</v>
      </c>
      <c r="AC452" s="489">
        <f t="shared" si="33"/>
        <v>6230.8099999999395</v>
      </c>
      <c r="AD452" s="489">
        <f t="shared" si="34"/>
        <v>0</v>
      </c>
      <c r="AE452" s="489">
        <v>0</v>
      </c>
      <c r="AF452" s="489">
        <v>2685454.05</v>
      </c>
      <c r="AG452" s="490" t="s">
        <v>1245</v>
      </c>
      <c r="AH452" s="490" t="s">
        <v>1247</v>
      </c>
      <c r="AI452" s="490" t="s">
        <v>1248</v>
      </c>
      <c r="AJ452" s="490" t="s">
        <v>1246</v>
      </c>
      <c r="AK452" s="490" t="s">
        <v>1235</v>
      </c>
      <c r="AL452" s="491"/>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row>
    <row r="453" spans="1:80" ht="18" customHeight="1" x14ac:dyDescent="0.25">
      <c r="A453" s="486">
        <f t="shared" si="35"/>
        <v>451</v>
      </c>
      <c r="B453" s="486" t="s">
        <v>4088</v>
      </c>
      <c r="C453" s="486">
        <v>2100000244</v>
      </c>
      <c r="D453" s="486" t="s">
        <v>5081</v>
      </c>
      <c r="E453" s="486" t="s">
        <v>1680</v>
      </c>
      <c r="F453" s="486" t="s">
        <v>4086</v>
      </c>
      <c r="G453" s="486" t="s">
        <v>4083</v>
      </c>
      <c r="H453" s="485" t="s">
        <v>2677</v>
      </c>
      <c r="I453" s="486" t="s">
        <v>4084</v>
      </c>
      <c r="J453" s="486" t="s">
        <v>4085</v>
      </c>
      <c r="K453" s="486" t="s">
        <v>1756</v>
      </c>
      <c r="L453" s="486" t="s">
        <v>2783</v>
      </c>
      <c r="M453" s="486" t="s">
        <v>1230</v>
      </c>
      <c r="N453" s="486" t="s">
        <v>1231</v>
      </c>
      <c r="O453" s="486" t="s">
        <v>1231</v>
      </c>
      <c r="P453" s="486" t="s">
        <v>469</v>
      </c>
      <c r="Q453" s="487">
        <v>44379</v>
      </c>
      <c r="R453" s="487">
        <v>44929</v>
      </c>
      <c r="S453" s="488">
        <v>1.5</v>
      </c>
      <c r="T453" s="488"/>
      <c r="U453" s="489">
        <v>1857000</v>
      </c>
      <c r="V453" s="489">
        <v>1857000</v>
      </c>
      <c r="W453" s="489">
        <v>1857000</v>
      </c>
      <c r="X453" s="489">
        <f t="shared" si="31"/>
        <v>0</v>
      </c>
      <c r="Y453" s="489">
        <f t="shared" si="32"/>
        <v>0</v>
      </c>
      <c r="Z453" s="489">
        <v>1722371.88</v>
      </c>
      <c r="AA453" s="489">
        <v>1732329.98</v>
      </c>
      <c r="AB453" s="489">
        <v>1732329.98</v>
      </c>
      <c r="AC453" s="489">
        <f t="shared" si="33"/>
        <v>9958.1000000000931</v>
      </c>
      <c r="AD453" s="489">
        <f t="shared" si="34"/>
        <v>0</v>
      </c>
      <c r="AE453" s="489">
        <v>0</v>
      </c>
      <c r="AF453" s="489">
        <v>124670.02</v>
      </c>
      <c r="AG453" s="490" t="s">
        <v>1245</v>
      </c>
      <c r="AH453" s="490" t="s">
        <v>1247</v>
      </c>
      <c r="AI453" s="490" t="s">
        <v>1248</v>
      </c>
      <c r="AJ453" s="490" t="s">
        <v>1246</v>
      </c>
      <c r="AK453" s="490" t="s">
        <v>1235</v>
      </c>
      <c r="AL453" s="491"/>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row>
    <row r="454" spans="1:80" ht="18" customHeight="1" x14ac:dyDescent="0.25">
      <c r="A454" s="486">
        <f t="shared" si="35"/>
        <v>452</v>
      </c>
      <c r="B454" s="486" t="s">
        <v>4092</v>
      </c>
      <c r="C454" s="486">
        <v>4100000228</v>
      </c>
      <c r="D454" s="486" t="s">
        <v>5082</v>
      </c>
      <c r="E454" s="486" t="s">
        <v>1674</v>
      </c>
      <c r="F454" s="486" t="s">
        <v>4091</v>
      </c>
      <c r="G454" s="486" t="s">
        <v>4089</v>
      </c>
      <c r="H454" s="485" t="s">
        <v>2603</v>
      </c>
      <c r="I454" s="486" t="s">
        <v>3355</v>
      </c>
      <c r="J454" s="486" t="s">
        <v>4090</v>
      </c>
      <c r="K454" s="486" t="s">
        <v>1756</v>
      </c>
      <c r="L454" s="486" t="s">
        <v>2783</v>
      </c>
      <c r="M454" s="486" t="s">
        <v>1230</v>
      </c>
      <c r="N454" s="486" t="s">
        <v>1231</v>
      </c>
      <c r="O454" s="486" t="s">
        <v>1232</v>
      </c>
      <c r="P454" s="486" t="s">
        <v>469</v>
      </c>
      <c r="Q454" s="487">
        <v>44382</v>
      </c>
      <c r="R454" s="487">
        <v>46449</v>
      </c>
      <c r="S454" s="488">
        <v>0.35</v>
      </c>
      <c r="T454" s="488"/>
      <c r="U454" s="489">
        <v>2464292</v>
      </c>
      <c r="V454" s="489">
        <v>2464292</v>
      </c>
      <c r="W454" s="489">
        <v>2464292</v>
      </c>
      <c r="X454" s="489">
        <f t="shared" si="31"/>
        <v>0</v>
      </c>
      <c r="Y454" s="489">
        <f t="shared" si="32"/>
        <v>0</v>
      </c>
      <c r="Z454" s="489">
        <v>2464292</v>
      </c>
      <c r="AA454" s="489">
        <v>2464292</v>
      </c>
      <c r="AB454" s="489">
        <v>2464292</v>
      </c>
      <c r="AC454" s="489">
        <f t="shared" si="33"/>
        <v>0</v>
      </c>
      <c r="AD454" s="489">
        <f t="shared" si="34"/>
        <v>0</v>
      </c>
      <c r="AE454" s="489">
        <v>0</v>
      </c>
      <c r="AF454" s="489">
        <v>0</v>
      </c>
      <c r="AG454" s="490" t="s">
        <v>1250</v>
      </c>
      <c r="AH454" s="490" t="s">
        <v>1252</v>
      </c>
      <c r="AI454" s="490" t="s">
        <v>1248</v>
      </c>
      <c r="AJ454" s="490" t="s">
        <v>1234</v>
      </c>
      <c r="AK454" s="490" t="s">
        <v>1251</v>
      </c>
      <c r="AL454" s="491"/>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row>
    <row r="455" spans="1:80" ht="18" customHeight="1" x14ac:dyDescent="0.25">
      <c r="A455" s="486">
        <f t="shared" si="35"/>
        <v>453</v>
      </c>
      <c r="B455" s="486" t="s">
        <v>4096</v>
      </c>
      <c r="C455" s="486">
        <v>4100000229</v>
      </c>
      <c r="D455" s="486" t="s">
        <v>5083</v>
      </c>
      <c r="E455" s="486" t="s">
        <v>1677</v>
      </c>
      <c r="F455" s="486" t="s">
        <v>4095</v>
      </c>
      <c r="G455" s="486" t="s">
        <v>4093</v>
      </c>
      <c r="H455" s="485" t="s">
        <v>2603</v>
      </c>
      <c r="I455" s="486" t="s">
        <v>3355</v>
      </c>
      <c r="J455" s="486" t="s">
        <v>4094</v>
      </c>
      <c r="K455" s="486" t="s">
        <v>1756</v>
      </c>
      <c r="L455" s="486" t="s">
        <v>2783</v>
      </c>
      <c r="M455" s="486" t="s">
        <v>1230</v>
      </c>
      <c r="N455" s="486" t="s">
        <v>1231</v>
      </c>
      <c r="O455" s="486" t="s">
        <v>1232</v>
      </c>
      <c r="P455" s="486" t="s">
        <v>469</v>
      </c>
      <c r="Q455" s="487">
        <v>44382</v>
      </c>
      <c r="R455" s="487">
        <v>46209</v>
      </c>
      <c r="S455" s="488">
        <v>1</v>
      </c>
      <c r="T455" s="488"/>
      <c r="U455" s="489">
        <v>13000000</v>
      </c>
      <c r="V455" s="489">
        <v>13000000</v>
      </c>
      <c r="W455" s="489">
        <v>13000000</v>
      </c>
      <c r="X455" s="489">
        <f t="shared" si="31"/>
        <v>0</v>
      </c>
      <c r="Y455" s="489">
        <f t="shared" si="32"/>
        <v>0</v>
      </c>
      <c r="Z455" s="489">
        <v>0</v>
      </c>
      <c r="AA455" s="489">
        <v>0</v>
      </c>
      <c r="AB455" s="489">
        <v>0</v>
      </c>
      <c r="AC455" s="489">
        <f t="shared" si="33"/>
        <v>0</v>
      </c>
      <c r="AD455" s="489">
        <f t="shared" si="34"/>
        <v>0</v>
      </c>
      <c r="AE455" s="489">
        <v>13000000</v>
      </c>
      <c r="AF455" s="489">
        <v>0</v>
      </c>
      <c r="AG455" s="490" t="s">
        <v>1250</v>
      </c>
      <c r="AH455" s="490" t="s">
        <v>1291</v>
      </c>
      <c r="AI455" s="490" t="s">
        <v>1292</v>
      </c>
      <c r="AJ455" s="490" t="s">
        <v>1234</v>
      </c>
      <c r="AK455" s="490" t="s">
        <v>1240</v>
      </c>
      <c r="AL455" s="491"/>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row>
    <row r="456" spans="1:80" ht="18" customHeight="1" x14ac:dyDescent="0.25">
      <c r="A456" s="492">
        <f t="shared" si="35"/>
        <v>454</v>
      </c>
      <c r="B456" s="492" t="s">
        <v>4101</v>
      </c>
      <c r="C456" s="492">
        <v>1100000226</v>
      </c>
      <c r="D456" s="492" t="s">
        <v>5084</v>
      </c>
      <c r="E456" s="492" t="s">
        <v>4099</v>
      </c>
      <c r="F456" s="492" t="s">
        <v>4100</v>
      </c>
      <c r="G456" s="492" t="s">
        <v>4097</v>
      </c>
      <c r="H456" s="492" t="s">
        <v>4100</v>
      </c>
      <c r="I456" s="492" t="s">
        <v>4097</v>
      </c>
      <c r="J456" s="492" t="s">
        <v>4098</v>
      </c>
      <c r="K456" s="492" t="s">
        <v>1756</v>
      </c>
      <c r="L456" s="492" t="s">
        <v>2783</v>
      </c>
      <c r="M456" s="493" t="s">
        <v>1230</v>
      </c>
      <c r="N456" s="493" t="s">
        <v>1232</v>
      </c>
      <c r="O456" s="492" t="s">
        <v>1232</v>
      </c>
      <c r="P456" s="492" t="s">
        <v>1156</v>
      </c>
      <c r="Q456" s="494">
        <v>44384</v>
      </c>
      <c r="R456" s="494">
        <v>44935</v>
      </c>
      <c r="S456" s="495">
        <v>1</v>
      </c>
      <c r="T456" s="495"/>
      <c r="U456" s="496">
        <v>41800000</v>
      </c>
      <c r="V456" s="496">
        <v>41800000</v>
      </c>
      <c r="W456" s="496">
        <v>41800000</v>
      </c>
      <c r="X456" s="496">
        <f t="shared" ref="X456:X519" si="36">W456-U456</f>
        <v>0</v>
      </c>
      <c r="Y456" s="496">
        <f t="shared" ref="Y456:Y519" si="37">W456-V456</f>
        <v>0</v>
      </c>
      <c r="Z456" s="496">
        <v>41800000</v>
      </c>
      <c r="AA456" s="496">
        <v>41800000</v>
      </c>
      <c r="AB456" s="496">
        <v>41800000</v>
      </c>
      <c r="AC456" s="496">
        <f t="shared" ref="AC456:AC519" si="38">AB456-Z456</f>
        <v>0</v>
      </c>
      <c r="AD456" s="496">
        <f t="shared" ref="AD456:AD519" si="39">AB456-AA456</f>
        <v>0</v>
      </c>
      <c r="AE456" s="496">
        <v>0</v>
      </c>
      <c r="AF456" s="496">
        <v>0</v>
      </c>
      <c r="AG456" s="497" t="s">
        <v>1237</v>
      </c>
      <c r="AH456" s="497" t="s">
        <v>1236</v>
      </c>
      <c r="AI456" s="497"/>
      <c r="AJ456" s="497" t="s">
        <v>1259</v>
      </c>
      <c r="AK456" s="497" t="s">
        <v>1260</v>
      </c>
      <c r="AL456" s="491"/>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row>
    <row r="457" spans="1:80" ht="18" customHeight="1" x14ac:dyDescent="0.25">
      <c r="A457" s="486">
        <f t="shared" si="35"/>
        <v>455</v>
      </c>
      <c r="B457" s="486" t="s">
        <v>4104</v>
      </c>
      <c r="C457" s="486">
        <v>4100000233</v>
      </c>
      <c r="D457" s="486" t="s">
        <v>5085</v>
      </c>
      <c r="E457" s="486" t="s">
        <v>5086</v>
      </c>
      <c r="F457" s="486" t="s">
        <v>1671</v>
      </c>
      <c r="G457" s="486" t="s">
        <v>4102</v>
      </c>
      <c r="H457" s="485" t="s">
        <v>1671</v>
      </c>
      <c r="I457" s="486" t="s">
        <v>4102</v>
      </c>
      <c r="J457" s="486" t="s">
        <v>4103</v>
      </c>
      <c r="K457" s="486" t="s">
        <v>1756</v>
      </c>
      <c r="L457" s="486" t="s">
        <v>2783</v>
      </c>
      <c r="M457" s="486" t="s">
        <v>1230</v>
      </c>
      <c r="N457" s="486" t="s">
        <v>1231</v>
      </c>
      <c r="O457" s="486" t="s">
        <v>1232</v>
      </c>
      <c r="P457" s="486" t="s">
        <v>469</v>
      </c>
      <c r="Q457" s="487">
        <v>44385</v>
      </c>
      <c r="R457" s="487">
        <v>45846</v>
      </c>
      <c r="S457" s="488">
        <v>0.35</v>
      </c>
      <c r="T457" s="488"/>
      <c r="U457" s="489">
        <v>42928354</v>
      </c>
      <c r="V457" s="489">
        <v>42928354</v>
      </c>
      <c r="W457" s="489">
        <v>42928354</v>
      </c>
      <c r="X457" s="489">
        <f t="shared" si="36"/>
        <v>0</v>
      </c>
      <c r="Y457" s="489">
        <f t="shared" si="37"/>
        <v>0</v>
      </c>
      <c r="Z457" s="489">
        <v>42928354</v>
      </c>
      <c r="AA457" s="489">
        <v>42928354</v>
      </c>
      <c r="AB457" s="489">
        <v>42928354</v>
      </c>
      <c r="AC457" s="489">
        <f t="shared" si="38"/>
        <v>0</v>
      </c>
      <c r="AD457" s="489">
        <f t="shared" si="39"/>
        <v>0</v>
      </c>
      <c r="AE457" s="489">
        <v>0</v>
      </c>
      <c r="AF457" s="489">
        <v>0</v>
      </c>
      <c r="AG457" s="490" t="s">
        <v>1250</v>
      </c>
      <c r="AH457" s="490" t="s">
        <v>1252</v>
      </c>
      <c r="AI457" s="490" t="s">
        <v>1248</v>
      </c>
      <c r="AJ457" s="490" t="s">
        <v>1234</v>
      </c>
      <c r="AK457" s="490" t="s">
        <v>1251</v>
      </c>
      <c r="AL457" s="491"/>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row>
    <row r="458" spans="1:80" ht="18" customHeight="1" x14ac:dyDescent="0.25">
      <c r="A458" s="486">
        <f t="shared" si="35"/>
        <v>456</v>
      </c>
      <c r="B458" s="486" t="s">
        <v>4105</v>
      </c>
      <c r="C458" s="486">
        <v>4100000234</v>
      </c>
      <c r="D458" s="486" t="s">
        <v>5087</v>
      </c>
      <c r="E458" s="486" t="s">
        <v>5086</v>
      </c>
      <c r="F458" s="486" t="s">
        <v>1671</v>
      </c>
      <c r="G458" s="486" t="s">
        <v>4102</v>
      </c>
      <c r="H458" s="485" t="s">
        <v>1671</v>
      </c>
      <c r="I458" s="486" t="s">
        <v>4102</v>
      </c>
      <c r="J458" s="486" t="s">
        <v>4103</v>
      </c>
      <c r="K458" s="486" t="s">
        <v>1756</v>
      </c>
      <c r="L458" s="486" t="s">
        <v>2783</v>
      </c>
      <c r="M458" s="486" t="s">
        <v>1230</v>
      </c>
      <c r="N458" s="486" t="s">
        <v>1231</v>
      </c>
      <c r="O458" s="486" t="s">
        <v>1232</v>
      </c>
      <c r="P458" s="486" t="s">
        <v>469</v>
      </c>
      <c r="Q458" s="487">
        <v>44385</v>
      </c>
      <c r="R458" s="487">
        <v>45846</v>
      </c>
      <c r="S458" s="488">
        <v>0.35</v>
      </c>
      <c r="T458" s="488"/>
      <c r="U458" s="489">
        <v>8302268</v>
      </c>
      <c r="V458" s="489">
        <v>8302268</v>
      </c>
      <c r="W458" s="489">
        <v>8302268</v>
      </c>
      <c r="X458" s="489">
        <f t="shared" si="36"/>
        <v>0</v>
      </c>
      <c r="Y458" s="489">
        <f t="shared" si="37"/>
        <v>0</v>
      </c>
      <c r="Z458" s="489">
        <v>8302268</v>
      </c>
      <c r="AA458" s="489">
        <v>8302268</v>
      </c>
      <c r="AB458" s="489">
        <v>8302268</v>
      </c>
      <c r="AC458" s="489">
        <f t="shared" si="38"/>
        <v>0</v>
      </c>
      <c r="AD458" s="489">
        <f t="shared" si="39"/>
        <v>0</v>
      </c>
      <c r="AE458" s="489">
        <v>0</v>
      </c>
      <c r="AF458" s="489">
        <v>0</v>
      </c>
      <c r="AG458" s="490" t="s">
        <v>1250</v>
      </c>
      <c r="AH458" s="490" t="s">
        <v>1252</v>
      </c>
      <c r="AI458" s="490" t="s">
        <v>1248</v>
      </c>
      <c r="AJ458" s="490" t="s">
        <v>1234</v>
      </c>
      <c r="AK458" s="490" t="s">
        <v>1251</v>
      </c>
      <c r="AL458" s="491"/>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row>
    <row r="459" spans="1:80" ht="18" customHeight="1" x14ac:dyDescent="0.25">
      <c r="A459" s="486">
        <f t="shared" si="35"/>
        <v>457</v>
      </c>
      <c r="B459" s="486" t="s">
        <v>4106</v>
      </c>
      <c r="C459" s="486">
        <v>4100000235</v>
      </c>
      <c r="D459" s="486" t="s">
        <v>5088</v>
      </c>
      <c r="E459" s="486" t="s">
        <v>5086</v>
      </c>
      <c r="F459" s="486" t="s">
        <v>1671</v>
      </c>
      <c r="G459" s="486" t="s">
        <v>4102</v>
      </c>
      <c r="H459" s="485" t="s">
        <v>1671</v>
      </c>
      <c r="I459" s="486" t="s">
        <v>4102</v>
      </c>
      <c r="J459" s="486" t="s">
        <v>4103</v>
      </c>
      <c r="K459" s="486" t="s">
        <v>1756</v>
      </c>
      <c r="L459" s="486" t="s">
        <v>2783</v>
      </c>
      <c r="M459" s="486" t="s">
        <v>1230</v>
      </c>
      <c r="N459" s="486" t="s">
        <v>1231</v>
      </c>
      <c r="O459" s="486" t="s">
        <v>1232</v>
      </c>
      <c r="P459" s="486" t="s">
        <v>469</v>
      </c>
      <c r="Q459" s="487">
        <v>44385</v>
      </c>
      <c r="R459" s="487">
        <v>45846</v>
      </c>
      <c r="S459" s="488">
        <v>0.35</v>
      </c>
      <c r="T459" s="488"/>
      <c r="U459" s="489">
        <v>1868628</v>
      </c>
      <c r="V459" s="489">
        <v>1868628</v>
      </c>
      <c r="W459" s="489">
        <v>1868628</v>
      </c>
      <c r="X459" s="489">
        <f t="shared" si="36"/>
        <v>0</v>
      </c>
      <c r="Y459" s="489">
        <f t="shared" si="37"/>
        <v>0</v>
      </c>
      <c r="Z459" s="489">
        <v>1868628</v>
      </c>
      <c r="AA459" s="489">
        <v>1868628</v>
      </c>
      <c r="AB459" s="489">
        <v>1868628</v>
      </c>
      <c r="AC459" s="489">
        <f t="shared" si="38"/>
        <v>0</v>
      </c>
      <c r="AD459" s="489">
        <f t="shared" si="39"/>
        <v>0</v>
      </c>
      <c r="AE459" s="489">
        <v>0</v>
      </c>
      <c r="AF459" s="489">
        <v>0</v>
      </c>
      <c r="AG459" s="490" t="s">
        <v>1250</v>
      </c>
      <c r="AH459" s="490" t="s">
        <v>1252</v>
      </c>
      <c r="AI459" s="490" t="s">
        <v>1248</v>
      </c>
      <c r="AJ459" s="490" t="s">
        <v>1234</v>
      </c>
      <c r="AK459" s="490" t="s">
        <v>1251</v>
      </c>
      <c r="AL459" s="491"/>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row>
    <row r="460" spans="1:80" ht="18" customHeight="1" x14ac:dyDescent="0.25">
      <c r="A460" s="486">
        <f t="shared" si="35"/>
        <v>458</v>
      </c>
      <c r="B460" s="486" t="s">
        <v>4107</v>
      </c>
      <c r="C460" s="486">
        <v>1300000001</v>
      </c>
      <c r="D460" s="486" t="s">
        <v>5089</v>
      </c>
      <c r="E460" s="486" t="s">
        <v>305</v>
      </c>
      <c r="F460" s="486" t="s">
        <v>3033</v>
      </c>
      <c r="G460" s="486" t="s">
        <v>1092</v>
      </c>
      <c r="H460" s="485" t="s">
        <v>2551</v>
      </c>
      <c r="I460" s="486" t="s">
        <v>2871</v>
      </c>
      <c r="J460" s="486" t="s">
        <v>3032</v>
      </c>
      <c r="K460" s="486" t="s">
        <v>1756</v>
      </c>
      <c r="L460" s="486" t="s">
        <v>1678</v>
      </c>
      <c r="M460" s="486" t="s">
        <v>1230</v>
      </c>
      <c r="N460" s="486" t="s">
        <v>1231</v>
      </c>
      <c r="O460" s="486" t="s">
        <v>1232</v>
      </c>
      <c r="P460" s="486" t="s">
        <v>1156</v>
      </c>
      <c r="Q460" s="487">
        <v>44386</v>
      </c>
      <c r="R460" s="487">
        <v>44753</v>
      </c>
      <c r="S460" s="488">
        <v>1</v>
      </c>
      <c r="T460" s="488"/>
      <c r="U460" s="489">
        <v>4500000</v>
      </c>
      <c r="V460" s="489">
        <v>4500000</v>
      </c>
      <c r="W460" s="489">
        <v>4500000</v>
      </c>
      <c r="X460" s="489">
        <f t="shared" si="36"/>
        <v>0</v>
      </c>
      <c r="Y460" s="489">
        <f t="shared" si="37"/>
        <v>0</v>
      </c>
      <c r="Z460" s="489">
        <v>2822433</v>
      </c>
      <c r="AA460" s="489">
        <v>2822433</v>
      </c>
      <c r="AB460" s="489">
        <v>2822433</v>
      </c>
      <c r="AC460" s="489">
        <f t="shared" si="38"/>
        <v>0</v>
      </c>
      <c r="AD460" s="489">
        <f t="shared" si="39"/>
        <v>0</v>
      </c>
      <c r="AE460" s="489">
        <v>1677567</v>
      </c>
      <c r="AF460" s="489">
        <v>0</v>
      </c>
      <c r="AG460" s="490" t="s">
        <v>1237</v>
      </c>
      <c r="AH460" s="490" t="s">
        <v>1236</v>
      </c>
      <c r="AI460" s="490"/>
      <c r="AJ460" s="490" t="s">
        <v>1259</v>
      </c>
      <c r="AK460" s="490" t="s">
        <v>1260</v>
      </c>
      <c r="AL460" s="491"/>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row>
    <row r="461" spans="1:80" ht="18" customHeight="1" x14ac:dyDescent="0.25">
      <c r="A461" s="492">
        <f t="shared" si="35"/>
        <v>459</v>
      </c>
      <c r="B461" s="492" t="s">
        <v>4110</v>
      </c>
      <c r="C461" s="492">
        <v>3100000124</v>
      </c>
      <c r="D461" s="492" t="s">
        <v>5090</v>
      </c>
      <c r="E461" s="492" t="s">
        <v>5091</v>
      </c>
      <c r="F461" s="492" t="s">
        <v>1681</v>
      </c>
      <c r="G461" s="492" t="s">
        <v>4108</v>
      </c>
      <c r="H461" s="492" t="s">
        <v>1681</v>
      </c>
      <c r="I461" s="492" t="s">
        <v>4108</v>
      </c>
      <c r="J461" s="492" t="s">
        <v>4109</v>
      </c>
      <c r="K461" s="492" t="s">
        <v>1756</v>
      </c>
      <c r="L461" s="492" t="s">
        <v>2783</v>
      </c>
      <c r="M461" s="493" t="s">
        <v>1230</v>
      </c>
      <c r="N461" s="493" t="s">
        <v>1232</v>
      </c>
      <c r="O461" s="492" t="s">
        <v>1232</v>
      </c>
      <c r="P461" s="492" t="s">
        <v>469</v>
      </c>
      <c r="Q461" s="494">
        <v>44398</v>
      </c>
      <c r="R461" s="494">
        <v>45496</v>
      </c>
      <c r="S461" s="495">
        <v>1</v>
      </c>
      <c r="T461" s="495"/>
      <c r="U461" s="496">
        <v>12174562</v>
      </c>
      <c r="V461" s="496">
        <v>12174562</v>
      </c>
      <c r="W461" s="496">
        <v>12174562</v>
      </c>
      <c r="X461" s="496">
        <f t="shared" si="36"/>
        <v>0</v>
      </c>
      <c r="Y461" s="496">
        <f t="shared" si="37"/>
        <v>0</v>
      </c>
      <c r="Z461" s="496">
        <v>10717359.380000001</v>
      </c>
      <c r="AA461" s="496">
        <v>10717359.380000001</v>
      </c>
      <c r="AB461" s="496">
        <v>10767598.83</v>
      </c>
      <c r="AC461" s="496">
        <f t="shared" si="38"/>
        <v>50239.449999999255</v>
      </c>
      <c r="AD461" s="496">
        <f t="shared" si="39"/>
        <v>50239.449999999255</v>
      </c>
      <c r="AE461" s="496">
        <v>0</v>
      </c>
      <c r="AF461" s="496">
        <v>1406963.17</v>
      </c>
      <c r="AG461" s="497" t="s">
        <v>1233</v>
      </c>
      <c r="AH461" s="497" t="s">
        <v>1247</v>
      </c>
      <c r="AI461" s="497" t="s">
        <v>1241</v>
      </c>
      <c r="AJ461" s="497" t="s">
        <v>1234</v>
      </c>
      <c r="AK461" s="497" t="s">
        <v>1278</v>
      </c>
      <c r="AL461" s="49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row>
    <row r="462" spans="1:80" ht="18" customHeight="1" x14ac:dyDescent="0.25">
      <c r="A462" s="492">
        <f t="shared" si="35"/>
        <v>460</v>
      </c>
      <c r="B462" s="492" t="s">
        <v>4113</v>
      </c>
      <c r="C462" s="492">
        <v>2100000245</v>
      </c>
      <c r="D462" s="492" t="s">
        <v>5092</v>
      </c>
      <c r="E462" s="492" t="s">
        <v>5093</v>
      </c>
      <c r="F462" s="492" t="s">
        <v>1682</v>
      </c>
      <c r="G462" s="492" t="s">
        <v>4111</v>
      </c>
      <c r="H462" s="492" t="s">
        <v>1682</v>
      </c>
      <c r="I462" s="492" t="s">
        <v>4111</v>
      </c>
      <c r="J462" s="492" t="s">
        <v>4112</v>
      </c>
      <c r="K462" s="492" t="s">
        <v>1756</v>
      </c>
      <c r="L462" s="492" t="s">
        <v>2783</v>
      </c>
      <c r="M462" s="493" t="s">
        <v>1230</v>
      </c>
      <c r="N462" s="493" t="s">
        <v>1232</v>
      </c>
      <c r="O462" s="492" t="s">
        <v>1232</v>
      </c>
      <c r="P462" s="492" t="s">
        <v>469</v>
      </c>
      <c r="Q462" s="494">
        <v>44400</v>
      </c>
      <c r="R462" s="494">
        <v>46226</v>
      </c>
      <c r="S462" s="495">
        <v>1</v>
      </c>
      <c r="T462" s="495"/>
      <c r="U462" s="496">
        <v>26000000</v>
      </c>
      <c r="V462" s="496">
        <v>26000000</v>
      </c>
      <c r="W462" s="496">
        <v>26000000</v>
      </c>
      <c r="X462" s="496">
        <f t="shared" si="36"/>
        <v>0</v>
      </c>
      <c r="Y462" s="496">
        <f t="shared" si="37"/>
        <v>0</v>
      </c>
      <c r="Z462" s="496">
        <v>17172964.199999999</v>
      </c>
      <c r="AA462" s="496">
        <v>17335048.260000002</v>
      </c>
      <c r="AB462" s="496">
        <v>17432760.07</v>
      </c>
      <c r="AC462" s="496">
        <f t="shared" si="38"/>
        <v>259795.87000000104</v>
      </c>
      <c r="AD462" s="496">
        <f t="shared" si="39"/>
        <v>97711.809999998659</v>
      </c>
      <c r="AE462" s="496">
        <v>8567239.9299999997</v>
      </c>
      <c r="AF462" s="496">
        <v>0</v>
      </c>
      <c r="AG462" s="497" t="s">
        <v>1245</v>
      </c>
      <c r="AH462" s="497" t="s">
        <v>1298</v>
      </c>
      <c r="AI462" s="497"/>
      <c r="AJ462" s="497" t="s">
        <v>1246</v>
      </c>
      <c r="AK462" s="497" t="s">
        <v>1278</v>
      </c>
      <c r="AL462" s="491"/>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row>
    <row r="463" spans="1:80" ht="18" customHeight="1" x14ac:dyDescent="0.25">
      <c r="A463" s="492">
        <f t="shared" si="35"/>
        <v>461</v>
      </c>
      <c r="B463" s="492" t="s">
        <v>4116</v>
      </c>
      <c r="C463" s="492">
        <v>2100000250</v>
      </c>
      <c r="D463" s="492" t="s">
        <v>5094</v>
      </c>
      <c r="E463" s="492" t="s">
        <v>5095</v>
      </c>
      <c r="F463" s="492" t="s">
        <v>2678</v>
      </c>
      <c r="G463" s="492" t="s">
        <v>4114</v>
      </c>
      <c r="H463" s="492" t="s">
        <v>2678</v>
      </c>
      <c r="I463" s="492" t="s">
        <v>4114</v>
      </c>
      <c r="J463" s="492" t="s">
        <v>4115</v>
      </c>
      <c r="K463" s="492" t="s">
        <v>1756</v>
      </c>
      <c r="L463" s="492" t="s">
        <v>2783</v>
      </c>
      <c r="M463" s="493" t="s">
        <v>1230</v>
      </c>
      <c r="N463" s="493" t="s">
        <v>1232</v>
      </c>
      <c r="O463" s="492" t="s">
        <v>1231</v>
      </c>
      <c r="P463" s="492" t="s">
        <v>469</v>
      </c>
      <c r="Q463" s="494">
        <v>44406</v>
      </c>
      <c r="R463" s="494">
        <v>46692</v>
      </c>
      <c r="S463" s="495">
        <v>1</v>
      </c>
      <c r="T463" s="495"/>
      <c r="U463" s="496">
        <v>5467080</v>
      </c>
      <c r="V463" s="496">
        <v>5467080</v>
      </c>
      <c r="W463" s="496">
        <v>5467080</v>
      </c>
      <c r="X463" s="496">
        <f t="shared" si="36"/>
        <v>0</v>
      </c>
      <c r="Y463" s="496">
        <f t="shared" si="37"/>
        <v>0</v>
      </c>
      <c r="Z463" s="496">
        <v>2127482.67</v>
      </c>
      <c r="AA463" s="496">
        <v>2127482.67</v>
      </c>
      <c r="AB463" s="496">
        <v>2140495.29</v>
      </c>
      <c r="AC463" s="496">
        <f t="shared" si="38"/>
        <v>13012.620000000112</v>
      </c>
      <c r="AD463" s="496">
        <f t="shared" si="39"/>
        <v>13012.620000000112</v>
      </c>
      <c r="AE463" s="496">
        <v>0</v>
      </c>
      <c r="AF463" s="496">
        <v>3326584.71</v>
      </c>
      <c r="AG463" s="497" t="s">
        <v>1245</v>
      </c>
      <c r="AH463" s="497" t="s">
        <v>1247</v>
      </c>
      <c r="AI463" s="497" t="s">
        <v>1248</v>
      </c>
      <c r="AJ463" s="497" t="s">
        <v>1246</v>
      </c>
      <c r="AK463" s="497" t="s">
        <v>1278</v>
      </c>
      <c r="AL463" s="491"/>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c r="BV463"/>
      <c r="BW463"/>
      <c r="BX463"/>
      <c r="BY463"/>
      <c r="BZ463"/>
      <c r="CA463"/>
      <c r="CB463"/>
    </row>
    <row r="464" spans="1:80" ht="18" customHeight="1" x14ac:dyDescent="0.25">
      <c r="A464" s="492">
        <f t="shared" si="35"/>
        <v>462</v>
      </c>
      <c r="B464" s="492" t="s">
        <v>4120</v>
      </c>
      <c r="C464" s="492">
        <v>2100000254</v>
      </c>
      <c r="D464" s="492" t="s">
        <v>5096</v>
      </c>
      <c r="E464" s="492" t="s">
        <v>4119</v>
      </c>
      <c r="F464" s="492" t="s">
        <v>2679</v>
      </c>
      <c r="G464" s="492" t="s">
        <v>4117</v>
      </c>
      <c r="H464" s="492" t="s">
        <v>2679</v>
      </c>
      <c r="I464" s="492" t="s">
        <v>4117</v>
      </c>
      <c r="J464" s="492" t="s">
        <v>4118</v>
      </c>
      <c r="K464" s="492" t="s">
        <v>1756</v>
      </c>
      <c r="L464" s="492" t="s">
        <v>2783</v>
      </c>
      <c r="M464" s="493" t="s">
        <v>1230</v>
      </c>
      <c r="N464" s="493" t="s">
        <v>1232</v>
      </c>
      <c r="O464" s="492" t="s">
        <v>1231</v>
      </c>
      <c r="P464" s="492" t="s">
        <v>469</v>
      </c>
      <c r="Q464" s="494">
        <v>44407</v>
      </c>
      <c r="R464" s="494">
        <v>44956</v>
      </c>
      <c r="S464" s="495">
        <v>1</v>
      </c>
      <c r="T464" s="495"/>
      <c r="U464" s="496">
        <v>3656469.59</v>
      </c>
      <c r="V464" s="496">
        <v>3656469.59</v>
      </c>
      <c r="W464" s="496">
        <v>3656469.59</v>
      </c>
      <c r="X464" s="496">
        <f t="shared" si="36"/>
        <v>0</v>
      </c>
      <c r="Y464" s="496">
        <f t="shared" si="37"/>
        <v>0</v>
      </c>
      <c r="Z464" s="496">
        <v>2397611.7799999998</v>
      </c>
      <c r="AA464" s="496">
        <v>2488256.06</v>
      </c>
      <c r="AB464" s="496">
        <v>2504646.8199999998</v>
      </c>
      <c r="AC464" s="496">
        <f t="shared" si="38"/>
        <v>107035.04000000004</v>
      </c>
      <c r="AD464" s="496">
        <f t="shared" si="39"/>
        <v>16390.759999999776</v>
      </c>
      <c r="AE464" s="496">
        <v>0</v>
      </c>
      <c r="AF464" s="496">
        <v>1151822.77</v>
      </c>
      <c r="AG464" s="497" t="s">
        <v>1245</v>
      </c>
      <c r="AH464" s="497" t="s">
        <v>1247</v>
      </c>
      <c r="AI464" s="497" t="s">
        <v>1248</v>
      </c>
      <c r="AJ464" s="497" t="s">
        <v>1246</v>
      </c>
      <c r="AK464" s="497" t="s">
        <v>1278</v>
      </c>
      <c r="AL464" s="491"/>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row>
    <row r="465" spans="1:80" ht="18" customHeight="1" x14ac:dyDescent="0.25">
      <c r="A465" s="486">
        <f t="shared" si="35"/>
        <v>463</v>
      </c>
      <c r="B465" s="486" t="s">
        <v>4121</v>
      </c>
      <c r="C465" s="486">
        <v>1100000230</v>
      </c>
      <c r="D465" s="486" t="s">
        <v>5097</v>
      </c>
      <c r="E465" s="486" t="s">
        <v>299</v>
      </c>
      <c r="F465" s="486" t="s">
        <v>1057</v>
      </c>
      <c r="G465" s="486" t="s">
        <v>1088</v>
      </c>
      <c r="H465" s="511" t="s">
        <v>1057</v>
      </c>
      <c r="I465" s="486" t="s">
        <v>1088</v>
      </c>
      <c r="J465" s="486" t="s">
        <v>3728</v>
      </c>
      <c r="K465" s="486" t="s">
        <v>1281</v>
      </c>
      <c r="L465" s="486" t="s">
        <v>2783</v>
      </c>
      <c r="M465" s="486" t="s">
        <v>1230</v>
      </c>
      <c r="N465" s="486" t="s">
        <v>1231</v>
      </c>
      <c r="O465" s="486" t="s">
        <v>1232</v>
      </c>
      <c r="P465" s="486" t="s">
        <v>1156</v>
      </c>
      <c r="Q465" s="487">
        <v>44413</v>
      </c>
      <c r="R465" s="487">
        <v>45531</v>
      </c>
      <c r="S465" s="488">
        <v>1</v>
      </c>
      <c r="T465" s="488"/>
      <c r="U465" s="489">
        <v>5000000</v>
      </c>
      <c r="V465" s="489">
        <v>5000000</v>
      </c>
      <c r="W465" s="489">
        <v>5000000</v>
      </c>
      <c r="X465" s="489">
        <f t="shared" si="36"/>
        <v>0</v>
      </c>
      <c r="Y465" s="489">
        <f t="shared" si="37"/>
        <v>0</v>
      </c>
      <c r="Z465" s="489">
        <v>5000000</v>
      </c>
      <c r="AA465" s="489">
        <v>5000000</v>
      </c>
      <c r="AB465" s="489">
        <v>5000000</v>
      </c>
      <c r="AC465" s="489">
        <f t="shared" si="38"/>
        <v>0</v>
      </c>
      <c r="AD465" s="489">
        <f t="shared" si="39"/>
        <v>0</v>
      </c>
      <c r="AE465" s="489">
        <v>0</v>
      </c>
      <c r="AF465" s="489">
        <v>0</v>
      </c>
      <c r="AG465" s="490" t="s">
        <v>1237</v>
      </c>
      <c r="AH465" s="490" t="s">
        <v>1888</v>
      </c>
      <c r="AI465" s="490" t="s">
        <v>1321</v>
      </c>
      <c r="AJ465" s="490" t="s">
        <v>1279</v>
      </c>
      <c r="AK465" s="490" t="s">
        <v>1260</v>
      </c>
      <c r="AL465" s="491"/>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c r="BV465"/>
      <c r="BW465"/>
      <c r="BX465"/>
      <c r="BY465"/>
      <c r="BZ465"/>
      <c r="CA465"/>
      <c r="CB465"/>
    </row>
    <row r="466" spans="1:80" ht="18" customHeight="1" x14ac:dyDescent="0.25">
      <c r="A466" s="486">
        <f t="shared" si="35"/>
        <v>464</v>
      </c>
      <c r="B466" s="486" t="s">
        <v>4124</v>
      </c>
      <c r="C466" s="486">
        <v>1100000232</v>
      </c>
      <c r="D466" s="486" t="s">
        <v>5098</v>
      </c>
      <c r="E466" s="486" t="s">
        <v>1683</v>
      </c>
      <c r="F466" s="486" t="s">
        <v>205</v>
      </c>
      <c r="G466" s="486" t="s">
        <v>4122</v>
      </c>
      <c r="H466" s="485" t="s">
        <v>2573</v>
      </c>
      <c r="I466" s="486" t="s">
        <v>3059</v>
      </c>
      <c r="J466" s="486" t="s">
        <v>4123</v>
      </c>
      <c r="K466" s="486" t="s">
        <v>1756</v>
      </c>
      <c r="L466" s="486" t="s">
        <v>2783</v>
      </c>
      <c r="M466" s="486" t="s">
        <v>1230</v>
      </c>
      <c r="N466" s="486" t="s">
        <v>1231</v>
      </c>
      <c r="O466" s="486" t="s">
        <v>1232</v>
      </c>
      <c r="P466" s="486" t="s">
        <v>1156</v>
      </c>
      <c r="Q466" s="487">
        <v>44421</v>
      </c>
      <c r="R466" s="487">
        <v>45517</v>
      </c>
      <c r="S466" s="488">
        <v>1</v>
      </c>
      <c r="T466" s="488"/>
      <c r="U466" s="489">
        <v>674760</v>
      </c>
      <c r="V466" s="489">
        <v>674760</v>
      </c>
      <c r="W466" s="489">
        <v>674760</v>
      </c>
      <c r="X466" s="489">
        <f t="shared" si="36"/>
        <v>0</v>
      </c>
      <c r="Y466" s="489">
        <f t="shared" si="37"/>
        <v>0</v>
      </c>
      <c r="Z466" s="489">
        <v>0</v>
      </c>
      <c r="AA466" s="489">
        <v>0</v>
      </c>
      <c r="AB466" s="489">
        <v>0</v>
      </c>
      <c r="AC466" s="489">
        <f t="shared" si="38"/>
        <v>0</v>
      </c>
      <c r="AD466" s="489">
        <f t="shared" si="39"/>
        <v>0</v>
      </c>
      <c r="AE466" s="489">
        <v>0</v>
      </c>
      <c r="AF466" s="489">
        <v>674760</v>
      </c>
      <c r="AG466" s="490" t="s">
        <v>1237</v>
      </c>
      <c r="AH466" s="490" t="s">
        <v>1357</v>
      </c>
      <c r="AI466" s="490"/>
      <c r="AJ466" s="490" t="s">
        <v>1356</v>
      </c>
      <c r="AK466" s="490" t="s">
        <v>1260</v>
      </c>
      <c r="AL466" s="491"/>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row>
    <row r="467" spans="1:80" ht="18" customHeight="1" x14ac:dyDescent="0.25">
      <c r="A467" s="486">
        <f t="shared" si="35"/>
        <v>465</v>
      </c>
      <c r="B467" s="486" t="s">
        <v>4125</v>
      </c>
      <c r="C467" s="486">
        <v>1100000231</v>
      </c>
      <c r="D467" s="486" t="s">
        <v>5099</v>
      </c>
      <c r="E467" s="486" t="s">
        <v>1683</v>
      </c>
      <c r="F467" s="486" t="s">
        <v>205</v>
      </c>
      <c r="G467" s="486" t="s">
        <v>4122</v>
      </c>
      <c r="H467" s="485" t="s">
        <v>2573</v>
      </c>
      <c r="I467" s="486" t="s">
        <v>3059</v>
      </c>
      <c r="J467" s="486" t="s">
        <v>4123</v>
      </c>
      <c r="K467" s="486" t="s">
        <v>1756</v>
      </c>
      <c r="L467" s="486" t="s">
        <v>2783</v>
      </c>
      <c r="M467" s="486" t="s">
        <v>1230</v>
      </c>
      <c r="N467" s="486" t="s">
        <v>1231</v>
      </c>
      <c r="O467" s="486" t="s">
        <v>1231</v>
      </c>
      <c r="P467" s="486" t="s">
        <v>1156</v>
      </c>
      <c r="Q467" s="487">
        <v>44421</v>
      </c>
      <c r="R467" s="487">
        <v>45517</v>
      </c>
      <c r="S467" s="488">
        <v>1</v>
      </c>
      <c r="T467" s="488"/>
      <c r="U467" s="489">
        <v>8875240</v>
      </c>
      <c r="V467" s="489">
        <v>8875240</v>
      </c>
      <c r="W467" s="489">
        <v>8875240</v>
      </c>
      <c r="X467" s="489">
        <f t="shared" si="36"/>
        <v>0</v>
      </c>
      <c r="Y467" s="489">
        <f t="shared" si="37"/>
        <v>0</v>
      </c>
      <c r="Z467" s="489">
        <v>5489823.0499999998</v>
      </c>
      <c r="AA467" s="489">
        <v>5522450.0099999998</v>
      </c>
      <c r="AB467" s="489">
        <v>5522450.0099999998</v>
      </c>
      <c r="AC467" s="489">
        <f t="shared" si="38"/>
        <v>32626.959999999963</v>
      </c>
      <c r="AD467" s="489">
        <f t="shared" si="39"/>
        <v>0</v>
      </c>
      <c r="AE467" s="489">
        <v>0</v>
      </c>
      <c r="AF467" s="489">
        <v>3352789.9899999998</v>
      </c>
      <c r="AG467" s="490" t="s">
        <v>1237</v>
      </c>
      <c r="AH467" s="490" t="s">
        <v>1357</v>
      </c>
      <c r="AI467" s="490"/>
      <c r="AJ467" s="490" t="s">
        <v>1356</v>
      </c>
      <c r="AK467" s="490" t="s">
        <v>1260</v>
      </c>
      <c r="AL467" s="491"/>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row>
    <row r="468" spans="1:80" ht="18" customHeight="1" x14ac:dyDescent="0.25">
      <c r="A468" s="486">
        <f t="shared" si="35"/>
        <v>466</v>
      </c>
      <c r="B468" s="486" t="s">
        <v>4129</v>
      </c>
      <c r="C468" s="486">
        <v>2100000256</v>
      </c>
      <c r="D468" s="486" t="s">
        <v>5100</v>
      </c>
      <c r="E468" s="486" t="s">
        <v>1685</v>
      </c>
      <c r="F468" s="486" t="s">
        <v>1684</v>
      </c>
      <c r="G468" s="486" t="s">
        <v>4126</v>
      </c>
      <c r="H468" s="485" t="s">
        <v>1501</v>
      </c>
      <c r="I468" s="486" t="s">
        <v>4127</v>
      </c>
      <c r="J468" s="486" t="s">
        <v>4128</v>
      </c>
      <c r="K468" s="486" t="s">
        <v>1756</v>
      </c>
      <c r="L468" s="486" t="s">
        <v>2783</v>
      </c>
      <c r="M468" s="486" t="s">
        <v>1230</v>
      </c>
      <c r="N468" s="486" t="s">
        <v>1231</v>
      </c>
      <c r="O468" s="486" t="s">
        <v>1231</v>
      </c>
      <c r="P468" s="486" t="s">
        <v>469</v>
      </c>
      <c r="Q468" s="487">
        <v>44428</v>
      </c>
      <c r="R468" s="487">
        <v>44795</v>
      </c>
      <c r="S468" s="488">
        <v>1.5</v>
      </c>
      <c r="T468" s="488"/>
      <c r="U468" s="489">
        <v>3335843</v>
      </c>
      <c r="V468" s="489">
        <v>3335843</v>
      </c>
      <c r="W468" s="489">
        <v>3335843</v>
      </c>
      <c r="X468" s="489">
        <f t="shared" si="36"/>
        <v>0</v>
      </c>
      <c r="Y468" s="489">
        <f t="shared" si="37"/>
        <v>0</v>
      </c>
      <c r="Z468" s="489">
        <v>2137122.2400000002</v>
      </c>
      <c r="AA468" s="489">
        <v>2660522.65</v>
      </c>
      <c r="AB468" s="489">
        <v>2660522.65</v>
      </c>
      <c r="AC468" s="489">
        <f t="shared" si="38"/>
        <v>523400.40999999968</v>
      </c>
      <c r="AD468" s="489">
        <f t="shared" si="39"/>
        <v>0</v>
      </c>
      <c r="AE468" s="489">
        <v>0</v>
      </c>
      <c r="AF468" s="489">
        <v>675320.35</v>
      </c>
      <c r="AG468" s="490" t="s">
        <v>1245</v>
      </c>
      <c r="AH468" s="490" t="s">
        <v>1242</v>
      </c>
      <c r="AI468" s="490" t="s">
        <v>1317</v>
      </c>
      <c r="AJ468" s="490" t="s">
        <v>1246</v>
      </c>
      <c r="AK468" s="490" t="s">
        <v>1235</v>
      </c>
      <c r="AL468" s="491"/>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row>
    <row r="469" spans="1:80" ht="18" customHeight="1" x14ac:dyDescent="0.25">
      <c r="A469" s="492">
        <f t="shared" si="35"/>
        <v>467</v>
      </c>
      <c r="B469" s="492" t="s">
        <v>4133</v>
      </c>
      <c r="C469" s="492">
        <v>6100000190</v>
      </c>
      <c r="D469" s="492" t="s">
        <v>5101</v>
      </c>
      <c r="E469" s="492" t="s">
        <v>1687</v>
      </c>
      <c r="F469" s="492" t="s">
        <v>1686</v>
      </c>
      <c r="G469" s="492" t="s">
        <v>4131</v>
      </c>
      <c r="H469" s="492" t="s">
        <v>1686</v>
      </c>
      <c r="I469" s="492" t="s">
        <v>4131</v>
      </c>
      <c r="J469" s="492" t="s">
        <v>4132</v>
      </c>
      <c r="K469" s="492" t="s">
        <v>1756</v>
      </c>
      <c r="L469" s="492" t="s">
        <v>2783</v>
      </c>
      <c r="M469" s="493" t="s">
        <v>1230</v>
      </c>
      <c r="N469" s="493" t="s">
        <v>1232</v>
      </c>
      <c r="O469" s="492" t="s">
        <v>1232</v>
      </c>
      <c r="P469" s="492" t="s">
        <v>469</v>
      </c>
      <c r="Q469" s="494">
        <v>44435</v>
      </c>
      <c r="R469" s="494">
        <v>44832</v>
      </c>
      <c r="S469" s="495">
        <v>1</v>
      </c>
      <c r="T469" s="495"/>
      <c r="U469" s="496">
        <v>5500000</v>
      </c>
      <c r="V469" s="496">
        <v>5500000</v>
      </c>
      <c r="W469" s="496">
        <v>5500000</v>
      </c>
      <c r="X469" s="496">
        <f t="shared" si="36"/>
        <v>0</v>
      </c>
      <c r="Y469" s="496">
        <f t="shared" si="37"/>
        <v>0</v>
      </c>
      <c r="Z469" s="496">
        <v>5360510.7</v>
      </c>
      <c r="AA469" s="496">
        <v>5360510.7</v>
      </c>
      <c r="AB469" s="496">
        <v>5360510.7</v>
      </c>
      <c r="AC469" s="496">
        <f t="shared" si="38"/>
        <v>0</v>
      </c>
      <c r="AD469" s="496">
        <f t="shared" si="39"/>
        <v>0</v>
      </c>
      <c r="AE469" s="496">
        <v>0</v>
      </c>
      <c r="AF469" s="496">
        <v>139489.29999999999</v>
      </c>
      <c r="AG469" s="497" t="s">
        <v>1888</v>
      </c>
      <c r="AH469" s="497" t="s">
        <v>1888</v>
      </c>
      <c r="AI469" s="497" t="s">
        <v>1342</v>
      </c>
      <c r="AJ469" s="497" t="s">
        <v>1234</v>
      </c>
      <c r="AK469" s="497" t="s">
        <v>1240</v>
      </c>
      <c r="AL469" s="491"/>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row>
    <row r="470" spans="1:80" ht="18" customHeight="1" x14ac:dyDescent="0.25">
      <c r="A470" s="492">
        <f t="shared" si="35"/>
        <v>468</v>
      </c>
      <c r="B470" s="492" t="s">
        <v>4136</v>
      </c>
      <c r="C470" s="492">
        <v>6100000191</v>
      </c>
      <c r="D470" s="492" t="s">
        <v>5102</v>
      </c>
      <c r="E470" s="492" t="s">
        <v>1689</v>
      </c>
      <c r="F470" s="492" t="s">
        <v>1688</v>
      </c>
      <c r="G470" s="492" t="s">
        <v>4134</v>
      </c>
      <c r="H470" s="492" t="s">
        <v>1688</v>
      </c>
      <c r="I470" s="492" t="s">
        <v>4134</v>
      </c>
      <c r="J470" s="492" t="s">
        <v>4135</v>
      </c>
      <c r="K470" s="492" t="s">
        <v>1756</v>
      </c>
      <c r="L470" s="492" t="s">
        <v>2783</v>
      </c>
      <c r="M470" s="493" t="s">
        <v>1230</v>
      </c>
      <c r="N470" s="493" t="s">
        <v>1232</v>
      </c>
      <c r="O470" s="492" t="s">
        <v>1232</v>
      </c>
      <c r="P470" s="492" t="s">
        <v>469</v>
      </c>
      <c r="Q470" s="494">
        <v>44439</v>
      </c>
      <c r="R470" s="494">
        <v>44844</v>
      </c>
      <c r="S470" s="495">
        <v>1</v>
      </c>
      <c r="T470" s="495"/>
      <c r="U470" s="496">
        <v>15004501</v>
      </c>
      <c r="V470" s="496">
        <v>15004501</v>
      </c>
      <c r="W470" s="496">
        <v>15004501</v>
      </c>
      <c r="X470" s="496">
        <f t="shared" si="36"/>
        <v>0</v>
      </c>
      <c r="Y470" s="496">
        <f t="shared" si="37"/>
        <v>0</v>
      </c>
      <c r="Z470" s="496">
        <v>8715744.2799999993</v>
      </c>
      <c r="AA470" s="496">
        <v>8715744.2799999993</v>
      </c>
      <c r="AB470" s="496">
        <v>8715744.2799999993</v>
      </c>
      <c r="AC470" s="496">
        <f t="shared" si="38"/>
        <v>0</v>
      </c>
      <c r="AD470" s="496">
        <f t="shared" si="39"/>
        <v>0</v>
      </c>
      <c r="AE470" s="496">
        <v>0</v>
      </c>
      <c r="AF470" s="496">
        <v>6288756.7199999997</v>
      </c>
      <c r="AG470" s="497" t="s">
        <v>1888</v>
      </c>
      <c r="AH470" s="497" t="s">
        <v>1888</v>
      </c>
      <c r="AI470" s="497" t="s">
        <v>1342</v>
      </c>
      <c r="AJ470" s="497" t="s">
        <v>1234</v>
      </c>
      <c r="AK470" s="497" t="s">
        <v>1240</v>
      </c>
      <c r="AL470" s="491"/>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row>
    <row r="471" spans="1:80" ht="18" customHeight="1" x14ac:dyDescent="0.25">
      <c r="A471" s="486">
        <f t="shared" si="35"/>
        <v>469</v>
      </c>
      <c r="B471" s="486" t="s">
        <v>4139</v>
      </c>
      <c r="C471" s="486">
        <v>1100000234</v>
      </c>
      <c r="D471" s="486" t="s">
        <v>5103</v>
      </c>
      <c r="E471" s="486" t="s">
        <v>1691</v>
      </c>
      <c r="F471" s="486" t="s">
        <v>2680</v>
      </c>
      <c r="G471" s="486" t="s">
        <v>4137</v>
      </c>
      <c r="H471" s="485" t="s">
        <v>2680</v>
      </c>
      <c r="I471" s="486" t="s">
        <v>4137</v>
      </c>
      <c r="J471" s="486" t="s">
        <v>4138</v>
      </c>
      <c r="K471" s="486" t="s">
        <v>1756</v>
      </c>
      <c r="L471" s="486" t="s">
        <v>2783</v>
      </c>
      <c r="M471" s="486" t="s">
        <v>1230</v>
      </c>
      <c r="N471" s="486" t="s">
        <v>1231</v>
      </c>
      <c r="O471" s="486" t="s">
        <v>1232</v>
      </c>
      <c r="P471" s="486" t="s">
        <v>1156</v>
      </c>
      <c r="Q471" s="487">
        <v>44439</v>
      </c>
      <c r="R471" s="487">
        <v>46266</v>
      </c>
      <c r="S471" s="488">
        <v>1</v>
      </c>
      <c r="T471" s="488"/>
      <c r="U471" s="489">
        <v>4800000</v>
      </c>
      <c r="V471" s="489">
        <v>4500000</v>
      </c>
      <c r="W471" s="489">
        <v>4500000</v>
      </c>
      <c r="X471" s="489">
        <f t="shared" si="36"/>
        <v>-300000</v>
      </c>
      <c r="Y471" s="489">
        <f t="shared" si="37"/>
        <v>0</v>
      </c>
      <c r="Z471" s="489">
        <v>4800000</v>
      </c>
      <c r="AA471" s="489">
        <v>4500000</v>
      </c>
      <c r="AB471" s="489">
        <v>4500000</v>
      </c>
      <c r="AC471" s="489">
        <f t="shared" si="38"/>
        <v>-300000</v>
      </c>
      <c r="AD471" s="489">
        <f t="shared" si="39"/>
        <v>0</v>
      </c>
      <c r="AE471" s="489">
        <v>0</v>
      </c>
      <c r="AF471" s="489">
        <v>0</v>
      </c>
      <c r="AG471" s="490" t="s">
        <v>1237</v>
      </c>
      <c r="AH471" s="490" t="s">
        <v>614</v>
      </c>
      <c r="AI471" s="490" t="s">
        <v>1505</v>
      </c>
      <c r="AJ471" s="490" t="s">
        <v>1505</v>
      </c>
      <c r="AK471" s="490" t="s">
        <v>1260</v>
      </c>
      <c r="AL471" s="49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row>
    <row r="472" spans="1:80" ht="18" customHeight="1" x14ac:dyDescent="0.25">
      <c r="A472" s="486">
        <f t="shared" si="35"/>
        <v>470</v>
      </c>
      <c r="B472" s="486" t="s">
        <v>4140</v>
      </c>
      <c r="C472" s="486">
        <v>1100000233</v>
      </c>
      <c r="D472" s="486" t="s">
        <v>5104</v>
      </c>
      <c r="E472" s="486" t="s">
        <v>1691</v>
      </c>
      <c r="F472" s="486" t="s">
        <v>2680</v>
      </c>
      <c r="G472" s="486" t="s">
        <v>4137</v>
      </c>
      <c r="H472" s="485" t="s">
        <v>2680</v>
      </c>
      <c r="I472" s="486" t="s">
        <v>4137</v>
      </c>
      <c r="J472" s="486" t="s">
        <v>4138</v>
      </c>
      <c r="K472" s="486" t="s">
        <v>1281</v>
      </c>
      <c r="L472" s="486" t="s">
        <v>2783</v>
      </c>
      <c r="M472" s="486" t="s">
        <v>1230</v>
      </c>
      <c r="N472" s="486" t="s">
        <v>1231</v>
      </c>
      <c r="O472" s="486" t="s">
        <v>1232</v>
      </c>
      <c r="P472" s="486" t="s">
        <v>1156</v>
      </c>
      <c r="Q472" s="487">
        <v>44439</v>
      </c>
      <c r="R472" s="487">
        <v>46266</v>
      </c>
      <c r="S472" s="488">
        <v>1</v>
      </c>
      <c r="T472" s="488"/>
      <c r="U472" s="489">
        <v>500000</v>
      </c>
      <c r="V472" s="489">
        <v>500000</v>
      </c>
      <c r="W472" s="489">
        <v>500000</v>
      </c>
      <c r="X472" s="489">
        <f t="shared" si="36"/>
        <v>0</v>
      </c>
      <c r="Y472" s="489">
        <f t="shared" si="37"/>
        <v>0</v>
      </c>
      <c r="Z472" s="489">
        <v>0</v>
      </c>
      <c r="AA472" s="489">
        <v>0</v>
      </c>
      <c r="AB472" s="489">
        <v>0</v>
      </c>
      <c r="AC472" s="489">
        <f t="shared" si="38"/>
        <v>0</v>
      </c>
      <c r="AD472" s="489">
        <f t="shared" si="39"/>
        <v>0</v>
      </c>
      <c r="AE472" s="489">
        <v>500000</v>
      </c>
      <c r="AF472" s="489">
        <v>0</v>
      </c>
      <c r="AG472" s="490" t="s">
        <v>1237</v>
      </c>
      <c r="AH472" s="490" t="s">
        <v>614</v>
      </c>
      <c r="AI472" s="490" t="s">
        <v>1505</v>
      </c>
      <c r="AJ472" s="490" t="s">
        <v>1505</v>
      </c>
      <c r="AK472" s="490" t="s">
        <v>1260</v>
      </c>
      <c r="AL472" s="491"/>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row>
    <row r="473" spans="1:80" ht="18" customHeight="1" x14ac:dyDescent="0.25">
      <c r="A473" s="492">
        <f t="shared" si="35"/>
        <v>471</v>
      </c>
      <c r="B473" s="492" t="s">
        <v>4143</v>
      </c>
      <c r="C473" s="492">
        <v>2100000258</v>
      </c>
      <c r="D473" s="492" t="s">
        <v>5105</v>
      </c>
      <c r="E473" s="492" t="s">
        <v>1697</v>
      </c>
      <c r="F473" s="492" t="s">
        <v>1696</v>
      </c>
      <c r="G473" s="492" t="s">
        <v>4141</v>
      </c>
      <c r="H473" s="492" t="s">
        <v>1696</v>
      </c>
      <c r="I473" s="492" t="s">
        <v>4141</v>
      </c>
      <c r="J473" s="492" t="s">
        <v>4142</v>
      </c>
      <c r="K473" s="492" t="s">
        <v>1756</v>
      </c>
      <c r="L473" s="492" t="s">
        <v>2783</v>
      </c>
      <c r="M473" s="493" t="s">
        <v>1230</v>
      </c>
      <c r="N473" s="493" t="s">
        <v>1232</v>
      </c>
      <c r="O473" s="492" t="s">
        <v>1232</v>
      </c>
      <c r="P473" s="492" t="s">
        <v>469</v>
      </c>
      <c r="Q473" s="494">
        <v>44440</v>
      </c>
      <c r="R473" s="494">
        <v>44986</v>
      </c>
      <c r="S473" s="495">
        <v>1</v>
      </c>
      <c r="T473" s="495"/>
      <c r="U473" s="496">
        <v>4860000</v>
      </c>
      <c r="V473" s="496">
        <v>4860000</v>
      </c>
      <c r="W473" s="496">
        <v>4860000</v>
      </c>
      <c r="X473" s="496">
        <f t="shared" si="36"/>
        <v>0</v>
      </c>
      <c r="Y473" s="496">
        <f t="shared" si="37"/>
        <v>0</v>
      </c>
      <c r="Z473" s="496">
        <v>4141846.53</v>
      </c>
      <c r="AA473" s="496">
        <v>4168172.79</v>
      </c>
      <c r="AB473" s="496">
        <v>4168172.79</v>
      </c>
      <c r="AC473" s="496">
        <f t="shared" si="38"/>
        <v>26326.260000000242</v>
      </c>
      <c r="AD473" s="496">
        <f t="shared" si="39"/>
        <v>0</v>
      </c>
      <c r="AE473" s="496">
        <v>0</v>
      </c>
      <c r="AF473" s="496">
        <v>691827.21</v>
      </c>
      <c r="AG473" s="497" t="s">
        <v>1245</v>
      </c>
      <c r="AH473" s="497" t="s">
        <v>1242</v>
      </c>
      <c r="AI473" s="497" t="s">
        <v>1292</v>
      </c>
      <c r="AJ473" s="497" t="s">
        <v>1246</v>
      </c>
      <c r="AK473" s="497" t="s">
        <v>1240</v>
      </c>
      <c r="AL473" s="491"/>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row>
    <row r="474" spans="1:80" ht="18" customHeight="1" x14ac:dyDescent="0.25">
      <c r="A474" s="492">
        <f t="shared" si="35"/>
        <v>472</v>
      </c>
      <c r="B474" s="492" t="s">
        <v>4147</v>
      </c>
      <c r="C474" s="492">
        <v>2100000260</v>
      </c>
      <c r="D474" s="492" t="s">
        <v>5106</v>
      </c>
      <c r="E474" s="492" t="s">
        <v>1695</v>
      </c>
      <c r="F474" s="492" t="s">
        <v>4146</v>
      </c>
      <c r="G474" s="492" t="s">
        <v>4144</v>
      </c>
      <c r="H474" s="492" t="s">
        <v>4146</v>
      </c>
      <c r="I474" s="492" t="s">
        <v>4144</v>
      </c>
      <c r="J474" s="492" t="s">
        <v>4145</v>
      </c>
      <c r="K474" s="492" t="s">
        <v>1756</v>
      </c>
      <c r="L474" s="492" t="s">
        <v>2783</v>
      </c>
      <c r="M474" s="493" t="s">
        <v>1230</v>
      </c>
      <c r="N474" s="493" t="s">
        <v>1232</v>
      </c>
      <c r="O474" s="492" t="s">
        <v>1231</v>
      </c>
      <c r="P474" s="492" t="s">
        <v>469</v>
      </c>
      <c r="Q474" s="494">
        <v>44441</v>
      </c>
      <c r="R474" s="494">
        <v>45902</v>
      </c>
      <c r="S474" s="495">
        <v>1.5</v>
      </c>
      <c r="T474" s="495"/>
      <c r="U474" s="496">
        <v>39087024</v>
      </c>
      <c r="V474" s="496">
        <v>39087024</v>
      </c>
      <c r="W474" s="496">
        <v>39087024</v>
      </c>
      <c r="X474" s="496">
        <f t="shared" si="36"/>
        <v>0</v>
      </c>
      <c r="Y474" s="496">
        <f t="shared" si="37"/>
        <v>0</v>
      </c>
      <c r="Z474" s="496">
        <v>10627520.5</v>
      </c>
      <c r="AA474" s="496">
        <v>10678183.199999999</v>
      </c>
      <c r="AB474" s="496">
        <v>10678183.199999999</v>
      </c>
      <c r="AC474" s="496">
        <f t="shared" si="38"/>
        <v>50662.699999999255</v>
      </c>
      <c r="AD474" s="496">
        <f t="shared" si="39"/>
        <v>0</v>
      </c>
      <c r="AE474" s="496">
        <v>0</v>
      </c>
      <c r="AF474" s="496">
        <v>28408840.800000001</v>
      </c>
      <c r="AG474" s="497" t="s">
        <v>1245</v>
      </c>
      <c r="AH474" s="497" t="s">
        <v>1441</v>
      </c>
      <c r="AI474" s="497"/>
      <c r="AJ474" s="497" t="s">
        <v>1246</v>
      </c>
      <c r="AK474" s="497" t="s">
        <v>1235</v>
      </c>
      <c r="AL474" s="491"/>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row>
    <row r="475" spans="1:80" ht="18" customHeight="1" x14ac:dyDescent="0.25">
      <c r="A475" s="492">
        <f t="shared" si="35"/>
        <v>473</v>
      </c>
      <c r="B475" s="492" t="s">
        <v>4149</v>
      </c>
      <c r="C475" s="492">
        <v>1100000235</v>
      </c>
      <c r="D475" s="492" t="s">
        <v>5107</v>
      </c>
      <c r="E475" s="492" t="s">
        <v>1694</v>
      </c>
      <c r="F475" s="492" t="s">
        <v>1693</v>
      </c>
      <c r="G475" s="492" t="s">
        <v>2761</v>
      </c>
      <c r="H475" s="492" t="s">
        <v>1693</v>
      </c>
      <c r="I475" s="492" t="s">
        <v>2761</v>
      </c>
      <c r="J475" s="492" t="s">
        <v>4148</v>
      </c>
      <c r="K475" s="492" t="s">
        <v>1756</v>
      </c>
      <c r="L475" s="492" t="s">
        <v>2783</v>
      </c>
      <c r="M475" s="493" t="s">
        <v>1230</v>
      </c>
      <c r="N475" s="493" t="s">
        <v>1232</v>
      </c>
      <c r="O475" s="492" t="s">
        <v>1232</v>
      </c>
      <c r="P475" s="492" t="s">
        <v>1156</v>
      </c>
      <c r="Q475" s="494">
        <v>44446</v>
      </c>
      <c r="R475" s="494">
        <v>46272</v>
      </c>
      <c r="S475" s="495">
        <v>1</v>
      </c>
      <c r="T475" s="495"/>
      <c r="U475" s="496">
        <v>10000000</v>
      </c>
      <c r="V475" s="496">
        <v>10000000</v>
      </c>
      <c r="W475" s="496">
        <v>10000000</v>
      </c>
      <c r="X475" s="496">
        <f t="shared" si="36"/>
        <v>0</v>
      </c>
      <c r="Y475" s="496">
        <f t="shared" si="37"/>
        <v>0</v>
      </c>
      <c r="Z475" s="496">
        <v>5750000</v>
      </c>
      <c r="AA475" s="496">
        <v>5750500</v>
      </c>
      <c r="AB475" s="496">
        <v>5750500</v>
      </c>
      <c r="AC475" s="496">
        <f t="shared" si="38"/>
        <v>500</v>
      </c>
      <c r="AD475" s="496">
        <f t="shared" si="39"/>
        <v>0</v>
      </c>
      <c r="AE475" s="496">
        <v>4249500</v>
      </c>
      <c r="AF475" s="496">
        <v>0</v>
      </c>
      <c r="AG475" s="497" t="s">
        <v>1237</v>
      </c>
      <c r="AH475" s="497" t="s">
        <v>1419</v>
      </c>
      <c r="AI475" s="497" t="s">
        <v>1650</v>
      </c>
      <c r="AJ475" s="497" t="s">
        <v>1419</v>
      </c>
      <c r="AK475" s="497" t="s">
        <v>1260</v>
      </c>
      <c r="AL475" s="491"/>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row>
    <row r="476" spans="1:80" ht="18" customHeight="1" x14ac:dyDescent="0.25">
      <c r="A476" s="492">
        <f t="shared" si="35"/>
        <v>474</v>
      </c>
      <c r="B476" s="492" t="s">
        <v>4152</v>
      </c>
      <c r="C476" s="492">
        <v>2100000262</v>
      </c>
      <c r="D476" s="492" t="s">
        <v>5108</v>
      </c>
      <c r="E476" s="492" t="s">
        <v>1699</v>
      </c>
      <c r="F476" s="492" t="s">
        <v>1698</v>
      </c>
      <c r="G476" s="492" t="s">
        <v>4150</v>
      </c>
      <c r="H476" s="492" t="s">
        <v>1698</v>
      </c>
      <c r="I476" s="492" t="s">
        <v>4150</v>
      </c>
      <c r="J476" s="492" t="s">
        <v>4151</v>
      </c>
      <c r="K476" s="492" t="s">
        <v>1756</v>
      </c>
      <c r="L476" s="492" t="s">
        <v>2783</v>
      </c>
      <c r="M476" s="493" t="s">
        <v>1230</v>
      </c>
      <c r="N476" s="493" t="s">
        <v>1232</v>
      </c>
      <c r="O476" s="492" t="s">
        <v>1232</v>
      </c>
      <c r="P476" s="492" t="s">
        <v>469</v>
      </c>
      <c r="Q476" s="494">
        <v>44449</v>
      </c>
      <c r="R476" s="494">
        <v>45505</v>
      </c>
      <c r="S476" s="495">
        <v>1.5</v>
      </c>
      <c r="T476" s="495"/>
      <c r="U476" s="496">
        <v>46000000</v>
      </c>
      <c r="V476" s="496">
        <v>46000000</v>
      </c>
      <c r="W476" s="496">
        <v>46000000</v>
      </c>
      <c r="X476" s="496">
        <f t="shared" si="36"/>
        <v>0</v>
      </c>
      <c r="Y476" s="496">
        <f t="shared" si="37"/>
        <v>0</v>
      </c>
      <c r="Z476" s="496">
        <v>37500252.960000001</v>
      </c>
      <c r="AA476" s="496">
        <v>37500252.960000001</v>
      </c>
      <c r="AB476" s="496">
        <v>37500252.960000001</v>
      </c>
      <c r="AC476" s="496">
        <f t="shared" si="38"/>
        <v>0</v>
      </c>
      <c r="AD476" s="496">
        <f t="shared" si="39"/>
        <v>0</v>
      </c>
      <c r="AE476" s="496">
        <v>8499747.0399999991</v>
      </c>
      <c r="AF476" s="496">
        <v>0</v>
      </c>
      <c r="AG476" s="497" t="s">
        <v>1245</v>
      </c>
      <c r="AH476" s="497" t="s">
        <v>1247</v>
      </c>
      <c r="AI476" s="497" t="s">
        <v>1248</v>
      </c>
      <c r="AJ476" s="497" t="s">
        <v>1246</v>
      </c>
      <c r="AK476" s="497" t="s">
        <v>1235</v>
      </c>
      <c r="AL476" s="491"/>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c r="BV476"/>
      <c r="BW476"/>
      <c r="BX476"/>
      <c r="BY476"/>
      <c r="BZ476"/>
      <c r="CA476"/>
      <c r="CB476"/>
    </row>
    <row r="477" spans="1:80" ht="18" customHeight="1" x14ac:dyDescent="0.25">
      <c r="A477" s="486">
        <f t="shared" si="35"/>
        <v>475</v>
      </c>
      <c r="B477" s="486" t="s">
        <v>4156</v>
      </c>
      <c r="C477" s="486">
        <v>2100000261</v>
      </c>
      <c r="D477" s="486" t="s">
        <v>5109</v>
      </c>
      <c r="E477" s="486" t="s">
        <v>1290</v>
      </c>
      <c r="F477" s="486" t="s">
        <v>4155</v>
      </c>
      <c r="G477" s="486" t="s">
        <v>4153</v>
      </c>
      <c r="H477" s="485" t="s">
        <v>2590</v>
      </c>
      <c r="I477" s="486" t="s">
        <v>3204</v>
      </c>
      <c r="J477" s="486" t="s">
        <v>4154</v>
      </c>
      <c r="K477" s="486" t="s">
        <v>1756</v>
      </c>
      <c r="L477" s="486" t="s">
        <v>2783</v>
      </c>
      <c r="M477" s="486" t="s">
        <v>1230</v>
      </c>
      <c r="N477" s="486" t="s">
        <v>1231</v>
      </c>
      <c r="O477" s="486" t="s">
        <v>1231</v>
      </c>
      <c r="P477" s="486" t="s">
        <v>469</v>
      </c>
      <c r="Q477" s="487">
        <v>44449</v>
      </c>
      <c r="R477" s="487">
        <v>45616</v>
      </c>
      <c r="S477" s="488">
        <v>1.5</v>
      </c>
      <c r="T477" s="488"/>
      <c r="U477" s="489">
        <v>25760555</v>
      </c>
      <c r="V477" s="489">
        <v>25760555</v>
      </c>
      <c r="W477" s="489">
        <v>25760555</v>
      </c>
      <c r="X477" s="489">
        <f t="shared" si="36"/>
        <v>0</v>
      </c>
      <c r="Y477" s="489">
        <f t="shared" si="37"/>
        <v>0</v>
      </c>
      <c r="Z477" s="489">
        <v>4990418.32</v>
      </c>
      <c r="AA477" s="489">
        <v>5305758.71</v>
      </c>
      <c r="AB477" s="489">
        <v>5305758.71</v>
      </c>
      <c r="AC477" s="489">
        <f t="shared" si="38"/>
        <v>315340.38999999966</v>
      </c>
      <c r="AD477" s="489">
        <f t="shared" si="39"/>
        <v>0</v>
      </c>
      <c r="AE477" s="489">
        <v>0</v>
      </c>
      <c r="AF477" s="489">
        <v>20454796.289999999</v>
      </c>
      <c r="AG477" s="490" t="s">
        <v>1245</v>
      </c>
      <c r="AH477" s="490" t="s">
        <v>1247</v>
      </c>
      <c r="AI477" s="490" t="s">
        <v>1248</v>
      </c>
      <c r="AJ477" s="490" t="s">
        <v>1246</v>
      </c>
      <c r="AK477" s="490" t="s">
        <v>1235</v>
      </c>
      <c r="AL477" s="491"/>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row>
    <row r="478" spans="1:80" ht="18" customHeight="1" x14ac:dyDescent="0.25">
      <c r="A478" s="492">
        <f t="shared" si="35"/>
        <v>476</v>
      </c>
      <c r="B478" s="492" t="s">
        <v>4159</v>
      </c>
      <c r="C478" s="492">
        <v>2100000263</v>
      </c>
      <c r="D478" s="492" t="s">
        <v>5110</v>
      </c>
      <c r="E478" s="492" t="s">
        <v>1701</v>
      </c>
      <c r="F478" s="492" t="s">
        <v>1700</v>
      </c>
      <c r="G478" s="492" t="s">
        <v>4157</v>
      </c>
      <c r="H478" s="492" t="s">
        <v>1700</v>
      </c>
      <c r="I478" s="492" t="s">
        <v>4157</v>
      </c>
      <c r="J478" s="492" t="s">
        <v>4158</v>
      </c>
      <c r="K478" s="492" t="s">
        <v>1756</v>
      </c>
      <c r="L478" s="492" t="s">
        <v>2783</v>
      </c>
      <c r="M478" s="493" t="s">
        <v>1230</v>
      </c>
      <c r="N478" s="493" t="s">
        <v>1232</v>
      </c>
      <c r="O478" s="492" t="s">
        <v>1231</v>
      </c>
      <c r="P478" s="492" t="s">
        <v>469</v>
      </c>
      <c r="Q478" s="494">
        <v>44454</v>
      </c>
      <c r="R478" s="494">
        <v>44819</v>
      </c>
      <c r="S478" s="495">
        <v>1.5</v>
      </c>
      <c r="T478" s="495"/>
      <c r="U478" s="496">
        <v>531571</v>
      </c>
      <c r="V478" s="496">
        <v>531571</v>
      </c>
      <c r="W478" s="496">
        <v>531571</v>
      </c>
      <c r="X478" s="496">
        <f t="shared" si="36"/>
        <v>0</v>
      </c>
      <c r="Y478" s="496">
        <f t="shared" si="37"/>
        <v>0</v>
      </c>
      <c r="Z478" s="496">
        <v>255054.95</v>
      </c>
      <c r="AA478" s="496">
        <v>379178.91</v>
      </c>
      <c r="AB478" s="496">
        <v>379178.91</v>
      </c>
      <c r="AC478" s="496">
        <f t="shared" si="38"/>
        <v>124123.95999999996</v>
      </c>
      <c r="AD478" s="496">
        <f t="shared" si="39"/>
        <v>0</v>
      </c>
      <c r="AE478" s="496">
        <v>0</v>
      </c>
      <c r="AF478" s="496">
        <v>152392.09</v>
      </c>
      <c r="AG478" s="497" t="s">
        <v>1245</v>
      </c>
      <c r="AH478" s="497" t="s">
        <v>1357</v>
      </c>
      <c r="AI478" s="497"/>
      <c r="AJ478" s="497" t="s">
        <v>1246</v>
      </c>
      <c r="AK478" s="497" t="s">
        <v>1235</v>
      </c>
      <c r="AL478" s="491"/>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row>
    <row r="479" spans="1:80" ht="18" customHeight="1" x14ac:dyDescent="0.25">
      <c r="A479" s="486">
        <f t="shared" si="35"/>
        <v>477</v>
      </c>
      <c r="B479" s="486" t="s">
        <v>4161</v>
      </c>
      <c r="C479" s="486">
        <v>1100000238</v>
      </c>
      <c r="D479" s="486" t="s">
        <v>5111</v>
      </c>
      <c r="E479" s="486" t="s">
        <v>1703</v>
      </c>
      <c r="F479" s="486" t="s">
        <v>2681</v>
      </c>
      <c r="G479" s="486" t="s">
        <v>2763</v>
      </c>
      <c r="H479" s="485" t="s">
        <v>2681</v>
      </c>
      <c r="I479" s="486" t="s">
        <v>2763</v>
      </c>
      <c r="J479" s="486" t="s">
        <v>4160</v>
      </c>
      <c r="K479" s="486" t="s">
        <v>1281</v>
      </c>
      <c r="L479" s="486" t="s">
        <v>2783</v>
      </c>
      <c r="M479" s="486" t="s">
        <v>1230</v>
      </c>
      <c r="N479" s="486" t="s">
        <v>1231</v>
      </c>
      <c r="O479" s="486" t="s">
        <v>1232</v>
      </c>
      <c r="P479" s="486" t="s">
        <v>1156</v>
      </c>
      <c r="Q479" s="487">
        <v>44455</v>
      </c>
      <c r="R479" s="487">
        <v>46281</v>
      </c>
      <c r="S479" s="488">
        <v>1</v>
      </c>
      <c r="T479" s="488"/>
      <c r="U479" s="489">
        <v>4000000</v>
      </c>
      <c r="V479" s="489">
        <v>4000000</v>
      </c>
      <c r="W479" s="489">
        <v>4000000</v>
      </c>
      <c r="X479" s="489">
        <f t="shared" si="36"/>
        <v>0</v>
      </c>
      <c r="Y479" s="489">
        <f t="shared" si="37"/>
        <v>0</v>
      </c>
      <c r="Z479" s="489">
        <v>0</v>
      </c>
      <c r="AA479" s="489">
        <v>0</v>
      </c>
      <c r="AB479" s="489">
        <v>0</v>
      </c>
      <c r="AC479" s="489">
        <f t="shared" si="38"/>
        <v>0</v>
      </c>
      <c r="AD479" s="489">
        <f t="shared" si="39"/>
        <v>0</v>
      </c>
      <c r="AE479" s="489">
        <v>4000000</v>
      </c>
      <c r="AF479" s="489">
        <v>0</v>
      </c>
      <c r="AG479" s="490" t="s">
        <v>1237</v>
      </c>
      <c r="AH479" s="490" t="s">
        <v>1305</v>
      </c>
      <c r="AI479" s="490"/>
      <c r="AJ479" s="490" t="s">
        <v>1304</v>
      </c>
      <c r="AK479" s="490" t="s">
        <v>1260</v>
      </c>
      <c r="AL479" s="491"/>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c r="BV479"/>
      <c r="BW479"/>
      <c r="BX479"/>
      <c r="BY479"/>
      <c r="BZ479"/>
      <c r="CA479"/>
      <c r="CB479"/>
    </row>
    <row r="480" spans="1:80" ht="18" customHeight="1" x14ac:dyDescent="0.25">
      <c r="A480" s="486">
        <f t="shared" si="35"/>
        <v>478</v>
      </c>
      <c r="B480" s="486" t="s">
        <v>4162</v>
      </c>
      <c r="C480" s="486">
        <v>1100000236</v>
      </c>
      <c r="D480" s="486" t="s">
        <v>5112</v>
      </c>
      <c r="E480" s="486" t="s">
        <v>1703</v>
      </c>
      <c r="F480" s="486" t="s">
        <v>2681</v>
      </c>
      <c r="G480" s="486" t="s">
        <v>2763</v>
      </c>
      <c r="H480" s="485" t="s">
        <v>2681</v>
      </c>
      <c r="I480" s="486" t="s">
        <v>2763</v>
      </c>
      <c r="J480" s="486" t="s">
        <v>4160</v>
      </c>
      <c r="K480" s="486" t="s">
        <v>1756</v>
      </c>
      <c r="L480" s="486" t="s">
        <v>2783</v>
      </c>
      <c r="M480" s="486" t="s">
        <v>1230</v>
      </c>
      <c r="N480" s="486" t="s">
        <v>1231</v>
      </c>
      <c r="O480" s="486" t="s">
        <v>1232</v>
      </c>
      <c r="P480" s="486" t="s">
        <v>1156</v>
      </c>
      <c r="Q480" s="487">
        <v>44455</v>
      </c>
      <c r="R480" s="487">
        <v>46281</v>
      </c>
      <c r="S480" s="488">
        <v>1</v>
      </c>
      <c r="T480" s="488"/>
      <c r="U480" s="489">
        <v>6750000</v>
      </c>
      <c r="V480" s="489">
        <v>6750000</v>
      </c>
      <c r="W480" s="489">
        <v>6750000</v>
      </c>
      <c r="X480" s="489">
        <f t="shared" si="36"/>
        <v>0</v>
      </c>
      <c r="Y480" s="489">
        <f t="shared" si="37"/>
        <v>0</v>
      </c>
      <c r="Z480" s="489">
        <v>6750000</v>
      </c>
      <c r="AA480" s="489">
        <v>6750000</v>
      </c>
      <c r="AB480" s="489">
        <v>6750000</v>
      </c>
      <c r="AC480" s="489">
        <f t="shared" si="38"/>
        <v>0</v>
      </c>
      <c r="AD480" s="489">
        <f t="shared" si="39"/>
        <v>0</v>
      </c>
      <c r="AE480" s="489">
        <v>0</v>
      </c>
      <c r="AF480" s="489">
        <v>0</v>
      </c>
      <c r="AG480" s="490" t="s">
        <v>1237</v>
      </c>
      <c r="AH480" s="490" t="s">
        <v>1305</v>
      </c>
      <c r="AI480" s="490"/>
      <c r="AJ480" s="490" t="s">
        <v>1304</v>
      </c>
      <c r="AK480" s="490" t="s">
        <v>1260</v>
      </c>
      <c r="AL480" s="491"/>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row>
    <row r="481" spans="1:80" ht="18" customHeight="1" x14ac:dyDescent="0.25">
      <c r="A481" s="486">
        <f t="shared" si="35"/>
        <v>479</v>
      </c>
      <c r="B481" s="486" t="s">
        <v>4163</v>
      </c>
      <c r="C481" s="486">
        <v>1100000237</v>
      </c>
      <c r="D481" s="486" t="s">
        <v>5113</v>
      </c>
      <c r="E481" s="486" t="s">
        <v>1703</v>
      </c>
      <c r="F481" s="486" t="s">
        <v>2681</v>
      </c>
      <c r="G481" s="486" t="s">
        <v>2763</v>
      </c>
      <c r="H481" s="485" t="s">
        <v>2681</v>
      </c>
      <c r="I481" s="486" t="s">
        <v>2763</v>
      </c>
      <c r="J481" s="486" t="s">
        <v>4160</v>
      </c>
      <c r="K481" s="486" t="s">
        <v>1756</v>
      </c>
      <c r="L481" s="486" t="s">
        <v>2783</v>
      </c>
      <c r="M481" s="486" t="s">
        <v>1230</v>
      </c>
      <c r="N481" s="486" t="s">
        <v>1231</v>
      </c>
      <c r="O481" s="486" t="s">
        <v>1232</v>
      </c>
      <c r="P481" s="486" t="s">
        <v>1156</v>
      </c>
      <c r="Q481" s="487">
        <v>44455</v>
      </c>
      <c r="R481" s="487">
        <v>46281</v>
      </c>
      <c r="S481" s="488">
        <v>1</v>
      </c>
      <c r="T481" s="488"/>
      <c r="U481" s="489">
        <v>7500000</v>
      </c>
      <c r="V481" s="489">
        <v>7500000</v>
      </c>
      <c r="W481" s="489">
        <v>7500000</v>
      </c>
      <c r="X481" s="489">
        <f t="shared" si="36"/>
        <v>0</v>
      </c>
      <c r="Y481" s="489">
        <f t="shared" si="37"/>
        <v>0</v>
      </c>
      <c r="Z481" s="489">
        <v>7500000</v>
      </c>
      <c r="AA481" s="489">
        <v>7500000</v>
      </c>
      <c r="AB481" s="489">
        <v>7500000</v>
      </c>
      <c r="AC481" s="489">
        <f t="shared" si="38"/>
        <v>0</v>
      </c>
      <c r="AD481" s="489">
        <f t="shared" si="39"/>
        <v>0</v>
      </c>
      <c r="AE481" s="489">
        <v>0</v>
      </c>
      <c r="AF481" s="489">
        <v>0</v>
      </c>
      <c r="AG481" s="490" t="s">
        <v>1237</v>
      </c>
      <c r="AH481" s="490" t="s">
        <v>1305</v>
      </c>
      <c r="AI481" s="490"/>
      <c r="AJ481" s="490" t="s">
        <v>1304</v>
      </c>
      <c r="AK481" s="490" t="s">
        <v>1260</v>
      </c>
      <c r="AL481" s="49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c r="BV481"/>
      <c r="BW481"/>
      <c r="BX481"/>
      <c r="BY481"/>
      <c r="BZ481"/>
      <c r="CA481"/>
      <c r="CB481"/>
    </row>
    <row r="482" spans="1:80" ht="18" customHeight="1" x14ac:dyDescent="0.25">
      <c r="A482" s="486">
        <f t="shared" si="35"/>
        <v>480</v>
      </c>
      <c r="B482" s="486" t="s">
        <v>4166</v>
      </c>
      <c r="C482" s="486">
        <v>4100000238</v>
      </c>
      <c r="D482" s="486" t="s">
        <v>5114</v>
      </c>
      <c r="E482" s="486" t="s">
        <v>1713</v>
      </c>
      <c r="F482" s="486" t="s">
        <v>1712</v>
      </c>
      <c r="G482" s="486" t="s">
        <v>4164</v>
      </c>
      <c r="H482" s="485" t="s">
        <v>2593</v>
      </c>
      <c r="I482" s="486" t="s">
        <v>3229</v>
      </c>
      <c r="J482" s="486" t="s">
        <v>4165</v>
      </c>
      <c r="K482" s="486" t="s">
        <v>1756</v>
      </c>
      <c r="L482" s="486" t="s">
        <v>2783</v>
      </c>
      <c r="M482" s="486" t="s">
        <v>1230</v>
      </c>
      <c r="N482" s="486" t="s">
        <v>1231</v>
      </c>
      <c r="O482" s="486" t="s">
        <v>1232</v>
      </c>
      <c r="P482" s="486" t="s">
        <v>469</v>
      </c>
      <c r="Q482" s="487">
        <v>44461</v>
      </c>
      <c r="R482" s="487">
        <v>45239</v>
      </c>
      <c r="S482" s="488">
        <v>0.35</v>
      </c>
      <c r="T482" s="488"/>
      <c r="U482" s="489">
        <v>808080</v>
      </c>
      <c r="V482" s="489">
        <v>808080</v>
      </c>
      <c r="W482" s="489">
        <v>808080</v>
      </c>
      <c r="X482" s="489">
        <f t="shared" si="36"/>
        <v>0</v>
      </c>
      <c r="Y482" s="489">
        <f t="shared" si="37"/>
        <v>0</v>
      </c>
      <c r="Z482" s="489">
        <v>808080</v>
      </c>
      <c r="AA482" s="489">
        <v>808080</v>
      </c>
      <c r="AB482" s="489">
        <v>808080</v>
      </c>
      <c r="AC482" s="489">
        <f t="shared" si="38"/>
        <v>0</v>
      </c>
      <c r="AD482" s="489">
        <f t="shared" si="39"/>
        <v>0</v>
      </c>
      <c r="AE482" s="489">
        <v>0</v>
      </c>
      <c r="AF482" s="489">
        <v>0</v>
      </c>
      <c r="AG482" s="490" t="s">
        <v>1250</v>
      </c>
      <c r="AH482" s="490" t="s">
        <v>1252</v>
      </c>
      <c r="AI482" s="490" t="s">
        <v>1269</v>
      </c>
      <c r="AJ482" s="490" t="s">
        <v>1234</v>
      </c>
      <c r="AK482" s="490" t="s">
        <v>1251</v>
      </c>
      <c r="AL482" s="491"/>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row>
    <row r="483" spans="1:80" ht="18" customHeight="1" x14ac:dyDescent="0.25">
      <c r="A483" s="486">
        <f t="shared" si="35"/>
        <v>481</v>
      </c>
      <c r="B483" s="486" t="s">
        <v>4169</v>
      </c>
      <c r="C483" s="486">
        <v>2100000266</v>
      </c>
      <c r="D483" s="486" t="s">
        <v>5115</v>
      </c>
      <c r="E483" s="486" t="s">
        <v>1711</v>
      </c>
      <c r="F483" s="486" t="s">
        <v>1710</v>
      </c>
      <c r="G483" s="486" t="s">
        <v>4167</v>
      </c>
      <c r="H483" s="485" t="s">
        <v>2625</v>
      </c>
      <c r="I483" s="486" t="s">
        <v>3567</v>
      </c>
      <c r="J483" s="486" t="s">
        <v>4168</v>
      </c>
      <c r="K483" s="486" t="s">
        <v>1756</v>
      </c>
      <c r="L483" s="486" t="s">
        <v>2783</v>
      </c>
      <c r="M483" s="486" t="s">
        <v>1307</v>
      </c>
      <c r="N483" s="486" t="s">
        <v>1231</v>
      </c>
      <c r="O483" s="486" t="s">
        <v>1231</v>
      </c>
      <c r="P483" s="486" t="s">
        <v>469</v>
      </c>
      <c r="Q483" s="487">
        <v>44462</v>
      </c>
      <c r="R483" s="487">
        <v>45264</v>
      </c>
      <c r="S483" s="488">
        <v>1.5</v>
      </c>
      <c r="T483" s="488"/>
      <c r="U483" s="489">
        <v>11286374</v>
      </c>
      <c r="V483" s="489">
        <v>11286374</v>
      </c>
      <c r="W483" s="489">
        <v>11256264.65</v>
      </c>
      <c r="X483" s="489">
        <f t="shared" si="36"/>
        <v>-30109.349999999627</v>
      </c>
      <c r="Y483" s="489">
        <f t="shared" si="37"/>
        <v>-30109.349999999627</v>
      </c>
      <c r="Z483" s="489">
        <v>0</v>
      </c>
      <c r="AA483" s="489">
        <v>308931.95</v>
      </c>
      <c r="AB483" s="489">
        <v>278822.59999999998</v>
      </c>
      <c r="AC483" s="489">
        <f t="shared" si="38"/>
        <v>278822.59999999998</v>
      </c>
      <c r="AD483" s="489">
        <f t="shared" si="39"/>
        <v>-30109.350000000035</v>
      </c>
      <c r="AE483" s="489">
        <v>0</v>
      </c>
      <c r="AF483" s="489">
        <v>10977442.050000001</v>
      </c>
      <c r="AG483" s="490" t="s">
        <v>1245</v>
      </c>
      <c r="AH483" s="490" t="s">
        <v>1247</v>
      </c>
      <c r="AI483" s="490" t="s">
        <v>1248</v>
      </c>
      <c r="AJ483" s="490" t="s">
        <v>1246</v>
      </c>
      <c r="AK483" s="490" t="s">
        <v>1235</v>
      </c>
      <c r="AL483" s="491"/>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row>
    <row r="484" spans="1:80" ht="18" customHeight="1" x14ac:dyDescent="0.25">
      <c r="A484" s="486">
        <f t="shared" si="35"/>
        <v>482</v>
      </c>
      <c r="B484" s="486" t="s">
        <v>4173</v>
      </c>
      <c r="C484" s="486">
        <v>4100000239</v>
      </c>
      <c r="D484" s="486" t="s">
        <v>5116</v>
      </c>
      <c r="E484" s="486" t="s">
        <v>1709</v>
      </c>
      <c r="F484" s="486" t="s">
        <v>4172</v>
      </c>
      <c r="G484" s="486" t="s">
        <v>4170</v>
      </c>
      <c r="H484" s="485" t="s">
        <v>2660</v>
      </c>
      <c r="I484" s="486" t="s">
        <v>3963</v>
      </c>
      <c r="J484" s="486" t="s">
        <v>4171</v>
      </c>
      <c r="K484" s="486" t="s">
        <v>1756</v>
      </c>
      <c r="L484" s="486" t="s">
        <v>2783</v>
      </c>
      <c r="M484" s="486" t="s">
        <v>1230</v>
      </c>
      <c r="N484" s="486" t="s">
        <v>1231</v>
      </c>
      <c r="O484" s="486" t="s">
        <v>1232</v>
      </c>
      <c r="P484" s="486" t="s">
        <v>469</v>
      </c>
      <c r="Q484" s="487">
        <v>44463</v>
      </c>
      <c r="R484" s="487">
        <v>45559</v>
      </c>
      <c r="S484" s="488">
        <v>1</v>
      </c>
      <c r="T484" s="488"/>
      <c r="U484" s="489">
        <v>7000000</v>
      </c>
      <c r="V484" s="489">
        <v>7000000</v>
      </c>
      <c r="W484" s="489">
        <v>7000000</v>
      </c>
      <c r="X484" s="489">
        <f t="shared" si="36"/>
        <v>0</v>
      </c>
      <c r="Y484" s="489">
        <f t="shared" si="37"/>
        <v>0</v>
      </c>
      <c r="Z484" s="489">
        <v>7000000</v>
      </c>
      <c r="AA484" s="489">
        <v>7000000</v>
      </c>
      <c r="AB484" s="489">
        <v>7000000</v>
      </c>
      <c r="AC484" s="489">
        <f t="shared" si="38"/>
        <v>0</v>
      </c>
      <c r="AD484" s="489">
        <f t="shared" si="39"/>
        <v>0</v>
      </c>
      <c r="AE484" s="489">
        <v>0</v>
      </c>
      <c r="AF484" s="489">
        <v>0</v>
      </c>
      <c r="AG484" s="490" t="s">
        <v>1250</v>
      </c>
      <c r="AH484" s="490" t="s">
        <v>1298</v>
      </c>
      <c r="AI484" s="490"/>
      <c r="AJ484" s="490" t="s">
        <v>1234</v>
      </c>
      <c r="AK484" s="490" t="s">
        <v>1278</v>
      </c>
      <c r="AL484" s="491"/>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row>
    <row r="485" spans="1:80" ht="18" customHeight="1" x14ac:dyDescent="0.25">
      <c r="A485" s="486">
        <f t="shared" si="35"/>
        <v>483</v>
      </c>
      <c r="B485" s="486" t="s">
        <v>4176</v>
      </c>
      <c r="C485" s="486">
        <v>2100000267</v>
      </c>
      <c r="D485" s="486" t="s">
        <v>5117</v>
      </c>
      <c r="E485" s="486" t="s">
        <v>1717</v>
      </c>
      <c r="F485" s="486" t="s">
        <v>1716</v>
      </c>
      <c r="G485" s="486" t="s">
        <v>4174</v>
      </c>
      <c r="H485" s="485" t="s">
        <v>2605</v>
      </c>
      <c r="I485" s="486" t="s">
        <v>3388</v>
      </c>
      <c r="J485" s="486" t="s">
        <v>4175</v>
      </c>
      <c r="K485" s="486" t="s">
        <v>1756</v>
      </c>
      <c r="L485" s="486" t="s">
        <v>2783</v>
      </c>
      <c r="M485" s="486" t="s">
        <v>1230</v>
      </c>
      <c r="N485" s="486" t="s">
        <v>1231</v>
      </c>
      <c r="O485" s="486" t="s">
        <v>1231</v>
      </c>
      <c r="P485" s="486" t="s">
        <v>469</v>
      </c>
      <c r="Q485" s="487">
        <v>44463</v>
      </c>
      <c r="R485" s="487">
        <v>45009</v>
      </c>
      <c r="S485" s="488">
        <v>1.5</v>
      </c>
      <c r="T485" s="488"/>
      <c r="U485" s="489">
        <v>2313750</v>
      </c>
      <c r="V485" s="489">
        <v>2313750</v>
      </c>
      <c r="W485" s="489">
        <v>2313750</v>
      </c>
      <c r="X485" s="489">
        <f t="shared" si="36"/>
        <v>0</v>
      </c>
      <c r="Y485" s="489">
        <f t="shared" si="37"/>
        <v>0</v>
      </c>
      <c r="Z485" s="489">
        <v>1891585.01</v>
      </c>
      <c r="AA485" s="489">
        <v>1891585.01</v>
      </c>
      <c r="AB485" s="489">
        <v>1901975.77</v>
      </c>
      <c r="AC485" s="489">
        <f t="shared" si="38"/>
        <v>10390.760000000009</v>
      </c>
      <c r="AD485" s="489">
        <f t="shared" si="39"/>
        <v>10390.760000000009</v>
      </c>
      <c r="AE485" s="489">
        <v>0</v>
      </c>
      <c r="AF485" s="489">
        <v>411774.23</v>
      </c>
      <c r="AG485" s="490" t="s">
        <v>1245</v>
      </c>
      <c r="AH485" s="490" t="s">
        <v>1247</v>
      </c>
      <c r="AI485" s="490" t="s">
        <v>1248</v>
      </c>
      <c r="AJ485" s="490" t="s">
        <v>1246</v>
      </c>
      <c r="AK485" s="490" t="s">
        <v>1235</v>
      </c>
      <c r="AL485" s="491"/>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row>
    <row r="486" spans="1:80" ht="18" customHeight="1" x14ac:dyDescent="0.25">
      <c r="A486" s="486">
        <f t="shared" si="35"/>
        <v>484</v>
      </c>
      <c r="B486" s="486" t="s">
        <v>4177</v>
      </c>
      <c r="C486" s="486">
        <v>2100000271</v>
      </c>
      <c r="D486" s="486" t="s">
        <v>5118</v>
      </c>
      <c r="E486" s="486" t="s">
        <v>1339</v>
      </c>
      <c r="F486" s="486" t="s">
        <v>2569</v>
      </c>
      <c r="G486" s="486" t="s">
        <v>3023</v>
      </c>
      <c r="H486" s="485" t="s">
        <v>2569</v>
      </c>
      <c r="I486" s="486" t="s">
        <v>3023</v>
      </c>
      <c r="J486" s="486" t="s">
        <v>3024</v>
      </c>
      <c r="K486" s="486" t="s">
        <v>1756</v>
      </c>
      <c r="L486" s="486" t="s">
        <v>2783</v>
      </c>
      <c r="M486" s="486" t="s">
        <v>1230</v>
      </c>
      <c r="N486" s="486" t="s">
        <v>1231</v>
      </c>
      <c r="O486" s="486" t="s">
        <v>1231</v>
      </c>
      <c r="P486" s="486" t="s">
        <v>469</v>
      </c>
      <c r="Q486" s="487">
        <v>44469</v>
      </c>
      <c r="R486" s="487">
        <v>44840</v>
      </c>
      <c r="S486" s="488">
        <v>1.5</v>
      </c>
      <c r="T486" s="488"/>
      <c r="U486" s="489">
        <v>1606180</v>
      </c>
      <c r="V486" s="489">
        <v>1606180</v>
      </c>
      <c r="W486" s="489">
        <v>1606180</v>
      </c>
      <c r="X486" s="489">
        <f t="shared" si="36"/>
        <v>0</v>
      </c>
      <c r="Y486" s="489">
        <f t="shared" si="37"/>
        <v>0</v>
      </c>
      <c r="Z486" s="489">
        <v>1011256.51</v>
      </c>
      <c r="AA486" s="489">
        <v>1016873.84</v>
      </c>
      <c r="AB486" s="489">
        <v>1016873.84</v>
      </c>
      <c r="AC486" s="489">
        <f t="shared" si="38"/>
        <v>5617.3299999999581</v>
      </c>
      <c r="AD486" s="489">
        <f t="shared" si="39"/>
        <v>0</v>
      </c>
      <c r="AE486" s="489">
        <v>0</v>
      </c>
      <c r="AF486" s="489">
        <v>589306.16</v>
      </c>
      <c r="AG486" s="490" t="s">
        <v>1245</v>
      </c>
      <c r="AH486" s="490" t="s">
        <v>1247</v>
      </c>
      <c r="AI486" s="490" t="s">
        <v>1248</v>
      </c>
      <c r="AJ486" s="490" t="s">
        <v>1246</v>
      </c>
      <c r="AK486" s="490" t="s">
        <v>1235</v>
      </c>
      <c r="AL486" s="491"/>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c r="BV486"/>
      <c r="BW486"/>
      <c r="BX486"/>
      <c r="BY486"/>
      <c r="BZ486"/>
      <c r="CA486"/>
      <c r="CB486"/>
    </row>
    <row r="487" spans="1:80" ht="18" customHeight="1" x14ac:dyDescent="0.25">
      <c r="A487" s="486">
        <f t="shared" si="35"/>
        <v>485</v>
      </c>
      <c r="B487" s="486" t="s">
        <v>4181</v>
      </c>
      <c r="C487" s="486">
        <v>2100000270</v>
      </c>
      <c r="D487" s="486" t="s">
        <v>5119</v>
      </c>
      <c r="E487" s="486" t="s">
        <v>1707</v>
      </c>
      <c r="F487" s="486" t="s">
        <v>1706</v>
      </c>
      <c r="G487" s="486" t="s">
        <v>4178</v>
      </c>
      <c r="H487" s="485" t="s">
        <v>2682</v>
      </c>
      <c r="I487" s="486" t="s">
        <v>4179</v>
      </c>
      <c r="J487" s="486" t="s">
        <v>4180</v>
      </c>
      <c r="K487" s="486" t="s">
        <v>1756</v>
      </c>
      <c r="L487" s="486" t="s">
        <v>2783</v>
      </c>
      <c r="M487" s="486" t="s">
        <v>1230</v>
      </c>
      <c r="N487" s="486" t="s">
        <v>1231</v>
      </c>
      <c r="O487" s="486" t="s">
        <v>1231</v>
      </c>
      <c r="P487" s="486" t="s">
        <v>469</v>
      </c>
      <c r="Q487" s="487">
        <v>44469</v>
      </c>
      <c r="R487" s="487">
        <v>45062</v>
      </c>
      <c r="S487" s="488">
        <v>1.5</v>
      </c>
      <c r="T487" s="488"/>
      <c r="U487" s="489">
        <v>7404113</v>
      </c>
      <c r="V487" s="489">
        <v>7404113</v>
      </c>
      <c r="W487" s="489">
        <v>7404113</v>
      </c>
      <c r="X487" s="489">
        <f t="shared" si="36"/>
        <v>0</v>
      </c>
      <c r="Y487" s="489">
        <f t="shared" si="37"/>
        <v>0</v>
      </c>
      <c r="Z487" s="489">
        <v>784480.18</v>
      </c>
      <c r="AA487" s="489">
        <v>788891.54</v>
      </c>
      <c r="AB487" s="489">
        <v>788891.54</v>
      </c>
      <c r="AC487" s="489">
        <f t="shared" si="38"/>
        <v>4411.359999999986</v>
      </c>
      <c r="AD487" s="489">
        <f t="shared" si="39"/>
        <v>0</v>
      </c>
      <c r="AE487" s="489">
        <v>0</v>
      </c>
      <c r="AF487" s="489">
        <v>6615221.46</v>
      </c>
      <c r="AG487" s="490" t="s">
        <v>1245</v>
      </c>
      <c r="AH487" s="490" t="s">
        <v>1236</v>
      </c>
      <c r="AI487" s="490" t="s">
        <v>1708</v>
      </c>
      <c r="AJ487" s="490" t="s">
        <v>1246</v>
      </c>
      <c r="AK487" s="490" t="s">
        <v>1235</v>
      </c>
      <c r="AL487" s="491"/>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row>
    <row r="488" spans="1:80" ht="18" customHeight="1" x14ac:dyDescent="0.25">
      <c r="A488" s="486">
        <f t="shared" si="35"/>
        <v>486</v>
      </c>
      <c r="B488" s="486" t="s">
        <v>4184</v>
      </c>
      <c r="C488" s="486">
        <v>2100000272</v>
      </c>
      <c r="D488" s="486" t="s">
        <v>5120</v>
      </c>
      <c r="E488" s="486" t="s">
        <v>1715</v>
      </c>
      <c r="F488" s="486" t="s">
        <v>1714</v>
      </c>
      <c r="G488" s="486" t="s">
        <v>4182</v>
      </c>
      <c r="H488" s="485" t="s">
        <v>1501</v>
      </c>
      <c r="I488" s="486" t="s">
        <v>4127</v>
      </c>
      <c r="J488" s="486" t="s">
        <v>4183</v>
      </c>
      <c r="K488" s="486" t="s">
        <v>1756</v>
      </c>
      <c r="L488" s="486" t="s">
        <v>2783</v>
      </c>
      <c r="M488" s="486" t="s">
        <v>1230</v>
      </c>
      <c r="N488" s="486" t="s">
        <v>1231</v>
      </c>
      <c r="O488" s="486" t="s">
        <v>1231</v>
      </c>
      <c r="P488" s="486" t="s">
        <v>469</v>
      </c>
      <c r="Q488" s="487">
        <v>44469</v>
      </c>
      <c r="R488" s="487">
        <v>44834</v>
      </c>
      <c r="S488" s="488">
        <v>1.5</v>
      </c>
      <c r="T488" s="488"/>
      <c r="U488" s="489">
        <v>1596000</v>
      </c>
      <c r="V488" s="489">
        <v>1596000</v>
      </c>
      <c r="W488" s="489">
        <v>1596000</v>
      </c>
      <c r="X488" s="489">
        <f t="shared" si="36"/>
        <v>0</v>
      </c>
      <c r="Y488" s="489">
        <f t="shared" si="37"/>
        <v>0</v>
      </c>
      <c r="Z488" s="489">
        <v>1449605.59</v>
      </c>
      <c r="AA488" s="489">
        <v>1449605.59</v>
      </c>
      <c r="AB488" s="489">
        <v>1459087.6</v>
      </c>
      <c r="AC488" s="489">
        <f t="shared" si="38"/>
        <v>9482.0100000000093</v>
      </c>
      <c r="AD488" s="489">
        <f t="shared" si="39"/>
        <v>9482.0100000000093</v>
      </c>
      <c r="AE488" s="489">
        <v>0</v>
      </c>
      <c r="AF488" s="489">
        <v>136912.4</v>
      </c>
      <c r="AG488" s="490" t="s">
        <v>1245</v>
      </c>
      <c r="AH488" s="490" t="s">
        <v>1242</v>
      </c>
      <c r="AI488" s="490" t="s">
        <v>1317</v>
      </c>
      <c r="AJ488" s="490" t="s">
        <v>1246</v>
      </c>
      <c r="AK488" s="490" t="s">
        <v>1235</v>
      </c>
      <c r="AL488" s="491"/>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row>
    <row r="489" spans="1:80" ht="18" customHeight="1" x14ac:dyDescent="0.25">
      <c r="A489" s="486">
        <f t="shared" si="35"/>
        <v>487</v>
      </c>
      <c r="B489" s="486" t="s">
        <v>4188</v>
      </c>
      <c r="C489" s="486">
        <v>2100000273</v>
      </c>
      <c r="D489" s="486" t="s">
        <v>5121</v>
      </c>
      <c r="E489" s="486" t="s">
        <v>1719</v>
      </c>
      <c r="F489" s="486" t="s">
        <v>1718</v>
      </c>
      <c r="G489" s="486" t="s">
        <v>4185</v>
      </c>
      <c r="H489" s="485" t="s">
        <v>2683</v>
      </c>
      <c r="I489" s="486" t="s">
        <v>4186</v>
      </c>
      <c r="J489" s="486" t="s">
        <v>4187</v>
      </c>
      <c r="K489" s="486" t="s">
        <v>1756</v>
      </c>
      <c r="L489" s="486" t="s">
        <v>2783</v>
      </c>
      <c r="M489" s="486" t="s">
        <v>1230</v>
      </c>
      <c r="N489" s="486" t="s">
        <v>1231</v>
      </c>
      <c r="O489" s="486" t="s">
        <v>1231</v>
      </c>
      <c r="P489" s="486" t="s">
        <v>469</v>
      </c>
      <c r="Q489" s="487">
        <v>44469</v>
      </c>
      <c r="R489" s="487">
        <v>45229</v>
      </c>
      <c r="S489" s="488">
        <v>1.5</v>
      </c>
      <c r="T489" s="488"/>
      <c r="U489" s="489">
        <v>4698849</v>
      </c>
      <c r="V489" s="489">
        <v>4698849</v>
      </c>
      <c r="W489" s="489">
        <v>4698849</v>
      </c>
      <c r="X489" s="489">
        <f t="shared" si="36"/>
        <v>0</v>
      </c>
      <c r="Y489" s="489">
        <f t="shared" si="37"/>
        <v>0</v>
      </c>
      <c r="Z489" s="489">
        <v>1948777.8</v>
      </c>
      <c r="AA489" s="489">
        <v>2322376.44</v>
      </c>
      <c r="AB489" s="489">
        <v>2336014.86</v>
      </c>
      <c r="AC489" s="489">
        <f t="shared" si="38"/>
        <v>387237.05999999982</v>
      </c>
      <c r="AD489" s="489">
        <f t="shared" si="39"/>
        <v>13638.419999999925</v>
      </c>
      <c r="AE489" s="489">
        <v>0</v>
      </c>
      <c r="AF489" s="489">
        <v>2362834.14</v>
      </c>
      <c r="AG489" s="490" t="s">
        <v>1245</v>
      </c>
      <c r="AH489" s="490" t="s">
        <v>1357</v>
      </c>
      <c r="AI489" s="490"/>
      <c r="AJ489" s="490" t="s">
        <v>1246</v>
      </c>
      <c r="AK489" s="490" t="s">
        <v>1235</v>
      </c>
      <c r="AL489" s="491"/>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c r="BV489"/>
      <c r="BW489"/>
      <c r="BX489"/>
      <c r="BY489"/>
      <c r="BZ489"/>
      <c r="CA489"/>
      <c r="CB489"/>
    </row>
    <row r="490" spans="1:80" ht="18" customHeight="1" x14ac:dyDescent="0.25">
      <c r="A490" s="486">
        <f t="shared" si="35"/>
        <v>488</v>
      </c>
      <c r="B490" s="486" t="s">
        <v>2293</v>
      </c>
      <c r="C490" s="486">
        <v>1100000241</v>
      </c>
      <c r="D490" s="486" t="s">
        <v>5122</v>
      </c>
      <c r="E490" s="486" t="s">
        <v>4191</v>
      </c>
      <c r="F490" s="486" t="s">
        <v>4192</v>
      </c>
      <c r="G490" s="486" t="s">
        <v>4189</v>
      </c>
      <c r="H490" s="485" t="s">
        <v>2683</v>
      </c>
      <c r="I490" s="486" t="s">
        <v>4186</v>
      </c>
      <c r="J490" s="486" t="s">
        <v>4190</v>
      </c>
      <c r="K490" s="486" t="s">
        <v>1756</v>
      </c>
      <c r="L490" s="486" t="s">
        <v>2783</v>
      </c>
      <c r="M490" s="486" t="s">
        <v>1230</v>
      </c>
      <c r="N490" s="486" t="s">
        <v>1231</v>
      </c>
      <c r="O490" s="486" t="s">
        <v>1232</v>
      </c>
      <c r="P490" s="486" t="s">
        <v>1156</v>
      </c>
      <c r="Q490" s="487">
        <v>44469</v>
      </c>
      <c r="R490" s="487">
        <v>46321</v>
      </c>
      <c r="S490" s="488">
        <v>1</v>
      </c>
      <c r="T490" s="488"/>
      <c r="U490" s="489">
        <v>4964987</v>
      </c>
      <c r="V490" s="489">
        <v>4964987</v>
      </c>
      <c r="W490" s="489">
        <v>4953225</v>
      </c>
      <c r="X490" s="489">
        <f t="shared" si="36"/>
        <v>-11762</v>
      </c>
      <c r="Y490" s="489">
        <f t="shared" si="37"/>
        <v>-11762</v>
      </c>
      <c r="Z490" s="489">
        <v>4964987</v>
      </c>
      <c r="AA490" s="489">
        <v>4964987</v>
      </c>
      <c r="AB490" s="489">
        <v>4953225</v>
      </c>
      <c r="AC490" s="489">
        <f t="shared" si="38"/>
        <v>-11762</v>
      </c>
      <c r="AD490" s="489">
        <f t="shared" si="39"/>
        <v>-11762</v>
      </c>
      <c r="AE490" s="489">
        <v>0</v>
      </c>
      <c r="AF490" s="489">
        <v>0</v>
      </c>
      <c r="AG490" s="490" t="s">
        <v>1237</v>
      </c>
      <c r="AH490" s="490" t="s">
        <v>1357</v>
      </c>
      <c r="AI490" s="490"/>
      <c r="AJ490" s="490" t="s">
        <v>1363</v>
      </c>
      <c r="AK490" s="490" t="s">
        <v>1260</v>
      </c>
      <c r="AL490" s="491"/>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c r="BV490"/>
      <c r="BW490"/>
      <c r="BX490"/>
      <c r="BY490"/>
      <c r="BZ490"/>
      <c r="CA490"/>
      <c r="CB490"/>
    </row>
    <row r="491" spans="1:80" ht="18" customHeight="1" x14ac:dyDescent="0.25">
      <c r="A491" s="486">
        <f t="shared" si="35"/>
        <v>489</v>
      </c>
      <c r="B491" s="486" t="s">
        <v>2294</v>
      </c>
      <c r="C491" s="486">
        <v>1100000242</v>
      </c>
      <c r="D491" s="486" t="s">
        <v>5123</v>
      </c>
      <c r="E491" s="486" t="s">
        <v>4191</v>
      </c>
      <c r="F491" s="486" t="s">
        <v>4194</v>
      </c>
      <c r="G491" s="486" t="s">
        <v>4193</v>
      </c>
      <c r="H491" s="485" t="s">
        <v>2683</v>
      </c>
      <c r="I491" s="486" t="s">
        <v>4186</v>
      </c>
      <c r="J491" s="486" t="s">
        <v>4190</v>
      </c>
      <c r="K491" s="486" t="s">
        <v>1756</v>
      </c>
      <c r="L491" s="486" t="s">
        <v>2783</v>
      </c>
      <c r="M491" s="486" t="s">
        <v>1230</v>
      </c>
      <c r="N491" s="486" t="s">
        <v>1231</v>
      </c>
      <c r="O491" s="486" t="s">
        <v>1232</v>
      </c>
      <c r="P491" s="486" t="s">
        <v>1156</v>
      </c>
      <c r="Q491" s="487">
        <v>44469</v>
      </c>
      <c r="R491" s="487">
        <v>46321</v>
      </c>
      <c r="S491" s="488">
        <v>1</v>
      </c>
      <c r="T491" s="488"/>
      <c r="U491" s="489">
        <v>1695102</v>
      </c>
      <c r="V491" s="489">
        <v>1695102</v>
      </c>
      <c r="W491" s="489">
        <v>1691086</v>
      </c>
      <c r="X491" s="489">
        <f t="shared" si="36"/>
        <v>-4016</v>
      </c>
      <c r="Y491" s="489">
        <f t="shared" si="37"/>
        <v>-4016</v>
      </c>
      <c r="Z491" s="489">
        <v>1695102</v>
      </c>
      <c r="AA491" s="489">
        <v>1695102</v>
      </c>
      <c r="AB491" s="489">
        <v>1691086</v>
      </c>
      <c r="AC491" s="489">
        <f t="shared" si="38"/>
        <v>-4016</v>
      </c>
      <c r="AD491" s="489">
        <f t="shared" si="39"/>
        <v>-4016</v>
      </c>
      <c r="AE491" s="489">
        <v>0</v>
      </c>
      <c r="AF491" s="489">
        <v>0</v>
      </c>
      <c r="AG491" s="490" t="s">
        <v>1237</v>
      </c>
      <c r="AH491" s="490" t="s">
        <v>1357</v>
      </c>
      <c r="AI491" s="490"/>
      <c r="AJ491" s="490" t="s">
        <v>1363</v>
      </c>
      <c r="AK491" s="490" t="s">
        <v>1260</v>
      </c>
      <c r="AL491" s="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c r="BV491"/>
      <c r="BW491"/>
      <c r="BX491"/>
      <c r="BY491"/>
      <c r="BZ491"/>
      <c r="CA491"/>
      <c r="CB491"/>
    </row>
    <row r="492" spans="1:80" ht="18" customHeight="1" x14ac:dyDescent="0.25">
      <c r="A492" s="486">
        <f t="shared" si="35"/>
        <v>490</v>
      </c>
      <c r="B492" s="486" t="s">
        <v>2298</v>
      </c>
      <c r="C492" s="486">
        <v>1100000243</v>
      </c>
      <c r="D492" s="486" t="s">
        <v>5124</v>
      </c>
      <c r="E492" s="486" t="s">
        <v>4191</v>
      </c>
      <c r="F492" s="486" t="s">
        <v>4196</v>
      </c>
      <c r="G492" s="486" t="s">
        <v>4195</v>
      </c>
      <c r="H492" s="485" t="s">
        <v>2683</v>
      </c>
      <c r="I492" s="486" t="s">
        <v>4186</v>
      </c>
      <c r="J492" s="486" t="s">
        <v>4190</v>
      </c>
      <c r="K492" s="486" t="s">
        <v>1756</v>
      </c>
      <c r="L492" s="486" t="s">
        <v>2783</v>
      </c>
      <c r="M492" s="486" t="s">
        <v>1230</v>
      </c>
      <c r="N492" s="486" t="s">
        <v>1231</v>
      </c>
      <c r="O492" s="486" t="s">
        <v>1232</v>
      </c>
      <c r="P492" s="486" t="s">
        <v>1156</v>
      </c>
      <c r="Q492" s="487">
        <v>44469</v>
      </c>
      <c r="R492" s="487">
        <v>46321</v>
      </c>
      <c r="S492" s="488">
        <v>1</v>
      </c>
      <c r="T492" s="488"/>
      <c r="U492" s="489">
        <v>3704020</v>
      </c>
      <c r="V492" s="489">
        <v>3704020</v>
      </c>
      <c r="W492" s="489">
        <v>3695245</v>
      </c>
      <c r="X492" s="489">
        <f t="shared" si="36"/>
        <v>-8775</v>
      </c>
      <c r="Y492" s="489">
        <f t="shared" si="37"/>
        <v>-8775</v>
      </c>
      <c r="Z492" s="489">
        <v>3704020</v>
      </c>
      <c r="AA492" s="489">
        <v>3704020</v>
      </c>
      <c r="AB492" s="489">
        <v>3695245</v>
      </c>
      <c r="AC492" s="489">
        <f t="shared" si="38"/>
        <v>-8775</v>
      </c>
      <c r="AD492" s="489">
        <f t="shared" si="39"/>
        <v>-8775</v>
      </c>
      <c r="AE492" s="489">
        <v>0</v>
      </c>
      <c r="AF492" s="489">
        <v>0</v>
      </c>
      <c r="AG492" s="490" t="s">
        <v>1237</v>
      </c>
      <c r="AH492" s="490" t="s">
        <v>1357</v>
      </c>
      <c r="AI492" s="490"/>
      <c r="AJ492" s="490" t="s">
        <v>1363</v>
      </c>
      <c r="AK492" s="490" t="s">
        <v>1260</v>
      </c>
      <c r="AL492" s="491"/>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c r="BV492"/>
      <c r="BW492"/>
      <c r="BX492"/>
      <c r="BY492"/>
      <c r="BZ492"/>
      <c r="CA492"/>
      <c r="CB492"/>
    </row>
    <row r="493" spans="1:80" ht="18" customHeight="1" x14ac:dyDescent="0.25">
      <c r="A493" s="486">
        <f t="shared" si="35"/>
        <v>491</v>
      </c>
      <c r="B493" s="486" t="s">
        <v>2296</v>
      </c>
      <c r="C493" s="486">
        <v>1100000245</v>
      </c>
      <c r="D493" s="486" t="s">
        <v>5125</v>
      </c>
      <c r="E493" s="486" t="s">
        <v>4191</v>
      </c>
      <c r="F493" s="486" t="s">
        <v>4198</v>
      </c>
      <c r="G493" s="486" t="s">
        <v>4197</v>
      </c>
      <c r="H493" s="485" t="s">
        <v>2683</v>
      </c>
      <c r="I493" s="486" t="s">
        <v>4186</v>
      </c>
      <c r="J493" s="486" t="s">
        <v>4190</v>
      </c>
      <c r="K493" s="486" t="s">
        <v>1756</v>
      </c>
      <c r="L493" s="486" t="s">
        <v>2783</v>
      </c>
      <c r="M493" s="486" t="s">
        <v>1230</v>
      </c>
      <c r="N493" s="486" t="s">
        <v>1231</v>
      </c>
      <c r="O493" s="486" t="s">
        <v>1232</v>
      </c>
      <c r="P493" s="486" t="s">
        <v>1156</v>
      </c>
      <c r="Q493" s="487">
        <v>44469</v>
      </c>
      <c r="R493" s="487">
        <v>46321</v>
      </c>
      <c r="S493" s="488">
        <v>1</v>
      </c>
      <c r="T493" s="488"/>
      <c r="U493" s="489">
        <v>2383856</v>
      </c>
      <c r="V493" s="489">
        <v>2383856</v>
      </c>
      <c r="W493" s="489">
        <v>2378209</v>
      </c>
      <c r="X493" s="489">
        <f t="shared" si="36"/>
        <v>-5647</v>
      </c>
      <c r="Y493" s="489">
        <f t="shared" si="37"/>
        <v>-5647</v>
      </c>
      <c r="Z493" s="489">
        <v>2383856</v>
      </c>
      <c r="AA493" s="489">
        <v>2383856</v>
      </c>
      <c r="AB493" s="489">
        <v>2378209</v>
      </c>
      <c r="AC493" s="489">
        <f t="shared" si="38"/>
        <v>-5647</v>
      </c>
      <c r="AD493" s="489">
        <f t="shared" si="39"/>
        <v>-5647</v>
      </c>
      <c r="AE493" s="489">
        <v>0</v>
      </c>
      <c r="AF493" s="489">
        <v>0</v>
      </c>
      <c r="AG493" s="490" t="s">
        <v>1237</v>
      </c>
      <c r="AH493" s="490" t="s">
        <v>1357</v>
      </c>
      <c r="AI493" s="490"/>
      <c r="AJ493" s="490" t="s">
        <v>1363</v>
      </c>
      <c r="AK493" s="490" t="s">
        <v>1260</v>
      </c>
      <c r="AL493" s="491"/>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row>
    <row r="494" spans="1:80" ht="18" customHeight="1" x14ac:dyDescent="0.25">
      <c r="A494" s="486">
        <f t="shared" si="35"/>
        <v>492</v>
      </c>
      <c r="B494" s="486" t="s">
        <v>2295</v>
      </c>
      <c r="C494" s="486">
        <v>1100000244</v>
      </c>
      <c r="D494" s="486" t="s">
        <v>5126</v>
      </c>
      <c r="E494" s="486" t="s">
        <v>4191</v>
      </c>
      <c r="F494" s="486" t="s">
        <v>4200</v>
      </c>
      <c r="G494" s="486" t="s">
        <v>4199</v>
      </c>
      <c r="H494" s="485" t="s">
        <v>2683</v>
      </c>
      <c r="I494" s="486" t="s">
        <v>4186</v>
      </c>
      <c r="J494" s="486" t="s">
        <v>4190</v>
      </c>
      <c r="K494" s="486" t="s">
        <v>1756</v>
      </c>
      <c r="L494" s="486" t="s">
        <v>2783</v>
      </c>
      <c r="M494" s="486" t="s">
        <v>1230</v>
      </c>
      <c r="N494" s="486" t="s">
        <v>1231</v>
      </c>
      <c r="O494" s="486" t="s">
        <v>1232</v>
      </c>
      <c r="P494" s="486" t="s">
        <v>1156</v>
      </c>
      <c r="Q494" s="487">
        <v>44469</v>
      </c>
      <c r="R494" s="487">
        <v>46321</v>
      </c>
      <c r="S494" s="488">
        <v>1</v>
      </c>
      <c r="T494" s="488"/>
      <c r="U494" s="489">
        <v>2886554</v>
      </c>
      <c r="V494" s="489">
        <v>2886554</v>
      </c>
      <c r="W494" s="489">
        <v>2879716</v>
      </c>
      <c r="X494" s="489">
        <f t="shared" si="36"/>
        <v>-6838</v>
      </c>
      <c r="Y494" s="489">
        <f t="shared" si="37"/>
        <v>-6838</v>
      </c>
      <c r="Z494" s="489">
        <v>2886554</v>
      </c>
      <c r="AA494" s="489">
        <v>2886554</v>
      </c>
      <c r="AB494" s="489">
        <v>2879716</v>
      </c>
      <c r="AC494" s="489">
        <f t="shared" si="38"/>
        <v>-6838</v>
      </c>
      <c r="AD494" s="489">
        <f t="shared" si="39"/>
        <v>-6838</v>
      </c>
      <c r="AE494" s="489">
        <v>0</v>
      </c>
      <c r="AF494" s="489">
        <v>0</v>
      </c>
      <c r="AG494" s="490" t="s">
        <v>1237</v>
      </c>
      <c r="AH494" s="490" t="s">
        <v>1357</v>
      </c>
      <c r="AI494" s="490"/>
      <c r="AJ494" s="490" t="s">
        <v>1363</v>
      </c>
      <c r="AK494" s="490" t="s">
        <v>1260</v>
      </c>
      <c r="AL494" s="491"/>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row>
    <row r="495" spans="1:80" ht="18" customHeight="1" x14ac:dyDescent="0.25">
      <c r="A495" s="486">
        <f t="shared" si="35"/>
        <v>493</v>
      </c>
      <c r="B495" s="486" t="s">
        <v>4205</v>
      </c>
      <c r="C495" s="486">
        <v>5100000138</v>
      </c>
      <c r="D495" s="486" t="s">
        <v>5127</v>
      </c>
      <c r="E495" s="486" t="s">
        <v>1720</v>
      </c>
      <c r="F495" s="486" t="s">
        <v>4204</v>
      </c>
      <c r="G495" s="486" t="s">
        <v>4201</v>
      </c>
      <c r="H495" s="485" t="s">
        <v>4204</v>
      </c>
      <c r="I495" s="486" t="s">
        <v>4202</v>
      </c>
      <c r="J495" s="486" t="s">
        <v>4203</v>
      </c>
      <c r="K495" s="486" t="s">
        <v>1756</v>
      </c>
      <c r="L495" s="486" t="s">
        <v>2783</v>
      </c>
      <c r="M495" s="486" t="s">
        <v>1230</v>
      </c>
      <c r="N495" s="525" t="s">
        <v>1231</v>
      </c>
      <c r="O495" s="486" t="s">
        <v>1232</v>
      </c>
      <c r="P495" s="486" t="s">
        <v>469</v>
      </c>
      <c r="Q495" s="487">
        <v>44469</v>
      </c>
      <c r="R495" s="487">
        <v>44834</v>
      </c>
      <c r="S495" s="488">
        <v>1</v>
      </c>
      <c r="T495" s="488"/>
      <c r="U495" s="489">
        <v>3625469.86</v>
      </c>
      <c r="V495" s="489">
        <v>2375073.87</v>
      </c>
      <c r="W495" s="489">
        <v>998204.78</v>
      </c>
      <c r="X495" s="489">
        <f t="shared" si="36"/>
        <v>-2627265.08</v>
      </c>
      <c r="Y495" s="489">
        <f t="shared" si="37"/>
        <v>-1376869.09</v>
      </c>
      <c r="Z495" s="489">
        <v>3489246.86</v>
      </c>
      <c r="AA495" s="489">
        <v>2255700.52</v>
      </c>
      <c r="AB495" s="489">
        <v>878831.43</v>
      </c>
      <c r="AC495" s="489">
        <f t="shared" si="38"/>
        <v>-2610415.4299999997</v>
      </c>
      <c r="AD495" s="489">
        <f t="shared" si="39"/>
        <v>-1376869.0899999999</v>
      </c>
      <c r="AE495" s="489">
        <v>0</v>
      </c>
      <c r="AF495" s="489">
        <v>119373.35</v>
      </c>
      <c r="AG495" s="490" t="s">
        <v>1288</v>
      </c>
      <c r="AH495" s="490" t="s">
        <v>1252</v>
      </c>
      <c r="AI495" s="490" t="s">
        <v>1248</v>
      </c>
      <c r="AJ495" s="490" t="s">
        <v>1234</v>
      </c>
      <c r="AK495" s="490" t="s">
        <v>1278</v>
      </c>
      <c r="AL495" s="491"/>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c r="BV495"/>
      <c r="BW495"/>
      <c r="BX495"/>
      <c r="BY495"/>
      <c r="BZ495"/>
      <c r="CA495"/>
      <c r="CB495"/>
    </row>
    <row r="496" spans="1:80" ht="18" customHeight="1" x14ac:dyDescent="0.25">
      <c r="A496" s="492">
        <f t="shared" si="35"/>
        <v>494</v>
      </c>
      <c r="B496" s="492" t="s">
        <v>4208</v>
      </c>
      <c r="C496" s="492">
        <v>4100000240</v>
      </c>
      <c r="D496" s="492" t="s">
        <v>5128</v>
      </c>
      <c r="E496" s="492" t="s">
        <v>1734</v>
      </c>
      <c r="F496" s="492" t="s">
        <v>1733</v>
      </c>
      <c r="G496" s="492" t="s">
        <v>4206</v>
      </c>
      <c r="H496" s="492" t="s">
        <v>1733</v>
      </c>
      <c r="I496" s="492" t="s">
        <v>4206</v>
      </c>
      <c r="J496" s="492" t="s">
        <v>4207</v>
      </c>
      <c r="K496" s="492" t="s">
        <v>1756</v>
      </c>
      <c r="L496" s="492" t="s">
        <v>2783</v>
      </c>
      <c r="M496" s="493" t="s">
        <v>1230</v>
      </c>
      <c r="N496" s="493" t="s">
        <v>1232</v>
      </c>
      <c r="O496" s="492" t="s">
        <v>1232</v>
      </c>
      <c r="P496" s="492" t="s">
        <v>469</v>
      </c>
      <c r="Q496" s="494">
        <v>44481</v>
      </c>
      <c r="R496" s="494">
        <v>45943</v>
      </c>
      <c r="S496" s="495">
        <v>1</v>
      </c>
      <c r="T496" s="495"/>
      <c r="U496" s="496">
        <v>8000000</v>
      </c>
      <c r="V496" s="496">
        <v>7975260</v>
      </c>
      <c r="W496" s="496">
        <v>7975260</v>
      </c>
      <c r="X496" s="496">
        <f t="shared" si="36"/>
        <v>-24740</v>
      </c>
      <c r="Y496" s="496">
        <f t="shared" si="37"/>
        <v>0</v>
      </c>
      <c r="Z496" s="496">
        <v>8000000</v>
      </c>
      <c r="AA496" s="496">
        <v>7975260</v>
      </c>
      <c r="AB496" s="496">
        <v>7975260</v>
      </c>
      <c r="AC496" s="496">
        <f t="shared" si="38"/>
        <v>-24740</v>
      </c>
      <c r="AD496" s="496">
        <f t="shared" si="39"/>
        <v>0</v>
      </c>
      <c r="AE496" s="496">
        <v>0</v>
      </c>
      <c r="AF496" s="496">
        <v>0</v>
      </c>
      <c r="AG496" s="497" t="s">
        <v>1250</v>
      </c>
      <c r="AH496" s="497" t="s">
        <v>1291</v>
      </c>
      <c r="AI496" s="497" t="s">
        <v>1317</v>
      </c>
      <c r="AJ496" s="497" t="s">
        <v>1234</v>
      </c>
      <c r="AK496" s="497" t="s">
        <v>1240</v>
      </c>
      <c r="AL496" s="491"/>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row>
    <row r="497" spans="1:80" ht="18" customHeight="1" x14ac:dyDescent="0.25">
      <c r="A497" s="486">
        <f t="shared" si="35"/>
        <v>495</v>
      </c>
      <c r="B497" s="486" t="s">
        <v>4211</v>
      </c>
      <c r="C497" s="486">
        <v>4100000243</v>
      </c>
      <c r="D497" s="486" t="s">
        <v>5129</v>
      </c>
      <c r="E497" s="486" t="s">
        <v>1736</v>
      </c>
      <c r="F497" s="486" t="s">
        <v>1735</v>
      </c>
      <c r="G497" s="486" t="s">
        <v>4209</v>
      </c>
      <c r="H497" s="485" t="s">
        <v>2684</v>
      </c>
      <c r="I497" s="486" t="s">
        <v>2792</v>
      </c>
      <c r="J497" s="486" t="s">
        <v>4210</v>
      </c>
      <c r="K497" s="486" t="s">
        <v>1756</v>
      </c>
      <c r="L497" s="486" t="s">
        <v>2783</v>
      </c>
      <c r="M497" s="486" t="s">
        <v>1230</v>
      </c>
      <c r="N497" s="486" t="s">
        <v>1231</v>
      </c>
      <c r="O497" s="486" t="s">
        <v>1232</v>
      </c>
      <c r="P497" s="486" t="s">
        <v>469</v>
      </c>
      <c r="Q497" s="487">
        <v>44498</v>
      </c>
      <c r="R497" s="487">
        <v>46345</v>
      </c>
      <c r="S497" s="488">
        <v>1</v>
      </c>
      <c r="T497" s="488"/>
      <c r="U497" s="489">
        <v>3835875.46</v>
      </c>
      <c r="V497" s="489">
        <v>3831185.22</v>
      </c>
      <c r="W497" s="489">
        <v>3831185.22</v>
      </c>
      <c r="X497" s="489">
        <f t="shared" si="36"/>
        <v>-4690.2399999997579</v>
      </c>
      <c r="Y497" s="489">
        <f t="shared" si="37"/>
        <v>0</v>
      </c>
      <c r="Z497" s="489">
        <v>3835875.46</v>
      </c>
      <c r="AA497" s="489">
        <v>3831185.22</v>
      </c>
      <c r="AB497" s="489">
        <v>3831185.22</v>
      </c>
      <c r="AC497" s="489">
        <f t="shared" si="38"/>
        <v>-4690.2399999997579</v>
      </c>
      <c r="AD497" s="489">
        <f t="shared" si="39"/>
        <v>0</v>
      </c>
      <c r="AE497" s="489">
        <v>0</v>
      </c>
      <c r="AF497" s="489">
        <v>0</v>
      </c>
      <c r="AG497" s="490" t="s">
        <v>1250</v>
      </c>
      <c r="AH497" s="490" t="s">
        <v>1252</v>
      </c>
      <c r="AI497" s="490" t="s">
        <v>1256</v>
      </c>
      <c r="AJ497" s="490" t="s">
        <v>1234</v>
      </c>
      <c r="AK497" s="490" t="s">
        <v>1278</v>
      </c>
      <c r="AL497" s="491"/>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c r="BV497"/>
      <c r="BW497"/>
      <c r="BX497"/>
      <c r="BY497"/>
      <c r="BZ497"/>
      <c r="CA497"/>
      <c r="CB497"/>
    </row>
    <row r="498" spans="1:80" ht="18" customHeight="1" x14ac:dyDescent="0.25">
      <c r="A498" s="486">
        <f t="shared" si="35"/>
        <v>496</v>
      </c>
      <c r="B498" s="486" t="s">
        <v>5130</v>
      </c>
      <c r="C498" s="486">
        <v>2100000276</v>
      </c>
      <c r="D498" s="486" t="s">
        <v>5131</v>
      </c>
      <c r="E498" s="486" t="s">
        <v>1737</v>
      </c>
      <c r="F498" s="486" t="s">
        <v>1501</v>
      </c>
      <c r="G498" s="486" t="s">
        <v>4127</v>
      </c>
      <c r="H498" s="485" t="s">
        <v>1501</v>
      </c>
      <c r="I498" s="486" t="s">
        <v>4127</v>
      </c>
      <c r="J498" s="486" t="s">
        <v>4212</v>
      </c>
      <c r="K498" s="486" t="s">
        <v>1281</v>
      </c>
      <c r="L498" s="486" t="s">
        <v>2783</v>
      </c>
      <c r="M498" s="486" t="s">
        <v>1230</v>
      </c>
      <c r="N498" s="486" t="s">
        <v>1231</v>
      </c>
      <c r="O498" s="486" t="s">
        <v>1231</v>
      </c>
      <c r="P498" s="486" t="s">
        <v>469</v>
      </c>
      <c r="Q498" s="487">
        <v>44498</v>
      </c>
      <c r="R498" s="487">
        <v>45594</v>
      </c>
      <c r="S498" s="488">
        <v>1.5</v>
      </c>
      <c r="T498" s="488"/>
      <c r="U498" s="489">
        <v>20000000</v>
      </c>
      <c r="V498" s="489">
        <v>20000000</v>
      </c>
      <c r="W498" s="489">
        <v>20000000</v>
      </c>
      <c r="X498" s="489">
        <f t="shared" si="36"/>
        <v>0</v>
      </c>
      <c r="Y498" s="489">
        <f t="shared" si="37"/>
        <v>0</v>
      </c>
      <c r="Z498" s="489">
        <v>0</v>
      </c>
      <c r="AA498" s="489">
        <v>0</v>
      </c>
      <c r="AB498" s="489">
        <v>0</v>
      </c>
      <c r="AC498" s="489">
        <f t="shared" si="38"/>
        <v>0</v>
      </c>
      <c r="AD498" s="489">
        <f t="shared" si="39"/>
        <v>0</v>
      </c>
      <c r="AE498" s="489">
        <v>0</v>
      </c>
      <c r="AF498" s="489">
        <v>20000000</v>
      </c>
      <c r="AG498" s="490" t="s">
        <v>1245</v>
      </c>
      <c r="AH498" s="490" t="s">
        <v>1242</v>
      </c>
      <c r="AI498" s="490" t="s">
        <v>1317</v>
      </c>
      <c r="AJ498" s="490" t="s">
        <v>1246</v>
      </c>
      <c r="AK498" s="490" t="s">
        <v>1235</v>
      </c>
      <c r="AL498" s="491"/>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row>
    <row r="499" spans="1:80" ht="18" customHeight="1" x14ac:dyDescent="0.25">
      <c r="A499" s="492">
        <f t="shared" si="35"/>
        <v>497</v>
      </c>
      <c r="B499" s="492" t="s">
        <v>4215</v>
      </c>
      <c r="C499" s="492">
        <v>6100000209</v>
      </c>
      <c r="D499" s="492" t="s">
        <v>5132</v>
      </c>
      <c r="E499" s="492" t="s">
        <v>1800</v>
      </c>
      <c r="F499" s="492" t="s">
        <v>1799</v>
      </c>
      <c r="G499" s="492" t="s">
        <v>4213</v>
      </c>
      <c r="H499" s="492" t="s">
        <v>1799</v>
      </c>
      <c r="I499" s="492" t="s">
        <v>4213</v>
      </c>
      <c r="J499" s="492" t="s">
        <v>4214</v>
      </c>
      <c r="K499" s="492" t="s">
        <v>1756</v>
      </c>
      <c r="L499" s="492" t="s">
        <v>2783</v>
      </c>
      <c r="M499" s="493" t="s">
        <v>1230</v>
      </c>
      <c r="N499" s="493" t="s">
        <v>1232</v>
      </c>
      <c r="O499" s="492" t="s">
        <v>1232</v>
      </c>
      <c r="P499" s="492" t="s">
        <v>469</v>
      </c>
      <c r="Q499" s="494">
        <v>44502</v>
      </c>
      <c r="R499" s="494">
        <v>45232</v>
      </c>
      <c r="S499" s="495" t="s">
        <v>4216</v>
      </c>
      <c r="T499" s="495"/>
      <c r="U499" s="496">
        <v>7500000</v>
      </c>
      <c r="V499" s="496">
        <v>7500000</v>
      </c>
      <c r="W499" s="496">
        <v>7500000</v>
      </c>
      <c r="X499" s="496">
        <f t="shared" si="36"/>
        <v>0</v>
      </c>
      <c r="Y499" s="496">
        <f t="shared" si="37"/>
        <v>0</v>
      </c>
      <c r="Z499" s="496">
        <v>7500000</v>
      </c>
      <c r="AA499" s="496">
        <v>7500000</v>
      </c>
      <c r="AB499" s="496">
        <v>7500000</v>
      </c>
      <c r="AC499" s="496">
        <f t="shared" si="38"/>
        <v>0</v>
      </c>
      <c r="AD499" s="496">
        <f t="shared" si="39"/>
        <v>0</v>
      </c>
      <c r="AE499" s="496">
        <v>0</v>
      </c>
      <c r="AF499" s="496">
        <v>0</v>
      </c>
      <c r="AG499" s="497" t="s">
        <v>1888</v>
      </c>
      <c r="AH499" s="497" t="s">
        <v>1888</v>
      </c>
      <c r="AI499" s="497" t="s">
        <v>1342</v>
      </c>
      <c r="AJ499" s="497" t="s">
        <v>1234</v>
      </c>
      <c r="AK499" s="497" t="s">
        <v>1240</v>
      </c>
      <c r="AL499" s="491"/>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row>
    <row r="500" spans="1:80" ht="18" customHeight="1" x14ac:dyDescent="0.25">
      <c r="A500" s="492">
        <f t="shared" si="35"/>
        <v>498</v>
      </c>
      <c r="B500" s="492" t="s">
        <v>2384</v>
      </c>
      <c r="C500" s="492">
        <v>4100000244</v>
      </c>
      <c r="D500" s="492" t="s">
        <v>5133</v>
      </c>
      <c r="E500" s="492" t="s">
        <v>1798</v>
      </c>
      <c r="F500" s="492" t="s">
        <v>1797</v>
      </c>
      <c r="G500" s="492" t="s">
        <v>4217</v>
      </c>
      <c r="H500" s="492" t="s">
        <v>1797</v>
      </c>
      <c r="I500" s="492" t="s">
        <v>4217</v>
      </c>
      <c r="J500" s="492" t="s">
        <v>4218</v>
      </c>
      <c r="K500" s="492" t="s">
        <v>1756</v>
      </c>
      <c r="L500" s="492" t="s">
        <v>2783</v>
      </c>
      <c r="M500" s="493" t="s">
        <v>1230</v>
      </c>
      <c r="N500" s="493" t="s">
        <v>1232</v>
      </c>
      <c r="O500" s="492" t="s">
        <v>1232</v>
      </c>
      <c r="P500" s="492" t="s">
        <v>469</v>
      </c>
      <c r="Q500" s="494">
        <v>44505</v>
      </c>
      <c r="R500" s="494">
        <v>46331</v>
      </c>
      <c r="S500" s="495" t="s">
        <v>4216</v>
      </c>
      <c r="T500" s="495"/>
      <c r="U500" s="496">
        <v>1242500</v>
      </c>
      <c r="V500" s="496">
        <v>1235000</v>
      </c>
      <c r="W500" s="496">
        <v>1235000</v>
      </c>
      <c r="X500" s="496">
        <f t="shared" si="36"/>
        <v>-7500</v>
      </c>
      <c r="Y500" s="496">
        <f t="shared" si="37"/>
        <v>0</v>
      </c>
      <c r="Z500" s="496">
        <v>1242500</v>
      </c>
      <c r="AA500" s="496">
        <v>1235000</v>
      </c>
      <c r="AB500" s="496">
        <v>1235000</v>
      </c>
      <c r="AC500" s="496">
        <f t="shared" si="38"/>
        <v>-7500</v>
      </c>
      <c r="AD500" s="496">
        <f t="shared" si="39"/>
        <v>0</v>
      </c>
      <c r="AE500" s="496">
        <v>0</v>
      </c>
      <c r="AF500" s="496">
        <v>0</v>
      </c>
      <c r="AG500" s="497" t="s">
        <v>1250</v>
      </c>
      <c r="AH500" s="497" t="s">
        <v>1291</v>
      </c>
      <c r="AI500" s="497" t="s">
        <v>1268</v>
      </c>
      <c r="AJ500" s="497" t="s">
        <v>1234</v>
      </c>
      <c r="AK500" s="497" t="s">
        <v>1240</v>
      </c>
      <c r="AL500" s="491"/>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row>
    <row r="501" spans="1:80" ht="18" customHeight="1" x14ac:dyDescent="0.25">
      <c r="A501" s="492">
        <f t="shared" si="35"/>
        <v>499</v>
      </c>
      <c r="B501" s="492" t="s">
        <v>4222</v>
      </c>
      <c r="C501" s="492">
        <v>4100000245</v>
      </c>
      <c r="D501" s="492" t="s">
        <v>5134</v>
      </c>
      <c r="E501" s="492" t="s">
        <v>1496</v>
      </c>
      <c r="F501" s="492" t="s">
        <v>4221</v>
      </c>
      <c r="G501" s="492" t="s">
        <v>4219</v>
      </c>
      <c r="H501" s="492" t="s">
        <v>4221</v>
      </c>
      <c r="I501" s="492" t="s">
        <v>4219</v>
      </c>
      <c r="J501" s="492" t="s">
        <v>4220</v>
      </c>
      <c r="K501" s="492" t="s">
        <v>1756</v>
      </c>
      <c r="L501" s="492" t="s">
        <v>2783</v>
      </c>
      <c r="M501" s="493" t="s">
        <v>1230</v>
      </c>
      <c r="N501" s="493" t="s">
        <v>1232</v>
      </c>
      <c r="O501" s="492" t="s">
        <v>1232</v>
      </c>
      <c r="P501" s="492" t="s">
        <v>469</v>
      </c>
      <c r="Q501" s="494">
        <v>44508</v>
      </c>
      <c r="R501" s="494">
        <v>46335</v>
      </c>
      <c r="S501" s="495" t="s">
        <v>4223</v>
      </c>
      <c r="T501" s="495"/>
      <c r="U501" s="496">
        <v>2720568.5</v>
      </c>
      <c r="V501" s="496">
        <v>2716828.06</v>
      </c>
      <c r="W501" s="496">
        <v>2716828.06</v>
      </c>
      <c r="X501" s="496">
        <f t="shared" si="36"/>
        <v>-3740.4399999999441</v>
      </c>
      <c r="Y501" s="496">
        <f t="shared" si="37"/>
        <v>0</v>
      </c>
      <c r="Z501" s="496">
        <v>2720568.5</v>
      </c>
      <c r="AA501" s="496">
        <v>2716828.06</v>
      </c>
      <c r="AB501" s="496">
        <v>2716828.06</v>
      </c>
      <c r="AC501" s="496">
        <f t="shared" si="38"/>
        <v>-3740.4399999999441</v>
      </c>
      <c r="AD501" s="496">
        <f t="shared" si="39"/>
        <v>0</v>
      </c>
      <c r="AE501" s="496">
        <v>0</v>
      </c>
      <c r="AF501" s="496">
        <v>0</v>
      </c>
      <c r="AG501" s="497" t="s">
        <v>1250</v>
      </c>
      <c r="AH501" s="497" t="s">
        <v>1252</v>
      </c>
      <c r="AI501" s="497" t="s">
        <v>1248</v>
      </c>
      <c r="AJ501" s="497" t="s">
        <v>1234</v>
      </c>
      <c r="AK501" s="497" t="s">
        <v>1251</v>
      </c>
      <c r="AL501" s="49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row>
    <row r="502" spans="1:80" ht="18" customHeight="1" x14ac:dyDescent="0.25">
      <c r="A502" s="486">
        <f t="shared" si="35"/>
        <v>500</v>
      </c>
      <c r="B502" s="486" t="s">
        <v>4226</v>
      </c>
      <c r="C502" s="486">
        <v>1100000247</v>
      </c>
      <c r="D502" s="486" t="s">
        <v>5135</v>
      </c>
      <c r="E502" s="486" t="s">
        <v>1802</v>
      </c>
      <c r="F502" s="486" t="s">
        <v>1801</v>
      </c>
      <c r="G502" s="486" t="s">
        <v>4224</v>
      </c>
      <c r="H502" s="485" t="s">
        <v>1801</v>
      </c>
      <c r="I502" s="486" t="s">
        <v>4224</v>
      </c>
      <c r="J502" s="486" t="s">
        <v>4225</v>
      </c>
      <c r="K502" s="486" t="s">
        <v>1756</v>
      </c>
      <c r="L502" s="486" t="s">
        <v>2783</v>
      </c>
      <c r="M502" s="486" t="s">
        <v>1230</v>
      </c>
      <c r="N502" s="486" t="s">
        <v>1231</v>
      </c>
      <c r="O502" s="486" t="s">
        <v>1232</v>
      </c>
      <c r="P502" s="486" t="s">
        <v>1156</v>
      </c>
      <c r="Q502" s="487">
        <v>44515</v>
      </c>
      <c r="R502" s="487">
        <v>46342</v>
      </c>
      <c r="S502" s="488" t="s">
        <v>4227</v>
      </c>
      <c r="T502" s="488"/>
      <c r="U502" s="489">
        <v>840000</v>
      </c>
      <c r="V502" s="489">
        <v>840000</v>
      </c>
      <c r="W502" s="489">
        <v>840000</v>
      </c>
      <c r="X502" s="489">
        <f t="shared" si="36"/>
        <v>0</v>
      </c>
      <c r="Y502" s="489">
        <f t="shared" si="37"/>
        <v>0</v>
      </c>
      <c r="Z502" s="489">
        <v>0</v>
      </c>
      <c r="AA502" s="489">
        <v>0</v>
      </c>
      <c r="AB502" s="489">
        <v>0</v>
      </c>
      <c r="AC502" s="489">
        <f t="shared" si="38"/>
        <v>0</v>
      </c>
      <c r="AD502" s="489">
        <f t="shared" si="39"/>
        <v>0</v>
      </c>
      <c r="AE502" s="489">
        <v>0</v>
      </c>
      <c r="AF502" s="489">
        <v>840000</v>
      </c>
      <c r="AG502" s="490" t="s">
        <v>1237</v>
      </c>
      <c r="AH502" s="490" t="s">
        <v>1236</v>
      </c>
      <c r="AI502" s="490"/>
      <c r="AJ502" s="490" t="s">
        <v>1259</v>
      </c>
      <c r="AK502" s="490" t="s">
        <v>1235</v>
      </c>
      <c r="AL502" s="491"/>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row>
    <row r="503" spans="1:80" ht="18" customHeight="1" x14ac:dyDescent="0.25">
      <c r="A503" s="486">
        <f t="shared" si="35"/>
        <v>501</v>
      </c>
      <c r="B503" s="486" t="s">
        <v>4228</v>
      </c>
      <c r="C503" s="486">
        <v>1100000246</v>
      </c>
      <c r="D503" s="486" t="s">
        <v>5136</v>
      </c>
      <c r="E503" s="486" t="s">
        <v>1802</v>
      </c>
      <c r="F503" s="486" t="s">
        <v>1801</v>
      </c>
      <c r="G503" s="486" t="s">
        <v>4224</v>
      </c>
      <c r="H503" s="485" t="s">
        <v>1801</v>
      </c>
      <c r="I503" s="486" t="s">
        <v>4224</v>
      </c>
      <c r="J503" s="486" t="s">
        <v>4225</v>
      </c>
      <c r="K503" s="486" t="s">
        <v>1756</v>
      </c>
      <c r="L503" s="486" t="s">
        <v>2783</v>
      </c>
      <c r="M503" s="486" t="s">
        <v>1230</v>
      </c>
      <c r="N503" s="486" t="s">
        <v>1231</v>
      </c>
      <c r="O503" s="486" t="s">
        <v>1232</v>
      </c>
      <c r="P503" s="486" t="s">
        <v>1156</v>
      </c>
      <c r="Q503" s="487">
        <v>44515</v>
      </c>
      <c r="R503" s="487">
        <v>46342</v>
      </c>
      <c r="S503" s="488" t="s">
        <v>4216</v>
      </c>
      <c r="T503" s="488"/>
      <c r="U503" s="489">
        <v>4340292</v>
      </c>
      <c r="V503" s="489">
        <v>4340292</v>
      </c>
      <c r="W503" s="489">
        <v>4340292</v>
      </c>
      <c r="X503" s="489">
        <f t="shared" si="36"/>
        <v>0</v>
      </c>
      <c r="Y503" s="489">
        <f t="shared" si="37"/>
        <v>0</v>
      </c>
      <c r="Z503" s="489">
        <v>4340292</v>
      </c>
      <c r="AA503" s="489">
        <v>4340292</v>
      </c>
      <c r="AB503" s="489">
        <v>4340292</v>
      </c>
      <c r="AC503" s="489">
        <f t="shared" si="38"/>
        <v>0</v>
      </c>
      <c r="AD503" s="489">
        <f t="shared" si="39"/>
        <v>0</v>
      </c>
      <c r="AE503" s="489">
        <v>0</v>
      </c>
      <c r="AF503" s="489">
        <v>0</v>
      </c>
      <c r="AG503" s="490" t="s">
        <v>1237</v>
      </c>
      <c r="AH503" s="490" t="s">
        <v>1236</v>
      </c>
      <c r="AI503" s="490"/>
      <c r="AJ503" s="490" t="s">
        <v>1259</v>
      </c>
      <c r="AK503" s="490" t="s">
        <v>1260</v>
      </c>
      <c r="AL503" s="491"/>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c r="BV503"/>
      <c r="BW503"/>
      <c r="BX503"/>
      <c r="BY503"/>
      <c r="BZ503"/>
      <c r="CA503"/>
      <c r="CB503"/>
    </row>
    <row r="504" spans="1:80" ht="18" customHeight="1" x14ac:dyDescent="0.25">
      <c r="A504" s="485">
        <f t="shared" si="35"/>
        <v>502</v>
      </c>
      <c r="B504" s="485" t="s">
        <v>4229</v>
      </c>
      <c r="C504" s="485">
        <v>1100000248</v>
      </c>
      <c r="D504" s="485" t="s">
        <v>5137</v>
      </c>
      <c r="E504" s="485" t="s">
        <v>288</v>
      </c>
      <c r="F504" s="485" t="s">
        <v>992</v>
      </c>
      <c r="G504" s="485" t="s">
        <v>1082</v>
      </c>
      <c r="H504" s="485" t="s">
        <v>2561</v>
      </c>
      <c r="I504" s="485" t="s">
        <v>2958</v>
      </c>
      <c r="J504" s="485" t="s">
        <v>2959</v>
      </c>
      <c r="K504" s="485" t="s">
        <v>1756</v>
      </c>
      <c r="L504" s="485" t="s">
        <v>2783</v>
      </c>
      <c r="M504" s="486" t="s">
        <v>1230</v>
      </c>
      <c r="N504" s="486" t="s">
        <v>1231</v>
      </c>
      <c r="O504" s="485" t="s">
        <v>1232</v>
      </c>
      <c r="P504" s="485" t="s">
        <v>1156</v>
      </c>
      <c r="Q504" s="487">
        <v>44519</v>
      </c>
      <c r="R504" s="487">
        <v>45992</v>
      </c>
      <c r="S504" s="488">
        <v>1</v>
      </c>
      <c r="T504" s="488"/>
      <c r="U504" s="489">
        <v>17992725.920000002</v>
      </c>
      <c r="V504" s="489">
        <v>17992725.920000002</v>
      </c>
      <c r="W504" s="489">
        <v>17992725.920000002</v>
      </c>
      <c r="X504" s="489">
        <f t="shared" si="36"/>
        <v>0</v>
      </c>
      <c r="Y504" s="489">
        <f t="shared" si="37"/>
        <v>0</v>
      </c>
      <c r="Z504" s="489">
        <v>17992725.920000002</v>
      </c>
      <c r="AA504" s="489">
        <v>17992725.920000002</v>
      </c>
      <c r="AB504" s="489">
        <v>17992725.920000002</v>
      </c>
      <c r="AC504" s="489">
        <f t="shared" si="38"/>
        <v>0</v>
      </c>
      <c r="AD504" s="489">
        <f t="shared" si="39"/>
        <v>0</v>
      </c>
      <c r="AE504" s="489">
        <v>0</v>
      </c>
      <c r="AF504" s="489">
        <v>0</v>
      </c>
      <c r="AG504" s="490" t="s">
        <v>1237</v>
      </c>
      <c r="AH504" s="490" t="s">
        <v>1303</v>
      </c>
      <c r="AI504" s="490"/>
      <c r="AJ504" s="490" t="s">
        <v>1253</v>
      </c>
      <c r="AK504" s="490" t="s">
        <v>1260</v>
      </c>
      <c r="AL504" s="491"/>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c r="BV504"/>
      <c r="BW504"/>
      <c r="BX504"/>
      <c r="BY504"/>
      <c r="BZ504"/>
      <c r="CA504"/>
      <c r="CB504"/>
    </row>
    <row r="505" spans="1:80" ht="18" customHeight="1" x14ac:dyDescent="0.25">
      <c r="A505" s="485">
        <f t="shared" si="35"/>
        <v>503</v>
      </c>
      <c r="B505" s="485" t="s">
        <v>2421</v>
      </c>
      <c r="C505" s="485">
        <v>1100000249</v>
      </c>
      <c r="D505" s="485" t="s">
        <v>5138</v>
      </c>
      <c r="E505" s="485" t="s">
        <v>288</v>
      </c>
      <c r="F505" s="485" t="s">
        <v>992</v>
      </c>
      <c r="G505" s="485" t="s">
        <v>1082</v>
      </c>
      <c r="H505" s="485" t="s">
        <v>2561</v>
      </c>
      <c r="I505" s="485" t="s">
        <v>2958</v>
      </c>
      <c r="J505" s="485" t="s">
        <v>2959</v>
      </c>
      <c r="K505" s="485" t="s">
        <v>1756</v>
      </c>
      <c r="L505" s="485" t="s">
        <v>2783</v>
      </c>
      <c r="M505" s="486" t="s">
        <v>1230</v>
      </c>
      <c r="N505" s="486" t="s">
        <v>1231</v>
      </c>
      <c r="O505" s="485" t="s">
        <v>1232</v>
      </c>
      <c r="P505" s="485" t="s">
        <v>1156</v>
      </c>
      <c r="Q505" s="487">
        <v>44519</v>
      </c>
      <c r="R505" s="487">
        <v>45992</v>
      </c>
      <c r="S505" s="488">
        <v>1</v>
      </c>
      <c r="T505" s="488"/>
      <c r="U505" s="489">
        <v>2800000</v>
      </c>
      <c r="V505" s="489">
        <v>2800000</v>
      </c>
      <c r="W505" s="489">
        <v>2800000</v>
      </c>
      <c r="X505" s="489">
        <f t="shared" si="36"/>
        <v>0</v>
      </c>
      <c r="Y505" s="489">
        <f t="shared" si="37"/>
        <v>0</v>
      </c>
      <c r="Z505" s="489">
        <v>2800000</v>
      </c>
      <c r="AA505" s="489">
        <v>2800000</v>
      </c>
      <c r="AB505" s="489">
        <v>2800000</v>
      </c>
      <c r="AC505" s="489">
        <f t="shared" si="38"/>
        <v>0</v>
      </c>
      <c r="AD505" s="489">
        <f t="shared" si="39"/>
        <v>0</v>
      </c>
      <c r="AE505" s="489">
        <v>0</v>
      </c>
      <c r="AF505" s="489">
        <v>0</v>
      </c>
      <c r="AG505" s="490" t="s">
        <v>1237</v>
      </c>
      <c r="AH505" s="490" t="s">
        <v>1303</v>
      </c>
      <c r="AI505" s="490"/>
      <c r="AJ505" s="490" t="s">
        <v>1253</v>
      </c>
      <c r="AK505" s="490" t="s">
        <v>1260</v>
      </c>
      <c r="AL505" s="491"/>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row>
    <row r="506" spans="1:80" ht="18" customHeight="1" x14ac:dyDescent="0.25">
      <c r="A506" s="485">
        <f t="shared" si="35"/>
        <v>504</v>
      </c>
      <c r="B506" s="485" t="s">
        <v>2411</v>
      </c>
      <c r="C506" s="485">
        <v>1100000258</v>
      </c>
      <c r="D506" s="485" t="s">
        <v>5139</v>
      </c>
      <c r="E506" s="485" t="s">
        <v>288</v>
      </c>
      <c r="F506" s="485" t="s">
        <v>992</v>
      </c>
      <c r="G506" s="485" t="s">
        <v>1082</v>
      </c>
      <c r="H506" s="485" t="s">
        <v>2561</v>
      </c>
      <c r="I506" s="485" t="s">
        <v>2958</v>
      </c>
      <c r="J506" s="485" t="s">
        <v>2959</v>
      </c>
      <c r="K506" s="485" t="s">
        <v>1756</v>
      </c>
      <c r="L506" s="485" t="s">
        <v>2783</v>
      </c>
      <c r="M506" s="486" t="s">
        <v>1230</v>
      </c>
      <c r="N506" s="486" t="s">
        <v>1231</v>
      </c>
      <c r="O506" s="485" t="s">
        <v>1232</v>
      </c>
      <c r="P506" s="485" t="s">
        <v>1156</v>
      </c>
      <c r="Q506" s="487">
        <v>44519</v>
      </c>
      <c r="R506" s="487">
        <v>45992</v>
      </c>
      <c r="S506" s="488">
        <v>1</v>
      </c>
      <c r="T506" s="488"/>
      <c r="U506" s="489">
        <v>3150000</v>
      </c>
      <c r="V506" s="489">
        <v>3150000</v>
      </c>
      <c r="W506" s="489">
        <v>3150000</v>
      </c>
      <c r="X506" s="489">
        <f t="shared" si="36"/>
        <v>0</v>
      </c>
      <c r="Y506" s="489">
        <f t="shared" si="37"/>
        <v>0</v>
      </c>
      <c r="Z506" s="489">
        <v>0</v>
      </c>
      <c r="AA506" s="489">
        <v>0</v>
      </c>
      <c r="AB506" s="489">
        <v>0</v>
      </c>
      <c r="AC506" s="489">
        <f t="shared" si="38"/>
        <v>0</v>
      </c>
      <c r="AD506" s="489">
        <f t="shared" si="39"/>
        <v>0</v>
      </c>
      <c r="AE506" s="489">
        <v>3150000</v>
      </c>
      <c r="AF506" s="489">
        <v>0</v>
      </c>
      <c r="AG506" s="490" t="s">
        <v>1237</v>
      </c>
      <c r="AH506" s="490" t="s">
        <v>1303</v>
      </c>
      <c r="AI506" s="490"/>
      <c r="AJ506" s="490" t="s">
        <v>1253</v>
      </c>
      <c r="AK506" s="490" t="s">
        <v>1260</v>
      </c>
      <c r="AL506" s="491"/>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c r="BV506"/>
      <c r="BW506"/>
      <c r="BX506"/>
      <c r="BY506"/>
      <c r="BZ506"/>
      <c r="CA506"/>
      <c r="CB506"/>
    </row>
    <row r="507" spans="1:80" ht="18" customHeight="1" x14ac:dyDescent="0.25">
      <c r="A507" s="485">
        <f t="shared" si="35"/>
        <v>505</v>
      </c>
      <c r="B507" s="485" t="s">
        <v>2412</v>
      </c>
      <c r="C507" s="485">
        <v>1100000259</v>
      </c>
      <c r="D507" s="485" t="s">
        <v>5140</v>
      </c>
      <c r="E507" s="485" t="s">
        <v>288</v>
      </c>
      <c r="F507" s="485" t="s">
        <v>992</v>
      </c>
      <c r="G507" s="485" t="s">
        <v>1082</v>
      </c>
      <c r="H507" s="485" t="s">
        <v>2561</v>
      </c>
      <c r="I507" s="485" t="s">
        <v>2958</v>
      </c>
      <c r="J507" s="485" t="s">
        <v>2959</v>
      </c>
      <c r="K507" s="485" t="s">
        <v>1756</v>
      </c>
      <c r="L507" s="485" t="s">
        <v>2783</v>
      </c>
      <c r="M507" s="486" t="s">
        <v>1230</v>
      </c>
      <c r="N507" s="486" t="s">
        <v>1231</v>
      </c>
      <c r="O507" s="485" t="s">
        <v>1232</v>
      </c>
      <c r="P507" s="485" t="s">
        <v>1156</v>
      </c>
      <c r="Q507" s="487">
        <v>44519</v>
      </c>
      <c r="R507" s="487">
        <v>45992</v>
      </c>
      <c r="S507" s="488">
        <v>1</v>
      </c>
      <c r="T507" s="488"/>
      <c r="U507" s="489">
        <v>2450000</v>
      </c>
      <c r="V507" s="489">
        <v>2450000</v>
      </c>
      <c r="W507" s="489">
        <v>2450000</v>
      </c>
      <c r="X507" s="489">
        <f t="shared" si="36"/>
        <v>0</v>
      </c>
      <c r="Y507" s="489">
        <f t="shared" si="37"/>
        <v>0</v>
      </c>
      <c r="Z507" s="489">
        <v>2450000</v>
      </c>
      <c r="AA507" s="489">
        <v>2450000</v>
      </c>
      <c r="AB507" s="489">
        <v>2450000</v>
      </c>
      <c r="AC507" s="489">
        <f t="shared" si="38"/>
        <v>0</v>
      </c>
      <c r="AD507" s="489">
        <f t="shared" si="39"/>
        <v>0</v>
      </c>
      <c r="AE507" s="489">
        <v>0</v>
      </c>
      <c r="AF507" s="489">
        <v>0</v>
      </c>
      <c r="AG507" s="490" t="s">
        <v>1237</v>
      </c>
      <c r="AH507" s="490" t="s">
        <v>1303</v>
      </c>
      <c r="AI507" s="490"/>
      <c r="AJ507" s="490" t="s">
        <v>1253</v>
      </c>
      <c r="AK507" s="490" t="s">
        <v>1260</v>
      </c>
      <c r="AL507" s="491"/>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c r="BV507"/>
      <c r="BW507"/>
      <c r="BX507"/>
      <c r="BY507"/>
      <c r="BZ507"/>
      <c r="CA507"/>
      <c r="CB507"/>
    </row>
    <row r="508" spans="1:80" ht="18" customHeight="1" x14ac:dyDescent="0.25">
      <c r="A508" s="485">
        <f t="shared" si="35"/>
        <v>506</v>
      </c>
      <c r="B508" s="485" t="s">
        <v>2417</v>
      </c>
      <c r="C508" s="485">
        <v>1100000253</v>
      </c>
      <c r="D508" s="485" t="s">
        <v>5141</v>
      </c>
      <c r="E508" s="485" t="s">
        <v>288</v>
      </c>
      <c r="F508" s="485" t="s">
        <v>992</v>
      </c>
      <c r="G508" s="485" t="s">
        <v>1082</v>
      </c>
      <c r="H508" s="485" t="s">
        <v>2561</v>
      </c>
      <c r="I508" s="485" t="s">
        <v>2958</v>
      </c>
      <c r="J508" s="485" t="s">
        <v>2959</v>
      </c>
      <c r="K508" s="485" t="s">
        <v>1756</v>
      </c>
      <c r="L508" s="485" t="s">
        <v>2783</v>
      </c>
      <c r="M508" s="486" t="s">
        <v>1230</v>
      </c>
      <c r="N508" s="486" t="s">
        <v>1231</v>
      </c>
      <c r="O508" s="485" t="s">
        <v>1232</v>
      </c>
      <c r="P508" s="485" t="s">
        <v>1156</v>
      </c>
      <c r="Q508" s="487">
        <v>44519</v>
      </c>
      <c r="R508" s="487">
        <v>45992</v>
      </c>
      <c r="S508" s="488">
        <v>1</v>
      </c>
      <c r="T508" s="488"/>
      <c r="U508" s="489">
        <v>6865000</v>
      </c>
      <c r="V508" s="489">
        <v>6865000</v>
      </c>
      <c r="W508" s="489">
        <v>6865000</v>
      </c>
      <c r="X508" s="489">
        <f t="shared" si="36"/>
        <v>0</v>
      </c>
      <c r="Y508" s="489">
        <f t="shared" si="37"/>
        <v>0</v>
      </c>
      <c r="Z508" s="489">
        <v>0</v>
      </c>
      <c r="AA508" s="489">
        <v>0</v>
      </c>
      <c r="AB508" s="489">
        <v>0</v>
      </c>
      <c r="AC508" s="489">
        <f t="shared" si="38"/>
        <v>0</v>
      </c>
      <c r="AD508" s="489">
        <f t="shared" si="39"/>
        <v>0</v>
      </c>
      <c r="AE508" s="489">
        <v>6865000</v>
      </c>
      <c r="AF508" s="489">
        <v>0</v>
      </c>
      <c r="AG508" s="490" t="s">
        <v>1237</v>
      </c>
      <c r="AH508" s="490" t="s">
        <v>1303</v>
      </c>
      <c r="AI508" s="490"/>
      <c r="AJ508" s="490" t="s">
        <v>1253</v>
      </c>
      <c r="AK508" s="490" t="s">
        <v>1260</v>
      </c>
      <c r="AL508" s="491"/>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row>
    <row r="509" spans="1:80" ht="18" customHeight="1" x14ac:dyDescent="0.25">
      <c r="A509" s="485">
        <f t="shared" si="35"/>
        <v>507</v>
      </c>
      <c r="B509" s="485" t="s">
        <v>2420</v>
      </c>
      <c r="C509" s="485">
        <v>1100000250</v>
      </c>
      <c r="D509" s="485" t="s">
        <v>5142</v>
      </c>
      <c r="E509" s="485" t="s">
        <v>288</v>
      </c>
      <c r="F509" s="485" t="s">
        <v>992</v>
      </c>
      <c r="G509" s="485" t="s">
        <v>1082</v>
      </c>
      <c r="H509" s="485" t="s">
        <v>2561</v>
      </c>
      <c r="I509" s="485" t="s">
        <v>2958</v>
      </c>
      <c r="J509" s="485" t="s">
        <v>2959</v>
      </c>
      <c r="K509" s="485" t="s">
        <v>1756</v>
      </c>
      <c r="L509" s="485" t="s">
        <v>2783</v>
      </c>
      <c r="M509" s="486" t="s">
        <v>1230</v>
      </c>
      <c r="N509" s="486" t="s">
        <v>1231</v>
      </c>
      <c r="O509" s="485" t="s">
        <v>1232</v>
      </c>
      <c r="P509" s="485" t="s">
        <v>1156</v>
      </c>
      <c r="Q509" s="487">
        <v>44519</v>
      </c>
      <c r="R509" s="487">
        <v>45992</v>
      </c>
      <c r="S509" s="488">
        <v>1</v>
      </c>
      <c r="T509" s="488"/>
      <c r="U509" s="489">
        <v>3245000</v>
      </c>
      <c r="V509" s="489">
        <v>3245000</v>
      </c>
      <c r="W509" s="489">
        <v>3245000</v>
      </c>
      <c r="X509" s="489">
        <f t="shared" si="36"/>
        <v>0</v>
      </c>
      <c r="Y509" s="489">
        <f t="shared" si="37"/>
        <v>0</v>
      </c>
      <c r="Z509" s="489">
        <v>0</v>
      </c>
      <c r="AA509" s="489">
        <v>0</v>
      </c>
      <c r="AB509" s="489">
        <v>0</v>
      </c>
      <c r="AC509" s="489">
        <f t="shared" si="38"/>
        <v>0</v>
      </c>
      <c r="AD509" s="489">
        <f t="shared" si="39"/>
        <v>0</v>
      </c>
      <c r="AE509" s="489">
        <v>3245000</v>
      </c>
      <c r="AF509" s="489">
        <v>0</v>
      </c>
      <c r="AG509" s="490" t="s">
        <v>1237</v>
      </c>
      <c r="AH509" s="490" t="s">
        <v>1303</v>
      </c>
      <c r="AI509" s="490"/>
      <c r="AJ509" s="490" t="s">
        <v>1253</v>
      </c>
      <c r="AK509" s="490" t="s">
        <v>1260</v>
      </c>
      <c r="AL509" s="491"/>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c r="BV509"/>
      <c r="BW509"/>
      <c r="BX509"/>
      <c r="BY509"/>
      <c r="BZ509"/>
      <c r="CA509"/>
      <c r="CB509"/>
    </row>
    <row r="510" spans="1:80" ht="18" customHeight="1" x14ac:dyDescent="0.25">
      <c r="A510" s="485">
        <f t="shared" si="35"/>
        <v>508</v>
      </c>
      <c r="B510" s="485" t="s">
        <v>2415</v>
      </c>
      <c r="C510" s="485">
        <v>1100000255</v>
      </c>
      <c r="D510" s="485" t="s">
        <v>5143</v>
      </c>
      <c r="E510" s="485" t="s">
        <v>288</v>
      </c>
      <c r="F510" s="485" t="s">
        <v>992</v>
      </c>
      <c r="G510" s="485" t="s">
        <v>1082</v>
      </c>
      <c r="H510" s="485" t="s">
        <v>2561</v>
      </c>
      <c r="I510" s="485" t="s">
        <v>2958</v>
      </c>
      <c r="J510" s="485" t="s">
        <v>2959</v>
      </c>
      <c r="K510" s="485" t="s">
        <v>1756</v>
      </c>
      <c r="L510" s="485" t="s">
        <v>2783</v>
      </c>
      <c r="M510" s="486" t="s">
        <v>1230</v>
      </c>
      <c r="N510" s="486" t="s">
        <v>1231</v>
      </c>
      <c r="O510" s="485" t="s">
        <v>1232</v>
      </c>
      <c r="P510" s="485" t="s">
        <v>1156</v>
      </c>
      <c r="Q510" s="487">
        <v>44519</v>
      </c>
      <c r="R510" s="487">
        <v>45992</v>
      </c>
      <c r="S510" s="488">
        <v>1</v>
      </c>
      <c r="T510" s="488"/>
      <c r="U510" s="489">
        <v>6640000</v>
      </c>
      <c r="V510" s="489">
        <v>6640000</v>
      </c>
      <c r="W510" s="489">
        <v>6640000</v>
      </c>
      <c r="X510" s="489">
        <f t="shared" si="36"/>
        <v>0</v>
      </c>
      <c r="Y510" s="489">
        <f t="shared" si="37"/>
        <v>0</v>
      </c>
      <c r="Z510" s="489">
        <v>0</v>
      </c>
      <c r="AA510" s="489">
        <v>0</v>
      </c>
      <c r="AB510" s="489">
        <v>0</v>
      </c>
      <c r="AC510" s="489">
        <f t="shared" si="38"/>
        <v>0</v>
      </c>
      <c r="AD510" s="489">
        <f t="shared" si="39"/>
        <v>0</v>
      </c>
      <c r="AE510" s="489">
        <v>6640000</v>
      </c>
      <c r="AF510" s="489">
        <v>0</v>
      </c>
      <c r="AG510" s="490" t="s">
        <v>1237</v>
      </c>
      <c r="AH510" s="490" t="s">
        <v>1303</v>
      </c>
      <c r="AI510" s="490"/>
      <c r="AJ510" s="490" t="s">
        <v>1253</v>
      </c>
      <c r="AK510" s="490" t="s">
        <v>1260</v>
      </c>
      <c r="AL510" s="491"/>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row>
    <row r="511" spans="1:80" ht="18" customHeight="1" x14ac:dyDescent="0.25">
      <c r="A511" s="485">
        <f t="shared" si="35"/>
        <v>509</v>
      </c>
      <c r="B511" s="485" t="s">
        <v>4230</v>
      </c>
      <c r="C511" s="485">
        <v>1100000252</v>
      </c>
      <c r="D511" s="485" t="s">
        <v>5144</v>
      </c>
      <c r="E511" s="485" t="s">
        <v>288</v>
      </c>
      <c r="F511" s="485" t="s">
        <v>992</v>
      </c>
      <c r="G511" s="485" t="s">
        <v>1082</v>
      </c>
      <c r="H511" s="485" t="s">
        <v>2561</v>
      </c>
      <c r="I511" s="485" t="s">
        <v>2958</v>
      </c>
      <c r="J511" s="485" t="s">
        <v>2959</v>
      </c>
      <c r="K511" s="485" t="s">
        <v>1756</v>
      </c>
      <c r="L511" s="485" t="s">
        <v>2783</v>
      </c>
      <c r="M511" s="486" t="s">
        <v>1230</v>
      </c>
      <c r="N511" s="486" t="s">
        <v>1231</v>
      </c>
      <c r="O511" s="485" t="s">
        <v>1232</v>
      </c>
      <c r="P511" s="485" t="s">
        <v>1156</v>
      </c>
      <c r="Q511" s="487">
        <v>44519</v>
      </c>
      <c r="R511" s="487">
        <v>45992</v>
      </c>
      <c r="S511" s="488">
        <v>1</v>
      </c>
      <c r="T511" s="488"/>
      <c r="U511" s="489">
        <v>4280000</v>
      </c>
      <c r="V511" s="489">
        <v>4280000</v>
      </c>
      <c r="W511" s="489">
        <v>4280000</v>
      </c>
      <c r="X511" s="489">
        <f t="shared" si="36"/>
        <v>0</v>
      </c>
      <c r="Y511" s="489">
        <f t="shared" si="37"/>
        <v>0</v>
      </c>
      <c r="Z511" s="489">
        <v>0</v>
      </c>
      <c r="AA511" s="489">
        <v>0</v>
      </c>
      <c r="AB511" s="489">
        <v>0</v>
      </c>
      <c r="AC511" s="489">
        <f t="shared" si="38"/>
        <v>0</v>
      </c>
      <c r="AD511" s="489">
        <f t="shared" si="39"/>
        <v>0</v>
      </c>
      <c r="AE511" s="489">
        <v>4280000</v>
      </c>
      <c r="AF511" s="489">
        <v>0</v>
      </c>
      <c r="AG511" s="490" t="s">
        <v>1237</v>
      </c>
      <c r="AH511" s="490" t="s">
        <v>1303</v>
      </c>
      <c r="AI511" s="490"/>
      <c r="AJ511" s="490" t="s">
        <v>1253</v>
      </c>
      <c r="AK511" s="490" t="s">
        <v>1260</v>
      </c>
      <c r="AL511" s="49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row>
    <row r="512" spans="1:80" ht="18" customHeight="1" x14ac:dyDescent="0.25">
      <c r="A512" s="485">
        <f t="shared" si="35"/>
        <v>510</v>
      </c>
      <c r="B512" s="485" t="s">
        <v>2413</v>
      </c>
      <c r="C512" s="485">
        <v>1100000257</v>
      </c>
      <c r="D512" s="485" t="s">
        <v>5145</v>
      </c>
      <c r="E512" s="485" t="s">
        <v>288</v>
      </c>
      <c r="F512" s="485" t="s">
        <v>992</v>
      </c>
      <c r="G512" s="485" t="s">
        <v>1082</v>
      </c>
      <c r="H512" s="485" t="s">
        <v>2561</v>
      </c>
      <c r="I512" s="485" t="s">
        <v>2958</v>
      </c>
      <c r="J512" s="485" t="s">
        <v>2959</v>
      </c>
      <c r="K512" s="485" t="s">
        <v>1756</v>
      </c>
      <c r="L512" s="485" t="s">
        <v>2783</v>
      </c>
      <c r="M512" s="486" t="s">
        <v>1230</v>
      </c>
      <c r="N512" s="486" t="s">
        <v>1231</v>
      </c>
      <c r="O512" s="485" t="s">
        <v>1232</v>
      </c>
      <c r="P512" s="485" t="s">
        <v>1156</v>
      </c>
      <c r="Q512" s="487">
        <v>44519</v>
      </c>
      <c r="R512" s="487">
        <v>45992</v>
      </c>
      <c r="S512" s="488">
        <v>1</v>
      </c>
      <c r="T512" s="488"/>
      <c r="U512" s="489">
        <v>7774000</v>
      </c>
      <c r="V512" s="489">
        <v>7774000</v>
      </c>
      <c r="W512" s="489">
        <v>7774000</v>
      </c>
      <c r="X512" s="489">
        <f t="shared" si="36"/>
        <v>0</v>
      </c>
      <c r="Y512" s="489">
        <f t="shared" si="37"/>
        <v>0</v>
      </c>
      <c r="Z512" s="489">
        <v>0</v>
      </c>
      <c r="AA512" s="489">
        <v>0</v>
      </c>
      <c r="AB512" s="489">
        <v>0</v>
      </c>
      <c r="AC512" s="489">
        <f t="shared" si="38"/>
        <v>0</v>
      </c>
      <c r="AD512" s="489">
        <f t="shared" si="39"/>
        <v>0</v>
      </c>
      <c r="AE512" s="489">
        <v>7774000</v>
      </c>
      <c r="AF512" s="489">
        <v>0</v>
      </c>
      <c r="AG512" s="490" t="s">
        <v>1237</v>
      </c>
      <c r="AH512" s="490" t="s">
        <v>1303</v>
      </c>
      <c r="AI512" s="490"/>
      <c r="AJ512" s="490" t="s">
        <v>1253</v>
      </c>
      <c r="AK512" s="490" t="s">
        <v>1260</v>
      </c>
      <c r="AL512" s="491"/>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row>
    <row r="513" spans="1:80" ht="18" customHeight="1" x14ac:dyDescent="0.25">
      <c r="A513" s="485">
        <f t="shared" si="35"/>
        <v>511</v>
      </c>
      <c r="B513" s="485" t="s">
        <v>2419</v>
      </c>
      <c r="C513" s="485">
        <v>1100000251</v>
      </c>
      <c r="D513" s="485" t="s">
        <v>5146</v>
      </c>
      <c r="E513" s="485" t="s">
        <v>288</v>
      </c>
      <c r="F513" s="485" t="s">
        <v>992</v>
      </c>
      <c r="G513" s="485" t="s">
        <v>1082</v>
      </c>
      <c r="H513" s="485" t="s">
        <v>2561</v>
      </c>
      <c r="I513" s="485" t="s">
        <v>2958</v>
      </c>
      <c r="J513" s="485" t="s">
        <v>2959</v>
      </c>
      <c r="K513" s="485" t="s">
        <v>1756</v>
      </c>
      <c r="L513" s="485" t="s">
        <v>2783</v>
      </c>
      <c r="M513" s="486" t="s">
        <v>1230</v>
      </c>
      <c r="N513" s="486" t="s">
        <v>1231</v>
      </c>
      <c r="O513" s="485" t="s">
        <v>1232</v>
      </c>
      <c r="P513" s="485" t="s">
        <v>1156</v>
      </c>
      <c r="Q513" s="487">
        <v>44519</v>
      </c>
      <c r="R513" s="487">
        <v>45992</v>
      </c>
      <c r="S513" s="488">
        <v>1</v>
      </c>
      <c r="T513" s="488"/>
      <c r="U513" s="489">
        <v>796000</v>
      </c>
      <c r="V513" s="489">
        <v>796000</v>
      </c>
      <c r="W513" s="489">
        <v>796000</v>
      </c>
      <c r="X513" s="489">
        <f t="shared" si="36"/>
        <v>0</v>
      </c>
      <c r="Y513" s="489">
        <f t="shared" si="37"/>
        <v>0</v>
      </c>
      <c r="Z513" s="489">
        <v>0</v>
      </c>
      <c r="AA513" s="489">
        <v>0</v>
      </c>
      <c r="AB513" s="489">
        <v>0</v>
      </c>
      <c r="AC513" s="489">
        <f t="shared" si="38"/>
        <v>0</v>
      </c>
      <c r="AD513" s="489">
        <f t="shared" si="39"/>
        <v>0</v>
      </c>
      <c r="AE513" s="489">
        <v>796000</v>
      </c>
      <c r="AF513" s="489">
        <v>0</v>
      </c>
      <c r="AG513" s="490" t="s">
        <v>1237</v>
      </c>
      <c r="AH513" s="490" t="s">
        <v>1303</v>
      </c>
      <c r="AI513" s="490"/>
      <c r="AJ513" s="490" t="s">
        <v>1253</v>
      </c>
      <c r="AK513" s="490" t="s">
        <v>1260</v>
      </c>
      <c r="AL513" s="491"/>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row>
    <row r="514" spans="1:80" ht="18" customHeight="1" x14ac:dyDescent="0.25">
      <c r="A514" s="485">
        <f t="shared" si="35"/>
        <v>512</v>
      </c>
      <c r="B514" s="485" t="s">
        <v>2416</v>
      </c>
      <c r="C514" s="485">
        <v>1100000254</v>
      </c>
      <c r="D514" s="485" t="s">
        <v>5147</v>
      </c>
      <c r="E514" s="485" t="s">
        <v>288</v>
      </c>
      <c r="F514" s="485" t="s">
        <v>992</v>
      </c>
      <c r="G514" s="485" t="s">
        <v>1082</v>
      </c>
      <c r="H514" s="485" t="s">
        <v>2561</v>
      </c>
      <c r="I514" s="485" t="s">
        <v>2958</v>
      </c>
      <c r="J514" s="485" t="s">
        <v>2959</v>
      </c>
      <c r="K514" s="485" t="s">
        <v>1756</v>
      </c>
      <c r="L514" s="485" t="s">
        <v>2783</v>
      </c>
      <c r="M514" s="486" t="s">
        <v>1230</v>
      </c>
      <c r="N514" s="486" t="s">
        <v>1231</v>
      </c>
      <c r="O514" s="485" t="s">
        <v>1232</v>
      </c>
      <c r="P514" s="485" t="s">
        <v>1156</v>
      </c>
      <c r="Q514" s="487">
        <v>44519</v>
      </c>
      <c r="R514" s="487">
        <v>45992</v>
      </c>
      <c r="S514" s="488">
        <v>1</v>
      </c>
      <c r="T514" s="488"/>
      <c r="U514" s="489">
        <v>3000000</v>
      </c>
      <c r="V514" s="489">
        <v>3000000</v>
      </c>
      <c r="W514" s="489">
        <v>3000000</v>
      </c>
      <c r="X514" s="489">
        <f t="shared" si="36"/>
        <v>0</v>
      </c>
      <c r="Y514" s="489">
        <f t="shared" si="37"/>
        <v>0</v>
      </c>
      <c r="Z514" s="489">
        <v>0</v>
      </c>
      <c r="AA514" s="489">
        <v>2000000</v>
      </c>
      <c r="AB514" s="489">
        <v>2000000</v>
      </c>
      <c r="AC514" s="489">
        <f t="shared" si="38"/>
        <v>2000000</v>
      </c>
      <c r="AD514" s="489">
        <f t="shared" si="39"/>
        <v>0</v>
      </c>
      <c r="AE514" s="489">
        <v>1000000</v>
      </c>
      <c r="AF514" s="489">
        <v>0</v>
      </c>
      <c r="AG514" s="490" t="s">
        <v>1237</v>
      </c>
      <c r="AH514" s="490" t="s">
        <v>1303</v>
      </c>
      <c r="AI514" s="490"/>
      <c r="AJ514" s="490" t="s">
        <v>1253</v>
      </c>
      <c r="AK514" s="490" t="s">
        <v>1260</v>
      </c>
      <c r="AL514" s="491"/>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row>
    <row r="515" spans="1:80" ht="18" customHeight="1" x14ac:dyDescent="0.25">
      <c r="A515" s="485">
        <f t="shared" si="35"/>
        <v>513</v>
      </c>
      <c r="B515" s="485" t="s">
        <v>2414</v>
      </c>
      <c r="C515" s="485">
        <v>1100000256</v>
      </c>
      <c r="D515" s="485" t="s">
        <v>5148</v>
      </c>
      <c r="E515" s="485" t="s">
        <v>288</v>
      </c>
      <c r="F515" s="485" t="s">
        <v>992</v>
      </c>
      <c r="G515" s="485" t="s">
        <v>1082</v>
      </c>
      <c r="H515" s="485" t="s">
        <v>2561</v>
      </c>
      <c r="I515" s="485" t="s">
        <v>2958</v>
      </c>
      <c r="J515" s="485" t="s">
        <v>2959</v>
      </c>
      <c r="K515" s="485" t="s">
        <v>1756</v>
      </c>
      <c r="L515" s="485" t="s">
        <v>2783</v>
      </c>
      <c r="M515" s="486" t="s">
        <v>1230</v>
      </c>
      <c r="N515" s="486" t="s">
        <v>1231</v>
      </c>
      <c r="O515" s="485" t="s">
        <v>1232</v>
      </c>
      <c r="P515" s="485" t="s">
        <v>1156</v>
      </c>
      <c r="Q515" s="487">
        <v>44519</v>
      </c>
      <c r="R515" s="487">
        <v>45992</v>
      </c>
      <c r="S515" s="488">
        <v>1</v>
      </c>
      <c r="T515" s="488"/>
      <c r="U515" s="489">
        <v>1000000</v>
      </c>
      <c r="V515" s="489">
        <v>1000000</v>
      </c>
      <c r="W515" s="489">
        <v>1000000</v>
      </c>
      <c r="X515" s="489">
        <f t="shared" si="36"/>
        <v>0</v>
      </c>
      <c r="Y515" s="489">
        <f t="shared" si="37"/>
        <v>0</v>
      </c>
      <c r="Z515" s="489">
        <v>1000000</v>
      </c>
      <c r="AA515" s="489">
        <v>1000000</v>
      </c>
      <c r="AB515" s="489">
        <v>1000000</v>
      </c>
      <c r="AC515" s="489">
        <f t="shared" si="38"/>
        <v>0</v>
      </c>
      <c r="AD515" s="489">
        <f t="shared" si="39"/>
        <v>0</v>
      </c>
      <c r="AE515" s="489">
        <v>0</v>
      </c>
      <c r="AF515" s="489">
        <v>0</v>
      </c>
      <c r="AG515" s="490" t="s">
        <v>1237</v>
      </c>
      <c r="AH515" s="490" t="s">
        <v>1303</v>
      </c>
      <c r="AI515" s="490"/>
      <c r="AJ515" s="490" t="s">
        <v>1253</v>
      </c>
      <c r="AK515" s="490" t="s">
        <v>1260</v>
      </c>
      <c r="AL515" s="491"/>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row>
    <row r="516" spans="1:80" ht="18" customHeight="1" x14ac:dyDescent="0.25">
      <c r="A516" s="486">
        <f t="shared" ref="A516:A579" si="40">A515+1</f>
        <v>514</v>
      </c>
      <c r="B516" s="486" t="s">
        <v>4234</v>
      </c>
      <c r="C516" s="486">
        <v>1100000261</v>
      </c>
      <c r="D516" s="486" t="s">
        <v>5149</v>
      </c>
      <c r="E516" s="486" t="s">
        <v>1805</v>
      </c>
      <c r="F516" s="486" t="s">
        <v>4233</v>
      </c>
      <c r="G516" s="486" t="s">
        <v>4231</v>
      </c>
      <c r="H516" s="485" t="s">
        <v>4233</v>
      </c>
      <c r="I516" s="486" t="s">
        <v>4231</v>
      </c>
      <c r="J516" s="486" t="s">
        <v>4232</v>
      </c>
      <c r="K516" s="486" t="s">
        <v>1756</v>
      </c>
      <c r="L516" s="486" t="s">
        <v>2783</v>
      </c>
      <c r="M516" s="486" t="s">
        <v>1230</v>
      </c>
      <c r="N516" s="486" t="s">
        <v>1231</v>
      </c>
      <c r="O516" s="486" t="s">
        <v>1232</v>
      </c>
      <c r="P516" s="486" t="s">
        <v>1156</v>
      </c>
      <c r="Q516" s="487">
        <v>44526</v>
      </c>
      <c r="R516" s="487">
        <v>46356</v>
      </c>
      <c r="S516" s="488">
        <v>1</v>
      </c>
      <c r="T516" s="488"/>
      <c r="U516" s="489">
        <v>259192</v>
      </c>
      <c r="V516" s="489">
        <v>259192</v>
      </c>
      <c r="W516" s="489">
        <v>259192</v>
      </c>
      <c r="X516" s="489">
        <f t="shared" si="36"/>
        <v>0</v>
      </c>
      <c r="Y516" s="489">
        <f t="shared" si="37"/>
        <v>0</v>
      </c>
      <c r="Z516" s="489">
        <v>0</v>
      </c>
      <c r="AA516" s="489">
        <v>0</v>
      </c>
      <c r="AB516" s="489">
        <v>0</v>
      </c>
      <c r="AC516" s="489">
        <f t="shared" si="38"/>
        <v>0</v>
      </c>
      <c r="AD516" s="489">
        <f t="shared" si="39"/>
        <v>0</v>
      </c>
      <c r="AE516" s="489">
        <v>259192</v>
      </c>
      <c r="AF516" s="489">
        <v>0</v>
      </c>
      <c r="AG516" s="490" t="s">
        <v>1237</v>
      </c>
      <c r="AH516" s="490" t="s">
        <v>614</v>
      </c>
      <c r="AI516" s="490" t="s">
        <v>1268</v>
      </c>
      <c r="AJ516" s="490" t="s">
        <v>614</v>
      </c>
      <c r="AK516" s="490" t="s">
        <v>1260</v>
      </c>
      <c r="AL516" s="491"/>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row>
    <row r="517" spans="1:80" ht="18" customHeight="1" x14ac:dyDescent="0.25">
      <c r="A517" s="486">
        <f t="shared" si="40"/>
        <v>515</v>
      </c>
      <c r="B517" s="486" t="s">
        <v>4235</v>
      </c>
      <c r="C517" s="486">
        <v>1100000262</v>
      </c>
      <c r="D517" s="486" t="s">
        <v>5150</v>
      </c>
      <c r="E517" s="486" t="s">
        <v>1805</v>
      </c>
      <c r="F517" s="486" t="s">
        <v>4233</v>
      </c>
      <c r="G517" s="486" t="s">
        <v>4231</v>
      </c>
      <c r="H517" s="485" t="s">
        <v>4233</v>
      </c>
      <c r="I517" s="486" t="s">
        <v>4231</v>
      </c>
      <c r="J517" s="486" t="s">
        <v>4232</v>
      </c>
      <c r="K517" s="486" t="s">
        <v>1756</v>
      </c>
      <c r="L517" s="486" t="s">
        <v>2783</v>
      </c>
      <c r="M517" s="486" t="s">
        <v>1230</v>
      </c>
      <c r="N517" s="486" t="s">
        <v>1231</v>
      </c>
      <c r="O517" s="486" t="s">
        <v>1232</v>
      </c>
      <c r="P517" s="486" t="s">
        <v>1156</v>
      </c>
      <c r="Q517" s="487">
        <v>44526</v>
      </c>
      <c r="R517" s="487">
        <v>46356</v>
      </c>
      <c r="S517" s="488">
        <v>1</v>
      </c>
      <c r="T517" s="488"/>
      <c r="U517" s="489">
        <v>3583283</v>
      </c>
      <c r="V517" s="489">
        <v>3583283</v>
      </c>
      <c r="W517" s="489">
        <v>3583283</v>
      </c>
      <c r="X517" s="489">
        <f t="shared" si="36"/>
        <v>0</v>
      </c>
      <c r="Y517" s="489">
        <f t="shared" si="37"/>
        <v>0</v>
      </c>
      <c r="Z517" s="489">
        <v>1234698.3400000001</v>
      </c>
      <c r="AA517" s="489">
        <v>1234698.3400000001</v>
      </c>
      <c r="AB517" s="489">
        <v>1246775.3899999999</v>
      </c>
      <c r="AC517" s="489">
        <f t="shared" si="38"/>
        <v>12077.049999999814</v>
      </c>
      <c r="AD517" s="489">
        <f t="shared" si="39"/>
        <v>12077.049999999814</v>
      </c>
      <c r="AE517" s="489">
        <v>2336507.61</v>
      </c>
      <c r="AF517" s="489">
        <v>0</v>
      </c>
      <c r="AG517" s="490" t="s">
        <v>1237</v>
      </c>
      <c r="AH517" s="490" t="s">
        <v>614</v>
      </c>
      <c r="AI517" s="490" t="s">
        <v>1268</v>
      </c>
      <c r="AJ517" s="490" t="s">
        <v>614</v>
      </c>
      <c r="AK517" s="490" t="s">
        <v>1260</v>
      </c>
      <c r="AL517" s="491"/>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c r="BV517"/>
      <c r="BW517"/>
      <c r="BX517"/>
      <c r="BY517"/>
      <c r="BZ517"/>
      <c r="CA517"/>
      <c r="CB517"/>
    </row>
    <row r="518" spans="1:80" ht="18" customHeight="1" x14ac:dyDescent="0.25">
      <c r="A518" s="486">
        <f t="shared" si="40"/>
        <v>516</v>
      </c>
      <c r="B518" s="486" t="s">
        <v>4239</v>
      </c>
      <c r="C518" s="486">
        <v>2100000278</v>
      </c>
      <c r="D518" s="486" t="s">
        <v>5151</v>
      </c>
      <c r="E518" s="486" t="s">
        <v>1806</v>
      </c>
      <c r="F518" s="486" t="s">
        <v>4238</v>
      </c>
      <c r="G518" s="486" t="s">
        <v>4236</v>
      </c>
      <c r="H518" s="485" t="s">
        <v>4238</v>
      </c>
      <c r="I518" s="486" t="s">
        <v>4236</v>
      </c>
      <c r="J518" s="486" t="s">
        <v>4237</v>
      </c>
      <c r="K518" s="486" t="s">
        <v>1756</v>
      </c>
      <c r="L518" s="486" t="s">
        <v>2783</v>
      </c>
      <c r="M518" s="486" t="s">
        <v>1230</v>
      </c>
      <c r="N518" s="486" t="s">
        <v>1231</v>
      </c>
      <c r="O518" s="486" t="s">
        <v>1232</v>
      </c>
      <c r="P518" s="486" t="s">
        <v>469</v>
      </c>
      <c r="Q518" s="487">
        <v>44526</v>
      </c>
      <c r="R518" s="487">
        <v>45072</v>
      </c>
      <c r="S518" s="488">
        <v>1.5</v>
      </c>
      <c r="T518" s="488"/>
      <c r="U518" s="489">
        <v>10000000</v>
      </c>
      <c r="V518" s="489">
        <v>10000000</v>
      </c>
      <c r="W518" s="489">
        <v>10000000</v>
      </c>
      <c r="X518" s="489">
        <f t="shared" si="36"/>
        <v>0</v>
      </c>
      <c r="Y518" s="489">
        <f t="shared" si="37"/>
        <v>0</v>
      </c>
      <c r="Z518" s="489">
        <v>0</v>
      </c>
      <c r="AA518" s="489">
        <v>0</v>
      </c>
      <c r="AB518" s="489">
        <v>0</v>
      </c>
      <c r="AC518" s="489">
        <f t="shared" si="38"/>
        <v>0</v>
      </c>
      <c r="AD518" s="489">
        <f t="shared" si="39"/>
        <v>0</v>
      </c>
      <c r="AE518" s="489">
        <v>10000000</v>
      </c>
      <c r="AF518" s="489">
        <v>0</v>
      </c>
      <c r="AG518" s="490" t="s">
        <v>1245</v>
      </c>
      <c r="AH518" s="490" t="s">
        <v>1242</v>
      </c>
      <c r="AI518" s="490" t="s">
        <v>1807</v>
      </c>
      <c r="AJ518" s="490" t="s">
        <v>1246</v>
      </c>
      <c r="AK518" s="490" t="s">
        <v>1235</v>
      </c>
      <c r="AL518" s="491"/>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row>
    <row r="519" spans="1:80" ht="18" customHeight="1" x14ac:dyDescent="0.25">
      <c r="A519" s="486">
        <f t="shared" si="40"/>
        <v>517</v>
      </c>
      <c r="B519" s="486" t="s">
        <v>4240</v>
      </c>
      <c r="C519" s="486">
        <v>2100000279</v>
      </c>
      <c r="D519" s="486" t="s">
        <v>5152</v>
      </c>
      <c r="E519" s="486" t="s">
        <v>1806</v>
      </c>
      <c r="F519" s="486" t="s">
        <v>4238</v>
      </c>
      <c r="G519" s="486" t="s">
        <v>4236</v>
      </c>
      <c r="H519" s="485" t="s">
        <v>4238</v>
      </c>
      <c r="I519" s="486" t="s">
        <v>4236</v>
      </c>
      <c r="J519" s="486" t="s">
        <v>4237</v>
      </c>
      <c r="K519" s="486" t="s">
        <v>1756</v>
      </c>
      <c r="L519" s="486" t="s">
        <v>2783</v>
      </c>
      <c r="M519" s="486" t="s">
        <v>1230</v>
      </c>
      <c r="N519" s="486" t="s">
        <v>1231</v>
      </c>
      <c r="O519" s="486" t="s">
        <v>1232</v>
      </c>
      <c r="P519" s="486" t="s">
        <v>469</v>
      </c>
      <c r="Q519" s="487">
        <v>44526</v>
      </c>
      <c r="R519" s="487">
        <v>45072</v>
      </c>
      <c r="S519" s="488">
        <v>1.5</v>
      </c>
      <c r="T519" s="488"/>
      <c r="U519" s="489">
        <v>15139892</v>
      </c>
      <c r="V519" s="489">
        <v>15139892</v>
      </c>
      <c r="W519" s="489">
        <v>15139892</v>
      </c>
      <c r="X519" s="489">
        <f t="shared" si="36"/>
        <v>0</v>
      </c>
      <c r="Y519" s="489">
        <f t="shared" si="37"/>
        <v>0</v>
      </c>
      <c r="Z519" s="489">
        <v>0</v>
      </c>
      <c r="AA519" s="489">
        <v>0</v>
      </c>
      <c r="AB519" s="489">
        <v>0</v>
      </c>
      <c r="AC519" s="489">
        <f t="shared" si="38"/>
        <v>0</v>
      </c>
      <c r="AD519" s="489">
        <f t="shared" si="39"/>
        <v>0</v>
      </c>
      <c r="AE519" s="489">
        <v>15139892</v>
      </c>
      <c r="AF519" s="489">
        <v>0</v>
      </c>
      <c r="AG519" s="490" t="s">
        <v>1245</v>
      </c>
      <c r="AH519" s="490" t="s">
        <v>1242</v>
      </c>
      <c r="AI519" s="490" t="s">
        <v>1807</v>
      </c>
      <c r="AJ519" s="490" t="s">
        <v>1246</v>
      </c>
      <c r="AK519" s="490" t="s">
        <v>1235</v>
      </c>
      <c r="AL519" s="491"/>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row>
    <row r="520" spans="1:80" ht="18" customHeight="1" x14ac:dyDescent="0.25">
      <c r="A520" s="492">
        <f t="shared" si="40"/>
        <v>518</v>
      </c>
      <c r="B520" s="492" t="s">
        <v>4244</v>
      </c>
      <c r="C520" s="492">
        <v>6100000222</v>
      </c>
      <c r="D520" s="492" t="s">
        <v>5153</v>
      </c>
      <c r="E520" s="492" t="s">
        <v>1804</v>
      </c>
      <c r="F520" s="492" t="s">
        <v>1803</v>
      </c>
      <c r="G520" s="492" t="s">
        <v>4241</v>
      </c>
      <c r="H520" s="492" t="s">
        <v>2685</v>
      </c>
      <c r="I520" s="492" t="s">
        <v>4242</v>
      </c>
      <c r="J520" s="492" t="s">
        <v>4243</v>
      </c>
      <c r="K520" s="492" t="s">
        <v>1281</v>
      </c>
      <c r="L520" s="492" t="s">
        <v>2783</v>
      </c>
      <c r="M520" s="493" t="s">
        <v>1230</v>
      </c>
      <c r="N520" s="493" t="s">
        <v>1232</v>
      </c>
      <c r="O520" s="492" t="s">
        <v>1232</v>
      </c>
      <c r="P520" s="492" t="s">
        <v>469</v>
      </c>
      <c r="Q520" s="494">
        <v>44530</v>
      </c>
      <c r="R520" s="494">
        <v>45628</v>
      </c>
      <c r="S520" s="495">
        <v>1</v>
      </c>
      <c r="T520" s="495"/>
      <c r="U520" s="496">
        <v>20000000</v>
      </c>
      <c r="V520" s="496">
        <v>20000000</v>
      </c>
      <c r="W520" s="496">
        <v>20000000</v>
      </c>
      <c r="X520" s="496">
        <f t="shared" ref="X520:X583" si="41">W520-U520</f>
        <v>0</v>
      </c>
      <c r="Y520" s="496">
        <f t="shared" ref="Y520:Y583" si="42">W520-V520</f>
        <v>0</v>
      </c>
      <c r="Z520" s="496">
        <v>5864927.4800000004</v>
      </c>
      <c r="AA520" s="496">
        <v>5864927.4800000004</v>
      </c>
      <c r="AB520" s="496">
        <v>5864927.4800000004</v>
      </c>
      <c r="AC520" s="496">
        <f t="shared" ref="AC520:AC583" si="43">AB520-Z520</f>
        <v>0</v>
      </c>
      <c r="AD520" s="496">
        <f t="shared" ref="AD520:AD583" si="44">AB520-AA520</f>
        <v>0</v>
      </c>
      <c r="AE520" s="496">
        <v>0</v>
      </c>
      <c r="AF520" s="496">
        <v>14135072.52</v>
      </c>
      <c r="AG520" s="497" t="s">
        <v>1888</v>
      </c>
      <c r="AH520" s="497" t="s">
        <v>1888</v>
      </c>
      <c r="AI520" s="497" t="s">
        <v>1342</v>
      </c>
      <c r="AJ520" s="497" t="s">
        <v>1234</v>
      </c>
      <c r="AK520" s="497" t="s">
        <v>1278</v>
      </c>
      <c r="AL520" s="491"/>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row>
    <row r="521" spans="1:80" ht="18" customHeight="1" x14ac:dyDescent="0.25">
      <c r="A521" s="492">
        <f t="shared" si="40"/>
        <v>519</v>
      </c>
      <c r="B521" s="492" t="s">
        <v>4247</v>
      </c>
      <c r="C521" s="492">
        <v>4100000246</v>
      </c>
      <c r="D521" s="492" t="s">
        <v>5154</v>
      </c>
      <c r="E521" s="492" t="s">
        <v>1809</v>
      </c>
      <c r="F521" s="492" t="s">
        <v>1808</v>
      </c>
      <c r="G521" s="492" t="s">
        <v>4245</v>
      </c>
      <c r="H521" s="492" t="s">
        <v>1808</v>
      </c>
      <c r="I521" s="492" t="s">
        <v>4245</v>
      </c>
      <c r="J521" s="492" t="s">
        <v>4246</v>
      </c>
      <c r="K521" s="492" t="s">
        <v>1756</v>
      </c>
      <c r="L521" s="492" t="s">
        <v>2783</v>
      </c>
      <c r="M521" s="493" t="s">
        <v>1230</v>
      </c>
      <c r="N521" s="493" t="s">
        <v>1232</v>
      </c>
      <c r="O521" s="492" t="s">
        <v>1232</v>
      </c>
      <c r="P521" s="492" t="s">
        <v>469</v>
      </c>
      <c r="Q521" s="494">
        <v>44530</v>
      </c>
      <c r="R521" s="494">
        <v>45139</v>
      </c>
      <c r="S521" s="495">
        <v>1</v>
      </c>
      <c r="T521" s="495"/>
      <c r="U521" s="496">
        <v>5000000</v>
      </c>
      <c r="V521" s="496">
        <v>5000000</v>
      </c>
      <c r="W521" s="496">
        <v>5000000</v>
      </c>
      <c r="X521" s="496">
        <f t="shared" si="41"/>
        <v>0</v>
      </c>
      <c r="Y521" s="496">
        <f t="shared" si="42"/>
        <v>0</v>
      </c>
      <c r="Z521" s="496">
        <v>5000000</v>
      </c>
      <c r="AA521" s="496">
        <v>5000000</v>
      </c>
      <c r="AB521" s="496">
        <v>5000000</v>
      </c>
      <c r="AC521" s="496">
        <f t="shared" si="43"/>
        <v>0</v>
      </c>
      <c r="AD521" s="496">
        <f t="shared" si="44"/>
        <v>0</v>
      </c>
      <c r="AE521" s="496">
        <v>0</v>
      </c>
      <c r="AF521" s="496">
        <v>0</v>
      </c>
      <c r="AG521" s="497" t="s">
        <v>1250</v>
      </c>
      <c r="AH521" s="497" t="s">
        <v>1291</v>
      </c>
      <c r="AI521" s="497" t="s">
        <v>1268</v>
      </c>
      <c r="AJ521" s="497" t="s">
        <v>1234</v>
      </c>
      <c r="AK521" s="497" t="s">
        <v>1240</v>
      </c>
      <c r="AL521" s="49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row>
    <row r="522" spans="1:80" ht="18" customHeight="1" x14ac:dyDescent="0.25">
      <c r="A522" s="486">
        <f t="shared" si="40"/>
        <v>520</v>
      </c>
      <c r="B522" s="486" t="s">
        <v>4248</v>
      </c>
      <c r="C522" s="486">
        <v>2100000282</v>
      </c>
      <c r="D522" s="486" t="s">
        <v>5155</v>
      </c>
      <c r="E522" s="486" t="s">
        <v>1438</v>
      </c>
      <c r="F522" s="486" t="s">
        <v>1437</v>
      </c>
      <c r="G522" s="486" t="s">
        <v>3328</v>
      </c>
      <c r="H522" s="485" t="s">
        <v>1437</v>
      </c>
      <c r="I522" s="486" t="s">
        <v>3328</v>
      </c>
      <c r="J522" s="486" t="s">
        <v>3329</v>
      </c>
      <c r="K522" s="486" t="s">
        <v>1756</v>
      </c>
      <c r="L522" s="486" t="s">
        <v>2783</v>
      </c>
      <c r="M522" s="486" t="s">
        <v>1230</v>
      </c>
      <c r="N522" s="486" t="s">
        <v>1231</v>
      </c>
      <c r="O522" s="486" t="s">
        <v>1231</v>
      </c>
      <c r="P522" s="486" t="s">
        <v>469</v>
      </c>
      <c r="Q522" s="487">
        <v>44533</v>
      </c>
      <c r="R522" s="487">
        <v>45161</v>
      </c>
      <c r="S522" s="488">
        <v>1.5</v>
      </c>
      <c r="T522" s="488"/>
      <c r="U522" s="489">
        <v>2040112</v>
      </c>
      <c r="V522" s="489">
        <v>2040112</v>
      </c>
      <c r="W522" s="489">
        <v>2040112</v>
      </c>
      <c r="X522" s="489">
        <f t="shared" si="41"/>
        <v>0</v>
      </c>
      <c r="Y522" s="489">
        <f t="shared" si="42"/>
        <v>0</v>
      </c>
      <c r="Z522" s="489">
        <v>0</v>
      </c>
      <c r="AA522" s="489">
        <v>0</v>
      </c>
      <c r="AB522" s="489">
        <v>0</v>
      </c>
      <c r="AC522" s="489">
        <f t="shared" si="43"/>
        <v>0</v>
      </c>
      <c r="AD522" s="489">
        <f t="shared" si="44"/>
        <v>0</v>
      </c>
      <c r="AE522" s="489">
        <v>0</v>
      </c>
      <c r="AF522" s="489">
        <v>2040112</v>
      </c>
      <c r="AG522" s="490" t="s">
        <v>1245</v>
      </c>
      <c r="AH522" s="490" t="s">
        <v>1247</v>
      </c>
      <c r="AI522" s="490" t="s">
        <v>1248</v>
      </c>
      <c r="AJ522" s="490" t="s">
        <v>1246</v>
      </c>
      <c r="AK522" s="490" t="s">
        <v>1235</v>
      </c>
      <c r="AL522" s="491"/>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c r="BV522"/>
      <c r="BW522"/>
      <c r="BX522"/>
      <c r="BY522"/>
      <c r="BZ522"/>
      <c r="CA522"/>
      <c r="CB522"/>
    </row>
    <row r="523" spans="1:80" ht="18" customHeight="1" x14ac:dyDescent="0.25">
      <c r="A523" s="486">
        <f t="shared" si="40"/>
        <v>521</v>
      </c>
      <c r="B523" s="486" t="s">
        <v>2448</v>
      </c>
      <c r="C523" s="486">
        <v>6100000223</v>
      </c>
      <c r="D523" s="486" t="s">
        <v>5156</v>
      </c>
      <c r="E523" s="486" t="s">
        <v>1811</v>
      </c>
      <c r="F523" s="486" t="s">
        <v>1810</v>
      </c>
      <c r="G523" s="486" t="s">
        <v>4249</v>
      </c>
      <c r="H523" s="485" t="s">
        <v>1810</v>
      </c>
      <c r="I523" s="486" t="s">
        <v>4249</v>
      </c>
      <c r="J523" s="486" t="s">
        <v>4250</v>
      </c>
      <c r="K523" s="486" t="s">
        <v>1756</v>
      </c>
      <c r="L523" s="486" t="s">
        <v>2783</v>
      </c>
      <c r="M523" s="486" t="s">
        <v>1230</v>
      </c>
      <c r="N523" s="486" t="s">
        <v>1231</v>
      </c>
      <c r="O523" s="486" t="s">
        <v>1232</v>
      </c>
      <c r="P523" s="486" t="s">
        <v>469</v>
      </c>
      <c r="Q523" s="487">
        <v>44533</v>
      </c>
      <c r="R523" s="487">
        <v>45264</v>
      </c>
      <c r="S523" s="488">
        <v>1</v>
      </c>
      <c r="T523" s="488"/>
      <c r="U523" s="489">
        <v>5910000</v>
      </c>
      <c r="V523" s="489">
        <v>5910000</v>
      </c>
      <c r="W523" s="489">
        <v>5910000</v>
      </c>
      <c r="X523" s="489">
        <f t="shared" si="41"/>
        <v>0</v>
      </c>
      <c r="Y523" s="489">
        <f t="shared" si="42"/>
        <v>0</v>
      </c>
      <c r="Z523" s="489">
        <v>3169339</v>
      </c>
      <c r="AA523" s="489">
        <v>3169339</v>
      </c>
      <c r="AB523" s="489">
        <v>3169339</v>
      </c>
      <c r="AC523" s="489">
        <f t="shared" si="43"/>
        <v>0</v>
      </c>
      <c r="AD523" s="489">
        <f t="shared" si="44"/>
        <v>0</v>
      </c>
      <c r="AE523" s="489">
        <v>0</v>
      </c>
      <c r="AF523" s="489">
        <v>2740661</v>
      </c>
      <c r="AG523" s="490" t="s">
        <v>1888</v>
      </c>
      <c r="AH523" s="490" t="s">
        <v>1888</v>
      </c>
      <c r="AI523" s="490" t="s">
        <v>1342</v>
      </c>
      <c r="AJ523" s="490" t="s">
        <v>1234</v>
      </c>
      <c r="AK523" s="490" t="s">
        <v>1240</v>
      </c>
      <c r="AL523" s="491"/>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row>
    <row r="524" spans="1:80" ht="18" customHeight="1" x14ac:dyDescent="0.25">
      <c r="A524" s="486">
        <f t="shared" si="40"/>
        <v>522</v>
      </c>
      <c r="B524" s="486" t="s">
        <v>4254</v>
      </c>
      <c r="C524" s="486">
        <v>2100000281</v>
      </c>
      <c r="D524" s="486" t="s">
        <v>5157</v>
      </c>
      <c r="E524" s="486" t="s">
        <v>1818</v>
      </c>
      <c r="F524" s="486" t="s">
        <v>4253</v>
      </c>
      <c r="G524" s="486" t="s">
        <v>4251</v>
      </c>
      <c r="H524" s="485" t="s">
        <v>2615</v>
      </c>
      <c r="I524" s="486" t="s">
        <v>3478</v>
      </c>
      <c r="J524" s="486" t="s">
        <v>4252</v>
      </c>
      <c r="K524" s="486" t="s">
        <v>1756</v>
      </c>
      <c r="L524" s="486" t="s">
        <v>2783</v>
      </c>
      <c r="M524" s="486" t="s">
        <v>1230</v>
      </c>
      <c r="N524" s="486" t="s">
        <v>1231</v>
      </c>
      <c r="O524" s="486" t="s">
        <v>1231</v>
      </c>
      <c r="P524" s="486" t="s">
        <v>469</v>
      </c>
      <c r="Q524" s="487">
        <v>44533</v>
      </c>
      <c r="R524" s="487">
        <v>45635</v>
      </c>
      <c r="S524" s="488">
        <v>1</v>
      </c>
      <c r="T524" s="488"/>
      <c r="U524" s="489">
        <v>21450000</v>
      </c>
      <c r="V524" s="489">
        <v>21450000</v>
      </c>
      <c r="W524" s="489">
        <v>21450000</v>
      </c>
      <c r="X524" s="489">
        <f t="shared" si="41"/>
        <v>0</v>
      </c>
      <c r="Y524" s="489">
        <f t="shared" si="42"/>
        <v>0</v>
      </c>
      <c r="Z524" s="489">
        <v>10393104.51</v>
      </c>
      <c r="AA524" s="489">
        <v>10393104.51</v>
      </c>
      <c r="AB524" s="489">
        <v>10393104.51</v>
      </c>
      <c r="AC524" s="489">
        <f t="shared" si="43"/>
        <v>0</v>
      </c>
      <c r="AD524" s="489">
        <f t="shared" si="44"/>
        <v>0</v>
      </c>
      <c r="AE524" s="489">
        <v>0</v>
      </c>
      <c r="AF524" s="489">
        <v>11056895.49</v>
      </c>
      <c r="AG524" s="490" t="s">
        <v>1245</v>
      </c>
      <c r="AH524" s="490" t="s">
        <v>1242</v>
      </c>
      <c r="AI524" s="490" t="s">
        <v>1292</v>
      </c>
      <c r="AJ524" s="490" t="s">
        <v>1246</v>
      </c>
      <c r="AK524" s="490" t="s">
        <v>1240</v>
      </c>
      <c r="AL524" s="491"/>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c r="BV524"/>
      <c r="BW524"/>
      <c r="BX524"/>
      <c r="BY524"/>
      <c r="BZ524"/>
      <c r="CA524"/>
      <c r="CB524"/>
    </row>
    <row r="525" spans="1:80" ht="18" customHeight="1" x14ac:dyDescent="0.25">
      <c r="A525" s="486">
        <f t="shared" si="40"/>
        <v>523</v>
      </c>
      <c r="B525" s="486" t="s">
        <v>4258</v>
      </c>
      <c r="C525" s="486">
        <v>4100000247</v>
      </c>
      <c r="D525" s="486" t="s">
        <v>5158</v>
      </c>
      <c r="E525" s="486" t="s">
        <v>1813</v>
      </c>
      <c r="F525" s="486" t="s">
        <v>1812</v>
      </c>
      <c r="G525" s="486" t="s">
        <v>4255</v>
      </c>
      <c r="H525" s="485" t="s">
        <v>4526</v>
      </c>
      <c r="I525" s="486" t="s">
        <v>4256</v>
      </c>
      <c r="J525" s="486" t="s">
        <v>4257</v>
      </c>
      <c r="K525" s="486" t="s">
        <v>1756</v>
      </c>
      <c r="L525" s="486" t="s">
        <v>2783</v>
      </c>
      <c r="M525" s="486" t="s">
        <v>1230</v>
      </c>
      <c r="N525" s="486" t="s">
        <v>1231</v>
      </c>
      <c r="O525" s="486" t="s">
        <v>1232</v>
      </c>
      <c r="P525" s="486" t="s">
        <v>469</v>
      </c>
      <c r="Q525" s="487">
        <v>44537</v>
      </c>
      <c r="R525" s="487">
        <v>45635</v>
      </c>
      <c r="S525" s="488">
        <v>1</v>
      </c>
      <c r="T525" s="488"/>
      <c r="U525" s="489">
        <v>7860000</v>
      </c>
      <c r="V525" s="489">
        <v>7860000</v>
      </c>
      <c r="W525" s="489">
        <v>7860000</v>
      </c>
      <c r="X525" s="489">
        <f t="shared" si="41"/>
        <v>0</v>
      </c>
      <c r="Y525" s="489">
        <f t="shared" si="42"/>
        <v>0</v>
      </c>
      <c r="Z525" s="489">
        <v>7860000</v>
      </c>
      <c r="AA525" s="489">
        <v>7860000</v>
      </c>
      <c r="AB525" s="489">
        <v>7860000</v>
      </c>
      <c r="AC525" s="489">
        <f t="shared" si="43"/>
        <v>0</v>
      </c>
      <c r="AD525" s="489">
        <f t="shared" si="44"/>
        <v>0</v>
      </c>
      <c r="AE525" s="489">
        <v>0</v>
      </c>
      <c r="AF525" s="489">
        <v>0</v>
      </c>
      <c r="AG525" s="490" t="s">
        <v>1250</v>
      </c>
      <c r="AH525" s="490" t="s">
        <v>1291</v>
      </c>
      <c r="AI525" s="490" t="s">
        <v>1317</v>
      </c>
      <c r="AJ525" s="490" t="s">
        <v>1234</v>
      </c>
      <c r="AK525" s="490" t="s">
        <v>1240</v>
      </c>
      <c r="AL525" s="491"/>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row>
    <row r="526" spans="1:80" ht="18" customHeight="1" x14ac:dyDescent="0.25">
      <c r="A526" s="486">
        <f t="shared" si="40"/>
        <v>524</v>
      </c>
      <c r="B526" s="486" t="s">
        <v>4261</v>
      </c>
      <c r="C526" s="486">
        <v>5100000139</v>
      </c>
      <c r="D526" s="486" t="s">
        <v>5159</v>
      </c>
      <c r="E526" s="486" t="s">
        <v>1815</v>
      </c>
      <c r="F526" s="486" t="s">
        <v>1814</v>
      </c>
      <c r="G526" s="486" t="s">
        <v>4259</v>
      </c>
      <c r="H526" s="485" t="s">
        <v>4526</v>
      </c>
      <c r="I526" s="486" t="s">
        <v>4256</v>
      </c>
      <c r="J526" s="486" t="s">
        <v>4260</v>
      </c>
      <c r="K526" s="486" t="s">
        <v>1756</v>
      </c>
      <c r="L526" s="486" t="s">
        <v>2783</v>
      </c>
      <c r="M526" s="486" t="s">
        <v>1230</v>
      </c>
      <c r="N526" s="486" t="s">
        <v>1231</v>
      </c>
      <c r="O526" s="486" t="s">
        <v>1232</v>
      </c>
      <c r="P526" s="486" t="s">
        <v>469</v>
      </c>
      <c r="Q526" s="487">
        <v>44537</v>
      </c>
      <c r="R526" s="487">
        <v>45635</v>
      </c>
      <c r="S526" s="488">
        <v>1</v>
      </c>
      <c r="T526" s="488"/>
      <c r="U526" s="489">
        <v>12900000</v>
      </c>
      <c r="V526" s="489">
        <v>12900000</v>
      </c>
      <c r="W526" s="489">
        <v>12900000</v>
      </c>
      <c r="X526" s="489">
        <f t="shared" si="41"/>
        <v>0</v>
      </c>
      <c r="Y526" s="489">
        <f t="shared" si="42"/>
        <v>0</v>
      </c>
      <c r="Z526" s="489">
        <v>11091091.789999999</v>
      </c>
      <c r="AA526" s="489">
        <v>11091091.789999999</v>
      </c>
      <c r="AB526" s="489">
        <v>11091091.789999999</v>
      </c>
      <c r="AC526" s="489">
        <f t="shared" si="43"/>
        <v>0</v>
      </c>
      <c r="AD526" s="489">
        <f t="shared" si="44"/>
        <v>0</v>
      </c>
      <c r="AE526" s="489">
        <v>1808908.21</v>
      </c>
      <c r="AF526" s="489">
        <v>0</v>
      </c>
      <c r="AG526" s="490" t="s">
        <v>1288</v>
      </c>
      <c r="AH526" s="490" t="s">
        <v>1291</v>
      </c>
      <c r="AI526" s="490" t="s">
        <v>1317</v>
      </c>
      <c r="AJ526" s="490" t="s">
        <v>1234</v>
      </c>
      <c r="AK526" s="490" t="s">
        <v>1240</v>
      </c>
      <c r="AL526" s="491"/>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row>
    <row r="527" spans="1:80" ht="18" customHeight="1" x14ac:dyDescent="0.25">
      <c r="A527" s="492">
        <f t="shared" si="40"/>
        <v>525</v>
      </c>
      <c r="B527" s="492" t="s">
        <v>4264</v>
      </c>
      <c r="C527" s="492">
        <v>5100000140</v>
      </c>
      <c r="D527" s="492" t="s">
        <v>5160</v>
      </c>
      <c r="E527" s="492" t="s">
        <v>1817</v>
      </c>
      <c r="F527" s="492" t="s">
        <v>1816</v>
      </c>
      <c r="G527" s="492" t="s">
        <v>4262</v>
      </c>
      <c r="H527" s="492" t="s">
        <v>1816</v>
      </c>
      <c r="I527" s="492" t="s">
        <v>4262</v>
      </c>
      <c r="J527" s="492" t="s">
        <v>4263</v>
      </c>
      <c r="K527" s="492" t="s">
        <v>1756</v>
      </c>
      <c r="L527" s="492" t="s">
        <v>2783</v>
      </c>
      <c r="M527" s="493" t="s">
        <v>1230</v>
      </c>
      <c r="N527" s="493" t="s">
        <v>1232</v>
      </c>
      <c r="O527" s="492" t="s">
        <v>1232</v>
      </c>
      <c r="P527" s="492" t="s">
        <v>469</v>
      </c>
      <c r="Q527" s="494">
        <v>44546</v>
      </c>
      <c r="R527" s="494">
        <v>45663</v>
      </c>
      <c r="S527" s="495">
        <v>1</v>
      </c>
      <c r="T527" s="495"/>
      <c r="U527" s="496">
        <v>2500000</v>
      </c>
      <c r="V527" s="496">
        <v>2500000</v>
      </c>
      <c r="W527" s="496">
        <v>2500000</v>
      </c>
      <c r="X527" s="496">
        <f t="shared" si="41"/>
        <v>0</v>
      </c>
      <c r="Y527" s="496">
        <f t="shared" si="42"/>
        <v>0</v>
      </c>
      <c r="Z527" s="496">
        <v>2500000</v>
      </c>
      <c r="AA527" s="496">
        <v>2500000</v>
      </c>
      <c r="AB527" s="496">
        <v>2500000</v>
      </c>
      <c r="AC527" s="496">
        <f t="shared" si="43"/>
        <v>0</v>
      </c>
      <c r="AD527" s="496">
        <f t="shared" si="44"/>
        <v>0</v>
      </c>
      <c r="AE527" s="496">
        <v>0</v>
      </c>
      <c r="AF527" s="496">
        <v>0</v>
      </c>
      <c r="AG527" s="497" t="s">
        <v>1288</v>
      </c>
      <c r="AH527" s="497" t="s">
        <v>1291</v>
      </c>
      <c r="AI527" s="497" t="s">
        <v>1292</v>
      </c>
      <c r="AJ527" s="497" t="s">
        <v>1234</v>
      </c>
      <c r="AK527" s="497" t="s">
        <v>1240</v>
      </c>
      <c r="AL527" s="491"/>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c r="BV527"/>
      <c r="BW527"/>
      <c r="BX527"/>
      <c r="BY527"/>
      <c r="BZ527"/>
      <c r="CA527"/>
      <c r="CB527"/>
    </row>
    <row r="528" spans="1:80" ht="18" customHeight="1" x14ac:dyDescent="0.25">
      <c r="A528" s="486">
        <f t="shared" si="40"/>
        <v>526</v>
      </c>
      <c r="B528" s="486" t="s">
        <v>4267</v>
      </c>
      <c r="C528" s="486">
        <v>2100000283</v>
      </c>
      <c r="D528" s="486" t="s">
        <v>5161</v>
      </c>
      <c r="E528" s="486" t="s">
        <v>1820</v>
      </c>
      <c r="F528" s="486" t="s">
        <v>1819</v>
      </c>
      <c r="G528" s="486" t="s">
        <v>4265</v>
      </c>
      <c r="H528" s="485" t="s">
        <v>4522</v>
      </c>
      <c r="I528" s="486" t="s">
        <v>3548</v>
      </c>
      <c r="J528" s="486" t="s">
        <v>4266</v>
      </c>
      <c r="K528" s="486" t="s">
        <v>1756</v>
      </c>
      <c r="L528" s="486" t="s">
        <v>2783</v>
      </c>
      <c r="M528" s="486" t="s">
        <v>1230</v>
      </c>
      <c r="N528" s="486" t="s">
        <v>1231</v>
      </c>
      <c r="O528" s="486" t="s">
        <v>1231</v>
      </c>
      <c r="P528" s="486" t="s">
        <v>469</v>
      </c>
      <c r="Q528" s="487">
        <v>44547</v>
      </c>
      <c r="R528" s="487">
        <v>44973</v>
      </c>
      <c r="S528" s="488">
        <v>1.5</v>
      </c>
      <c r="T528" s="488"/>
      <c r="U528" s="489">
        <v>3737500</v>
      </c>
      <c r="V528" s="489">
        <v>3737500</v>
      </c>
      <c r="W528" s="489">
        <v>3737500</v>
      </c>
      <c r="X528" s="489">
        <f t="shared" si="41"/>
        <v>0</v>
      </c>
      <c r="Y528" s="489">
        <f t="shared" si="42"/>
        <v>0</v>
      </c>
      <c r="Z528" s="489">
        <v>1463205.8</v>
      </c>
      <c r="AA528" s="489">
        <v>1471097.63</v>
      </c>
      <c r="AB528" s="489">
        <v>1471097.63</v>
      </c>
      <c r="AC528" s="489">
        <f t="shared" si="43"/>
        <v>7891.8299999998417</v>
      </c>
      <c r="AD528" s="489">
        <f t="shared" si="44"/>
        <v>0</v>
      </c>
      <c r="AE528" s="489">
        <v>0</v>
      </c>
      <c r="AF528" s="489">
        <v>2266402.37</v>
      </c>
      <c r="AG528" s="490" t="s">
        <v>1245</v>
      </c>
      <c r="AH528" s="490" t="s">
        <v>1247</v>
      </c>
      <c r="AI528" s="490" t="s">
        <v>1269</v>
      </c>
      <c r="AJ528" s="490" t="s">
        <v>1246</v>
      </c>
      <c r="AK528" s="490" t="s">
        <v>1235</v>
      </c>
      <c r="AL528" s="491"/>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c r="BV528"/>
      <c r="BW528"/>
      <c r="BX528"/>
      <c r="BY528"/>
      <c r="BZ528"/>
      <c r="CA528"/>
      <c r="CB528"/>
    </row>
    <row r="529" spans="1:80" ht="18" customHeight="1" x14ac:dyDescent="0.25">
      <c r="A529" s="486">
        <f t="shared" si="40"/>
        <v>527</v>
      </c>
      <c r="B529" s="486" t="s">
        <v>4270</v>
      </c>
      <c r="C529" s="486">
        <v>1100000264</v>
      </c>
      <c r="D529" s="486" t="s">
        <v>5162</v>
      </c>
      <c r="E529" s="486" t="s">
        <v>1821</v>
      </c>
      <c r="F529" s="486" t="s">
        <v>1822</v>
      </c>
      <c r="G529" s="486" t="s">
        <v>4268</v>
      </c>
      <c r="H529" s="485" t="s">
        <v>2605</v>
      </c>
      <c r="I529" s="486" t="s">
        <v>3388</v>
      </c>
      <c r="J529" s="486" t="s">
        <v>4269</v>
      </c>
      <c r="K529" s="486" t="s">
        <v>1756</v>
      </c>
      <c r="L529" s="486" t="s">
        <v>2783</v>
      </c>
      <c r="M529" s="486" t="s">
        <v>1230</v>
      </c>
      <c r="N529" s="486" t="s">
        <v>1231</v>
      </c>
      <c r="O529" s="486" t="s">
        <v>1231</v>
      </c>
      <c r="P529" s="486" t="s">
        <v>1156</v>
      </c>
      <c r="Q529" s="487">
        <v>44547</v>
      </c>
      <c r="R529" s="487">
        <v>46399</v>
      </c>
      <c r="S529" s="488">
        <v>1</v>
      </c>
      <c r="T529" s="488"/>
      <c r="U529" s="489">
        <v>5806412</v>
      </c>
      <c r="V529" s="489">
        <v>5796412</v>
      </c>
      <c r="W529" s="489">
        <v>5796412</v>
      </c>
      <c r="X529" s="489">
        <f t="shared" si="41"/>
        <v>-10000</v>
      </c>
      <c r="Y529" s="489">
        <f t="shared" si="42"/>
        <v>0</v>
      </c>
      <c r="Z529" s="489">
        <v>4348666.67</v>
      </c>
      <c r="AA529" s="489">
        <v>4361217.6399999997</v>
      </c>
      <c r="AB529" s="489">
        <v>4361217.6399999997</v>
      </c>
      <c r="AC529" s="489">
        <f t="shared" si="43"/>
        <v>12550.969999999739</v>
      </c>
      <c r="AD529" s="489">
        <f t="shared" si="44"/>
        <v>0</v>
      </c>
      <c r="AE529" s="489">
        <v>0</v>
      </c>
      <c r="AF529" s="489">
        <v>1435194.3599999999</v>
      </c>
      <c r="AG529" s="490" t="s">
        <v>1237</v>
      </c>
      <c r="AH529" s="490" t="s">
        <v>1236</v>
      </c>
      <c r="AI529" s="490"/>
      <c r="AJ529" s="490" t="s">
        <v>1259</v>
      </c>
      <c r="AK529" s="490" t="s">
        <v>1260</v>
      </c>
      <c r="AL529" s="491"/>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row>
    <row r="530" spans="1:80" ht="18" customHeight="1" x14ac:dyDescent="0.25">
      <c r="A530" s="492">
        <f t="shared" si="40"/>
        <v>528</v>
      </c>
      <c r="B530" s="492" t="s">
        <v>4274</v>
      </c>
      <c r="C530" s="492">
        <v>3100000126</v>
      </c>
      <c r="D530" s="492" t="s">
        <v>5163</v>
      </c>
      <c r="E530" s="492" t="s">
        <v>4273</v>
      </c>
      <c r="F530" s="492" t="s">
        <v>1823</v>
      </c>
      <c r="G530" s="492" t="s">
        <v>4271</v>
      </c>
      <c r="H530" s="492" t="s">
        <v>1823</v>
      </c>
      <c r="I530" s="492" t="s">
        <v>4271</v>
      </c>
      <c r="J530" s="492" t="s">
        <v>4272</v>
      </c>
      <c r="K530" s="492" t="s">
        <v>1756</v>
      </c>
      <c r="L530" s="492" t="s">
        <v>2783</v>
      </c>
      <c r="M530" s="493" t="s">
        <v>1230</v>
      </c>
      <c r="N530" s="514" t="s">
        <v>1232</v>
      </c>
      <c r="O530" s="492" t="s">
        <v>1232</v>
      </c>
      <c r="P530" s="492" t="s">
        <v>469</v>
      </c>
      <c r="Q530" s="494">
        <v>44547</v>
      </c>
      <c r="R530" s="494">
        <v>44911</v>
      </c>
      <c r="S530" s="495">
        <v>1</v>
      </c>
      <c r="T530" s="495"/>
      <c r="U530" s="496">
        <v>5900000</v>
      </c>
      <c r="V530" s="496">
        <v>5900000</v>
      </c>
      <c r="W530" s="496">
        <v>5900000</v>
      </c>
      <c r="X530" s="496">
        <f t="shared" si="41"/>
        <v>0</v>
      </c>
      <c r="Y530" s="496">
        <f t="shared" si="42"/>
        <v>0</v>
      </c>
      <c r="Z530" s="496">
        <v>5900000</v>
      </c>
      <c r="AA530" s="496">
        <v>5900000</v>
      </c>
      <c r="AB530" s="496">
        <v>5900000</v>
      </c>
      <c r="AC530" s="496">
        <f t="shared" si="43"/>
        <v>0</v>
      </c>
      <c r="AD530" s="496">
        <f t="shared" si="44"/>
        <v>0</v>
      </c>
      <c r="AE530" s="496">
        <v>0</v>
      </c>
      <c r="AF530" s="496">
        <v>0</v>
      </c>
      <c r="AG530" s="497" t="s">
        <v>1233</v>
      </c>
      <c r="AH530" s="497" t="s">
        <v>1379</v>
      </c>
      <c r="AI530" s="497"/>
      <c r="AJ530" s="497" t="s">
        <v>1234</v>
      </c>
      <c r="AK530" s="497" t="s">
        <v>1278</v>
      </c>
      <c r="AL530" s="491"/>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c r="BV530"/>
      <c r="BW530"/>
      <c r="BX530"/>
      <c r="BY530"/>
      <c r="BZ530"/>
      <c r="CA530"/>
      <c r="CB530"/>
    </row>
    <row r="531" spans="1:80" ht="18" customHeight="1" x14ac:dyDescent="0.25">
      <c r="A531" s="486">
        <f t="shared" si="40"/>
        <v>529</v>
      </c>
      <c r="B531" s="486" t="s">
        <v>4278</v>
      </c>
      <c r="C531" s="486">
        <v>2100000284</v>
      </c>
      <c r="D531" s="486" t="s">
        <v>5164</v>
      </c>
      <c r="E531" s="486" t="s">
        <v>1824</v>
      </c>
      <c r="F531" s="486" t="s">
        <v>2686</v>
      </c>
      <c r="G531" s="486" t="s">
        <v>4276</v>
      </c>
      <c r="H531" s="485" t="s">
        <v>2686</v>
      </c>
      <c r="I531" s="486" t="s">
        <v>4276</v>
      </c>
      <c r="J531" s="486" t="s">
        <v>4277</v>
      </c>
      <c r="K531" s="486" t="s">
        <v>1756</v>
      </c>
      <c r="L531" s="486" t="s">
        <v>2783</v>
      </c>
      <c r="M531" s="486" t="s">
        <v>1230</v>
      </c>
      <c r="N531" s="486" t="s">
        <v>1231</v>
      </c>
      <c r="O531" s="486" t="s">
        <v>1232</v>
      </c>
      <c r="P531" s="486" t="s">
        <v>469</v>
      </c>
      <c r="Q531" s="487">
        <v>44547</v>
      </c>
      <c r="R531" s="487">
        <v>45460</v>
      </c>
      <c r="S531" s="488">
        <v>1.5</v>
      </c>
      <c r="T531" s="488"/>
      <c r="U531" s="489">
        <v>36323200</v>
      </c>
      <c r="V531" s="489">
        <v>36323200</v>
      </c>
      <c r="W531" s="489">
        <v>36323200</v>
      </c>
      <c r="X531" s="489">
        <f t="shared" si="41"/>
        <v>0</v>
      </c>
      <c r="Y531" s="489">
        <f t="shared" si="42"/>
        <v>0</v>
      </c>
      <c r="Z531" s="489">
        <v>6909796.8399999999</v>
      </c>
      <c r="AA531" s="489">
        <v>6909796.8399999999</v>
      </c>
      <c r="AB531" s="489">
        <v>6951615.3099999996</v>
      </c>
      <c r="AC531" s="489">
        <f t="shared" si="43"/>
        <v>41818.469999999739</v>
      </c>
      <c r="AD531" s="489">
        <f t="shared" si="44"/>
        <v>41818.469999999739</v>
      </c>
      <c r="AE531" s="489">
        <v>29371584.690000001</v>
      </c>
      <c r="AF531" s="489">
        <v>0</v>
      </c>
      <c r="AG531" s="490" t="s">
        <v>1245</v>
      </c>
      <c r="AH531" s="490" t="s">
        <v>1236</v>
      </c>
      <c r="AI531" s="490"/>
      <c r="AJ531" s="490" t="s">
        <v>1246</v>
      </c>
      <c r="AK531" s="490" t="s">
        <v>1235</v>
      </c>
      <c r="AL531" s="49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row>
    <row r="532" spans="1:80" ht="18" customHeight="1" x14ac:dyDescent="0.25">
      <c r="A532" s="486">
        <f t="shared" si="40"/>
        <v>530</v>
      </c>
      <c r="B532" s="486" t="s">
        <v>4279</v>
      </c>
      <c r="C532" s="486">
        <v>2100000285</v>
      </c>
      <c r="D532" s="486" t="s">
        <v>5165</v>
      </c>
      <c r="E532" s="486" t="s">
        <v>1824</v>
      </c>
      <c r="F532" s="486" t="s">
        <v>2686</v>
      </c>
      <c r="G532" s="486" t="s">
        <v>4276</v>
      </c>
      <c r="H532" s="485" t="s">
        <v>2686</v>
      </c>
      <c r="I532" s="486" t="s">
        <v>4276</v>
      </c>
      <c r="J532" s="486" t="s">
        <v>4277</v>
      </c>
      <c r="K532" s="486" t="s">
        <v>1756</v>
      </c>
      <c r="L532" s="486" t="s">
        <v>2783</v>
      </c>
      <c r="M532" s="486" t="s">
        <v>1230</v>
      </c>
      <c r="N532" s="486" t="s">
        <v>1231</v>
      </c>
      <c r="O532" s="486" t="s">
        <v>1232</v>
      </c>
      <c r="P532" s="486" t="s">
        <v>469</v>
      </c>
      <c r="Q532" s="487">
        <v>44547</v>
      </c>
      <c r="R532" s="487">
        <v>45460</v>
      </c>
      <c r="S532" s="488">
        <v>1.5</v>
      </c>
      <c r="T532" s="488"/>
      <c r="U532" s="489">
        <v>2476800</v>
      </c>
      <c r="V532" s="489">
        <v>2476800</v>
      </c>
      <c r="W532" s="489">
        <v>2476800</v>
      </c>
      <c r="X532" s="489">
        <f t="shared" si="41"/>
        <v>0</v>
      </c>
      <c r="Y532" s="489">
        <f t="shared" si="42"/>
        <v>0</v>
      </c>
      <c r="Z532" s="489">
        <v>0</v>
      </c>
      <c r="AA532" s="489">
        <v>0</v>
      </c>
      <c r="AB532" s="489">
        <v>0</v>
      </c>
      <c r="AC532" s="489">
        <f t="shared" si="43"/>
        <v>0</v>
      </c>
      <c r="AD532" s="489">
        <f t="shared" si="44"/>
        <v>0</v>
      </c>
      <c r="AE532" s="489">
        <v>2476800</v>
      </c>
      <c r="AF532" s="489">
        <v>0</v>
      </c>
      <c r="AG532" s="490" t="s">
        <v>1245</v>
      </c>
      <c r="AH532" s="490" t="s">
        <v>1236</v>
      </c>
      <c r="AI532" s="490"/>
      <c r="AJ532" s="490" t="s">
        <v>1246</v>
      </c>
      <c r="AK532" s="490" t="s">
        <v>1235</v>
      </c>
      <c r="AL532" s="491"/>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c r="BV532"/>
      <c r="BW532"/>
      <c r="BX532"/>
      <c r="BY532"/>
      <c r="BZ532"/>
      <c r="CA532"/>
      <c r="CB532"/>
    </row>
    <row r="533" spans="1:80" ht="18" customHeight="1" x14ac:dyDescent="0.25">
      <c r="A533" s="492">
        <f t="shared" si="40"/>
        <v>531</v>
      </c>
      <c r="B533" s="492" t="s">
        <v>4282</v>
      </c>
      <c r="C533" s="492">
        <v>6100000230</v>
      </c>
      <c r="D533" s="492" t="s">
        <v>5166</v>
      </c>
      <c r="E533" s="492" t="s">
        <v>1829</v>
      </c>
      <c r="F533" s="492" t="s">
        <v>1828</v>
      </c>
      <c r="G533" s="492" t="s">
        <v>4280</v>
      </c>
      <c r="H533" s="492" t="s">
        <v>1828</v>
      </c>
      <c r="I533" s="492" t="s">
        <v>4280</v>
      </c>
      <c r="J533" s="492" t="s">
        <v>4281</v>
      </c>
      <c r="K533" s="492" t="s">
        <v>1756</v>
      </c>
      <c r="L533" s="492" t="s">
        <v>2783</v>
      </c>
      <c r="M533" s="493" t="s">
        <v>1230</v>
      </c>
      <c r="N533" s="493" t="s">
        <v>1232</v>
      </c>
      <c r="O533" s="492" t="s">
        <v>1232</v>
      </c>
      <c r="P533" s="492" t="s">
        <v>469</v>
      </c>
      <c r="Q533" s="494">
        <v>44550</v>
      </c>
      <c r="R533" s="494">
        <v>44915</v>
      </c>
      <c r="S533" s="495">
        <v>1</v>
      </c>
      <c r="T533" s="495"/>
      <c r="U533" s="496">
        <v>15000000</v>
      </c>
      <c r="V533" s="496">
        <v>15000000</v>
      </c>
      <c r="W533" s="496">
        <v>15000000</v>
      </c>
      <c r="X533" s="496">
        <f t="shared" si="41"/>
        <v>0</v>
      </c>
      <c r="Y533" s="496">
        <f t="shared" si="42"/>
        <v>0</v>
      </c>
      <c r="Z533" s="496">
        <v>15000000</v>
      </c>
      <c r="AA533" s="496">
        <v>15000000</v>
      </c>
      <c r="AB533" s="496">
        <v>15000000</v>
      </c>
      <c r="AC533" s="496">
        <f t="shared" si="43"/>
        <v>0</v>
      </c>
      <c r="AD533" s="496">
        <f t="shared" si="44"/>
        <v>0</v>
      </c>
      <c r="AE533" s="496">
        <v>0</v>
      </c>
      <c r="AF533" s="496">
        <v>0</v>
      </c>
      <c r="AG533" s="497" t="s">
        <v>1888</v>
      </c>
      <c r="AH533" s="497" t="s">
        <v>1888</v>
      </c>
      <c r="AI533" s="497" t="s">
        <v>1342</v>
      </c>
      <c r="AJ533" s="497" t="s">
        <v>1234</v>
      </c>
      <c r="AK533" s="497" t="s">
        <v>1240</v>
      </c>
      <c r="AL533" s="491"/>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row>
    <row r="534" spans="1:80" ht="18" customHeight="1" x14ac:dyDescent="0.25">
      <c r="A534" s="492">
        <f t="shared" si="40"/>
        <v>532</v>
      </c>
      <c r="B534" s="492" t="s">
        <v>4285</v>
      </c>
      <c r="C534" s="492">
        <v>2100000286</v>
      </c>
      <c r="D534" s="492" t="s">
        <v>5167</v>
      </c>
      <c r="E534" s="492" t="s">
        <v>1831</v>
      </c>
      <c r="F534" s="492" t="s">
        <v>1830</v>
      </c>
      <c r="G534" s="492" t="s">
        <v>4283</v>
      </c>
      <c r="H534" s="492" t="s">
        <v>1830</v>
      </c>
      <c r="I534" s="492" t="s">
        <v>4283</v>
      </c>
      <c r="J534" s="492" t="s">
        <v>4284</v>
      </c>
      <c r="K534" s="492" t="s">
        <v>1756</v>
      </c>
      <c r="L534" s="492" t="s">
        <v>2783</v>
      </c>
      <c r="M534" s="493" t="s">
        <v>1230</v>
      </c>
      <c r="N534" s="493" t="s">
        <v>1232</v>
      </c>
      <c r="O534" s="492" t="s">
        <v>1231</v>
      </c>
      <c r="P534" s="492" t="s">
        <v>469</v>
      </c>
      <c r="Q534" s="494">
        <v>44550</v>
      </c>
      <c r="R534" s="494">
        <v>45524</v>
      </c>
      <c r="S534" s="495">
        <v>1.5</v>
      </c>
      <c r="T534" s="495"/>
      <c r="U534" s="496">
        <v>15900000</v>
      </c>
      <c r="V534" s="496">
        <v>15900000</v>
      </c>
      <c r="W534" s="496">
        <v>15900000</v>
      </c>
      <c r="X534" s="496">
        <f t="shared" si="41"/>
        <v>0</v>
      </c>
      <c r="Y534" s="496">
        <f t="shared" si="42"/>
        <v>0</v>
      </c>
      <c r="Z534" s="496">
        <v>0</v>
      </c>
      <c r="AA534" s="496">
        <v>0</v>
      </c>
      <c r="AB534" s="496">
        <v>0</v>
      </c>
      <c r="AC534" s="496">
        <f t="shared" si="43"/>
        <v>0</v>
      </c>
      <c r="AD534" s="496">
        <f t="shared" si="44"/>
        <v>0</v>
      </c>
      <c r="AE534" s="496">
        <v>0</v>
      </c>
      <c r="AF534" s="496">
        <v>15900000</v>
      </c>
      <c r="AG534" s="497" t="s">
        <v>1245</v>
      </c>
      <c r="AH534" s="497" t="s">
        <v>1247</v>
      </c>
      <c r="AI534" s="497" t="s">
        <v>1269</v>
      </c>
      <c r="AJ534" s="497" t="s">
        <v>1246</v>
      </c>
      <c r="AK534" s="497" t="s">
        <v>1235</v>
      </c>
      <c r="AL534" s="491"/>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row>
    <row r="535" spans="1:80" ht="18" customHeight="1" x14ac:dyDescent="0.25">
      <c r="A535" s="492">
        <f t="shared" si="40"/>
        <v>533</v>
      </c>
      <c r="B535" s="492" t="s">
        <v>4288</v>
      </c>
      <c r="C535" s="492">
        <v>3100000128</v>
      </c>
      <c r="D535" s="492" t="s">
        <v>5168</v>
      </c>
      <c r="E535" s="492" t="s">
        <v>1348</v>
      </c>
      <c r="F535" s="492" t="s">
        <v>1347</v>
      </c>
      <c r="G535" s="492" t="s">
        <v>4286</v>
      </c>
      <c r="H535" s="492" t="s">
        <v>1347</v>
      </c>
      <c r="I535" s="492" t="s">
        <v>4286</v>
      </c>
      <c r="J535" s="492" t="s">
        <v>4287</v>
      </c>
      <c r="K535" s="492" t="s">
        <v>1756</v>
      </c>
      <c r="L535" s="492" t="s">
        <v>2783</v>
      </c>
      <c r="M535" s="493" t="s">
        <v>1230</v>
      </c>
      <c r="N535" s="493" t="s">
        <v>1232</v>
      </c>
      <c r="O535" s="492" t="s">
        <v>1232</v>
      </c>
      <c r="P535" s="492" t="s">
        <v>469</v>
      </c>
      <c r="Q535" s="494">
        <v>44550</v>
      </c>
      <c r="R535" s="494">
        <v>44914</v>
      </c>
      <c r="S535" s="495">
        <v>1</v>
      </c>
      <c r="T535" s="495"/>
      <c r="U535" s="496">
        <v>50000000</v>
      </c>
      <c r="V535" s="496">
        <v>50000000</v>
      </c>
      <c r="W535" s="496">
        <v>50000000</v>
      </c>
      <c r="X535" s="496">
        <f t="shared" si="41"/>
        <v>0</v>
      </c>
      <c r="Y535" s="496">
        <f t="shared" si="42"/>
        <v>0</v>
      </c>
      <c r="Z535" s="496">
        <v>50000000</v>
      </c>
      <c r="AA535" s="496">
        <v>50000000</v>
      </c>
      <c r="AB535" s="496">
        <v>50000000</v>
      </c>
      <c r="AC535" s="496">
        <f t="shared" si="43"/>
        <v>0</v>
      </c>
      <c r="AD535" s="496">
        <f t="shared" si="44"/>
        <v>0</v>
      </c>
      <c r="AE535" s="496">
        <v>0</v>
      </c>
      <c r="AF535" s="496">
        <v>0</v>
      </c>
      <c r="AG535" s="497" t="s">
        <v>1233</v>
      </c>
      <c r="AH535" s="497" t="s">
        <v>1242</v>
      </c>
      <c r="AI535" s="497" t="s">
        <v>1349</v>
      </c>
      <c r="AJ535" s="497" t="s">
        <v>1234</v>
      </c>
      <c r="AK535" s="497" t="s">
        <v>1240</v>
      </c>
      <c r="AL535" s="491"/>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row>
    <row r="536" spans="1:80" ht="18" customHeight="1" x14ac:dyDescent="0.25">
      <c r="A536" s="492">
        <f t="shared" si="40"/>
        <v>534</v>
      </c>
      <c r="B536" s="492" t="s">
        <v>4291</v>
      </c>
      <c r="C536" s="492">
        <v>4100000249</v>
      </c>
      <c r="D536" s="492" t="s">
        <v>5169</v>
      </c>
      <c r="E536" s="492" t="s">
        <v>1826</v>
      </c>
      <c r="F536" s="492" t="s">
        <v>1825</v>
      </c>
      <c r="G536" s="492" t="s">
        <v>4289</v>
      </c>
      <c r="H536" s="492" t="s">
        <v>1825</v>
      </c>
      <c r="I536" s="492" t="s">
        <v>4289</v>
      </c>
      <c r="J536" s="492" t="s">
        <v>4290</v>
      </c>
      <c r="K536" s="492" t="s">
        <v>1756</v>
      </c>
      <c r="L536" s="492" t="s">
        <v>2783</v>
      </c>
      <c r="M536" s="493" t="s">
        <v>1230</v>
      </c>
      <c r="N536" s="493" t="s">
        <v>1232</v>
      </c>
      <c r="O536" s="492" t="s">
        <v>1232</v>
      </c>
      <c r="P536" s="492" t="s">
        <v>469</v>
      </c>
      <c r="Q536" s="494">
        <v>44552</v>
      </c>
      <c r="R536" s="494">
        <v>46378</v>
      </c>
      <c r="S536" s="495">
        <v>1</v>
      </c>
      <c r="T536" s="495"/>
      <c r="U536" s="496">
        <v>20500000</v>
      </c>
      <c r="V536" s="496">
        <v>20500000</v>
      </c>
      <c r="W536" s="496">
        <v>20500000</v>
      </c>
      <c r="X536" s="496">
        <f t="shared" si="41"/>
        <v>0</v>
      </c>
      <c r="Y536" s="496">
        <f t="shared" si="42"/>
        <v>0</v>
      </c>
      <c r="Z536" s="496">
        <v>20500000</v>
      </c>
      <c r="AA536" s="496">
        <v>20500000</v>
      </c>
      <c r="AB536" s="496">
        <v>20500000</v>
      </c>
      <c r="AC536" s="496">
        <f t="shared" si="43"/>
        <v>0</v>
      </c>
      <c r="AD536" s="496">
        <f t="shared" si="44"/>
        <v>0</v>
      </c>
      <c r="AE536" s="496">
        <v>0</v>
      </c>
      <c r="AF536" s="496">
        <v>0</v>
      </c>
      <c r="AG536" s="497" t="s">
        <v>1250</v>
      </c>
      <c r="AH536" s="497" t="s">
        <v>1291</v>
      </c>
      <c r="AI536" s="497" t="s">
        <v>1317</v>
      </c>
      <c r="AJ536" s="497" t="s">
        <v>1234</v>
      </c>
      <c r="AK536" s="497" t="s">
        <v>1240</v>
      </c>
      <c r="AL536" s="491"/>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row>
    <row r="537" spans="1:80" ht="18" customHeight="1" x14ac:dyDescent="0.25">
      <c r="A537" s="486">
        <f t="shared" si="40"/>
        <v>535</v>
      </c>
      <c r="B537" s="486" t="s">
        <v>4294</v>
      </c>
      <c r="C537" s="486">
        <v>2100000290</v>
      </c>
      <c r="D537" s="486" t="s">
        <v>5170</v>
      </c>
      <c r="E537" s="486" t="s">
        <v>1833</v>
      </c>
      <c r="F537" s="486" t="s">
        <v>1832</v>
      </c>
      <c r="G537" s="486" t="s">
        <v>4292</v>
      </c>
      <c r="H537" s="485" t="s">
        <v>2599</v>
      </c>
      <c r="I537" s="486" t="s">
        <v>3339</v>
      </c>
      <c r="J537" s="486" t="s">
        <v>4293</v>
      </c>
      <c r="K537" s="486" t="s">
        <v>1756</v>
      </c>
      <c r="L537" s="486" t="s">
        <v>2783</v>
      </c>
      <c r="M537" s="486" t="s">
        <v>1230</v>
      </c>
      <c r="N537" s="486" t="s">
        <v>1231</v>
      </c>
      <c r="O537" s="486" t="s">
        <v>1231</v>
      </c>
      <c r="P537" s="486" t="s">
        <v>469</v>
      </c>
      <c r="Q537" s="487">
        <v>44552</v>
      </c>
      <c r="R537" s="487">
        <v>45628</v>
      </c>
      <c r="S537" s="488">
        <v>1.5</v>
      </c>
      <c r="T537" s="488"/>
      <c r="U537" s="489">
        <v>17968244</v>
      </c>
      <c r="V537" s="489">
        <v>17968244</v>
      </c>
      <c r="W537" s="489">
        <v>17968244</v>
      </c>
      <c r="X537" s="489">
        <f t="shared" si="41"/>
        <v>0</v>
      </c>
      <c r="Y537" s="489">
        <f t="shared" si="42"/>
        <v>0</v>
      </c>
      <c r="Z537" s="489">
        <v>0</v>
      </c>
      <c r="AA537" s="489">
        <v>0</v>
      </c>
      <c r="AB537" s="489">
        <v>8327000</v>
      </c>
      <c r="AC537" s="489">
        <f t="shared" si="43"/>
        <v>8327000</v>
      </c>
      <c r="AD537" s="489">
        <f t="shared" si="44"/>
        <v>8327000</v>
      </c>
      <c r="AE537" s="489">
        <v>0</v>
      </c>
      <c r="AF537" s="489">
        <v>9641244</v>
      </c>
      <c r="AG537" s="490" t="s">
        <v>1245</v>
      </c>
      <c r="AH537" s="490" t="s">
        <v>1247</v>
      </c>
      <c r="AI537" s="490" t="s">
        <v>1248</v>
      </c>
      <c r="AJ537" s="490" t="s">
        <v>1246</v>
      </c>
      <c r="AK537" s="490" t="s">
        <v>1235</v>
      </c>
      <c r="AL537" s="491"/>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row>
    <row r="538" spans="1:80" ht="18" customHeight="1" x14ac:dyDescent="0.25">
      <c r="A538" s="492">
        <f t="shared" si="40"/>
        <v>536</v>
      </c>
      <c r="B538" s="492" t="s">
        <v>4297</v>
      </c>
      <c r="C538" s="492">
        <v>4100000250</v>
      </c>
      <c r="D538" s="492" t="s">
        <v>5171</v>
      </c>
      <c r="E538" s="492" t="s">
        <v>5172</v>
      </c>
      <c r="F538" s="492" t="s">
        <v>1827</v>
      </c>
      <c r="G538" s="492" t="s">
        <v>4295</v>
      </c>
      <c r="H538" s="492" t="s">
        <v>1827</v>
      </c>
      <c r="I538" s="492" t="s">
        <v>4295</v>
      </c>
      <c r="J538" s="492" t="s">
        <v>4296</v>
      </c>
      <c r="K538" s="492" t="s">
        <v>1756</v>
      </c>
      <c r="L538" s="492" t="s">
        <v>2783</v>
      </c>
      <c r="M538" s="493" t="s">
        <v>1230</v>
      </c>
      <c r="N538" s="493" t="s">
        <v>1232</v>
      </c>
      <c r="O538" s="492" t="s">
        <v>1232</v>
      </c>
      <c r="P538" s="492" t="s">
        <v>469</v>
      </c>
      <c r="Q538" s="494">
        <v>44553</v>
      </c>
      <c r="R538" s="494">
        <v>45649</v>
      </c>
      <c r="S538" s="495">
        <v>1</v>
      </c>
      <c r="T538" s="495"/>
      <c r="U538" s="496">
        <v>2190000</v>
      </c>
      <c r="V538" s="496">
        <v>2190000</v>
      </c>
      <c r="W538" s="496">
        <v>2190000</v>
      </c>
      <c r="X538" s="496">
        <f t="shared" si="41"/>
        <v>0</v>
      </c>
      <c r="Y538" s="496">
        <f t="shared" si="42"/>
        <v>0</v>
      </c>
      <c r="Z538" s="496">
        <v>2190000</v>
      </c>
      <c r="AA538" s="496">
        <v>2190000</v>
      </c>
      <c r="AB538" s="496">
        <v>2190000</v>
      </c>
      <c r="AC538" s="496">
        <f t="shared" si="43"/>
        <v>0</v>
      </c>
      <c r="AD538" s="496">
        <f t="shared" si="44"/>
        <v>0</v>
      </c>
      <c r="AE538" s="496">
        <v>0</v>
      </c>
      <c r="AF538" s="496">
        <v>0</v>
      </c>
      <c r="AG538" s="497" t="s">
        <v>1250</v>
      </c>
      <c r="AH538" s="497" t="s">
        <v>1252</v>
      </c>
      <c r="AI538" s="497" t="s">
        <v>1248</v>
      </c>
      <c r="AJ538" s="497" t="s">
        <v>1234</v>
      </c>
      <c r="AK538" s="497" t="s">
        <v>1278</v>
      </c>
      <c r="AL538" s="491"/>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c r="BV538"/>
      <c r="BW538"/>
      <c r="BX538"/>
      <c r="BY538"/>
      <c r="BZ538"/>
      <c r="CA538"/>
      <c r="CB538"/>
    </row>
    <row r="539" spans="1:80" ht="18" customHeight="1" x14ac:dyDescent="0.25">
      <c r="A539" s="492">
        <f t="shared" si="40"/>
        <v>537</v>
      </c>
      <c r="B539" s="492" t="s">
        <v>4300</v>
      </c>
      <c r="C539" s="492">
        <v>3100000129</v>
      </c>
      <c r="D539" s="492" t="s">
        <v>5173</v>
      </c>
      <c r="E539" s="492" t="s">
        <v>1835</v>
      </c>
      <c r="F539" s="492" t="s">
        <v>1834</v>
      </c>
      <c r="G539" s="492" t="s">
        <v>4298</v>
      </c>
      <c r="H539" s="492" t="s">
        <v>1834</v>
      </c>
      <c r="I539" s="492" t="s">
        <v>4298</v>
      </c>
      <c r="J539" s="492" t="s">
        <v>4299</v>
      </c>
      <c r="K539" s="492" t="s">
        <v>1756</v>
      </c>
      <c r="L539" s="492" t="s">
        <v>2783</v>
      </c>
      <c r="M539" s="493" t="s">
        <v>1230</v>
      </c>
      <c r="N539" s="493" t="s">
        <v>1232</v>
      </c>
      <c r="O539" s="492" t="s">
        <v>1232</v>
      </c>
      <c r="P539" s="492" t="s">
        <v>469</v>
      </c>
      <c r="Q539" s="494">
        <v>44553</v>
      </c>
      <c r="R539" s="494">
        <v>45553</v>
      </c>
      <c r="S539" s="495">
        <v>1</v>
      </c>
      <c r="T539" s="495"/>
      <c r="U539" s="496">
        <v>5933537</v>
      </c>
      <c r="V539" s="496">
        <v>5933537</v>
      </c>
      <c r="W539" s="496">
        <v>5933537</v>
      </c>
      <c r="X539" s="496">
        <f t="shared" si="41"/>
        <v>0</v>
      </c>
      <c r="Y539" s="496">
        <f t="shared" si="42"/>
        <v>0</v>
      </c>
      <c r="Z539" s="496">
        <v>5869275.9400000004</v>
      </c>
      <c r="AA539" s="496">
        <v>5905938.8099999996</v>
      </c>
      <c r="AB539" s="496">
        <v>5905938.8099999996</v>
      </c>
      <c r="AC539" s="496">
        <f t="shared" si="43"/>
        <v>36662.86999999918</v>
      </c>
      <c r="AD539" s="496">
        <f t="shared" si="44"/>
        <v>0</v>
      </c>
      <c r="AE539" s="496">
        <v>0</v>
      </c>
      <c r="AF539" s="496">
        <v>27598.19</v>
      </c>
      <c r="AG539" s="497" t="s">
        <v>1233</v>
      </c>
      <c r="AH539" s="497" t="s">
        <v>1247</v>
      </c>
      <c r="AI539" s="497" t="s">
        <v>1269</v>
      </c>
      <c r="AJ539" s="497" t="s">
        <v>1234</v>
      </c>
      <c r="AK539" s="497" t="s">
        <v>1278</v>
      </c>
      <c r="AL539" s="491"/>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row>
    <row r="540" spans="1:80" ht="18" customHeight="1" x14ac:dyDescent="0.25">
      <c r="A540" s="486">
        <f t="shared" si="40"/>
        <v>538</v>
      </c>
      <c r="B540" s="486" t="s">
        <v>4304</v>
      </c>
      <c r="C540" s="486">
        <v>4100000252</v>
      </c>
      <c r="D540" s="486" t="s">
        <v>5174</v>
      </c>
      <c r="E540" s="486" t="s">
        <v>1836</v>
      </c>
      <c r="F540" s="486" t="s">
        <v>4303</v>
      </c>
      <c r="G540" s="486" t="s">
        <v>4301</v>
      </c>
      <c r="H540" s="485" t="s">
        <v>2607</v>
      </c>
      <c r="I540" s="486" t="s">
        <v>3400</v>
      </c>
      <c r="J540" s="486" t="s">
        <v>4302</v>
      </c>
      <c r="K540" s="486" t="s">
        <v>1756</v>
      </c>
      <c r="L540" s="486" t="s">
        <v>2783</v>
      </c>
      <c r="M540" s="486" t="s">
        <v>1230</v>
      </c>
      <c r="N540" s="486" t="s">
        <v>1231</v>
      </c>
      <c r="O540" s="486" t="s">
        <v>1232</v>
      </c>
      <c r="P540" s="486" t="s">
        <v>469</v>
      </c>
      <c r="Q540" s="487">
        <v>44559</v>
      </c>
      <c r="R540" s="487">
        <v>45726</v>
      </c>
      <c r="S540" s="488">
        <v>1</v>
      </c>
      <c r="T540" s="488"/>
      <c r="U540" s="489">
        <v>2763819</v>
      </c>
      <c r="V540" s="489">
        <v>2763819</v>
      </c>
      <c r="W540" s="489">
        <v>2763819</v>
      </c>
      <c r="X540" s="489">
        <f t="shared" si="41"/>
        <v>0</v>
      </c>
      <c r="Y540" s="489">
        <f t="shared" si="42"/>
        <v>0</v>
      </c>
      <c r="Z540" s="489">
        <v>2763819</v>
      </c>
      <c r="AA540" s="489">
        <v>2763819</v>
      </c>
      <c r="AB540" s="489">
        <v>2763819</v>
      </c>
      <c r="AC540" s="489">
        <f t="shared" si="43"/>
        <v>0</v>
      </c>
      <c r="AD540" s="489">
        <f t="shared" si="44"/>
        <v>0</v>
      </c>
      <c r="AE540" s="489">
        <v>0</v>
      </c>
      <c r="AF540" s="489">
        <v>0</v>
      </c>
      <c r="AG540" s="490" t="s">
        <v>1250</v>
      </c>
      <c r="AH540" s="490" t="s">
        <v>1298</v>
      </c>
      <c r="AI540" s="490"/>
      <c r="AJ540" s="490" t="s">
        <v>1234</v>
      </c>
      <c r="AK540" s="490" t="s">
        <v>1278</v>
      </c>
      <c r="AL540" s="491"/>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row>
    <row r="541" spans="1:80" ht="18" customHeight="1" x14ac:dyDescent="0.25">
      <c r="A541" s="486">
        <f t="shared" si="40"/>
        <v>539</v>
      </c>
      <c r="B541" s="486" t="s">
        <v>4305</v>
      </c>
      <c r="C541" s="486">
        <v>2100000292</v>
      </c>
      <c r="D541" s="486" t="s">
        <v>5175</v>
      </c>
      <c r="E541" s="486" t="s">
        <v>1836</v>
      </c>
      <c r="F541" s="486" t="s">
        <v>4303</v>
      </c>
      <c r="G541" s="486" t="s">
        <v>4301</v>
      </c>
      <c r="H541" s="485" t="s">
        <v>2607</v>
      </c>
      <c r="I541" s="486" t="s">
        <v>3400</v>
      </c>
      <c r="J541" s="486" t="s">
        <v>4302</v>
      </c>
      <c r="K541" s="486" t="s">
        <v>1756</v>
      </c>
      <c r="L541" s="486" t="s">
        <v>2783</v>
      </c>
      <c r="M541" s="486" t="s">
        <v>1230</v>
      </c>
      <c r="N541" s="486" t="s">
        <v>1231</v>
      </c>
      <c r="O541" s="486" t="s">
        <v>1231</v>
      </c>
      <c r="P541" s="486" t="s">
        <v>469</v>
      </c>
      <c r="Q541" s="487">
        <v>44559</v>
      </c>
      <c r="R541" s="487">
        <v>45726</v>
      </c>
      <c r="S541" s="488">
        <v>1.5</v>
      </c>
      <c r="T541" s="488"/>
      <c r="U541" s="489">
        <v>4661181</v>
      </c>
      <c r="V541" s="489">
        <v>4661181</v>
      </c>
      <c r="W541" s="489">
        <v>4661181</v>
      </c>
      <c r="X541" s="489">
        <f t="shared" si="41"/>
        <v>0</v>
      </c>
      <c r="Y541" s="489">
        <f t="shared" si="42"/>
        <v>0</v>
      </c>
      <c r="Z541" s="489">
        <v>0</v>
      </c>
      <c r="AA541" s="489">
        <v>1013662</v>
      </c>
      <c r="AB541" s="489">
        <v>1567983</v>
      </c>
      <c r="AC541" s="489">
        <f t="shared" si="43"/>
        <v>1567983</v>
      </c>
      <c r="AD541" s="489">
        <f t="shared" si="44"/>
        <v>554321</v>
      </c>
      <c r="AE541" s="489">
        <v>0</v>
      </c>
      <c r="AF541" s="489">
        <v>3093198</v>
      </c>
      <c r="AG541" s="490" t="s">
        <v>1245</v>
      </c>
      <c r="AH541" s="490" t="s">
        <v>1298</v>
      </c>
      <c r="AI541" s="490"/>
      <c r="AJ541" s="490" t="s">
        <v>1246</v>
      </c>
      <c r="AK541" s="490" t="s">
        <v>1235</v>
      </c>
      <c r="AL541" s="49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c r="BV541"/>
      <c r="BW541"/>
      <c r="BX541"/>
      <c r="BY541"/>
      <c r="BZ541"/>
      <c r="CA541"/>
      <c r="CB541"/>
    </row>
    <row r="542" spans="1:80" ht="18" customHeight="1" x14ac:dyDescent="0.25">
      <c r="A542" s="492">
        <f t="shared" si="40"/>
        <v>540</v>
      </c>
      <c r="B542" s="492" t="s">
        <v>4309</v>
      </c>
      <c r="C542" s="492">
        <v>4100000253</v>
      </c>
      <c r="D542" s="492" t="s">
        <v>5176</v>
      </c>
      <c r="E542" s="492" t="s">
        <v>1893</v>
      </c>
      <c r="F542" s="492" t="s">
        <v>1894</v>
      </c>
      <c r="G542" s="492" t="s">
        <v>4307</v>
      </c>
      <c r="H542" s="492" t="s">
        <v>1894</v>
      </c>
      <c r="I542" s="492" t="s">
        <v>4307</v>
      </c>
      <c r="J542" s="492" t="s">
        <v>4308</v>
      </c>
      <c r="K542" s="492" t="s">
        <v>1756</v>
      </c>
      <c r="L542" s="492" t="s">
        <v>2783</v>
      </c>
      <c r="M542" s="493" t="s">
        <v>1230</v>
      </c>
      <c r="N542" s="493" t="s">
        <v>1232</v>
      </c>
      <c r="O542" s="492" t="s">
        <v>1232</v>
      </c>
      <c r="P542" s="492" t="s">
        <v>469</v>
      </c>
      <c r="Q542" s="494">
        <v>44565</v>
      </c>
      <c r="R542" s="494">
        <v>46462</v>
      </c>
      <c r="S542" s="498">
        <v>0.35</v>
      </c>
      <c r="T542" s="495"/>
      <c r="U542" s="496">
        <v>2240396</v>
      </c>
      <c r="V542" s="496">
        <v>2240396</v>
      </c>
      <c r="W542" s="496">
        <v>2240396</v>
      </c>
      <c r="X542" s="496">
        <f t="shared" si="41"/>
        <v>0</v>
      </c>
      <c r="Y542" s="496">
        <f t="shared" si="42"/>
        <v>0</v>
      </c>
      <c r="Z542" s="496">
        <v>2240396</v>
      </c>
      <c r="AA542" s="496">
        <v>2240396</v>
      </c>
      <c r="AB542" s="496">
        <v>2240396</v>
      </c>
      <c r="AC542" s="496">
        <f t="shared" si="43"/>
        <v>0</v>
      </c>
      <c r="AD542" s="496">
        <f t="shared" si="44"/>
        <v>0</v>
      </c>
      <c r="AE542" s="496">
        <v>0</v>
      </c>
      <c r="AF542" s="496">
        <v>0</v>
      </c>
      <c r="AG542" s="497" t="s">
        <v>1250</v>
      </c>
      <c r="AH542" s="497" t="s">
        <v>1252</v>
      </c>
      <c r="AI542" s="497" t="s">
        <v>1248</v>
      </c>
      <c r="AJ542" s="497" t="s">
        <v>1234</v>
      </c>
      <c r="AK542" s="497" t="s">
        <v>1251</v>
      </c>
      <c r="AL542" s="491"/>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c r="BV542"/>
      <c r="BW542"/>
      <c r="BX542"/>
      <c r="BY542"/>
      <c r="BZ542"/>
      <c r="CA542"/>
      <c r="CB542"/>
    </row>
    <row r="543" spans="1:80" ht="18" customHeight="1" x14ac:dyDescent="0.25">
      <c r="A543" s="492">
        <f t="shared" si="40"/>
        <v>541</v>
      </c>
      <c r="B543" s="492" t="s">
        <v>4312</v>
      </c>
      <c r="C543" s="492">
        <v>6100000239</v>
      </c>
      <c r="D543" s="492" t="s">
        <v>5177</v>
      </c>
      <c r="E543" s="492" t="s">
        <v>1482</v>
      </c>
      <c r="F543" s="492" t="s">
        <v>1481</v>
      </c>
      <c r="G543" s="492" t="s">
        <v>4310</v>
      </c>
      <c r="H543" s="492" t="s">
        <v>1481</v>
      </c>
      <c r="I543" s="492" t="s">
        <v>4310</v>
      </c>
      <c r="J543" s="492" t="s">
        <v>4311</v>
      </c>
      <c r="K543" s="492" t="s">
        <v>1756</v>
      </c>
      <c r="L543" s="492" t="s">
        <v>2783</v>
      </c>
      <c r="M543" s="493" t="s">
        <v>1230</v>
      </c>
      <c r="N543" s="493" t="s">
        <v>1232</v>
      </c>
      <c r="O543" s="492" t="s">
        <v>1232</v>
      </c>
      <c r="P543" s="492" t="s">
        <v>469</v>
      </c>
      <c r="Q543" s="494">
        <v>44575</v>
      </c>
      <c r="R543" s="494">
        <v>44929</v>
      </c>
      <c r="S543" s="495">
        <v>0.35</v>
      </c>
      <c r="T543" s="495"/>
      <c r="U543" s="496">
        <v>9338251.0800000001</v>
      </c>
      <c r="V543" s="496">
        <v>8801839.3599999994</v>
      </c>
      <c r="W543" s="496">
        <v>8801839.3599999994</v>
      </c>
      <c r="X543" s="496">
        <f t="shared" si="41"/>
        <v>-536411.72000000067</v>
      </c>
      <c r="Y543" s="496">
        <f t="shared" si="42"/>
        <v>0</v>
      </c>
      <c r="Z543" s="496">
        <v>8905358.4299999997</v>
      </c>
      <c r="AA543" s="496">
        <v>8368946.71</v>
      </c>
      <c r="AB543" s="496">
        <v>8368946.71</v>
      </c>
      <c r="AC543" s="496">
        <f t="shared" si="43"/>
        <v>-536411.71999999974</v>
      </c>
      <c r="AD543" s="496">
        <f t="shared" si="44"/>
        <v>0</v>
      </c>
      <c r="AE543" s="496">
        <v>0</v>
      </c>
      <c r="AF543" s="496">
        <v>432892.65</v>
      </c>
      <c r="AG543" s="497" t="s">
        <v>1888</v>
      </c>
      <c r="AH543" s="497" t="s">
        <v>1888</v>
      </c>
      <c r="AI543" s="497" t="s">
        <v>1342</v>
      </c>
      <c r="AJ543" s="497" t="s">
        <v>1234</v>
      </c>
      <c r="AK543" s="497" t="s">
        <v>1251</v>
      </c>
      <c r="AL543" s="491"/>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row>
    <row r="544" spans="1:80" ht="18" customHeight="1" x14ac:dyDescent="0.25">
      <c r="A544" s="486">
        <f t="shared" si="40"/>
        <v>542</v>
      </c>
      <c r="B544" s="486" t="s">
        <v>4313</v>
      </c>
      <c r="C544" s="486">
        <v>2200000188</v>
      </c>
      <c r="D544" s="486" t="s">
        <v>5178</v>
      </c>
      <c r="E544" s="486" t="s">
        <v>1644</v>
      </c>
      <c r="F544" s="486" t="s">
        <v>3975</v>
      </c>
      <c r="G544" s="486" t="s">
        <v>3973</v>
      </c>
      <c r="H544" s="485" t="s">
        <v>3975</v>
      </c>
      <c r="I544" s="486" t="s">
        <v>3973</v>
      </c>
      <c r="J544" s="486" t="s">
        <v>3974</v>
      </c>
      <c r="K544" s="486" t="s">
        <v>1756</v>
      </c>
      <c r="L544" s="486" t="s">
        <v>1473</v>
      </c>
      <c r="M544" s="486" t="s">
        <v>1230</v>
      </c>
      <c r="N544" s="486" t="s">
        <v>1231</v>
      </c>
      <c r="O544" s="486" t="s">
        <v>1232</v>
      </c>
      <c r="P544" s="486" t="s">
        <v>469</v>
      </c>
      <c r="Q544" s="487">
        <v>44578</v>
      </c>
      <c r="R544" s="487">
        <v>45497</v>
      </c>
      <c r="S544" s="488">
        <v>1.5</v>
      </c>
      <c r="T544" s="488">
        <v>0.3</v>
      </c>
      <c r="U544" s="489">
        <v>450000</v>
      </c>
      <c r="V544" s="489">
        <v>450000</v>
      </c>
      <c r="W544" s="489">
        <v>450000</v>
      </c>
      <c r="X544" s="489">
        <f t="shared" si="41"/>
        <v>0</v>
      </c>
      <c r="Y544" s="489">
        <f t="shared" si="42"/>
        <v>0</v>
      </c>
      <c r="Z544" s="489">
        <v>332500</v>
      </c>
      <c r="AA544" s="489">
        <v>392500</v>
      </c>
      <c r="AB544" s="489">
        <v>392500</v>
      </c>
      <c r="AC544" s="489">
        <f t="shared" si="43"/>
        <v>60000</v>
      </c>
      <c r="AD544" s="489">
        <f t="shared" si="44"/>
        <v>0</v>
      </c>
      <c r="AE544" s="489">
        <v>57500</v>
      </c>
      <c r="AF544" s="489">
        <v>0</v>
      </c>
      <c r="AG544" s="490" t="s">
        <v>1245</v>
      </c>
      <c r="AH544" s="490" t="s">
        <v>1247</v>
      </c>
      <c r="AI544" s="490" t="s">
        <v>1269</v>
      </c>
      <c r="AJ544" s="490" t="s">
        <v>1246</v>
      </c>
      <c r="AK544" s="490" t="s">
        <v>1235</v>
      </c>
      <c r="AL544" s="491"/>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row>
    <row r="545" spans="1:80" ht="18" customHeight="1" x14ac:dyDescent="0.25">
      <c r="A545" s="485">
        <f t="shared" si="40"/>
        <v>543</v>
      </c>
      <c r="B545" s="485" t="s">
        <v>4314</v>
      </c>
      <c r="C545" s="485">
        <v>4100000254</v>
      </c>
      <c r="D545" s="485" t="s">
        <v>5179</v>
      </c>
      <c r="E545" s="485" t="s">
        <v>1589</v>
      </c>
      <c r="F545" s="485" t="s">
        <v>1588</v>
      </c>
      <c r="G545" s="485" t="s">
        <v>3826</v>
      </c>
      <c r="H545" s="485" t="s">
        <v>1588</v>
      </c>
      <c r="I545" s="485" t="s">
        <v>3826</v>
      </c>
      <c r="J545" s="485" t="s">
        <v>3827</v>
      </c>
      <c r="K545" s="485" t="s">
        <v>1756</v>
      </c>
      <c r="L545" s="485" t="s">
        <v>2783</v>
      </c>
      <c r="M545" s="486" t="s">
        <v>1230</v>
      </c>
      <c r="N545" s="486" t="s">
        <v>1231</v>
      </c>
      <c r="O545" s="485" t="s">
        <v>1232</v>
      </c>
      <c r="P545" s="485" t="s">
        <v>469</v>
      </c>
      <c r="Q545" s="487">
        <v>44582</v>
      </c>
      <c r="R545" s="487">
        <v>45749</v>
      </c>
      <c r="S545" s="488">
        <v>0.35</v>
      </c>
      <c r="T545" s="488"/>
      <c r="U545" s="489">
        <v>15835670</v>
      </c>
      <c r="V545" s="489">
        <v>15835670</v>
      </c>
      <c r="W545" s="489">
        <v>15835670</v>
      </c>
      <c r="X545" s="489">
        <f t="shared" si="41"/>
        <v>0</v>
      </c>
      <c r="Y545" s="489">
        <f t="shared" si="42"/>
        <v>0</v>
      </c>
      <c r="Z545" s="489">
        <v>0</v>
      </c>
      <c r="AA545" s="489">
        <v>0</v>
      </c>
      <c r="AB545" s="489">
        <v>0</v>
      </c>
      <c r="AC545" s="489">
        <f t="shared" si="43"/>
        <v>0</v>
      </c>
      <c r="AD545" s="489">
        <f t="shared" si="44"/>
        <v>0</v>
      </c>
      <c r="AE545" s="489">
        <v>15835670</v>
      </c>
      <c r="AF545" s="489">
        <v>0</v>
      </c>
      <c r="AG545" s="490" t="s">
        <v>1250</v>
      </c>
      <c r="AH545" s="490" t="s">
        <v>1379</v>
      </c>
      <c r="AI545" s="490"/>
      <c r="AJ545" s="490" t="s">
        <v>1234</v>
      </c>
      <c r="AK545" s="490" t="s">
        <v>1251</v>
      </c>
      <c r="AL545" s="491"/>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c r="BV545"/>
      <c r="BW545"/>
      <c r="BX545"/>
      <c r="BY545"/>
      <c r="BZ545"/>
      <c r="CA545"/>
      <c r="CB545"/>
    </row>
    <row r="546" spans="1:80" ht="18" customHeight="1" x14ac:dyDescent="0.25">
      <c r="A546" s="492">
        <f t="shared" si="40"/>
        <v>544</v>
      </c>
      <c r="B546" s="492" t="s">
        <v>4317</v>
      </c>
      <c r="C546" s="492">
        <v>6100000241</v>
      </c>
      <c r="D546" s="492" t="s">
        <v>5180</v>
      </c>
      <c r="E546" s="492" t="s">
        <v>1895</v>
      </c>
      <c r="F546" s="492" t="s">
        <v>1896</v>
      </c>
      <c r="G546" s="492" t="s">
        <v>4315</v>
      </c>
      <c r="H546" s="492" t="s">
        <v>1896</v>
      </c>
      <c r="I546" s="492" t="s">
        <v>4315</v>
      </c>
      <c r="J546" s="492" t="s">
        <v>4316</v>
      </c>
      <c r="K546" s="492" t="s">
        <v>1756</v>
      </c>
      <c r="L546" s="492" t="s">
        <v>2783</v>
      </c>
      <c r="M546" s="493" t="s">
        <v>1230</v>
      </c>
      <c r="N546" s="493" t="s">
        <v>1232</v>
      </c>
      <c r="O546" s="492" t="s">
        <v>1232</v>
      </c>
      <c r="P546" s="492" t="s">
        <v>469</v>
      </c>
      <c r="Q546" s="494">
        <v>44592</v>
      </c>
      <c r="R546" s="494">
        <v>45350</v>
      </c>
      <c r="S546" s="495">
        <v>1</v>
      </c>
      <c r="T546" s="495"/>
      <c r="U546" s="496">
        <v>16500000</v>
      </c>
      <c r="V546" s="496">
        <v>16500000</v>
      </c>
      <c r="W546" s="496">
        <v>16500000</v>
      </c>
      <c r="X546" s="496">
        <f t="shared" si="41"/>
        <v>0</v>
      </c>
      <c r="Y546" s="496">
        <f t="shared" si="42"/>
        <v>0</v>
      </c>
      <c r="Z546" s="496">
        <v>16500000</v>
      </c>
      <c r="AA546" s="496">
        <v>16500000</v>
      </c>
      <c r="AB546" s="496">
        <v>16500000</v>
      </c>
      <c r="AC546" s="496">
        <f t="shared" si="43"/>
        <v>0</v>
      </c>
      <c r="AD546" s="496">
        <f t="shared" si="44"/>
        <v>0</v>
      </c>
      <c r="AE546" s="496">
        <v>0</v>
      </c>
      <c r="AF546" s="496">
        <v>0</v>
      </c>
      <c r="AG546" s="497" t="s">
        <v>1888</v>
      </c>
      <c r="AH546" s="497" t="s">
        <v>1888</v>
      </c>
      <c r="AI546" s="497" t="s">
        <v>1342</v>
      </c>
      <c r="AJ546" s="497" t="s">
        <v>1234</v>
      </c>
      <c r="AK546" s="497" t="s">
        <v>1240</v>
      </c>
      <c r="AL546" s="491"/>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c r="BV546"/>
      <c r="BW546"/>
      <c r="BX546"/>
      <c r="BY546"/>
      <c r="BZ546"/>
      <c r="CA546"/>
      <c r="CB546"/>
    </row>
    <row r="547" spans="1:80" ht="18" customHeight="1" x14ac:dyDescent="0.25">
      <c r="A547" s="486">
        <f t="shared" si="40"/>
        <v>545</v>
      </c>
      <c r="B547" s="486" t="s">
        <v>4320</v>
      </c>
      <c r="C547" s="486">
        <v>1100000268</v>
      </c>
      <c r="D547" s="486" t="s">
        <v>5181</v>
      </c>
      <c r="E547" s="486" t="s">
        <v>1869</v>
      </c>
      <c r="F547" s="486" t="s">
        <v>2687</v>
      </c>
      <c r="G547" s="486" t="s">
        <v>4318</v>
      </c>
      <c r="H547" s="485" t="s">
        <v>2687</v>
      </c>
      <c r="I547" s="486" t="s">
        <v>4318</v>
      </c>
      <c r="J547" s="486" t="s">
        <v>4319</v>
      </c>
      <c r="K547" s="486" t="s">
        <v>1756</v>
      </c>
      <c r="L547" s="486" t="s">
        <v>2783</v>
      </c>
      <c r="M547" s="486" t="s">
        <v>1230</v>
      </c>
      <c r="N547" s="486" t="s">
        <v>1231</v>
      </c>
      <c r="O547" s="486" t="s">
        <v>1232</v>
      </c>
      <c r="P547" s="486" t="s">
        <v>1156</v>
      </c>
      <c r="Q547" s="487">
        <v>44593</v>
      </c>
      <c r="R547" s="487">
        <v>46419</v>
      </c>
      <c r="S547" s="488">
        <v>1</v>
      </c>
      <c r="T547" s="488"/>
      <c r="U547" s="489">
        <v>5000000</v>
      </c>
      <c r="V547" s="489">
        <v>4956140</v>
      </c>
      <c r="W547" s="489">
        <v>4956140</v>
      </c>
      <c r="X547" s="489">
        <f t="shared" si="41"/>
        <v>-43860</v>
      </c>
      <c r="Y547" s="489">
        <f t="shared" si="42"/>
        <v>0</v>
      </c>
      <c r="Z547" s="489">
        <v>5000000</v>
      </c>
      <c r="AA547" s="489">
        <v>4956140</v>
      </c>
      <c r="AB547" s="489">
        <v>4956140</v>
      </c>
      <c r="AC547" s="489">
        <f t="shared" si="43"/>
        <v>-43860</v>
      </c>
      <c r="AD547" s="489">
        <f t="shared" si="44"/>
        <v>0</v>
      </c>
      <c r="AE547" s="489">
        <v>0</v>
      </c>
      <c r="AF547" s="489">
        <v>0</v>
      </c>
      <c r="AG547" s="490" t="s">
        <v>1237</v>
      </c>
      <c r="AH547" s="490" t="s">
        <v>1305</v>
      </c>
      <c r="AI547" s="490"/>
      <c r="AJ547" s="490" t="s">
        <v>1319</v>
      </c>
      <c r="AK547" s="490" t="s">
        <v>1260</v>
      </c>
      <c r="AL547" s="491"/>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c r="BV547"/>
      <c r="BW547"/>
      <c r="BX547"/>
      <c r="BY547"/>
      <c r="BZ547"/>
      <c r="CA547"/>
      <c r="CB547"/>
    </row>
    <row r="548" spans="1:80" ht="18" customHeight="1" x14ac:dyDescent="0.25">
      <c r="A548" s="486">
        <f t="shared" si="40"/>
        <v>546</v>
      </c>
      <c r="B548" s="486" t="s">
        <v>4321</v>
      </c>
      <c r="C548" s="486">
        <v>1100000269</v>
      </c>
      <c r="D548" s="486" t="s">
        <v>5182</v>
      </c>
      <c r="E548" s="486" t="s">
        <v>1869</v>
      </c>
      <c r="F548" s="486" t="s">
        <v>2687</v>
      </c>
      <c r="G548" s="486" t="s">
        <v>4318</v>
      </c>
      <c r="H548" s="485" t="s">
        <v>2687</v>
      </c>
      <c r="I548" s="486" t="s">
        <v>4318</v>
      </c>
      <c r="J548" s="486" t="s">
        <v>4319</v>
      </c>
      <c r="K548" s="486" t="s">
        <v>1756</v>
      </c>
      <c r="L548" s="486" t="s">
        <v>2783</v>
      </c>
      <c r="M548" s="486" t="s">
        <v>1230</v>
      </c>
      <c r="N548" s="486" t="s">
        <v>1231</v>
      </c>
      <c r="O548" s="486" t="s">
        <v>1232</v>
      </c>
      <c r="P548" s="486" t="s">
        <v>1156</v>
      </c>
      <c r="Q548" s="487">
        <v>44593</v>
      </c>
      <c r="R548" s="487">
        <v>46419</v>
      </c>
      <c r="S548" s="488">
        <v>1</v>
      </c>
      <c r="T548" s="488"/>
      <c r="U548" s="489">
        <v>5000000</v>
      </c>
      <c r="V548" s="489">
        <v>5000000</v>
      </c>
      <c r="W548" s="489">
        <v>5000000</v>
      </c>
      <c r="X548" s="489">
        <f t="shared" si="41"/>
        <v>0</v>
      </c>
      <c r="Y548" s="489">
        <f t="shared" si="42"/>
        <v>0</v>
      </c>
      <c r="Z548" s="489">
        <v>0</v>
      </c>
      <c r="AA548" s="489">
        <v>0</v>
      </c>
      <c r="AB548" s="489">
        <v>0</v>
      </c>
      <c r="AC548" s="489">
        <f t="shared" si="43"/>
        <v>0</v>
      </c>
      <c r="AD548" s="489">
        <f t="shared" si="44"/>
        <v>0</v>
      </c>
      <c r="AE548" s="489">
        <v>0</v>
      </c>
      <c r="AF548" s="489">
        <v>5000000</v>
      </c>
      <c r="AG548" s="490" t="s">
        <v>1237</v>
      </c>
      <c r="AH548" s="490" t="s">
        <v>1305</v>
      </c>
      <c r="AI548" s="490"/>
      <c r="AJ548" s="490" t="s">
        <v>1319</v>
      </c>
      <c r="AK548" s="490" t="s">
        <v>1260</v>
      </c>
      <c r="AL548" s="491"/>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c r="BV548"/>
      <c r="BW548"/>
      <c r="BX548"/>
      <c r="BY548"/>
      <c r="BZ548"/>
      <c r="CA548"/>
      <c r="CB548"/>
    </row>
    <row r="549" spans="1:80" ht="18" customHeight="1" x14ac:dyDescent="0.25">
      <c r="A549" s="486">
        <f t="shared" si="40"/>
        <v>547</v>
      </c>
      <c r="B549" s="486" t="s">
        <v>4324</v>
      </c>
      <c r="C549" s="486">
        <v>4100000255</v>
      </c>
      <c r="D549" s="486" t="s">
        <v>5183</v>
      </c>
      <c r="E549" s="486" t="s">
        <v>1899</v>
      </c>
      <c r="F549" s="486" t="s">
        <v>2689</v>
      </c>
      <c r="G549" s="486" t="s">
        <v>4322</v>
      </c>
      <c r="H549" s="485" t="s">
        <v>2689</v>
      </c>
      <c r="I549" s="486" t="s">
        <v>4322</v>
      </c>
      <c r="J549" s="486" t="s">
        <v>4323</v>
      </c>
      <c r="K549" s="486" t="s">
        <v>1756</v>
      </c>
      <c r="L549" s="486" t="s">
        <v>2783</v>
      </c>
      <c r="M549" s="486" t="s">
        <v>1230</v>
      </c>
      <c r="N549" s="486" t="s">
        <v>1231</v>
      </c>
      <c r="O549" s="486" t="s">
        <v>1232</v>
      </c>
      <c r="P549" s="486" t="s">
        <v>469</v>
      </c>
      <c r="Q549" s="487">
        <v>44594</v>
      </c>
      <c r="R549" s="487">
        <v>46420</v>
      </c>
      <c r="S549" s="488">
        <v>1</v>
      </c>
      <c r="T549" s="488"/>
      <c r="U549" s="489">
        <v>2590845</v>
      </c>
      <c r="V549" s="489">
        <v>2590845</v>
      </c>
      <c r="W549" s="489">
        <v>2590845</v>
      </c>
      <c r="X549" s="489">
        <f t="shared" si="41"/>
        <v>0</v>
      </c>
      <c r="Y549" s="489">
        <f t="shared" si="42"/>
        <v>0</v>
      </c>
      <c r="Z549" s="489">
        <v>2590845</v>
      </c>
      <c r="AA549" s="489">
        <v>2590845</v>
      </c>
      <c r="AB549" s="489">
        <v>2590845</v>
      </c>
      <c r="AC549" s="489">
        <f t="shared" si="43"/>
        <v>0</v>
      </c>
      <c r="AD549" s="489">
        <f t="shared" si="44"/>
        <v>0</v>
      </c>
      <c r="AE549" s="489">
        <v>0</v>
      </c>
      <c r="AF549" s="489">
        <v>0</v>
      </c>
      <c r="AG549" s="490" t="s">
        <v>1250</v>
      </c>
      <c r="AH549" s="490" t="s">
        <v>1291</v>
      </c>
      <c r="AI549" s="490" t="s">
        <v>1317</v>
      </c>
      <c r="AJ549" s="490" t="s">
        <v>1234</v>
      </c>
      <c r="AK549" s="490" t="s">
        <v>1240</v>
      </c>
      <c r="AL549" s="491"/>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c r="BV549"/>
      <c r="BW549"/>
      <c r="BX549"/>
      <c r="BY549"/>
      <c r="BZ549"/>
      <c r="CA549"/>
      <c r="CB549"/>
    </row>
    <row r="550" spans="1:80" ht="18" customHeight="1" x14ac:dyDescent="0.25">
      <c r="A550" s="486">
        <f t="shared" si="40"/>
        <v>548</v>
      </c>
      <c r="B550" s="486" t="s">
        <v>4325</v>
      </c>
      <c r="C550" s="486">
        <v>2100000294</v>
      </c>
      <c r="D550" s="486" t="s">
        <v>5184</v>
      </c>
      <c r="E550" s="486" t="s">
        <v>1899</v>
      </c>
      <c r="F550" s="486" t="s">
        <v>2689</v>
      </c>
      <c r="G550" s="486" t="s">
        <v>4322</v>
      </c>
      <c r="H550" s="485" t="s">
        <v>2689</v>
      </c>
      <c r="I550" s="486" t="s">
        <v>4322</v>
      </c>
      <c r="J550" s="486" t="s">
        <v>4323</v>
      </c>
      <c r="K550" s="486" t="s">
        <v>1756</v>
      </c>
      <c r="L550" s="486" t="s">
        <v>2783</v>
      </c>
      <c r="M550" s="486" t="s">
        <v>1230</v>
      </c>
      <c r="N550" s="486" t="s">
        <v>1231</v>
      </c>
      <c r="O550" s="486" t="s">
        <v>1231</v>
      </c>
      <c r="P550" s="486" t="s">
        <v>469</v>
      </c>
      <c r="Q550" s="487">
        <v>44594</v>
      </c>
      <c r="R550" s="487">
        <v>46420</v>
      </c>
      <c r="S550" s="488">
        <v>1</v>
      </c>
      <c r="T550" s="488"/>
      <c r="U550" s="489">
        <v>904240</v>
      </c>
      <c r="V550" s="489">
        <v>904240</v>
      </c>
      <c r="W550" s="489">
        <v>904240</v>
      </c>
      <c r="X550" s="489">
        <f t="shared" si="41"/>
        <v>0</v>
      </c>
      <c r="Y550" s="489">
        <f t="shared" si="42"/>
        <v>0</v>
      </c>
      <c r="Z550" s="489">
        <v>524855.07999999996</v>
      </c>
      <c r="AA550" s="489">
        <v>524855.07999999996</v>
      </c>
      <c r="AB550" s="489">
        <v>524855.07999999996</v>
      </c>
      <c r="AC550" s="489">
        <f t="shared" si="43"/>
        <v>0</v>
      </c>
      <c r="AD550" s="489">
        <f t="shared" si="44"/>
        <v>0</v>
      </c>
      <c r="AE550" s="489">
        <v>0</v>
      </c>
      <c r="AF550" s="489">
        <v>379384.92</v>
      </c>
      <c r="AG550" s="490" t="s">
        <v>1245</v>
      </c>
      <c r="AH550" s="490" t="s">
        <v>1242</v>
      </c>
      <c r="AI550" s="490" t="s">
        <v>1317</v>
      </c>
      <c r="AJ550" s="490" t="s">
        <v>1246</v>
      </c>
      <c r="AK550" s="490" t="s">
        <v>1240</v>
      </c>
      <c r="AL550" s="491"/>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row>
    <row r="551" spans="1:80" ht="18" customHeight="1" x14ac:dyDescent="0.25">
      <c r="A551" s="486">
        <f t="shared" si="40"/>
        <v>549</v>
      </c>
      <c r="B551" s="486" t="s">
        <v>4326</v>
      </c>
      <c r="C551" s="486">
        <v>2100000295</v>
      </c>
      <c r="D551" s="486" t="s">
        <v>5185</v>
      </c>
      <c r="E551" s="486" t="s">
        <v>1506</v>
      </c>
      <c r="F551" s="486" t="s">
        <v>2622</v>
      </c>
      <c r="G551" s="486" t="s">
        <v>3572</v>
      </c>
      <c r="H551" s="485" t="s">
        <v>2622</v>
      </c>
      <c r="I551" s="486" t="s">
        <v>3572</v>
      </c>
      <c r="J551" s="486" t="s">
        <v>3573</v>
      </c>
      <c r="K551" s="486" t="s">
        <v>1756</v>
      </c>
      <c r="L551" s="486" t="s">
        <v>2783</v>
      </c>
      <c r="M551" s="486" t="s">
        <v>1230</v>
      </c>
      <c r="N551" s="486" t="s">
        <v>1231</v>
      </c>
      <c r="O551" s="486" t="s">
        <v>1231</v>
      </c>
      <c r="P551" s="486" t="s">
        <v>469</v>
      </c>
      <c r="Q551" s="487">
        <v>44595</v>
      </c>
      <c r="R551" s="487">
        <v>45107</v>
      </c>
      <c r="S551" s="488">
        <v>1.5</v>
      </c>
      <c r="T551" s="488"/>
      <c r="U551" s="489">
        <v>326000</v>
      </c>
      <c r="V551" s="489">
        <v>326000</v>
      </c>
      <c r="W551" s="489">
        <v>326000</v>
      </c>
      <c r="X551" s="489">
        <f t="shared" si="41"/>
        <v>0</v>
      </c>
      <c r="Y551" s="489">
        <f t="shared" si="42"/>
        <v>0</v>
      </c>
      <c r="Z551" s="489">
        <v>11190.56</v>
      </c>
      <c r="AA551" s="489">
        <v>11190.56</v>
      </c>
      <c r="AB551" s="489">
        <v>11263.94</v>
      </c>
      <c r="AC551" s="489">
        <f t="shared" si="43"/>
        <v>73.380000000001019</v>
      </c>
      <c r="AD551" s="489">
        <f t="shared" si="44"/>
        <v>73.380000000001019</v>
      </c>
      <c r="AE551" s="489">
        <v>0</v>
      </c>
      <c r="AF551" s="489">
        <v>314736.06</v>
      </c>
      <c r="AG551" s="490" t="s">
        <v>1245</v>
      </c>
      <c r="AH551" s="490" t="s">
        <v>1247</v>
      </c>
      <c r="AI551" s="490" t="s">
        <v>1248</v>
      </c>
      <c r="AJ551" s="490" t="s">
        <v>1246</v>
      </c>
      <c r="AK551" s="490" t="s">
        <v>1235</v>
      </c>
      <c r="AL551" s="49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row>
    <row r="552" spans="1:80" ht="18" customHeight="1" x14ac:dyDescent="0.25">
      <c r="A552" s="492">
        <f t="shared" si="40"/>
        <v>550</v>
      </c>
      <c r="B552" s="492" t="s">
        <v>4329</v>
      </c>
      <c r="C552" s="492">
        <v>6100000243</v>
      </c>
      <c r="D552" s="492" t="s">
        <v>5186</v>
      </c>
      <c r="E552" s="492" t="s">
        <v>1897</v>
      </c>
      <c r="F552" s="492" t="s">
        <v>1898</v>
      </c>
      <c r="G552" s="492" t="s">
        <v>4327</v>
      </c>
      <c r="H552" s="492" t="s">
        <v>1898</v>
      </c>
      <c r="I552" s="492" t="s">
        <v>4327</v>
      </c>
      <c r="J552" s="492" t="s">
        <v>4328</v>
      </c>
      <c r="K552" s="492" t="s">
        <v>1756</v>
      </c>
      <c r="L552" s="492" t="s">
        <v>2783</v>
      </c>
      <c r="M552" s="493" t="s">
        <v>1230</v>
      </c>
      <c r="N552" s="493" t="s">
        <v>1232</v>
      </c>
      <c r="O552" s="492" t="s">
        <v>1232</v>
      </c>
      <c r="P552" s="492" t="s">
        <v>469</v>
      </c>
      <c r="Q552" s="494">
        <v>44596</v>
      </c>
      <c r="R552" s="494">
        <v>44963</v>
      </c>
      <c r="S552" s="495">
        <v>1</v>
      </c>
      <c r="T552" s="495"/>
      <c r="U552" s="496">
        <v>5700000</v>
      </c>
      <c r="V552" s="496">
        <v>5700000</v>
      </c>
      <c r="W552" s="496">
        <v>5700000</v>
      </c>
      <c r="X552" s="496">
        <f t="shared" si="41"/>
        <v>0</v>
      </c>
      <c r="Y552" s="496">
        <f t="shared" si="42"/>
        <v>0</v>
      </c>
      <c r="Z552" s="496">
        <v>5700000</v>
      </c>
      <c r="AA552" s="496">
        <v>5700000</v>
      </c>
      <c r="AB552" s="496">
        <v>5700000</v>
      </c>
      <c r="AC552" s="496">
        <f t="shared" si="43"/>
        <v>0</v>
      </c>
      <c r="AD552" s="496">
        <f t="shared" si="44"/>
        <v>0</v>
      </c>
      <c r="AE552" s="496">
        <v>0</v>
      </c>
      <c r="AF552" s="496">
        <v>0</v>
      </c>
      <c r="AG552" s="497" t="s">
        <v>1888</v>
      </c>
      <c r="AH552" s="497" t="s">
        <v>1888</v>
      </c>
      <c r="AI552" s="497" t="s">
        <v>1342</v>
      </c>
      <c r="AJ552" s="497" t="s">
        <v>1234</v>
      </c>
      <c r="AK552" s="497" t="s">
        <v>1240</v>
      </c>
      <c r="AL552" s="491"/>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row>
    <row r="553" spans="1:80" ht="18" customHeight="1" x14ac:dyDescent="0.25">
      <c r="A553" s="486">
        <f t="shared" si="40"/>
        <v>551</v>
      </c>
      <c r="B553" s="486" t="s">
        <v>2426</v>
      </c>
      <c r="C553" s="486">
        <v>1100000266</v>
      </c>
      <c r="D553" s="486" t="s">
        <v>5187</v>
      </c>
      <c r="E553" s="486" t="s">
        <v>1870</v>
      </c>
      <c r="F553" s="486" t="s">
        <v>2688</v>
      </c>
      <c r="G553" s="486" t="s">
        <v>4330</v>
      </c>
      <c r="H553" s="485" t="s">
        <v>2688</v>
      </c>
      <c r="I553" s="486" t="s">
        <v>4330</v>
      </c>
      <c r="J553" s="486" t="s">
        <v>4331</v>
      </c>
      <c r="K553" s="486" t="s">
        <v>1756</v>
      </c>
      <c r="L553" s="486" t="s">
        <v>2783</v>
      </c>
      <c r="M553" s="486" t="s">
        <v>1230</v>
      </c>
      <c r="N553" s="486" t="s">
        <v>1231</v>
      </c>
      <c r="O553" s="486" t="s">
        <v>1232</v>
      </c>
      <c r="P553" s="486" t="s">
        <v>1156</v>
      </c>
      <c r="Q553" s="487">
        <v>44596</v>
      </c>
      <c r="R553" s="487">
        <v>46422</v>
      </c>
      <c r="S553" s="488">
        <v>1</v>
      </c>
      <c r="T553" s="488"/>
      <c r="U553" s="489">
        <v>6000000</v>
      </c>
      <c r="V553" s="489">
        <v>6000000</v>
      </c>
      <c r="W553" s="489">
        <v>5600000</v>
      </c>
      <c r="X553" s="489">
        <f t="shared" si="41"/>
        <v>-400000</v>
      </c>
      <c r="Y553" s="489">
        <f t="shared" si="42"/>
        <v>-400000</v>
      </c>
      <c r="Z553" s="489">
        <v>6000000</v>
      </c>
      <c r="AA553" s="489">
        <v>6000000</v>
      </c>
      <c r="AB553" s="489">
        <v>5600000</v>
      </c>
      <c r="AC553" s="489">
        <f t="shared" si="43"/>
        <v>-400000</v>
      </c>
      <c r="AD553" s="489">
        <f t="shared" si="44"/>
        <v>-400000</v>
      </c>
      <c r="AE553" s="489">
        <v>0</v>
      </c>
      <c r="AF553" s="489">
        <v>0</v>
      </c>
      <c r="AG553" s="490" t="s">
        <v>1237</v>
      </c>
      <c r="AH553" s="490" t="s">
        <v>614</v>
      </c>
      <c r="AI553" s="490" t="s">
        <v>1238</v>
      </c>
      <c r="AJ553" s="490" t="s">
        <v>1238</v>
      </c>
      <c r="AK553" s="490" t="s">
        <v>1260</v>
      </c>
      <c r="AL553" s="491"/>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row>
    <row r="554" spans="1:80" ht="18" customHeight="1" x14ac:dyDescent="0.25">
      <c r="A554" s="486">
        <f t="shared" si="40"/>
        <v>552</v>
      </c>
      <c r="B554" s="486" t="s">
        <v>2427</v>
      </c>
      <c r="C554" s="486">
        <v>1100000267</v>
      </c>
      <c r="D554" s="486" t="s">
        <v>5188</v>
      </c>
      <c r="E554" s="486" t="s">
        <v>1870</v>
      </c>
      <c r="F554" s="486" t="s">
        <v>2688</v>
      </c>
      <c r="G554" s="486" t="s">
        <v>4330</v>
      </c>
      <c r="H554" s="485" t="s">
        <v>2688</v>
      </c>
      <c r="I554" s="486" t="s">
        <v>4330</v>
      </c>
      <c r="J554" s="486" t="s">
        <v>4331</v>
      </c>
      <c r="K554" s="486" t="s">
        <v>1756</v>
      </c>
      <c r="L554" s="486" t="s">
        <v>2783</v>
      </c>
      <c r="M554" s="486" t="s">
        <v>1230</v>
      </c>
      <c r="N554" s="486" t="s">
        <v>1231</v>
      </c>
      <c r="O554" s="486" t="s">
        <v>1232</v>
      </c>
      <c r="P554" s="486" t="s">
        <v>1156</v>
      </c>
      <c r="Q554" s="487">
        <v>44596</v>
      </c>
      <c r="R554" s="487">
        <v>46422</v>
      </c>
      <c r="S554" s="488">
        <v>1</v>
      </c>
      <c r="T554" s="488"/>
      <c r="U554" s="489">
        <v>9000000</v>
      </c>
      <c r="V554" s="489">
        <v>9000000</v>
      </c>
      <c r="W554" s="489">
        <v>9000000</v>
      </c>
      <c r="X554" s="489">
        <f t="shared" si="41"/>
        <v>0</v>
      </c>
      <c r="Y554" s="489">
        <f t="shared" si="42"/>
        <v>0</v>
      </c>
      <c r="Z554" s="489">
        <v>9000000</v>
      </c>
      <c r="AA554" s="489">
        <v>9000000</v>
      </c>
      <c r="AB554" s="489">
        <v>9000000</v>
      </c>
      <c r="AC554" s="489">
        <f t="shared" si="43"/>
        <v>0</v>
      </c>
      <c r="AD554" s="489">
        <f t="shared" si="44"/>
        <v>0</v>
      </c>
      <c r="AE554" s="489">
        <v>0</v>
      </c>
      <c r="AF554" s="489">
        <v>0</v>
      </c>
      <c r="AG554" s="490" t="s">
        <v>1237</v>
      </c>
      <c r="AH554" s="490" t="s">
        <v>614</v>
      </c>
      <c r="AI554" s="490" t="s">
        <v>1238</v>
      </c>
      <c r="AJ554" s="490" t="s">
        <v>1238</v>
      </c>
      <c r="AK554" s="490" t="s">
        <v>1260</v>
      </c>
      <c r="AL554" s="491"/>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c r="BV554"/>
      <c r="BW554"/>
      <c r="BX554"/>
      <c r="BY554"/>
      <c r="BZ554"/>
      <c r="CA554"/>
      <c r="CB554"/>
    </row>
    <row r="555" spans="1:80" ht="18" customHeight="1" x14ac:dyDescent="0.25">
      <c r="A555" s="486">
        <f t="shared" si="40"/>
        <v>553</v>
      </c>
      <c r="B555" s="486" t="s">
        <v>2425</v>
      </c>
      <c r="C555" s="486">
        <v>1100000270</v>
      </c>
      <c r="D555" s="486" t="s">
        <v>5189</v>
      </c>
      <c r="E555" s="486" t="s">
        <v>1870</v>
      </c>
      <c r="F555" s="486" t="s">
        <v>2688</v>
      </c>
      <c r="G555" s="486" t="s">
        <v>4330</v>
      </c>
      <c r="H555" s="485" t="s">
        <v>2688</v>
      </c>
      <c r="I555" s="486" t="s">
        <v>4330</v>
      </c>
      <c r="J555" s="486" t="s">
        <v>4331</v>
      </c>
      <c r="K555" s="486" t="s">
        <v>1281</v>
      </c>
      <c r="L555" s="486" t="s">
        <v>2783</v>
      </c>
      <c r="M555" s="486" t="s">
        <v>1230</v>
      </c>
      <c r="N555" s="486" t="s">
        <v>1231</v>
      </c>
      <c r="O555" s="486" t="s">
        <v>1232</v>
      </c>
      <c r="P555" s="486" t="s">
        <v>1156</v>
      </c>
      <c r="Q555" s="487">
        <v>44596</v>
      </c>
      <c r="R555" s="487">
        <v>46422</v>
      </c>
      <c r="S555" s="488">
        <v>1</v>
      </c>
      <c r="T555" s="488"/>
      <c r="U555" s="489">
        <v>5000000</v>
      </c>
      <c r="V555" s="489">
        <v>5000000</v>
      </c>
      <c r="W555" s="489">
        <v>5000000</v>
      </c>
      <c r="X555" s="489">
        <f t="shared" si="41"/>
        <v>0</v>
      </c>
      <c r="Y555" s="489">
        <f t="shared" si="42"/>
        <v>0</v>
      </c>
      <c r="Z555" s="489">
        <v>0</v>
      </c>
      <c r="AA555" s="489">
        <v>0</v>
      </c>
      <c r="AB555" s="489">
        <v>0</v>
      </c>
      <c r="AC555" s="489">
        <f t="shared" si="43"/>
        <v>0</v>
      </c>
      <c r="AD555" s="489">
        <f t="shared" si="44"/>
        <v>0</v>
      </c>
      <c r="AE555" s="489">
        <v>5000000</v>
      </c>
      <c r="AF555" s="489">
        <v>0</v>
      </c>
      <c r="AG555" s="490" t="s">
        <v>1237</v>
      </c>
      <c r="AH555" s="490" t="s">
        <v>614</v>
      </c>
      <c r="AI555" s="490" t="s">
        <v>1238</v>
      </c>
      <c r="AJ555" s="490" t="s">
        <v>1238</v>
      </c>
      <c r="AK555" s="490" t="s">
        <v>1260</v>
      </c>
      <c r="AL555" s="491"/>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row>
    <row r="556" spans="1:80" ht="18" customHeight="1" x14ac:dyDescent="0.25">
      <c r="A556" s="486">
        <f t="shared" si="40"/>
        <v>554</v>
      </c>
      <c r="B556" s="486" t="s">
        <v>4333</v>
      </c>
      <c r="C556" s="486">
        <v>1100000271</v>
      </c>
      <c r="D556" s="486" t="s">
        <v>5190</v>
      </c>
      <c r="E556" s="486" t="s">
        <v>1900</v>
      </c>
      <c r="F556" s="486" t="s">
        <v>124</v>
      </c>
      <c r="G556" s="486" t="s">
        <v>1073</v>
      </c>
      <c r="H556" s="485" t="s">
        <v>124</v>
      </c>
      <c r="I556" s="486" t="s">
        <v>1073</v>
      </c>
      <c r="J556" s="486" t="s">
        <v>4332</v>
      </c>
      <c r="K556" s="486" t="s">
        <v>1756</v>
      </c>
      <c r="L556" s="486" t="s">
        <v>2783</v>
      </c>
      <c r="M556" s="486" t="s">
        <v>1230</v>
      </c>
      <c r="N556" s="486" t="s">
        <v>1231</v>
      </c>
      <c r="O556" s="486" t="s">
        <v>1232</v>
      </c>
      <c r="P556" s="486" t="s">
        <v>1156</v>
      </c>
      <c r="Q556" s="487">
        <v>44597</v>
      </c>
      <c r="R556" s="487">
        <v>46426</v>
      </c>
      <c r="S556" s="488">
        <v>1</v>
      </c>
      <c r="T556" s="488"/>
      <c r="U556" s="489">
        <v>10000000</v>
      </c>
      <c r="V556" s="489">
        <v>10000000</v>
      </c>
      <c r="W556" s="489">
        <v>10000000</v>
      </c>
      <c r="X556" s="489">
        <f t="shared" si="41"/>
        <v>0</v>
      </c>
      <c r="Y556" s="489">
        <f t="shared" si="42"/>
        <v>0</v>
      </c>
      <c r="Z556" s="489">
        <v>10000000</v>
      </c>
      <c r="AA556" s="489">
        <v>10000000</v>
      </c>
      <c r="AB556" s="489">
        <v>10000000</v>
      </c>
      <c r="AC556" s="489">
        <f t="shared" si="43"/>
        <v>0</v>
      </c>
      <c r="AD556" s="489">
        <f t="shared" si="44"/>
        <v>0</v>
      </c>
      <c r="AE556" s="489">
        <v>0</v>
      </c>
      <c r="AF556" s="489">
        <v>0</v>
      </c>
      <c r="AG556" s="490" t="s">
        <v>1237</v>
      </c>
      <c r="AH556" s="490" t="s">
        <v>1254</v>
      </c>
      <c r="AI556" s="490"/>
      <c r="AJ556" s="490" t="s">
        <v>1253</v>
      </c>
      <c r="AK556" s="490" t="s">
        <v>1260</v>
      </c>
      <c r="AL556" s="491"/>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c r="BV556"/>
      <c r="BW556"/>
      <c r="BX556"/>
      <c r="BY556"/>
      <c r="BZ556"/>
      <c r="CA556"/>
      <c r="CB556"/>
    </row>
    <row r="557" spans="1:80" ht="18" customHeight="1" x14ac:dyDescent="0.25">
      <c r="A557" s="486">
        <f t="shared" si="40"/>
        <v>555</v>
      </c>
      <c r="B557" s="486" t="s">
        <v>4334</v>
      </c>
      <c r="C557" s="486">
        <v>1100000272</v>
      </c>
      <c r="D557" s="486" t="s">
        <v>5191</v>
      </c>
      <c r="E557" s="486" t="s">
        <v>1900</v>
      </c>
      <c r="F557" s="486" t="s">
        <v>124</v>
      </c>
      <c r="G557" s="486" t="s">
        <v>1073</v>
      </c>
      <c r="H557" s="485" t="s">
        <v>124</v>
      </c>
      <c r="I557" s="486" t="s">
        <v>1073</v>
      </c>
      <c r="J557" s="486" t="s">
        <v>4332</v>
      </c>
      <c r="K557" s="486" t="s">
        <v>1756</v>
      </c>
      <c r="L557" s="486" t="s">
        <v>2783</v>
      </c>
      <c r="M557" s="486" t="s">
        <v>1230</v>
      </c>
      <c r="N557" s="486" t="s">
        <v>1231</v>
      </c>
      <c r="O557" s="486" t="s">
        <v>1232</v>
      </c>
      <c r="P557" s="486" t="s">
        <v>1156</v>
      </c>
      <c r="Q557" s="487">
        <v>44597</v>
      </c>
      <c r="R557" s="487">
        <v>46426</v>
      </c>
      <c r="S557" s="488">
        <v>1</v>
      </c>
      <c r="T557" s="488"/>
      <c r="U557" s="489">
        <v>5000000</v>
      </c>
      <c r="V557" s="489">
        <v>5000000</v>
      </c>
      <c r="W557" s="489">
        <v>5000000</v>
      </c>
      <c r="X557" s="489">
        <f t="shared" si="41"/>
        <v>0</v>
      </c>
      <c r="Y557" s="489">
        <f t="shared" si="42"/>
        <v>0</v>
      </c>
      <c r="Z557" s="489">
        <v>5000000</v>
      </c>
      <c r="AA557" s="489">
        <v>5000000</v>
      </c>
      <c r="AB557" s="489">
        <v>5000000</v>
      </c>
      <c r="AC557" s="489">
        <f t="shared" si="43"/>
        <v>0</v>
      </c>
      <c r="AD557" s="489">
        <f t="shared" si="44"/>
        <v>0</v>
      </c>
      <c r="AE557" s="489">
        <v>0</v>
      </c>
      <c r="AF557" s="489">
        <v>0</v>
      </c>
      <c r="AG557" s="490" t="s">
        <v>1237</v>
      </c>
      <c r="AH557" s="490" t="s">
        <v>1254</v>
      </c>
      <c r="AI557" s="490"/>
      <c r="AJ557" s="490" t="s">
        <v>1253</v>
      </c>
      <c r="AK557" s="490" t="s">
        <v>1260</v>
      </c>
      <c r="AL557" s="491"/>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row>
    <row r="558" spans="1:80" ht="18" customHeight="1" x14ac:dyDescent="0.25">
      <c r="A558" s="486">
        <f t="shared" si="40"/>
        <v>556</v>
      </c>
      <c r="B558" s="486" t="s">
        <v>4335</v>
      </c>
      <c r="C558" s="486">
        <v>1100000274</v>
      </c>
      <c r="D558" s="486" t="s">
        <v>5192</v>
      </c>
      <c r="E558" s="486" t="s">
        <v>1900</v>
      </c>
      <c r="F558" s="486" t="s">
        <v>124</v>
      </c>
      <c r="G558" s="486" t="s">
        <v>1073</v>
      </c>
      <c r="H558" s="485" t="s">
        <v>124</v>
      </c>
      <c r="I558" s="486" t="s">
        <v>1073</v>
      </c>
      <c r="J558" s="486" t="s">
        <v>4332</v>
      </c>
      <c r="K558" s="486" t="s">
        <v>1756</v>
      </c>
      <c r="L558" s="486" t="s">
        <v>2783</v>
      </c>
      <c r="M558" s="486" t="s">
        <v>1230</v>
      </c>
      <c r="N558" s="486" t="s">
        <v>1231</v>
      </c>
      <c r="O558" s="486" t="s">
        <v>1232</v>
      </c>
      <c r="P558" s="486" t="s">
        <v>1156</v>
      </c>
      <c r="Q558" s="487">
        <v>44597</v>
      </c>
      <c r="R558" s="487">
        <v>46426</v>
      </c>
      <c r="S558" s="488">
        <v>1</v>
      </c>
      <c r="T558" s="488"/>
      <c r="U558" s="489">
        <v>8400000</v>
      </c>
      <c r="V558" s="489">
        <v>8400000</v>
      </c>
      <c r="W558" s="489">
        <v>8400000</v>
      </c>
      <c r="X558" s="489">
        <f t="shared" si="41"/>
        <v>0</v>
      </c>
      <c r="Y558" s="489">
        <f t="shared" si="42"/>
        <v>0</v>
      </c>
      <c r="Z558" s="489">
        <v>0</v>
      </c>
      <c r="AA558" s="489">
        <v>0</v>
      </c>
      <c r="AB558" s="489">
        <v>0</v>
      </c>
      <c r="AC558" s="489">
        <f t="shared" si="43"/>
        <v>0</v>
      </c>
      <c r="AD558" s="489">
        <f t="shared" si="44"/>
        <v>0</v>
      </c>
      <c r="AE558" s="489">
        <v>8400000</v>
      </c>
      <c r="AF558" s="489">
        <v>0</v>
      </c>
      <c r="AG558" s="490" t="s">
        <v>1237</v>
      </c>
      <c r="AH558" s="490" t="s">
        <v>1254</v>
      </c>
      <c r="AI558" s="490"/>
      <c r="AJ558" s="490" t="s">
        <v>1253</v>
      </c>
      <c r="AK558" s="490" t="s">
        <v>1260</v>
      </c>
      <c r="AL558" s="491"/>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row>
    <row r="559" spans="1:80" ht="18" customHeight="1" x14ac:dyDescent="0.25">
      <c r="A559" s="486">
        <f t="shared" si="40"/>
        <v>557</v>
      </c>
      <c r="B559" s="486" t="s">
        <v>4336</v>
      </c>
      <c r="C559" s="486">
        <v>1100000273</v>
      </c>
      <c r="D559" s="486" t="s">
        <v>5193</v>
      </c>
      <c r="E559" s="486" t="s">
        <v>1900</v>
      </c>
      <c r="F559" s="486" t="s">
        <v>124</v>
      </c>
      <c r="G559" s="486" t="s">
        <v>1073</v>
      </c>
      <c r="H559" s="485" t="s">
        <v>124</v>
      </c>
      <c r="I559" s="486" t="s">
        <v>1073</v>
      </c>
      <c r="J559" s="486" t="s">
        <v>4332</v>
      </c>
      <c r="K559" s="486" t="s">
        <v>1281</v>
      </c>
      <c r="L559" s="486" t="s">
        <v>2783</v>
      </c>
      <c r="M559" s="486" t="s">
        <v>1230</v>
      </c>
      <c r="N559" s="486" t="s">
        <v>1231</v>
      </c>
      <c r="O559" s="486" t="s">
        <v>1232</v>
      </c>
      <c r="P559" s="486" t="s">
        <v>1156</v>
      </c>
      <c r="Q559" s="487">
        <v>44597</v>
      </c>
      <c r="R559" s="487">
        <v>46426</v>
      </c>
      <c r="S559" s="488">
        <v>1</v>
      </c>
      <c r="T559" s="488"/>
      <c r="U559" s="489">
        <v>5000000</v>
      </c>
      <c r="V559" s="489">
        <v>5000000</v>
      </c>
      <c r="W559" s="489">
        <v>5000000</v>
      </c>
      <c r="X559" s="489">
        <f t="shared" si="41"/>
        <v>0</v>
      </c>
      <c r="Y559" s="489">
        <f t="shared" si="42"/>
        <v>0</v>
      </c>
      <c r="Z559" s="489">
        <v>0</v>
      </c>
      <c r="AA559" s="489">
        <v>0</v>
      </c>
      <c r="AB559" s="489">
        <v>0</v>
      </c>
      <c r="AC559" s="489">
        <f t="shared" si="43"/>
        <v>0</v>
      </c>
      <c r="AD559" s="489">
        <f t="shared" si="44"/>
        <v>0</v>
      </c>
      <c r="AE559" s="489">
        <v>5000000</v>
      </c>
      <c r="AF559" s="489">
        <v>0</v>
      </c>
      <c r="AG559" s="490" t="s">
        <v>1237</v>
      </c>
      <c r="AH559" s="490" t="s">
        <v>1254</v>
      </c>
      <c r="AI559" s="490"/>
      <c r="AJ559" s="490" t="s">
        <v>1253</v>
      </c>
      <c r="AK559" s="490" t="s">
        <v>1260</v>
      </c>
      <c r="AL559" s="491"/>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row>
    <row r="560" spans="1:80" ht="18" customHeight="1" x14ac:dyDescent="0.25">
      <c r="A560" s="486">
        <f t="shared" si="40"/>
        <v>558</v>
      </c>
      <c r="B560" s="486" t="s">
        <v>4338</v>
      </c>
      <c r="C560" s="486">
        <v>1100000275</v>
      </c>
      <c r="D560" s="486" t="s">
        <v>5194</v>
      </c>
      <c r="E560" s="486" t="s">
        <v>1900</v>
      </c>
      <c r="F560" s="486" t="s">
        <v>4337</v>
      </c>
      <c r="G560" s="486" t="s">
        <v>2764</v>
      </c>
      <c r="H560" s="485" t="s">
        <v>124</v>
      </c>
      <c r="I560" s="486" t="s">
        <v>1073</v>
      </c>
      <c r="J560" s="486" t="s">
        <v>4332</v>
      </c>
      <c r="K560" s="486" t="s">
        <v>1756</v>
      </c>
      <c r="L560" s="486" t="s">
        <v>2783</v>
      </c>
      <c r="M560" s="486" t="s">
        <v>1230</v>
      </c>
      <c r="N560" s="486" t="s">
        <v>1231</v>
      </c>
      <c r="O560" s="486" t="s">
        <v>1232</v>
      </c>
      <c r="P560" s="486" t="s">
        <v>1156</v>
      </c>
      <c r="Q560" s="487">
        <v>44597</v>
      </c>
      <c r="R560" s="487">
        <v>46426</v>
      </c>
      <c r="S560" s="488">
        <v>1</v>
      </c>
      <c r="T560" s="488"/>
      <c r="U560" s="489">
        <v>6600000</v>
      </c>
      <c r="V560" s="489">
        <v>6600000</v>
      </c>
      <c r="W560" s="489">
        <v>6600000</v>
      </c>
      <c r="X560" s="489">
        <f t="shared" si="41"/>
        <v>0</v>
      </c>
      <c r="Y560" s="489">
        <f t="shared" si="42"/>
        <v>0</v>
      </c>
      <c r="Z560" s="489">
        <v>0</v>
      </c>
      <c r="AA560" s="489">
        <v>0</v>
      </c>
      <c r="AB560" s="489">
        <v>0</v>
      </c>
      <c r="AC560" s="489">
        <f t="shared" si="43"/>
        <v>0</v>
      </c>
      <c r="AD560" s="489">
        <f t="shared" si="44"/>
        <v>0</v>
      </c>
      <c r="AE560" s="489">
        <v>6600000</v>
      </c>
      <c r="AF560" s="489">
        <v>0</v>
      </c>
      <c r="AG560" s="490" t="s">
        <v>1237</v>
      </c>
      <c r="AH560" s="490" t="s">
        <v>1254</v>
      </c>
      <c r="AI560" s="490"/>
      <c r="AJ560" s="490" t="s">
        <v>1253</v>
      </c>
      <c r="AK560" s="490" t="s">
        <v>1260</v>
      </c>
      <c r="AL560" s="491"/>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c r="BV560"/>
      <c r="BW560"/>
      <c r="BX560"/>
      <c r="BY560"/>
      <c r="BZ560"/>
      <c r="CA560"/>
      <c r="CB560"/>
    </row>
    <row r="561" spans="1:80" ht="18" customHeight="1" x14ac:dyDescent="0.25">
      <c r="A561" s="486">
        <f t="shared" si="40"/>
        <v>559</v>
      </c>
      <c r="B561" s="486" t="s">
        <v>4339</v>
      </c>
      <c r="C561" s="486">
        <v>1100000276</v>
      </c>
      <c r="D561" s="486" t="s">
        <v>5195</v>
      </c>
      <c r="E561" s="486" t="s">
        <v>327</v>
      </c>
      <c r="F561" s="486" t="s">
        <v>3179</v>
      </c>
      <c r="G561" s="486" t="s">
        <v>1102</v>
      </c>
      <c r="H561" s="485" t="s">
        <v>3179</v>
      </c>
      <c r="I561" s="486" t="s">
        <v>1102</v>
      </c>
      <c r="J561" s="486" t="s">
        <v>3178</v>
      </c>
      <c r="K561" s="486" t="s">
        <v>1756</v>
      </c>
      <c r="L561" s="486" t="s">
        <v>2783</v>
      </c>
      <c r="M561" s="486" t="s">
        <v>1230</v>
      </c>
      <c r="N561" s="486" t="s">
        <v>1231</v>
      </c>
      <c r="O561" s="486" t="s">
        <v>1232</v>
      </c>
      <c r="P561" s="486" t="s">
        <v>1156</v>
      </c>
      <c r="Q561" s="487">
        <v>44606</v>
      </c>
      <c r="R561" s="487">
        <v>44834</v>
      </c>
      <c r="S561" s="488">
        <v>1</v>
      </c>
      <c r="T561" s="488"/>
      <c r="U561" s="489">
        <v>3000000</v>
      </c>
      <c r="V561" s="489">
        <v>3000000</v>
      </c>
      <c r="W561" s="489">
        <v>3000000</v>
      </c>
      <c r="X561" s="489">
        <f t="shared" si="41"/>
        <v>0</v>
      </c>
      <c r="Y561" s="489">
        <f t="shared" si="42"/>
        <v>0</v>
      </c>
      <c r="Z561" s="489">
        <v>35846</v>
      </c>
      <c r="AA561" s="489">
        <v>35846</v>
      </c>
      <c r="AB561" s="489">
        <v>35846</v>
      </c>
      <c r="AC561" s="489">
        <f t="shared" si="43"/>
        <v>0</v>
      </c>
      <c r="AD561" s="489">
        <f t="shared" si="44"/>
        <v>0</v>
      </c>
      <c r="AE561" s="489">
        <v>2964154</v>
      </c>
      <c r="AF561" s="489">
        <v>0</v>
      </c>
      <c r="AG561" s="490" t="s">
        <v>1237</v>
      </c>
      <c r="AH561" s="490" t="s">
        <v>1236</v>
      </c>
      <c r="AI561" s="490"/>
      <c r="AJ561" s="490" t="s">
        <v>1259</v>
      </c>
      <c r="AK561" s="490" t="s">
        <v>1260</v>
      </c>
      <c r="AL561" s="49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row>
    <row r="562" spans="1:80" ht="18" customHeight="1" x14ac:dyDescent="0.25">
      <c r="A562" s="492">
        <f t="shared" si="40"/>
        <v>560</v>
      </c>
      <c r="B562" s="492" t="s">
        <v>4342</v>
      </c>
      <c r="C562" s="492">
        <v>1300000002</v>
      </c>
      <c r="D562" s="492" t="s">
        <v>5196</v>
      </c>
      <c r="E562" s="492" t="s">
        <v>1872</v>
      </c>
      <c r="F562" s="492" t="s">
        <v>2690</v>
      </c>
      <c r="G562" s="492" t="s">
        <v>4340</v>
      </c>
      <c r="H562" s="492" t="s">
        <v>2690</v>
      </c>
      <c r="I562" s="492" t="s">
        <v>4340</v>
      </c>
      <c r="J562" s="492" t="s">
        <v>4341</v>
      </c>
      <c r="K562" s="492" t="s">
        <v>1756</v>
      </c>
      <c r="L562" s="492" t="s">
        <v>1678</v>
      </c>
      <c r="M562" s="493" t="s">
        <v>1230</v>
      </c>
      <c r="N562" s="493" t="s">
        <v>1232</v>
      </c>
      <c r="O562" s="492" t="s">
        <v>1232</v>
      </c>
      <c r="P562" s="492" t="s">
        <v>1156</v>
      </c>
      <c r="Q562" s="494">
        <v>44615</v>
      </c>
      <c r="R562" s="494">
        <v>46441</v>
      </c>
      <c r="S562" s="495">
        <v>1</v>
      </c>
      <c r="T562" s="498"/>
      <c r="U562" s="496">
        <v>750000</v>
      </c>
      <c r="V562" s="496">
        <v>750000</v>
      </c>
      <c r="W562" s="496">
        <v>750000</v>
      </c>
      <c r="X562" s="496">
        <f t="shared" si="41"/>
        <v>0</v>
      </c>
      <c r="Y562" s="496">
        <f t="shared" si="42"/>
        <v>0</v>
      </c>
      <c r="Z562" s="496">
        <v>750000</v>
      </c>
      <c r="AA562" s="496">
        <v>750000</v>
      </c>
      <c r="AB562" s="496">
        <v>750000</v>
      </c>
      <c r="AC562" s="496">
        <f t="shared" si="43"/>
        <v>0</v>
      </c>
      <c r="AD562" s="496">
        <f t="shared" si="44"/>
        <v>0</v>
      </c>
      <c r="AE562" s="496">
        <v>0</v>
      </c>
      <c r="AF562" s="496">
        <v>0</v>
      </c>
      <c r="AG562" s="497" t="s">
        <v>1237</v>
      </c>
      <c r="AH562" s="497" t="s">
        <v>1419</v>
      </c>
      <c r="AI562" s="497"/>
      <c r="AJ562" s="497" t="s">
        <v>1419</v>
      </c>
      <c r="AK562" s="497" t="s">
        <v>1260</v>
      </c>
      <c r="AL562" s="491"/>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row>
    <row r="563" spans="1:80" ht="18" customHeight="1" x14ac:dyDescent="0.25">
      <c r="A563" s="486">
        <f t="shared" si="40"/>
        <v>561</v>
      </c>
      <c r="B563" s="486" t="s">
        <v>4343</v>
      </c>
      <c r="C563" s="486">
        <v>2100000298</v>
      </c>
      <c r="D563" s="486" t="s">
        <v>5197</v>
      </c>
      <c r="E563" s="486" t="s">
        <v>1401</v>
      </c>
      <c r="F563" s="486" t="s">
        <v>1400</v>
      </c>
      <c r="G563" s="486" t="s">
        <v>3194</v>
      </c>
      <c r="H563" s="485" t="s">
        <v>1400</v>
      </c>
      <c r="I563" s="486" t="s">
        <v>3194</v>
      </c>
      <c r="J563" s="486" t="s">
        <v>3195</v>
      </c>
      <c r="K563" s="486" t="s">
        <v>1756</v>
      </c>
      <c r="L563" s="486" t="s">
        <v>2783</v>
      </c>
      <c r="M563" s="486" t="s">
        <v>1230</v>
      </c>
      <c r="N563" s="486" t="s">
        <v>1231</v>
      </c>
      <c r="O563" s="486" t="s">
        <v>1231</v>
      </c>
      <c r="P563" s="486" t="s">
        <v>469</v>
      </c>
      <c r="Q563" s="487">
        <v>44617</v>
      </c>
      <c r="R563" s="487">
        <v>44770</v>
      </c>
      <c r="S563" s="488">
        <v>1.5</v>
      </c>
      <c r="T563" s="488"/>
      <c r="U563" s="489">
        <v>1002608</v>
      </c>
      <c r="V563" s="489">
        <v>1002608</v>
      </c>
      <c r="W563" s="489">
        <v>1002608</v>
      </c>
      <c r="X563" s="489">
        <f t="shared" si="41"/>
        <v>0</v>
      </c>
      <c r="Y563" s="489">
        <f t="shared" si="42"/>
        <v>0</v>
      </c>
      <c r="Z563" s="489">
        <v>769497.21</v>
      </c>
      <c r="AA563" s="489">
        <v>871600.96</v>
      </c>
      <c r="AB563" s="489">
        <v>930545.96</v>
      </c>
      <c r="AC563" s="489">
        <f t="shared" si="43"/>
        <v>161048.75</v>
      </c>
      <c r="AD563" s="489">
        <f t="shared" si="44"/>
        <v>58945</v>
      </c>
      <c r="AE563" s="489">
        <v>0</v>
      </c>
      <c r="AF563" s="489">
        <v>72062.040000000008</v>
      </c>
      <c r="AG563" s="490" t="s">
        <v>1245</v>
      </c>
      <c r="AH563" s="490" t="s">
        <v>1247</v>
      </c>
      <c r="AI563" s="490" t="s">
        <v>1248</v>
      </c>
      <c r="AJ563" s="490" t="s">
        <v>1246</v>
      </c>
      <c r="AK563" s="490" t="s">
        <v>1235</v>
      </c>
      <c r="AL563" s="491"/>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row>
    <row r="564" spans="1:80" ht="18" customHeight="1" x14ac:dyDescent="0.25">
      <c r="A564" s="486">
        <f t="shared" si="40"/>
        <v>562</v>
      </c>
      <c r="B564" s="485" t="s">
        <v>4344</v>
      </c>
      <c r="C564" s="485">
        <v>2100000299</v>
      </c>
      <c r="D564" s="485" t="s">
        <v>5198</v>
      </c>
      <c r="E564" s="486" t="s">
        <v>1465</v>
      </c>
      <c r="F564" s="486" t="s">
        <v>1464</v>
      </c>
      <c r="G564" s="486" t="s">
        <v>3821</v>
      </c>
      <c r="H564" s="485" t="s">
        <v>1464</v>
      </c>
      <c r="I564" s="486" t="s">
        <v>3821</v>
      </c>
      <c r="J564" s="486" t="s">
        <v>3822</v>
      </c>
      <c r="K564" s="486" t="s">
        <v>1756</v>
      </c>
      <c r="L564" s="486" t="s">
        <v>2783</v>
      </c>
      <c r="M564" s="486" t="s">
        <v>1230</v>
      </c>
      <c r="N564" s="486" t="s">
        <v>1231</v>
      </c>
      <c r="O564" s="486" t="s">
        <v>1231</v>
      </c>
      <c r="P564" s="486" t="s">
        <v>469</v>
      </c>
      <c r="Q564" s="487">
        <v>44617</v>
      </c>
      <c r="R564" s="487">
        <v>44804</v>
      </c>
      <c r="S564" s="488">
        <v>1.5</v>
      </c>
      <c r="T564" s="488"/>
      <c r="U564" s="489">
        <v>2409633</v>
      </c>
      <c r="V564" s="489">
        <v>2409633</v>
      </c>
      <c r="W564" s="489">
        <v>2409633</v>
      </c>
      <c r="X564" s="489">
        <f t="shared" si="41"/>
        <v>0</v>
      </c>
      <c r="Y564" s="489">
        <f t="shared" si="42"/>
        <v>0</v>
      </c>
      <c r="Z564" s="489">
        <v>12331</v>
      </c>
      <c r="AA564" s="489">
        <v>12331</v>
      </c>
      <c r="AB564" s="489">
        <v>12331</v>
      </c>
      <c r="AC564" s="489">
        <f t="shared" si="43"/>
        <v>0</v>
      </c>
      <c r="AD564" s="489">
        <f t="shared" si="44"/>
        <v>0</v>
      </c>
      <c r="AE564" s="489">
        <v>0</v>
      </c>
      <c r="AF564" s="489">
        <v>2397302</v>
      </c>
      <c r="AG564" s="490" t="s">
        <v>1245</v>
      </c>
      <c r="AH564" s="490" t="s">
        <v>1247</v>
      </c>
      <c r="AI564" s="490" t="s">
        <v>1269</v>
      </c>
      <c r="AJ564" s="490" t="s">
        <v>1246</v>
      </c>
      <c r="AK564" s="490" t="s">
        <v>1235</v>
      </c>
      <c r="AL564" s="491"/>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c r="BV564"/>
      <c r="BW564"/>
      <c r="BX564"/>
      <c r="BY564"/>
      <c r="BZ564"/>
      <c r="CA564"/>
      <c r="CB564"/>
    </row>
    <row r="565" spans="1:80" ht="18" customHeight="1" x14ac:dyDescent="0.25">
      <c r="A565" s="492">
        <f t="shared" si="40"/>
        <v>563</v>
      </c>
      <c r="B565" s="492" t="s">
        <v>4347</v>
      </c>
      <c r="C565" s="492">
        <v>6100000254</v>
      </c>
      <c r="D565" s="492" t="s">
        <v>5199</v>
      </c>
      <c r="E565" s="492" t="s">
        <v>1901</v>
      </c>
      <c r="F565" s="492" t="s">
        <v>1902</v>
      </c>
      <c r="G565" s="492" t="s">
        <v>4345</v>
      </c>
      <c r="H565" s="492" t="s">
        <v>1902</v>
      </c>
      <c r="I565" s="492" t="s">
        <v>4345</v>
      </c>
      <c r="J565" s="492" t="s">
        <v>4346</v>
      </c>
      <c r="K565" s="492" t="s">
        <v>1756</v>
      </c>
      <c r="L565" s="492" t="s">
        <v>2783</v>
      </c>
      <c r="M565" s="493" t="s">
        <v>1230</v>
      </c>
      <c r="N565" s="493" t="s">
        <v>1232</v>
      </c>
      <c r="O565" s="492" t="s">
        <v>1232</v>
      </c>
      <c r="P565" s="492" t="s">
        <v>469</v>
      </c>
      <c r="Q565" s="494">
        <v>44617</v>
      </c>
      <c r="R565" s="494">
        <v>45348</v>
      </c>
      <c r="S565" s="495">
        <v>1</v>
      </c>
      <c r="T565" s="495"/>
      <c r="U565" s="496">
        <v>23500000</v>
      </c>
      <c r="V565" s="496">
        <v>23500000</v>
      </c>
      <c r="W565" s="496">
        <v>23500000</v>
      </c>
      <c r="X565" s="496">
        <f t="shared" si="41"/>
        <v>0</v>
      </c>
      <c r="Y565" s="496">
        <f t="shared" si="42"/>
        <v>0</v>
      </c>
      <c r="Z565" s="496">
        <v>23500000</v>
      </c>
      <c r="AA565" s="496">
        <v>23500000</v>
      </c>
      <c r="AB565" s="496">
        <v>23500000</v>
      </c>
      <c r="AC565" s="496">
        <f t="shared" si="43"/>
        <v>0</v>
      </c>
      <c r="AD565" s="496">
        <f t="shared" si="44"/>
        <v>0</v>
      </c>
      <c r="AE565" s="496">
        <v>0</v>
      </c>
      <c r="AF565" s="496">
        <v>0</v>
      </c>
      <c r="AG565" s="497" t="s">
        <v>1888</v>
      </c>
      <c r="AH565" s="497" t="s">
        <v>1888</v>
      </c>
      <c r="AI565" s="497" t="s">
        <v>1342</v>
      </c>
      <c r="AJ565" s="497" t="s">
        <v>1234</v>
      </c>
      <c r="AK565" s="497" t="s">
        <v>1240</v>
      </c>
      <c r="AL565" s="491"/>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c r="BV565"/>
      <c r="BW565"/>
      <c r="BX565"/>
      <c r="BY565"/>
      <c r="BZ565"/>
      <c r="CA565"/>
      <c r="CB565"/>
    </row>
    <row r="566" spans="1:80" ht="18" customHeight="1" x14ac:dyDescent="0.25">
      <c r="A566" s="486">
        <f t="shared" si="40"/>
        <v>564</v>
      </c>
      <c r="B566" s="486" t="s">
        <v>4352</v>
      </c>
      <c r="C566" s="486">
        <v>4100000256</v>
      </c>
      <c r="D566" s="486" t="s">
        <v>5200</v>
      </c>
      <c r="E566" s="486" t="s">
        <v>4350</v>
      </c>
      <c r="F566" s="486" t="s">
        <v>4351</v>
      </c>
      <c r="G566" s="486" t="s">
        <v>4348</v>
      </c>
      <c r="H566" s="485" t="s">
        <v>4351</v>
      </c>
      <c r="I566" s="486" t="s">
        <v>4348</v>
      </c>
      <c r="J566" s="486" t="s">
        <v>4349</v>
      </c>
      <c r="K566" s="486" t="s">
        <v>1756</v>
      </c>
      <c r="L566" s="486" t="s">
        <v>2783</v>
      </c>
      <c r="M566" s="486" t="s">
        <v>1230</v>
      </c>
      <c r="N566" s="486" t="s">
        <v>1231</v>
      </c>
      <c r="O566" s="486" t="s">
        <v>1232</v>
      </c>
      <c r="P566" s="486" t="s">
        <v>469</v>
      </c>
      <c r="Q566" s="487">
        <v>44620</v>
      </c>
      <c r="R566" s="487">
        <v>46447</v>
      </c>
      <c r="S566" s="488">
        <v>0.35</v>
      </c>
      <c r="T566" s="488"/>
      <c r="U566" s="489">
        <v>3500000</v>
      </c>
      <c r="V566" s="489">
        <v>3500000</v>
      </c>
      <c r="W566" s="489">
        <v>3500000</v>
      </c>
      <c r="X566" s="489">
        <f t="shared" si="41"/>
        <v>0</v>
      </c>
      <c r="Y566" s="489">
        <f t="shared" si="42"/>
        <v>0</v>
      </c>
      <c r="Z566" s="489">
        <v>3500000</v>
      </c>
      <c r="AA566" s="489">
        <v>3500000</v>
      </c>
      <c r="AB566" s="489">
        <v>3500000</v>
      </c>
      <c r="AC566" s="489">
        <f t="shared" si="43"/>
        <v>0</v>
      </c>
      <c r="AD566" s="489">
        <f t="shared" si="44"/>
        <v>0</v>
      </c>
      <c r="AE566" s="489">
        <v>0</v>
      </c>
      <c r="AF566" s="489">
        <v>0</v>
      </c>
      <c r="AG566" s="490" t="s">
        <v>1250</v>
      </c>
      <c r="AH566" s="490" t="s">
        <v>1252</v>
      </c>
      <c r="AI566" s="490" t="s">
        <v>1248</v>
      </c>
      <c r="AJ566" s="490" t="s">
        <v>1234</v>
      </c>
      <c r="AK566" s="490" t="s">
        <v>1251</v>
      </c>
      <c r="AL566" s="491"/>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row>
    <row r="567" spans="1:80" ht="18" customHeight="1" x14ac:dyDescent="0.25">
      <c r="A567" s="486">
        <f t="shared" si="40"/>
        <v>565</v>
      </c>
      <c r="B567" s="486" t="s">
        <v>4353</v>
      </c>
      <c r="C567" s="486">
        <v>4100000257</v>
      </c>
      <c r="D567" s="486" t="s">
        <v>5201</v>
      </c>
      <c r="E567" s="486" t="s">
        <v>4350</v>
      </c>
      <c r="F567" s="486" t="s">
        <v>4351</v>
      </c>
      <c r="G567" s="486" t="s">
        <v>4348</v>
      </c>
      <c r="H567" s="485" t="s">
        <v>4351</v>
      </c>
      <c r="I567" s="486" t="s">
        <v>4348</v>
      </c>
      <c r="J567" s="486" t="s">
        <v>4349</v>
      </c>
      <c r="K567" s="486" t="s">
        <v>1756</v>
      </c>
      <c r="L567" s="486" t="s">
        <v>2783</v>
      </c>
      <c r="M567" s="486" t="s">
        <v>1230</v>
      </c>
      <c r="N567" s="486" t="s">
        <v>1231</v>
      </c>
      <c r="O567" s="486" t="s">
        <v>1232</v>
      </c>
      <c r="P567" s="486" t="s">
        <v>469</v>
      </c>
      <c r="Q567" s="487">
        <v>44620</v>
      </c>
      <c r="R567" s="487">
        <v>46447</v>
      </c>
      <c r="S567" s="488">
        <v>0.35</v>
      </c>
      <c r="T567" s="488"/>
      <c r="U567" s="489">
        <v>1600000</v>
      </c>
      <c r="V567" s="489">
        <v>1600000</v>
      </c>
      <c r="W567" s="489">
        <v>1600000</v>
      </c>
      <c r="X567" s="489">
        <f t="shared" si="41"/>
        <v>0</v>
      </c>
      <c r="Y567" s="489">
        <f t="shared" si="42"/>
        <v>0</v>
      </c>
      <c r="Z567" s="489">
        <v>0</v>
      </c>
      <c r="AA567" s="489">
        <v>0</v>
      </c>
      <c r="AB567" s="489">
        <v>0</v>
      </c>
      <c r="AC567" s="489">
        <f t="shared" si="43"/>
        <v>0</v>
      </c>
      <c r="AD567" s="489">
        <f t="shared" si="44"/>
        <v>0</v>
      </c>
      <c r="AE567" s="489">
        <v>0</v>
      </c>
      <c r="AF567" s="489">
        <v>1600000</v>
      </c>
      <c r="AG567" s="490" t="s">
        <v>1250</v>
      </c>
      <c r="AH567" s="490" t="s">
        <v>1252</v>
      </c>
      <c r="AI567" s="490" t="s">
        <v>1248</v>
      </c>
      <c r="AJ567" s="490" t="s">
        <v>1234</v>
      </c>
      <c r="AK567" s="490" t="s">
        <v>1251</v>
      </c>
      <c r="AL567" s="491"/>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row>
    <row r="568" spans="1:80" ht="18" customHeight="1" x14ac:dyDescent="0.25">
      <c r="A568" s="486">
        <f t="shared" si="40"/>
        <v>566</v>
      </c>
      <c r="B568" s="486" t="s">
        <v>4356</v>
      </c>
      <c r="C568" s="486">
        <v>2100000300</v>
      </c>
      <c r="D568" s="486" t="s">
        <v>5202</v>
      </c>
      <c r="E568" s="486" t="s">
        <v>1903</v>
      </c>
      <c r="F568" s="486" t="s">
        <v>1904</v>
      </c>
      <c r="G568" s="486" t="s">
        <v>4354</v>
      </c>
      <c r="H568" s="485" t="s">
        <v>2631</v>
      </c>
      <c r="I568" s="486" t="s">
        <v>3662</v>
      </c>
      <c r="J568" s="486" t="s">
        <v>4355</v>
      </c>
      <c r="K568" s="486" t="s">
        <v>1756</v>
      </c>
      <c r="L568" s="486" t="s">
        <v>2783</v>
      </c>
      <c r="M568" s="486" t="s">
        <v>1230</v>
      </c>
      <c r="N568" s="486" t="s">
        <v>1231</v>
      </c>
      <c r="O568" s="486" t="s">
        <v>1232</v>
      </c>
      <c r="P568" s="486" t="s">
        <v>469</v>
      </c>
      <c r="Q568" s="487">
        <v>44620</v>
      </c>
      <c r="R568" s="487">
        <v>45379</v>
      </c>
      <c r="S568" s="488">
        <v>1.5</v>
      </c>
      <c r="T568" s="488"/>
      <c r="U568" s="489">
        <v>32605762</v>
      </c>
      <c r="V568" s="489">
        <v>32605762</v>
      </c>
      <c r="W568" s="489">
        <v>32605762</v>
      </c>
      <c r="X568" s="489">
        <f t="shared" si="41"/>
        <v>0</v>
      </c>
      <c r="Y568" s="489">
        <f t="shared" si="42"/>
        <v>0</v>
      </c>
      <c r="Z568" s="489">
        <v>4883822.54</v>
      </c>
      <c r="AA568" s="489">
        <v>4883822.54</v>
      </c>
      <c r="AB568" s="489">
        <v>4917927.68</v>
      </c>
      <c r="AC568" s="489">
        <f t="shared" si="43"/>
        <v>34105.139999999665</v>
      </c>
      <c r="AD568" s="489">
        <f t="shared" si="44"/>
        <v>34105.139999999665</v>
      </c>
      <c r="AE568" s="489">
        <v>0</v>
      </c>
      <c r="AF568" s="489">
        <v>27687834.32</v>
      </c>
      <c r="AG568" s="490" t="s">
        <v>1245</v>
      </c>
      <c r="AH568" s="490" t="s">
        <v>1905</v>
      </c>
      <c r="AI568" s="490"/>
      <c r="AJ568" s="490" t="s">
        <v>1246</v>
      </c>
      <c r="AK568" s="490" t="s">
        <v>1235</v>
      </c>
      <c r="AL568" s="491"/>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c r="BV568"/>
      <c r="BW568"/>
      <c r="BX568"/>
      <c r="BY568"/>
      <c r="BZ568"/>
      <c r="CA568"/>
      <c r="CB568"/>
    </row>
    <row r="569" spans="1:80" ht="18" customHeight="1" x14ac:dyDescent="0.25">
      <c r="A569" s="492">
        <f t="shared" si="40"/>
        <v>567</v>
      </c>
      <c r="B569" s="492" t="s">
        <v>4361</v>
      </c>
      <c r="C569" s="521">
        <v>4100000267</v>
      </c>
      <c r="D569" s="492" t="s">
        <v>5203</v>
      </c>
      <c r="E569" s="492" t="s">
        <v>4359</v>
      </c>
      <c r="F569" s="492" t="s">
        <v>4360</v>
      </c>
      <c r="G569" s="492" t="s">
        <v>4357</v>
      </c>
      <c r="H569" s="492" t="s">
        <v>1575</v>
      </c>
      <c r="I569" s="492" t="s">
        <v>3792</v>
      </c>
      <c r="J569" s="492" t="s">
        <v>4358</v>
      </c>
      <c r="K569" s="492" t="s">
        <v>1756</v>
      </c>
      <c r="L569" s="492" t="s">
        <v>2783</v>
      </c>
      <c r="M569" s="493" t="s">
        <v>1230</v>
      </c>
      <c r="N569" s="514" t="s">
        <v>1232</v>
      </c>
      <c r="O569" s="492" t="s">
        <v>1232</v>
      </c>
      <c r="P569" s="492" t="s">
        <v>469</v>
      </c>
      <c r="Q569" s="494">
        <v>44624</v>
      </c>
      <c r="R569" s="494">
        <v>46526</v>
      </c>
      <c r="S569" s="495">
        <v>1</v>
      </c>
      <c r="T569" s="498"/>
      <c r="U569" s="496">
        <v>40000000</v>
      </c>
      <c r="V569" s="496">
        <v>40000000</v>
      </c>
      <c r="W569" s="496">
        <v>40000000</v>
      </c>
      <c r="X569" s="496">
        <f t="shared" si="41"/>
        <v>0</v>
      </c>
      <c r="Y569" s="496">
        <f t="shared" si="42"/>
        <v>0</v>
      </c>
      <c r="Z569" s="496">
        <v>0</v>
      </c>
      <c r="AA569" s="496">
        <v>954134</v>
      </c>
      <c r="AB569" s="496">
        <v>3501787</v>
      </c>
      <c r="AC569" s="496">
        <f t="shared" si="43"/>
        <v>3501787</v>
      </c>
      <c r="AD569" s="496">
        <f t="shared" si="44"/>
        <v>2547653</v>
      </c>
      <c r="AE569" s="496">
        <v>0</v>
      </c>
      <c r="AF569" s="496">
        <v>36498213</v>
      </c>
      <c r="AG569" s="497" t="s">
        <v>1250</v>
      </c>
      <c r="AH569" s="497" t="s">
        <v>1357</v>
      </c>
      <c r="AI569" s="497"/>
      <c r="AJ569" s="497" t="s">
        <v>1234</v>
      </c>
      <c r="AK569" s="497" t="s">
        <v>1278</v>
      </c>
      <c r="AL569" s="491"/>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c r="BV569"/>
      <c r="BW569"/>
      <c r="BX569"/>
      <c r="BY569"/>
      <c r="BZ569"/>
      <c r="CA569"/>
      <c r="CB569"/>
    </row>
    <row r="570" spans="1:80" ht="18" customHeight="1" x14ac:dyDescent="0.25">
      <c r="A570" s="492">
        <f t="shared" si="40"/>
        <v>568</v>
      </c>
      <c r="B570" s="492" t="s">
        <v>4366</v>
      </c>
      <c r="C570" s="492">
        <v>4100000259</v>
      </c>
      <c r="D570" s="492" t="s">
        <v>5204</v>
      </c>
      <c r="E570" s="492" t="s">
        <v>4364</v>
      </c>
      <c r="F570" s="492" t="s">
        <v>4365</v>
      </c>
      <c r="G570" s="492" t="s">
        <v>4362</v>
      </c>
      <c r="H570" s="492" t="s">
        <v>4365</v>
      </c>
      <c r="I570" s="492" t="s">
        <v>4362</v>
      </c>
      <c r="J570" s="492" t="s">
        <v>4363</v>
      </c>
      <c r="K570" s="492" t="s">
        <v>1756</v>
      </c>
      <c r="L570" s="492" t="s">
        <v>2783</v>
      </c>
      <c r="M570" s="493" t="s">
        <v>1230</v>
      </c>
      <c r="N570" s="493" t="s">
        <v>1232</v>
      </c>
      <c r="O570" s="492" t="s">
        <v>1232</v>
      </c>
      <c r="P570" s="492" t="s">
        <v>469</v>
      </c>
      <c r="Q570" s="494">
        <v>44631</v>
      </c>
      <c r="R570" s="494">
        <v>45737</v>
      </c>
      <c r="S570" s="495">
        <v>1</v>
      </c>
      <c r="T570" s="498"/>
      <c r="U570" s="496">
        <v>2490930.08</v>
      </c>
      <c r="V570" s="496">
        <v>2490930.08</v>
      </c>
      <c r="W570" s="496">
        <v>2482500.2400000002</v>
      </c>
      <c r="X570" s="496">
        <f t="shared" si="41"/>
        <v>-8429.839999999851</v>
      </c>
      <c r="Y570" s="496">
        <f t="shared" si="42"/>
        <v>-8429.839999999851</v>
      </c>
      <c r="Z570" s="496">
        <v>2490930.08</v>
      </c>
      <c r="AA570" s="496">
        <v>2490930.08</v>
      </c>
      <c r="AB570" s="496">
        <v>2482500.2400000002</v>
      </c>
      <c r="AC570" s="496">
        <f t="shared" si="43"/>
        <v>-8429.839999999851</v>
      </c>
      <c r="AD570" s="496">
        <f t="shared" si="44"/>
        <v>-8429.839999999851</v>
      </c>
      <c r="AE570" s="496">
        <v>0</v>
      </c>
      <c r="AF570" s="496">
        <v>0</v>
      </c>
      <c r="AG570" s="497" t="s">
        <v>1250</v>
      </c>
      <c r="AH570" s="497" t="s">
        <v>1291</v>
      </c>
      <c r="AI570" s="497" t="s">
        <v>1632</v>
      </c>
      <c r="AJ570" s="497" t="s">
        <v>1234</v>
      </c>
      <c r="AK570" s="497" t="s">
        <v>1240</v>
      </c>
      <c r="AL570" s="491"/>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row>
    <row r="571" spans="1:80" ht="18" customHeight="1" x14ac:dyDescent="0.25">
      <c r="A571" s="485">
        <f t="shared" si="40"/>
        <v>569</v>
      </c>
      <c r="B571" s="485" t="s">
        <v>4367</v>
      </c>
      <c r="C571" s="485">
        <v>6100000259</v>
      </c>
      <c r="D571" s="485" t="s">
        <v>5205</v>
      </c>
      <c r="E571" s="485" t="s">
        <v>1364</v>
      </c>
      <c r="F571" s="485" t="s">
        <v>2575</v>
      </c>
      <c r="G571" s="485" t="s">
        <v>3073</v>
      </c>
      <c r="H571" s="485" t="s">
        <v>2575</v>
      </c>
      <c r="I571" s="485" t="s">
        <v>3073</v>
      </c>
      <c r="J571" s="485" t="s">
        <v>3074</v>
      </c>
      <c r="K571" s="485" t="s">
        <v>1756</v>
      </c>
      <c r="L571" s="485" t="s">
        <v>2783</v>
      </c>
      <c r="M571" s="486" t="s">
        <v>1230</v>
      </c>
      <c r="N571" s="486" t="s">
        <v>1231</v>
      </c>
      <c r="O571" s="485" t="s">
        <v>1232</v>
      </c>
      <c r="P571" s="485" t="s">
        <v>469</v>
      </c>
      <c r="Q571" s="487">
        <v>44637</v>
      </c>
      <c r="R571" s="487">
        <v>45369</v>
      </c>
      <c r="S571" s="488">
        <v>1</v>
      </c>
      <c r="T571" s="488"/>
      <c r="U571" s="489">
        <v>2700000</v>
      </c>
      <c r="V571" s="489">
        <v>2700000</v>
      </c>
      <c r="W571" s="489">
        <v>2700000</v>
      </c>
      <c r="X571" s="489">
        <f t="shared" si="41"/>
        <v>0</v>
      </c>
      <c r="Y571" s="489">
        <f t="shared" si="42"/>
        <v>0</v>
      </c>
      <c r="Z571" s="489">
        <v>2700000</v>
      </c>
      <c r="AA571" s="489">
        <v>2700000</v>
      </c>
      <c r="AB571" s="489">
        <v>2700000</v>
      </c>
      <c r="AC571" s="489">
        <f t="shared" si="43"/>
        <v>0</v>
      </c>
      <c r="AD571" s="489">
        <f t="shared" si="44"/>
        <v>0</v>
      </c>
      <c r="AE571" s="489">
        <v>0</v>
      </c>
      <c r="AF571" s="489">
        <v>0</v>
      </c>
      <c r="AG571" s="490" t="s">
        <v>1888</v>
      </c>
      <c r="AH571" s="490" t="s">
        <v>1888</v>
      </c>
      <c r="AI571" s="490" t="s">
        <v>1342</v>
      </c>
      <c r="AJ571" s="490" t="s">
        <v>1234</v>
      </c>
      <c r="AK571" s="490" t="s">
        <v>1240</v>
      </c>
      <c r="AL571" s="49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row>
    <row r="572" spans="1:80" ht="18" customHeight="1" x14ac:dyDescent="0.25">
      <c r="A572" s="492">
        <f t="shared" si="40"/>
        <v>570</v>
      </c>
      <c r="B572" s="492" t="s">
        <v>4372</v>
      </c>
      <c r="C572" s="492">
        <v>3100000131</v>
      </c>
      <c r="D572" s="492" t="s">
        <v>5206</v>
      </c>
      <c r="E572" s="492" t="s">
        <v>4370</v>
      </c>
      <c r="F572" s="492" t="s">
        <v>4371</v>
      </c>
      <c r="G572" s="492" t="s">
        <v>4368</v>
      </c>
      <c r="H572" s="492" t="s">
        <v>4371</v>
      </c>
      <c r="I572" s="492" t="s">
        <v>4368</v>
      </c>
      <c r="J572" s="492" t="s">
        <v>4369</v>
      </c>
      <c r="K572" s="492" t="s">
        <v>1756</v>
      </c>
      <c r="L572" s="492" t="s">
        <v>2783</v>
      </c>
      <c r="M572" s="493" t="s">
        <v>1230</v>
      </c>
      <c r="N572" s="493" t="s">
        <v>1232</v>
      </c>
      <c r="O572" s="492" t="s">
        <v>1232</v>
      </c>
      <c r="P572" s="492" t="s">
        <v>469</v>
      </c>
      <c r="Q572" s="494">
        <v>44637</v>
      </c>
      <c r="R572" s="494">
        <v>45369</v>
      </c>
      <c r="S572" s="495">
        <v>1</v>
      </c>
      <c r="T572" s="498"/>
      <c r="U572" s="496">
        <v>3566145</v>
      </c>
      <c r="V572" s="496">
        <v>3566145</v>
      </c>
      <c r="W572" s="496">
        <v>3566145</v>
      </c>
      <c r="X572" s="496">
        <f t="shared" si="41"/>
        <v>0</v>
      </c>
      <c r="Y572" s="496">
        <f t="shared" si="42"/>
        <v>0</v>
      </c>
      <c r="Z572" s="496">
        <v>3202046.51</v>
      </c>
      <c r="AA572" s="496">
        <v>3202046.51</v>
      </c>
      <c r="AB572" s="496">
        <v>3202046.51</v>
      </c>
      <c r="AC572" s="496">
        <f t="shared" si="43"/>
        <v>0</v>
      </c>
      <c r="AD572" s="496">
        <f t="shared" si="44"/>
        <v>0</v>
      </c>
      <c r="AE572" s="496">
        <v>364098.49</v>
      </c>
      <c r="AF572" s="496">
        <v>0</v>
      </c>
      <c r="AG572" s="497" t="s">
        <v>1233</v>
      </c>
      <c r="AH572" s="497" t="s">
        <v>1247</v>
      </c>
      <c r="AI572" s="497" t="s">
        <v>1248</v>
      </c>
      <c r="AJ572" s="497" t="s">
        <v>1234</v>
      </c>
      <c r="AK572" s="497" t="s">
        <v>1278</v>
      </c>
      <c r="AL572" s="491"/>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row>
    <row r="573" spans="1:80" ht="18" customHeight="1" x14ac:dyDescent="0.25">
      <c r="A573" s="492">
        <f t="shared" si="40"/>
        <v>571</v>
      </c>
      <c r="B573" s="492" t="s">
        <v>4377</v>
      </c>
      <c r="C573" s="492">
        <v>2100000306</v>
      </c>
      <c r="D573" s="492" t="s">
        <v>5207</v>
      </c>
      <c r="E573" s="492" t="s">
        <v>4375</v>
      </c>
      <c r="F573" s="492" t="s">
        <v>4376</v>
      </c>
      <c r="G573" s="492" t="s">
        <v>4373</v>
      </c>
      <c r="H573" s="492" t="s">
        <v>4376</v>
      </c>
      <c r="I573" s="492" t="s">
        <v>4373</v>
      </c>
      <c r="J573" s="492" t="s">
        <v>4374</v>
      </c>
      <c r="K573" s="492" t="s">
        <v>1756</v>
      </c>
      <c r="L573" s="492" t="s">
        <v>2783</v>
      </c>
      <c r="M573" s="493" t="s">
        <v>1230</v>
      </c>
      <c r="N573" s="493" t="s">
        <v>1232</v>
      </c>
      <c r="O573" s="492" t="s">
        <v>1231</v>
      </c>
      <c r="P573" s="492" t="s">
        <v>469</v>
      </c>
      <c r="Q573" s="494">
        <v>44638</v>
      </c>
      <c r="R573" s="494">
        <v>45369</v>
      </c>
      <c r="S573" s="495">
        <v>1.5</v>
      </c>
      <c r="T573" s="498"/>
      <c r="U573" s="496">
        <v>6181972</v>
      </c>
      <c r="V573" s="496">
        <v>6181972</v>
      </c>
      <c r="W573" s="496">
        <v>6181972</v>
      </c>
      <c r="X573" s="496">
        <f t="shared" si="41"/>
        <v>0</v>
      </c>
      <c r="Y573" s="496">
        <f t="shared" si="42"/>
        <v>0</v>
      </c>
      <c r="Z573" s="496">
        <v>0</v>
      </c>
      <c r="AA573" s="496">
        <v>0</v>
      </c>
      <c r="AB573" s="496">
        <v>0</v>
      </c>
      <c r="AC573" s="496">
        <f t="shared" si="43"/>
        <v>0</v>
      </c>
      <c r="AD573" s="496">
        <f t="shared" si="44"/>
        <v>0</v>
      </c>
      <c r="AE573" s="496">
        <v>0</v>
      </c>
      <c r="AF573" s="496">
        <v>6181972</v>
      </c>
      <c r="AG573" s="497" t="s">
        <v>1245</v>
      </c>
      <c r="AH573" s="497" t="s">
        <v>1247</v>
      </c>
      <c r="AI573" s="497" t="s">
        <v>1269</v>
      </c>
      <c r="AJ573" s="497" t="s">
        <v>1246</v>
      </c>
      <c r="AK573" s="497" t="s">
        <v>1235</v>
      </c>
      <c r="AL573" s="491"/>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c r="BV573"/>
      <c r="BW573"/>
      <c r="BX573"/>
      <c r="BY573"/>
      <c r="BZ573"/>
      <c r="CA573"/>
      <c r="CB573"/>
    </row>
    <row r="574" spans="1:80" ht="18" customHeight="1" x14ac:dyDescent="0.25">
      <c r="A574" s="492">
        <f t="shared" si="40"/>
        <v>572</v>
      </c>
      <c r="B574" s="492" t="s">
        <v>4383</v>
      </c>
      <c r="C574" s="492">
        <v>2100000307</v>
      </c>
      <c r="D574" s="492" t="s">
        <v>5208</v>
      </c>
      <c r="E574" s="492" t="s">
        <v>4381</v>
      </c>
      <c r="F574" s="492" t="s">
        <v>4382</v>
      </c>
      <c r="G574" s="492" t="s">
        <v>4378</v>
      </c>
      <c r="H574" s="492" t="s">
        <v>4382</v>
      </c>
      <c r="I574" s="492" t="s">
        <v>4379</v>
      </c>
      <c r="J574" s="492" t="s">
        <v>4380</v>
      </c>
      <c r="K574" s="492" t="s">
        <v>1756</v>
      </c>
      <c r="L574" s="492" t="s">
        <v>2783</v>
      </c>
      <c r="M574" s="493" t="s">
        <v>1230</v>
      </c>
      <c r="N574" s="493" t="s">
        <v>1232</v>
      </c>
      <c r="O574" s="492" t="s">
        <v>1231</v>
      </c>
      <c r="P574" s="492" t="s">
        <v>469</v>
      </c>
      <c r="Q574" s="494">
        <v>44641</v>
      </c>
      <c r="R574" s="494">
        <v>45191</v>
      </c>
      <c r="S574" s="495">
        <v>1.5</v>
      </c>
      <c r="T574" s="498"/>
      <c r="U574" s="496">
        <v>1355302</v>
      </c>
      <c r="V574" s="496">
        <v>1355302</v>
      </c>
      <c r="W574" s="496">
        <v>1355302</v>
      </c>
      <c r="X574" s="496">
        <f t="shared" si="41"/>
        <v>0</v>
      </c>
      <c r="Y574" s="496">
        <f t="shared" si="42"/>
        <v>0</v>
      </c>
      <c r="Z574" s="496">
        <v>491751.18</v>
      </c>
      <c r="AA574" s="496">
        <v>491751.18</v>
      </c>
      <c r="AB574" s="496">
        <v>494798.02</v>
      </c>
      <c r="AC574" s="496">
        <f t="shared" si="43"/>
        <v>3046.8400000000256</v>
      </c>
      <c r="AD574" s="496">
        <f t="shared" si="44"/>
        <v>3046.8400000000256</v>
      </c>
      <c r="AE574" s="496">
        <v>0</v>
      </c>
      <c r="AF574" s="496">
        <v>860503.98</v>
      </c>
      <c r="AG574" s="497" t="s">
        <v>1245</v>
      </c>
      <c r="AH574" s="497" t="s">
        <v>1247</v>
      </c>
      <c r="AI574" s="497" t="s">
        <v>1248</v>
      </c>
      <c r="AJ574" s="497" t="s">
        <v>1246</v>
      </c>
      <c r="AK574" s="497" t="s">
        <v>1235</v>
      </c>
      <c r="AL574" s="491"/>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row>
    <row r="575" spans="1:80" ht="18" customHeight="1" x14ac:dyDescent="0.25">
      <c r="A575" s="485">
        <f t="shared" si="40"/>
        <v>573</v>
      </c>
      <c r="B575" s="485" t="s">
        <v>4389</v>
      </c>
      <c r="C575" s="485">
        <v>1100000277</v>
      </c>
      <c r="D575" s="485" t="s">
        <v>5209</v>
      </c>
      <c r="E575" s="485" t="s">
        <v>4387</v>
      </c>
      <c r="F575" s="485" t="s">
        <v>4388</v>
      </c>
      <c r="G575" s="485" t="s">
        <v>4384</v>
      </c>
      <c r="H575" s="485" t="s">
        <v>4388</v>
      </c>
      <c r="I575" s="485" t="s">
        <v>4385</v>
      </c>
      <c r="J575" s="485" t="s">
        <v>4386</v>
      </c>
      <c r="K575" s="485" t="s">
        <v>1756</v>
      </c>
      <c r="L575" s="485" t="s">
        <v>2783</v>
      </c>
      <c r="M575" s="486" t="s">
        <v>1230</v>
      </c>
      <c r="N575" s="486" t="s">
        <v>1231</v>
      </c>
      <c r="O575" s="485" t="s">
        <v>1232</v>
      </c>
      <c r="P575" s="485" t="s">
        <v>1156</v>
      </c>
      <c r="Q575" s="487">
        <v>44645</v>
      </c>
      <c r="R575" s="487">
        <v>46476</v>
      </c>
      <c r="S575" s="488">
        <v>1</v>
      </c>
      <c r="T575" s="488"/>
      <c r="U575" s="489">
        <v>14500000</v>
      </c>
      <c r="V575" s="489">
        <v>14500000</v>
      </c>
      <c r="W575" s="489">
        <v>14500000</v>
      </c>
      <c r="X575" s="489">
        <f t="shared" si="41"/>
        <v>0</v>
      </c>
      <c r="Y575" s="489">
        <f t="shared" si="42"/>
        <v>0</v>
      </c>
      <c r="Z575" s="489">
        <v>14500000</v>
      </c>
      <c r="AA575" s="489">
        <v>14500000</v>
      </c>
      <c r="AB575" s="489">
        <v>14500000</v>
      </c>
      <c r="AC575" s="489">
        <f t="shared" si="43"/>
        <v>0</v>
      </c>
      <c r="AD575" s="489">
        <f t="shared" si="44"/>
        <v>0</v>
      </c>
      <c r="AE575" s="489">
        <v>0</v>
      </c>
      <c r="AF575" s="489">
        <v>0</v>
      </c>
      <c r="AG575" s="490" t="s">
        <v>1237</v>
      </c>
      <c r="AH575" s="490" t="s">
        <v>1303</v>
      </c>
      <c r="AI575" s="490"/>
      <c r="AJ575" s="490" t="s">
        <v>1253</v>
      </c>
      <c r="AK575" s="490" t="s">
        <v>1260</v>
      </c>
      <c r="AL575" s="491"/>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c r="BV575"/>
      <c r="BW575"/>
      <c r="BX575"/>
      <c r="BY575"/>
      <c r="BZ575"/>
      <c r="CA575"/>
      <c r="CB575"/>
    </row>
    <row r="576" spans="1:80" ht="18" customHeight="1" x14ac:dyDescent="0.25">
      <c r="A576" s="485">
        <f t="shared" si="40"/>
        <v>574</v>
      </c>
      <c r="B576" s="485" t="s">
        <v>4390</v>
      </c>
      <c r="C576" s="485">
        <v>1100000281</v>
      </c>
      <c r="D576" s="511" t="s">
        <v>5210</v>
      </c>
      <c r="E576" s="485" t="s">
        <v>4387</v>
      </c>
      <c r="F576" s="485" t="s">
        <v>4388</v>
      </c>
      <c r="G576" s="485" t="s">
        <v>4384</v>
      </c>
      <c r="H576" s="485" t="s">
        <v>4388</v>
      </c>
      <c r="I576" s="485" t="s">
        <v>4385</v>
      </c>
      <c r="J576" s="485" t="s">
        <v>4386</v>
      </c>
      <c r="K576" s="485" t="s">
        <v>1756</v>
      </c>
      <c r="L576" s="485" t="s">
        <v>2783</v>
      </c>
      <c r="M576" s="486" t="s">
        <v>1230</v>
      </c>
      <c r="N576" s="486" t="s">
        <v>1231</v>
      </c>
      <c r="O576" s="485" t="s">
        <v>1232</v>
      </c>
      <c r="P576" s="485" t="s">
        <v>1156</v>
      </c>
      <c r="Q576" s="487">
        <v>44645</v>
      </c>
      <c r="R576" s="487">
        <v>46476</v>
      </c>
      <c r="S576" s="488">
        <v>1</v>
      </c>
      <c r="T576" s="488"/>
      <c r="U576" s="489">
        <v>25500000</v>
      </c>
      <c r="V576" s="489">
        <v>25500000</v>
      </c>
      <c r="W576" s="489">
        <v>25500000</v>
      </c>
      <c r="X576" s="489">
        <f t="shared" si="41"/>
        <v>0</v>
      </c>
      <c r="Y576" s="489">
        <f t="shared" si="42"/>
        <v>0</v>
      </c>
      <c r="Z576" s="489">
        <v>9750000</v>
      </c>
      <c r="AA576" s="489">
        <v>9750000</v>
      </c>
      <c r="AB576" s="489">
        <v>9750000</v>
      </c>
      <c r="AC576" s="489">
        <f t="shared" si="43"/>
        <v>0</v>
      </c>
      <c r="AD576" s="489">
        <f t="shared" si="44"/>
        <v>0</v>
      </c>
      <c r="AE576" s="489">
        <v>15750000</v>
      </c>
      <c r="AF576" s="489">
        <v>0</v>
      </c>
      <c r="AG576" s="490" t="s">
        <v>1237</v>
      </c>
      <c r="AH576" s="490" t="s">
        <v>1303</v>
      </c>
      <c r="AI576" s="490"/>
      <c r="AJ576" s="490" t="s">
        <v>1253</v>
      </c>
      <c r="AK576" s="490" t="s">
        <v>1260</v>
      </c>
      <c r="AL576" s="491"/>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row>
    <row r="577" spans="1:80" ht="18" customHeight="1" x14ac:dyDescent="0.25">
      <c r="A577" s="492">
        <f t="shared" si="40"/>
        <v>575</v>
      </c>
      <c r="B577" s="492" t="s">
        <v>4396</v>
      </c>
      <c r="C577" s="492">
        <v>2100000309</v>
      </c>
      <c r="D577" s="492" t="s">
        <v>5211</v>
      </c>
      <c r="E577" s="492" t="s">
        <v>4394</v>
      </c>
      <c r="F577" s="492" t="s">
        <v>4395</v>
      </c>
      <c r="G577" s="492" t="s">
        <v>4391</v>
      </c>
      <c r="H577" s="492" t="s">
        <v>4395</v>
      </c>
      <c r="I577" s="492" t="s">
        <v>4392</v>
      </c>
      <c r="J577" s="492" t="s">
        <v>4393</v>
      </c>
      <c r="K577" s="492" t="s">
        <v>1756</v>
      </c>
      <c r="L577" s="492" t="s">
        <v>2783</v>
      </c>
      <c r="M577" s="493" t="s">
        <v>1230</v>
      </c>
      <c r="N577" s="493" t="s">
        <v>1232</v>
      </c>
      <c r="O577" s="492" t="s">
        <v>1231</v>
      </c>
      <c r="P577" s="492" t="s">
        <v>469</v>
      </c>
      <c r="Q577" s="494">
        <v>44645</v>
      </c>
      <c r="R577" s="494">
        <v>45498</v>
      </c>
      <c r="S577" s="495">
        <v>1.5</v>
      </c>
      <c r="T577" s="498"/>
      <c r="U577" s="496">
        <v>9210000</v>
      </c>
      <c r="V577" s="496">
        <v>9210000</v>
      </c>
      <c r="W577" s="496">
        <v>9210000</v>
      </c>
      <c r="X577" s="496">
        <f t="shared" si="41"/>
        <v>0</v>
      </c>
      <c r="Y577" s="496">
        <f t="shared" si="42"/>
        <v>0</v>
      </c>
      <c r="Z577" s="496">
        <v>1098492.1599999999</v>
      </c>
      <c r="AA577" s="496">
        <v>1098492.1599999999</v>
      </c>
      <c r="AB577" s="496">
        <v>1104962.73</v>
      </c>
      <c r="AC577" s="496">
        <f t="shared" si="43"/>
        <v>6470.5700000000652</v>
      </c>
      <c r="AD577" s="496">
        <f t="shared" si="44"/>
        <v>6470.5700000000652</v>
      </c>
      <c r="AE577" s="496">
        <v>0</v>
      </c>
      <c r="AF577" s="496">
        <v>8105037.2699999996</v>
      </c>
      <c r="AG577" s="497" t="s">
        <v>1245</v>
      </c>
      <c r="AH577" s="497" t="s">
        <v>1242</v>
      </c>
      <c r="AI577" s="497" t="s">
        <v>1292</v>
      </c>
      <c r="AJ577" s="497" t="s">
        <v>1246</v>
      </c>
      <c r="AK577" s="497" t="s">
        <v>1235</v>
      </c>
      <c r="AL577" s="491"/>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row>
    <row r="578" spans="1:80" ht="18" customHeight="1" x14ac:dyDescent="0.25">
      <c r="A578" s="492">
        <f t="shared" si="40"/>
        <v>576</v>
      </c>
      <c r="B578" s="492" t="s">
        <v>4402</v>
      </c>
      <c r="C578" s="492">
        <v>6100000264</v>
      </c>
      <c r="D578" s="492" t="s">
        <v>5212</v>
      </c>
      <c r="E578" s="492" t="s">
        <v>4400</v>
      </c>
      <c r="F578" s="492" t="s">
        <v>4401</v>
      </c>
      <c r="G578" s="492" t="s">
        <v>4397</v>
      </c>
      <c r="H578" s="492" t="s">
        <v>4401</v>
      </c>
      <c r="I578" s="492" t="s">
        <v>4398</v>
      </c>
      <c r="J578" s="492" t="s">
        <v>4399</v>
      </c>
      <c r="K578" s="492" t="s">
        <v>1756</v>
      </c>
      <c r="L578" s="492" t="s">
        <v>2783</v>
      </c>
      <c r="M578" s="493" t="s">
        <v>1230</v>
      </c>
      <c r="N578" s="493" t="s">
        <v>1232</v>
      </c>
      <c r="O578" s="492" t="s">
        <v>1232</v>
      </c>
      <c r="P578" s="492" t="s">
        <v>469</v>
      </c>
      <c r="Q578" s="494">
        <v>44649</v>
      </c>
      <c r="R578" s="494">
        <v>45384</v>
      </c>
      <c r="S578" s="495">
        <v>1</v>
      </c>
      <c r="T578" s="498"/>
      <c r="U578" s="496">
        <v>5953700</v>
      </c>
      <c r="V578" s="496">
        <v>5953700</v>
      </c>
      <c r="W578" s="496">
        <v>5953700</v>
      </c>
      <c r="X578" s="496">
        <f t="shared" si="41"/>
        <v>0</v>
      </c>
      <c r="Y578" s="496">
        <f t="shared" si="42"/>
        <v>0</v>
      </c>
      <c r="Z578" s="496">
        <v>1529800</v>
      </c>
      <c r="AA578" s="496">
        <v>1529800</v>
      </c>
      <c r="AB578" s="496">
        <v>1529800</v>
      </c>
      <c r="AC578" s="496">
        <f t="shared" si="43"/>
        <v>0</v>
      </c>
      <c r="AD578" s="496">
        <f t="shared" si="44"/>
        <v>0</v>
      </c>
      <c r="AE578" s="496">
        <v>0</v>
      </c>
      <c r="AF578" s="496">
        <v>4423900</v>
      </c>
      <c r="AG578" s="497" t="s">
        <v>1888</v>
      </c>
      <c r="AH578" s="497" t="s">
        <v>1888</v>
      </c>
      <c r="AI578" s="497" t="s">
        <v>1342</v>
      </c>
      <c r="AJ578" s="497" t="s">
        <v>1234</v>
      </c>
      <c r="AK578" s="497" t="s">
        <v>1240</v>
      </c>
      <c r="AL578" s="491"/>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c r="BV578"/>
      <c r="BW578"/>
      <c r="BX578"/>
      <c r="BY578"/>
      <c r="BZ578"/>
      <c r="CA578"/>
      <c r="CB578"/>
    </row>
    <row r="579" spans="1:80" ht="18" customHeight="1" x14ac:dyDescent="0.25">
      <c r="A579" s="492">
        <f t="shared" si="40"/>
        <v>577</v>
      </c>
      <c r="B579" s="492" t="s">
        <v>4407</v>
      </c>
      <c r="C579" s="492">
        <v>2100000310</v>
      </c>
      <c r="D579" s="492" t="s">
        <v>5213</v>
      </c>
      <c r="E579" s="492" t="s">
        <v>4405</v>
      </c>
      <c r="F579" s="492" t="s">
        <v>4406</v>
      </c>
      <c r="G579" s="492" t="s">
        <v>4403</v>
      </c>
      <c r="H579" s="492" t="s">
        <v>4406</v>
      </c>
      <c r="I579" s="492" t="s">
        <v>4403</v>
      </c>
      <c r="J579" s="492" t="s">
        <v>4404</v>
      </c>
      <c r="K579" s="492" t="s">
        <v>1756</v>
      </c>
      <c r="L579" s="492" t="s">
        <v>2783</v>
      </c>
      <c r="M579" s="493" t="s">
        <v>1230</v>
      </c>
      <c r="N579" s="493" t="s">
        <v>1232</v>
      </c>
      <c r="O579" s="492" t="s">
        <v>1231</v>
      </c>
      <c r="P579" s="492" t="s">
        <v>469</v>
      </c>
      <c r="Q579" s="494">
        <v>44650</v>
      </c>
      <c r="R579" s="494">
        <v>45201</v>
      </c>
      <c r="S579" s="495">
        <v>1.5</v>
      </c>
      <c r="T579" s="498"/>
      <c r="U579" s="496">
        <v>1310507</v>
      </c>
      <c r="V579" s="496">
        <v>1310507</v>
      </c>
      <c r="W579" s="496">
        <v>1310507</v>
      </c>
      <c r="X579" s="496">
        <f t="shared" si="41"/>
        <v>0</v>
      </c>
      <c r="Y579" s="496">
        <f t="shared" si="42"/>
        <v>0</v>
      </c>
      <c r="Z579" s="496">
        <v>0</v>
      </c>
      <c r="AA579" s="496">
        <v>0</v>
      </c>
      <c r="AB579" s="496">
        <v>0</v>
      </c>
      <c r="AC579" s="496">
        <f t="shared" si="43"/>
        <v>0</v>
      </c>
      <c r="AD579" s="496">
        <f t="shared" si="44"/>
        <v>0</v>
      </c>
      <c r="AE579" s="496">
        <v>0</v>
      </c>
      <c r="AF579" s="496">
        <v>1310507</v>
      </c>
      <c r="AG579" s="497" t="s">
        <v>1245</v>
      </c>
      <c r="AH579" s="497" t="s">
        <v>1247</v>
      </c>
      <c r="AI579" s="497" t="s">
        <v>1269</v>
      </c>
      <c r="AJ579" s="497" t="s">
        <v>1246</v>
      </c>
      <c r="AK579" s="497" t="s">
        <v>1235</v>
      </c>
      <c r="AL579" s="491"/>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row>
    <row r="580" spans="1:80" ht="18" customHeight="1" x14ac:dyDescent="0.25">
      <c r="A580" s="492">
        <f t="shared" ref="A580:A643" si="45">A579+1</f>
        <v>578</v>
      </c>
      <c r="B580" s="492" t="s">
        <v>5214</v>
      </c>
      <c r="C580" s="492">
        <v>1100000280</v>
      </c>
      <c r="D580" s="492" t="s">
        <v>5215</v>
      </c>
      <c r="E580" s="492" t="s">
        <v>4410</v>
      </c>
      <c r="F580" s="492" t="s">
        <v>4411</v>
      </c>
      <c r="G580" s="492" t="s">
        <v>4408</v>
      </c>
      <c r="H580" s="492" t="s">
        <v>4411</v>
      </c>
      <c r="I580" s="492" t="s">
        <v>4408</v>
      </c>
      <c r="J580" s="492" t="s">
        <v>4409</v>
      </c>
      <c r="K580" s="492" t="s">
        <v>1756</v>
      </c>
      <c r="L580" s="492" t="s">
        <v>2783</v>
      </c>
      <c r="M580" s="493" t="s">
        <v>1230</v>
      </c>
      <c r="N580" s="493" t="s">
        <v>1232</v>
      </c>
      <c r="O580" s="492" t="s">
        <v>1232</v>
      </c>
      <c r="P580" s="492" t="s">
        <v>1156</v>
      </c>
      <c r="Q580" s="494">
        <v>44651</v>
      </c>
      <c r="R580" s="494">
        <v>45631</v>
      </c>
      <c r="S580" s="495">
        <v>1</v>
      </c>
      <c r="T580" s="498"/>
      <c r="U580" s="496">
        <v>56471593</v>
      </c>
      <c r="V580" s="496">
        <v>56471593</v>
      </c>
      <c r="W580" s="496">
        <v>56471593</v>
      </c>
      <c r="X580" s="496">
        <f t="shared" si="41"/>
        <v>0</v>
      </c>
      <c r="Y580" s="496">
        <f t="shared" si="42"/>
        <v>0</v>
      </c>
      <c r="Z580" s="496">
        <v>21564716</v>
      </c>
      <c r="AA580" s="496">
        <v>21564716</v>
      </c>
      <c r="AB580" s="496">
        <v>21564716</v>
      </c>
      <c r="AC580" s="496">
        <f t="shared" si="43"/>
        <v>0</v>
      </c>
      <c r="AD580" s="496">
        <f t="shared" si="44"/>
        <v>0</v>
      </c>
      <c r="AE580" s="496">
        <v>31676877</v>
      </c>
      <c r="AF580" s="496">
        <v>3230000</v>
      </c>
      <c r="AG580" s="497" t="s">
        <v>1237</v>
      </c>
      <c r="AH580" s="497" t="s">
        <v>1236</v>
      </c>
      <c r="AI580" s="497"/>
      <c r="AJ580" s="497" t="s">
        <v>1259</v>
      </c>
      <c r="AK580" s="497" t="s">
        <v>1260</v>
      </c>
      <c r="AL580" s="491"/>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row>
    <row r="581" spans="1:80" ht="18" customHeight="1" x14ac:dyDescent="0.25">
      <c r="A581" s="492">
        <f t="shared" si="45"/>
        <v>579</v>
      </c>
      <c r="B581" s="492" t="s">
        <v>4417</v>
      </c>
      <c r="C581" s="492">
        <v>1100000279</v>
      </c>
      <c r="D581" s="492" t="s">
        <v>5216</v>
      </c>
      <c r="E581" s="492" t="s">
        <v>4415</v>
      </c>
      <c r="F581" s="492" t="s">
        <v>4416</v>
      </c>
      <c r="G581" s="492" t="s">
        <v>4412</v>
      </c>
      <c r="H581" s="492" t="s">
        <v>4416</v>
      </c>
      <c r="I581" s="492" t="s">
        <v>4413</v>
      </c>
      <c r="J581" s="492" t="s">
        <v>4414</v>
      </c>
      <c r="K581" s="492" t="s">
        <v>1756</v>
      </c>
      <c r="L581" s="492" t="s">
        <v>2783</v>
      </c>
      <c r="M581" s="493" t="s">
        <v>1230</v>
      </c>
      <c r="N581" s="493" t="s">
        <v>1232</v>
      </c>
      <c r="O581" s="492" t="s">
        <v>1232</v>
      </c>
      <c r="P581" s="492" t="s">
        <v>1156</v>
      </c>
      <c r="Q581" s="494">
        <v>44651</v>
      </c>
      <c r="R581" s="494">
        <v>46477</v>
      </c>
      <c r="S581" s="495">
        <v>1</v>
      </c>
      <c r="T581" s="498"/>
      <c r="U581" s="496">
        <v>15000000</v>
      </c>
      <c r="V581" s="496">
        <v>15000000</v>
      </c>
      <c r="W581" s="496">
        <v>15000000</v>
      </c>
      <c r="X581" s="496">
        <f t="shared" si="41"/>
        <v>0</v>
      </c>
      <c r="Y581" s="496">
        <f t="shared" si="42"/>
        <v>0</v>
      </c>
      <c r="Z581" s="496">
        <v>0</v>
      </c>
      <c r="AA581" s="496">
        <v>0</v>
      </c>
      <c r="AB581" s="496">
        <v>0</v>
      </c>
      <c r="AC581" s="496">
        <f t="shared" si="43"/>
        <v>0</v>
      </c>
      <c r="AD581" s="496">
        <f t="shared" si="44"/>
        <v>0</v>
      </c>
      <c r="AE581" s="496">
        <v>15000000</v>
      </c>
      <c r="AF581" s="496">
        <v>0</v>
      </c>
      <c r="AG581" s="497" t="s">
        <v>1237</v>
      </c>
      <c r="AH581" s="497" t="s">
        <v>1236</v>
      </c>
      <c r="AI581" s="497"/>
      <c r="AJ581" s="497" t="s">
        <v>1259</v>
      </c>
      <c r="AK581" s="497" t="s">
        <v>1260</v>
      </c>
      <c r="AL581" s="49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row>
    <row r="582" spans="1:80" ht="18" customHeight="1" x14ac:dyDescent="0.25">
      <c r="A582" s="485">
        <f t="shared" si="45"/>
        <v>580</v>
      </c>
      <c r="B582" s="485" t="s">
        <v>4423</v>
      </c>
      <c r="C582" s="485">
        <v>2100000311</v>
      </c>
      <c r="D582" s="485" t="s">
        <v>5217</v>
      </c>
      <c r="E582" s="485" t="s">
        <v>4421</v>
      </c>
      <c r="F582" s="485" t="s">
        <v>4422</v>
      </c>
      <c r="G582" s="485" t="s">
        <v>4418</v>
      </c>
      <c r="H582" s="485" t="s">
        <v>4523</v>
      </c>
      <c r="I582" s="485" t="s">
        <v>4419</v>
      </c>
      <c r="J582" s="485" t="s">
        <v>4420</v>
      </c>
      <c r="K582" s="485" t="s">
        <v>1756</v>
      </c>
      <c r="L582" s="485" t="s">
        <v>2783</v>
      </c>
      <c r="M582" s="486" t="s">
        <v>1230</v>
      </c>
      <c r="N582" s="486" t="s">
        <v>1231</v>
      </c>
      <c r="O582" s="485" t="s">
        <v>1231</v>
      </c>
      <c r="P582" s="485" t="s">
        <v>469</v>
      </c>
      <c r="Q582" s="487">
        <v>44651</v>
      </c>
      <c r="R582" s="487">
        <v>45212</v>
      </c>
      <c r="S582" s="488">
        <v>1</v>
      </c>
      <c r="T582" s="488"/>
      <c r="U582" s="489">
        <v>4637750</v>
      </c>
      <c r="V582" s="489">
        <v>4637750</v>
      </c>
      <c r="W582" s="489">
        <v>4637750</v>
      </c>
      <c r="X582" s="489">
        <f t="shared" si="41"/>
        <v>0</v>
      </c>
      <c r="Y582" s="489">
        <f t="shared" si="42"/>
        <v>0</v>
      </c>
      <c r="Z582" s="489">
        <v>1075297.56</v>
      </c>
      <c r="AA582" s="489">
        <v>1080314.31</v>
      </c>
      <c r="AB582" s="489">
        <v>1343235.01</v>
      </c>
      <c r="AC582" s="489">
        <f t="shared" si="43"/>
        <v>267937.44999999995</v>
      </c>
      <c r="AD582" s="489">
        <f t="shared" si="44"/>
        <v>262920.69999999995</v>
      </c>
      <c r="AE582" s="489">
        <v>0</v>
      </c>
      <c r="AF582" s="489">
        <v>3294514.99</v>
      </c>
      <c r="AG582" s="490" t="s">
        <v>1245</v>
      </c>
      <c r="AH582" s="490" t="s">
        <v>1247</v>
      </c>
      <c r="AI582" s="490" t="s">
        <v>1248</v>
      </c>
      <c r="AJ582" s="490" t="s">
        <v>1246</v>
      </c>
      <c r="AK582" s="490" t="s">
        <v>1278</v>
      </c>
      <c r="AL582" s="491"/>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row>
    <row r="583" spans="1:80" ht="18" customHeight="1" x14ac:dyDescent="0.25">
      <c r="A583" s="492">
        <f t="shared" si="45"/>
        <v>581</v>
      </c>
      <c r="B583" s="492" t="s">
        <v>4429</v>
      </c>
      <c r="C583" s="492">
        <v>2100000312</v>
      </c>
      <c r="D583" s="492" t="s">
        <v>5218</v>
      </c>
      <c r="E583" s="492" t="s">
        <v>4427</v>
      </c>
      <c r="F583" s="492" t="s">
        <v>4428</v>
      </c>
      <c r="G583" s="492" t="s">
        <v>4424</v>
      </c>
      <c r="H583" s="492" t="s">
        <v>4428</v>
      </c>
      <c r="I583" s="492" t="s">
        <v>4425</v>
      </c>
      <c r="J583" s="492" t="s">
        <v>4426</v>
      </c>
      <c r="K583" s="492" t="s">
        <v>1756</v>
      </c>
      <c r="L583" s="492" t="s">
        <v>2783</v>
      </c>
      <c r="M583" s="493" t="s">
        <v>1230</v>
      </c>
      <c r="N583" s="493" t="s">
        <v>1232</v>
      </c>
      <c r="O583" s="492" t="s">
        <v>1231</v>
      </c>
      <c r="P583" s="492" t="s">
        <v>469</v>
      </c>
      <c r="Q583" s="494">
        <v>44651</v>
      </c>
      <c r="R583" s="494">
        <v>45384</v>
      </c>
      <c r="S583" s="495">
        <v>1.5</v>
      </c>
      <c r="T583" s="498"/>
      <c r="U583" s="496">
        <v>2743623</v>
      </c>
      <c r="V583" s="496">
        <v>2743623</v>
      </c>
      <c r="W583" s="496">
        <v>2743623</v>
      </c>
      <c r="X583" s="496">
        <f t="shared" si="41"/>
        <v>0</v>
      </c>
      <c r="Y583" s="496">
        <f t="shared" si="42"/>
        <v>0</v>
      </c>
      <c r="Z583" s="496">
        <v>0</v>
      </c>
      <c r="AA583" s="496">
        <v>0</v>
      </c>
      <c r="AB583" s="496">
        <v>0</v>
      </c>
      <c r="AC583" s="496">
        <f t="shared" si="43"/>
        <v>0</v>
      </c>
      <c r="AD583" s="496">
        <f t="shared" si="44"/>
        <v>0</v>
      </c>
      <c r="AE583" s="496">
        <v>0</v>
      </c>
      <c r="AF583" s="496">
        <v>2743623</v>
      </c>
      <c r="AG583" s="497" t="s">
        <v>1245</v>
      </c>
      <c r="AH583" s="497" t="s">
        <v>1247</v>
      </c>
      <c r="AI583" s="497" t="s">
        <v>1269</v>
      </c>
      <c r="AJ583" s="497" t="s">
        <v>1246</v>
      </c>
      <c r="AK583" s="497" t="s">
        <v>1235</v>
      </c>
      <c r="AL583" s="491"/>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row>
    <row r="584" spans="1:80" ht="18" customHeight="1" x14ac:dyDescent="0.25">
      <c r="A584" s="492">
        <f t="shared" si="45"/>
        <v>582</v>
      </c>
      <c r="B584" s="492" t="s">
        <v>4435</v>
      </c>
      <c r="C584" s="492">
        <v>4100000260</v>
      </c>
      <c r="D584" s="492" t="s">
        <v>5219</v>
      </c>
      <c r="E584" s="492" t="s">
        <v>4433</v>
      </c>
      <c r="F584" s="492" t="s">
        <v>4434</v>
      </c>
      <c r="G584" s="492" t="s">
        <v>4430</v>
      </c>
      <c r="H584" s="492" t="s">
        <v>4434</v>
      </c>
      <c r="I584" s="492" t="s">
        <v>4431</v>
      </c>
      <c r="J584" s="492" t="s">
        <v>4432</v>
      </c>
      <c r="K584" s="492" t="s">
        <v>1756</v>
      </c>
      <c r="L584" s="492" t="s">
        <v>2783</v>
      </c>
      <c r="M584" s="493" t="s">
        <v>1230</v>
      </c>
      <c r="N584" s="493" t="s">
        <v>1232</v>
      </c>
      <c r="O584" s="492" t="s">
        <v>1232</v>
      </c>
      <c r="P584" s="492" t="s">
        <v>469</v>
      </c>
      <c r="Q584" s="494">
        <v>44650</v>
      </c>
      <c r="R584" s="494">
        <v>45747</v>
      </c>
      <c r="S584" s="495">
        <v>0.35</v>
      </c>
      <c r="T584" s="498"/>
      <c r="U584" s="496">
        <v>24214626.93</v>
      </c>
      <c r="V584" s="496">
        <v>24214626.93</v>
      </c>
      <c r="W584" s="496">
        <v>24214626.93</v>
      </c>
      <c r="X584" s="496">
        <f t="shared" ref="X584:X647" si="46">W584-U584</f>
        <v>0</v>
      </c>
      <c r="Y584" s="496">
        <f t="shared" ref="Y584:Y647" si="47">W584-V584</f>
        <v>0</v>
      </c>
      <c r="Z584" s="496">
        <v>24214626.93</v>
      </c>
      <c r="AA584" s="496">
        <v>24214626.93</v>
      </c>
      <c r="AB584" s="496">
        <v>24214626.93</v>
      </c>
      <c r="AC584" s="496">
        <f t="shared" ref="AC584:AC647" si="48">AB584-Z584</f>
        <v>0</v>
      </c>
      <c r="AD584" s="496">
        <f t="shared" ref="AD584:AD647" si="49">AB584-AA584</f>
        <v>0</v>
      </c>
      <c r="AE584" s="496">
        <v>0</v>
      </c>
      <c r="AF584" s="496">
        <v>0</v>
      </c>
      <c r="AG584" s="497" t="s">
        <v>1250</v>
      </c>
      <c r="AH584" s="497" t="s">
        <v>1252</v>
      </c>
      <c r="AI584" s="497" t="s">
        <v>1248</v>
      </c>
      <c r="AJ584" s="497" t="s">
        <v>1234</v>
      </c>
      <c r="AK584" s="497" t="s">
        <v>1251</v>
      </c>
      <c r="AL584" s="491"/>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row>
    <row r="585" spans="1:80" ht="18" customHeight="1" x14ac:dyDescent="0.25">
      <c r="A585" s="485">
        <f t="shared" si="45"/>
        <v>583</v>
      </c>
      <c r="B585" s="485" t="s">
        <v>4439</v>
      </c>
      <c r="C585" s="485">
        <v>4100000264</v>
      </c>
      <c r="D585" s="485" t="s">
        <v>5220</v>
      </c>
      <c r="E585" s="485" t="s">
        <v>4438</v>
      </c>
      <c r="F585" s="485" t="s">
        <v>2581</v>
      </c>
      <c r="G585" s="485" t="s">
        <v>4436</v>
      </c>
      <c r="H585" s="485" t="s">
        <v>2581</v>
      </c>
      <c r="I585" s="485" t="s">
        <v>4436</v>
      </c>
      <c r="J585" s="485" t="s">
        <v>4437</v>
      </c>
      <c r="K585" s="485" t="s">
        <v>1756</v>
      </c>
      <c r="L585" s="485" t="s">
        <v>2783</v>
      </c>
      <c r="M585" s="486" t="s">
        <v>1230</v>
      </c>
      <c r="N585" s="486" t="s">
        <v>1231</v>
      </c>
      <c r="O585" s="485" t="s">
        <v>1232</v>
      </c>
      <c r="P585" s="485" t="s">
        <v>469</v>
      </c>
      <c r="Q585" s="487">
        <v>44677</v>
      </c>
      <c r="R585" s="487">
        <v>45775</v>
      </c>
      <c r="S585" s="488">
        <v>0.35</v>
      </c>
      <c r="T585" s="488"/>
      <c r="U585" s="489">
        <v>2723058</v>
      </c>
      <c r="V585" s="489">
        <v>2723058</v>
      </c>
      <c r="W585" s="489">
        <v>2723058</v>
      </c>
      <c r="X585" s="489">
        <f>W585-U585</f>
        <v>0</v>
      </c>
      <c r="Y585" s="489">
        <f>W585-V585</f>
        <v>0</v>
      </c>
      <c r="Z585" s="489">
        <v>2723058</v>
      </c>
      <c r="AA585" s="489">
        <v>2723058</v>
      </c>
      <c r="AB585" s="489">
        <v>2723058</v>
      </c>
      <c r="AC585" s="489">
        <f>AB585-Z585</f>
        <v>0</v>
      </c>
      <c r="AD585" s="489">
        <f>AB585-AA585</f>
        <v>0</v>
      </c>
      <c r="AE585" s="489">
        <v>0</v>
      </c>
      <c r="AF585" s="489">
        <v>0</v>
      </c>
      <c r="AG585" s="490" t="s">
        <v>1250</v>
      </c>
      <c r="AH585" s="490" t="s">
        <v>1252</v>
      </c>
      <c r="AI585" s="490" t="s">
        <v>1248</v>
      </c>
      <c r="AJ585" s="490" t="s">
        <v>1234</v>
      </c>
      <c r="AK585" s="490" t="s">
        <v>1251</v>
      </c>
      <c r="AL585" s="491"/>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row>
    <row r="586" spans="1:80" ht="18" customHeight="1" x14ac:dyDescent="0.25">
      <c r="A586" s="485">
        <f t="shared" si="45"/>
        <v>584</v>
      </c>
      <c r="B586" s="485" t="s">
        <v>4440</v>
      </c>
      <c r="C586" s="485">
        <v>4100000265</v>
      </c>
      <c r="D586" s="485" t="s">
        <v>5221</v>
      </c>
      <c r="E586" s="485" t="s">
        <v>4438</v>
      </c>
      <c r="F586" s="485" t="s">
        <v>2581</v>
      </c>
      <c r="G586" s="485" t="s">
        <v>4436</v>
      </c>
      <c r="H586" s="485" t="s">
        <v>2581</v>
      </c>
      <c r="I586" s="485" t="s">
        <v>4436</v>
      </c>
      <c r="J586" s="485" t="s">
        <v>4437</v>
      </c>
      <c r="K586" s="485" t="s">
        <v>1756</v>
      </c>
      <c r="L586" s="485" t="s">
        <v>2783</v>
      </c>
      <c r="M586" s="486" t="s">
        <v>1230</v>
      </c>
      <c r="N586" s="486" t="s">
        <v>1231</v>
      </c>
      <c r="O586" s="485" t="s">
        <v>1232</v>
      </c>
      <c r="P586" s="485" t="s">
        <v>469</v>
      </c>
      <c r="Q586" s="487">
        <v>44677</v>
      </c>
      <c r="R586" s="487">
        <v>45775</v>
      </c>
      <c r="S586" s="488">
        <v>1</v>
      </c>
      <c r="T586" s="488"/>
      <c r="U586" s="489">
        <v>1276942</v>
      </c>
      <c r="V586" s="489">
        <v>1276942</v>
      </c>
      <c r="W586" s="489">
        <v>1276942</v>
      </c>
      <c r="X586" s="489">
        <f>W586-U586</f>
        <v>0</v>
      </c>
      <c r="Y586" s="489">
        <f>W586-V586</f>
        <v>0</v>
      </c>
      <c r="Z586" s="489">
        <v>1276942</v>
      </c>
      <c r="AA586" s="489">
        <v>1276942</v>
      </c>
      <c r="AB586" s="489">
        <v>1276942</v>
      </c>
      <c r="AC586" s="489">
        <f>AB586-Z586</f>
        <v>0</v>
      </c>
      <c r="AD586" s="489">
        <f>AB586-AA586</f>
        <v>0</v>
      </c>
      <c r="AE586" s="489">
        <v>0</v>
      </c>
      <c r="AF586" s="489">
        <v>0</v>
      </c>
      <c r="AG586" s="490" t="s">
        <v>1250</v>
      </c>
      <c r="AH586" s="490" t="s">
        <v>1252</v>
      </c>
      <c r="AI586" s="490" t="s">
        <v>1283</v>
      </c>
      <c r="AJ586" s="490" t="s">
        <v>1234</v>
      </c>
      <c r="AK586" s="490" t="s">
        <v>1278</v>
      </c>
      <c r="AL586" s="491"/>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row>
    <row r="587" spans="1:80" ht="18" customHeight="1" x14ac:dyDescent="0.25">
      <c r="A587" s="492">
        <f t="shared" si="45"/>
        <v>585</v>
      </c>
      <c r="B587" s="492" t="s">
        <v>4444</v>
      </c>
      <c r="C587" s="492">
        <v>4100000261</v>
      </c>
      <c r="D587" s="492" t="s">
        <v>5222</v>
      </c>
      <c r="E587" s="492" t="s">
        <v>1528</v>
      </c>
      <c r="F587" s="492" t="s">
        <v>4443</v>
      </c>
      <c r="G587" s="492" t="s">
        <v>4441</v>
      </c>
      <c r="H587" s="492" t="s">
        <v>4443</v>
      </c>
      <c r="I587" s="492" t="s">
        <v>4441</v>
      </c>
      <c r="J587" s="492" t="s">
        <v>4442</v>
      </c>
      <c r="K587" s="492" t="s">
        <v>1756</v>
      </c>
      <c r="L587" s="492" t="s">
        <v>2783</v>
      </c>
      <c r="M587" s="493" t="s">
        <v>1230</v>
      </c>
      <c r="N587" s="493" t="s">
        <v>1232</v>
      </c>
      <c r="O587" s="492" t="s">
        <v>1232</v>
      </c>
      <c r="P587" s="492" t="s">
        <v>469</v>
      </c>
      <c r="Q587" s="494">
        <v>44665</v>
      </c>
      <c r="R587" s="494">
        <v>45761</v>
      </c>
      <c r="S587" s="495">
        <v>0.35</v>
      </c>
      <c r="T587" s="498"/>
      <c r="U587" s="496">
        <v>959596</v>
      </c>
      <c r="V587" s="496">
        <v>957513</v>
      </c>
      <c r="W587" s="496">
        <v>957513</v>
      </c>
      <c r="X587" s="496">
        <f>W587-U587</f>
        <v>-2083</v>
      </c>
      <c r="Y587" s="496">
        <f>W587-V587</f>
        <v>0</v>
      </c>
      <c r="Z587" s="496">
        <v>959596</v>
      </c>
      <c r="AA587" s="496">
        <v>957513</v>
      </c>
      <c r="AB587" s="496">
        <v>957513</v>
      </c>
      <c r="AC587" s="496">
        <f>AB587-Z587</f>
        <v>-2083</v>
      </c>
      <c r="AD587" s="496">
        <f>AB587-AA587</f>
        <v>0</v>
      </c>
      <c r="AE587" s="496">
        <v>0</v>
      </c>
      <c r="AF587" s="496">
        <v>0</v>
      </c>
      <c r="AG587" s="497" t="s">
        <v>1250</v>
      </c>
      <c r="AH587" s="497" t="s">
        <v>1252</v>
      </c>
      <c r="AI587" s="497" t="s">
        <v>1269</v>
      </c>
      <c r="AJ587" s="497" t="s">
        <v>1234</v>
      </c>
      <c r="AK587" s="497" t="s">
        <v>1251</v>
      </c>
      <c r="AL587" s="491"/>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row>
    <row r="588" spans="1:80" ht="18" customHeight="1" x14ac:dyDescent="0.25">
      <c r="A588" s="485">
        <f t="shared" si="45"/>
        <v>586</v>
      </c>
      <c r="B588" s="485" t="s">
        <v>5223</v>
      </c>
      <c r="C588" s="485">
        <v>2100000327</v>
      </c>
      <c r="D588" s="485" t="s">
        <v>5224</v>
      </c>
      <c r="E588" s="485" t="s">
        <v>1583</v>
      </c>
      <c r="F588" s="485" t="s">
        <v>1582</v>
      </c>
      <c r="G588" s="485" t="s">
        <v>4445</v>
      </c>
      <c r="H588" s="485" t="s">
        <v>2646</v>
      </c>
      <c r="I588" s="485" t="s">
        <v>3814</v>
      </c>
      <c r="J588" s="485" t="s">
        <v>4446</v>
      </c>
      <c r="K588" s="485" t="s">
        <v>1756</v>
      </c>
      <c r="L588" s="485" t="s">
        <v>2783</v>
      </c>
      <c r="M588" s="486" t="s">
        <v>1230</v>
      </c>
      <c r="N588" s="486" t="s">
        <v>1231</v>
      </c>
      <c r="O588" s="485" t="s">
        <v>1232</v>
      </c>
      <c r="P588" s="485" t="s">
        <v>469</v>
      </c>
      <c r="Q588" s="487">
        <v>44665</v>
      </c>
      <c r="R588" s="487">
        <v>45593</v>
      </c>
      <c r="S588" s="488">
        <v>1.5</v>
      </c>
      <c r="T588" s="488"/>
      <c r="U588" s="489">
        <v>19580947</v>
      </c>
      <c r="V588" s="489">
        <v>19580947</v>
      </c>
      <c r="W588" s="489">
        <v>19580947</v>
      </c>
      <c r="X588" s="489">
        <f>W588-U588</f>
        <v>0</v>
      </c>
      <c r="Y588" s="489">
        <f>W588-V588</f>
        <v>0</v>
      </c>
      <c r="Z588" s="489">
        <v>2446686.9500000002</v>
      </c>
      <c r="AA588" s="489">
        <v>4586443</v>
      </c>
      <c r="AB588" s="489">
        <v>4586443</v>
      </c>
      <c r="AC588" s="489">
        <f>AB588-Z588</f>
        <v>2139756.0499999998</v>
      </c>
      <c r="AD588" s="489">
        <f>AB588-AA588</f>
        <v>0</v>
      </c>
      <c r="AE588" s="489">
        <v>14994504</v>
      </c>
      <c r="AF588" s="489">
        <v>0</v>
      </c>
      <c r="AG588" s="490" t="s">
        <v>1245</v>
      </c>
      <c r="AH588" s="490" t="s">
        <v>1242</v>
      </c>
      <c r="AI588" s="490" t="s">
        <v>1292</v>
      </c>
      <c r="AJ588" s="490" t="s">
        <v>1246</v>
      </c>
      <c r="AK588" s="490" t="s">
        <v>1235</v>
      </c>
      <c r="AL588" s="491"/>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row>
    <row r="589" spans="1:80" ht="18" customHeight="1" x14ac:dyDescent="0.25">
      <c r="A589" s="485">
        <f t="shared" si="45"/>
        <v>587</v>
      </c>
      <c r="B589" s="485" t="s">
        <v>4451</v>
      </c>
      <c r="C589" s="485">
        <v>2100000318</v>
      </c>
      <c r="D589" s="485" t="s">
        <v>5225</v>
      </c>
      <c r="E589" s="485" t="s">
        <v>4449</v>
      </c>
      <c r="F589" s="485" t="s">
        <v>4450</v>
      </c>
      <c r="G589" s="485" t="s">
        <v>4447</v>
      </c>
      <c r="H589" s="485" t="s">
        <v>2537</v>
      </c>
      <c r="I589" s="485" t="s">
        <v>3004</v>
      </c>
      <c r="J589" s="485" t="s">
        <v>4448</v>
      </c>
      <c r="K589" s="485" t="s">
        <v>1756</v>
      </c>
      <c r="L589" s="485" t="s">
        <v>2783</v>
      </c>
      <c r="M589" s="486" t="s">
        <v>1307</v>
      </c>
      <c r="N589" s="486" t="s">
        <v>1231</v>
      </c>
      <c r="O589" s="485" t="s">
        <v>1232</v>
      </c>
      <c r="P589" s="485" t="s">
        <v>469</v>
      </c>
      <c r="Q589" s="487">
        <v>42524</v>
      </c>
      <c r="R589" s="487">
        <v>45107</v>
      </c>
      <c r="S589" s="488">
        <v>1</v>
      </c>
      <c r="T589" s="488"/>
      <c r="U589" s="489">
        <v>860000</v>
      </c>
      <c r="V589" s="489">
        <v>860000</v>
      </c>
      <c r="W589" s="489">
        <v>860000</v>
      </c>
      <c r="X589" s="489">
        <f t="shared" si="46"/>
        <v>0</v>
      </c>
      <c r="Y589" s="489">
        <f t="shared" si="47"/>
        <v>0</v>
      </c>
      <c r="Z589" s="489">
        <v>860000</v>
      </c>
      <c r="AA589" s="489">
        <v>860000</v>
      </c>
      <c r="AB589" s="489">
        <v>860000</v>
      </c>
      <c r="AC589" s="489">
        <f t="shared" si="48"/>
        <v>0</v>
      </c>
      <c r="AD589" s="489">
        <f t="shared" si="49"/>
        <v>0</v>
      </c>
      <c r="AE589" s="489">
        <v>0</v>
      </c>
      <c r="AF589" s="489">
        <v>0</v>
      </c>
      <c r="AG589" s="490" t="s">
        <v>1233</v>
      </c>
      <c r="AH589" s="490" t="s">
        <v>1236</v>
      </c>
      <c r="AI589" s="490"/>
      <c r="AJ589" s="490" t="s">
        <v>1259</v>
      </c>
      <c r="AK589" s="490" t="s">
        <v>1240</v>
      </c>
      <c r="AL589" s="491"/>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row>
    <row r="590" spans="1:80" ht="18" customHeight="1" x14ac:dyDescent="0.25">
      <c r="A590" s="485">
        <f t="shared" si="45"/>
        <v>588</v>
      </c>
      <c r="B590" s="485" t="s">
        <v>4452</v>
      </c>
      <c r="C590" s="485">
        <v>2100000319</v>
      </c>
      <c r="D590" s="485" t="s">
        <v>5226</v>
      </c>
      <c r="E590" s="485" t="s">
        <v>4449</v>
      </c>
      <c r="F590" s="485" t="s">
        <v>4450</v>
      </c>
      <c r="G590" s="485" t="s">
        <v>4447</v>
      </c>
      <c r="H590" s="485" t="s">
        <v>2537</v>
      </c>
      <c r="I590" s="485" t="s">
        <v>3004</v>
      </c>
      <c r="J590" s="485" t="s">
        <v>4448</v>
      </c>
      <c r="K590" s="485" t="s">
        <v>1756</v>
      </c>
      <c r="L590" s="485" t="s">
        <v>2783</v>
      </c>
      <c r="M590" s="486" t="s">
        <v>1307</v>
      </c>
      <c r="N590" s="486" t="s">
        <v>1231</v>
      </c>
      <c r="O590" s="485" t="s">
        <v>1232</v>
      </c>
      <c r="P590" s="485" t="s">
        <v>469</v>
      </c>
      <c r="Q590" s="487">
        <v>44012</v>
      </c>
      <c r="R590" s="487">
        <v>45107</v>
      </c>
      <c r="S590" s="488">
        <v>1</v>
      </c>
      <c r="T590" s="488"/>
      <c r="U590" s="489">
        <v>44510.59</v>
      </c>
      <c r="V590" s="489">
        <v>44510.59</v>
      </c>
      <c r="W590" s="489">
        <v>44510.59</v>
      </c>
      <c r="X590" s="489">
        <f t="shared" si="46"/>
        <v>0</v>
      </c>
      <c r="Y590" s="489">
        <f t="shared" si="47"/>
        <v>0</v>
      </c>
      <c r="Z590" s="489">
        <v>44510.59</v>
      </c>
      <c r="AA590" s="489">
        <v>44510.59</v>
      </c>
      <c r="AB590" s="489">
        <v>44510.59</v>
      </c>
      <c r="AC590" s="489">
        <f t="shared" si="48"/>
        <v>0</v>
      </c>
      <c r="AD590" s="489">
        <f t="shared" si="49"/>
        <v>0</v>
      </c>
      <c r="AE590" s="489">
        <v>0</v>
      </c>
      <c r="AF590" s="489">
        <v>0</v>
      </c>
      <c r="AG590" s="490" t="s">
        <v>1233</v>
      </c>
      <c r="AH590" s="490" t="s">
        <v>1236</v>
      </c>
      <c r="AI590" s="490"/>
      <c r="AJ590" s="490" t="s">
        <v>1259</v>
      </c>
      <c r="AK590" s="490" t="s">
        <v>1240</v>
      </c>
      <c r="AL590" s="491"/>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row>
    <row r="591" spans="1:80" ht="18" customHeight="1" x14ac:dyDescent="0.25">
      <c r="A591" s="485">
        <f t="shared" si="45"/>
        <v>589</v>
      </c>
      <c r="B591" s="485" t="s">
        <v>4455</v>
      </c>
      <c r="C591" s="485">
        <v>2100000320</v>
      </c>
      <c r="D591" s="485" t="s">
        <v>5227</v>
      </c>
      <c r="E591" s="485" t="s">
        <v>4449</v>
      </c>
      <c r="F591" s="485" t="s">
        <v>4454</v>
      </c>
      <c r="G591" s="485" t="s">
        <v>4453</v>
      </c>
      <c r="H591" s="485" t="s">
        <v>2537</v>
      </c>
      <c r="I591" s="485" t="s">
        <v>3004</v>
      </c>
      <c r="J591" s="485" t="s">
        <v>4448</v>
      </c>
      <c r="K591" s="485" t="s">
        <v>1756</v>
      </c>
      <c r="L591" s="485" t="s">
        <v>2783</v>
      </c>
      <c r="M591" s="486" t="s">
        <v>1307</v>
      </c>
      <c r="N591" s="486" t="s">
        <v>1231</v>
      </c>
      <c r="O591" s="485" t="s">
        <v>1232</v>
      </c>
      <c r="P591" s="485" t="s">
        <v>469</v>
      </c>
      <c r="Q591" s="487">
        <v>42524</v>
      </c>
      <c r="R591" s="487">
        <v>45107</v>
      </c>
      <c r="S591" s="488">
        <v>1</v>
      </c>
      <c r="T591" s="488"/>
      <c r="U591" s="489">
        <v>12640000</v>
      </c>
      <c r="V591" s="489">
        <v>12640000</v>
      </c>
      <c r="W591" s="489">
        <v>12640000</v>
      </c>
      <c r="X591" s="489">
        <f t="shared" si="46"/>
        <v>0</v>
      </c>
      <c r="Y591" s="489">
        <f t="shared" si="47"/>
        <v>0</v>
      </c>
      <c r="Z591" s="489">
        <v>12640000</v>
      </c>
      <c r="AA591" s="489">
        <v>12640000</v>
      </c>
      <c r="AB591" s="489">
        <v>12640000</v>
      </c>
      <c r="AC591" s="489">
        <f t="shared" si="48"/>
        <v>0</v>
      </c>
      <c r="AD591" s="489">
        <f t="shared" si="49"/>
        <v>0</v>
      </c>
      <c r="AE591" s="489">
        <v>0</v>
      </c>
      <c r="AF591" s="489">
        <v>0</v>
      </c>
      <c r="AG591" s="490" t="s">
        <v>1233</v>
      </c>
      <c r="AH591" s="490" t="s">
        <v>1236</v>
      </c>
      <c r="AI591" s="490"/>
      <c r="AJ591" s="490" t="s">
        <v>1259</v>
      </c>
      <c r="AK591" s="490" t="s">
        <v>1240</v>
      </c>
      <c r="AL591" s="4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c r="BV591"/>
      <c r="BW591"/>
      <c r="BX591"/>
      <c r="BY591"/>
      <c r="BZ591"/>
      <c r="CA591"/>
      <c r="CB591"/>
    </row>
    <row r="592" spans="1:80" ht="18" customHeight="1" x14ac:dyDescent="0.25">
      <c r="A592" s="485">
        <f t="shared" si="45"/>
        <v>590</v>
      </c>
      <c r="B592" s="485" t="s">
        <v>4456</v>
      </c>
      <c r="C592" s="485">
        <v>2100000321</v>
      </c>
      <c r="D592" s="485" t="s">
        <v>5228</v>
      </c>
      <c r="E592" s="485" t="s">
        <v>4449</v>
      </c>
      <c r="F592" s="485" t="s">
        <v>4454</v>
      </c>
      <c r="G592" s="485" t="s">
        <v>4453</v>
      </c>
      <c r="H592" s="485" t="s">
        <v>2537</v>
      </c>
      <c r="I592" s="485" t="s">
        <v>3004</v>
      </c>
      <c r="J592" s="485" t="s">
        <v>4448</v>
      </c>
      <c r="K592" s="485" t="s">
        <v>1756</v>
      </c>
      <c r="L592" s="485" t="s">
        <v>2783</v>
      </c>
      <c r="M592" s="486" t="s">
        <v>1307</v>
      </c>
      <c r="N592" s="486" t="s">
        <v>1231</v>
      </c>
      <c r="O592" s="485" t="s">
        <v>1232</v>
      </c>
      <c r="P592" s="485" t="s">
        <v>469</v>
      </c>
      <c r="Q592" s="487">
        <v>44012</v>
      </c>
      <c r="R592" s="487">
        <v>45107</v>
      </c>
      <c r="S592" s="488">
        <v>1</v>
      </c>
      <c r="T592" s="488"/>
      <c r="U592" s="489">
        <v>2151976.42</v>
      </c>
      <c r="V592" s="489">
        <v>2151976.42</v>
      </c>
      <c r="W592" s="489">
        <v>2151976.42</v>
      </c>
      <c r="X592" s="489">
        <f t="shared" si="46"/>
        <v>0</v>
      </c>
      <c r="Y592" s="489">
        <f t="shared" si="47"/>
        <v>0</v>
      </c>
      <c r="Z592" s="489">
        <v>2151976.42</v>
      </c>
      <c r="AA592" s="489">
        <v>2151976.42</v>
      </c>
      <c r="AB592" s="489">
        <v>2151976.42</v>
      </c>
      <c r="AC592" s="489">
        <f t="shared" si="48"/>
        <v>0</v>
      </c>
      <c r="AD592" s="489">
        <f t="shared" si="49"/>
        <v>0</v>
      </c>
      <c r="AE592" s="489">
        <v>0</v>
      </c>
      <c r="AF592" s="489">
        <v>0</v>
      </c>
      <c r="AG592" s="490" t="s">
        <v>1233</v>
      </c>
      <c r="AH592" s="490" t="s">
        <v>1236</v>
      </c>
      <c r="AI592" s="490"/>
      <c r="AJ592" s="490" t="s">
        <v>1259</v>
      </c>
      <c r="AK592" s="490" t="s">
        <v>1240</v>
      </c>
      <c r="AL592" s="491"/>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row>
    <row r="593" spans="1:80" ht="18" customHeight="1" x14ac:dyDescent="0.25">
      <c r="A593" s="485">
        <f t="shared" si="45"/>
        <v>591</v>
      </c>
      <c r="B593" s="485" t="s">
        <v>4459</v>
      </c>
      <c r="C593" s="485">
        <v>2100000323</v>
      </c>
      <c r="D593" s="485" t="s">
        <v>5229</v>
      </c>
      <c r="E593" s="485" t="s">
        <v>4449</v>
      </c>
      <c r="F593" s="485" t="s">
        <v>4458</v>
      </c>
      <c r="G593" s="485" t="s">
        <v>4457</v>
      </c>
      <c r="H593" s="485" t="s">
        <v>2537</v>
      </c>
      <c r="I593" s="485" t="s">
        <v>3004</v>
      </c>
      <c r="J593" s="485" t="s">
        <v>4448</v>
      </c>
      <c r="K593" s="485" t="s">
        <v>1756</v>
      </c>
      <c r="L593" s="485" t="s">
        <v>2783</v>
      </c>
      <c r="M593" s="486" t="s">
        <v>1307</v>
      </c>
      <c r="N593" s="486" t="s">
        <v>1231</v>
      </c>
      <c r="O593" s="485" t="s">
        <v>1232</v>
      </c>
      <c r="P593" s="485" t="s">
        <v>469</v>
      </c>
      <c r="Q593" s="487">
        <v>42524</v>
      </c>
      <c r="R593" s="487">
        <v>45107</v>
      </c>
      <c r="S593" s="488">
        <v>1</v>
      </c>
      <c r="T593" s="488"/>
      <c r="U593" s="489">
        <v>2000000</v>
      </c>
      <c r="V593" s="489">
        <v>2000000</v>
      </c>
      <c r="W593" s="489">
        <v>2000000</v>
      </c>
      <c r="X593" s="489">
        <f t="shared" si="46"/>
        <v>0</v>
      </c>
      <c r="Y593" s="489">
        <f t="shared" si="47"/>
        <v>0</v>
      </c>
      <c r="Z593" s="489">
        <v>2000000</v>
      </c>
      <c r="AA593" s="489">
        <v>2000000</v>
      </c>
      <c r="AB593" s="489">
        <v>2000000</v>
      </c>
      <c r="AC593" s="489">
        <f t="shared" si="48"/>
        <v>0</v>
      </c>
      <c r="AD593" s="489">
        <f t="shared" si="49"/>
        <v>0</v>
      </c>
      <c r="AE593" s="489">
        <v>0</v>
      </c>
      <c r="AF593" s="489">
        <v>0</v>
      </c>
      <c r="AG593" s="490" t="s">
        <v>1233</v>
      </c>
      <c r="AH593" s="490" t="s">
        <v>1236</v>
      </c>
      <c r="AI593" s="490"/>
      <c r="AJ593" s="490" t="s">
        <v>1259</v>
      </c>
      <c r="AK593" s="490" t="s">
        <v>1240</v>
      </c>
      <c r="AL593" s="491"/>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c r="BV593"/>
      <c r="BW593"/>
      <c r="BX593"/>
      <c r="BY593"/>
      <c r="BZ593"/>
      <c r="CA593"/>
      <c r="CB593"/>
    </row>
    <row r="594" spans="1:80" ht="18" customHeight="1" x14ac:dyDescent="0.25">
      <c r="A594" s="485">
        <f t="shared" si="45"/>
        <v>592</v>
      </c>
      <c r="B594" s="485" t="s">
        <v>4460</v>
      </c>
      <c r="C594" s="485">
        <v>2100000322</v>
      </c>
      <c r="D594" s="485" t="s">
        <v>5230</v>
      </c>
      <c r="E594" s="485" t="s">
        <v>4449</v>
      </c>
      <c r="F594" s="485" t="s">
        <v>4458</v>
      </c>
      <c r="G594" s="485" t="s">
        <v>4457</v>
      </c>
      <c r="H594" s="485" t="s">
        <v>2537</v>
      </c>
      <c r="I594" s="485" t="s">
        <v>3004</v>
      </c>
      <c r="J594" s="485" t="s">
        <v>4448</v>
      </c>
      <c r="K594" s="485" t="s">
        <v>1756</v>
      </c>
      <c r="L594" s="485" t="s">
        <v>2783</v>
      </c>
      <c r="M594" s="486" t="s">
        <v>1307</v>
      </c>
      <c r="N594" s="486" t="s">
        <v>1231</v>
      </c>
      <c r="O594" s="485" t="s">
        <v>1232</v>
      </c>
      <c r="P594" s="485" t="s">
        <v>469</v>
      </c>
      <c r="Q594" s="487">
        <v>44012</v>
      </c>
      <c r="R594" s="487">
        <v>45107</v>
      </c>
      <c r="S594" s="488">
        <v>1</v>
      </c>
      <c r="T594" s="488"/>
      <c r="U594" s="489">
        <v>438289.18</v>
      </c>
      <c r="V594" s="489">
        <v>438289.18</v>
      </c>
      <c r="W594" s="489">
        <v>438289.18</v>
      </c>
      <c r="X594" s="489">
        <f t="shared" si="46"/>
        <v>0</v>
      </c>
      <c r="Y594" s="489">
        <f t="shared" si="47"/>
        <v>0</v>
      </c>
      <c r="Z594" s="489">
        <v>262516.11</v>
      </c>
      <c r="AA594" s="489">
        <v>277991.46000000002</v>
      </c>
      <c r="AB594" s="489">
        <v>277991.46000000002</v>
      </c>
      <c r="AC594" s="489">
        <f t="shared" si="48"/>
        <v>15475.350000000035</v>
      </c>
      <c r="AD594" s="489">
        <f t="shared" si="49"/>
        <v>0</v>
      </c>
      <c r="AE594" s="489">
        <v>160297.72</v>
      </c>
      <c r="AF594" s="489">
        <v>0</v>
      </c>
      <c r="AG594" s="490" t="s">
        <v>1233</v>
      </c>
      <c r="AH594" s="490" t="s">
        <v>1236</v>
      </c>
      <c r="AI594" s="490"/>
      <c r="AJ594" s="490" t="s">
        <v>1259</v>
      </c>
      <c r="AK594" s="490" t="s">
        <v>1240</v>
      </c>
      <c r="AL594" s="491"/>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row>
    <row r="595" spans="1:80" ht="18" customHeight="1" x14ac:dyDescent="0.25">
      <c r="A595" s="485">
        <f t="shared" si="45"/>
        <v>593</v>
      </c>
      <c r="B595" s="485" t="s">
        <v>4461</v>
      </c>
      <c r="C595" s="485">
        <v>2100000324</v>
      </c>
      <c r="D595" s="485" t="s">
        <v>5231</v>
      </c>
      <c r="E595" s="485" t="s">
        <v>4449</v>
      </c>
      <c r="F595" s="485" t="s">
        <v>4450</v>
      </c>
      <c r="G595" s="485" t="s">
        <v>4447</v>
      </c>
      <c r="H595" s="485" t="s">
        <v>2537</v>
      </c>
      <c r="I595" s="485" t="s">
        <v>3004</v>
      </c>
      <c r="J595" s="485" t="s">
        <v>4448</v>
      </c>
      <c r="K595" s="485" t="s">
        <v>1756</v>
      </c>
      <c r="L595" s="485" t="s">
        <v>2783</v>
      </c>
      <c r="M595" s="486" t="s">
        <v>1307</v>
      </c>
      <c r="N595" s="486" t="s">
        <v>1231</v>
      </c>
      <c r="O595" s="485" t="s">
        <v>1232</v>
      </c>
      <c r="P595" s="485" t="s">
        <v>469</v>
      </c>
      <c r="Q595" s="487">
        <v>44656</v>
      </c>
      <c r="R595" s="487">
        <v>45107</v>
      </c>
      <c r="S595" s="488">
        <v>1</v>
      </c>
      <c r="T595" s="488"/>
      <c r="U595" s="489">
        <v>6858393.8099999996</v>
      </c>
      <c r="V595" s="489">
        <v>6858393.8099999996</v>
      </c>
      <c r="W595" s="489">
        <v>6858393.8099999996</v>
      </c>
      <c r="X595" s="489">
        <f t="shared" si="46"/>
        <v>0</v>
      </c>
      <c r="Y595" s="489">
        <f t="shared" si="47"/>
        <v>0</v>
      </c>
      <c r="Z595" s="489">
        <v>5159185.4400000004</v>
      </c>
      <c r="AA595" s="489">
        <v>5302579.88</v>
      </c>
      <c r="AB595" s="489">
        <v>5302579.88</v>
      </c>
      <c r="AC595" s="489">
        <f t="shared" si="48"/>
        <v>143394.43999999948</v>
      </c>
      <c r="AD595" s="489">
        <f t="shared" si="49"/>
        <v>0</v>
      </c>
      <c r="AE595" s="489">
        <v>1555813.9300000002</v>
      </c>
      <c r="AF595" s="489">
        <v>0</v>
      </c>
      <c r="AG595" s="490" t="s">
        <v>1233</v>
      </c>
      <c r="AH595" s="490" t="s">
        <v>1236</v>
      </c>
      <c r="AI595" s="490"/>
      <c r="AJ595" s="490" t="s">
        <v>1259</v>
      </c>
      <c r="AK595" s="490" t="s">
        <v>1240</v>
      </c>
      <c r="AL595" s="491"/>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c r="BV595"/>
      <c r="BW595"/>
      <c r="BX595"/>
      <c r="BY595"/>
      <c r="BZ595"/>
      <c r="CA595"/>
      <c r="CB595"/>
    </row>
    <row r="596" spans="1:80" ht="18" customHeight="1" x14ac:dyDescent="0.25">
      <c r="A596" s="485">
        <f t="shared" si="45"/>
        <v>594</v>
      </c>
      <c r="B596" s="485" t="s">
        <v>5232</v>
      </c>
      <c r="C596" s="485">
        <v>2100000329</v>
      </c>
      <c r="D596" s="485" t="s">
        <v>5233</v>
      </c>
      <c r="E596" s="485" t="s">
        <v>4464</v>
      </c>
      <c r="F596" s="485" t="s">
        <v>4465</v>
      </c>
      <c r="G596" s="485" t="s">
        <v>4462</v>
      </c>
      <c r="H596" s="485" t="s">
        <v>2646</v>
      </c>
      <c r="I596" s="485" t="s">
        <v>3814</v>
      </c>
      <c r="J596" s="485" t="s">
        <v>4463</v>
      </c>
      <c r="K596" s="485" t="s">
        <v>1756</v>
      </c>
      <c r="L596" s="485" t="s">
        <v>2783</v>
      </c>
      <c r="M596" s="486" t="s">
        <v>1230</v>
      </c>
      <c r="N596" s="486" t="s">
        <v>1231</v>
      </c>
      <c r="O596" s="485" t="s">
        <v>1232</v>
      </c>
      <c r="P596" s="485" t="s">
        <v>469</v>
      </c>
      <c r="Q596" s="487">
        <v>44680</v>
      </c>
      <c r="R596" s="487">
        <v>45776</v>
      </c>
      <c r="S596" s="488">
        <v>1.5</v>
      </c>
      <c r="T596" s="488"/>
      <c r="U596" s="489">
        <v>8525500</v>
      </c>
      <c r="V596" s="489">
        <v>8525500</v>
      </c>
      <c r="W596" s="489">
        <v>8525500</v>
      </c>
      <c r="X596" s="489">
        <f t="shared" si="46"/>
        <v>0</v>
      </c>
      <c r="Y596" s="489">
        <f t="shared" si="47"/>
        <v>0</v>
      </c>
      <c r="Z596" s="489">
        <v>8525500</v>
      </c>
      <c r="AA596" s="489">
        <v>8525500</v>
      </c>
      <c r="AB596" s="489">
        <v>8525500</v>
      </c>
      <c r="AC596" s="489">
        <f t="shared" si="48"/>
        <v>0</v>
      </c>
      <c r="AD596" s="489">
        <f t="shared" si="49"/>
        <v>0</v>
      </c>
      <c r="AE596" s="489">
        <v>0</v>
      </c>
      <c r="AF596" s="489">
        <v>0</v>
      </c>
      <c r="AG596" s="490" t="s">
        <v>1245</v>
      </c>
      <c r="AH596" s="490" t="s">
        <v>1242</v>
      </c>
      <c r="AI596" s="490" t="s">
        <v>1292</v>
      </c>
      <c r="AJ596" s="490" t="s">
        <v>1246</v>
      </c>
      <c r="AK596" s="490" t="s">
        <v>1235</v>
      </c>
      <c r="AL596" s="491"/>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row>
    <row r="597" spans="1:80" ht="18" customHeight="1" x14ac:dyDescent="0.25">
      <c r="A597" s="485">
        <f t="shared" si="45"/>
        <v>595</v>
      </c>
      <c r="B597" s="485" t="s">
        <v>5234</v>
      </c>
      <c r="C597" s="485">
        <v>2100000330</v>
      </c>
      <c r="D597" s="485" t="s">
        <v>5235</v>
      </c>
      <c r="E597" s="485" t="s">
        <v>4464</v>
      </c>
      <c r="F597" s="485" t="s">
        <v>4465</v>
      </c>
      <c r="G597" s="485" t="s">
        <v>4462</v>
      </c>
      <c r="H597" s="485" t="s">
        <v>2646</v>
      </c>
      <c r="I597" s="485" t="s">
        <v>3814</v>
      </c>
      <c r="J597" s="485" t="s">
        <v>4463</v>
      </c>
      <c r="K597" s="485" t="s">
        <v>1756</v>
      </c>
      <c r="L597" s="485" t="s">
        <v>2783</v>
      </c>
      <c r="M597" s="486" t="s">
        <v>1230</v>
      </c>
      <c r="N597" s="486" t="s">
        <v>1231</v>
      </c>
      <c r="O597" s="485" t="s">
        <v>1232</v>
      </c>
      <c r="P597" s="485" t="s">
        <v>469</v>
      </c>
      <c r="Q597" s="487">
        <v>44680</v>
      </c>
      <c r="R597" s="487">
        <v>45776</v>
      </c>
      <c r="S597" s="488">
        <v>1.5</v>
      </c>
      <c r="T597" s="488"/>
      <c r="U597" s="489">
        <v>26735100</v>
      </c>
      <c r="V597" s="489">
        <v>26735100</v>
      </c>
      <c r="W597" s="489">
        <v>26735100</v>
      </c>
      <c r="X597" s="489">
        <f t="shared" si="46"/>
        <v>0</v>
      </c>
      <c r="Y597" s="489">
        <f t="shared" si="47"/>
        <v>0</v>
      </c>
      <c r="Z597" s="489">
        <v>0</v>
      </c>
      <c r="AA597" s="489">
        <v>0</v>
      </c>
      <c r="AB597" s="489">
        <v>0</v>
      </c>
      <c r="AC597" s="489">
        <f t="shared" si="48"/>
        <v>0</v>
      </c>
      <c r="AD597" s="489">
        <f t="shared" si="49"/>
        <v>0</v>
      </c>
      <c r="AE597" s="489">
        <v>0</v>
      </c>
      <c r="AF597" s="489">
        <v>26735100</v>
      </c>
      <c r="AG597" s="490" t="s">
        <v>1245</v>
      </c>
      <c r="AH597" s="490" t="s">
        <v>1242</v>
      </c>
      <c r="AI597" s="490" t="s">
        <v>1292</v>
      </c>
      <c r="AJ597" s="490" t="s">
        <v>1246</v>
      </c>
      <c r="AK597" s="490" t="s">
        <v>1235</v>
      </c>
      <c r="AL597" s="491"/>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row>
    <row r="598" spans="1:80" ht="18" customHeight="1" x14ac:dyDescent="0.25">
      <c r="A598" s="492">
        <f t="shared" si="45"/>
        <v>596</v>
      </c>
      <c r="B598" s="492" t="s">
        <v>4470</v>
      </c>
      <c r="C598" s="492">
        <v>5100000153</v>
      </c>
      <c r="D598" s="492" t="s">
        <v>5236</v>
      </c>
      <c r="E598" s="492" t="s">
        <v>4468</v>
      </c>
      <c r="F598" s="492" t="s">
        <v>4469</v>
      </c>
      <c r="G598" s="492" t="s">
        <v>4466</v>
      </c>
      <c r="H598" s="492" t="s">
        <v>4469</v>
      </c>
      <c r="I598" s="492" t="s">
        <v>4466</v>
      </c>
      <c r="J598" s="492" t="s">
        <v>4467</v>
      </c>
      <c r="K598" s="492" t="s">
        <v>1756</v>
      </c>
      <c r="L598" s="492" t="s">
        <v>2783</v>
      </c>
      <c r="M598" s="493" t="s">
        <v>1230</v>
      </c>
      <c r="N598" s="493" t="s">
        <v>1232</v>
      </c>
      <c r="O598" s="492" t="s">
        <v>1231</v>
      </c>
      <c r="P598" s="492" t="s">
        <v>469</v>
      </c>
      <c r="Q598" s="494">
        <v>44671</v>
      </c>
      <c r="R598" s="494">
        <v>45404</v>
      </c>
      <c r="S598" s="498">
        <v>1</v>
      </c>
      <c r="T598" s="498"/>
      <c r="U598" s="496">
        <v>501979.5</v>
      </c>
      <c r="V598" s="496">
        <v>501979.5</v>
      </c>
      <c r="W598" s="496">
        <v>501979.5</v>
      </c>
      <c r="X598" s="496">
        <f t="shared" si="46"/>
        <v>0</v>
      </c>
      <c r="Y598" s="496">
        <f t="shared" si="47"/>
        <v>0</v>
      </c>
      <c r="Z598" s="496">
        <v>501979.5</v>
      </c>
      <c r="AA598" s="496">
        <v>501979.5</v>
      </c>
      <c r="AB598" s="496">
        <v>501979.5</v>
      </c>
      <c r="AC598" s="496">
        <f t="shared" si="48"/>
        <v>0</v>
      </c>
      <c r="AD598" s="496">
        <f t="shared" si="49"/>
        <v>0</v>
      </c>
      <c r="AE598" s="496">
        <v>0</v>
      </c>
      <c r="AF598" s="496">
        <v>0</v>
      </c>
      <c r="AG598" s="497" t="s">
        <v>1288</v>
      </c>
      <c r="AH598" s="497" t="s">
        <v>1252</v>
      </c>
      <c r="AI598" s="497" t="s">
        <v>1269</v>
      </c>
      <c r="AJ598" s="497" t="s">
        <v>1234</v>
      </c>
      <c r="AK598" s="497" t="s">
        <v>1278</v>
      </c>
      <c r="AL598" s="491"/>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row>
    <row r="599" spans="1:80" ht="18" customHeight="1" x14ac:dyDescent="0.25">
      <c r="A599" s="485">
        <f t="shared" si="45"/>
        <v>597</v>
      </c>
      <c r="B599" s="485" t="s">
        <v>4471</v>
      </c>
      <c r="C599" s="485">
        <v>5100000152</v>
      </c>
      <c r="D599" s="485" t="s">
        <v>5237</v>
      </c>
      <c r="E599" s="485" t="s">
        <v>1720</v>
      </c>
      <c r="F599" s="485" t="s">
        <v>4204</v>
      </c>
      <c r="G599" s="485" t="s">
        <v>4201</v>
      </c>
      <c r="H599" s="485" t="s">
        <v>4204</v>
      </c>
      <c r="I599" s="485" t="s">
        <v>4201</v>
      </c>
      <c r="J599" s="485" t="s">
        <v>4203</v>
      </c>
      <c r="K599" s="485" t="s">
        <v>1756</v>
      </c>
      <c r="L599" s="485" t="s">
        <v>2783</v>
      </c>
      <c r="M599" s="486" t="s">
        <v>1230</v>
      </c>
      <c r="N599" s="486" t="s">
        <v>1231</v>
      </c>
      <c r="O599" s="485" t="s">
        <v>1232</v>
      </c>
      <c r="P599" s="485" t="s">
        <v>469</v>
      </c>
      <c r="Q599" s="487">
        <v>43329</v>
      </c>
      <c r="R599" s="487">
        <v>44834</v>
      </c>
      <c r="S599" s="488">
        <v>1</v>
      </c>
      <c r="T599" s="488"/>
      <c r="U599" s="489">
        <v>5143319</v>
      </c>
      <c r="V599" s="489">
        <v>5143319</v>
      </c>
      <c r="W599" s="489">
        <v>5143319</v>
      </c>
      <c r="X599" s="489">
        <f t="shared" si="46"/>
        <v>0</v>
      </c>
      <c r="Y599" s="489">
        <f t="shared" si="47"/>
        <v>0</v>
      </c>
      <c r="Z599" s="489">
        <v>3000000</v>
      </c>
      <c r="AA599" s="489">
        <v>3014219.18</v>
      </c>
      <c r="AB599" s="489">
        <v>3014219.18</v>
      </c>
      <c r="AC599" s="489">
        <f t="shared" si="48"/>
        <v>14219.180000000168</v>
      </c>
      <c r="AD599" s="489">
        <f t="shared" si="49"/>
        <v>0</v>
      </c>
      <c r="AE599" s="489">
        <v>2000000</v>
      </c>
      <c r="AF599" s="489">
        <v>129099.82</v>
      </c>
      <c r="AG599" s="490" t="s">
        <v>1288</v>
      </c>
      <c r="AH599" s="490" t="s">
        <v>1252</v>
      </c>
      <c r="AI599" s="490" t="s">
        <v>1248</v>
      </c>
      <c r="AJ599" s="490" t="s">
        <v>1234</v>
      </c>
      <c r="AK599" s="490" t="s">
        <v>1278</v>
      </c>
      <c r="AL599" s="491"/>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row>
    <row r="600" spans="1:80" ht="18" customHeight="1" x14ac:dyDescent="0.25">
      <c r="A600" s="492">
        <f t="shared" si="45"/>
        <v>598</v>
      </c>
      <c r="B600" s="492" t="s">
        <v>5238</v>
      </c>
      <c r="C600" s="492">
        <v>2100000331</v>
      </c>
      <c r="D600" s="492" t="s">
        <v>5239</v>
      </c>
      <c r="E600" s="492" t="s">
        <v>4474</v>
      </c>
      <c r="F600" s="492" t="s">
        <v>5240</v>
      </c>
      <c r="G600" s="492" t="s">
        <v>4472</v>
      </c>
      <c r="H600" s="492" t="s">
        <v>5240</v>
      </c>
      <c r="I600" s="492" t="s">
        <v>4472</v>
      </c>
      <c r="J600" s="492" t="s">
        <v>4473</v>
      </c>
      <c r="K600" s="492" t="s">
        <v>1756</v>
      </c>
      <c r="L600" s="492" t="s">
        <v>2783</v>
      </c>
      <c r="M600" s="493" t="s">
        <v>1230</v>
      </c>
      <c r="N600" s="493" t="s">
        <v>1232</v>
      </c>
      <c r="O600" s="492" t="s">
        <v>1232</v>
      </c>
      <c r="P600" s="492" t="s">
        <v>469</v>
      </c>
      <c r="Q600" s="494">
        <v>44680</v>
      </c>
      <c r="R600" s="494">
        <v>47116</v>
      </c>
      <c r="S600" s="498">
        <v>1.5</v>
      </c>
      <c r="T600" s="498"/>
      <c r="U600" s="496">
        <v>18121401</v>
      </c>
      <c r="V600" s="496">
        <v>18121401</v>
      </c>
      <c r="W600" s="496">
        <v>18121401</v>
      </c>
      <c r="X600" s="496">
        <f t="shared" si="46"/>
        <v>0</v>
      </c>
      <c r="Y600" s="496">
        <f t="shared" si="47"/>
        <v>0</v>
      </c>
      <c r="Z600" s="496">
        <v>0</v>
      </c>
      <c r="AA600" s="496">
        <v>0</v>
      </c>
      <c r="AB600" s="496">
        <v>0</v>
      </c>
      <c r="AC600" s="496">
        <f t="shared" si="48"/>
        <v>0</v>
      </c>
      <c r="AD600" s="496">
        <f t="shared" si="49"/>
        <v>0</v>
      </c>
      <c r="AE600" s="496">
        <v>0</v>
      </c>
      <c r="AF600" s="496">
        <v>18121401</v>
      </c>
      <c r="AG600" s="497" t="s">
        <v>1245</v>
      </c>
      <c r="AH600" s="497" t="s">
        <v>1298</v>
      </c>
      <c r="AI600" s="497"/>
      <c r="AJ600" s="497" t="s">
        <v>1246</v>
      </c>
      <c r="AK600" s="497" t="s">
        <v>1235</v>
      </c>
      <c r="AL600" s="491"/>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row>
    <row r="601" spans="1:80" ht="18" customHeight="1" x14ac:dyDescent="0.25">
      <c r="A601" s="492">
        <f t="shared" si="45"/>
        <v>599</v>
      </c>
      <c r="B601" s="492" t="s">
        <v>4479</v>
      </c>
      <c r="C601" s="492">
        <v>2100000328</v>
      </c>
      <c r="D601" s="492" t="s">
        <v>5241</v>
      </c>
      <c r="E601" s="492" t="s">
        <v>4477</v>
      </c>
      <c r="F601" s="492" t="s">
        <v>4478</v>
      </c>
      <c r="G601" s="492" t="s">
        <v>4475</v>
      </c>
      <c r="H601" s="492" t="s">
        <v>4478</v>
      </c>
      <c r="I601" s="492" t="s">
        <v>4475</v>
      </c>
      <c r="J601" s="492" t="s">
        <v>4476</v>
      </c>
      <c r="K601" s="492" t="s">
        <v>1756</v>
      </c>
      <c r="L601" s="492" t="s">
        <v>2783</v>
      </c>
      <c r="M601" s="493" t="s">
        <v>1230</v>
      </c>
      <c r="N601" s="493" t="s">
        <v>1232</v>
      </c>
      <c r="O601" s="492" t="s">
        <v>1231</v>
      </c>
      <c r="P601" s="492" t="s">
        <v>469</v>
      </c>
      <c r="Q601" s="494">
        <v>44680</v>
      </c>
      <c r="R601" s="494">
        <v>45415</v>
      </c>
      <c r="S601" s="498">
        <v>1.5</v>
      </c>
      <c r="T601" s="498"/>
      <c r="U601" s="496">
        <v>1912900</v>
      </c>
      <c r="V601" s="496">
        <v>1912900</v>
      </c>
      <c r="W601" s="496">
        <v>1912900</v>
      </c>
      <c r="X601" s="496">
        <f t="shared" si="46"/>
        <v>0</v>
      </c>
      <c r="Y601" s="496">
        <f t="shared" si="47"/>
        <v>0</v>
      </c>
      <c r="Z601" s="496">
        <v>0</v>
      </c>
      <c r="AA601" s="496">
        <v>323422</v>
      </c>
      <c r="AB601" s="496">
        <v>323422</v>
      </c>
      <c r="AC601" s="496">
        <f t="shared" si="48"/>
        <v>323422</v>
      </c>
      <c r="AD601" s="496">
        <f t="shared" si="49"/>
        <v>0</v>
      </c>
      <c r="AE601" s="496">
        <v>0</v>
      </c>
      <c r="AF601" s="496">
        <v>1589478</v>
      </c>
      <c r="AG601" s="497" t="s">
        <v>1245</v>
      </c>
      <c r="AH601" s="497" t="s">
        <v>1247</v>
      </c>
      <c r="AI601" s="497" t="s">
        <v>1269</v>
      </c>
      <c r="AJ601" s="497" t="s">
        <v>1246</v>
      </c>
      <c r="AK601" s="497" t="s">
        <v>1235</v>
      </c>
      <c r="AL601" s="491" t="s">
        <v>5242</v>
      </c>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c r="BV601"/>
      <c r="BW601"/>
      <c r="BX601"/>
      <c r="BY601"/>
      <c r="BZ601"/>
      <c r="CA601"/>
      <c r="CB601"/>
    </row>
    <row r="602" spans="1:80" ht="18" customHeight="1" x14ac:dyDescent="0.25">
      <c r="A602" s="485">
        <f t="shared" si="45"/>
        <v>600</v>
      </c>
      <c r="B602" s="485" t="s">
        <v>4484</v>
      </c>
      <c r="C602" s="485">
        <v>4100000262</v>
      </c>
      <c r="D602" s="485" t="s">
        <v>5243</v>
      </c>
      <c r="E602" s="485" t="s">
        <v>4482</v>
      </c>
      <c r="F602" s="485" t="s">
        <v>4483</v>
      </c>
      <c r="G602" s="485" t="s">
        <v>4480</v>
      </c>
      <c r="H602" s="485" t="s">
        <v>4483</v>
      </c>
      <c r="I602" s="485" t="s">
        <v>4480</v>
      </c>
      <c r="J602" s="485" t="s">
        <v>4481</v>
      </c>
      <c r="K602" s="485" t="s">
        <v>1281</v>
      </c>
      <c r="L602" s="485" t="s">
        <v>2783</v>
      </c>
      <c r="M602" s="486" t="s">
        <v>1230</v>
      </c>
      <c r="N602" s="486" t="s">
        <v>1231</v>
      </c>
      <c r="O602" s="485" t="s">
        <v>1232</v>
      </c>
      <c r="P602" s="485" t="s">
        <v>469</v>
      </c>
      <c r="Q602" s="487">
        <v>44673</v>
      </c>
      <c r="R602" s="487">
        <v>45404</v>
      </c>
      <c r="S602" s="488">
        <v>1</v>
      </c>
      <c r="T602" s="488"/>
      <c r="U602" s="489">
        <v>10266000</v>
      </c>
      <c r="V602" s="489">
        <v>10266000</v>
      </c>
      <c r="W602" s="489">
        <v>10266000</v>
      </c>
      <c r="X602" s="489">
        <f t="shared" si="46"/>
        <v>0</v>
      </c>
      <c r="Y602" s="489">
        <f t="shared" si="47"/>
        <v>0</v>
      </c>
      <c r="Z602" s="489">
        <v>8759396</v>
      </c>
      <c r="AA602" s="489">
        <v>8759396</v>
      </c>
      <c r="AB602" s="489">
        <v>8759396</v>
      </c>
      <c r="AC602" s="489">
        <f t="shared" si="48"/>
        <v>0</v>
      </c>
      <c r="AD602" s="489">
        <f t="shared" si="49"/>
        <v>0</v>
      </c>
      <c r="AE602" s="489">
        <v>0</v>
      </c>
      <c r="AF602" s="489">
        <v>1506604</v>
      </c>
      <c r="AG602" s="490" t="s">
        <v>1250</v>
      </c>
      <c r="AH602" s="490" t="s">
        <v>1419</v>
      </c>
      <c r="AI602" s="490"/>
      <c r="AJ602" s="490" t="s">
        <v>1234</v>
      </c>
      <c r="AK602" s="490" t="s">
        <v>1240</v>
      </c>
      <c r="AL602" s="491"/>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row>
    <row r="603" spans="1:80" ht="18" customHeight="1" x14ac:dyDescent="0.25">
      <c r="A603" s="485">
        <f t="shared" si="45"/>
        <v>601</v>
      </c>
      <c r="B603" s="485" t="s">
        <v>4485</v>
      </c>
      <c r="C603" s="485">
        <v>4100000263</v>
      </c>
      <c r="D603" s="485" t="s">
        <v>5244</v>
      </c>
      <c r="E603" s="485" t="s">
        <v>4482</v>
      </c>
      <c r="F603" s="485" t="s">
        <v>4483</v>
      </c>
      <c r="G603" s="485" t="s">
        <v>4480</v>
      </c>
      <c r="H603" s="485" t="s">
        <v>4483</v>
      </c>
      <c r="I603" s="485" t="s">
        <v>4480</v>
      </c>
      <c r="J603" s="485" t="s">
        <v>4481</v>
      </c>
      <c r="K603" s="485" t="s">
        <v>1281</v>
      </c>
      <c r="L603" s="485" t="s">
        <v>2783</v>
      </c>
      <c r="M603" s="486" t="s">
        <v>1230</v>
      </c>
      <c r="N603" s="486" t="s">
        <v>1231</v>
      </c>
      <c r="O603" s="485" t="s">
        <v>1232</v>
      </c>
      <c r="P603" s="485" t="s">
        <v>469</v>
      </c>
      <c r="Q603" s="487">
        <v>44673</v>
      </c>
      <c r="R603" s="487">
        <v>46499</v>
      </c>
      <c r="S603" s="488">
        <v>1</v>
      </c>
      <c r="T603" s="488"/>
      <c r="U603" s="489">
        <v>30000000</v>
      </c>
      <c r="V603" s="489">
        <v>30000000</v>
      </c>
      <c r="W603" s="489">
        <v>30000000</v>
      </c>
      <c r="X603" s="489">
        <f t="shared" si="46"/>
        <v>0</v>
      </c>
      <c r="Y603" s="489">
        <f t="shared" si="47"/>
        <v>0</v>
      </c>
      <c r="Z603" s="489">
        <v>0</v>
      </c>
      <c r="AA603" s="489">
        <v>0</v>
      </c>
      <c r="AB603" s="489">
        <v>0</v>
      </c>
      <c r="AC603" s="489">
        <f t="shared" si="48"/>
        <v>0</v>
      </c>
      <c r="AD603" s="489">
        <f t="shared" si="49"/>
        <v>0</v>
      </c>
      <c r="AE603" s="489">
        <v>0</v>
      </c>
      <c r="AF603" s="489">
        <v>30000000</v>
      </c>
      <c r="AG603" s="490" t="s">
        <v>1250</v>
      </c>
      <c r="AH603" s="490" t="s">
        <v>1419</v>
      </c>
      <c r="AI603" s="490"/>
      <c r="AJ603" s="490" t="s">
        <v>1234</v>
      </c>
      <c r="AK603" s="490" t="s">
        <v>1240</v>
      </c>
      <c r="AL603" s="491"/>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c r="BV603"/>
      <c r="BW603"/>
      <c r="BX603"/>
      <c r="BY603"/>
      <c r="BZ603"/>
      <c r="CA603"/>
      <c r="CB603"/>
    </row>
    <row r="604" spans="1:80" ht="18" customHeight="1" x14ac:dyDescent="0.25">
      <c r="A604" s="485">
        <f t="shared" si="45"/>
        <v>602</v>
      </c>
      <c r="B604" s="485" t="s">
        <v>4491</v>
      </c>
      <c r="C604" s="485">
        <v>2100000316</v>
      </c>
      <c r="D604" s="485" t="s">
        <v>5245</v>
      </c>
      <c r="E604" s="485" t="s">
        <v>4489</v>
      </c>
      <c r="F604" s="485" t="s">
        <v>4490</v>
      </c>
      <c r="G604" s="485" t="s">
        <v>4486</v>
      </c>
      <c r="H604" s="485" t="s">
        <v>4527</v>
      </c>
      <c r="I604" s="485" t="s">
        <v>4487</v>
      </c>
      <c r="J604" s="485" t="s">
        <v>4488</v>
      </c>
      <c r="K604" s="485" t="s">
        <v>1756</v>
      </c>
      <c r="L604" s="485" t="s">
        <v>2783</v>
      </c>
      <c r="M604" s="486" t="s">
        <v>1230</v>
      </c>
      <c r="N604" s="486" t="s">
        <v>1231</v>
      </c>
      <c r="O604" s="485" t="s">
        <v>1232</v>
      </c>
      <c r="P604" s="485" t="s">
        <v>469</v>
      </c>
      <c r="Q604" s="487">
        <v>44655</v>
      </c>
      <c r="R604" s="487">
        <v>46519</v>
      </c>
      <c r="S604" s="488">
        <v>1.5</v>
      </c>
      <c r="T604" s="488"/>
      <c r="U604" s="489">
        <v>9731748</v>
      </c>
      <c r="V604" s="489">
        <v>9731748</v>
      </c>
      <c r="W604" s="489">
        <v>9731748</v>
      </c>
      <c r="X604" s="489">
        <f t="shared" si="46"/>
        <v>0</v>
      </c>
      <c r="Y604" s="489">
        <f t="shared" si="47"/>
        <v>0</v>
      </c>
      <c r="Z604" s="489">
        <v>0</v>
      </c>
      <c r="AA604" s="489">
        <v>502511</v>
      </c>
      <c r="AB604" s="489">
        <v>502511</v>
      </c>
      <c r="AC604" s="489">
        <f t="shared" si="48"/>
        <v>502511</v>
      </c>
      <c r="AD604" s="489">
        <f t="shared" si="49"/>
        <v>0</v>
      </c>
      <c r="AE604" s="489">
        <v>9229237</v>
      </c>
      <c r="AF604" s="489">
        <v>0</v>
      </c>
      <c r="AG604" s="490" t="s">
        <v>1245</v>
      </c>
      <c r="AH604" s="490" t="s">
        <v>1357</v>
      </c>
      <c r="AI604" s="490"/>
      <c r="AJ604" s="490" t="s">
        <v>1246</v>
      </c>
      <c r="AK604" s="490" t="s">
        <v>1235</v>
      </c>
      <c r="AL604" s="491"/>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row>
    <row r="605" spans="1:80" ht="18" customHeight="1" x14ac:dyDescent="0.25">
      <c r="A605" s="492">
        <f t="shared" si="45"/>
        <v>603</v>
      </c>
      <c r="B605" s="492" t="s">
        <v>4496</v>
      </c>
      <c r="C605" s="492">
        <v>2100000326</v>
      </c>
      <c r="D605" s="492" t="s">
        <v>5246</v>
      </c>
      <c r="E605" s="492" t="s">
        <v>4494</v>
      </c>
      <c r="F605" s="492" t="s">
        <v>4495</v>
      </c>
      <c r="G605" s="492" t="s">
        <v>4492</v>
      </c>
      <c r="H605" s="492" t="s">
        <v>4495</v>
      </c>
      <c r="I605" s="492" t="s">
        <v>4492</v>
      </c>
      <c r="J605" s="492" t="s">
        <v>4493</v>
      </c>
      <c r="K605" s="492" t="s">
        <v>1756</v>
      </c>
      <c r="L605" s="492" t="s">
        <v>2783</v>
      </c>
      <c r="M605" s="493" t="s">
        <v>1230</v>
      </c>
      <c r="N605" s="493" t="s">
        <v>1232</v>
      </c>
      <c r="O605" s="492" t="s">
        <v>1232</v>
      </c>
      <c r="P605" s="492" t="s">
        <v>469</v>
      </c>
      <c r="Q605" s="494">
        <v>44670</v>
      </c>
      <c r="R605" s="494">
        <v>45492</v>
      </c>
      <c r="S605" s="498">
        <v>1.5</v>
      </c>
      <c r="T605" s="498"/>
      <c r="U605" s="496">
        <v>16035323</v>
      </c>
      <c r="V605" s="496">
        <v>16035323</v>
      </c>
      <c r="W605" s="496">
        <v>16035323</v>
      </c>
      <c r="X605" s="496">
        <f t="shared" si="46"/>
        <v>0</v>
      </c>
      <c r="Y605" s="496">
        <f t="shared" si="47"/>
        <v>0</v>
      </c>
      <c r="Z605" s="496">
        <v>1375687.5</v>
      </c>
      <c r="AA605" s="496">
        <v>1379048.7</v>
      </c>
      <c r="AB605" s="496">
        <v>1379048.7</v>
      </c>
      <c r="AC605" s="496">
        <f t="shared" si="48"/>
        <v>3361.1999999999534</v>
      </c>
      <c r="AD605" s="496">
        <f t="shared" si="49"/>
        <v>0</v>
      </c>
      <c r="AE605" s="496">
        <v>0</v>
      </c>
      <c r="AF605" s="496">
        <v>14656274.300000001</v>
      </c>
      <c r="AG605" s="497" t="s">
        <v>1245</v>
      </c>
      <c r="AH605" s="497" t="s">
        <v>1247</v>
      </c>
      <c r="AI605" s="497" t="s">
        <v>1248</v>
      </c>
      <c r="AJ605" s="497" t="s">
        <v>1246</v>
      </c>
      <c r="AK605" s="497" t="s">
        <v>1235</v>
      </c>
      <c r="AL605" s="491"/>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row>
    <row r="606" spans="1:80" ht="18" customHeight="1" x14ac:dyDescent="0.25">
      <c r="A606" s="485">
        <f t="shared" si="45"/>
        <v>604</v>
      </c>
      <c r="B606" s="485" t="s">
        <v>4501</v>
      </c>
      <c r="C606" s="485">
        <v>1100000282</v>
      </c>
      <c r="D606" s="485" t="s">
        <v>5247</v>
      </c>
      <c r="E606" s="485" t="s">
        <v>4499</v>
      </c>
      <c r="F606" s="485" t="s">
        <v>4500</v>
      </c>
      <c r="G606" s="485" t="s">
        <v>4497</v>
      </c>
      <c r="H606" s="485" t="s">
        <v>2648</v>
      </c>
      <c r="I606" s="485" t="s">
        <v>4497</v>
      </c>
      <c r="J606" s="485" t="s">
        <v>4498</v>
      </c>
      <c r="K606" s="485" t="s">
        <v>1756</v>
      </c>
      <c r="L606" s="485" t="s">
        <v>2783</v>
      </c>
      <c r="M606" s="486" t="s">
        <v>1230</v>
      </c>
      <c r="N606" s="486" t="s">
        <v>1231</v>
      </c>
      <c r="O606" s="485" t="s">
        <v>1232</v>
      </c>
      <c r="P606" s="485" t="s">
        <v>1156</v>
      </c>
      <c r="Q606" s="487">
        <v>44680</v>
      </c>
      <c r="R606" s="487">
        <v>46125</v>
      </c>
      <c r="S606" s="488">
        <v>1</v>
      </c>
      <c r="T606" s="488"/>
      <c r="U606" s="489">
        <v>3915103</v>
      </c>
      <c r="V606" s="489">
        <v>3915103</v>
      </c>
      <c r="W606" s="489">
        <v>3915103</v>
      </c>
      <c r="X606" s="489">
        <f t="shared" si="46"/>
        <v>0</v>
      </c>
      <c r="Y606" s="489">
        <f t="shared" si="47"/>
        <v>0</v>
      </c>
      <c r="Z606" s="489">
        <v>0</v>
      </c>
      <c r="AA606" s="489">
        <v>2039151</v>
      </c>
      <c r="AB606" s="489">
        <v>2039151</v>
      </c>
      <c r="AC606" s="489">
        <f t="shared" si="48"/>
        <v>2039151</v>
      </c>
      <c r="AD606" s="489">
        <f t="shared" si="49"/>
        <v>0</v>
      </c>
      <c r="AE606" s="489">
        <v>0</v>
      </c>
      <c r="AF606" s="489">
        <v>1875952</v>
      </c>
      <c r="AG606" s="490" t="s">
        <v>1237</v>
      </c>
      <c r="AH606" s="490" t="s">
        <v>1236</v>
      </c>
      <c r="AI606" s="490"/>
      <c r="AJ606" s="490" t="s">
        <v>1259</v>
      </c>
      <c r="AK606" s="490" t="s">
        <v>1260</v>
      </c>
      <c r="AL606" s="491"/>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row>
    <row r="607" spans="1:80" ht="18" customHeight="1" x14ac:dyDescent="0.25">
      <c r="A607" s="485">
        <f t="shared" si="45"/>
        <v>605</v>
      </c>
      <c r="B607" s="485" t="s">
        <v>4506</v>
      </c>
      <c r="C607" s="485">
        <v>2100000317</v>
      </c>
      <c r="D607" s="485" t="s">
        <v>5248</v>
      </c>
      <c r="E607" s="485" t="s">
        <v>4504</v>
      </c>
      <c r="F607" s="485" t="s">
        <v>4505</v>
      </c>
      <c r="G607" s="485" t="s">
        <v>4502</v>
      </c>
      <c r="H607" s="485" t="s">
        <v>4527</v>
      </c>
      <c r="I607" s="485" t="s">
        <v>4487</v>
      </c>
      <c r="J607" s="485" t="s">
        <v>4503</v>
      </c>
      <c r="K607" s="485" t="s">
        <v>1756</v>
      </c>
      <c r="L607" s="485" t="s">
        <v>2783</v>
      </c>
      <c r="M607" s="486" t="s">
        <v>1230</v>
      </c>
      <c r="N607" s="486" t="s">
        <v>1231</v>
      </c>
      <c r="O607" s="485" t="s">
        <v>1232</v>
      </c>
      <c r="P607" s="485" t="s">
        <v>469</v>
      </c>
      <c r="Q607" s="487">
        <v>44655</v>
      </c>
      <c r="R607" s="487">
        <v>46479</v>
      </c>
      <c r="S607" s="488">
        <v>1.5</v>
      </c>
      <c r="T607" s="488"/>
      <c r="U607" s="489">
        <v>7936684</v>
      </c>
      <c r="V607" s="489">
        <v>7936684</v>
      </c>
      <c r="W607" s="489">
        <v>7936684</v>
      </c>
      <c r="X607" s="489">
        <f t="shared" si="46"/>
        <v>0</v>
      </c>
      <c r="Y607" s="489">
        <f t="shared" si="47"/>
        <v>0</v>
      </c>
      <c r="Z607" s="489">
        <v>0</v>
      </c>
      <c r="AA607" s="489">
        <v>0</v>
      </c>
      <c r="AB607" s="489">
        <v>0</v>
      </c>
      <c r="AC607" s="489">
        <f t="shared" si="48"/>
        <v>0</v>
      </c>
      <c r="AD607" s="489">
        <f t="shared" si="49"/>
        <v>0</v>
      </c>
      <c r="AE607" s="489">
        <v>7936684</v>
      </c>
      <c r="AF607" s="489">
        <v>0</v>
      </c>
      <c r="AG607" s="490" t="s">
        <v>1245</v>
      </c>
      <c r="AH607" s="490" t="s">
        <v>1357</v>
      </c>
      <c r="AI607" s="490"/>
      <c r="AJ607" s="490" t="s">
        <v>1246</v>
      </c>
      <c r="AK607" s="490" t="s">
        <v>1235</v>
      </c>
      <c r="AL607" s="491"/>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row>
    <row r="608" spans="1:80" ht="18" customHeight="1" x14ac:dyDescent="0.25">
      <c r="A608" s="492">
        <f t="shared" si="45"/>
        <v>606</v>
      </c>
      <c r="B608" s="492" t="s">
        <v>4511</v>
      </c>
      <c r="C608" s="492">
        <v>2100000325</v>
      </c>
      <c r="D608" s="492" t="s">
        <v>5249</v>
      </c>
      <c r="E608" s="492" t="s">
        <v>4509</v>
      </c>
      <c r="F608" s="492" t="s">
        <v>4510</v>
      </c>
      <c r="G608" s="492" t="s">
        <v>4507</v>
      </c>
      <c r="H608" s="492" t="s">
        <v>4510</v>
      </c>
      <c r="I608" s="492" t="s">
        <v>4507</v>
      </c>
      <c r="J608" s="492" t="s">
        <v>4508</v>
      </c>
      <c r="K608" s="492" t="s">
        <v>1756</v>
      </c>
      <c r="L608" s="492" t="s">
        <v>2783</v>
      </c>
      <c r="M608" s="493" t="s">
        <v>1230</v>
      </c>
      <c r="N608" s="493" t="s">
        <v>1232</v>
      </c>
      <c r="O608" s="492" t="s">
        <v>1231</v>
      </c>
      <c r="P608" s="492" t="s">
        <v>469</v>
      </c>
      <c r="Q608" s="494">
        <v>44664</v>
      </c>
      <c r="R608" s="494">
        <v>45120</v>
      </c>
      <c r="S608" s="498">
        <v>1</v>
      </c>
      <c r="T608" s="498"/>
      <c r="U608" s="496">
        <v>902225</v>
      </c>
      <c r="V608" s="496">
        <v>902225</v>
      </c>
      <c r="W608" s="496">
        <v>902225</v>
      </c>
      <c r="X608" s="496">
        <f t="shared" si="46"/>
        <v>0</v>
      </c>
      <c r="Y608" s="496">
        <f t="shared" si="47"/>
        <v>0</v>
      </c>
      <c r="Z608" s="496">
        <v>0</v>
      </c>
      <c r="AA608" s="496">
        <v>0</v>
      </c>
      <c r="AB608" s="496">
        <v>0</v>
      </c>
      <c r="AC608" s="496">
        <f t="shared" si="48"/>
        <v>0</v>
      </c>
      <c r="AD608" s="496">
        <f t="shared" si="49"/>
        <v>0</v>
      </c>
      <c r="AE608" s="496">
        <v>0</v>
      </c>
      <c r="AF608" s="496">
        <v>902225</v>
      </c>
      <c r="AG608" s="497" t="s">
        <v>1245</v>
      </c>
      <c r="AH608" s="497" t="s">
        <v>1247</v>
      </c>
      <c r="AI608" s="497" t="s">
        <v>1248</v>
      </c>
      <c r="AJ608" s="497" t="s">
        <v>1246</v>
      </c>
      <c r="AK608" s="497" t="s">
        <v>1278</v>
      </c>
      <c r="AL608" s="491" t="s">
        <v>5250</v>
      </c>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row>
    <row r="609" spans="1:80" ht="18" customHeight="1" x14ac:dyDescent="0.25">
      <c r="A609" s="492">
        <f t="shared" si="45"/>
        <v>607</v>
      </c>
      <c r="B609" s="492" t="s">
        <v>5251</v>
      </c>
      <c r="C609" s="521">
        <v>1100000283</v>
      </c>
      <c r="D609" s="521" t="s">
        <v>5252</v>
      </c>
      <c r="E609" s="492" t="s">
        <v>5253</v>
      </c>
      <c r="F609" s="492" t="s">
        <v>5254</v>
      </c>
      <c r="G609" s="492" t="s">
        <v>5255</v>
      </c>
      <c r="H609" s="492" t="s">
        <v>5254</v>
      </c>
      <c r="I609" s="492" t="s">
        <v>5255</v>
      </c>
      <c r="J609" s="492" t="s">
        <v>5256</v>
      </c>
      <c r="K609" s="492" t="s">
        <v>1756</v>
      </c>
      <c r="L609" s="492" t="s">
        <v>2783</v>
      </c>
      <c r="M609" s="493" t="s">
        <v>1230</v>
      </c>
      <c r="N609" s="493" t="s">
        <v>1232</v>
      </c>
      <c r="O609" s="492" t="s">
        <v>1232</v>
      </c>
      <c r="P609" s="492" t="s">
        <v>1156</v>
      </c>
      <c r="Q609" s="494">
        <v>44685</v>
      </c>
      <c r="R609" s="494">
        <v>46511</v>
      </c>
      <c r="S609" s="498">
        <v>1</v>
      </c>
      <c r="T609" s="498"/>
      <c r="U609" s="496">
        <v>0</v>
      </c>
      <c r="V609" s="496">
        <v>2568335</v>
      </c>
      <c r="W609" s="496">
        <v>2568335</v>
      </c>
      <c r="X609" s="496">
        <f t="shared" si="46"/>
        <v>2568335</v>
      </c>
      <c r="Y609" s="496">
        <f t="shared" si="47"/>
        <v>0</v>
      </c>
      <c r="Z609" s="496">
        <v>0</v>
      </c>
      <c r="AA609" s="496">
        <v>2408335</v>
      </c>
      <c r="AB609" s="496">
        <v>2408335</v>
      </c>
      <c r="AC609" s="496">
        <f t="shared" si="48"/>
        <v>2408335</v>
      </c>
      <c r="AD609" s="496">
        <f t="shared" si="49"/>
        <v>0</v>
      </c>
      <c r="AE609" s="496">
        <v>160000</v>
      </c>
      <c r="AF609" s="496">
        <v>0</v>
      </c>
      <c r="AG609" s="497" t="s">
        <v>1237</v>
      </c>
      <c r="AH609" s="497" t="s">
        <v>614</v>
      </c>
      <c r="AI609" s="497" t="s">
        <v>1280</v>
      </c>
      <c r="AJ609" s="497" t="s">
        <v>1279</v>
      </c>
      <c r="AK609" s="497" t="s">
        <v>1260</v>
      </c>
      <c r="AL609" s="491"/>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row>
    <row r="610" spans="1:80" ht="18" customHeight="1" x14ac:dyDescent="0.25">
      <c r="A610" s="485">
        <f t="shared" si="45"/>
        <v>608</v>
      </c>
      <c r="B610" s="485" t="s">
        <v>5257</v>
      </c>
      <c r="C610" s="511">
        <v>1100000284</v>
      </c>
      <c r="D610" s="511" t="s">
        <v>5258</v>
      </c>
      <c r="E610" s="485" t="s">
        <v>5259</v>
      </c>
      <c r="F610" s="485" t="s">
        <v>5260</v>
      </c>
      <c r="G610" s="485" t="s">
        <v>5261</v>
      </c>
      <c r="H610" s="485" t="s">
        <v>5260</v>
      </c>
      <c r="I610" s="485" t="s">
        <v>5261</v>
      </c>
      <c r="J610" s="485" t="s">
        <v>5262</v>
      </c>
      <c r="K610" s="485" t="s">
        <v>1756</v>
      </c>
      <c r="L610" s="485" t="s">
        <v>2783</v>
      </c>
      <c r="M610" s="486" t="s">
        <v>1230</v>
      </c>
      <c r="N610" s="486" t="s">
        <v>1231</v>
      </c>
      <c r="O610" s="485" t="s">
        <v>1232</v>
      </c>
      <c r="P610" s="485" t="s">
        <v>1156</v>
      </c>
      <c r="Q610" s="487">
        <v>44694</v>
      </c>
      <c r="R610" s="487">
        <v>46520</v>
      </c>
      <c r="S610" s="488">
        <v>1</v>
      </c>
      <c r="T610" s="488"/>
      <c r="U610" s="489">
        <v>0</v>
      </c>
      <c r="V610" s="489">
        <v>1015000</v>
      </c>
      <c r="W610" s="489">
        <v>1015000</v>
      </c>
      <c r="X610" s="489">
        <f t="shared" si="46"/>
        <v>1015000</v>
      </c>
      <c r="Y610" s="489">
        <f t="shared" si="47"/>
        <v>0</v>
      </c>
      <c r="Z610" s="489">
        <v>0</v>
      </c>
      <c r="AA610" s="489">
        <v>0</v>
      </c>
      <c r="AB610" s="489">
        <v>0</v>
      </c>
      <c r="AC610" s="489">
        <f t="shared" si="48"/>
        <v>0</v>
      </c>
      <c r="AD610" s="489">
        <f t="shared" si="49"/>
        <v>0</v>
      </c>
      <c r="AE610" s="489">
        <v>0</v>
      </c>
      <c r="AF610" s="489">
        <v>1015000</v>
      </c>
      <c r="AG610" s="490" t="s">
        <v>1237</v>
      </c>
      <c r="AH610" s="490" t="s">
        <v>614</v>
      </c>
      <c r="AI610" s="490" t="s">
        <v>1505</v>
      </c>
      <c r="AJ610" s="490" t="s">
        <v>1505</v>
      </c>
      <c r="AK610" s="490" t="s">
        <v>1260</v>
      </c>
      <c r="AL610" s="491"/>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c r="BV610"/>
      <c r="BW610"/>
      <c r="BX610"/>
      <c r="BY610"/>
      <c r="BZ610"/>
      <c r="CA610"/>
      <c r="CB610"/>
    </row>
    <row r="611" spans="1:80" ht="18" customHeight="1" x14ac:dyDescent="0.25">
      <c r="A611" s="485">
        <f t="shared" si="45"/>
        <v>609</v>
      </c>
      <c r="B611" s="485" t="s">
        <v>5263</v>
      </c>
      <c r="C611" s="511">
        <v>1300000003</v>
      </c>
      <c r="D611" s="511" t="s">
        <v>5264</v>
      </c>
      <c r="E611" s="485" t="s">
        <v>5259</v>
      </c>
      <c r="F611" s="485" t="s">
        <v>5260</v>
      </c>
      <c r="G611" s="485" t="s">
        <v>5261</v>
      </c>
      <c r="H611" s="485" t="s">
        <v>5260</v>
      </c>
      <c r="I611" s="485" t="s">
        <v>5261</v>
      </c>
      <c r="J611" s="485" t="s">
        <v>5262</v>
      </c>
      <c r="K611" s="485" t="s">
        <v>1756</v>
      </c>
      <c r="L611" s="485" t="s">
        <v>1678</v>
      </c>
      <c r="M611" s="486" t="s">
        <v>1230</v>
      </c>
      <c r="N611" s="486" t="s">
        <v>1231</v>
      </c>
      <c r="O611" s="485" t="s">
        <v>1232</v>
      </c>
      <c r="P611" s="485" t="s">
        <v>1156</v>
      </c>
      <c r="Q611" s="487">
        <v>44694</v>
      </c>
      <c r="R611" s="487">
        <v>46520</v>
      </c>
      <c r="S611" s="488">
        <v>1</v>
      </c>
      <c r="T611" s="488"/>
      <c r="U611" s="489">
        <v>0</v>
      </c>
      <c r="V611" s="489">
        <v>235000</v>
      </c>
      <c r="W611" s="489">
        <v>235000</v>
      </c>
      <c r="X611" s="489">
        <f t="shared" si="46"/>
        <v>235000</v>
      </c>
      <c r="Y611" s="489">
        <f t="shared" si="47"/>
        <v>0</v>
      </c>
      <c r="Z611" s="489">
        <v>0</v>
      </c>
      <c r="AA611" s="489">
        <v>0</v>
      </c>
      <c r="AB611" s="489">
        <v>0</v>
      </c>
      <c r="AC611" s="489">
        <f t="shared" si="48"/>
        <v>0</v>
      </c>
      <c r="AD611" s="489">
        <f t="shared" si="49"/>
        <v>0</v>
      </c>
      <c r="AE611" s="489">
        <v>0</v>
      </c>
      <c r="AF611" s="489">
        <v>235000</v>
      </c>
      <c r="AG611" s="490" t="s">
        <v>1237</v>
      </c>
      <c r="AH611" s="490" t="s">
        <v>614</v>
      </c>
      <c r="AI611" s="490" t="s">
        <v>1505</v>
      </c>
      <c r="AJ611" s="490" t="s">
        <v>1505</v>
      </c>
      <c r="AK611" s="490" t="s">
        <v>1260</v>
      </c>
      <c r="AL611" s="49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row>
    <row r="612" spans="1:80" ht="18" customHeight="1" x14ac:dyDescent="0.25">
      <c r="A612" s="492">
        <f t="shared" si="45"/>
        <v>610</v>
      </c>
      <c r="B612" s="492" t="s">
        <v>5265</v>
      </c>
      <c r="C612" s="521">
        <v>3100000130</v>
      </c>
      <c r="D612" s="521" t="s">
        <v>5266</v>
      </c>
      <c r="E612" s="492" t="s">
        <v>5267</v>
      </c>
      <c r="F612" s="492" t="s">
        <v>5268</v>
      </c>
      <c r="G612" s="492" t="s">
        <v>5269</v>
      </c>
      <c r="H612" s="492" t="s">
        <v>5268</v>
      </c>
      <c r="I612" s="492" t="s">
        <v>5269</v>
      </c>
      <c r="J612" s="492" t="s">
        <v>5270</v>
      </c>
      <c r="K612" s="492" t="s">
        <v>1756</v>
      </c>
      <c r="L612" s="492" t="s">
        <v>2783</v>
      </c>
      <c r="M612" s="493" t="s">
        <v>1230</v>
      </c>
      <c r="N612" s="493" t="s">
        <v>1232</v>
      </c>
      <c r="O612" s="492" t="s">
        <v>1232</v>
      </c>
      <c r="P612" s="492" t="s">
        <v>469</v>
      </c>
      <c r="Q612" s="494">
        <v>44692</v>
      </c>
      <c r="R612" s="494">
        <v>45796</v>
      </c>
      <c r="S612" s="498">
        <v>1</v>
      </c>
      <c r="T612" s="498"/>
      <c r="U612" s="496">
        <v>0</v>
      </c>
      <c r="V612" s="496">
        <v>13500000</v>
      </c>
      <c r="W612" s="496">
        <v>13500000</v>
      </c>
      <c r="X612" s="496">
        <f t="shared" si="46"/>
        <v>13500000</v>
      </c>
      <c r="Y612" s="496">
        <f t="shared" si="47"/>
        <v>0</v>
      </c>
      <c r="Z612" s="496">
        <v>0</v>
      </c>
      <c r="AA612" s="496">
        <v>13500000</v>
      </c>
      <c r="AB612" s="496">
        <v>13500000</v>
      </c>
      <c r="AC612" s="496">
        <f t="shared" si="48"/>
        <v>13500000</v>
      </c>
      <c r="AD612" s="496">
        <f t="shared" si="49"/>
        <v>0</v>
      </c>
      <c r="AE612" s="496">
        <v>0</v>
      </c>
      <c r="AF612" s="496">
        <v>0</v>
      </c>
      <c r="AG612" s="497" t="s">
        <v>1233</v>
      </c>
      <c r="AH612" s="497" t="s">
        <v>1242</v>
      </c>
      <c r="AI612" s="497" t="s">
        <v>1317</v>
      </c>
      <c r="AJ612" s="497" t="s">
        <v>1234</v>
      </c>
      <c r="AK612" s="497" t="s">
        <v>1240</v>
      </c>
      <c r="AL612" s="491"/>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row>
    <row r="613" spans="1:80" ht="18" customHeight="1" x14ac:dyDescent="0.25">
      <c r="A613" s="492">
        <f t="shared" si="45"/>
        <v>611</v>
      </c>
      <c r="B613" s="492" t="s">
        <v>5271</v>
      </c>
      <c r="C613" s="521">
        <v>4100000266</v>
      </c>
      <c r="D613" s="521" t="s">
        <v>5272</v>
      </c>
      <c r="E613" s="492" t="s">
        <v>5273</v>
      </c>
      <c r="F613" s="492" t="s">
        <v>5274</v>
      </c>
      <c r="G613" s="492" t="s">
        <v>5275</v>
      </c>
      <c r="H613" s="492" t="s">
        <v>5274</v>
      </c>
      <c r="I613" s="492" t="s">
        <v>5275</v>
      </c>
      <c r="J613" s="492" t="s">
        <v>5276</v>
      </c>
      <c r="K613" s="492" t="s">
        <v>1756</v>
      </c>
      <c r="L613" s="492" t="s">
        <v>2783</v>
      </c>
      <c r="M613" s="493" t="s">
        <v>1230</v>
      </c>
      <c r="N613" s="493" t="s">
        <v>1232</v>
      </c>
      <c r="O613" s="492" t="s">
        <v>1232</v>
      </c>
      <c r="P613" s="492" t="s">
        <v>469</v>
      </c>
      <c r="Q613" s="494">
        <v>44691</v>
      </c>
      <c r="R613" s="494">
        <v>46517</v>
      </c>
      <c r="S613" s="498">
        <v>0.35</v>
      </c>
      <c r="T613" s="498"/>
      <c r="U613" s="496">
        <v>0</v>
      </c>
      <c r="V613" s="496">
        <v>1116000</v>
      </c>
      <c r="W613" s="496">
        <v>1116000</v>
      </c>
      <c r="X613" s="496">
        <f t="shared" si="46"/>
        <v>1116000</v>
      </c>
      <c r="Y613" s="496">
        <f t="shared" si="47"/>
        <v>0</v>
      </c>
      <c r="Z613" s="496">
        <v>0</v>
      </c>
      <c r="AA613" s="496">
        <v>0</v>
      </c>
      <c r="AB613" s="496">
        <v>0</v>
      </c>
      <c r="AC613" s="496">
        <f t="shared" si="48"/>
        <v>0</v>
      </c>
      <c r="AD613" s="496">
        <f t="shared" si="49"/>
        <v>0</v>
      </c>
      <c r="AE613" s="496">
        <v>809100</v>
      </c>
      <c r="AF613" s="496">
        <v>306900</v>
      </c>
      <c r="AG613" s="497" t="s">
        <v>1250</v>
      </c>
      <c r="AH613" s="497" t="s">
        <v>1252</v>
      </c>
      <c r="AI613" s="497" t="s">
        <v>1248</v>
      </c>
      <c r="AJ613" s="497" t="s">
        <v>1234</v>
      </c>
      <c r="AK613" s="497" t="s">
        <v>1251</v>
      </c>
      <c r="AL613" s="491"/>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c r="BV613"/>
      <c r="BW613"/>
      <c r="BX613"/>
      <c r="BY613"/>
      <c r="BZ613"/>
      <c r="CA613"/>
      <c r="CB613"/>
    </row>
    <row r="614" spans="1:80" ht="18" customHeight="1" x14ac:dyDescent="0.25">
      <c r="A614" s="485">
        <f t="shared" si="45"/>
        <v>612</v>
      </c>
      <c r="B614" s="485" t="s">
        <v>5277</v>
      </c>
      <c r="C614" s="511">
        <v>2100000335</v>
      </c>
      <c r="D614" s="511" t="s">
        <v>5278</v>
      </c>
      <c r="E614" s="485" t="s">
        <v>5279</v>
      </c>
      <c r="F614" s="485" t="s">
        <v>5280</v>
      </c>
      <c r="G614" s="485" t="s">
        <v>5281</v>
      </c>
      <c r="H614" s="485" t="s">
        <v>5280</v>
      </c>
      <c r="I614" s="485" t="s">
        <v>5281</v>
      </c>
      <c r="J614" s="485" t="s">
        <v>5282</v>
      </c>
      <c r="K614" s="485" t="s">
        <v>1756</v>
      </c>
      <c r="L614" s="485" t="s">
        <v>2783</v>
      </c>
      <c r="M614" s="486" t="s">
        <v>1230</v>
      </c>
      <c r="N614" s="486" t="s">
        <v>1231</v>
      </c>
      <c r="O614" s="485" t="s">
        <v>1231</v>
      </c>
      <c r="P614" s="485" t="s">
        <v>469</v>
      </c>
      <c r="Q614" s="487">
        <v>44687</v>
      </c>
      <c r="R614" s="487">
        <v>45419</v>
      </c>
      <c r="S614" s="488">
        <v>1</v>
      </c>
      <c r="T614" s="488"/>
      <c r="U614" s="489">
        <v>0</v>
      </c>
      <c r="V614" s="489">
        <v>2376520</v>
      </c>
      <c r="W614" s="489">
        <v>2376520</v>
      </c>
      <c r="X614" s="489">
        <f t="shared" si="46"/>
        <v>2376520</v>
      </c>
      <c r="Y614" s="489">
        <f t="shared" si="47"/>
        <v>0</v>
      </c>
      <c r="Z614" s="489">
        <v>0</v>
      </c>
      <c r="AA614" s="489">
        <v>0</v>
      </c>
      <c r="AB614" s="489">
        <v>0</v>
      </c>
      <c r="AC614" s="489">
        <f t="shared" si="48"/>
        <v>0</v>
      </c>
      <c r="AD614" s="489">
        <f t="shared" si="49"/>
        <v>0</v>
      </c>
      <c r="AE614" s="489">
        <v>0</v>
      </c>
      <c r="AF614" s="489">
        <v>2376520</v>
      </c>
      <c r="AG614" s="490" t="s">
        <v>1245</v>
      </c>
      <c r="AH614" s="490" t="s">
        <v>1242</v>
      </c>
      <c r="AI614" s="490" t="s">
        <v>1292</v>
      </c>
      <c r="AJ614" s="490" t="s">
        <v>1246</v>
      </c>
      <c r="AK614" s="490" t="s">
        <v>1240</v>
      </c>
      <c r="AL614" s="491"/>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row>
    <row r="615" spans="1:80" ht="18" customHeight="1" x14ac:dyDescent="0.25">
      <c r="A615" s="485">
        <f t="shared" si="45"/>
        <v>613</v>
      </c>
      <c r="B615" s="485" t="s">
        <v>5283</v>
      </c>
      <c r="C615" s="511">
        <v>2100000336</v>
      </c>
      <c r="D615" s="511" t="s">
        <v>5284</v>
      </c>
      <c r="E615" s="485" t="s">
        <v>5279</v>
      </c>
      <c r="F615" s="485" t="s">
        <v>5280</v>
      </c>
      <c r="G615" s="485" t="s">
        <v>5281</v>
      </c>
      <c r="H615" s="485" t="s">
        <v>5280</v>
      </c>
      <c r="I615" s="485" t="s">
        <v>5281</v>
      </c>
      <c r="J615" s="485" t="s">
        <v>5282</v>
      </c>
      <c r="K615" s="485" t="s">
        <v>1281</v>
      </c>
      <c r="L615" s="485" t="s">
        <v>2783</v>
      </c>
      <c r="M615" s="486" t="s">
        <v>1230</v>
      </c>
      <c r="N615" s="486" t="s">
        <v>1231</v>
      </c>
      <c r="O615" s="485" t="s">
        <v>1231</v>
      </c>
      <c r="P615" s="485" t="s">
        <v>469</v>
      </c>
      <c r="Q615" s="487">
        <v>44687</v>
      </c>
      <c r="R615" s="487">
        <v>44963</v>
      </c>
      <c r="S615" s="488">
        <v>1</v>
      </c>
      <c r="T615" s="488"/>
      <c r="U615" s="489">
        <v>0</v>
      </c>
      <c r="V615" s="489">
        <v>172000</v>
      </c>
      <c r="W615" s="489">
        <v>172000</v>
      </c>
      <c r="X615" s="489">
        <f t="shared" si="46"/>
        <v>172000</v>
      </c>
      <c r="Y615" s="489">
        <f t="shared" si="47"/>
        <v>0</v>
      </c>
      <c r="Z615" s="489">
        <v>0</v>
      </c>
      <c r="AA615" s="489">
        <v>0</v>
      </c>
      <c r="AB615" s="489">
        <v>0</v>
      </c>
      <c r="AC615" s="489">
        <f t="shared" si="48"/>
        <v>0</v>
      </c>
      <c r="AD615" s="489">
        <f t="shared" si="49"/>
        <v>0</v>
      </c>
      <c r="AE615" s="489">
        <v>0</v>
      </c>
      <c r="AF615" s="489">
        <v>172000</v>
      </c>
      <c r="AG615" s="490" t="s">
        <v>1245</v>
      </c>
      <c r="AH615" s="490" t="s">
        <v>1242</v>
      </c>
      <c r="AI615" s="490" t="s">
        <v>1292</v>
      </c>
      <c r="AJ615" s="490" t="s">
        <v>1246</v>
      </c>
      <c r="AK615" s="490" t="s">
        <v>1240</v>
      </c>
      <c r="AL615" s="491"/>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c r="BV615"/>
      <c r="BW615"/>
      <c r="BX615"/>
      <c r="BY615"/>
      <c r="BZ615"/>
      <c r="CA615"/>
      <c r="CB615"/>
    </row>
    <row r="616" spans="1:80" ht="18" customHeight="1" x14ac:dyDescent="0.25">
      <c r="A616" s="492">
        <f t="shared" si="45"/>
        <v>614</v>
      </c>
      <c r="B616" s="492" t="s">
        <v>5285</v>
      </c>
      <c r="C616" s="521">
        <v>2100000332</v>
      </c>
      <c r="D616" s="521" t="s">
        <v>5286</v>
      </c>
      <c r="E616" s="492" t="s">
        <v>5287</v>
      </c>
      <c r="F616" s="492" t="s">
        <v>5288</v>
      </c>
      <c r="G616" s="492" t="s">
        <v>5289</v>
      </c>
      <c r="H616" s="492" t="s">
        <v>5288</v>
      </c>
      <c r="I616" s="492" t="s">
        <v>5289</v>
      </c>
      <c r="J616" s="492" t="s">
        <v>5290</v>
      </c>
      <c r="K616" s="492" t="s">
        <v>1756</v>
      </c>
      <c r="L616" s="492" t="s">
        <v>2783</v>
      </c>
      <c r="M616" s="493" t="s">
        <v>1230</v>
      </c>
      <c r="N616" s="493" t="s">
        <v>1232</v>
      </c>
      <c r="O616" s="492" t="s">
        <v>1231</v>
      </c>
      <c r="P616" s="492" t="s">
        <v>469</v>
      </c>
      <c r="Q616" s="494">
        <v>44685</v>
      </c>
      <c r="R616" s="494">
        <v>45600</v>
      </c>
      <c r="S616" s="498">
        <v>1.5</v>
      </c>
      <c r="T616" s="498"/>
      <c r="U616" s="496">
        <v>0</v>
      </c>
      <c r="V616" s="496">
        <v>3226709</v>
      </c>
      <c r="W616" s="496">
        <v>3226709</v>
      </c>
      <c r="X616" s="496">
        <f t="shared" si="46"/>
        <v>3226709</v>
      </c>
      <c r="Y616" s="496">
        <f t="shared" si="47"/>
        <v>0</v>
      </c>
      <c r="Z616" s="496">
        <v>0</v>
      </c>
      <c r="AA616" s="496">
        <v>0</v>
      </c>
      <c r="AB616" s="496">
        <v>0</v>
      </c>
      <c r="AC616" s="496">
        <f t="shared" si="48"/>
        <v>0</v>
      </c>
      <c r="AD616" s="496">
        <f t="shared" si="49"/>
        <v>0</v>
      </c>
      <c r="AE616" s="496">
        <v>0</v>
      </c>
      <c r="AF616" s="496">
        <v>3226709</v>
      </c>
      <c r="AG616" s="497" t="s">
        <v>1245</v>
      </c>
      <c r="AH616" s="497" t="s">
        <v>1247</v>
      </c>
      <c r="AI616" s="497" t="s">
        <v>1269</v>
      </c>
      <c r="AJ616" s="497" t="s">
        <v>1246</v>
      </c>
      <c r="AK616" s="497" t="s">
        <v>1235</v>
      </c>
      <c r="AL616" s="491"/>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row>
    <row r="617" spans="1:80" ht="18" customHeight="1" x14ac:dyDescent="0.25">
      <c r="A617" s="492">
        <f t="shared" si="45"/>
        <v>615</v>
      </c>
      <c r="B617" s="492" t="s">
        <v>5291</v>
      </c>
      <c r="C617" s="521">
        <v>2100000334</v>
      </c>
      <c r="D617" s="521" t="s">
        <v>5292</v>
      </c>
      <c r="E617" s="492" t="s">
        <v>5293</v>
      </c>
      <c r="F617" s="492" t="s">
        <v>5294</v>
      </c>
      <c r="G617" s="492" t="s">
        <v>5295</v>
      </c>
      <c r="H617" s="492" t="s">
        <v>5294</v>
      </c>
      <c r="I617" s="492" t="s">
        <v>5295</v>
      </c>
      <c r="J617" s="492" t="s">
        <v>5296</v>
      </c>
      <c r="K617" s="492" t="s">
        <v>1756</v>
      </c>
      <c r="L617" s="492" t="s">
        <v>2783</v>
      </c>
      <c r="M617" s="493" t="s">
        <v>1230</v>
      </c>
      <c r="N617" s="493" t="s">
        <v>1232</v>
      </c>
      <c r="O617" s="492" t="s">
        <v>1232</v>
      </c>
      <c r="P617" s="492" t="s">
        <v>469</v>
      </c>
      <c r="Q617" s="494">
        <v>44687</v>
      </c>
      <c r="R617" s="494">
        <v>45419</v>
      </c>
      <c r="S617" s="498">
        <v>1</v>
      </c>
      <c r="T617" s="498"/>
      <c r="U617" s="496">
        <v>0</v>
      </c>
      <c r="V617" s="496">
        <v>2041815</v>
      </c>
      <c r="W617" s="496">
        <v>2041815</v>
      </c>
      <c r="X617" s="496">
        <f t="shared" si="46"/>
        <v>2041815</v>
      </c>
      <c r="Y617" s="496">
        <f t="shared" si="47"/>
        <v>0</v>
      </c>
      <c r="Z617" s="496">
        <v>0</v>
      </c>
      <c r="AA617" s="496">
        <v>0</v>
      </c>
      <c r="AB617" s="496">
        <v>0</v>
      </c>
      <c r="AC617" s="496">
        <f t="shared" si="48"/>
        <v>0</v>
      </c>
      <c r="AD617" s="496">
        <f t="shared" si="49"/>
        <v>0</v>
      </c>
      <c r="AE617" s="496">
        <v>0</v>
      </c>
      <c r="AF617" s="496">
        <v>2041815</v>
      </c>
      <c r="AG617" s="497" t="s">
        <v>1245</v>
      </c>
      <c r="AH617" s="497" t="s">
        <v>1242</v>
      </c>
      <c r="AI617" s="497" t="s">
        <v>1292</v>
      </c>
      <c r="AJ617" s="497" t="s">
        <v>1246</v>
      </c>
      <c r="AK617" s="497" t="s">
        <v>1240</v>
      </c>
      <c r="AL617" s="491"/>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c r="BV617"/>
      <c r="BW617"/>
      <c r="BX617"/>
      <c r="BY617"/>
      <c r="BZ617"/>
      <c r="CA617"/>
      <c r="CB617"/>
    </row>
    <row r="618" spans="1:80" ht="18" customHeight="1" x14ac:dyDescent="0.25">
      <c r="A618" s="485">
        <f t="shared" si="45"/>
        <v>616</v>
      </c>
      <c r="B618" s="485" t="s">
        <v>5297</v>
      </c>
      <c r="C618" s="511">
        <v>2100000333</v>
      </c>
      <c r="D618" s="511" t="s">
        <v>5298</v>
      </c>
      <c r="E618" s="485" t="s">
        <v>1500</v>
      </c>
      <c r="F618" s="485" t="s">
        <v>3550</v>
      </c>
      <c r="G618" s="485" t="s">
        <v>3547</v>
      </c>
      <c r="H618" s="485" t="s">
        <v>4522</v>
      </c>
      <c r="I618" s="485" t="s">
        <v>3548</v>
      </c>
      <c r="J618" s="485" t="s">
        <v>3549</v>
      </c>
      <c r="K618" s="485" t="s">
        <v>1756</v>
      </c>
      <c r="L618" s="485" t="s">
        <v>2783</v>
      </c>
      <c r="M618" s="486" t="s">
        <v>1230</v>
      </c>
      <c r="N618" s="486" t="s">
        <v>1231</v>
      </c>
      <c r="O618" s="485" t="s">
        <v>1231</v>
      </c>
      <c r="P618" s="485" t="s">
        <v>469</v>
      </c>
      <c r="Q618" s="487">
        <v>44687</v>
      </c>
      <c r="R618" s="487">
        <v>45124</v>
      </c>
      <c r="S618" s="488">
        <v>1.5</v>
      </c>
      <c r="T618" s="488"/>
      <c r="U618" s="489">
        <v>0</v>
      </c>
      <c r="V618" s="489">
        <v>3920000</v>
      </c>
      <c r="W618" s="489">
        <v>3920000</v>
      </c>
      <c r="X618" s="489">
        <f t="shared" si="46"/>
        <v>3920000</v>
      </c>
      <c r="Y618" s="489">
        <f t="shared" si="47"/>
        <v>0</v>
      </c>
      <c r="Z618" s="489">
        <v>0</v>
      </c>
      <c r="AA618" s="489">
        <v>2821333.18</v>
      </c>
      <c r="AB618" s="489">
        <v>2821333.18</v>
      </c>
      <c r="AC618" s="489">
        <f t="shared" si="48"/>
        <v>2821333.18</v>
      </c>
      <c r="AD618" s="489">
        <f t="shared" si="49"/>
        <v>0</v>
      </c>
      <c r="AE618" s="489">
        <v>0</v>
      </c>
      <c r="AF618" s="489">
        <v>1098666.82</v>
      </c>
      <c r="AG618" s="490" t="s">
        <v>1245</v>
      </c>
      <c r="AH618" s="490" t="s">
        <v>1247</v>
      </c>
      <c r="AI618" s="490" t="s">
        <v>1269</v>
      </c>
      <c r="AJ618" s="490" t="s">
        <v>1246</v>
      </c>
      <c r="AK618" s="490" t="s">
        <v>1235</v>
      </c>
      <c r="AL618" s="491"/>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row>
    <row r="619" spans="1:80" ht="18" customHeight="1" x14ac:dyDescent="0.25">
      <c r="A619" s="485">
        <f t="shared" si="45"/>
        <v>617</v>
      </c>
      <c r="B619" s="485" t="s">
        <v>5299</v>
      </c>
      <c r="C619" s="511">
        <v>1100000285</v>
      </c>
      <c r="D619" s="511" t="s">
        <v>5300</v>
      </c>
      <c r="E619" s="485" t="s">
        <v>299</v>
      </c>
      <c r="F619" s="485" t="s">
        <v>1057</v>
      </c>
      <c r="G619" s="485" t="s">
        <v>1088</v>
      </c>
      <c r="H619" s="511" t="s">
        <v>1057</v>
      </c>
      <c r="I619" s="485" t="s">
        <v>1088</v>
      </c>
      <c r="J619" s="485" t="s">
        <v>3728</v>
      </c>
      <c r="K619" s="485" t="s">
        <v>1281</v>
      </c>
      <c r="L619" s="485" t="s">
        <v>2783</v>
      </c>
      <c r="M619" s="486" t="s">
        <v>1230</v>
      </c>
      <c r="N619" s="486" t="s">
        <v>1231</v>
      </c>
      <c r="O619" s="485" t="s">
        <v>1232</v>
      </c>
      <c r="P619" s="485" t="s">
        <v>1156</v>
      </c>
      <c r="Q619" s="487">
        <v>44701</v>
      </c>
      <c r="R619" s="487">
        <v>45068</v>
      </c>
      <c r="S619" s="488">
        <v>1</v>
      </c>
      <c r="T619" s="488"/>
      <c r="U619" s="489">
        <v>0</v>
      </c>
      <c r="V619" s="489">
        <v>14250000</v>
      </c>
      <c r="W619" s="489">
        <v>14250000</v>
      </c>
      <c r="X619" s="489">
        <f t="shared" si="46"/>
        <v>14250000</v>
      </c>
      <c r="Y619" s="489">
        <f t="shared" si="47"/>
        <v>0</v>
      </c>
      <c r="Z619" s="489">
        <v>0</v>
      </c>
      <c r="AA619" s="489">
        <v>0</v>
      </c>
      <c r="AB619" s="489">
        <v>14250000</v>
      </c>
      <c r="AC619" s="489">
        <f t="shared" si="48"/>
        <v>14250000</v>
      </c>
      <c r="AD619" s="489">
        <f t="shared" si="49"/>
        <v>14250000</v>
      </c>
      <c r="AE619" s="489">
        <v>0</v>
      </c>
      <c r="AF619" s="489">
        <v>0</v>
      </c>
      <c r="AG619" s="490" t="s">
        <v>1237</v>
      </c>
      <c r="AH619" s="490" t="s">
        <v>1888</v>
      </c>
      <c r="AI619" s="490" t="s">
        <v>1321</v>
      </c>
      <c r="AJ619" s="490" t="s">
        <v>1279</v>
      </c>
      <c r="AK619" s="490" t="s">
        <v>1260</v>
      </c>
      <c r="AL619" s="491"/>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row>
    <row r="620" spans="1:80" ht="18" customHeight="1" x14ac:dyDescent="0.25">
      <c r="A620" s="485">
        <f t="shared" si="45"/>
        <v>618</v>
      </c>
      <c r="B620" s="485" t="s">
        <v>5301</v>
      </c>
      <c r="C620" s="511">
        <v>1100000286</v>
      </c>
      <c r="D620" s="511" t="s">
        <v>5302</v>
      </c>
      <c r="E620" s="485" t="s">
        <v>299</v>
      </c>
      <c r="F620" s="485" t="s">
        <v>1057</v>
      </c>
      <c r="G620" s="485" t="s">
        <v>1088</v>
      </c>
      <c r="H620" s="511" t="s">
        <v>1057</v>
      </c>
      <c r="I620" s="485" t="s">
        <v>1088</v>
      </c>
      <c r="J620" s="485" t="s">
        <v>3728</v>
      </c>
      <c r="K620" s="485" t="s">
        <v>1281</v>
      </c>
      <c r="L620" s="485" t="s">
        <v>2783</v>
      </c>
      <c r="M620" s="486" t="s">
        <v>1230</v>
      </c>
      <c r="N620" s="486" t="s">
        <v>1231</v>
      </c>
      <c r="O620" s="485" t="s">
        <v>1232</v>
      </c>
      <c r="P620" s="485" t="s">
        <v>1156</v>
      </c>
      <c r="Q620" s="487">
        <v>44701</v>
      </c>
      <c r="R620" s="487">
        <v>45068</v>
      </c>
      <c r="S620" s="488">
        <v>1</v>
      </c>
      <c r="T620" s="488"/>
      <c r="U620" s="489">
        <v>0</v>
      </c>
      <c r="V620" s="489">
        <v>6000000</v>
      </c>
      <c r="W620" s="489">
        <v>6000000</v>
      </c>
      <c r="X620" s="489">
        <f t="shared" si="46"/>
        <v>6000000</v>
      </c>
      <c r="Y620" s="489">
        <f t="shared" si="47"/>
        <v>0</v>
      </c>
      <c r="Z620" s="489">
        <v>0</v>
      </c>
      <c r="AA620" s="489">
        <v>3000000</v>
      </c>
      <c r="AB620" s="489">
        <v>3000000</v>
      </c>
      <c r="AC620" s="489">
        <f t="shared" si="48"/>
        <v>3000000</v>
      </c>
      <c r="AD620" s="489">
        <f t="shared" si="49"/>
        <v>0</v>
      </c>
      <c r="AE620" s="489">
        <v>0</v>
      </c>
      <c r="AF620" s="489">
        <v>3000000</v>
      </c>
      <c r="AG620" s="490" t="s">
        <v>1237</v>
      </c>
      <c r="AH620" s="490" t="s">
        <v>1888</v>
      </c>
      <c r="AI620" s="490" t="s">
        <v>1321</v>
      </c>
      <c r="AJ620" s="490" t="s">
        <v>1279</v>
      </c>
      <c r="AK620" s="490" t="s">
        <v>1260</v>
      </c>
      <c r="AL620" s="491"/>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c r="BV620"/>
      <c r="BW620"/>
      <c r="BX620"/>
      <c r="BY620"/>
      <c r="BZ620"/>
      <c r="CA620"/>
      <c r="CB620"/>
    </row>
    <row r="621" spans="1:80" ht="18" customHeight="1" x14ac:dyDescent="0.25">
      <c r="A621" s="492">
        <f t="shared" si="45"/>
        <v>619</v>
      </c>
      <c r="B621" s="492" t="s">
        <v>5303</v>
      </c>
      <c r="C621" s="521">
        <v>6100000281</v>
      </c>
      <c r="D621" s="521" t="s">
        <v>5304</v>
      </c>
      <c r="E621" s="492" t="s">
        <v>5305</v>
      </c>
      <c r="F621" s="492" t="s">
        <v>5306</v>
      </c>
      <c r="G621" s="492" t="s">
        <v>5307</v>
      </c>
      <c r="H621" s="492" t="s">
        <v>5306</v>
      </c>
      <c r="I621" s="492" t="s">
        <v>5307</v>
      </c>
      <c r="J621" s="492" t="s">
        <v>5308</v>
      </c>
      <c r="K621" s="492" t="s">
        <v>1756</v>
      </c>
      <c r="L621" s="492" t="s">
        <v>2783</v>
      </c>
      <c r="M621" s="493" t="s">
        <v>1230</v>
      </c>
      <c r="N621" s="493" t="s">
        <v>1232</v>
      </c>
      <c r="O621" s="492" t="s">
        <v>1232</v>
      </c>
      <c r="P621" s="492" t="s">
        <v>469</v>
      </c>
      <c r="Q621" s="494">
        <v>44712</v>
      </c>
      <c r="R621" s="494">
        <v>45077</v>
      </c>
      <c r="S621" s="498">
        <v>1</v>
      </c>
      <c r="T621" s="498"/>
      <c r="U621" s="496">
        <v>0</v>
      </c>
      <c r="V621" s="496">
        <v>0</v>
      </c>
      <c r="W621" s="496">
        <v>8760000</v>
      </c>
      <c r="X621" s="496">
        <f t="shared" si="46"/>
        <v>8760000</v>
      </c>
      <c r="Y621" s="496">
        <f t="shared" si="47"/>
        <v>8760000</v>
      </c>
      <c r="Z621" s="496">
        <v>0</v>
      </c>
      <c r="AA621" s="496">
        <v>0</v>
      </c>
      <c r="AB621" s="496">
        <v>0</v>
      </c>
      <c r="AC621" s="496">
        <f t="shared" si="48"/>
        <v>0</v>
      </c>
      <c r="AD621" s="496">
        <f t="shared" si="49"/>
        <v>0</v>
      </c>
      <c r="AE621" s="496">
        <v>0</v>
      </c>
      <c r="AF621" s="496">
        <v>8760000</v>
      </c>
      <c r="AG621" s="497" t="s">
        <v>1888</v>
      </c>
      <c r="AH621" s="497" t="s">
        <v>1888</v>
      </c>
      <c r="AI621" s="497" t="s">
        <v>1342</v>
      </c>
      <c r="AJ621" s="497" t="s">
        <v>1234</v>
      </c>
      <c r="AK621" s="497" t="s">
        <v>1240</v>
      </c>
      <c r="AL621" s="49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row>
    <row r="622" spans="1:80" ht="18" customHeight="1" x14ac:dyDescent="0.25">
      <c r="A622" s="485">
        <f t="shared" si="45"/>
        <v>620</v>
      </c>
      <c r="B622" s="485" t="s">
        <v>5309</v>
      </c>
      <c r="C622" s="511">
        <v>6100000282</v>
      </c>
      <c r="D622" s="511" t="s">
        <v>5310</v>
      </c>
      <c r="E622" s="485" t="s">
        <v>1364</v>
      </c>
      <c r="F622" s="485" t="s">
        <v>5311</v>
      </c>
      <c r="G622" s="485" t="s">
        <v>5312</v>
      </c>
      <c r="H622" s="485" t="s">
        <v>2575</v>
      </c>
      <c r="I622" s="485" t="s">
        <v>3073</v>
      </c>
      <c r="J622" s="485" t="s">
        <v>3074</v>
      </c>
      <c r="K622" s="485" t="s">
        <v>1756</v>
      </c>
      <c r="L622" s="485" t="s">
        <v>2783</v>
      </c>
      <c r="M622" s="486" t="s">
        <v>1230</v>
      </c>
      <c r="N622" s="486" t="s">
        <v>1231</v>
      </c>
      <c r="O622" s="485" t="s">
        <v>1232</v>
      </c>
      <c r="P622" s="485" t="s">
        <v>469</v>
      </c>
      <c r="Q622" s="487">
        <v>44712</v>
      </c>
      <c r="R622" s="487">
        <v>44895</v>
      </c>
      <c r="S622" s="488">
        <v>1</v>
      </c>
      <c r="T622" s="488"/>
      <c r="U622" s="489">
        <v>0</v>
      </c>
      <c r="V622" s="489">
        <v>0</v>
      </c>
      <c r="W622" s="489">
        <v>1336000</v>
      </c>
      <c r="X622" s="489">
        <f t="shared" si="46"/>
        <v>1336000</v>
      </c>
      <c r="Y622" s="489">
        <f t="shared" si="47"/>
        <v>1336000</v>
      </c>
      <c r="Z622" s="489">
        <v>0</v>
      </c>
      <c r="AA622" s="489">
        <v>0</v>
      </c>
      <c r="AB622" s="489">
        <v>1336000</v>
      </c>
      <c r="AC622" s="489">
        <f t="shared" si="48"/>
        <v>1336000</v>
      </c>
      <c r="AD622" s="489">
        <f t="shared" si="49"/>
        <v>1336000</v>
      </c>
      <c r="AE622" s="489">
        <v>0</v>
      </c>
      <c r="AF622" s="489">
        <v>0</v>
      </c>
      <c r="AG622" s="490" t="s">
        <v>1888</v>
      </c>
      <c r="AH622" s="490" t="s">
        <v>1888</v>
      </c>
      <c r="AI622" s="490" t="s">
        <v>1342</v>
      </c>
      <c r="AJ622" s="490" t="s">
        <v>1234</v>
      </c>
      <c r="AK622" s="490" t="s">
        <v>1278</v>
      </c>
      <c r="AL622" s="491"/>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row>
    <row r="623" spans="1:80" ht="18" customHeight="1" x14ac:dyDescent="0.25">
      <c r="A623" s="492">
        <f t="shared" si="45"/>
        <v>621</v>
      </c>
      <c r="B623" s="492" t="s">
        <v>5313</v>
      </c>
      <c r="C623" s="521">
        <v>1100000289</v>
      </c>
      <c r="D623" s="521" t="s">
        <v>5314</v>
      </c>
      <c r="E623" s="492" t="s">
        <v>5315</v>
      </c>
      <c r="F623" s="492" t="s">
        <v>5313</v>
      </c>
      <c r="G623" s="492" t="s">
        <v>5316</v>
      </c>
      <c r="H623" s="492" t="s">
        <v>5313</v>
      </c>
      <c r="I623" s="492" t="s">
        <v>5316</v>
      </c>
      <c r="J623" s="492" t="s">
        <v>5317</v>
      </c>
      <c r="K623" s="492" t="s">
        <v>1756</v>
      </c>
      <c r="L623" s="492" t="s">
        <v>2783</v>
      </c>
      <c r="M623" s="493" t="s">
        <v>1230</v>
      </c>
      <c r="N623" s="493" t="s">
        <v>1232</v>
      </c>
      <c r="O623" s="492" t="s">
        <v>1232</v>
      </c>
      <c r="P623" s="492" t="s">
        <v>1156</v>
      </c>
      <c r="Q623" s="494">
        <v>44708</v>
      </c>
      <c r="R623" s="494">
        <v>46169</v>
      </c>
      <c r="S623" s="498">
        <v>1</v>
      </c>
      <c r="T623" s="498"/>
      <c r="U623" s="496">
        <v>0</v>
      </c>
      <c r="V623" s="496">
        <v>0</v>
      </c>
      <c r="W623" s="496">
        <v>3200000</v>
      </c>
      <c r="X623" s="496">
        <f t="shared" si="46"/>
        <v>3200000</v>
      </c>
      <c r="Y623" s="496">
        <f t="shared" si="47"/>
        <v>3200000</v>
      </c>
      <c r="Z623" s="496">
        <v>0</v>
      </c>
      <c r="AA623" s="496">
        <v>0</v>
      </c>
      <c r="AB623" s="496">
        <v>0</v>
      </c>
      <c r="AC623" s="496">
        <f t="shared" si="48"/>
        <v>0</v>
      </c>
      <c r="AD623" s="496">
        <f t="shared" si="49"/>
        <v>0</v>
      </c>
      <c r="AE623" s="496">
        <v>0</v>
      </c>
      <c r="AF623" s="496">
        <v>3200000</v>
      </c>
      <c r="AG623" s="497" t="s">
        <v>1237</v>
      </c>
      <c r="AH623" s="497" t="s">
        <v>614</v>
      </c>
      <c r="AI623" s="497"/>
      <c r="AJ623" s="497" t="s">
        <v>614</v>
      </c>
      <c r="AK623" s="497" t="s">
        <v>1260</v>
      </c>
      <c r="AL623" s="491"/>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row>
    <row r="624" spans="1:80" ht="18" customHeight="1" x14ac:dyDescent="0.25">
      <c r="A624" s="492">
        <f t="shared" si="45"/>
        <v>622</v>
      </c>
      <c r="B624" s="492" t="s">
        <v>5318</v>
      </c>
      <c r="C624" s="521">
        <v>1100000290</v>
      </c>
      <c r="D624" s="521" t="s">
        <v>5319</v>
      </c>
      <c r="E624" s="492" t="s">
        <v>5320</v>
      </c>
      <c r="F624" s="492" t="s">
        <v>5321</v>
      </c>
      <c r="G624" s="492"/>
      <c r="H624" s="492" t="s">
        <v>5321</v>
      </c>
      <c r="I624" s="492"/>
      <c r="J624" s="492" t="s">
        <v>5322</v>
      </c>
      <c r="K624" s="492" t="s">
        <v>1281</v>
      </c>
      <c r="L624" s="492" t="s">
        <v>2783</v>
      </c>
      <c r="M624" s="493" t="s">
        <v>1230</v>
      </c>
      <c r="N624" s="493" t="s">
        <v>1232</v>
      </c>
      <c r="O624" s="492" t="s">
        <v>1232</v>
      </c>
      <c r="P624" s="492" t="s">
        <v>469</v>
      </c>
      <c r="Q624" s="494">
        <v>44712</v>
      </c>
      <c r="R624" s="494">
        <v>45807</v>
      </c>
      <c r="S624" s="498">
        <v>1.5</v>
      </c>
      <c r="T624" s="498"/>
      <c r="U624" s="496">
        <v>0</v>
      </c>
      <c r="V624" s="496">
        <v>0</v>
      </c>
      <c r="W624" s="496">
        <v>30000000</v>
      </c>
      <c r="X624" s="496">
        <f t="shared" si="46"/>
        <v>30000000</v>
      </c>
      <c r="Y624" s="496">
        <f t="shared" si="47"/>
        <v>30000000</v>
      </c>
      <c r="Z624" s="496">
        <v>0</v>
      </c>
      <c r="AA624" s="496">
        <v>0</v>
      </c>
      <c r="AB624" s="496">
        <v>0</v>
      </c>
      <c r="AC624" s="496">
        <f t="shared" si="48"/>
        <v>0</v>
      </c>
      <c r="AD624" s="496">
        <f t="shared" si="49"/>
        <v>0</v>
      </c>
      <c r="AE624" s="496">
        <v>0</v>
      </c>
      <c r="AF624" s="496">
        <v>30000000</v>
      </c>
      <c r="AG624" s="497" t="s">
        <v>1888</v>
      </c>
      <c r="AH624" s="497" t="s">
        <v>1888</v>
      </c>
      <c r="AI624" s="497" t="s">
        <v>1342</v>
      </c>
      <c r="AJ624" s="497" t="s">
        <v>1234</v>
      </c>
      <c r="AK624" s="497" t="s">
        <v>1235</v>
      </c>
      <c r="AL624" s="491"/>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row>
    <row r="625" spans="1:80" ht="18" customHeight="1" x14ac:dyDescent="0.25">
      <c r="A625" s="485">
        <f t="shared" si="45"/>
        <v>623</v>
      </c>
      <c r="B625" s="485" t="s">
        <v>5323</v>
      </c>
      <c r="C625" s="511">
        <v>1300000004</v>
      </c>
      <c r="D625" s="511" t="s">
        <v>5324</v>
      </c>
      <c r="E625" s="485" t="s">
        <v>1178</v>
      </c>
      <c r="F625" s="485" t="s">
        <v>1602</v>
      </c>
      <c r="G625" s="485" t="s">
        <v>3865</v>
      </c>
      <c r="H625" s="485" t="s">
        <v>1602</v>
      </c>
      <c r="I625" s="485" t="s">
        <v>3865</v>
      </c>
      <c r="J625" s="485" t="s">
        <v>3866</v>
      </c>
      <c r="K625" s="485" t="s">
        <v>1281</v>
      </c>
      <c r="L625" s="485" t="s">
        <v>1678</v>
      </c>
      <c r="M625" s="486" t="s">
        <v>1230</v>
      </c>
      <c r="N625" s="486" t="s">
        <v>1231</v>
      </c>
      <c r="O625" s="485" t="s">
        <v>1232</v>
      </c>
      <c r="P625" s="485" t="s">
        <v>1156</v>
      </c>
      <c r="Q625" s="487">
        <v>44712</v>
      </c>
      <c r="R625" s="487">
        <v>45810</v>
      </c>
      <c r="S625" s="488">
        <v>1</v>
      </c>
      <c r="T625" s="488"/>
      <c r="U625" s="489">
        <v>0</v>
      </c>
      <c r="V625" s="489">
        <v>0</v>
      </c>
      <c r="W625" s="489">
        <v>1000000</v>
      </c>
      <c r="X625" s="489">
        <f t="shared" si="46"/>
        <v>1000000</v>
      </c>
      <c r="Y625" s="489">
        <f t="shared" si="47"/>
        <v>1000000</v>
      </c>
      <c r="Z625" s="489">
        <v>0</v>
      </c>
      <c r="AA625" s="489">
        <v>0</v>
      </c>
      <c r="AB625" s="489">
        <v>975326</v>
      </c>
      <c r="AC625" s="489">
        <f t="shared" si="48"/>
        <v>975326</v>
      </c>
      <c r="AD625" s="489">
        <f t="shared" si="49"/>
        <v>975326</v>
      </c>
      <c r="AE625" s="489">
        <v>24674</v>
      </c>
      <c r="AF625" s="489">
        <v>0</v>
      </c>
      <c r="AG625" s="490" t="s">
        <v>1237</v>
      </c>
      <c r="AH625" s="490" t="s">
        <v>1305</v>
      </c>
      <c r="AI625" s="490"/>
      <c r="AJ625" s="490" t="s">
        <v>1319</v>
      </c>
      <c r="AK625" s="490" t="s">
        <v>1260</v>
      </c>
      <c r="AL625" s="491"/>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row>
    <row r="626" spans="1:80" ht="18" customHeight="1" x14ac:dyDescent="0.25">
      <c r="A626" s="485">
        <f t="shared" si="45"/>
        <v>624</v>
      </c>
      <c r="B626" s="485" t="s">
        <v>5325</v>
      </c>
      <c r="C626" s="511">
        <v>2100000337</v>
      </c>
      <c r="D626" s="511" t="s">
        <v>5326</v>
      </c>
      <c r="E626" s="485" t="s">
        <v>5327</v>
      </c>
      <c r="F626" s="485" t="s">
        <v>5328</v>
      </c>
      <c r="G626" s="485" t="s">
        <v>5329</v>
      </c>
      <c r="H626" s="485" t="s">
        <v>4233</v>
      </c>
      <c r="I626" s="485" t="s">
        <v>5329</v>
      </c>
      <c r="J626" s="485" t="s">
        <v>5330</v>
      </c>
      <c r="K626" s="485" t="s">
        <v>1756</v>
      </c>
      <c r="L626" s="485" t="s">
        <v>2783</v>
      </c>
      <c r="M626" s="486" t="s">
        <v>1230</v>
      </c>
      <c r="N626" s="486" t="s">
        <v>1231</v>
      </c>
      <c r="O626" s="485" t="s">
        <v>1232</v>
      </c>
      <c r="P626" s="485" t="s">
        <v>469</v>
      </c>
      <c r="Q626" s="487">
        <v>44708</v>
      </c>
      <c r="R626" s="487">
        <v>46056</v>
      </c>
      <c r="S626" s="488">
        <v>1.5</v>
      </c>
      <c r="T626" s="488"/>
      <c r="U626" s="489">
        <v>0</v>
      </c>
      <c r="V626" s="489">
        <v>0</v>
      </c>
      <c r="W626" s="489">
        <v>40000000</v>
      </c>
      <c r="X626" s="489">
        <f t="shared" si="46"/>
        <v>40000000</v>
      </c>
      <c r="Y626" s="489">
        <f t="shared" si="47"/>
        <v>40000000</v>
      </c>
      <c r="Z626" s="489">
        <v>0</v>
      </c>
      <c r="AA626" s="489">
        <v>0</v>
      </c>
      <c r="AB626" s="489">
        <v>11506094.49</v>
      </c>
      <c r="AC626" s="489">
        <f t="shared" si="48"/>
        <v>11506094.49</v>
      </c>
      <c r="AD626" s="489">
        <f t="shared" si="49"/>
        <v>11506094.49</v>
      </c>
      <c r="AE626" s="489">
        <v>28493905.510000002</v>
      </c>
      <c r="AF626" s="489">
        <v>0</v>
      </c>
      <c r="AG626" s="490" t="s">
        <v>1245</v>
      </c>
      <c r="AH626" s="490" t="s">
        <v>1247</v>
      </c>
      <c r="AI626" s="490" t="s">
        <v>1248</v>
      </c>
      <c r="AJ626" s="490" t="s">
        <v>1246</v>
      </c>
      <c r="AK626" s="490" t="s">
        <v>1235</v>
      </c>
      <c r="AL626" s="491"/>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row>
    <row r="627" spans="1:80" ht="18" customHeight="1" x14ac:dyDescent="0.25">
      <c r="A627" s="526">
        <f t="shared" si="45"/>
        <v>625</v>
      </c>
      <c r="B627" s="526" t="s">
        <v>4002</v>
      </c>
      <c r="C627" s="526">
        <v>5200000156</v>
      </c>
      <c r="D627" s="526" t="s">
        <v>5331</v>
      </c>
      <c r="E627" s="526" t="s">
        <v>1643</v>
      </c>
      <c r="F627" s="526" t="s">
        <v>2667</v>
      </c>
      <c r="G627" s="526" t="s">
        <v>4000</v>
      </c>
      <c r="H627" s="526" t="s">
        <v>2667</v>
      </c>
      <c r="I627" s="526" t="s">
        <v>4000</v>
      </c>
      <c r="J627" s="526" t="s">
        <v>4001</v>
      </c>
      <c r="K627" s="526" t="s">
        <v>1756</v>
      </c>
      <c r="L627" s="526" t="s">
        <v>1473</v>
      </c>
      <c r="M627" s="527" t="s">
        <v>1230</v>
      </c>
      <c r="N627" s="527" t="s">
        <v>1232</v>
      </c>
      <c r="O627" s="526" t="s">
        <v>1232</v>
      </c>
      <c r="P627" s="526" t="s">
        <v>469</v>
      </c>
      <c r="Q627" s="528">
        <v>44343</v>
      </c>
      <c r="R627" s="528">
        <v>44706</v>
      </c>
      <c r="S627" s="529">
        <v>1</v>
      </c>
      <c r="T627" s="529">
        <v>0.2</v>
      </c>
      <c r="U627" s="519">
        <v>166258.06</v>
      </c>
      <c r="V627" s="519">
        <v>166258.06</v>
      </c>
      <c r="W627" s="519">
        <v>0</v>
      </c>
      <c r="X627" s="519">
        <f t="shared" si="46"/>
        <v>-166258.06</v>
      </c>
      <c r="Y627" s="519">
        <f t="shared" si="47"/>
        <v>-166258.06</v>
      </c>
      <c r="Z627" s="519">
        <v>145570.06</v>
      </c>
      <c r="AA627" s="519">
        <v>145570.06</v>
      </c>
      <c r="AB627" s="519">
        <v>0</v>
      </c>
      <c r="AC627" s="519">
        <f t="shared" si="48"/>
        <v>-145570.06</v>
      </c>
      <c r="AD627" s="519">
        <f t="shared" si="49"/>
        <v>-145570.06</v>
      </c>
      <c r="AE627" s="519">
        <v>0</v>
      </c>
      <c r="AF627" s="519">
        <v>0</v>
      </c>
      <c r="AG627" s="530" t="s">
        <v>1288</v>
      </c>
      <c r="AH627" s="530" t="s">
        <v>1252</v>
      </c>
      <c r="AI627" s="530" t="s">
        <v>1248</v>
      </c>
      <c r="AJ627" s="530" t="s">
        <v>1234</v>
      </c>
      <c r="AK627" s="530" t="s">
        <v>1278</v>
      </c>
      <c r="AL627" s="531"/>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row>
    <row r="628" spans="1:80" ht="18" customHeight="1" x14ac:dyDescent="0.25">
      <c r="A628" s="532">
        <f t="shared" si="45"/>
        <v>626</v>
      </c>
      <c r="B628" s="532" t="s">
        <v>3953</v>
      </c>
      <c r="C628" s="532">
        <v>5200000150</v>
      </c>
      <c r="D628" s="532" t="s">
        <v>5332</v>
      </c>
      <c r="E628" s="532" t="s">
        <v>1287</v>
      </c>
      <c r="F628" s="532" t="s">
        <v>1286</v>
      </c>
      <c r="G628" s="532" t="s">
        <v>2878</v>
      </c>
      <c r="H628" s="533" t="s">
        <v>1286</v>
      </c>
      <c r="I628" s="532" t="s">
        <v>2878</v>
      </c>
      <c r="J628" s="532" t="s">
        <v>2879</v>
      </c>
      <c r="K628" s="532" t="s">
        <v>1756</v>
      </c>
      <c r="L628" s="532" t="s">
        <v>1473</v>
      </c>
      <c r="M628" s="532" t="s">
        <v>1230</v>
      </c>
      <c r="N628" s="532" t="s">
        <v>1231</v>
      </c>
      <c r="O628" s="532" t="s">
        <v>1232</v>
      </c>
      <c r="P628" s="532" t="s">
        <v>469</v>
      </c>
      <c r="Q628" s="534">
        <v>44340</v>
      </c>
      <c r="R628" s="534">
        <v>44706</v>
      </c>
      <c r="S628" s="535">
        <v>1</v>
      </c>
      <c r="T628" s="535">
        <v>0.2</v>
      </c>
      <c r="U628" s="536">
        <v>238769.1</v>
      </c>
      <c r="V628" s="536">
        <v>238769.1</v>
      </c>
      <c r="W628" s="536">
        <v>0</v>
      </c>
      <c r="X628" s="536">
        <f t="shared" si="46"/>
        <v>-238769.1</v>
      </c>
      <c r="Y628" s="536">
        <f t="shared" si="47"/>
        <v>-238769.1</v>
      </c>
      <c r="Z628" s="536">
        <v>238769.1</v>
      </c>
      <c r="AA628" s="536">
        <v>238769.1</v>
      </c>
      <c r="AB628" s="536">
        <v>0</v>
      </c>
      <c r="AC628" s="536">
        <f t="shared" si="48"/>
        <v>-238769.1</v>
      </c>
      <c r="AD628" s="536">
        <f t="shared" si="49"/>
        <v>-238769.1</v>
      </c>
      <c r="AE628" s="536">
        <v>0</v>
      </c>
      <c r="AF628" s="536">
        <v>0</v>
      </c>
      <c r="AG628" s="537" t="s">
        <v>1288</v>
      </c>
      <c r="AH628" s="537" t="s">
        <v>1252</v>
      </c>
      <c r="AI628" s="537" t="s">
        <v>1248</v>
      </c>
      <c r="AJ628" s="537" t="s">
        <v>1234</v>
      </c>
      <c r="AK628" s="537" t="s">
        <v>1278</v>
      </c>
      <c r="AL628" s="531"/>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row>
    <row r="629" spans="1:80" ht="18" customHeight="1" x14ac:dyDescent="0.25">
      <c r="A629" s="533">
        <f t="shared" si="45"/>
        <v>627</v>
      </c>
      <c r="B629" s="533" t="s">
        <v>3794</v>
      </c>
      <c r="C629" s="533">
        <v>4100000120</v>
      </c>
      <c r="D629" s="533" t="s">
        <v>5333</v>
      </c>
      <c r="E629" s="533" t="s">
        <v>1576</v>
      </c>
      <c r="F629" s="533" t="s">
        <v>1575</v>
      </c>
      <c r="G629" s="533" t="s">
        <v>3792</v>
      </c>
      <c r="H629" s="533" t="s">
        <v>1575</v>
      </c>
      <c r="I629" s="533" t="s">
        <v>3792</v>
      </c>
      <c r="J629" s="533" t="s">
        <v>3793</v>
      </c>
      <c r="K629" s="533" t="s">
        <v>1756</v>
      </c>
      <c r="L629" s="533" t="s">
        <v>2783</v>
      </c>
      <c r="M629" s="532" t="s">
        <v>1230</v>
      </c>
      <c r="N629" s="532" t="s">
        <v>1231</v>
      </c>
      <c r="O629" s="533" t="s">
        <v>1232</v>
      </c>
      <c r="P629" s="533" t="s">
        <v>469</v>
      </c>
      <c r="Q629" s="534">
        <v>44274</v>
      </c>
      <c r="R629" s="534">
        <v>44705</v>
      </c>
      <c r="S629" s="535">
        <v>1</v>
      </c>
      <c r="T629" s="535"/>
      <c r="U629" s="536">
        <v>15185591.6</v>
      </c>
      <c r="V629" s="536">
        <v>14645458</v>
      </c>
      <c r="W629" s="536">
        <v>0</v>
      </c>
      <c r="X629" s="536">
        <f t="shared" si="46"/>
        <v>-15185591.6</v>
      </c>
      <c r="Y629" s="536">
        <f t="shared" si="47"/>
        <v>-14645458</v>
      </c>
      <c r="Z629" s="536">
        <v>540133.6</v>
      </c>
      <c r="AA629" s="536">
        <v>0</v>
      </c>
      <c r="AB629" s="536">
        <v>0</v>
      </c>
      <c r="AC629" s="536">
        <f t="shared" si="48"/>
        <v>-540133.6</v>
      </c>
      <c r="AD629" s="536">
        <f t="shared" si="49"/>
        <v>0</v>
      </c>
      <c r="AE629" s="536">
        <v>0</v>
      </c>
      <c r="AF629" s="536">
        <v>0</v>
      </c>
      <c r="AG629" s="537" t="s">
        <v>1250</v>
      </c>
      <c r="AH629" s="537" t="s">
        <v>1357</v>
      </c>
      <c r="AI629" s="537"/>
      <c r="AJ629" s="537" t="s">
        <v>1234</v>
      </c>
      <c r="AK629" s="537" t="s">
        <v>1240</v>
      </c>
      <c r="AL629" s="531"/>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row>
    <row r="630" spans="1:80" ht="18" customHeight="1" x14ac:dyDescent="0.25">
      <c r="A630" s="533">
        <f t="shared" si="45"/>
        <v>628</v>
      </c>
      <c r="B630" s="533" t="s">
        <v>3531</v>
      </c>
      <c r="C630" s="533">
        <v>2200000008</v>
      </c>
      <c r="D630" s="533" t="s">
        <v>5334</v>
      </c>
      <c r="E630" s="533" t="s">
        <v>1495</v>
      </c>
      <c r="F630" s="533" t="s">
        <v>3530</v>
      </c>
      <c r="G630" s="533" t="s">
        <v>3528</v>
      </c>
      <c r="H630" s="533" t="s">
        <v>3530</v>
      </c>
      <c r="I630" s="533" t="s">
        <v>3528</v>
      </c>
      <c r="J630" s="533" t="s">
        <v>3529</v>
      </c>
      <c r="K630" s="533" t="s">
        <v>1756</v>
      </c>
      <c r="L630" s="533" t="s">
        <v>1473</v>
      </c>
      <c r="M630" s="532" t="s">
        <v>1230</v>
      </c>
      <c r="N630" s="532" t="s">
        <v>1231</v>
      </c>
      <c r="O630" s="532" t="s">
        <v>1232</v>
      </c>
      <c r="P630" s="533" t="s">
        <v>469</v>
      </c>
      <c r="Q630" s="534">
        <v>44099</v>
      </c>
      <c r="R630" s="534">
        <v>44704</v>
      </c>
      <c r="S630" s="535">
        <v>1.5</v>
      </c>
      <c r="T630" s="535">
        <v>0.3</v>
      </c>
      <c r="U630" s="536">
        <v>4975813</v>
      </c>
      <c r="V630" s="536">
        <v>4975813</v>
      </c>
      <c r="W630" s="536">
        <v>0</v>
      </c>
      <c r="X630" s="536">
        <f t="shared" si="46"/>
        <v>-4975813</v>
      </c>
      <c r="Y630" s="536">
        <f t="shared" si="47"/>
        <v>-4975813</v>
      </c>
      <c r="Z630" s="536">
        <v>4975813</v>
      </c>
      <c r="AA630" s="536">
        <v>4975813</v>
      </c>
      <c r="AB630" s="536">
        <v>0</v>
      </c>
      <c r="AC630" s="536">
        <f t="shared" si="48"/>
        <v>-4975813</v>
      </c>
      <c r="AD630" s="536">
        <f t="shared" si="49"/>
        <v>-4975813</v>
      </c>
      <c r="AE630" s="536">
        <v>0</v>
      </c>
      <c r="AF630" s="536">
        <v>0</v>
      </c>
      <c r="AG630" s="537" t="s">
        <v>1245</v>
      </c>
      <c r="AH630" s="537" t="s">
        <v>1247</v>
      </c>
      <c r="AI630" s="537" t="s">
        <v>1248</v>
      </c>
      <c r="AJ630" s="537" t="s">
        <v>1246</v>
      </c>
      <c r="AK630" s="537" t="s">
        <v>1235</v>
      </c>
      <c r="AL630" s="531"/>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row>
    <row r="631" spans="1:80" ht="18" customHeight="1" x14ac:dyDescent="0.25">
      <c r="A631" s="533">
        <f t="shared" si="45"/>
        <v>629</v>
      </c>
      <c r="B631" s="533" t="s">
        <v>3532</v>
      </c>
      <c r="C631" s="533">
        <v>2100000019</v>
      </c>
      <c r="D631" s="533" t="s">
        <v>5335</v>
      </c>
      <c r="E631" s="533" t="s">
        <v>1495</v>
      </c>
      <c r="F631" s="533" t="s">
        <v>3530</v>
      </c>
      <c r="G631" s="533" t="s">
        <v>3528</v>
      </c>
      <c r="H631" s="533" t="s">
        <v>3530</v>
      </c>
      <c r="I631" s="533" t="s">
        <v>3528</v>
      </c>
      <c r="J631" s="533" t="s">
        <v>3529</v>
      </c>
      <c r="K631" s="533" t="s">
        <v>1756</v>
      </c>
      <c r="L631" s="533" t="s">
        <v>2783</v>
      </c>
      <c r="M631" s="532" t="s">
        <v>1230</v>
      </c>
      <c r="N631" s="532" t="s">
        <v>1231</v>
      </c>
      <c r="O631" s="532" t="s">
        <v>1231</v>
      </c>
      <c r="P631" s="533" t="s">
        <v>469</v>
      </c>
      <c r="Q631" s="534">
        <v>44099</v>
      </c>
      <c r="R631" s="534">
        <v>44704</v>
      </c>
      <c r="S631" s="535">
        <v>1.5</v>
      </c>
      <c r="T631" s="535"/>
      <c r="U631" s="536">
        <v>8499889</v>
      </c>
      <c r="V631" s="536">
        <v>8499889</v>
      </c>
      <c r="W631" s="536">
        <v>0</v>
      </c>
      <c r="X631" s="536">
        <f t="shared" si="46"/>
        <v>-8499889</v>
      </c>
      <c r="Y631" s="536">
        <f t="shared" si="47"/>
        <v>-8499889</v>
      </c>
      <c r="Z631" s="536">
        <v>7522678.5199999996</v>
      </c>
      <c r="AA631" s="536">
        <v>7522678.5199999996</v>
      </c>
      <c r="AB631" s="536">
        <v>0</v>
      </c>
      <c r="AC631" s="536">
        <f t="shared" si="48"/>
        <v>-7522678.5199999996</v>
      </c>
      <c r="AD631" s="536">
        <f t="shared" si="49"/>
        <v>-7522678.5199999996</v>
      </c>
      <c r="AE631" s="536">
        <v>0</v>
      </c>
      <c r="AF631" s="536">
        <v>0</v>
      </c>
      <c r="AG631" s="537" t="s">
        <v>1245</v>
      </c>
      <c r="AH631" s="537" t="s">
        <v>1247</v>
      </c>
      <c r="AI631" s="537" t="s">
        <v>1248</v>
      </c>
      <c r="AJ631" s="537" t="s">
        <v>1246</v>
      </c>
      <c r="AK631" s="537" t="s">
        <v>1235</v>
      </c>
      <c r="AL631" s="5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row>
    <row r="632" spans="1:80" ht="18" customHeight="1" x14ac:dyDescent="0.25">
      <c r="A632" s="533">
        <f t="shared" si="45"/>
        <v>630</v>
      </c>
      <c r="B632" s="533" t="s">
        <v>3310</v>
      </c>
      <c r="C632" s="533">
        <v>2100000288</v>
      </c>
      <c r="D632" s="533" t="s">
        <v>5336</v>
      </c>
      <c r="E632" s="533" t="s">
        <v>1434</v>
      </c>
      <c r="F632" s="533" t="s">
        <v>3308</v>
      </c>
      <c r="G632" s="533" t="s">
        <v>3307</v>
      </c>
      <c r="H632" s="533" t="s">
        <v>2597</v>
      </c>
      <c r="I632" s="533" t="s">
        <v>3276</v>
      </c>
      <c r="J632" s="533" t="s">
        <v>3277</v>
      </c>
      <c r="K632" s="533" t="s">
        <v>1756</v>
      </c>
      <c r="L632" s="533" t="s">
        <v>2783</v>
      </c>
      <c r="M632" s="532" t="s">
        <v>1230</v>
      </c>
      <c r="N632" s="532" t="s">
        <v>1231</v>
      </c>
      <c r="O632" s="533" t="s">
        <v>1231</v>
      </c>
      <c r="P632" s="533" t="s">
        <v>469</v>
      </c>
      <c r="Q632" s="534">
        <v>44550</v>
      </c>
      <c r="R632" s="534">
        <v>44707</v>
      </c>
      <c r="S632" s="535">
        <v>1</v>
      </c>
      <c r="T632" s="535"/>
      <c r="U632" s="536">
        <v>667509</v>
      </c>
      <c r="V632" s="536">
        <v>667509</v>
      </c>
      <c r="W632" s="536">
        <v>0</v>
      </c>
      <c r="X632" s="536">
        <f t="shared" si="46"/>
        <v>-667509</v>
      </c>
      <c r="Y632" s="536">
        <f t="shared" si="47"/>
        <v>-667509</v>
      </c>
      <c r="Z632" s="536">
        <v>667509</v>
      </c>
      <c r="AA632" s="536">
        <v>667509</v>
      </c>
      <c r="AB632" s="536">
        <v>0</v>
      </c>
      <c r="AC632" s="536">
        <f t="shared" si="48"/>
        <v>-667509</v>
      </c>
      <c r="AD632" s="536">
        <f t="shared" si="49"/>
        <v>-667509</v>
      </c>
      <c r="AE632" s="536">
        <v>0</v>
      </c>
      <c r="AF632" s="536">
        <v>0</v>
      </c>
      <c r="AG632" s="537" t="s">
        <v>1245</v>
      </c>
      <c r="AH632" s="537" t="s">
        <v>1247</v>
      </c>
      <c r="AI632" s="537" t="s">
        <v>1269</v>
      </c>
      <c r="AJ632" s="537" t="s">
        <v>1246</v>
      </c>
      <c r="AK632" s="537" t="s">
        <v>1278</v>
      </c>
      <c r="AL632" s="531"/>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row>
    <row r="633" spans="1:80" ht="18" customHeight="1" x14ac:dyDescent="0.25">
      <c r="A633" s="533">
        <f t="shared" si="45"/>
        <v>631</v>
      </c>
      <c r="B633" s="533" t="s">
        <v>3300</v>
      </c>
      <c r="C633" s="533">
        <v>2100000216</v>
      </c>
      <c r="D633" s="533" t="s">
        <v>5337</v>
      </c>
      <c r="E633" s="533" t="s">
        <v>1434</v>
      </c>
      <c r="F633" s="533" t="s">
        <v>3298</v>
      </c>
      <c r="G633" s="533" t="s">
        <v>3297</v>
      </c>
      <c r="H633" s="533" t="s">
        <v>2597</v>
      </c>
      <c r="I633" s="533" t="s">
        <v>3276</v>
      </c>
      <c r="J633" s="533" t="s">
        <v>3277</v>
      </c>
      <c r="K633" s="533" t="s">
        <v>1756</v>
      </c>
      <c r="L633" s="533" t="s">
        <v>2783</v>
      </c>
      <c r="M633" s="532" t="s">
        <v>1230</v>
      </c>
      <c r="N633" s="532" t="s">
        <v>1231</v>
      </c>
      <c r="O633" s="533" t="s">
        <v>1231</v>
      </c>
      <c r="P633" s="533" t="s">
        <v>469</v>
      </c>
      <c r="Q633" s="534">
        <v>44357</v>
      </c>
      <c r="R633" s="534">
        <v>44707</v>
      </c>
      <c r="S633" s="535">
        <v>1</v>
      </c>
      <c r="T633" s="535"/>
      <c r="U633" s="536">
        <v>749431</v>
      </c>
      <c r="V633" s="536">
        <v>749431</v>
      </c>
      <c r="W633" s="536">
        <v>0</v>
      </c>
      <c r="X633" s="536">
        <f t="shared" si="46"/>
        <v>-749431</v>
      </c>
      <c r="Y633" s="536">
        <f t="shared" si="47"/>
        <v>-749431</v>
      </c>
      <c r="Z633" s="536">
        <v>749431</v>
      </c>
      <c r="AA633" s="536">
        <v>749431</v>
      </c>
      <c r="AB633" s="536">
        <v>0</v>
      </c>
      <c r="AC633" s="536">
        <f t="shared" si="48"/>
        <v>-749431</v>
      </c>
      <c r="AD633" s="536">
        <f t="shared" si="49"/>
        <v>-749431</v>
      </c>
      <c r="AE633" s="536">
        <v>0</v>
      </c>
      <c r="AF633" s="536">
        <v>0</v>
      </c>
      <c r="AG633" s="537" t="s">
        <v>1245</v>
      </c>
      <c r="AH633" s="537" t="s">
        <v>1247</v>
      </c>
      <c r="AI633" s="537" t="s">
        <v>1269</v>
      </c>
      <c r="AJ633" s="537" t="s">
        <v>1246</v>
      </c>
      <c r="AK633" s="537" t="s">
        <v>1278</v>
      </c>
      <c r="AL633" s="531"/>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row>
    <row r="634" spans="1:80" ht="18" customHeight="1" x14ac:dyDescent="0.25">
      <c r="A634" s="532">
        <f t="shared" si="45"/>
        <v>632</v>
      </c>
      <c r="B634" s="532" t="s">
        <v>4306</v>
      </c>
      <c r="C634" s="532">
        <v>1100000265</v>
      </c>
      <c r="D634" s="532" t="s">
        <v>5338</v>
      </c>
      <c r="E634" s="532" t="s">
        <v>1453</v>
      </c>
      <c r="F634" s="532" t="s">
        <v>1452</v>
      </c>
      <c r="G634" s="532" t="s">
        <v>3376</v>
      </c>
      <c r="H634" s="533" t="s">
        <v>4520</v>
      </c>
      <c r="I634" s="532" t="s">
        <v>3377</v>
      </c>
      <c r="J634" s="532" t="s">
        <v>3378</v>
      </c>
      <c r="K634" s="532" t="s">
        <v>1756</v>
      </c>
      <c r="L634" s="532" t="s">
        <v>2783</v>
      </c>
      <c r="M634" s="532" t="s">
        <v>1230</v>
      </c>
      <c r="N634" s="532" t="s">
        <v>1231</v>
      </c>
      <c r="O634" s="532" t="s">
        <v>1231</v>
      </c>
      <c r="P634" s="532" t="s">
        <v>1156</v>
      </c>
      <c r="Q634" s="534">
        <v>44561</v>
      </c>
      <c r="R634" s="534">
        <v>44687</v>
      </c>
      <c r="S634" s="535">
        <v>1</v>
      </c>
      <c r="T634" s="535"/>
      <c r="U634" s="536">
        <v>7928950</v>
      </c>
      <c r="V634" s="536">
        <v>0</v>
      </c>
      <c r="W634" s="536">
        <v>0</v>
      </c>
      <c r="X634" s="536">
        <f t="shared" si="46"/>
        <v>-7928950</v>
      </c>
      <c r="Y634" s="536">
        <f t="shared" si="47"/>
        <v>0</v>
      </c>
      <c r="Z634" s="536">
        <v>0</v>
      </c>
      <c r="AA634" s="536">
        <v>0</v>
      </c>
      <c r="AB634" s="536">
        <v>0</v>
      </c>
      <c r="AC634" s="536">
        <f t="shared" si="48"/>
        <v>0</v>
      </c>
      <c r="AD634" s="536">
        <f t="shared" si="49"/>
        <v>0</v>
      </c>
      <c r="AE634" s="536">
        <v>0</v>
      </c>
      <c r="AF634" s="536">
        <v>0</v>
      </c>
      <c r="AG634" s="537" t="s">
        <v>1237</v>
      </c>
      <c r="AH634" s="537" t="s">
        <v>614</v>
      </c>
      <c r="AI634" s="537" t="s">
        <v>1268</v>
      </c>
      <c r="AJ634" s="537" t="s">
        <v>614</v>
      </c>
      <c r="AK634" s="537" t="s">
        <v>1260</v>
      </c>
      <c r="AL634" s="531"/>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row>
    <row r="635" spans="1:80" ht="18" customHeight="1" x14ac:dyDescent="0.25">
      <c r="A635" s="532">
        <f t="shared" si="45"/>
        <v>633</v>
      </c>
      <c r="B635" s="532" t="s">
        <v>4275</v>
      </c>
      <c r="C635" s="532">
        <v>3100000127</v>
      </c>
      <c r="D635" s="532" t="s">
        <v>5339</v>
      </c>
      <c r="E635" s="532" t="s">
        <v>4273</v>
      </c>
      <c r="F635" s="532" t="s">
        <v>1823</v>
      </c>
      <c r="G635" s="532" t="s">
        <v>4271</v>
      </c>
      <c r="H635" s="533" t="s">
        <v>1823</v>
      </c>
      <c r="I635" s="532" t="s">
        <v>4271</v>
      </c>
      <c r="J635" s="532" t="s">
        <v>4272</v>
      </c>
      <c r="K635" s="532" t="s">
        <v>1756</v>
      </c>
      <c r="L635" s="532" t="s">
        <v>2783</v>
      </c>
      <c r="M635" s="532" t="s">
        <v>1230</v>
      </c>
      <c r="N635" s="532" t="s">
        <v>1231</v>
      </c>
      <c r="O635" s="532" t="s">
        <v>1232</v>
      </c>
      <c r="P635" s="532" t="s">
        <v>469</v>
      </c>
      <c r="Q635" s="534">
        <v>44547</v>
      </c>
      <c r="R635" s="534">
        <v>44687</v>
      </c>
      <c r="S635" s="535">
        <v>1</v>
      </c>
      <c r="T635" s="535"/>
      <c r="U635" s="536">
        <v>2965695</v>
      </c>
      <c r="V635" s="536">
        <v>0</v>
      </c>
      <c r="W635" s="536">
        <v>0</v>
      </c>
      <c r="X635" s="536">
        <f t="shared" si="46"/>
        <v>-2965695</v>
      </c>
      <c r="Y635" s="536">
        <f t="shared" si="47"/>
        <v>0</v>
      </c>
      <c r="Z635" s="536">
        <v>2965695</v>
      </c>
      <c r="AA635" s="536">
        <v>0</v>
      </c>
      <c r="AB635" s="536">
        <v>0</v>
      </c>
      <c r="AC635" s="536">
        <f t="shared" si="48"/>
        <v>-2965695</v>
      </c>
      <c r="AD635" s="536">
        <f t="shared" si="49"/>
        <v>0</v>
      </c>
      <c r="AE635" s="536">
        <v>0</v>
      </c>
      <c r="AF635" s="536">
        <v>0</v>
      </c>
      <c r="AG635" s="537" t="s">
        <v>1233</v>
      </c>
      <c r="AH635" s="537" t="s">
        <v>1379</v>
      </c>
      <c r="AI635" s="537"/>
      <c r="AJ635" s="537" t="s">
        <v>1234</v>
      </c>
      <c r="AK635" s="537" t="s">
        <v>1278</v>
      </c>
      <c r="AL635" s="531"/>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row>
    <row r="636" spans="1:80" ht="18" customHeight="1" x14ac:dyDescent="0.25">
      <c r="A636" s="532">
        <f t="shared" si="45"/>
        <v>634</v>
      </c>
      <c r="B636" s="532" t="s">
        <v>4130</v>
      </c>
      <c r="C636" s="532">
        <v>2100000257</v>
      </c>
      <c r="D636" s="532" t="s">
        <v>5340</v>
      </c>
      <c r="E636" s="532" t="s">
        <v>1302</v>
      </c>
      <c r="F636" s="532" t="s">
        <v>1301</v>
      </c>
      <c r="G636" s="532" t="s">
        <v>2903</v>
      </c>
      <c r="H636" s="533" t="s">
        <v>2553</v>
      </c>
      <c r="I636" s="532" t="s">
        <v>2904</v>
      </c>
      <c r="J636" s="532" t="s">
        <v>2905</v>
      </c>
      <c r="K636" s="532" t="s">
        <v>1756</v>
      </c>
      <c r="L636" s="532" t="s">
        <v>2783</v>
      </c>
      <c r="M636" s="532" t="s">
        <v>1230</v>
      </c>
      <c r="N636" s="532" t="s">
        <v>1231</v>
      </c>
      <c r="O636" s="532" t="s">
        <v>1231</v>
      </c>
      <c r="P636" s="532" t="s">
        <v>469</v>
      </c>
      <c r="Q636" s="534">
        <v>44435</v>
      </c>
      <c r="R636" s="534">
        <v>44691</v>
      </c>
      <c r="S636" s="535">
        <v>1.5</v>
      </c>
      <c r="T636" s="535"/>
      <c r="U636" s="536">
        <v>356919</v>
      </c>
      <c r="V636" s="536">
        <v>0</v>
      </c>
      <c r="W636" s="536">
        <v>0</v>
      </c>
      <c r="X636" s="536">
        <f t="shared" si="46"/>
        <v>-356919</v>
      </c>
      <c r="Y636" s="536">
        <f t="shared" si="47"/>
        <v>0</v>
      </c>
      <c r="Z636" s="536">
        <v>246280.43</v>
      </c>
      <c r="AA636" s="536">
        <v>0</v>
      </c>
      <c r="AB636" s="536">
        <v>0</v>
      </c>
      <c r="AC636" s="536">
        <f t="shared" si="48"/>
        <v>-246280.43</v>
      </c>
      <c r="AD636" s="536">
        <f t="shared" si="49"/>
        <v>0</v>
      </c>
      <c r="AE636" s="536">
        <v>0</v>
      </c>
      <c r="AF636" s="536">
        <v>0</v>
      </c>
      <c r="AG636" s="537" t="s">
        <v>1245</v>
      </c>
      <c r="AH636" s="537" t="s">
        <v>1247</v>
      </c>
      <c r="AI636" s="537" t="s">
        <v>1248</v>
      </c>
      <c r="AJ636" s="537" t="s">
        <v>1246</v>
      </c>
      <c r="AK636" s="537" t="s">
        <v>1235</v>
      </c>
      <c r="AL636" s="531"/>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row>
    <row r="637" spans="1:80" ht="18" customHeight="1" x14ac:dyDescent="0.25">
      <c r="A637" s="526">
        <f t="shared" si="45"/>
        <v>635</v>
      </c>
      <c r="B637" s="526" t="s">
        <v>4037</v>
      </c>
      <c r="C637" s="526">
        <v>5200000155</v>
      </c>
      <c r="D637" s="526" t="s">
        <v>5341</v>
      </c>
      <c r="E637" s="526" t="s">
        <v>1653</v>
      </c>
      <c r="F637" s="526" t="s">
        <v>2674</v>
      </c>
      <c r="G637" s="526" t="s">
        <v>4035</v>
      </c>
      <c r="H637" s="526" t="s">
        <v>2674</v>
      </c>
      <c r="I637" s="526" t="s">
        <v>4035</v>
      </c>
      <c r="J637" s="526" t="s">
        <v>4036</v>
      </c>
      <c r="K637" s="526" t="s">
        <v>1756</v>
      </c>
      <c r="L637" s="526" t="s">
        <v>1473</v>
      </c>
      <c r="M637" s="527" t="s">
        <v>1230</v>
      </c>
      <c r="N637" s="527" t="s">
        <v>1232</v>
      </c>
      <c r="O637" s="526" t="s">
        <v>1232</v>
      </c>
      <c r="P637" s="526" t="s">
        <v>469</v>
      </c>
      <c r="Q637" s="528">
        <v>44344</v>
      </c>
      <c r="R637" s="528">
        <v>44697</v>
      </c>
      <c r="S637" s="529">
        <v>1</v>
      </c>
      <c r="T637" s="529">
        <v>0.2</v>
      </c>
      <c r="U637" s="519">
        <v>275687.53999999998</v>
      </c>
      <c r="V637" s="519">
        <v>0</v>
      </c>
      <c r="W637" s="519">
        <v>0</v>
      </c>
      <c r="X637" s="519">
        <f t="shared" si="46"/>
        <v>-275687.53999999998</v>
      </c>
      <c r="Y637" s="519">
        <f t="shared" si="47"/>
        <v>0</v>
      </c>
      <c r="Z637" s="519">
        <v>275687.53999999998</v>
      </c>
      <c r="AA637" s="519">
        <v>0</v>
      </c>
      <c r="AB637" s="519">
        <v>0</v>
      </c>
      <c r="AC637" s="519">
        <f t="shared" si="48"/>
        <v>-275687.53999999998</v>
      </c>
      <c r="AD637" s="519">
        <f t="shared" si="49"/>
        <v>0</v>
      </c>
      <c r="AE637" s="519">
        <v>0</v>
      </c>
      <c r="AF637" s="519">
        <v>0</v>
      </c>
      <c r="AG637" s="530" t="s">
        <v>1288</v>
      </c>
      <c r="AH637" s="530" t="s">
        <v>1252</v>
      </c>
      <c r="AI637" s="530" t="s">
        <v>1248</v>
      </c>
      <c r="AJ637" s="530" t="s">
        <v>1234</v>
      </c>
      <c r="AK637" s="530" t="s">
        <v>1278</v>
      </c>
      <c r="AL637" s="531"/>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row>
    <row r="638" spans="1:80" ht="18" customHeight="1" x14ac:dyDescent="0.25">
      <c r="A638" s="532">
        <f t="shared" si="45"/>
        <v>636</v>
      </c>
      <c r="B638" s="532" t="s">
        <v>4015</v>
      </c>
      <c r="C638" s="532">
        <v>2200000187</v>
      </c>
      <c r="D638" s="532" t="s">
        <v>5342</v>
      </c>
      <c r="E638" s="532" t="s">
        <v>1427</v>
      </c>
      <c r="F638" s="532" t="s">
        <v>1426</v>
      </c>
      <c r="G638" s="532" t="s">
        <v>3259</v>
      </c>
      <c r="H638" s="533" t="s">
        <v>1426</v>
      </c>
      <c r="I638" s="532" t="s">
        <v>3259</v>
      </c>
      <c r="J638" s="532" t="s">
        <v>3260</v>
      </c>
      <c r="K638" s="532" t="s">
        <v>1756</v>
      </c>
      <c r="L638" s="532" t="s">
        <v>1473</v>
      </c>
      <c r="M638" s="532" t="s">
        <v>1307</v>
      </c>
      <c r="N638" s="532" t="s">
        <v>1231</v>
      </c>
      <c r="O638" s="532" t="s">
        <v>1231</v>
      </c>
      <c r="P638" s="532" t="s">
        <v>469</v>
      </c>
      <c r="Q638" s="534">
        <v>44344</v>
      </c>
      <c r="R638" s="534">
        <v>44684</v>
      </c>
      <c r="S638" s="535">
        <v>1.5</v>
      </c>
      <c r="T638" s="535">
        <v>0.3</v>
      </c>
      <c r="U638" s="536">
        <v>2320000</v>
      </c>
      <c r="V638" s="536">
        <v>0</v>
      </c>
      <c r="W638" s="536">
        <v>0</v>
      </c>
      <c r="X638" s="536">
        <f t="shared" si="46"/>
        <v>-2320000</v>
      </c>
      <c r="Y638" s="536">
        <f t="shared" si="47"/>
        <v>0</v>
      </c>
      <c r="Z638" s="536">
        <v>2320000</v>
      </c>
      <c r="AA638" s="536">
        <v>0</v>
      </c>
      <c r="AB638" s="536">
        <v>0</v>
      </c>
      <c r="AC638" s="536">
        <f t="shared" si="48"/>
        <v>-2320000</v>
      </c>
      <c r="AD638" s="536">
        <f t="shared" si="49"/>
        <v>0</v>
      </c>
      <c r="AE638" s="536">
        <v>0</v>
      </c>
      <c r="AF638" s="536">
        <v>0</v>
      </c>
      <c r="AG638" s="537" t="s">
        <v>1245</v>
      </c>
      <c r="AH638" s="537" t="s">
        <v>1247</v>
      </c>
      <c r="AI638" s="537" t="s">
        <v>1248</v>
      </c>
      <c r="AJ638" s="537" t="s">
        <v>1246</v>
      </c>
      <c r="AK638" s="537" t="s">
        <v>1235</v>
      </c>
      <c r="AL638" s="531"/>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row>
    <row r="639" spans="1:80" ht="18" customHeight="1" x14ac:dyDescent="0.25">
      <c r="A639" s="533">
        <f t="shared" si="45"/>
        <v>637</v>
      </c>
      <c r="B639" s="533" t="s">
        <v>3932</v>
      </c>
      <c r="C639" s="533">
        <v>2200000186</v>
      </c>
      <c r="D639" s="533" t="s">
        <v>5343</v>
      </c>
      <c r="E639" s="533" t="s">
        <v>1625</v>
      </c>
      <c r="F639" s="533" t="s">
        <v>3931</v>
      </c>
      <c r="G639" s="533" t="s">
        <v>3928</v>
      </c>
      <c r="H639" s="533" t="s">
        <v>2653</v>
      </c>
      <c r="I639" s="533" t="s">
        <v>3929</v>
      </c>
      <c r="J639" s="533" t="s">
        <v>3930</v>
      </c>
      <c r="K639" s="533" t="s">
        <v>1756</v>
      </c>
      <c r="L639" s="533" t="s">
        <v>1473</v>
      </c>
      <c r="M639" s="532" t="s">
        <v>1230</v>
      </c>
      <c r="N639" s="532" t="s">
        <v>1231</v>
      </c>
      <c r="O639" s="533" t="s">
        <v>1232</v>
      </c>
      <c r="P639" s="533" t="s">
        <v>469</v>
      </c>
      <c r="Q639" s="534">
        <v>44336</v>
      </c>
      <c r="R639" s="534">
        <v>44692</v>
      </c>
      <c r="S639" s="535">
        <v>1.5</v>
      </c>
      <c r="T639" s="535">
        <v>0.3</v>
      </c>
      <c r="U639" s="536">
        <v>307445</v>
      </c>
      <c r="V639" s="536">
        <v>0</v>
      </c>
      <c r="W639" s="536">
        <v>0</v>
      </c>
      <c r="X639" s="536">
        <f t="shared" si="46"/>
        <v>-307445</v>
      </c>
      <c r="Y639" s="536">
        <f t="shared" si="47"/>
        <v>0</v>
      </c>
      <c r="Z639" s="536">
        <v>233984.38</v>
      </c>
      <c r="AA639" s="536">
        <v>0</v>
      </c>
      <c r="AB639" s="536">
        <v>0</v>
      </c>
      <c r="AC639" s="536">
        <f t="shared" si="48"/>
        <v>-233984.38</v>
      </c>
      <c r="AD639" s="536">
        <f t="shared" si="49"/>
        <v>0</v>
      </c>
      <c r="AE639" s="536">
        <v>0</v>
      </c>
      <c r="AF639" s="536">
        <v>0</v>
      </c>
      <c r="AG639" s="537" t="s">
        <v>1245</v>
      </c>
      <c r="AH639" s="537" t="s">
        <v>1247</v>
      </c>
      <c r="AI639" s="537" t="s">
        <v>1248</v>
      </c>
      <c r="AJ639" s="537" t="s">
        <v>1246</v>
      </c>
      <c r="AK639" s="537" t="s">
        <v>1235</v>
      </c>
      <c r="AL639" s="531"/>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row>
    <row r="640" spans="1:80" ht="18" customHeight="1" x14ac:dyDescent="0.25">
      <c r="A640" s="533">
        <f t="shared" si="45"/>
        <v>638</v>
      </c>
      <c r="B640" s="533" t="s">
        <v>3933</v>
      </c>
      <c r="C640" s="533">
        <v>2200000185</v>
      </c>
      <c r="D640" s="533" t="s">
        <v>5344</v>
      </c>
      <c r="E640" s="533" t="s">
        <v>1625</v>
      </c>
      <c r="F640" s="533" t="s">
        <v>3931</v>
      </c>
      <c r="G640" s="533" t="s">
        <v>3928</v>
      </c>
      <c r="H640" s="533" t="s">
        <v>2653</v>
      </c>
      <c r="I640" s="533" t="s">
        <v>3929</v>
      </c>
      <c r="J640" s="533" t="s">
        <v>3930</v>
      </c>
      <c r="K640" s="533" t="s">
        <v>1756</v>
      </c>
      <c r="L640" s="533" t="s">
        <v>1473</v>
      </c>
      <c r="M640" s="532" t="s">
        <v>1230</v>
      </c>
      <c r="N640" s="532" t="s">
        <v>1231</v>
      </c>
      <c r="O640" s="533" t="s">
        <v>1232</v>
      </c>
      <c r="P640" s="533" t="s">
        <v>469</v>
      </c>
      <c r="Q640" s="534">
        <v>44336</v>
      </c>
      <c r="R640" s="534">
        <v>44692</v>
      </c>
      <c r="S640" s="535">
        <v>1.5</v>
      </c>
      <c r="T640" s="535">
        <v>0.3</v>
      </c>
      <c r="U640" s="536">
        <v>450368.96</v>
      </c>
      <c r="V640" s="536">
        <v>0</v>
      </c>
      <c r="W640" s="536">
        <v>0</v>
      </c>
      <c r="X640" s="536">
        <f t="shared" si="46"/>
        <v>-450368.96</v>
      </c>
      <c r="Y640" s="536">
        <f t="shared" si="47"/>
        <v>0</v>
      </c>
      <c r="Z640" s="536">
        <v>450368.96</v>
      </c>
      <c r="AA640" s="536">
        <v>0</v>
      </c>
      <c r="AB640" s="536">
        <v>0</v>
      </c>
      <c r="AC640" s="536">
        <f t="shared" si="48"/>
        <v>-450368.96</v>
      </c>
      <c r="AD640" s="536">
        <f t="shared" si="49"/>
        <v>0</v>
      </c>
      <c r="AE640" s="536">
        <v>0</v>
      </c>
      <c r="AF640" s="536">
        <v>0</v>
      </c>
      <c r="AG640" s="537" t="s">
        <v>1245</v>
      </c>
      <c r="AH640" s="537" t="s">
        <v>1247</v>
      </c>
      <c r="AI640" s="537" t="s">
        <v>1248</v>
      </c>
      <c r="AJ640" s="537" t="s">
        <v>1246</v>
      </c>
      <c r="AK640" s="537" t="s">
        <v>1235</v>
      </c>
      <c r="AL640" s="531"/>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row>
    <row r="641" spans="1:80" ht="18" customHeight="1" x14ac:dyDescent="0.25">
      <c r="A641" s="526">
        <f t="shared" si="45"/>
        <v>639</v>
      </c>
      <c r="B641" s="526" t="s">
        <v>3812</v>
      </c>
      <c r="C641" s="526">
        <v>6100000103</v>
      </c>
      <c r="D641" s="526" t="s">
        <v>5345</v>
      </c>
      <c r="E641" s="526" t="s">
        <v>1581</v>
      </c>
      <c r="F641" s="526" t="s">
        <v>1580</v>
      </c>
      <c r="G641" s="526" t="s">
        <v>3810</v>
      </c>
      <c r="H641" s="526" t="s">
        <v>1580</v>
      </c>
      <c r="I641" s="526" t="s">
        <v>3810</v>
      </c>
      <c r="J641" s="526" t="s">
        <v>3811</v>
      </c>
      <c r="K641" s="526" t="s">
        <v>1756</v>
      </c>
      <c r="L641" s="526" t="s">
        <v>2783</v>
      </c>
      <c r="M641" s="527" t="s">
        <v>1230</v>
      </c>
      <c r="N641" s="527" t="s">
        <v>1232</v>
      </c>
      <c r="O641" s="526" t="s">
        <v>1232</v>
      </c>
      <c r="P641" s="526" t="s">
        <v>469</v>
      </c>
      <c r="Q641" s="528">
        <v>44286</v>
      </c>
      <c r="R641" s="528">
        <v>44684</v>
      </c>
      <c r="S641" s="529">
        <v>1</v>
      </c>
      <c r="T641" s="529"/>
      <c r="U641" s="519">
        <v>10216000</v>
      </c>
      <c r="V641" s="519">
        <v>0</v>
      </c>
      <c r="W641" s="519">
        <v>0</v>
      </c>
      <c r="X641" s="519">
        <f t="shared" si="46"/>
        <v>-10216000</v>
      </c>
      <c r="Y641" s="519">
        <f t="shared" si="47"/>
        <v>0</v>
      </c>
      <c r="Z641" s="519">
        <v>10216000</v>
      </c>
      <c r="AA641" s="519">
        <v>0</v>
      </c>
      <c r="AB641" s="519">
        <v>0</v>
      </c>
      <c r="AC641" s="519">
        <f t="shared" si="48"/>
        <v>-10216000</v>
      </c>
      <c r="AD641" s="519">
        <f t="shared" si="49"/>
        <v>0</v>
      </c>
      <c r="AE641" s="519">
        <v>0</v>
      </c>
      <c r="AF641" s="519">
        <v>0</v>
      </c>
      <c r="AG641" s="530" t="s">
        <v>1888</v>
      </c>
      <c r="AH641" s="530" t="s">
        <v>1888</v>
      </c>
      <c r="AI641" s="530" t="s">
        <v>1342</v>
      </c>
      <c r="AJ641" s="530" t="s">
        <v>1234</v>
      </c>
      <c r="AK641" s="530" t="s">
        <v>1240</v>
      </c>
      <c r="AL641" s="53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row>
    <row r="642" spans="1:80" ht="18" customHeight="1" x14ac:dyDescent="0.25">
      <c r="A642" s="532">
        <f t="shared" si="45"/>
        <v>640</v>
      </c>
      <c r="B642" s="532" t="s">
        <v>3627</v>
      </c>
      <c r="C642" s="532">
        <v>5200000114</v>
      </c>
      <c r="D642" s="532" t="s">
        <v>5346</v>
      </c>
      <c r="E642" s="532" t="s">
        <v>1520</v>
      </c>
      <c r="F642" s="532" t="s">
        <v>3626</v>
      </c>
      <c r="G642" s="532" t="s">
        <v>3624</v>
      </c>
      <c r="H642" s="533" t="s">
        <v>2601</v>
      </c>
      <c r="I642" s="532" t="s">
        <v>3347</v>
      </c>
      <c r="J642" s="532" t="s">
        <v>3625</v>
      </c>
      <c r="K642" s="532" t="s">
        <v>1756</v>
      </c>
      <c r="L642" s="532" t="s">
        <v>1473</v>
      </c>
      <c r="M642" s="532" t="s">
        <v>1230</v>
      </c>
      <c r="N642" s="532" t="s">
        <v>1231</v>
      </c>
      <c r="O642" s="532" t="s">
        <v>1232</v>
      </c>
      <c r="P642" s="532" t="s">
        <v>469</v>
      </c>
      <c r="Q642" s="534">
        <v>44176</v>
      </c>
      <c r="R642" s="534">
        <v>44687</v>
      </c>
      <c r="S642" s="535">
        <v>1</v>
      </c>
      <c r="T642" s="535">
        <v>0.2</v>
      </c>
      <c r="U642" s="536">
        <v>1962024.13</v>
      </c>
      <c r="V642" s="536">
        <v>0</v>
      </c>
      <c r="W642" s="536">
        <v>0</v>
      </c>
      <c r="X642" s="536">
        <f t="shared" si="46"/>
        <v>-1962024.13</v>
      </c>
      <c r="Y642" s="536">
        <f t="shared" si="47"/>
        <v>0</v>
      </c>
      <c r="Z642" s="536">
        <v>1962024.13</v>
      </c>
      <c r="AA642" s="536">
        <v>0</v>
      </c>
      <c r="AB642" s="536">
        <v>0</v>
      </c>
      <c r="AC642" s="536">
        <f t="shared" si="48"/>
        <v>-1962024.13</v>
      </c>
      <c r="AD642" s="536">
        <f t="shared" si="49"/>
        <v>0</v>
      </c>
      <c r="AE642" s="536">
        <v>0</v>
      </c>
      <c r="AF642" s="536">
        <v>0</v>
      </c>
      <c r="AG642" s="537" t="s">
        <v>1288</v>
      </c>
      <c r="AH642" s="537" t="s">
        <v>1252</v>
      </c>
      <c r="AI642" s="537" t="s">
        <v>1248</v>
      </c>
      <c r="AJ642" s="537" t="s">
        <v>1234</v>
      </c>
      <c r="AK642" s="537" t="s">
        <v>1278</v>
      </c>
      <c r="AL642" s="531"/>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row>
    <row r="643" spans="1:80" ht="18" customHeight="1" x14ac:dyDescent="0.25">
      <c r="A643" s="532">
        <f t="shared" si="45"/>
        <v>641</v>
      </c>
      <c r="B643" s="532" t="s">
        <v>3592</v>
      </c>
      <c r="C643" s="532">
        <v>2100000102</v>
      </c>
      <c r="D643" s="532" t="s">
        <v>5347</v>
      </c>
      <c r="E643" s="533" t="s">
        <v>1511</v>
      </c>
      <c r="F643" s="532" t="s">
        <v>3591</v>
      </c>
      <c r="G643" s="532" t="s">
        <v>3588</v>
      </c>
      <c r="H643" s="532" t="s">
        <v>2624</v>
      </c>
      <c r="I643" s="532" t="s">
        <v>3589</v>
      </c>
      <c r="J643" s="532" t="s">
        <v>3590</v>
      </c>
      <c r="K643" s="532" t="s">
        <v>1756</v>
      </c>
      <c r="L643" s="532" t="s">
        <v>2783</v>
      </c>
      <c r="M643" s="532" t="s">
        <v>1230</v>
      </c>
      <c r="N643" s="532" t="s">
        <v>1231</v>
      </c>
      <c r="O643" s="532" t="s">
        <v>1232</v>
      </c>
      <c r="P643" s="532" t="s">
        <v>469</v>
      </c>
      <c r="Q643" s="534">
        <v>44134</v>
      </c>
      <c r="R643" s="534">
        <v>44694</v>
      </c>
      <c r="S643" s="535">
        <v>1.5</v>
      </c>
      <c r="T643" s="535"/>
      <c r="U643" s="536">
        <v>1777196</v>
      </c>
      <c r="V643" s="536">
        <v>0</v>
      </c>
      <c r="W643" s="536">
        <v>0</v>
      </c>
      <c r="X643" s="536">
        <f t="shared" si="46"/>
        <v>-1777196</v>
      </c>
      <c r="Y643" s="536">
        <f t="shared" si="47"/>
        <v>0</v>
      </c>
      <c r="Z643" s="536">
        <v>1492393.15</v>
      </c>
      <c r="AA643" s="536">
        <v>0</v>
      </c>
      <c r="AB643" s="536">
        <v>0</v>
      </c>
      <c r="AC643" s="536">
        <f t="shared" si="48"/>
        <v>-1492393.15</v>
      </c>
      <c r="AD643" s="536">
        <f t="shared" si="49"/>
        <v>0</v>
      </c>
      <c r="AE643" s="536">
        <v>0</v>
      </c>
      <c r="AF643" s="536">
        <v>0</v>
      </c>
      <c r="AG643" s="538" t="s">
        <v>1245</v>
      </c>
      <c r="AH643" s="538" t="s">
        <v>1247</v>
      </c>
      <c r="AI643" s="538" t="s">
        <v>1248</v>
      </c>
      <c r="AJ643" s="538" t="s">
        <v>1246</v>
      </c>
      <c r="AK643" s="538" t="s">
        <v>1235</v>
      </c>
      <c r="AL643" s="531"/>
    </row>
    <row r="644" spans="1:80" ht="18" customHeight="1" x14ac:dyDescent="0.25">
      <c r="A644" s="526">
        <f t="shared" ref="A644:A651" si="50">A643+1</f>
        <v>642</v>
      </c>
      <c r="B644" s="526" t="s">
        <v>3554</v>
      </c>
      <c r="C644" s="526">
        <v>2200000102</v>
      </c>
      <c r="D644" s="526" t="s">
        <v>5348</v>
      </c>
      <c r="E644" s="526" t="s">
        <v>1502</v>
      </c>
      <c r="F644" s="526" t="s">
        <v>3553</v>
      </c>
      <c r="G644" s="526" t="s">
        <v>3551</v>
      </c>
      <c r="H644" s="526" t="s">
        <v>3553</v>
      </c>
      <c r="I644" s="526" t="s">
        <v>3551</v>
      </c>
      <c r="J644" s="526" t="s">
        <v>3552</v>
      </c>
      <c r="K644" s="526" t="s">
        <v>1756</v>
      </c>
      <c r="L644" s="526" t="s">
        <v>1473</v>
      </c>
      <c r="M644" s="527" t="s">
        <v>1230</v>
      </c>
      <c r="N644" s="527" t="s">
        <v>1232</v>
      </c>
      <c r="O644" s="527" t="s">
        <v>1232</v>
      </c>
      <c r="P644" s="526" t="s">
        <v>469</v>
      </c>
      <c r="Q644" s="528">
        <v>44117</v>
      </c>
      <c r="R644" s="528">
        <v>44690</v>
      </c>
      <c r="S644" s="539">
        <v>1.5</v>
      </c>
      <c r="T644" s="539">
        <v>0.3</v>
      </c>
      <c r="U644" s="519">
        <v>1446097</v>
      </c>
      <c r="V644" s="519">
        <v>0</v>
      </c>
      <c r="W644" s="519">
        <v>0</v>
      </c>
      <c r="X644" s="519">
        <f t="shared" si="46"/>
        <v>-1446097</v>
      </c>
      <c r="Y644" s="519">
        <f t="shared" si="47"/>
        <v>0</v>
      </c>
      <c r="Z644" s="519">
        <v>1314560.3400000001</v>
      </c>
      <c r="AA644" s="519">
        <v>0</v>
      </c>
      <c r="AB644" s="519">
        <v>0</v>
      </c>
      <c r="AC644" s="519">
        <f t="shared" si="48"/>
        <v>-1314560.3400000001</v>
      </c>
      <c r="AD644" s="519">
        <f t="shared" si="49"/>
        <v>0</v>
      </c>
      <c r="AE644" s="519">
        <v>0</v>
      </c>
      <c r="AF644" s="519">
        <v>0</v>
      </c>
      <c r="AG644" s="530" t="s">
        <v>1245</v>
      </c>
      <c r="AH644" s="530" t="s">
        <v>1247</v>
      </c>
      <c r="AI644" s="530" t="s">
        <v>1248</v>
      </c>
      <c r="AJ644" s="530" t="s">
        <v>1246</v>
      </c>
      <c r="AK644" s="530" t="s">
        <v>1235</v>
      </c>
      <c r="AL644" s="531"/>
    </row>
    <row r="645" spans="1:80" ht="18" customHeight="1" x14ac:dyDescent="0.25">
      <c r="A645" s="533">
        <f t="shared" si="50"/>
        <v>643</v>
      </c>
      <c r="B645" s="533" t="s">
        <v>3477</v>
      </c>
      <c r="C645" s="533">
        <v>2200000002</v>
      </c>
      <c r="D645" s="533" t="s">
        <v>5349</v>
      </c>
      <c r="E645" s="533" t="s">
        <v>1484</v>
      </c>
      <c r="F645" s="533" t="s">
        <v>3476</v>
      </c>
      <c r="G645" s="533" t="s">
        <v>3473</v>
      </c>
      <c r="H645" s="533" t="s">
        <v>2614</v>
      </c>
      <c r="I645" s="533" t="s">
        <v>3474</v>
      </c>
      <c r="J645" s="533" t="s">
        <v>3475</v>
      </c>
      <c r="K645" s="533" t="s">
        <v>1756</v>
      </c>
      <c r="L645" s="533" t="s">
        <v>1473</v>
      </c>
      <c r="M645" s="532" t="s">
        <v>1230</v>
      </c>
      <c r="N645" s="532" t="s">
        <v>1231</v>
      </c>
      <c r="O645" s="532" t="s">
        <v>1231</v>
      </c>
      <c r="P645" s="533" t="s">
        <v>469</v>
      </c>
      <c r="Q645" s="534">
        <v>44043</v>
      </c>
      <c r="R645" s="534">
        <v>44701</v>
      </c>
      <c r="S645" s="535">
        <v>1.5</v>
      </c>
      <c r="T645" s="535">
        <v>0.3</v>
      </c>
      <c r="U645" s="536">
        <v>794489</v>
      </c>
      <c r="V645" s="536">
        <v>0</v>
      </c>
      <c r="W645" s="536">
        <v>0</v>
      </c>
      <c r="X645" s="536">
        <f t="shared" si="46"/>
        <v>-794489</v>
      </c>
      <c r="Y645" s="536">
        <f t="shared" si="47"/>
        <v>0</v>
      </c>
      <c r="Z645" s="536">
        <v>746719.21</v>
      </c>
      <c r="AA645" s="536">
        <v>0</v>
      </c>
      <c r="AB645" s="536">
        <v>0</v>
      </c>
      <c r="AC645" s="536">
        <f t="shared" si="48"/>
        <v>-746719.21</v>
      </c>
      <c r="AD645" s="536">
        <f t="shared" si="49"/>
        <v>0</v>
      </c>
      <c r="AE645" s="536">
        <v>0</v>
      </c>
      <c r="AF645" s="536">
        <v>0</v>
      </c>
      <c r="AG645" s="537" t="s">
        <v>1245</v>
      </c>
      <c r="AH645" s="537" t="s">
        <v>1247</v>
      </c>
      <c r="AI645" s="537" t="s">
        <v>1248</v>
      </c>
      <c r="AJ645" s="537" t="s">
        <v>1246</v>
      </c>
      <c r="AK645" s="537" t="s">
        <v>1235</v>
      </c>
      <c r="AL645" s="531"/>
    </row>
    <row r="646" spans="1:80" ht="18" customHeight="1" x14ac:dyDescent="0.25">
      <c r="A646" s="533">
        <f t="shared" si="50"/>
        <v>644</v>
      </c>
      <c r="B646" s="533" t="s">
        <v>3449</v>
      </c>
      <c r="C646" s="533">
        <v>2200000184</v>
      </c>
      <c r="D646" s="533" t="s">
        <v>5350</v>
      </c>
      <c r="E646" s="533" t="s">
        <v>1302</v>
      </c>
      <c r="F646" s="533" t="s">
        <v>1301</v>
      </c>
      <c r="G646" s="533" t="s">
        <v>2903</v>
      </c>
      <c r="H646" s="533" t="s">
        <v>2553</v>
      </c>
      <c r="I646" s="533" t="s">
        <v>2904</v>
      </c>
      <c r="J646" s="533" t="s">
        <v>2905</v>
      </c>
      <c r="K646" s="533" t="s">
        <v>1756</v>
      </c>
      <c r="L646" s="533" t="s">
        <v>1473</v>
      </c>
      <c r="M646" s="532" t="s">
        <v>1230</v>
      </c>
      <c r="N646" s="532" t="s">
        <v>1231</v>
      </c>
      <c r="O646" s="533" t="s">
        <v>1232</v>
      </c>
      <c r="P646" s="533" t="s">
        <v>469</v>
      </c>
      <c r="Q646" s="534">
        <v>44008</v>
      </c>
      <c r="R646" s="534">
        <v>44690</v>
      </c>
      <c r="S646" s="535">
        <v>1.5</v>
      </c>
      <c r="T646" s="535">
        <v>0.3</v>
      </c>
      <c r="U646" s="536">
        <v>285674.5</v>
      </c>
      <c r="V646" s="536">
        <v>0</v>
      </c>
      <c r="W646" s="536">
        <v>0</v>
      </c>
      <c r="X646" s="536">
        <f t="shared" si="46"/>
        <v>-285674.5</v>
      </c>
      <c r="Y646" s="536">
        <f t="shared" si="47"/>
        <v>0</v>
      </c>
      <c r="Z646" s="536">
        <v>285674.5</v>
      </c>
      <c r="AA646" s="536">
        <v>0</v>
      </c>
      <c r="AB646" s="536">
        <v>0</v>
      </c>
      <c r="AC646" s="536">
        <f t="shared" si="48"/>
        <v>-285674.5</v>
      </c>
      <c r="AD646" s="536">
        <f t="shared" si="49"/>
        <v>0</v>
      </c>
      <c r="AE646" s="536">
        <v>0</v>
      </c>
      <c r="AF646" s="536">
        <v>0</v>
      </c>
      <c r="AG646" s="537" t="s">
        <v>1245</v>
      </c>
      <c r="AH646" s="537" t="s">
        <v>1247</v>
      </c>
      <c r="AI646" s="537" t="s">
        <v>1248</v>
      </c>
      <c r="AJ646" s="537" t="s">
        <v>1246</v>
      </c>
      <c r="AK646" s="537" t="s">
        <v>1235</v>
      </c>
      <c r="AL646" s="531"/>
    </row>
    <row r="647" spans="1:80" ht="18" customHeight="1" x14ac:dyDescent="0.25">
      <c r="A647" s="533">
        <f t="shared" si="50"/>
        <v>645</v>
      </c>
      <c r="B647" s="533" t="s">
        <v>3261</v>
      </c>
      <c r="C647" s="533">
        <v>2100000212</v>
      </c>
      <c r="D647" s="533" t="s">
        <v>5351</v>
      </c>
      <c r="E647" s="533" t="s">
        <v>1427</v>
      </c>
      <c r="F647" s="533" t="s">
        <v>1426</v>
      </c>
      <c r="G647" s="533" t="s">
        <v>3259</v>
      </c>
      <c r="H647" s="533" t="s">
        <v>1426</v>
      </c>
      <c r="I647" s="533" t="s">
        <v>3259</v>
      </c>
      <c r="J647" s="533" t="s">
        <v>3260</v>
      </c>
      <c r="K647" s="533" t="s">
        <v>1756</v>
      </c>
      <c r="L647" s="533" t="s">
        <v>2783</v>
      </c>
      <c r="M647" s="532" t="s">
        <v>1307</v>
      </c>
      <c r="N647" s="532" t="s">
        <v>1231</v>
      </c>
      <c r="O647" s="533" t="s">
        <v>1231</v>
      </c>
      <c r="P647" s="533" t="s">
        <v>469</v>
      </c>
      <c r="Q647" s="534">
        <v>43798</v>
      </c>
      <c r="R647" s="534">
        <v>44684</v>
      </c>
      <c r="S647" s="535">
        <v>1.5</v>
      </c>
      <c r="T647" s="535"/>
      <c r="U647" s="536">
        <v>6726596.8799999999</v>
      </c>
      <c r="V647" s="536">
        <v>0</v>
      </c>
      <c r="W647" s="536">
        <v>0</v>
      </c>
      <c r="X647" s="536">
        <f t="shared" si="46"/>
        <v>-6726596.8799999999</v>
      </c>
      <c r="Y647" s="536">
        <f t="shared" si="47"/>
        <v>0</v>
      </c>
      <c r="Z647" s="536">
        <v>6038893.21</v>
      </c>
      <c r="AA647" s="536">
        <v>0</v>
      </c>
      <c r="AB647" s="536">
        <v>0</v>
      </c>
      <c r="AC647" s="536">
        <f t="shared" si="48"/>
        <v>-6038893.21</v>
      </c>
      <c r="AD647" s="536">
        <f t="shared" si="49"/>
        <v>0</v>
      </c>
      <c r="AE647" s="536">
        <v>0</v>
      </c>
      <c r="AF647" s="536">
        <v>0</v>
      </c>
      <c r="AG647" s="537" t="s">
        <v>1245</v>
      </c>
      <c r="AH647" s="537" t="s">
        <v>1247</v>
      </c>
      <c r="AI647" s="537" t="s">
        <v>1248</v>
      </c>
      <c r="AJ647" s="537" t="s">
        <v>1246</v>
      </c>
      <c r="AK647" s="537" t="s">
        <v>1235</v>
      </c>
      <c r="AL647" s="531"/>
    </row>
    <row r="648" spans="1:80" ht="18" customHeight="1" x14ac:dyDescent="0.25">
      <c r="A648" s="533">
        <f t="shared" si="50"/>
        <v>646</v>
      </c>
      <c r="B648" s="533" t="s">
        <v>3130</v>
      </c>
      <c r="C648" s="533">
        <v>5100000135</v>
      </c>
      <c r="D648" s="533" t="s">
        <v>5352</v>
      </c>
      <c r="E648" s="533" t="s">
        <v>3128</v>
      </c>
      <c r="F648" s="533" t="s">
        <v>3129</v>
      </c>
      <c r="G648" s="533" t="s">
        <v>3125</v>
      </c>
      <c r="H648" s="533" t="s">
        <v>2583</v>
      </c>
      <c r="I648" s="533" t="s">
        <v>3126</v>
      </c>
      <c r="J648" s="533" t="s">
        <v>3127</v>
      </c>
      <c r="K648" s="533" t="s">
        <v>1756</v>
      </c>
      <c r="L648" s="533" t="s">
        <v>2783</v>
      </c>
      <c r="M648" s="532" t="s">
        <v>1230</v>
      </c>
      <c r="N648" s="532" t="s">
        <v>1231</v>
      </c>
      <c r="O648" s="533" t="s">
        <v>1232</v>
      </c>
      <c r="P648" s="533" t="s">
        <v>469</v>
      </c>
      <c r="Q648" s="534">
        <v>43616</v>
      </c>
      <c r="R648" s="534">
        <v>44691</v>
      </c>
      <c r="S648" s="535">
        <v>1</v>
      </c>
      <c r="T648" s="535"/>
      <c r="U648" s="536">
        <v>0</v>
      </c>
      <c r="V648" s="536">
        <v>0</v>
      </c>
      <c r="W648" s="536">
        <v>0</v>
      </c>
      <c r="X648" s="536">
        <f t="shared" ref="X648:X651" si="51">W648-U648</f>
        <v>0</v>
      </c>
      <c r="Y648" s="536">
        <f t="shared" ref="Y648:Y651" si="52">W648-V648</f>
        <v>0</v>
      </c>
      <c r="Z648" s="536">
        <v>0</v>
      </c>
      <c r="AA648" s="536">
        <v>0</v>
      </c>
      <c r="AB648" s="536">
        <v>0</v>
      </c>
      <c r="AC648" s="536">
        <f t="shared" ref="AC648:AC651" si="53">AB648-Z648</f>
        <v>0</v>
      </c>
      <c r="AD648" s="536">
        <f t="shared" ref="AD648:AD651" si="54">AB648-AA648</f>
        <v>0</v>
      </c>
      <c r="AE648" s="536">
        <v>0</v>
      </c>
      <c r="AF648" s="536">
        <v>0</v>
      </c>
      <c r="AG648" s="537" t="s">
        <v>1288</v>
      </c>
      <c r="AH648" s="537" t="s">
        <v>1379</v>
      </c>
      <c r="AI648" s="537"/>
      <c r="AJ648" s="537" t="s">
        <v>1234</v>
      </c>
      <c r="AK648" s="537" t="s">
        <v>1278</v>
      </c>
      <c r="AL648" s="531"/>
    </row>
    <row r="649" spans="1:80" ht="18" customHeight="1" x14ac:dyDescent="0.25">
      <c r="A649" s="533">
        <f t="shared" si="50"/>
        <v>647</v>
      </c>
      <c r="B649" s="533" t="s">
        <v>2940</v>
      </c>
      <c r="C649" s="533">
        <v>2100000225</v>
      </c>
      <c r="D649" s="533" t="s">
        <v>5353</v>
      </c>
      <c r="E649" s="533" t="s">
        <v>2938</v>
      </c>
      <c r="F649" s="533" t="s">
        <v>2939</v>
      </c>
      <c r="G649" s="533" t="s">
        <v>2935</v>
      </c>
      <c r="H649" s="533" t="s">
        <v>2559</v>
      </c>
      <c r="I649" s="533" t="s">
        <v>2936</v>
      </c>
      <c r="J649" s="533" t="s">
        <v>2937</v>
      </c>
      <c r="K649" s="533" t="s">
        <v>1756</v>
      </c>
      <c r="L649" s="533" t="s">
        <v>2783</v>
      </c>
      <c r="M649" s="532" t="s">
        <v>1307</v>
      </c>
      <c r="N649" s="532" t="s">
        <v>1231</v>
      </c>
      <c r="O649" s="533" t="s">
        <v>1231</v>
      </c>
      <c r="P649" s="533" t="s">
        <v>469</v>
      </c>
      <c r="Q649" s="534">
        <v>43237</v>
      </c>
      <c r="R649" s="534">
        <v>44684</v>
      </c>
      <c r="S649" s="535">
        <v>1.5</v>
      </c>
      <c r="T649" s="535"/>
      <c r="U649" s="536">
        <v>1097994.3799999999</v>
      </c>
      <c r="V649" s="536">
        <v>0</v>
      </c>
      <c r="W649" s="536">
        <v>0</v>
      </c>
      <c r="X649" s="536">
        <f t="shared" si="51"/>
        <v>-1097994.3799999999</v>
      </c>
      <c r="Y649" s="536">
        <f t="shared" si="52"/>
        <v>0</v>
      </c>
      <c r="Z649" s="536">
        <v>0</v>
      </c>
      <c r="AA649" s="536">
        <v>0</v>
      </c>
      <c r="AB649" s="536">
        <v>0</v>
      </c>
      <c r="AC649" s="536">
        <f t="shared" si="53"/>
        <v>0</v>
      </c>
      <c r="AD649" s="536">
        <f t="shared" si="54"/>
        <v>0</v>
      </c>
      <c r="AE649" s="536">
        <v>0</v>
      </c>
      <c r="AF649" s="536">
        <v>0</v>
      </c>
      <c r="AG649" s="537" t="s">
        <v>1245</v>
      </c>
      <c r="AH649" s="537" t="s">
        <v>1247</v>
      </c>
      <c r="AI649" s="537" t="s">
        <v>1248</v>
      </c>
      <c r="AJ649" s="537" t="s">
        <v>1246</v>
      </c>
      <c r="AK649" s="537" t="s">
        <v>1235</v>
      </c>
      <c r="AL649" s="531"/>
    </row>
    <row r="650" spans="1:80" ht="18" customHeight="1" x14ac:dyDescent="0.25">
      <c r="A650" s="533">
        <f t="shared" si="50"/>
        <v>648</v>
      </c>
      <c r="B650" s="533" t="s">
        <v>2906</v>
      </c>
      <c r="C650" s="533">
        <v>2100000230</v>
      </c>
      <c r="D650" s="533" t="s">
        <v>5354</v>
      </c>
      <c r="E650" s="533" t="s">
        <v>1302</v>
      </c>
      <c r="F650" s="533" t="s">
        <v>1301</v>
      </c>
      <c r="G650" s="533" t="s">
        <v>2903</v>
      </c>
      <c r="H650" s="533" t="s">
        <v>2553</v>
      </c>
      <c r="I650" s="533" t="s">
        <v>2904</v>
      </c>
      <c r="J650" s="533" t="s">
        <v>2905</v>
      </c>
      <c r="K650" s="533" t="s">
        <v>1756</v>
      </c>
      <c r="L650" s="533" t="s">
        <v>2783</v>
      </c>
      <c r="M650" s="532" t="s">
        <v>1230</v>
      </c>
      <c r="N650" s="532" t="s">
        <v>1231</v>
      </c>
      <c r="O650" s="533" t="s">
        <v>1231</v>
      </c>
      <c r="P650" s="533" t="s">
        <v>469</v>
      </c>
      <c r="Q650" s="534">
        <v>43131</v>
      </c>
      <c r="R650" s="534">
        <v>44685</v>
      </c>
      <c r="S650" s="535">
        <v>1.5</v>
      </c>
      <c r="T650" s="535"/>
      <c r="U650" s="536">
        <v>0</v>
      </c>
      <c r="V650" s="536">
        <v>0</v>
      </c>
      <c r="W650" s="536">
        <v>0</v>
      </c>
      <c r="X650" s="536">
        <f t="shared" si="51"/>
        <v>0</v>
      </c>
      <c r="Y650" s="536">
        <f t="shared" si="52"/>
        <v>0</v>
      </c>
      <c r="Z650" s="536">
        <v>0</v>
      </c>
      <c r="AA650" s="536">
        <v>0</v>
      </c>
      <c r="AB650" s="536">
        <v>0</v>
      </c>
      <c r="AC650" s="536">
        <f t="shared" si="53"/>
        <v>0</v>
      </c>
      <c r="AD650" s="536">
        <f t="shared" si="54"/>
        <v>0</v>
      </c>
      <c r="AE650" s="536">
        <v>0</v>
      </c>
      <c r="AF650" s="536">
        <v>0</v>
      </c>
      <c r="AG650" s="537" t="s">
        <v>1245</v>
      </c>
      <c r="AH650" s="537" t="s">
        <v>1247</v>
      </c>
      <c r="AI650" s="537" t="s">
        <v>1248</v>
      </c>
      <c r="AJ650" s="537" t="s">
        <v>1246</v>
      </c>
      <c r="AK650" s="537" t="s">
        <v>1235</v>
      </c>
      <c r="AL650" s="531"/>
    </row>
    <row r="651" spans="1:80" ht="18" customHeight="1" x14ac:dyDescent="0.25">
      <c r="A651" s="526">
        <f t="shared" si="50"/>
        <v>649</v>
      </c>
      <c r="B651" s="526" t="s">
        <v>2816</v>
      </c>
      <c r="C651" s="526">
        <v>4100000187</v>
      </c>
      <c r="D651" s="526" t="s">
        <v>5355</v>
      </c>
      <c r="E651" s="526" t="s">
        <v>1263</v>
      </c>
      <c r="F651" s="526" t="s">
        <v>2815</v>
      </c>
      <c r="G651" s="526" t="s">
        <v>2812</v>
      </c>
      <c r="H651" s="526" t="s">
        <v>2543</v>
      </c>
      <c r="I651" s="526" t="s">
        <v>2813</v>
      </c>
      <c r="J651" s="526" t="s">
        <v>2814</v>
      </c>
      <c r="K651" s="526" t="s">
        <v>1756</v>
      </c>
      <c r="L651" s="526" t="s">
        <v>2783</v>
      </c>
      <c r="M651" s="527" t="s">
        <v>1230</v>
      </c>
      <c r="N651" s="526" t="s">
        <v>1232</v>
      </c>
      <c r="O651" s="526" t="s">
        <v>1232</v>
      </c>
      <c r="P651" s="526" t="s">
        <v>469</v>
      </c>
      <c r="Q651" s="528">
        <v>42888</v>
      </c>
      <c r="R651" s="528">
        <v>44690</v>
      </c>
      <c r="S651" s="529">
        <v>0.35</v>
      </c>
      <c r="T651" s="529"/>
      <c r="U651" s="519">
        <v>5000000</v>
      </c>
      <c r="V651" s="519">
        <v>0</v>
      </c>
      <c r="W651" s="519">
        <v>0</v>
      </c>
      <c r="X651" s="519">
        <f t="shared" si="51"/>
        <v>-5000000</v>
      </c>
      <c r="Y651" s="519">
        <f t="shared" si="52"/>
        <v>0</v>
      </c>
      <c r="Z651" s="519">
        <v>5000000</v>
      </c>
      <c r="AA651" s="519">
        <v>0</v>
      </c>
      <c r="AB651" s="519">
        <v>0</v>
      </c>
      <c r="AC651" s="519">
        <f t="shared" si="53"/>
        <v>-5000000</v>
      </c>
      <c r="AD651" s="519">
        <f t="shared" si="54"/>
        <v>0</v>
      </c>
      <c r="AE651" s="519">
        <v>0</v>
      </c>
      <c r="AF651" s="519">
        <v>0</v>
      </c>
      <c r="AG651" s="530" t="s">
        <v>1250</v>
      </c>
      <c r="AH651" s="530" t="s">
        <v>1252</v>
      </c>
      <c r="AI651" s="530" t="s">
        <v>1248</v>
      </c>
      <c r="AJ651" s="530" t="s">
        <v>1234</v>
      </c>
      <c r="AK651" s="530" t="s">
        <v>1251</v>
      </c>
      <c r="AL651" s="531"/>
    </row>
    <row r="652" spans="1:80" ht="18" customHeight="1" x14ac:dyDescent="0.25">
      <c r="A652" s="540" t="s">
        <v>601</v>
      </c>
      <c r="B652" s="541"/>
      <c r="C652" s="541"/>
      <c r="D652" s="541"/>
      <c r="E652" s="542"/>
      <c r="F652" s="541"/>
      <c r="G652" s="541"/>
      <c r="H652" s="541"/>
      <c r="I652" s="541"/>
      <c r="J652" s="541"/>
      <c r="K652" s="543"/>
      <c r="L652" s="541"/>
      <c r="M652" s="541"/>
      <c r="N652" s="541"/>
      <c r="O652" s="541"/>
      <c r="P652" s="541"/>
      <c r="Q652" s="541"/>
      <c r="R652" s="541"/>
      <c r="S652" s="544"/>
      <c r="T652" s="544"/>
      <c r="U652" s="545">
        <f t="shared" ref="U652:AF652" si="55">SUM(U3:U651)</f>
        <v>4351360054.1300011</v>
      </c>
      <c r="V652" s="545">
        <f t="shared" si="55"/>
        <v>4336144016.6800013</v>
      </c>
      <c r="W652" s="545">
        <f t="shared" si="55"/>
        <v>4377834317</v>
      </c>
      <c r="X652" s="545">
        <f t="shared" si="55"/>
        <v>26474262.87000002</v>
      </c>
      <c r="Y652" s="545">
        <f t="shared" si="55"/>
        <v>41690300.320000008</v>
      </c>
      <c r="Z652" s="545">
        <f t="shared" si="55"/>
        <v>2927116518.610002</v>
      </c>
      <c r="AA652" s="545">
        <f t="shared" si="55"/>
        <v>2917256670.0100007</v>
      </c>
      <c r="AB652" s="545">
        <f t="shared" si="55"/>
        <v>2933698274.519999</v>
      </c>
      <c r="AC652" s="545">
        <f t="shared" si="55"/>
        <v>6581755.9099999741</v>
      </c>
      <c r="AD652" s="545">
        <f t="shared" si="55"/>
        <v>16441604.509999998</v>
      </c>
      <c r="AE652" s="545">
        <f t="shared" si="55"/>
        <v>482656339.22000003</v>
      </c>
      <c r="AF652" s="545">
        <f t="shared" si="55"/>
        <v>961479703.25999999</v>
      </c>
      <c r="AG652" s="543"/>
      <c r="AH652" s="543"/>
      <c r="AI652" s="543"/>
      <c r="AJ652" s="543"/>
      <c r="AK652" s="543"/>
      <c r="AL652" s="483"/>
    </row>
    <row r="653" spans="1:80" ht="18" customHeight="1" x14ac:dyDescent="0.25">
      <c r="A653" s="540" t="s">
        <v>5356</v>
      </c>
      <c r="B653" s="541"/>
      <c r="C653" s="541"/>
      <c r="D653" s="541"/>
      <c r="E653" s="542"/>
      <c r="F653" s="541"/>
      <c r="G653" s="541"/>
      <c r="H653" s="541"/>
      <c r="I653" s="541"/>
      <c r="J653" s="541"/>
      <c r="K653" s="541"/>
      <c r="L653" s="541"/>
      <c r="M653" s="541"/>
      <c r="N653" s="541"/>
      <c r="O653" s="541"/>
      <c r="P653" s="541"/>
      <c r="Q653" s="541"/>
      <c r="R653" s="541"/>
      <c r="S653" s="544"/>
      <c r="T653" s="544"/>
      <c r="U653" s="545"/>
      <c r="V653" s="545"/>
      <c r="W653" s="545"/>
      <c r="X653" s="545">
        <f>SUMIF(X$3:X$651,"&gt;0",X$3:X$651)</f>
        <v>165921283.46000001</v>
      </c>
      <c r="Y653" s="545">
        <f>SUMIF(Y$3:Y$651,"&gt;0",Y$3:Y$651)</f>
        <v>113127312.83</v>
      </c>
      <c r="Z653" s="545"/>
      <c r="AA653" s="545"/>
      <c r="AB653" s="545"/>
      <c r="AC653" s="545">
        <f>SUMIF(AC$3:AC$651,"&gt;0",AC$3:AC$651)</f>
        <v>124789479.05000003</v>
      </c>
      <c r="AD653" s="545">
        <f>SUMIF(AD$3:AD$651,"&gt;0",AD$3:AD$651)</f>
        <v>76675946.589999989</v>
      </c>
      <c r="AE653" s="545"/>
      <c r="AF653" s="545"/>
      <c r="AG653" s="543"/>
      <c r="AH653" s="543"/>
      <c r="AI653" s="543"/>
      <c r="AJ653" s="543"/>
      <c r="AK653" s="543"/>
      <c r="AL653" s="483"/>
    </row>
    <row r="654" spans="1:80" ht="18" customHeight="1" x14ac:dyDescent="0.25">
      <c r="A654" s="540" t="s">
        <v>5357</v>
      </c>
      <c r="B654" s="541"/>
      <c r="C654" s="541"/>
      <c r="D654" s="541"/>
      <c r="E654" s="542"/>
      <c r="F654" s="541"/>
      <c r="G654" s="541"/>
      <c r="H654" s="541"/>
      <c r="I654" s="541"/>
      <c r="J654" s="541"/>
      <c r="K654" s="541"/>
      <c r="L654" s="541"/>
      <c r="M654" s="541"/>
      <c r="N654" s="541"/>
      <c r="O654" s="541"/>
      <c r="P654" s="541"/>
      <c r="Q654" s="541"/>
      <c r="R654" s="541"/>
      <c r="S654" s="544"/>
      <c r="T654" s="544"/>
      <c r="U654" s="545"/>
      <c r="V654" s="545"/>
      <c r="W654" s="545"/>
      <c r="X654" s="545">
        <f>SUMIF(X$3:X$651,"&lt;0",X$3:X$651)</f>
        <v>-139447020.59</v>
      </c>
      <c r="Y654" s="545">
        <f>SUMIF(Y$3:Y$651,"&lt;0",Y$3:Y$651)</f>
        <v>-71437012.51000002</v>
      </c>
      <c r="Z654" s="545"/>
      <c r="AA654" s="545"/>
      <c r="AB654" s="545"/>
      <c r="AC654" s="545">
        <f>SUMIF(AC$3:AC$651,"&lt;0",AC$3:AC$651)</f>
        <v>-118207723.13999999</v>
      </c>
      <c r="AD654" s="545">
        <f>SUMIF(AD$3:AD$651,"&lt;0",AD$3:AD$651)</f>
        <v>-60234342.079999998</v>
      </c>
      <c r="AE654" s="545"/>
      <c r="AF654" s="545"/>
      <c r="AG654" s="543"/>
      <c r="AH654" s="543"/>
      <c r="AI654" s="543"/>
      <c r="AJ654" s="543"/>
      <c r="AK654" s="543"/>
      <c r="AL654" s="483"/>
    </row>
  </sheetData>
  <mergeCells count="31">
    <mergeCell ref="K1:K2"/>
    <mergeCell ref="L1:L2"/>
    <mergeCell ref="M1:M2"/>
    <mergeCell ref="F1:F2"/>
    <mergeCell ref="G1:G2"/>
    <mergeCell ref="H1:H2"/>
    <mergeCell ref="I1:I2"/>
    <mergeCell ref="J1:J2"/>
    <mergeCell ref="A1:A2"/>
    <mergeCell ref="B1:B2"/>
    <mergeCell ref="C1:C2"/>
    <mergeCell ref="D1:D2"/>
    <mergeCell ref="E1:E2"/>
    <mergeCell ref="N1:N2"/>
    <mergeCell ref="O1:O2"/>
    <mergeCell ref="P1:P2"/>
    <mergeCell ref="Q1:Q2"/>
    <mergeCell ref="R1:R2"/>
    <mergeCell ref="S1:S2"/>
    <mergeCell ref="T1:T2"/>
    <mergeCell ref="AG1:AG2"/>
    <mergeCell ref="AH1:AH2"/>
    <mergeCell ref="AI1:AI2"/>
    <mergeCell ref="AJ1:AJ2"/>
    <mergeCell ref="AK1:AK2"/>
    <mergeCell ref="U144:U157"/>
    <mergeCell ref="V144:V157"/>
    <mergeCell ref="W144:W157"/>
    <mergeCell ref="X144:X157"/>
    <mergeCell ref="Y144:Y157"/>
    <mergeCell ref="AF144:AF157"/>
  </mergeCells>
  <pageMargins left="0.7" right="0.7" top="0.75" bottom="0.75" header="0.3" footer="0.3"/>
  <legacy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C6885-8D9E-4BDD-B375-8B0CC4A88395}">
  <sheetPr codeName="Sheet32"/>
  <dimension ref="B2:AA48"/>
  <sheetViews>
    <sheetView zoomScale="80" zoomScaleNormal="80" workbookViewId="0"/>
  </sheetViews>
  <sheetFormatPr defaultColWidth="8.7109375" defaultRowHeight="15" x14ac:dyDescent="0.25"/>
  <cols>
    <col min="1" max="1" width="6" style="211" customWidth="1"/>
    <col min="2" max="2" width="19.140625" style="211" bestFit="1" customWidth="1"/>
    <col min="3" max="3" width="10.7109375" style="211" customWidth="1"/>
    <col min="4" max="4" width="8.7109375" style="211"/>
    <col min="5" max="5" width="17.85546875" style="211" customWidth="1"/>
    <col min="6" max="6" width="15.5703125" style="211" customWidth="1"/>
    <col min="7" max="7" width="11.42578125" style="211" bestFit="1" customWidth="1"/>
    <col min="8" max="8" width="16.7109375" style="211" customWidth="1"/>
    <col min="9" max="9" width="11.140625" style="211" bestFit="1" customWidth="1"/>
    <col min="10" max="10" width="10.85546875" style="211" customWidth="1"/>
    <col min="11" max="11" width="14.42578125" style="211" bestFit="1" customWidth="1"/>
    <col min="12" max="12" width="21.28515625" style="211" bestFit="1" customWidth="1"/>
    <col min="13" max="13" width="19.5703125" style="211" bestFit="1" customWidth="1"/>
    <col min="14" max="14" width="8.7109375" style="211"/>
    <col min="15" max="15" width="19.5703125" style="211" bestFit="1" customWidth="1"/>
    <col min="16" max="18" width="8.7109375" style="211"/>
    <col min="19" max="19" width="11.5703125" style="211" bestFit="1" customWidth="1"/>
    <col min="20" max="22" width="8.7109375" style="211"/>
    <col min="23" max="23" width="10.5703125" style="211" bestFit="1" customWidth="1"/>
    <col min="24" max="24" width="17.5703125" style="211" bestFit="1" customWidth="1"/>
    <col min="25" max="26" width="8.7109375" style="211"/>
    <col min="27" max="27" width="13.85546875" style="211" bestFit="1" customWidth="1"/>
    <col min="28" max="16384" width="8.7109375" style="211"/>
  </cols>
  <sheetData>
    <row r="2" spans="2:27" s="210" customFormat="1" x14ac:dyDescent="0.25">
      <c r="B2" s="286" t="s">
        <v>960</v>
      </c>
      <c r="C2" s="287"/>
      <c r="D2" s="287"/>
      <c r="E2" s="287"/>
      <c r="F2" s="287"/>
      <c r="G2" s="288"/>
      <c r="H2" s="288"/>
      <c r="I2" s="288"/>
      <c r="J2" s="288"/>
      <c r="K2" s="288"/>
      <c r="L2" s="289"/>
      <c r="M2" s="288"/>
      <c r="N2" s="288"/>
      <c r="O2" s="288"/>
      <c r="P2" s="288"/>
      <c r="Q2" s="288"/>
      <c r="R2" s="288"/>
      <c r="S2" s="288"/>
      <c r="T2" s="288"/>
      <c r="U2" s="288"/>
      <c r="V2" s="288"/>
      <c r="W2" s="288"/>
      <c r="X2" s="288"/>
      <c r="Y2" s="288"/>
      <c r="Z2" s="288"/>
      <c r="AA2" s="288"/>
    </row>
    <row r="3" spans="2:27" x14ac:dyDescent="0.25">
      <c r="B3" s="290"/>
      <c r="C3" s="291"/>
      <c r="D3" s="291"/>
      <c r="E3" s="291"/>
      <c r="F3" s="291"/>
      <c r="G3" s="291"/>
      <c r="H3" s="285"/>
      <c r="I3" s="285"/>
      <c r="J3" s="285"/>
      <c r="K3" s="285"/>
      <c r="L3" s="285"/>
      <c r="M3" s="285"/>
      <c r="N3" s="285"/>
      <c r="O3" s="285"/>
      <c r="P3" s="285"/>
      <c r="Q3" s="285"/>
      <c r="R3" s="285"/>
      <c r="S3" s="285"/>
      <c r="T3" s="285"/>
      <c r="U3" s="285"/>
      <c r="V3" s="285"/>
      <c r="W3" s="285"/>
      <c r="X3" s="285"/>
      <c r="Y3" s="285"/>
      <c r="Z3" s="285"/>
      <c r="AA3" s="285"/>
    </row>
    <row r="4" spans="2:27" x14ac:dyDescent="0.25">
      <c r="B4" s="285"/>
      <c r="C4" s="585" t="s">
        <v>721</v>
      </c>
      <c r="D4" s="585"/>
      <c r="E4" s="585"/>
      <c r="F4" s="585"/>
      <c r="G4" s="585"/>
      <c r="H4" s="586" t="s">
        <v>959</v>
      </c>
      <c r="I4" s="586"/>
      <c r="J4" s="586"/>
      <c r="K4" s="586"/>
      <c r="L4" s="586"/>
      <c r="M4" s="587" t="s">
        <v>957</v>
      </c>
      <c r="N4" s="587"/>
      <c r="O4" s="587"/>
      <c r="P4" s="587"/>
      <c r="Q4" s="587"/>
      <c r="R4" s="285"/>
      <c r="S4" s="285"/>
      <c r="T4" s="285"/>
      <c r="U4" s="3" t="s">
        <v>2693</v>
      </c>
      <c r="V4" s="285"/>
      <c r="W4" s="285"/>
      <c r="X4" s="285"/>
      <c r="Y4" s="285"/>
      <c r="Z4" s="285"/>
      <c r="AA4" s="285"/>
    </row>
    <row r="5" spans="2:27" s="212" customFormat="1" ht="45" x14ac:dyDescent="0.25">
      <c r="B5" s="293"/>
      <c r="C5" s="294" t="s">
        <v>547</v>
      </c>
      <c r="D5" s="294" t="s">
        <v>708</v>
      </c>
      <c r="E5" s="294" t="s">
        <v>720</v>
      </c>
      <c r="F5" s="294" t="s">
        <v>719</v>
      </c>
      <c r="G5" s="294" t="s">
        <v>958</v>
      </c>
      <c r="H5" s="295" t="s">
        <v>547</v>
      </c>
      <c r="I5" s="295" t="s">
        <v>708</v>
      </c>
      <c r="J5" s="295" t="s">
        <v>720</v>
      </c>
      <c r="K5" s="295" t="s">
        <v>719</v>
      </c>
      <c r="L5" s="295" t="s">
        <v>958</v>
      </c>
      <c r="M5" s="296" t="s">
        <v>547</v>
      </c>
      <c r="N5" s="296" t="s">
        <v>708</v>
      </c>
      <c r="O5" s="296" t="s">
        <v>720</v>
      </c>
      <c r="P5" s="296" t="s">
        <v>719</v>
      </c>
      <c r="Q5" s="296" t="s">
        <v>958</v>
      </c>
      <c r="R5" s="293"/>
      <c r="S5" s="293"/>
      <c r="T5" s="293"/>
      <c r="U5" s="293" t="s">
        <v>2694</v>
      </c>
      <c r="V5" s="293"/>
      <c r="W5" s="293"/>
      <c r="X5" s="293"/>
      <c r="Y5" s="293"/>
      <c r="Z5" s="293"/>
      <c r="AA5" s="293"/>
    </row>
    <row r="6" spans="2:27" x14ac:dyDescent="0.25">
      <c r="B6" s="297" t="s">
        <v>682</v>
      </c>
      <c r="C6" s="410">
        <v>5.6831000000112696E-4</v>
      </c>
      <c r="D6" s="414">
        <v>8.0000000000462915E-4</v>
      </c>
      <c r="E6" s="299">
        <v>1.159</v>
      </c>
      <c r="F6" s="299">
        <v>2.1674152502024322</v>
      </c>
      <c r="G6" s="299">
        <v>3.947763056247616</v>
      </c>
      <c r="H6" s="298">
        <v>-1.2812203854276187E-2</v>
      </c>
      <c r="I6" s="410">
        <v>-2.2418560041516652E-2</v>
      </c>
      <c r="J6" s="300">
        <v>1.6456</v>
      </c>
      <c r="K6" s="301">
        <v>4.9097264293357252</v>
      </c>
      <c r="L6" s="301">
        <v>4.4363849918629414</v>
      </c>
      <c r="M6" s="410">
        <v>-1.0077646732842813E-2</v>
      </c>
      <c r="N6" s="414">
        <v>-1.471239992520521E-2</v>
      </c>
      <c r="O6" s="315">
        <v>1.5456000000000001</v>
      </c>
      <c r="P6" s="315">
        <v>3.7249337880594533</v>
      </c>
      <c r="Q6" s="315">
        <v>4.2075419090457586</v>
      </c>
      <c r="R6" s="285"/>
      <c r="S6" s="285"/>
      <c r="T6" s="285"/>
      <c r="U6" s="346" t="s">
        <v>2695</v>
      </c>
      <c r="V6" s="285"/>
      <c r="W6" s="285"/>
      <c r="X6" s="285"/>
      <c r="Y6" s="285"/>
      <c r="Z6" s="302"/>
      <c r="AA6" s="303"/>
    </row>
    <row r="7" spans="2:27" x14ac:dyDescent="0.25">
      <c r="B7" s="297" t="s">
        <v>683</v>
      </c>
      <c r="C7" s="410">
        <v>-8.7559999999818497E-4</v>
      </c>
      <c r="D7" s="414">
        <v>8.3667935156958952E-4</v>
      </c>
      <c r="E7" s="299">
        <v>1.4119999999999999</v>
      </c>
      <c r="F7" s="299">
        <v>1.2280231802426653</v>
      </c>
      <c r="G7" s="299">
        <v>4.0777406028440826</v>
      </c>
      <c r="H7" s="298">
        <v>-2.4645512484968782E-2</v>
      </c>
      <c r="I7" s="416">
        <v>-4.0659927219477525E-2</v>
      </c>
      <c r="J7" s="301">
        <v>2.1676000000000002</v>
      </c>
      <c r="K7" s="301">
        <v>4.2055041231347641</v>
      </c>
      <c r="L7" s="301">
        <v>5.2323952338893376</v>
      </c>
      <c r="M7" s="410">
        <v>-2.1191485540414071E-2</v>
      </c>
      <c r="N7" s="414">
        <v>-2.9762796783902142E-2</v>
      </c>
      <c r="O7" s="315">
        <v>2.0175999999999998</v>
      </c>
      <c r="P7" s="315">
        <v>2.7908247354986666</v>
      </c>
      <c r="Q7" s="315">
        <v>5.0028351276576064</v>
      </c>
      <c r="R7" s="285"/>
      <c r="S7" s="285"/>
      <c r="T7" s="285"/>
      <c r="U7" s="346" t="s">
        <v>2696</v>
      </c>
      <c r="V7" s="285"/>
      <c r="W7" s="285"/>
      <c r="X7" s="285"/>
      <c r="Y7" s="285"/>
      <c r="Z7" s="302"/>
      <c r="AA7" s="303"/>
    </row>
    <row r="8" spans="2:27" x14ac:dyDescent="0.25">
      <c r="B8" s="297" t="s">
        <v>2529</v>
      </c>
      <c r="C8" s="410">
        <v>2.5000000000009463E-3</v>
      </c>
      <c r="D8" s="415">
        <v>2.3753691648136085E-3</v>
      </c>
      <c r="E8" s="299">
        <v>1.5</v>
      </c>
      <c r="F8" s="304">
        <v>1.0467204850000815</v>
      </c>
      <c r="G8" s="304">
        <v>4.1535782816406392</v>
      </c>
      <c r="H8" s="298">
        <v>-2.1297153889820848E-2</v>
      </c>
      <c r="I8" s="415">
        <v>-5.2866080267459273E-2</v>
      </c>
      <c r="J8" s="316">
        <v>2.2454999999999998</v>
      </c>
      <c r="K8" s="316">
        <v>-0.23613656537591157</v>
      </c>
      <c r="L8" s="316">
        <v>6.5213167556615579</v>
      </c>
      <c r="M8" s="410">
        <v>-1.7264223832748688E-2</v>
      </c>
      <c r="N8" s="415">
        <v>-3.1023139451837965E-2</v>
      </c>
      <c r="O8" s="316">
        <v>2.0455000000000001</v>
      </c>
      <c r="P8" s="316">
        <v>0.3778540088076861</v>
      </c>
      <c r="Q8" s="316">
        <v>5.5970714641503694</v>
      </c>
      <c r="R8" s="285"/>
      <c r="S8" s="285"/>
      <c r="T8" s="285"/>
      <c r="U8" s="346" t="s">
        <v>2697</v>
      </c>
      <c r="V8" s="285"/>
      <c r="W8" s="285"/>
      <c r="X8" s="285"/>
      <c r="Y8" s="285"/>
      <c r="Z8" s="302"/>
      <c r="AA8" s="303"/>
    </row>
    <row r="9" spans="2:27" x14ac:dyDescent="0.25">
      <c r="B9" s="297" t="s">
        <v>2530</v>
      </c>
      <c r="C9" s="410">
        <v>4.6551335764823659E-3</v>
      </c>
      <c r="D9" s="415">
        <v>5.4590470775422893E-3</v>
      </c>
      <c r="E9" s="299">
        <v>1.5</v>
      </c>
      <c r="F9" s="304">
        <v>0.93404010758660283</v>
      </c>
      <c r="G9" s="304">
        <v>4.2369568972781879</v>
      </c>
      <c r="H9" s="298">
        <v>-1.2756549656557647E-2</v>
      </c>
      <c r="I9" s="415">
        <v>-4.7956320001683685E-2</v>
      </c>
      <c r="J9" s="316">
        <v>1.2334000000000001</v>
      </c>
      <c r="K9" s="316">
        <v>-0.7246663621978976</v>
      </c>
      <c r="L9" s="316">
        <v>7.3732752819154825</v>
      </c>
      <c r="M9" s="410">
        <v>-7.3280660060510705E-3</v>
      </c>
      <c r="N9" s="415">
        <v>-2.4510738209636587E-2</v>
      </c>
      <c r="O9" s="316">
        <v>1.1334</v>
      </c>
      <c r="P9" s="316">
        <v>0.11411617509887195</v>
      </c>
      <c r="Q9" s="316">
        <v>6.1430582269537721</v>
      </c>
      <c r="R9" s="285"/>
      <c r="S9" s="285"/>
      <c r="T9" s="305"/>
      <c r="U9" s="346" t="s">
        <v>2698</v>
      </c>
      <c r="V9" s="285"/>
      <c r="W9" s="285"/>
      <c r="X9" s="285"/>
      <c r="Y9" s="285"/>
      <c r="Z9" s="285"/>
      <c r="AA9" s="285"/>
    </row>
    <row r="10" spans="2:27" x14ac:dyDescent="0.25">
      <c r="B10" s="306" t="s">
        <v>2532</v>
      </c>
      <c r="C10" s="410">
        <v>1.5939474670149716E-2</v>
      </c>
      <c r="D10" s="415">
        <v>4.6906257527069201E-2</v>
      </c>
      <c r="E10" s="307">
        <v>2.1471193415637861</v>
      </c>
      <c r="F10" s="304">
        <v>2.1231051482299756</v>
      </c>
      <c r="G10" s="304">
        <v>4.5590156818058452</v>
      </c>
      <c r="H10" s="298">
        <v>8.9349136362056644E-4</v>
      </c>
      <c r="I10" s="415">
        <v>-8.1441925186192546E-2</v>
      </c>
      <c r="J10" s="316">
        <v>9.8900000000000002E-2</v>
      </c>
      <c r="K10" s="316">
        <v>-1.0316428515757903</v>
      </c>
      <c r="L10" s="316">
        <v>8.3792653849341914</v>
      </c>
      <c r="M10" s="410">
        <v>1.757745765297411E-2</v>
      </c>
      <c r="N10" s="415">
        <v>-4.3503588837868562E-2</v>
      </c>
      <c r="O10" s="316">
        <v>0.1</v>
      </c>
      <c r="P10" s="316">
        <v>0.31823955368001661</v>
      </c>
      <c r="Q10" s="316">
        <v>7.2532885632423696</v>
      </c>
      <c r="R10" s="285"/>
      <c r="S10" s="285"/>
      <c r="T10" s="285"/>
      <c r="U10" s="346" t="s">
        <v>2699</v>
      </c>
      <c r="V10" s="285"/>
      <c r="W10" s="285"/>
      <c r="X10" s="285"/>
      <c r="Y10" s="285"/>
      <c r="Z10" s="285"/>
      <c r="AA10" s="285"/>
    </row>
    <row r="11" spans="2:27" x14ac:dyDescent="0.25">
      <c r="B11" s="306" t="s">
        <v>2533</v>
      </c>
      <c r="C11" s="410">
        <v>1.3884068458604916E-2</v>
      </c>
      <c r="D11" s="413">
        <v>3.7081282069673024E-2</v>
      </c>
      <c r="E11" s="307">
        <v>2.4722222222222223</v>
      </c>
      <c r="F11" s="307">
        <v>2.0573129780050001</v>
      </c>
      <c r="G11" s="307">
        <v>4.6896766727251871</v>
      </c>
      <c r="H11" s="298">
        <v>3.510071753587813E-2</v>
      </c>
      <c r="I11" s="412">
        <v>3.3977093038400019E-2</v>
      </c>
      <c r="J11" s="316">
        <v>9.8900000000000002E-2</v>
      </c>
      <c r="K11" s="308">
        <v>1.0184536112092242</v>
      </c>
      <c r="L11" s="307">
        <v>8.148169756449807</v>
      </c>
      <c r="M11" s="410">
        <v>2.47620474217537E-2</v>
      </c>
      <c r="N11" s="411">
        <v>2.9852909312626821E-2</v>
      </c>
      <c r="O11" s="316">
        <v>0.20622499999999999</v>
      </c>
      <c r="P11" s="317">
        <v>1.5336034654299728</v>
      </c>
      <c r="Q11" s="318">
        <v>7.3544192275306264</v>
      </c>
      <c r="R11" s="285"/>
      <c r="S11" s="285"/>
      <c r="T11" s="285"/>
      <c r="U11" s="346" t="s">
        <v>2700</v>
      </c>
      <c r="V11" s="285"/>
      <c r="W11" s="285"/>
      <c r="X11" s="285"/>
      <c r="Y11" s="285"/>
      <c r="Z11" s="285"/>
      <c r="AA11" s="285"/>
    </row>
    <row r="12" spans="2:27" x14ac:dyDescent="0.25">
      <c r="B12" s="306" t="s">
        <v>2534</v>
      </c>
      <c r="C12" s="410">
        <v>9.7423042718366281E-3</v>
      </c>
      <c r="D12" s="413">
        <v>1.1504134928890871E-2</v>
      </c>
      <c r="E12" s="307">
        <v>2.5</v>
      </c>
      <c r="F12" s="307">
        <v>2.00489969000358</v>
      </c>
      <c r="G12" s="307">
        <v>4.7399335702979783</v>
      </c>
      <c r="H12" s="298">
        <v>1.8617740485544598E-2</v>
      </c>
      <c r="I12" s="412">
        <v>2.5859543086572692E-2</v>
      </c>
      <c r="J12" s="316">
        <v>0.16619999999999999</v>
      </c>
      <c r="K12" s="308">
        <v>1.5094416972398297</v>
      </c>
      <c r="L12" s="307">
        <v>8.0580393563556534</v>
      </c>
      <c r="M12" s="410">
        <v>9.7883986003664183E-3</v>
      </c>
      <c r="N12" s="411">
        <v>3.8906044562521808E-2</v>
      </c>
      <c r="O12" s="316">
        <v>1.2229000000000001</v>
      </c>
      <c r="P12" s="317">
        <v>1.7584891762926733</v>
      </c>
      <c r="Q12" s="318">
        <v>6.9548503895390725</v>
      </c>
      <c r="R12" s="285"/>
      <c r="S12" s="285"/>
      <c r="T12" s="285"/>
      <c r="U12" s="346" t="s">
        <v>2701</v>
      </c>
      <c r="V12" s="285"/>
      <c r="W12" s="285"/>
      <c r="X12" s="285"/>
      <c r="Y12" s="285"/>
      <c r="Z12" s="285"/>
      <c r="AA12" s="285"/>
    </row>
    <row r="13" spans="2:27" x14ac:dyDescent="0.25">
      <c r="B13" s="306" t="s">
        <v>4584</v>
      </c>
      <c r="C13" s="410">
        <v>1.1245971950586091E-2</v>
      </c>
      <c r="D13" s="413">
        <v>1.2047232960902106E-2</v>
      </c>
      <c r="E13" s="307">
        <v>2.5</v>
      </c>
      <c r="F13" s="307">
        <v>2.0048996900037981</v>
      </c>
      <c r="G13" s="319">
        <v>4.7742246928015355</v>
      </c>
      <c r="H13" s="298">
        <v>1.0999725721133767E-2</v>
      </c>
      <c r="I13" s="411">
        <v>3.7511822893124179E-2</v>
      </c>
      <c r="J13" s="316">
        <v>0.92390000000000005</v>
      </c>
      <c r="K13" s="308">
        <v>1.8863808941517586</v>
      </c>
      <c r="L13" s="307">
        <v>7.3430445570976035</v>
      </c>
      <c r="M13" s="410">
        <v>1.0350312445631933E-2</v>
      </c>
      <c r="N13" s="411">
        <v>4.4686089725776368E-2</v>
      </c>
      <c r="O13" s="316">
        <v>2.164384375</v>
      </c>
      <c r="P13" s="317">
        <v>1.9045992743004565</v>
      </c>
      <c r="Q13" s="318">
        <v>6.2863065276386019</v>
      </c>
      <c r="R13" s="285"/>
      <c r="S13" s="285"/>
      <c r="T13" s="285"/>
      <c r="U13" s="346" t="s">
        <v>2702</v>
      </c>
      <c r="V13" s="285"/>
      <c r="W13" s="285"/>
      <c r="X13" s="285"/>
      <c r="Y13" s="285"/>
      <c r="Z13" s="285"/>
      <c r="AA13" s="285"/>
    </row>
    <row r="14" spans="2:27" x14ac:dyDescent="0.25">
      <c r="B14" s="285"/>
      <c r="C14" s="305"/>
      <c r="D14" s="309"/>
      <c r="E14" s="309"/>
      <c r="F14" s="309"/>
      <c r="G14" s="309"/>
      <c r="H14" s="305"/>
      <c r="I14" s="305"/>
      <c r="J14" s="305"/>
      <c r="K14" s="309"/>
      <c r="L14" s="309"/>
      <c r="M14" s="305"/>
      <c r="N14" s="305"/>
      <c r="O14" s="305"/>
      <c r="P14" s="309"/>
      <c r="Q14" s="309"/>
      <c r="R14" s="285"/>
      <c r="S14" s="285"/>
      <c r="T14" s="285"/>
      <c r="U14" s="346" t="s">
        <v>2703</v>
      </c>
      <c r="V14" s="285"/>
      <c r="W14" s="285"/>
      <c r="X14" s="285"/>
      <c r="Y14" s="285"/>
      <c r="Z14" s="285"/>
      <c r="AA14" s="285"/>
    </row>
    <row r="15" spans="2:27" ht="48" customHeight="1" x14ac:dyDescent="0.25">
      <c r="B15" s="310" t="s">
        <v>981</v>
      </c>
      <c r="C15" s="311"/>
      <c r="D15" s="305"/>
      <c r="E15" s="312" t="s">
        <v>1882</v>
      </c>
      <c r="F15" s="285"/>
      <c r="G15" s="285"/>
      <c r="H15" s="285"/>
      <c r="I15" s="285"/>
      <c r="J15" s="285"/>
      <c r="K15" s="285"/>
      <c r="L15" s="292" t="s">
        <v>1792</v>
      </c>
      <c r="M15" s="285"/>
      <c r="N15" s="285"/>
      <c r="O15" s="285"/>
      <c r="P15" s="285"/>
      <c r="Q15" s="309"/>
      <c r="R15" s="305"/>
      <c r="S15" s="305"/>
      <c r="T15" s="285"/>
      <c r="U15" s="346" t="s">
        <v>2704</v>
      </c>
      <c r="V15" s="285"/>
      <c r="W15" s="285"/>
      <c r="X15" s="285"/>
      <c r="Y15" s="285"/>
      <c r="Z15" s="285"/>
      <c r="AA15" s="285"/>
    </row>
    <row r="16" spans="2:27" x14ac:dyDescent="0.25">
      <c r="B16" s="313" t="s">
        <v>547</v>
      </c>
      <c r="C16" s="291">
        <v>0.6</v>
      </c>
      <c r="D16" s="305"/>
      <c r="E16" s="292" t="s">
        <v>721</v>
      </c>
      <c r="F16" s="417">
        <v>0.6</v>
      </c>
      <c r="G16" s="285"/>
      <c r="H16" s="285"/>
      <c r="I16" s="309"/>
      <c r="J16" s="285"/>
      <c r="K16" s="285"/>
      <c r="L16" s="410">
        <v>8.4699999999999998E-2</v>
      </c>
      <c r="M16" s="410">
        <v>8.4699999999999998E-2</v>
      </c>
      <c r="N16" s="410">
        <v>8.4699999999999998E-2</v>
      </c>
      <c r="O16" s="285"/>
      <c r="P16" s="285"/>
      <c r="Q16" s="309"/>
      <c r="R16" s="285"/>
      <c r="S16" s="285"/>
      <c r="T16" s="285"/>
      <c r="U16" s="346" t="s">
        <v>2705</v>
      </c>
      <c r="V16" s="285"/>
      <c r="W16" s="285"/>
      <c r="X16" s="285"/>
      <c r="Y16" s="285"/>
      <c r="Z16" s="285"/>
      <c r="AA16" s="285"/>
    </row>
    <row r="17" spans="2:21" x14ac:dyDescent="0.25">
      <c r="B17" s="313" t="s">
        <v>708</v>
      </c>
      <c r="C17" s="291">
        <v>0.1</v>
      </c>
      <c r="D17" s="305"/>
      <c r="E17" s="292" t="s">
        <v>957</v>
      </c>
      <c r="F17" s="418">
        <v>0.35</v>
      </c>
      <c r="G17" s="285"/>
      <c r="H17" s="285"/>
      <c r="I17" s="285"/>
      <c r="J17" s="285"/>
      <c r="K17" s="285"/>
      <c r="L17" s="410">
        <v>3.2000000000000001E-2</v>
      </c>
      <c r="M17" s="412">
        <v>1.8200000000000001E-2</v>
      </c>
      <c r="N17" s="411">
        <v>2.1100000000000001E-2</v>
      </c>
      <c r="O17" s="285"/>
      <c r="P17" s="285"/>
      <c r="Q17" s="309"/>
      <c r="U17" s="292" t="s">
        <v>2706</v>
      </c>
    </row>
    <row r="18" spans="2:21" x14ac:dyDescent="0.25">
      <c r="B18" s="313" t="s">
        <v>720</v>
      </c>
      <c r="C18" s="291">
        <v>0.1</v>
      </c>
      <c r="D18" s="305"/>
      <c r="E18" s="292" t="s">
        <v>2531</v>
      </c>
      <c r="F18" s="417">
        <v>0.05</v>
      </c>
      <c r="G18" s="285"/>
      <c r="H18" s="285"/>
      <c r="I18" s="285"/>
      <c r="J18" s="285"/>
      <c r="K18" s="285"/>
      <c r="L18" s="410">
        <v>2.6499999999999999E-2</v>
      </c>
      <c r="M18" s="412">
        <v>-1.14E-2</v>
      </c>
      <c r="N18" s="411">
        <v>-5.1000000000000004E-3</v>
      </c>
      <c r="O18" s="285"/>
      <c r="P18" s="285"/>
      <c r="Q18" s="309"/>
      <c r="U18" s="292" t="s">
        <v>2707</v>
      </c>
    </row>
    <row r="19" spans="2:21" x14ac:dyDescent="0.25">
      <c r="B19" s="313" t="s">
        <v>719</v>
      </c>
      <c r="C19" s="291">
        <v>0.1</v>
      </c>
      <c r="D19" s="305"/>
      <c r="E19" s="285"/>
      <c r="F19" s="285"/>
      <c r="G19" s="309"/>
      <c r="H19" s="305"/>
      <c r="I19" s="305"/>
      <c r="J19" s="305"/>
      <c r="K19" s="285"/>
      <c r="L19" s="410">
        <v>2.1100000000000001E-2</v>
      </c>
      <c r="M19" s="413">
        <v>-3.9899999999999998E-2</v>
      </c>
      <c r="N19" s="411">
        <v>-2.98E-2</v>
      </c>
      <c r="O19" s="285"/>
      <c r="P19" s="285"/>
      <c r="Q19" s="309"/>
      <c r="U19" s="292" t="s">
        <v>2708</v>
      </c>
    </row>
    <row r="20" spans="2:21" x14ac:dyDescent="0.25">
      <c r="B20" s="313" t="s">
        <v>958</v>
      </c>
      <c r="C20" s="291">
        <v>0.1</v>
      </c>
      <c r="D20" s="305"/>
      <c r="E20" s="285"/>
      <c r="F20" s="285"/>
      <c r="G20" s="285"/>
      <c r="H20" s="285"/>
      <c r="I20" s="285"/>
      <c r="J20" s="285"/>
      <c r="K20" s="285"/>
      <c r="L20" s="410"/>
      <c r="M20" s="413"/>
      <c r="N20" s="4"/>
      <c r="O20" s="285"/>
      <c r="P20" s="285"/>
      <c r="Q20" s="309"/>
      <c r="U20" s="292" t="s">
        <v>2709</v>
      </c>
    </row>
    <row r="21" spans="2:21" x14ac:dyDescent="0.25">
      <c r="B21" s="285"/>
      <c r="C21" s="285"/>
      <c r="D21" s="285"/>
      <c r="E21" s="285"/>
      <c r="F21" s="285"/>
      <c r="G21" s="285"/>
      <c r="H21" s="285"/>
      <c r="I21" s="285"/>
      <c r="J21" s="285"/>
      <c r="K21" s="285"/>
      <c r="L21" s="309" t="s">
        <v>1793</v>
      </c>
      <c r="M21" s="305"/>
      <c r="N21" s="305"/>
      <c r="O21" s="305"/>
      <c r="P21" s="309"/>
      <c r="Q21" s="309"/>
      <c r="U21" s="292" t="s">
        <v>2710</v>
      </c>
    </row>
    <row r="22" spans="2:21" x14ac:dyDescent="0.25">
      <c r="B22" s="285"/>
      <c r="C22" s="285"/>
      <c r="D22" s="285"/>
      <c r="E22" s="285"/>
      <c r="F22" s="285"/>
      <c r="G22" s="285"/>
      <c r="H22" s="285"/>
      <c r="I22" s="285"/>
      <c r="J22" s="285"/>
      <c r="K22" s="285"/>
      <c r="L22" s="309"/>
      <c r="M22" s="305"/>
      <c r="N22" s="305"/>
      <c r="O22" s="305"/>
      <c r="P22" s="309"/>
      <c r="Q22" s="309"/>
      <c r="U22" s="292" t="s">
        <v>2711</v>
      </c>
    </row>
    <row r="23" spans="2:21" x14ac:dyDescent="0.25">
      <c r="B23" s="285"/>
      <c r="C23" s="285"/>
      <c r="D23" s="285"/>
      <c r="E23" s="285"/>
      <c r="F23" s="285"/>
      <c r="G23" s="285"/>
      <c r="H23" s="285"/>
      <c r="I23" s="285"/>
      <c r="J23" s="285"/>
      <c r="K23" s="302"/>
      <c r="L23" s="302">
        <f t="shared" ref="L23:N26" si="0">1-(1-L16)^(1/4)</f>
        <v>2.1882868391459698E-2</v>
      </c>
      <c r="M23" s="302">
        <f t="shared" si="0"/>
        <v>2.1882868391459698E-2</v>
      </c>
      <c r="N23" s="302">
        <f t="shared" si="0"/>
        <v>2.1882868391459698E-2</v>
      </c>
      <c r="O23" s="305"/>
      <c r="P23" s="305"/>
      <c r="Q23" s="305"/>
      <c r="U23" s="292" t="s">
        <v>2712</v>
      </c>
    </row>
    <row r="24" spans="2:21" x14ac:dyDescent="0.25">
      <c r="B24" s="285"/>
      <c r="C24" s="285"/>
      <c r="D24" s="285"/>
      <c r="E24" s="285"/>
      <c r="F24" s="285"/>
      <c r="G24" s="285"/>
      <c r="H24" s="285"/>
      <c r="I24" s="285"/>
      <c r="J24" s="285"/>
      <c r="K24" s="302"/>
      <c r="L24" s="302">
        <f t="shared" si="0"/>
        <v>8.0978323947933362E-3</v>
      </c>
      <c r="M24" s="302">
        <f t="shared" si="0"/>
        <v>4.5813876196577619E-3</v>
      </c>
      <c r="N24" s="302">
        <f t="shared" si="0"/>
        <v>5.3172597403435828E-3</v>
      </c>
      <c r="O24" s="305"/>
      <c r="P24" s="305"/>
      <c r="Q24" s="305"/>
      <c r="U24" s="292" t="s">
        <v>2713</v>
      </c>
    </row>
    <row r="25" spans="2:21" x14ac:dyDescent="0.25">
      <c r="B25" s="285"/>
      <c r="C25" s="285"/>
      <c r="D25" s="285"/>
      <c r="E25" s="285"/>
      <c r="F25" s="285"/>
      <c r="G25" s="285"/>
      <c r="H25" s="285"/>
      <c r="I25" s="285"/>
      <c r="J25" s="301"/>
      <c r="K25" s="302"/>
      <c r="L25" s="302">
        <f t="shared" si="0"/>
        <v>6.6918725692567405E-3</v>
      </c>
      <c r="M25" s="302">
        <f t="shared" si="0"/>
        <v>-2.8378966423088237E-3</v>
      </c>
      <c r="N25" s="302">
        <f t="shared" si="0"/>
        <v>-1.2725687915129402E-3</v>
      </c>
      <c r="O25" s="305"/>
      <c r="P25" s="305"/>
      <c r="Q25" s="305"/>
    </row>
    <row r="26" spans="2:21" x14ac:dyDescent="0.25">
      <c r="B26" s="285"/>
      <c r="C26" s="285"/>
      <c r="D26" s="285"/>
      <c r="E26" s="285"/>
      <c r="F26" s="285"/>
      <c r="G26" s="285"/>
      <c r="H26" s="285"/>
      <c r="I26" s="285"/>
      <c r="J26" s="301"/>
      <c r="K26" s="302"/>
      <c r="L26" s="302">
        <f t="shared" si="0"/>
        <v>5.3172597403435828E-3</v>
      </c>
      <c r="M26" s="302">
        <f t="shared" si="0"/>
        <v>-9.8291303513349249E-3</v>
      </c>
      <c r="N26" s="302">
        <f t="shared" si="0"/>
        <v>-7.368164475029193E-3</v>
      </c>
      <c r="O26" s="305"/>
      <c r="P26" s="305"/>
      <c r="Q26" s="305"/>
    </row>
    <row r="27" spans="2:21" x14ac:dyDescent="0.25">
      <c r="B27" s="285"/>
      <c r="C27" s="298"/>
      <c r="D27" s="299"/>
      <c r="E27" s="299"/>
      <c r="F27" s="299"/>
      <c r="G27" s="299"/>
      <c r="H27" s="302"/>
      <c r="I27" s="314"/>
      <c r="J27" s="301"/>
      <c r="K27" s="285"/>
      <c r="O27" s="305"/>
      <c r="P27" s="305"/>
      <c r="Q27" s="305"/>
    </row>
    <row r="28" spans="2:21" x14ac:dyDescent="0.25">
      <c r="B28" s="285"/>
      <c r="C28" s="298"/>
      <c r="D28" s="299"/>
      <c r="E28" s="299"/>
      <c r="F28" s="299"/>
      <c r="G28" s="299"/>
      <c r="H28" s="302"/>
      <c r="I28" s="301"/>
      <c r="J28" s="301"/>
      <c r="K28" s="285"/>
      <c r="O28" s="305"/>
      <c r="P28" s="305"/>
      <c r="Q28" s="305"/>
    </row>
    <row r="29" spans="2:21" x14ac:dyDescent="0.25">
      <c r="B29" s="285"/>
      <c r="C29" s="298"/>
      <c r="D29" s="299"/>
      <c r="E29" s="299"/>
      <c r="F29" s="299"/>
      <c r="G29" s="299"/>
      <c r="H29" s="302"/>
      <c r="I29" s="301"/>
      <c r="J29" s="301"/>
      <c r="K29" s="285"/>
      <c r="O29" s="305"/>
      <c r="P29" s="305"/>
      <c r="Q29" s="305"/>
    </row>
    <row r="30" spans="2:21" x14ac:dyDescent="0.25">
      <c r="B30" s="285"/>
      <c r="C30" s="298"/>
      <c r="D30" s="299"/>
      <c r="E30" s="299"/>
      <c r="F30" s="299"/>
      <c r="G30" s="299"/>
      <c r="H30" s="302"/>
      <c r="I30" s="301"/>
      <c r="J30" s="301"/>
      <c r="K30" s="285"/>
      <c r="O30" s="305"/>
      <c r="P30" s="305"/>
      <c r="Q30" s="305"/>
    </row>
    <row r="31" spans="2:21" x14ac:dyDescent="0.25">
      <c r="B31" s="285"/>
      <c r="C31" s="298"/>
      <c r="D31" s="299"/>
      <c r="E31" s="299"/>
      <c r="F31" s="299"/>
      <c r="G31" s="299"/>
      <c r="H31" s="302"/>
      <c r="I31" s="301"/>
      <c r="J31" s="301"/>
      <c r="K31" s="301"/>
      <c r="O31" s="305"/>
      <c r="P31" s="305"/>
      <c r="Q31" s="305"/>
    </row>
    <row r="32" spans="2:21" x14ac:dyDescent="0.25">
      <c r="B32" s="285"/>
      <c r="C32" s="298"/>
      <c r="D32" s="299"/>
      <c r="E32" s="299"/>
      <c r="F32" s="299"/>
      <c r="G32" s="299"/>
      <c r="H32" s="298"/>
      <c r="I32" s="301"/>
      <c r="J32" s="301"/>
      <c r="K32" s="301"/>
      <c r="L32" s="302"/>
      <c r="M32" s="302"/>
      <c r="N32" s="302"/>
      <c r="O32" s="305"/>
      <c r="P32" s="305"/>
      <c r="Q32" s="305"/>
    </row>
    <row r="33" spans="3:17" x14ac:dyDescent="0.25">
      <c r="C33" s="305"/>
      <c r="D33" s="309"/>
      <c r="E33" s="309"/>
      <c r="F33" s="309"/>
      <c r="G33" s="309"/>
      <c r="H33" s="305"/>
      <c r="I33" s="305"/>
      <c r="J33" s="305"/>
      <c r="K33" s="309"/>
      <c r="L33" s="302"/>
      <c r="M33" s="302"/>
      <c r="N33" s="302"/>
      <c r="O33" s="305"/>
      <c r="P33" s="309"/>
      <c r="Q33" s="309"/>
    </row>
    <row r="34" spans="3:17" x14ac:dyDescent="0.25">
      <c r="C34" s="305"/>
      <c r="D34" s="309"/>
      <c r="E34" s="309"/>
      <c r="F34" s="309"/>
      <c r="G34" s="309"/>
      <c r="H34" s="305"/>
      <c r="I34" s="305"/>
      <c r="J34" s="305"/>
      <c r="K34" s="309"/>
      <c r="L34" s="302"/>
      <c r="M34" s="302"/>
      <c r="N34" s="302"/>
      <c r="O34" s="305"/>
      <c r="P34" s="309"/>
      <c r="Q34" s="309"/>
    </row>
    <row r="35" spans="3:17" x14ac:dyDescent="0.25">
      <c r="C35" s="305"/>
      <c r="D35" s="309"/>
      <c r="E35" s="309"/>
      <c r="F35" s="309"/>
      <c r="G35" s="309"/>
      <c r="H35" s="305"/>
      <c r="I35" s="305"/>
      <c r="J35" s="305"/>
      <c r="K35" s="309"/>
      <c r="L35" s="302"/>
      <c r="M35" s="302"/>
      <c r="N35" s="302"/>
      <c r="O35" s="305"/>
      <c r="P35" s="309"/>
      <c r="Q35" s="309"/>
    </row>
    <row r="36" spans="3:17" x14ac:dyDescent="0.25">
      <c r="C36" s="305"/>
      <c r="D36" s="309"/>
      <c r="E36" s="309"/>
      <c r="F36" s="309"/>
      <c r="G36" s="309"/>
      <c r="H36" s="305"/>
      <c r="I36" s="305"/>
      <c r="J36" s="305"/>
      <c r="K36" s="309"/>
      <c r="L36" s="309"/>
      <c r="M36" s="305"/>
      <c r="N36" s="305"/>
      <c r="O36" s="305"/>
      <c r="P36" s="309"/>
      <c r="Q36" s="309"/>
    </row>
    <row r="37" spans="3:17" x14ac:dyDescent="0.25">
      <c r="C37" s="305"/>
      <c r="D37" s="309"/>
      <c r="E37" s="309"/>
      <c r="F37" s="309"/>
      <c r="G37" s="309"/>
      <c r="H37" s="305"/>
      <c r="I37" s="305"/>
      <c r="J37" s="305"/>
      <c r="K37" s="309"/>
      <c r="L37" s="309"/>
      <c r="M37" s="305"/>
      <c r="N37" s="305"/>
      <c r="O37" s="305"/>
      <c r="P37" s="309"/>
      <c r="Q37" s="309"/>
    </row>
    <row r="38" spans="3:17" x14ac:dyDescent="0.25">
      <c r="C38" s="305"/>
      <c r="D38" s="309"/>
      <c r="E38" s="309"/>
      <c r="F38" s="309"/>
      <c r="G38" s="309"/>
      <c r="H38" s="305"/>
      <c r="I38" s="305"/>
      <c r="J38" s="305"/>
      <c r="K38" s="309"/>
      <c r="L38" s="309"/>
      <c r="M38" s="305"/>
      <c r="N38" s="305"/>
      <c r="O38" s="305"/>
      <c r="P38" s="309"/>
      <c r="Q38" s="309"/>
    </row>
    <row r="39" spans="3:17" x14ac:dyDescent="0.25">
      <c r="C39" s="305"/>
      <c r="D39" s="309"/>
      <c r="E39" s="309"/>
      <c r="F39" s="309"/>
      <c r="G39" s="309"/>
      <c r="H39" s="305"/>
      <c r="I39" s="305"/>
      <c r="J39" s="305"/>
      <c r="K39" s="309"/>
      <c r="L39" s="309"/>
      <c r="M39" s="305"/>
      <c r="N39" s="305"/>
      <c r="O39" s="305"/>
      <c r="P39" s="309"/>
      <c r="Q39" s="309"/>
    </row>
    <row r="40" spans="3:17" x14ac:dyDescent="0.25">
      <c r="C40" s="305"/>
      <c r="D40" s="309"/>
      <c r="E40" s="309"/>
      <c r="F40" s="309"/>
      <c r="G40" s="309"/>
      <c r="H40" s="305"/>
      <c r="I40" s="305"/>
      <c r="J40" s="305"/>
      <c r="K40" s="309"/>
      <c r="L40" s="309"/>
      <c r="M40" s="305"/>
      <c r="N40" s="305"/>
      <c r="O40" s="305"/>
      <c r="P40" s="309"/>
      <c r="Q40" s="309"/>
    </row>
    <row r="41" spans="3:17" x14ac:dyDescent="0.25">
      <c r="C41" s="305"/>
      <c r="D41" s="309"/>
      <c r="E41" s="309"/>
      <c r="F41" s="309"/>
      <c r="G41" s="309"/>
      <c r="H41" s="305"/>
      <c r="I41" s="305"/>
      <c r="J41" s="305"/>
      <c r="K41" s="309"/>
      <c r="L41" s="309"/>
      <c r="M41" s="305"/>
      <c r="N41" s="305"/>
      <c r="O41" s="305"/>
      <c r="P41" s="309"/>
      <c r="Q41" s="309"/>
    </row>
    <row r="42" spans="3:17" x14ac:dyDescent="0.25">
      <c r="C42" s="305"/>
      <c r="D42" s="309"/>
      <c r="E42" s="309"/>
      <c r="F42" s="309"/>
      <c r="G42" s="309"/>
      <c r="H42" s="305"/>
      <c r="I42" s="305"/>
      <c r="J42" s="305"/>
      <c r="K42" s="309"/>
      <c r="L42" s="309"/>
      <c r="M42" s="305"/>
      <c r="N42" s="305"/>
      <c r="O42" s="305"/>
      <c r="P42" s="309"/>
      <c r="Q42" s="309"/>
    </row>
    <row r="43" spans="3:17" x14ac:dyDescent="0.25">
      <c r="C43" s="305"/>
      <c r="D43" s="309"/>
      <c r="E43" s="309"/>
      <c r="F43" s="309"/>
      <c r="G43" s="309"/>
      <c r="H43" s="305"/>
      <c r="I43" s="305"/>
      <c r="J43" s="305"/>
      <c r="K43" s="309"/>
      <c r="L43" s="309"/>
      <c r="M43" s="305"/>
      <c r="N43" s="305"/>
      <c r="O43" s="305"/>
      <c r="P43" s="309"/>
      <c r="Q43" s="309"/>
    </row>
    <row r="44" spans="3:17" x14ac:dyDescent="0.25">
      <c r="C44" s="305"/>
      <c r="D44" s="309"/>
      <c r="E44" s="309"/>
      <c r="F44" s="309"/>
      <c r="G44" s="309"/>
      <c r="H44" s="305"/>
      <c r="I44" s="305"/>
      <c r="J44" s="305"/>
      <c r="K44" s="309"/>
      <c r="L44" s="309"/>
      <c r="M44" s="305"/>
      <c r="N44" s="305"/>
      <c r="O44" s="305"/>
      <c r="P44" s="309"/>
      <c r="Q44" s="309"/>
    </row>
    <row r="45" spans="3:17" x14ac:dyDescent="0.25">
      <c r="C45" s="285"/>
      <c r="D45" s="285"/>
      <c r="E45" s="285"/>
      <c r="F45" s="285"/>
      <c r="G45" s="285"/>
      <c r="H45" s="285"/>
      <c r="I45" s="285"/>
      <c r="J45" s="305"/>
      <c r="K45" s="309"/>
      <c r="L45" s="309"/>
      <c r="M45" s="305"/>
      <c r="N45" s="305"/>
      <c r="O45" s="305"/>
      <c r="P45" s="309"/>
      <c r="Q45" s="309"/>
    </row>
    <row r="46" spans="3:17" x14ac:dyDescent="0.25">
      <c r="C46" s="285"/>
      <c r="D46" s="285"/>
      <c r="E46" s="285"/>
      <c r="F46" s="285"/>
      <c r="G46" s="285"/>
      <c r="H46" s="285"/>
      <c r="I46" s="285"/>
      <c r="J46" s="305"/>
      <c r="K46" s="309"/>
      <c r="L46" s="309"/>
      <c r="M46" s="305"/>
      <c r="N46" s="305"/>
      <c r="O46" s="305"/>
      <c r="P46" s="309"/>
      <c r="Q46" s="309"/>
    </row>
    <row r="47" spans="3:17" x14ac:dyDescent="0.25">
      <c r="C47" s="285"/>
      <c r="D47" s="285"/>
      <c r="E47" s="285"/>
      <c r="F47" s="285"/>
      <c r="G47" s="285"/>
      <c r="H47" s="285"/>
      <c r="I47" s="285"/>
      <c r="J47" s="305"/>
      <c r="K47" s="309"/>
      <c r="L47" s="309"/>
      <c r="M47" s="305"/>
      <c r="N47" s="305"/>
      <c r="O47" s="305"/>
      <c r="P47" s="309"/>
      <c r="Q47" s="309"/>
    </row>
    <row r="48" spans="3:17" x14ac:dyDescent="0.25">
      <c r="C48" s="285"/>
      <c r="D48" s="285"/>
      <c r="E48" s="285"/>
      <c r="F48" s="285"/>
      <c r="G48" s="285"/>
      <c r="H48" s="285"/>
      <c r="I48" s="285"/>
      <c r="J48" s="305"/>
      <c r="K48" s="309"/>
      <c r="L48" s="309"/>
      <c r="M48" s="305"/>
      <c r="N48" s="305"/>
      <c r="O48" s="305"/>
      <c r="P48" s="309"/>
      <c r="Q48" s="309"/>
    </row>
  </sheetData>
  <mergeCells count="3">
    <mergeCell ref="C4:G4"/>
    <mergeCell ref="H4:L4"/>
    <mergeCell ref="M4:Q4"/>
  </mergeCells>
  <phoneticPr fontId="34" type="noConversion"/>
  <pageMargins left="0.7" right="0.7" top="0.75" bottom="0.75" header="0.3" footer="0.3"/>
  <pageSetup paperSize="9" orientation="portrait" r:id="rId1"/>
  <drawing r:id="rId2"/>
  <legacy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9F9D7-D8B5-4A82-A67F-E844C793E4BA}">
  <sheetPr codeName="Sheet18"/>
  <dimension ref="A1:AH120"/>
  <sheetViews>
    <sheetView zoomScale="80" zoomScaleNormal="80" workbookViewId="0"/>
  </sheetViews>
  <sheetFormatPr defaultRowHeight="15" x14ac:dyDescent="0.25"/>
  <cols>
    <col min="1" max="1" width="19.28515625" customWidth="1"/>
    <col min="2" max="2" width="25.28515625" customWidth="1"/>
    <col min="3" max="3" width="11.42578125" bestFit="1" customWidth="1"/>
    <col min="4" max="7" width="15.85546875" bestFit="1" customWidth="1"/>
    <col min="8" max="8" width="19" bestFit="1" customWidth="1"/>
    <col min="9" max="11" width="18.5703125" bestFit="1" customWidth="1"/>
    <col min="12" max="12" width="12" bestFit="1" customWidth="1"/>
    <col min="13" max="13" width="16" bestFit="1" customWidth="1"/>
    <col min="14" max="14" width="8.7109375" bestFit="1" customWidth="1"/>
    <col min="15" max="15" width="10.42578125" bestFit="1" customWidth="1"/>
    <col min="16" max="16" width="21.42578125" bestFit="1" customWidth="1"/>
    <col min="17" max="17" width="7.140625" bestFit="1" customWidth="1"/>
    <col min="22" max="22" width="18.7109375" bestFit="1" customWidth="1"/>
    <col min="23" max="23" width="4.42578125" bestFit="1" customWidth="1"/>
  </cols>
  <sheetData>
    <row r="1" spans="1:34" x14ac:dyDescent="0.25">
      <c r="A1" s="246" t="s">
        <v>1721</v>
      </c>
      <c r="B1" s="246" t="s">
        <v>239</v>
      </c>
      <c r="C1" s="399" t="s">
        <v>352</v>
      </c>
      <c r="D1" s="278" t="s">
        <v>1006</v>
      </c>
      <c r="E1" s="278" t="s">
        <v>1007</v>
      </c>
      <c r="F1" s="278" t="s">
        <v>1008</v>
      </c>
      <c r="G1" s="562" t="s">
        <v>1009</v>
      </c>
      <c r="H1" s="278" t="s">
        <v>754</v>
      </c>
      <c r="I1" s="278" t="s">
        <v>755</v>
      </c>
      <c r="J1" s="278" t="s">
        <v>756</v>
      </c>
      <c r="K1" s="278" t="s">
        <v>757</v>
      </c>
      <c r="L1" s="246" t="s">
        <v>461</v>
      </c>
      <c r="M1" s="272" t="s">
        <v>249</v>
      </c>
      <c r="N1" s="246" t="s">
        <v>465</v>
      </c>
      <c r="T1" s="386"/>
      <c r="V1" t="s">
        <v>2747</v>
      </c>
      <c r="W1" t="s">
        <v>2748</v>
      </c>
      <c r="X1">
        <v>5</v>
      </c>
      <c r="Y1">
        <f>X1+1</f>
        <v>6</v>
      </c>
      <c r="Z1" s="346">
        <f t="shared" ref="Z1:AE1" si="0">Y1+1</f>
        <v>7</v>
      </c>
      <c r="AA1" s="346">
        <f t="shared" si="0"/>
        <v>8</v>
      </c>
      <c r="AB1" s="346">
        <f t="shared" si="0"/>
        <v>9</v>
      </c>
      <c r="AC1" s="346">
        <f t="shared" si="0"/>
        <v>10</v>
      </c>
      <c r="AD1" s="346">
        <f t="shared" si="0"/>
        <v>11</v>
      </c>
      <c r="AE1" s="346">
        <f t="shared" si="0"/>
        <v>12</v>
      </c>
      <c r="AF1" s="346"/>
      <c r="AG1" s="346"/>
      <c r="AH1" s="346"/>
    </row>
    <row r="2" spans="1:34" x14ac:dyDescent="0.25">
      <c r="A2" s="277">
        <v>1100000141</v>
      </c>
      <c r="B2" s="277" t="str">
        <f>INDEX('Loan Book Summary'!B:C,MATCH('Input PD LGD'!A2,'Loan Book Summary'!C:C,0),1)</f>
        <v>Notes: Music &amp; Coffee Ltd - Business Loan - Growth Capital</v>
      </c>
      <c r="C2" s="400">
        <f>VLOOKUP(A2,Reference_Rate_Repricing_Report!B:P,15,FALSE)</f>
        <v>9.19</v>
      </c>
      <c r="D2" s="276">
        <f>IF('Ref-Data'!$Z$2="ON",VLOOKUP($A2,'MacroPD-Cal'!$A:$L,X$1,FALSE),IF('Ref-Data'!$Z$5 = "Weighted",VLOOKUP($A2,'Model Output_TTC'!$A:$CB,X$2,FALSE),IF('Ref-Data'!$Z$5="Baseline",VLOOKUP('Input PD LGD'!$A2,'Model Output_TTC'!$A:$AU,'Input PD LGD'!X$4,FALSE),IF('Ref-Data'!$Z$5="90th Percentile",VLOOKUP('Input PD LGD'!$A2,'Model Output_TTC'!$A:$BP,'Input PD LGD'!X$6,FALSE),IF('Ref-Data'!$Z$5="96th Percentile",VLOOKUP('Input PD LGD'!$A2,'Model Output_TTC'!$A:$Z,'Input PD LGD'!X$8,FALSE),"")))))</f>
        <v>6.7234241966616613E-3</v>
      </c>
      <c r="E2" s="276">
        <f>IF('Ref-Data'!$Z$2="ON",VLOOKUP($A2,'MacroPD-Cal'!$A:$L,Y$1,FALSE),IF('Ref-Data'!$Z$5 = "Weighted",VLOOKUP($A2,'Model Output_TTC'!$A:$CB,Y$2,FALSE),IF('Ref-Data'!$Z$5="Baseline",VLOOKUP('Input PD LGD'!$A2,'Model Output_TTC'!$A:$AU,'Input PD LGD'!Y$4,FALSE),IF('Ref-Data'!$Z$5="90th Percentile",VLOOKUP('Input PD LGD'!$A2,'Model Output_TTC'!$A:$BP,'Input PD LGD'!Y$6,FALSE),IF('Ref-Data'!$Z$5="96th Percentile",VLOOKUP('Input PD LGD'!$A2,'Model Output_TTC'!$A:$Z,'Input PD LGD'!Y$8,FALSE),"")))))</f>
        <v>1.5375864900907144E-2</v>
      </c>
      <c r="F2" s="276">
        <f>IF('Ref-Data'!$Z$2="ON",VLOOKUP($A2,'MacroPD-Cal'!$A:$L,Z$1,FALSE),IF('Ref-Data'!$Z$5 = "Weighted",VLOOKUP($A2,'Model Output_TTC'!$A:$CB,Z$2,FALSE),IF('Ref-Data'!$Z$5="Baseline",VLOOKUP('Input PD LGD'!$A2,'Model Output_TTC'!$A:$AU,'Input PD LGD'!Z$4,FALSE),IF('Ref-Data'!$Z$5="90th Percentile",VLOOKUP('Input PD LGD'!$A2,'Model Output_TTC'!$A:$BP,'Input PD LGD'!Z$6,FALSE),IF('Ref-Data'!$Z$5="96th Percentile",VLOOKUP('Input PD LGD'!$A2,'Model Output_TTC'!$A:$Z,'Input PD LGD'!Z$8,FALSE),"")))))</f>
        <v>2.5048292037594289E-2</v>
      </c>
      <c r="G2" s="276">
        <f>IF('Ref-Data'!$Z$2="ON",VLOOKUP($A2,'MacroPD-Cal'!$A:$L,AA$1,FALSE),IF('Ref-Data'!$Z$5 = "Weighted",VLOOKUP($A2,'Model Output_TTC'!$A:$CB,AA$2,FALSE),IF('Ref-Data'!$Z$5="Baseline",VLOOKUP('Input PD LGD'!$A2,'Model Output_TTC'!$A:$AU,'Input PD LGD'!AA$4,FALSE),IF('Ref-Data'!$Z$5="90th Percentile",VLOOKUP('Input PD LGD'!$A2,'Model Output_TTC'!$A:$BP,'Input PD LGD'!AA$6,FALSE),IF('Ref-Data'!$Z$5="96th Percentile",VLOOKUP('Input PD LGD'!$A2,'Model Output_TTC'!$A:$Z,'Input PD LGD'!AA$8,FALSE),"")))))</f>
        <v>3.7200000000000004E-2</v>
      </c>
      <c r="H2" s="276">
        <f>IF('Ref-Data'!$Z$2="ON",VLOOKUP($A2,'MacroPD-Cal'!$A:$L,AB$1,FALSE),IF('Ref-Data'!$Z$5 = "Weighted",VLOOKUP($A2,'Model Output_TTC'!$A:$CB,AB$2,FALSE),IF('Ref-Data'!$Z$5="Baseline",VLOOKUP('Input PD LGD'!$A2,'Model Output_TTC'!$A:$AU,'Input PD LGD'!AB$4,FALSE),IF('Ref-Data'!$Z$5="90th Percentile",VLOOKUP('Input PD LGD'!$A2,'Model Output_TTC'!$A:$BP,'Input PD LGD'!AB$6,FALSE),IF('Ref-Data'!$Z$5="96th Percentile",VLOOKUP('Input PD LGD'!$A2,'Model Output_TTC'!$A:$Z,'Input PD LGD'!AB$8,FALSE),"")))))</f>
        <v>5.7800000000000004E-2</v>
      </c>
      <c r="I2" s="276">
        <f>IF('Ref-Data'!$Z$2="ON",VLOOKUP($A2,'MacroPD-Cal'!$A:$L,AC$1,FALSE),IF('Ref-Data'!$Z$5 = "Weighted",VLOOKUP($A2,'Model Output_TTC'!$A:$CB,AC$2,FALSE),IF('Ref-Data'!$Z$5="Baseline",VLOOKUP('Input PD LGD'!$A2,'Model Output_TTC'!$A:$AU,'Input PD LGD'!AC$4,FALSE),IF('Ref-Data'!$Z$5="90th Percentile",VLOOKUP('Input PD LGD'!$A2,'Model Output_TTC'!$A:$BP,'Input PD LGD'!AC$6,FALSE),IF('Ref-Data'!$Z$5="96th Percentile",VLOOKUP('Input PD LGD'!$A2,'Model Output_TTC'!$A:$Z,'Input PD LGD'!AC$8,FALSE),"")))))</f>
        <v>7.060000000000001E-2</v>
      </c>
      <c r="J2" s="276">
        <f>IF('Ref-Data'!$Z$2="ON",VLOOKUP($A2,'MacroPD-Cal'!$A:$L,AD$1,FALSE),IF('Ref-Data'!$Z$5 = "Weighted",VLOOKUP($A2,'Model Output_TTC'!$A:$CB,AD$2,FALSE),IF('Ref-Data'!$Z$5="Baseline",VLOOKUP('Input PD LGD'!$A2,'Model Output_TTC'!$A:$AU,'Input PD LGD'!AD$4,FALSE),IF('Ref-Data'!$Z$5="90th Percentile",VLOOKUP('Input PD LGD'!$A2,'Model Output_TTC'!$A:$BP,'Input PD LGD'!AD$6,FALSE),IF('Ref-Data'!$Z$5="96th Percentile",VLOOKUP('Input PD LGD'!$A2,'Model Output_TTC'!$A:$Z,'Input PD LGD'!AD$8,FALSE),"")))))</f>
        <v>9.7700000000000009E-2</v>
      </c>
      <c r="K2" s="276">
        <f>IF('Ref-Data'!$Z$2="ON",VLOOKUP($A2,'MacroPD-Cal'!$A:$L,AE$1,FALSE),IF('Ref-Data'!$Z$5 = "Weighted",VLOOKUP($A2,'Model Output_TTC'!$A:$CB,AE$2,FALSE),IF('Ref-Data'!$Z$5="Baseline",VLOOKUP('Input PD LGD'!$A2,'Model Output_TTC'!$A:$AU,'Input PD LGD'!AE$4,FALSE),IF('Ref-Data'!$Z$5="90th Percentile",VLOOKUP('Input PD LGD'!$A2,'Model Output_TTC'!$A:$BP,'Input PD LGD'!AE$6,FALSE),IF('Ref-Data'!$Z$5="96th Percentile",VLOOKUP('Input PD LGD'!$A2,'Model Output_TTC'!$A:$Z,'Input PD LGD'!AE$8,FALSE),"")))))</f>
        <v>0.12480000000000001</v>
      </c>
      <c r="L2" s="274">
        <f>VLOOKUP(A2,'Ref-Data'!$A:$N,14,0)</f>
        <v>0.37514320519767774</v>
      </c>
      <c r="M2" s="354">
        <f>VLOOKUP(A2,'Ref-Data'!A:I,9,0)</f>
        <v>1</v>
      </c>
      <c r="N2" s="354" t="s">
        <v>1156</v>
      </c>
      <c r="W2" s="348" t="s">
        <v>2749</v>
      </c>
      <c r="X2">
        <v>73</v>
      </c>
      <c r="Y2" s="346">
        <f>X2+1</f>
        <v>74</v>
      </c>
      <c r="Z2" s="346">
        <f t="shared" ref="Z2:AE2" si="1">Y2+1</f>
        <v>75</v>
      </c>
      <c r="AA2" s="346">
        <f t="shared" si="1"/>
        <v>76</v>
      </c>
      <c r="AB2" s="346">
        <f t="shared" si="1"/>
        <v>77</v>
      </c>
      <c r="AC2" s="346">
        <f t="shared" si="1"/>
        <v>78</v>
      </c>
      <c r="AD2" s="346">
        <f t="shared" si="1"/>
        <v>79</v>
      </c>
      <c r="AE2" s="346">
        <f t="shared" si="1"/>
        <v>80</v>
      </c>
    </row>
    <row r="3" spans="1:34" x14ac:dyDescent="0.25">
      <c r="A3" s="277">
        <v>1100000145</v>
      </c>
      <c r="B3" s="277" t="str">
        <f>INDEX('Loan Book Summary'!B:C,MATCH('Input PD LGD'!A3,'Loan Book Summary'!C:C,0),1)</f>
        <v>Z Hotels Holdco Limited - Z Hotels Holborn Limited - Business Trading</v>
      </c>
      <c r="C3" s="400">
        <f>VLOOKUP(A3,Reference_Rate_Repricing_Report!B:P,15,FALSE)</f>
        <v>6.93</v>
      </c>
      <c r="D3" s="276">
        <f>IF('Ref-Data'!$Z$2="ON",VLOOKUP($A3,'MacroPD-Cal'!$A:$L,X$1,FALSE),IF('Ref-Data'!$Z$5 = "Weighted",VLOOKUP($A3,'Model Output_TTC'!$A:$CB,X$2,FALSE),IF('Ref-Data'!$Z$5="Baseline",VLOOKUP('Input PD LGD'!$A3,'Model Output_TTC'!$A:$AU,'Input PD LGD'!X$4,FALSE),IF('Ref-Data'!$Z$5="90th Percentile",VLOOKUP('Input PD LGD'!$A3,'Model Output_TTC'!$A:$BP,'Input PD LGD'!X$6,FALSE),IF('Ref-Data'!$Z$5="96th Percentile",VLOOKUP('Input PD LGD'!$A3,'Model Output_TTC'!$A:$Z,'Input PD LGD'!X$8,FALSE),"")))))</f>
        <v>2.5522499619300774E-2</v>
      </c>
      <c r="E3" s="276">
        <f>IF('Ref-Data'!$Z$2="ON",VLOOKUP($A3,'MacroPD-Cal'!$A:$L,Y$1,FALSE),IF('Ref-Data'!$Z$5 = "Weighted",VLOOKUP($A3,'Model Output_TTC'!$A:$CB,Y$2,FALSE),IF('Ref-Data'!$Z$5="Baseline",VLOOKUP('Input PD LGD'!$A3,'Model Output_TTC'!$A:$AU,'Input PD LGD'!Y$4,FALSE),IF('Ref-Data'!$Z$5="90th Percentile",VLOOKUP('Input PD LGD'!$A3,'Model Output_TTC'!$A:$BP,'Input PD LGD'!Y$6,FALSE),IF('Ref-Data'!$Z$5="96th Percentile",VLOOKUP('Input PD LGD'!$A3,'Model Output_TTC'!$A:$Z,'Input PD LGD'!Y$8,FALSE),"")))))</f>
        <v>5.6365334901311459E-2</v>
      </c>
      <c r="F3" s="276">
        <f>IF('Ref-Data'!$Z$2="ON",VLOOKUP($A3,'MacroPD-Cal'!$A:$L,Z$1,FALSE),IF('Ref-Data'!$Z$5 = "Weighted",VLOOKUP($A3,'Model Output_TTC'!$A:$CB,Z$2,FALSE),IF('Ref-Data'!$Z$5="Baseline",VLOOKUP('Input PD LGD'!$A3,'Model Output_TTC'!$A:$AU,'Input PD LGD'!Z$4,FALSE),IF('Ref-Data'!$Z$5="90th Percentile",VLOOKUP('Input PD LGD'!$A3,'Model Output_TTC'!$A:$BP,'Input PD LGD'!Z$6,FALSE),IF('Ref-Data'!$Z$5="96th Percentile",VLOOKUP('Input PD LGD'!$A3,'Model Output_TTC'!$A:$Z,'Input PD LGD'!Z$8,FALSE),"")))))</f>
        <v>8.9355863861766638E-2</v>
      </c>
      <c r="G3" s="276">
        <f>IF('Ref-Data'!$Z$2="ON",VLOOKUP($A3,'MacroPD-Cal'!$A:$L,AA$1,FALSE),IF('Ref-Data'!$Z$5 = "Weighted",VLOOKUP($A3,'Model Output_TTC'!$A:$CB,AA$2,FALSE),IF('Ref-Data'!$Z$5="Baseline",VLOOKUP('Input PD LGD'!$A3,'Model Output_TTC'!$A:$AU,'Input PD LGD'!AA$4,FALSE),IF('Ref-Data'!$Z$5="90th Percentile",VLOOKUP('Input PD LGD'!$A3,'Model Output_TTC'!$A:$BP,'Input PD LGD'!AA$6,FALSE),IF('Ref-Data'!$Z$5="96th Percentile",VLOOKUP('Input PD LGD'!$A3,'Model Output_TTC'!$A:$Z,'Input PD LGD'!AA$8,FALSE),"")))))</f>
        <v>0.1283</v>
      </c>
      <c r="H3" s="276">
        <f>IF('Ref-Data'!$Z$2="ON",VLOOKUP($A3,'MacroPD-Cal'!$A:$L,AB$1,FALSE),IF('Ref-Data'!$Z$5 = "Weighted",VLOOKUP($A3,'Model Output_TTC'!$A:$CB,AB$2,FALSE),IF('Ref-Data'!$Z$5="Baseline",VLOOKUP('Input PD LGD'!$A3,'Model Output_TTC'!$A:$AU,'Input PD LGD'!AB$4,FALSE),IF('Ref-Data'!$Z$5="90th Percentile",VLOOKUP('Input PD LGD'!$A3,'Model Output_TTC'!$A:$BP,'Input PD LGD'!AB$6,FALSE),IF('Ref-Data'!$Z$5="96th Percentile",VLOOKUP('Input PD LGD'!$A3,'Model Output_TTC'!$A:$Z,'Input PD LGD'!AB$8,FALSE),"")))))</f>
        <v>0.1852</v>
      </c>
      <c r="I3" s="276">
        <f>IF('Ref-Data'!$Z$2="ON",VLOOKUP($A3,'MacroPD-Cal'!$A:$L,AC$1,FALSE),IF('Ref-Data'!$Z$5 = "Weighted",VLOOKUP($A3,'Model Output_TTC'!$A:$CB,AC$2,FALSE),IF('Ref-Data'!$Z$5="Baseline",VLOOKUP('Input PD LGD'!$A3,'Model Output_TTC'!$A:$AU,'Input PD LGD'!AC$4,FALSE),IF('Ref-Data'!$Z$5="90th Percentile",VLOOKUP('Input PD LGD'!$A3,'Model Output_TTC'!$A:$BP,'Input PD LGD'!AC$6,FALSE),IF('Ref-Data'!$Z$5="96th Percentile",VLOOKUP('Input PD LGD'!$A3,'Model Output_TTC'!$A:$Z,'Input PD LGD'!AC$8,FALSE),"")))))</f>
        <v>0.21690000000000001</v>
      </c>
      <c r="J3" s="276">
        <f>IF('Ref-Data'!$Z$2="ON",VLOOKUP($A3,'MacroPD-Cal'!$A:$L,AD$1,FALSE),IF('Ref-Data'!$Z$5 = "Weighted",VLOOKUP($A3,'Model Output_TTC'!$A:$CB,AD$2,FALSE),IF('Ref-Data'!$Z$5="Baseline",VLOOKUP('Input PD LGD'!$A3,'Model Output_TTC'!$A:$AU,'Input PD LGD'!AD$4,FALSE),IF('Ref-Data'!$Z$5="90th Percentile",VLOOKUP('Input PD LGD'!$A3,'Model Output_TTC'!$A:$BP,'Input PD LGD'!AD$6,FALSE),IF('Ref-Data'!$Z$5="96th Percentile",VLOOKUP('Input PD LGD'!$A3,'Model Output_TTC'!$A:$Z,'Input PD LGD'!AD$8,FALSE),"")))))</f>
        <v>0.26940000000000003</v>
      </c>
      <c r="K3" s="276">
        <f>IF('Ref-Data'!$Z$2="ON",VLOOKUP($A3,'MacroPD-Cal'!$A:$L,AE$1,FALSE),IF('Ref-Data'!$Z$5 = "Weighted",VLOOKUP($A3,'Model Output_TTC'!$A:$CB,AE$2,FALSE),IF('Ref-Data'!$Z$5="Baseline",VLOOKUP('Input PD LGD'!$A3,'Model Output_TTC'!$A:$AU,'Input PD LGD'!AE$4,FALSE),IF('Ref-Data'!$Z$5="90th Percentile",VLOOKUP('Input PD LGD'!$A3,'Model Output_TTC'!$A:$BP,'Input PD LGD'!AE$6,FALSE),IF('Ref-Data'!$Z$5="96th Percentile",VLOOKUP('Input PD LGD'!$A3,'Model Output_TTC'!$A:$Z,'Input PD LGD'!AE$8,FALSE),"")))))</f>
        <v>0.31620000000000004</v>
      </c>
      <c r="L3" s="274">
        <f>VLOOKUP(A3,'Ref-Data'!$A:$N,14,0)</f>
        <v>0.2402</v>
      </c>
      <c r="M3" s="354">
        <f>VLOOKUP(A3,'Ref-Data'!A:I,9,0)</f>
        <v>1</v>
      </c>
      <c r="N3" s="354" t="s">
        <v>1156</v>
      </c>
      <c r="T3" s="346"/>
      <c r="V3" t="s">
        <v>2750</v>
      </c>
      <c r="W3" t="s">
        <v>2748</v>
      </c>
    </row>
    <row r="4" spans="1:34" x14ac:dyDescent="0.25">
      <c r="A4" s="277">
        <v>1100000199</v>
      </c>
      <c r="B4" s="277" t="str">
        <f>INDEX('Loan Book Summary'!B:C,MATCH('Input PD LGD'!A4,'Loan Book Summary'!C:C,0),1)</f>
        <v>Whiskey (BidCo) Limited - Business Trading - Tranche A - Non-CBILS Facility</v>
      </c>
      <c r="C4" s="400">
        <f>VLOOKUP(A4,Reference_Rate_Repricing_Report!B:P,15,FALSE)</f>
        <v>6.7</v>
      </c>
      <c r="D4" s="276">
        <f>IF('Ref-Data'!$Z$2="ON",VLOOKUP($A4,'MacroPD-Cal'!$A:$L,X$1,FALSE),IF('Ref-Data'!$Z$5 = "Weighted",VLOOKUP($A4,'Model Output_TTC'!$A:$CB,X$2,FALSE),IF('Ref-Data'!$Z$5="Baseline",VLOOKUP('Input PD LGD'!$A4,'Model Output_TTC'!$A:$AU,'Input PD LGD'!X$4,FALSE),IF('Ref-Data'!$Z$5="90th Percentile",VLOOKUP('Input PD LGD'!$A4,'Model Output_TTC'!$A:$BP,'Input PD LGD'!X$6,FALSE),IF('Ref-Data'!$Z$5="96th Percentile",VLOOKUP('Input PD LGD'!$A4,'Model Output_TTC'!$A:$Z,'Input PD LGD'!X$8,FALSE),"")))))</f>
        <v>1.2213071921756953E-3</v>
      </c>
      <c r="E4" s="276">
        <f>IF('Ref-Data'!$Z$2="ON",VLOOKUP($A4,'MacroPD-Cal'!$A:$L,Y$1,FALSE),IF('Ref-Data'!$Z$5 = "Weighted",VLOOKUP($A4,'Model Output_TTC'!$A:$CB,Y$2,FALSE),IF('Ref-Data'!$Z$5="Baseline",VLOOKUP('Input PD LGD'!$A4,'Model Output_TTC'!$A:$AU,'Input PD LGD'!Y$4,FALSE),IF('Ref-Data'!$Z$5="90th Percentile",VLOOKUP('Input PD LGD'!$A4,'Model Output_TTC'!$A:$BP,'Input PD LGD'!Y$6,FALSE),IF('Ref-Data'!$Z$5="96th Percentile",VLOOKUP('Input PD LGD'!$A4,'Model Output_TTC'!$A:$Z,'Input PD LGD'!Y$8,FALSE),"")))))</f>
        <v>2.8798866476352769E-3</v>
      </c>
      <c r="F4" s="276">
        <f>IF('Ref-Data'!$Z$2="ON",VLOOKUP($A4,'MacroPD-Cal'!$A:$L,Z$1,FALSE),IF('Ref-Data'!$Z$5 = "Weighted",VLOOKUP($A4,'Model Output_TTC'!$A:$CB,Z$2,FALSE),IF('Ref-Data'!$Z$5="Baseline",VLOOKUP('Input PD LGD'!$A4,'Model Output_TTC'!$A:$AU,'Input PD LGD'!Z$4,FALSE),IF('Ref-Data'!$Z$5="90th Percentile",VLOOKUP('Input PD LGD'!$A4,'Model Output_TTC'!$A:$BP,'Input PD LGD'!Z$6,FALSE),IF('Ref-Data'!$Z$5="96th Percentile",VLOOKUP('Input PD LGD'!$A4,'Model Output_TTC'!$A:$Z,'Input PD LGD'!Z$8,FALSE),"")))))</f>
        <v>4.7903459833295026E-3</v>
      </c>
      <c r="G4" s="276">
        <f>IF('Ref-Data'!$Z$2="ON",VLOOKUP($A4,'MacroPD-Cal'!$A:$L,AA$1,FALSE),IF('Ref-Data'!$Z$5 = "Weighted",VLOOKUP($A4,'Model Output_TTC'!$A:$CB,AA$2,FALSE),IF('Ref-Data'!$Z$5="Baseline",VLOOKUP('Input PD LGD'!$A4,'Model Output_TTC'!$A:$AU,'Input PD LGD'!AA$4,FALSE),IF('Ref-Data'!$Z$5="90th Percentile",VLOOKUP('Input PD LGD'!$A4,'Model Output_TTC'!$A:$BP,'Input PD LGD'!AA$6,FALSE),IF('Ref-Data'!$Z$5="96th Percentile",VLOOKUP('Input PD LGD'!$A4,'Model Output_TTC'!$A:$Z,'Input PD LGD'!AA$8,FALSE),"")))))</f>
        <v>7.3000000000000001E-3</v>
      </c>
      <c r="H4" s="276">
        <f>IF('Ref-Data'!$Z$2="ON",VLOOKUP($A4,'MacroPD-Cal'!$A:$L,AB$1,FALSE),IF('Ref-Data'!$Z$5 = "Weighted",VLOOKUP($A4,'Model Output_TTC'!$A:$CB,AB$2,FALSE),IF('Ref-Data'!$Z$5="Baseline",VLOOKUP('Input PD LGD'!$A4,'Model Output_TTC'!$A:$AU,'Input PD LGD'!AB$4,FALSE),IF('Ref-Data'!$Z$5="90th Percentile",VLOOKUP('Input PD LGD'!$A4,'Model Output_TTC'!$A:$BP,'Input PD LGD'!AB$6,FALSE),IF('Ref-Data'!$Z$5="96th Percentile",VLOOKUP('Input PD LGD'!$A4,'Model Output_TTC'!$A:$Z,'Input PD LGD'!AB$8,FALSE),"")))))</f>
        <v>1.17E-2</v>
      </c>
      <c r="I4" s="276">
        <f>IF('Ref-Data'!$Z$2="ON",VLOOKUP($A4,'MacroPD-Cal'!$A:$L,AC$1,FALSE),IF('Ref-Data'!$Z$5 = "Weighted",VLOOKUP($A4,'Model Output_TTC'!$A:$CB,AC$2,FALSE),IF('Ref-Data'!$Z$5="Baseline",VLOOKUP('Input PD LGD'!$A4,'Model Output_TTC'!$A:$AU,'Input PD LGD'!AC$4,FALSE),IF('Ref-Data'!$Z$5="90th Percentile",VLOOKUP('Input PD LGD'!$A4,'Model Output_TTC'!$A:$BP,'Input PD LGD'!AC$6,FALSE),IF('Ref-Data'!$Z$5="96th Percentile",VLOOKUP('Input PD LGD'!$A4,'Model Output_TTC'!$A:$Z,'Input PD LGD'!AC$8,FALSE),"")))))</f>
        <v>1.4500000000000001E-2</v>
      </c>
      <c r="J4" s="276">
        <f>IF('Ref-Data'!$Z$2="ON",VLOOKUP($A4,'MacroPD-Cal'!$A:$L,AD$1,FALSE),IF('Ref-Data'!$Z$5 = "Weighted",VLOOKUP($A4,'Model Output_TTC'!$A:$CB,AD$2,FALSE),IF('Ref-Data'!$Z$5="Baseline",VLOOKUP('Input PD LGD'!$A4,'Model Output_TTC'!$A:$AU,'Input PD LGD'!AD$4,FALSE),IF('Ref-Data'!$Z$5="90th Percentile",VLOOKUP('Input PD LGD'!$A4,'Model Output_TTC'!$A:$BP,'Input PD LGD'!AD$6,FALSE),IF('Ref-Data'!$Z$5="96th Percentile",VLOOKUP('Input PD LGD'!$A4,'Model Output_TTC'!$A:$Z,'Input PD LGD'!AD$8,FALSE),"")))))</f>
        <v>2.2100000000000002E-2</v>
      </c>
      <c r="K4" s="276">
        <f>IF('Ref-Data'!$Z$2="ON",VLOOKUP($A4,'MacroPD-Cal'!$A:$L,AE$1,FALSE),IF('Ref-Data'!$Z$5 = "Weighted",VLOOKUP($A4,'Model Output_TTC'!$A:$CB,AE$2,FALSE),IF('Ref-Data'!$Z$5="Baseline",VLOOKUP('Input PD LGD'!$A4,'Model Output_TTC'!$A:$AU,'Input PD LGD'!AE$4,FALSE),IF('Ref-Data'!$Z$5="90th Percentile",VLOOKUP('Input PD LGD'!$A4,'Model Output_TTC'!$A:$BP,'Input PD LGD'!AE$6,FALSE),IF('Ref-Data'!$Z$5="96th Percentile",VLOOKUP('Input PD LGD'!$A4,'Model Output_TTC'!$A:$Z,'Input PD LGD'!AE$8,FALSE),"")))))</f>
        <v>3.0300000000000001E-2</v>
      </c>
      <c r="L4" s="274">
        <f>VLOOKUP(A4,'Ref-Data'!$A:$N,14,0)</f>
        <v>0.42375534614710542</v>
      </c>
      <c r="M4" s="354">
        <f>VLOOKUP(A4,'Ref-Data'!A:I,9,0)</f>
        <v>1</v>
      </c>
      <c r="N4" s="354" t="s">
        <v>1156</v>
      </c>
      <c r="T4" s="346"/>
      <c r="W4" s="348" t="s">
        <v>2749</v>
      </c>
      <c r="X4">
        <f>COLUMN(AL1)</f>
        <v>38</v>
      </c>
      <c r="Y4" s="346">
        <f t="shared" ref="Y4:AE4" si="2">COLUMN(AM1)</f>
        <v>39</v>
      </c>
      <c r="Z4" s="346">
        <f t="shared" si="2"/>
        <v>40</v>
      </c>
      <c r="AA4" s="346">
        <f t="shared" si="2"/>
        <v>41</v>
      </c>
      <c r="AB4" s="346">
        <f t="shared" si="2"/>
        <v>42</v>
      </c>
      <c r="AC4" s="346">
        <f t="shared" si="2"/>
        <v>43</v>
      </c>
      <c r="AD4" s="346">
        <f t="shared" si="2"/>
        <v>44</v>
      </c>
      <c r="AE4" s="346">
        <f t="shared" si="2"/>
        <v>45</v>
      </c>
    </row>
    <row r="5" spans="1:34" x14ac:dyDescent="0.25">
      <c r="A5" s="277">
        <v>1100000198</v>
      </c>
      <c r="B5" s="277" t="str">
        <f>INDEX('Loan Book Summary'!B:C,MATCH('Input PD LGD'!A5,'Loan Book Summary'!C:C,0),1)</f>
        <v>Whiskey (BidCo) Limited - Business Trading - Tranche B - Non-CBILS Facility</v>
      </c>
      <c r="C5" s="400">
        <f>VLOOKUP(A5,Reference_Rate_Repricing_Report!B:P,15,FALSE)</f>
        <v>6.7</v>
      </c>
      <c r="D5" s="276">
        <f>IF('Ref-Data'!$Z$2="ON",VLOOKUP($A5,'MacroPD-Cal'!$A:$L,X$1,FALSE),IF('Ref-Data'!$Z$5 = "Weighted",VLOOKUP($A5,'Model Output_TTC'!$A:$CB,X$2,FALSE),IF('Ref-Data'!$Z$5="Baseline",VLOOKUP('Input PD LGD'!$A5,'Model Output_TTC'!$A:$AU,'Input PD LGD'!X$4,FALSE),IF('Ref-Data'!$Z$5="90th Percentile",VLOOKUP('Input PD LGD'!$A5,'Model Output_TTC'!$A:$BP,'Input PD LGD'!X$6,FALSE),IF('Ref-Data'!$Z$5="96th Percentile",VLOOKUP('Input PD LGD'!$A5,'Model Output_TTC'!$A:$Z,'Input PD LGD'!X$8,FALSE),"")))))</f>
        <v>1.2213071921756953E-3</v>
      </c>
      <c r="E5" s="276">
        <f>IF('Ref-Data'!$Z$2="ON",VLOOKUP($A5,'MacroPD-Cal'!$A:$L,Y$1,FALSE),IF('Ref-Data'!$Z$5 = "Weighted",VLOOKUP($A5,'Model Output_TTC'!$A:$CB,Y$2,FALSE),IF('Ref-Data'!$Z$5="Baseline",VLOOKUP('Input PD LGD'!$A5,'Model Output_TTC'!$A:$AU,'Input PD LGD'!Y$4,FALSE),IF('Ref-Data'!$Z$5="90th Percentile",VLOOKUP('Input PD LGD'!$A5,'Model Output_TTC'!$A:$BP,'Input PD LGD'!Y$6,FALSE),IF('Ref-Data'!$Z$5="96th Percentile",VLOOKUP('Input PD LGD'!$A5,'Model Output_TTC'!$A:$Z,'Input PD LGD'!Y$8,FALSE),"")))))</f>
        <v>2.8798866476352769E-3</v>
      </c>
      <c r="F5" s="276">
        <f>IF('Ref-Data'!$Z$2="ON",VLOOKUP($A5,'MacroPD-Cal'!$A:$L,Z$1,FALSE),IF('Ref-Data'!$Z$5 = "Weighted",VLOOKUP($A5,'Model Output_TTC'!$A:$CB,Z$2,FALSE),IF('Ref-Data'!$Z$5="Baseline",VLOOKUP('Input PD LGD'!$A5,'Model Output_TTC'!$A:$AU,'Input PD LGD'!Z$4,FALSE),IF('Ref-Data'!$Z$5="90th Percentile",VLOOKUP('Input PD LGD'!$A5,'Model Output_TTC'!$A:$BP,'Input PD LGD'!Z$6,FALSE),IF('Ref-Data'!$Z$5="96th Percentile",VLOOKUP('Input PD LGD'!$A5,'Model Output_TTC'!$A:$Z,'Input PD LGD'!Z$8,FALSE),"")))))</f>
        <v>4.7903459833295026E-3</v>
      </c>
      <c r="G5" s="276">
        <f>IF('Ref-Data'!$Z$2="ON",VLOOKUP($A5,'MacroPD-Cal'!$A:$L,AA$1,FALSE),IF('Ref-Data'!$Z$5 = "Weighted",VLOOKUP($A5,'Model Output_TTC'!$A:$CB,AA$2,FALSE),IF('Ref-Data'!$Z$5="Baseline",VLOOKUP('Input PD LGD'!$A5,'Model Output_TTC'!$A:$AU,'Input PD LGD'!AA$4,FALSE),IF('Ref-Data'!$Z$5="90th Percentile",VLOOKUP('Input PD LGD'!$A5,'Model Output_TTC'!$A:$BP,'Input PD LGD'!AA$6,FALSE),IF('Ref-Data'!$Z$5="96th Percentile",VLOOKUP('Input PD LGD'!$A5,'Model Output_TTC'!$A:$Z,'Input PD LGD'!AA$8,FALSE),"")))))</f>
        <v>7.3000000000000001E-3</v>
      </c>
      <c r="H5" s="276">
        <f>IF('Ref-Data'!$Z$2="ON",VLOOKUP($A5,'MacroPD-Cal'!$A:$L,AB$1,FALSE),IF('Ref-Data'!$Z$5 = "Weighted",VLOOKUP($A5,'Model Output_TTC'!$A:$CB,AB$2,FALSE),IF('Ref-Data'!$Z$5="Baseline",VLOOKUP('Input PD LGD'!$A5,'Model Output_TTC'!$A:$AU,'Input PD LGD'!AB$4,FALSE),IF('Ref-Data'!$Z$5="90th Percentile",VLOOKUP('Input PD LGD'!$A5,'Model Output_TTC'!$A:$BP,'Input PD LGD'!AB$6,FALSE),IF('Ref-Data'!$Z$5="96th Percentile",VLOOKUP('Input PD LGD'!$A5,'Model Output_TTC'!$A:$Z,'Input PD LGD'!AB$8,FALSE),"")))))</f>
        <v>1.17E-2</v>
      </c>
      <c r="I5" s="276">
        <f>IF('Ref-Data'!$Z$2="ON",VLOOKUP($A5,'MacroPD-Cal'!$A:$L,AC$1,FALSE),IF('Ref-Data'!$Z$5 = "Weighted",VLOOKUP($A5,'Model Output_TTC'!$A:$CB,AC$2,FALSE),IF('Ref-Data'!$Z$5="Baseline",VLOOKUP('Input PD LGD'!$A5,'Model Output_TTC'!$A:$AU,'Input PD LGD'!AC$4,FALSE),IF('Ref-Data'!$Z$5="90th Percentile",VLOOKUP('Input PD LGD'!$A5,'Model Output_TTC'!$A:$BP,'Input PD LGD'!AC$6,FALSE),IF('Ref-Data'!$Z$5="96th Percentile",VLOOKUP('Input PD LGD'!$A5,'Model Output_TTC'!$A:$Z,'Input PD LGD'!AC$8,FALSE),"")))))</f>
        <v>1.4500000000000001E-2</v>
      </c>
      <c r="J5" s="276">
        <f>IF('Ref-Data'!$Z$2="ON",VLOOKUP($A5,'MacroPD-Cal'!$A:$L,AD$1,FALSE),IF('Ref-Data'!$Z$5 = "Weighted",VLOOKUP($A5,'Model Output_TTC'!$A:$CB,AD$2,FALSE),IF('Ref-Data'!$Z$5="Baseline",VLOOKUP('Input PD LGD'!$A5,'Model Output_TTC'!$A:$AU,'Input PD LGD'!AD$4,FALSE),IF('Ref-Data'!$Z$5="90th Percentile",VLOOKUP('Input PD LGD'!$A5,'Model Output_TTC'!$A:$BP,'Input PD LGD'!AD$6,FALSE),IF('Ref-Data'!$Z$5="96th Percentile",VLOOKUP('Input PD LGD'!$A5,'Model Output_TTC'!$A:$Z,'Input PD LGD'!AD$8,FALSE),"")))))</f>
        <v>2.2100000000000002E-2</v>
      </c>
      <c r="K5" s="276">
        <f>IF('Ref-Data'!$Z$2="ON",VLOOKUP($A5,'MacroPD-Cal'!$A:$L,AE$1,FALSE),IF('Ref-Data'!$Z$5 = "Weighted",VLOOKUP($A5,'Model Output_TTC'!$A:$CB,AE$2,FALSE),IF('Ref-Data'!$Z$5="Baseline",VLOOKUP('Input PD LGD'!$A5,'Model Output_TTC'!$A:$AU,'Input PD LGD'!AE$4,FALSE),IF('Ref-Data'!$Z$5="90th Percentile",VLOOKUP('Input PD LGD'!$A5,'Model Output_TTC'!$A:$BP,'Input PD LGD'!AE$6,FALSE),IF('Ref-Data'!$Z$5="96th Percentile",VLOOKUP('Input PD LGD'!$A5,'Model Output_TTC'!$A:$Z,'Input PD LGD'!AE$8,FALSE),"")))))</f>
        <v>3.0300000000000001E-2</v>
      </c>
      <c r="L5" s="274">
        <f>VLOOKUP(A5,'Ref-Data'!$A:$N,14,0)</f>
        <v>0.42375534614710542</v>
      </c>
      <c r="M5" s="354">
        <f>VLOOKUP(A5,'Ref-Data'!A:I,9,0)</f>
        <v>1</v>
      </c>
      <c r="N5" s="354" t="s">
        <v>1156</v>
      </c>
      <c r="T5" s="346"/>
      <c r="V5" t="s">
        <v>2751</v>
      </c>
      <c r="W5" t="s">
        <v>2748</v>
      </c>
    </row>
    <row r="6" spans="1:34" x14ac:dyDescent="0.25">
      <c r="A6" s="277">
        <v>1100000205</v>
      </c>
      <c r="B6" s="277" t="str">
        <f>INDEX('Loan Book Summary'!B:C,MATCH('Input PD LGD'!A6,'Loan Book Summary'!C:C,0),1)</f>
        <v>Inception Ventures Group Limited - Business Loans - Refinance - Facility A</v>
      </c>
      <c r="C6" s="400">
        <f>VLOOKUP(A6,Reference_Rate_Repricing_Report!B:P,15,FALSE)</f>
        <v>6.22</v>
      </c>
      <c r="D6" s="276">
        <f>IF('Ref-Data'!$Z$2="ON",VLOOKUP($A6,'MacroPD-Cal'!$A:$L,X$1,FALSE),IF('Ref-Data'!$Z$5 = "Weighted",VLOOKUP($A6,'Model Output_TTC'!$A:$CB,X$2,FALSE),IF('Ref-Data'!$Z$5="Baseline",VLOOKUP('Input PD LGD'!$A6,'Model Output_TTC'!$A:$AU,'Input PD LGD'!X$4,FALSE),IF('Ref-Data'!$Z$5="90th Percentile",VLOOKUP('Input PD LGD'!$A6,'Model Output_TTC'!$A:$BP,'Input PD LGD'!X$6,FALSE),IF('Ref-Data'!$Z$5="96th Percentile",VLOOKUP('Input PD LGD'!$A6,'Model Output_TTC'!$A:$Z,'Input PD LGD'!X$8,FALSE),"")))))</f>
        <v>1.7494248871209371E-3</v>
      </c>
      <c r="E6" s="276">
        <f>IF('Ref-Data'!$Z$2="ON",VLOOKUP($A6,'MacroPD-Cal'!$A:$L,Y$1,FALSE),IF('Ref-Data'!$Z$5 = "Weighted",VLOOKUP($A6,'Model Output_TTC'!$A:$CB,Y$2,FALSE),IF('Ref-Data'!$Z$5="Baseline",VLOOKUP('Input PD LGD'!$A6,'Model Output_TTC'!$A:$AU,'Input PD LGD'!Y$4,FALSE),IF('Ref-Data'!$Z$5="90th Percentile",VLOOKUP('Input PD LGD'!$A6,'Model Output_TTC'!$A:$BP,'Input PD LGD'!Y$6,FALSE),IF('Ref-Data'!$Z$5="96th Percentile",VLOOKUP('Input PD LGD'!$A6,'Model Output_TTC'!$A:$Z,'Input PD LGD'!Y$8,FALSE),"")))))</f>
        <v>4.1012418054688915E-3</v>
      </c>
      <c r="F6" s="276">
        <f>IF('Ref-Data'!$Z$2="ON",VLOOKUP($A6,'MacroPD-Cal'!$A:$L,Z$1,FALSE),IF('Ref-Data'!$Z$5 = "Weighted",VLOOKUP($A6,'Model Output_TTC'!$A:$CB,Z$2,FALSE),IF('Ref-Data'!$Z$5="Baseline",VLOOKUP('Input PD LGD'!$A6,'Model Output_TTC'!$A:$AU,'Input PD LGD'!Z$4,FALSE),IF('Ref-Data'!$Z$5="90th Percentile",VLOOKUP('Input PD LGD'!$A6,'Model Output_TTC'!$A:$BP,'Input PD LGD'!Z$6,FALSE),IF('Ref-Data'!$Z$5="96th Percentile",VLOOKUP('Input PD LGD'!$A6,'Model Output_TTC'!$A:$Z,'Input PD LGD'!Z$8,FALSE),"")))))</f>
        <v>6.7960350200328978E-3</v>
      </c>
      <c r="G6" s="276">
        <f>IF('Ref-Data'!$Z$2="ON",VLOOKUP($A6,'MacroPD-Cal'!$A:$L,AA$1,FALSE),IF('Ref-Data'!$Z$5 = "Weighted",VLOOKUP($A6,'Model Output_TTC'!$A:$CB,AA$2,FALSE),IF('Ref-Data'!$Z$5="Baseline",VLOOKUP('Input PD LGD'!$A6,'Model Output_TTC'!$A:$AU,'Input PD LGD'!AA$4,FALSE),IF('Ref-Data'!$Z$5="90th Percentile",VLOOKUP('Input PD LGD'!$A6,'Model Output_TTC'!$A:$BP,'Input PD LGD'!AA$6,FALSE),IF('Ref-Data'!$Z$5="96th Percentile",VLOOKUP('Input PD LGD'!$A6,'Model Output_TTC'!$A:$Z,'Input PD LGD'!AA$8,FALSE),"")))))</f>
        <v>1.03E-2</v>
      </c>
      <c r="H6" s="276">
        <f>IF('Ref-Data'!$Z$2="ON",VLOOKUP($A6,'MacroPD-Cal'!$A:$L,AB$1,FALSE),IF('Ref-Data'!$Z$5 = "Weighted",VLOOKUP($A6,'Model Output_TTC'!$A:$CB,AB$2,FALSE),IF('Ref-Data'!$Z$5="Baseline",VLOOKUP('Input PD LGD'!$A6,'Model Output_TTC'!$A:$AU,'Input PD LGD'!AB$4,FALSE),IF('Ref-Data'!$Z$5="90th Percentile",VLOOKUP('Input PD LGD'!$A6,'Model Output_TTC'!$A:$BP,'Input PD LGD'!AB$6,FALSE),IF('Ref-Data'!$Z$5="96th Percentile",VLOOKUP('Input PD LGD'!$A6,'Model Output_TTC'!$A:$Z,'Input PD LGD'!AB$8,FALSE),"")))))</f>
        <v>1.5700000000000002E-2</v>
      </c>
      <c r="I6" s="276">
        <f>IF('Ref-Data'!$Z$2="ON",VLOOKUP($A6,'MacroPD-Cal'!$A:$L,AC$1,FALSE),IF('Ref-Data'!$Z$5 = "Weighted",VLOOKUP($A6,'Model Output_TTC'!$A:$CB,AC$2,FALSE),IF('Ref-Data'!$Z$5="Baseline",VLOOKUP('Input PD LGD'!$A6,'Model Output_TTC'!$A:$AU,'Input PD LGD'!AC$4,FALSE),IF('Ref-Data'!$Z$5="90th Percentile",VLOOKUP('Input PD LGD'!$A6,'Model Output_TTC'!$A:$BP,'Input PD LGD'!AC$6,FALSE),IF('Ref-Data'!$Z$5="96th Percentile",VLOOKUP('Input PD LGD'!$A6,'Model Output_TTC'!$A:$Z,'Input PD LGD'!AC$8,FALSE),"")))))</f>
        <v>1.89E-2</v>
      </c>
      <c r="J6" s="276">
        <f>IF('Ref-Data'!$Z$2="ON",VLOOKUP($A6,'MacroPD-Cal'!$A:$L,AD$1,FALSE),IF('Ref-Data'!$Z$5 = "Weighted",VLOOKUP($A6,'Model Output_TTC'!$A:$CB,AD$2,FALSE),IF('Ref-Data'!$Z$5="Baseline",VLOOKUP('Input PD LGD'!$A6,'Model Output_TTC'!$A:$AU,'Input PD LGD'!AD$4,FALSE),IF('Ref-Data'!$Z$5="90th Percentile",VLOOKUP('Input PD LGD'!$A6,'Model Output_TTC'!$A:$BP,'Input PD LGD'!AD$6,FALSE),IF('Ref-Data'!$Z$5="96th Percentile",VLOOKUP('Input PD LGD'!$A6,'Model Output_TTC'!$A:$Z,'Input PD LGD'!AD$8,FALSE),"")))))</f>
        <v>2.6800000000000001E-2</v>
      </c>
      <c r="K6" s="276">
        <f>IF('Ref-Data'!$Z$2="ON",VLOOKUP($A6,'MacroPD-Cal'!$A:$L,AE$1,FALSE),IF('Ref-Data'!$Z$5 = "Weighted",VLOOKUP($A6,'Model Output_TTC'!$A:$CB,AE$2,FALSE),IF('Ref-Data'!$Z$5="Baseline",VLOOKUP('Input PD LGD'!$A6,'Model Output_TTC'!$A:$AU,'Input PD LGD'!AE$4,FALSE),IF('Ref-Data'!$Z$5="90th Percentile",VLOOKUP('Input PD LGD'!$A6,'Model Output_TTC'!$A:$BP,'Input PD LGD'!AE$6,FALSE),IF('Ref-Data'!$Z$5="96th Percentile",VLOOKUP('Input PD LGD'!$A6,'Model Output_TTC'!$A:$Z,'Input PD LGD'!AE$8,FALSE),"")))))</f>
        <v>3.5099999999999999E-2</v>
      </c>
      <c r="L6" s="274">
        <f>VLOOKUP(A6,'Ref-Data'!$A:$N,14,0)</f>
        <v>0.3637959654763534</v>
      </c>
      <c r="M6" s="354">
        <f>VLOOKUP(A6,'Ref-Data'!A:I,9,0)</f>
        <v>1</v>
      </c>
      <c r="N6" s="354" t="s">
        <v>1156</v>
      </c>
      <c r="T6" s="346"/>
      <c r="W6" s="348" t="s">
        <v>2749</v>
      </c>
      <c r="X6">
        <f>COLUMN(BG1)</f>
        <v>59</v>
      </c>
      <c r="Y6" s="346">
        <f t="shared" ref="Y6:AE6" si="3">COLUMN(BH1)</f>
        <v>60</v>
      </c>
      <c r="Z6" s="346">
        <f t="shared" si="3"/>
        <v>61</v>
      </c>
      <c r="AA6" s="346">
        <f t="shared" si="3"/>
        <v>62</v>
      </c>
      <c r="AB6" s="346">
        <f t="shared" si="3"/>
        <v>63</v>
      </c>
      <c r="AC6" s="346">
        <f t="shared" si="3"/>
        <v>64</v>
      </c>
      <c r="AD6" s="346">
        <f t="shared" si="3"/>
        <v>65</v>
      </c>
      <c r="AE6" s="346">
        <f t="shared" si="3"/>
        <v>66</v>
      </c>
    </row>
    <row r="7" spans="1:34" x14ac:dyDescent="0.25">
      <c r="A7" s="277">
        <v>1100000168</v>
      </c>
      <c r="B7" s="277" t="str">
        <f>INDEX('Loan Book Summary'!B:C,MATCH('Input PD LGD'!A7,'Loan Book Summary'!C:C,0),1)</f>
        <v>Z Hotels Holdco Limited - Z Hotels ZHT Ltd. - Business Trading - Poland Street</v>
      </c>
      <c r="C7" s="400">
        <f>VLOOKUP(A7,Reference_Rate_Repricing_Report!B:P,15,FALSE)</f>
        <v>5.25</v>
      </c>
      <c r="D7" s="276">
        <f>IF('Ref-Data'!$Z$2="ON",VLOOKUP($A7,'MacroPD-Cal'!$A:$L,X$1,FALSE),IF('Ref-Data'!$Z$5 = "Weighted",VLOOKUP($A7,'Model Output_TTC'!$A:$CB,X$2,FALSE),IF('Ref-Data'!$Z$5="Baseline",VLOOKUP('Input PD LGD'!$A7,'Model Output_TTC'!$A:$AU,'Input PD LGD'!X$4,FALSE),IF('Ref-Data'!$Z$5="90th Percentile",VLOOKUP('Input PD LGD'!$A7,'Model Output_TTC'!$A:$BP,'Input PD LGD'!X$6,FALSE),IF('Ref-Data'!$Z$5="96th Percentile",VLOOKUP('Input PD LGD'!$A7,'Model Output_TTC'!$A:$Z,'Input PD LGD'!X$8,FALSE),"")))))</f>
        <v>2.1236868484003208E-2</v>
      </c>
      <c r="E7" s="276">
        <f>IF('Ref-Data'!$Z$2="ON",VLOOKUP($A7,'MacroPD-Cal'!$A:$L,Y$1,FALSE),IF('Ref-Data'!$Z$5 = "Weighted",VLOOKUP($A7,'Model Output_TTC'!$A:$CB,Y$2,FALSE),IF('Ref-Data'!$Z$5="Baseline",VLOOKUP('Input PD LGD'!$A7,'Model Output_TTC'!$A:$AU,'Input PD LGD'!Y$4,FALSE),IF('Ref-Data'!$Z$5="90th Percentile",VLOOKUP('Input PD LGD'!$A7,'Model Output_TTC'!$A:$BP,'Input PD LGD'!Y$6,FALSE),IF('Ref-Data'!$Z$5="96th Percentile",VLOOKUP('Input PD LGD'!$A7,'Model Output_TTC'!$A:$Z,'Input PD LGD'!Y$8,FALSE),"")))))</f>
        <v>4.7180363155235772E-2</v>
      </c>
      <c r="F7" s="276">
        <f>IF('Ref-Data'!$Z$2="ON",VLOOKUP($A7,'MacroPD-Cal'!$A:$L,Z$1,FALSE),IF('Ref-Data'!$Z$5 = "Weighted",VLOOKUP($A7,'Model Output_TTC'!$A:$CB,Z$2,FALSE),IF('Ref-Data'!$Z$5="Baseline",VLOOKUP('Input PD LGD'!$A7,'Model Output_TTC'!$A:$AU,'Input PD LGD'!Z$4,FALSE),IF('Ref-Data'!$Z$5="90th Percentile",VLOOKUP('Input PD LGD'!$A7,'Model Output_TTC'!$A:$BP,'Input PD LGD'!Z$6,FALSE),IF('Ref-Data'!$Z$5="96th Percentile",VLOOKUP('Input PD LGD'!$A7,'Model Output_TTC'!$A:$Z,'Input PD LGD'!Z$8,FALSE),"")))))</f>
        <v>7.5162968758901605E-2</v>
      </c>
      <c r="G7" s="276">
        <f>IF('Ref-Data'!$Z$2="ON",VLOOKUP($A7,'MacroPD-Cal'!$A:$L,AA$1,FALSE),IF('Ref-Data'!$Z$5 = "Weighted",VLOOKUP($A7,'Model Output_TTC'!$A:$CB,AA$2,FALSE),IF('Ref-Data'!$Z$5="Baseline",VLOOKUP('Input PD LGD'!$A7,'Model Output_TTC'!$A:$AU,'Input PD LGD'!AA$4,FALSE),IF('Ref-Data'!$Z$5="90th Percentile",VLOOKUP('Input PD LGD'!$A7,'Model Output_TTC'!$A:$BP,'Input PD LGD'!AA$6,FALSE),IF('Ref-Data'!$Z$5="96th Percentile",VLOOKUP('Input PD LGD'!$A7,'Model Output_TTC'!$A:$Z,'Input PD LGD'!AA$8,FALSE),"")))))</f>
        <v>0.1086</v>
      </c>
      <c r="H7" s="276">
        <f>IF('Ref-Data'!$Z$2="ON",VLOOKUP($A7,'MacroPD-Cal'!$A:$L,AB$1,FALSE),IF('Ref-Data'!$Z$5 = "Weighted",VLOOKUP($A7,'Model Output_TTC'!$A:$CB,AB$2,FALSE),IF('Ref-Data'!$Z$5="Baseline",VLOOKUP('Input PD LGD'!$A7,'Model Output_TTC'!$A:$AU,'Input PD LGD'!AB$4,FALSE),IF('Ref-Data'!$Z$5="90th Percentile",VLOOKUP('Input PD LGD'!$A7,'Model Output_TTC'!$A:$BP,'Input PD LGD'!AB$6,FALSE),IF('Ref-Data'!$Z$5="96th Percentile",VLOOKUP('Input PD LGD'!$A7,'Model Output_TTC'!$A:$Z,'Input PD LGD'!AB$8,FALSE),"")))))</f>
        <v>0.15670000000000001</v>
      </c>
      <c r="I7" s="276">
        <f>IF('Ref-Data'!$Z$2="ON",VLOOKUP($A7,'MacroPD-Cal'!$A:$L,AC$1,FALSE),IF('Ref-Data'!$Z$5 = "Weighted",VLOOKUP($A7,'Model Output_TTC'!$A:$CB,AC$2,FALSE),IF('Ref-Data'!$Z$5="Baseline",VLOOKUP('Input PD LGD'!$A7,'Model Output_TTC'!$A:$AU,'Input PD LGD'!AC$4,FALSE),IF('Ref-Data'!$Z$5="90th Percentile",VLOOKUP('Input PD LGD'!$A7,'Model Output_TTC'!$A:$BP,'Input PD LGD'!AC$6,FALSE),IF('Ref-Data'!$Z$5="96th Percentile",VLOOKUP('Input PD LGD'!$A7,'Model Output_TTC'!$A:$Z,'Input PD LGD'!AC$8,FALSE),"")))))</f>
        <v>0.1835</v>
      </c>
      <c r="J7" s="276">
        <f>IF('Ref-Data'!$Z$2="ON",VLOOKUP($A7,'MacroPD-Cal'!$A:$L,AD$1,FALSE),IF('Ref-Data'!$Z$5 = "Weighted",VLOOKUP($A7,'Model Output_TTC'!$A:$CB,AD$2,FALSE),IF('Ref-Data'!$Z$5="Baseline",VLOOKUP('Input PD LGD'!$A7,'Model Output_TTC'!$A:$AU,'Input PD LGD'!AD$4,FALSE),IF('Ref-Data'!$Z$5="90th Percentile",VLOOKUP('Input PD LGD'!$A7,'Model Output_TTC'!$A:$BP,'Input PD LGD'!AD$6,FALSE),IF('Ref-Data'!$Z$5="96th Percentile",VLOOKUP('Input PD LGD'!$A7,'Model Output_TTC'!$A:$Z,'Input PD LGD'!AD$8,FALSE),"")))))</f>
        <v>0.22920000000000001</v>
      </c>
      <c r="K7" s="276">
        <f>IF('Ref-Data'!$Z$2="ON",VLOOKUP($A7,'MacroPD-Cal'!$A:$L,AE$1,FALSE),IF('Ref-Data'!$Z$5 = "Weighted",VLOOKUP($A7,'Model Output_TTC'!$A:$CB,AE$2,FALSE),IF('Ref-Data'!$Z$5="Baseline",VLOOKUP('Input PD LGD'!$A7,'Model Output_TTC'!$A:$AU,'Input PD LGD'!AE$4,FALSE),IF('Ref-Data'!$Z$5="90th Percentile",VLOOKUP('Input PD LGD'!$A7,'Model Output_TTC'!$A:$BP,'Input PD LGD'!AE$6,FALSE),IF('Ref-Data'!$Z$5="96th Percentile",VLOOKUP('Input PD LGD'!$A7,'Model Output_TTC'!$A:$Z,'Input PD LGD'!AE$8,FALSE),"")))))</f>
        <v>0.27060000000000001</v>
      </c>
      <c r="L7" s="274">
        <f>VLOOKUP(A7,'Ref-Data'!$A:$N,14,0)</f>
        <v>0.1</v>
      </c>
      <c r="M7" s="354">
        <f>VLOOKUP(A7,'Ref-Data'!A:I,9,0)</f>
        <v>1</v>
      </c>
      <c r="N7" s="354" t="s">
        <v>1156</v>
      </c>
      <c r="T7" s="346"/>
      <c r="V7" t="s">
        <v>2752</v>
      </c>
      <c r="W7" s="346" t="s">
        <v>2748</v>
      </c>
    </row>
    <row r="8" spans="1:34" x14ac:dyDescent="0.25">
      <c r="A8" s="277">
        <v>1100000209</v>
      </c>
      <c r="B8" s="277" t="str">
        <f>INDEX('Loan Book Summary'!B:C,MATCH('Input PD LGD'!A8,'Loan Book Summary'!C:C,0),1)</f>
        <v>Inn Collection Bidco - Business Trading - Facility C - Revolving Credit</v>
      </c>
      <c r="C8" s="400">
        <f>VLOOKUP(A8,Reference_Rate_Repricing_Report!B:P,15,FALSE)</f>
        <v>6</v>
      </c>
      <c r="D8" s="276">
        <f>IF('Ref-Data'!$Z$2="ON",VLOOKUP($A8,'MacroPD-Cal'!$A:$L,X$1,FALSE),IF('Ref-Data'!$Z$5 = "Weighted",VLOOKUP($A8,'Model Output_TTC'!$A:$CB,X$2,FALSE),IF('Ref-Data'!$Z$5="Baseline",VLOOKUP('Input PD LGD'!$A8,'Model Output_TTC'!$A:$AU,'Input PD LGD'!X$4,FALSE),IF('Ref-Data'!$Z$5="90th Percentile",VLOOKUP('Input PD LGD'!$A8,'Model Output_TTC'!$A:$BP,'Input PD LGD'!X$6,FALSE),IF('Ref-Data'!$Z$5="96th Percentile",VLOOKUP('Input PD LGD'!$A8,'Model Output_TTC'!$A:$Z,'Input PD LGD'!X$8,FALSE),"")))))</f>
        <v>4.0228091930422216E-3</v>
      </c>
      <c r="E8" s="276">
        <f>IF('Ref-Data'!$Z$2="ON",VLOOKUP($A8,'MacroPD-Cal'!$A:$L,Y$1,FALSE),IF('Ref-Data'!$Z$5 = "Weighted",VLOOKUP($A8,'Model Output_TTC'!$A:$CB,Y$2,FALSE),IF('Ref-Data'!$Z$5="Baseline",VLOOKUP('Input PD LGD'!$A8,'Model Output_TTC'!$A:$AU,'Input PD LGD'!Y$4,FALSE),IF('Ref-Data'!$Z$5="90th Percentile",VLOOKUP('Input PD LGD'!$A8,'Model Output_TTC'!$A:$BP,'Input PD LGD'!Y$6,FALSE),IF('Ref-Data'!$Z$5="96th Percentile",VLOOKUP('Input PD LGD'!$A8,'Model Output_TTC'!$A:$Z,'Input PD LGD'!Y$8,FALSE),"")))))</f>
        <v>9.2938867723136864E-3</v>
      </c>
      <c r="F8" s="276">
        <f>IF('Ref-Data'!$Z$2="ON",VLOOKUP($A8,'MacroPD-Cal'!$A:$L,Z$1,FALSE),IF('Ref-Data'!$Z$5 = "Weighted",VLOOKUP($A8,'Model Output_TTC'!$A:$CB,Z$2,FALSE),IF('Ref-Data'!$Z$5="Baseline",VLOOKUP('Input PD LGD'!$A8,'Model Output_TTC'!$A:$AU,'Input PD LGD'!Z$4,FALSE),IF('Ref-Data'!$Z$5="90th Percentile",VLOOKUP('Input PD LGD'!$A8,'Model Output_TTC'!$A:$BP,'Input PD LGD'!Z$6,FALSE),IF('Ref-Data'!$Z$5="96th Percentile",VLOOKUP('Input PD LGD'!$A8,'Model Output_TTC'!$A:$Z,'Input PD LGD'!Z$8,FALSE),"")))))</f>
        <v>1.5249624684039231E-2</v>
      </c>
      <c r="G8" s="276">
        <f>IF('Ref-Data'!$Z$2="ON",VLOOKUP($A8,'MacroPD-Cal'!$A:$L,AA$1,FALSE),IF('Ref-Data'!$Z$5 = "Weighted",VLOOKUP($A8,'Model Output_TTC'!$A:$CB,AA$2,FALSE),IF('Ref-Data'!$Z$5="Baseline",VLOOKUP('Input PD LGD'!$A8,'Model Output_TTC'!$A:$AU,'Input PD LGD'!AA$4,FALSE),IF('Ref-Data'!$Z$5="90th Percentile",VLOOKUP('Input PD LGD'!$A8,'Model Output_TTC'!$A:$BP,'Input PD LGD'!AA$6,FALSE),IF('Ref-Data'!$Z$5="96th Percentile",VLOOKUP('Input PD LGD'!$A8,'Model Output_TTC'!$A:$Z,'Input PD LGD'!AA$8,FALSE),"")))))</f>
        <v>2.29E-2</v>
      </c>
      <c r="H8" s="276">
        <f>IF('Ref-Data'!$Z$2="ON",VLOOKUP($A8,'MacroPD-Cal'!$A:$L,AB$1,FALSE),IF('Ref-Data'!$Z$5 = "Weighted",VLOOKUP($A8,'Model Output_TTC'!$A:$CB,AB$2,FALSE),IF('Ref-Data'!$Z$5="Baseline",VLOOKUP('Input PD LGD'!$A8,'Model Output_TTC'!$A:$AU,'Input PD LGD'!AB$4,FALSE),IF('Ref-Data'!$Z$5="90th Percentile",VLOOKUP('Input PD LGD'!$A8,'Model Output_TTC'!$A:$BP,'Input PD LGD'!AB$6,FALSE),IF('Ref-Data'!$Z$5="96th Percentile",VLOOKUP('Input PD LGD'!$A8,'Model Output_TTC'!$A:$Z,'Input PD LGD'!AB$8,FALSE),"")))))</f>
        <v>3.2899999999999999E-2</v>
      </c>
      <c r="I8" s="276">
        <f>IF('Ref-Data'!$Z$2="ON",VLOOKUP($A8,'MacroPD-Cal'!$A:$L,AC$1,FALSE),IF('Ref-Data'!$Z$5 = "Weighted",VLOOKUP($A8,'Model Output_TTC'!$A:$CB,AC$2,FALSE),IF('Ref-Data'!$Z$5="Baseline",VLOOKUP('Input PD LGD'!$A8,'Model Output_TTC'!$A:$AU,'Input PD LGD'!AC$4,FALSE),IF('Ref-Data'!$Z$5="90th Percentile",VLOOKUP('Input PD LGD'!$A8,'Model Output_TTC'!$A:$BP,'Input PD LGD'!AC$6,FALSE),IF('Ref-Data'!$Z$5="96th Percentile",VLOOKUP('Input PD LGD'!$A8,'Model Output_TTC'!$A:$Z,'Input PD LGD'!AC$8,FALSE),"")))))</f>
        <v>3.8300000000000001E-2</v>
      </c>
      <c r="J8" s="276">
        <f>IF('Ref-Data'!$Z$2="ON",VLOOKUP($A8,'MacroPD-Cal'!$A:$L,AD$1,FALSE),IF('Ref-Data'!$Z$5 = "Weighted",VLOOKUP($A8,'Model Output_TTC'!$A:$CB,AD$2,FALSE),IF('Ref-Data'!$Z$5="Baseline",VLOOKUP('Input PD LGD'!$A8,'Model Output_TTC'!$A:$AU,'Input PD LGD'!AD$4,FALSE),IF('Ref-Data'!$Z$5="90th Percentile",VLOOKUP('Input PD LGD'!$A8,'Model Output_TTC'!$A:$BP,'Input PD LGD'!AD$6,FALSE),IF('Ref-Data'!$Z$5="96th Percentile",VLOOKUP('Input PD LGD'!$A8,'Model Output_TTC'!$A:$Z,'Input PD LGD'!AD$8,FALSE),"")))))</f>
        <v>4.9700000000000001E-2</v>
      </c>
      <c r="K8" s="276">
        <f>IF('Ref-Data'!$Z$2="ON",VLOOKUP($A8,'MacroPD-Cal'!$A:$L,AE$1,FALSE),IF('Ref-Data'!$Z$5 = "Weighted",VLOOKUP($A8,'Model Output_TTC'!$A:$CB,AE$2,FALSE),IF('Ref-Data'!$Z$5="Baseline",VLOOKUP('Input PD LGD'!$A8,'Model Output_TTC'!$A:$AU,'Input PD LGD'!AE$4,FALSE),IF('Ref-Data'!$Z$5="90th Percentile",VLOOKUP('Input PD LGD'!$A8,'Model Output_TTC'!$A:$BP,'Input PD LGD'!AE$6,FALSE),IF('Ref-Data'!$Z$5="96th Percentile",VLOOKUP('Input PD LGD'!$A8,'Model Output_TTC'!$A:$Z,'Input PD LGD'!AE$8,FALSE),"")))))</f>
        <v>6.08E-2</v>
      </c>
      <c r="L8" s="274">
        <f>VLOOKUP(A8,'Ref-Data'!$A:$N,14,0)</f>
        <v>0.35859999999999997</v>
      </c>
      <c r="M8" s="354">
        <f>VLOOKUP(A8,'Ref-Data'!A:I,9,0)</f>
        <v>1</v>
      </c>
      <c r="N8" s="354" t="s">
        <v>1156</v>
      </c>
      <c r="T8" s="346"/>
      <c r="W8" s="348" t="s">
        <v>2749</v>
      </c>
      <c r="X8">
        <f>COLUMN(Q1)</f>
        <v>17</v>
      </c>
      <c r="Y8" s="346">
        <f t="shared" ref="Y8:AE8" si="4">COLUMN(R1)</f>
        <v>18</v>
      </c>
      <c r="Z8" s="346">
        <f t="shared" si="4"/>
        <v>19</v>
      </c>
      <c r="AA8" s="346">
        <f t="shared" si="4"/>
        <v>20</v>
      </c>
      <c r="AB8" s="346">
        <f t="shared" si="4"/>
        <v>21</v>
      </c>
      <c r="AC8" s="346">
        <f t="shared" si="4"/>
        <v>22</v>
      </c>
      <c r="AD8" s="346">
        <f t="shared" si="4"/>
        <v>23</v>
      </c>
      <c r="AE8" s="346">
        <f t="shared" si="4"/>
        <v>24</v>
      </c>
    </row>
    <row r="9" spans="1:34" x14ac:dyDescent="0.25">
      <c r="A9" s="277">
        <v>1100000175</v>
      </c>
      <c r="B9" s="277" t="str">
        <f>INDEX('Loan Book Summary'!B:C,MATCH('Input PD LGD'!A9,'Loan Book Summary'!C:C,0),1)</f>
        <v>Starboard Hotels - SBH Park Holding - Business Trading - Facility A - Non-CBILS</v>
      </c>
      <c r="C9" s="400">
        <f>VLOOKUP(A9,Reference_Rate_Repricing_Report!B:P,15,FALSE)</f>
        <v>6.15</v>
      </c>
      <c r="D9" s="276">
        <f>IF('Ref-Data'!$Z$2="ON",VLOOKUP($A9,'MacroPD-Cal'!$A:$L,X$1,FALSE),IF('Ref-Data'!$Z$5 = "Weighted",VLOOKUP($A9,'Model Output_TTC'!$A:$CB,X$2,FALSE),IF('Ref-Data'!$Z$5="Baseline",VLOOKUP('Input PD LGD'!$A9,'Model Output_TTC'!$A:$AU,'Input PD LGD'!X$4,FALSE),IF('Ref-Data'!$Z$5="90th Percentile",VLOOKUP('Input PD LGD'!$A9,'Model Output_TTC'!$A:$BP,'Input PD LGD'!X$6,FALSE),IF('Ref-Data'!$Z$5="96th Percentile",VLOOKUP('Input PD LGD'!$A9,'Model Output_TTC'!$A:$Z,'Input PD LGD'!X$8,FALSE),"")))))</f>
        <v>3.9335337154020281E-2</v>
      </c>
      <c r="E9" s="276">
        <f>IF('Ref-Data'!$Z$2="ON",VLOOKUP($A9,'MacroPD-Cal'!$A:$L,Y$1,FALSE),IF('Ref-Data'!$Z$5 = "Weighted",VLOOKUP($A9,'Model Output_TTC'!$A:$CB,Y$2,FALSE),IF('Ref-Data'!$Z$5="Baseline",VLOOKUP('Input PD LGD'!$A9,'Model Output_TTC'!$A:$AU,'Input PD LGD'!Y$4,FALSE),IF('Ref-Data'!$Z$5="90th Percentile",VLOOKUP('Input PD LGD'!$A9,'Model Output_TTC'!$A:$BP,'Input PD LGD'!Y$6,FALSE),IF('Ref-Data'!$Z$5="96th Percentile",VLOOKUP('Input PD LGD'!$A9,'Model Output_TTC'!$A:$Z,'Input PD LGD'!Y$8,FALSE),"")))))</f>
        <v>8.5460952654883182E-2</v>
      </c>
      <c r="F9" s="276">
        <f>IF('Ref-Data'!$Z$2="ON",VLOOKUP($A9,'MacroPD-Cal'!$A:$L,Z$1,FALSE),IF('Ref-Data'!$Z$5 = "Weighted",VLOOKUP($A9,'Model Output_TTC'!$A:$CB,Z$2,FALSE),IF('Ref-Data'!$Z$5="Baseline",VLOOKUP('Input PD LGD'!$A9,'Model Output_TTC'!$A:$AU,'Input PD LGD'!Z$4,FALSE),IF('Ref-Data'!$Z$5="90th Percentile",VLOOKUP('Input PD LGD'!$A9,'Model Output_TTC'!$A:$BP,'Input PD LGD'!Z$6,FALSE),IF('Ref-Data'!$Z$5="96th Percentile",VLOOKUP('Input PD LGD'!$A9,'Model Output_TTC'!$A:$Z,'Input PD LGD'!Z$8,FALSE),"")))))</f>
        <v>0.13360360384645742</v>
      </c>
      <c r="G9" s="276">
        <f>IF('Ref-Data'!$Z$2="ON",VLOOKUP($A9,'MacroPD-Cal'!$A:$L,AA$1,FALSE),IF('Ref-Data'!$Z$5 = "Weighted",VLOOKUP($A9,'Model Output_TTC'!$A:$CB,AA$2,FALSE),IF('Ref-Data'!$Z$5="Baseline",VLOOKUP('Input PD LGD'!$A9,'Model Output_TTC'!$A:$AU,'Input PD LGD'!AA$4,FALSE),IF('Ref-Data'!$Z$5="90th Percentile",VLOOKUP('Input PD LGD'!$A9,'Model Output_TTC'!$A:$BP,'Input PD LGD'!AA$6,FALSE),IF('Ref-Data'!$Z$5="96th Percentile",VLOOKUP('Input PD LGD'!$A9,'Model Output_TTC'!$A:$Z,'Input PD LGD'!AA$8,FALSE),"")))))</f>
        <v>0.1885</v>
      </c>
      <c r="H9" s="276">
        <f>IF('Ref-Data'!$Z$2="ON",VLOOKUP($A9,'MacroPD-Cal'!$A:$L,AB$1,FALSE),IF('Ref-Data'!$Z$5 = "Weighted",VLOOKUP($A9,'Model Output_TTC'!$A:$CB,AB$2,FALSE),IF('Ref-Data'!$Z$5="Baseline",VLOOKUP('Input PD LGD'!$A9,'Model Output_TTC'!$A:$AU,'Input PD LGD'!AB$4,FALSE),IF('Ref-Data'!$Z$5="90th Percentile",VLOOKUP('Input PD LGD'!$A9,'Model Output_TTC'!$A:$BP,'Input PD LGD'!AB$6,FALSE),IF('Ref-Data'!$Z$5="96th Percentile",VLOOKUP('Input PD LGD'!$A9,'Model Output_TTC'!$A:$Z,'Input PD LGD'!AB$8,FALSE),"")))))</f>
        <v>0.28870000000000001</v>
      </c>
      <c r="I9" s="276">
        <f>IF('Ref-Data'!$Z$2="ON",VLOOKUP($A9,'MacroPD-Cal'!$A:$L,AC$1,FALSE),IF('Ref-Data'!$Z$5 = "Weighted",VLOOKUP($A9,'Model Output_TTC'!$A:$CB,AC$2,FALSE),IF('Ref-Data'!$Z$5="Baseline",VLOOKUP('Input PD LGD'!$A9,'Model Output_TTC'!$A:$AU,'Input PD LGD'!AC$4,FALSE),IF('Ref-Data'!$Z$5="90th Percentile",VLOOKUP('Input PD LGD'!$A9,'Model Output_TTC'!$A:$BP,'Input PD LGD'!AC$6,FALSE),IF('Ref-Data'!$Z$5="96th Percentile",VLOOKUP('Input PD LGD'!$A9,'Model Output_TTC'!$A:$Z,'Input PD LGD'!AC$8,FALSE),"")))))</f>
        <v>0.35089999999999999</v>
      </c>
      <c r="J9" s="276">
        <f>IF('Ref-Data'!$Z$2="ON",VLOOKUP($A9,'MacroPD-Cal'!$A:$L,AD$1,FALSE),IF('Ref-Data'!$Z$5 = "Weighted",VLOOKUP($A9,'Model Output_TTC'!$A:$CB,AD$2,FALSE),IF('Ref-Data'!$Z$5="Baseline",VLOOKUP('Input PD LGD'!$A9,'Model Output_TTC'!$A:$AU,'Input PD LGD'!AD$4,FALSE),IF('Ref-Data'!$Z$5="90th Percentile",VLOOKUP('Input PD LGD'!$A9,'Model Output_TTC'!$A:$BP,'Input PD LGD'!AD$6,FALSE),IF('Ref-Data'!$Z$5="96th Percentile",VLOOKUP('Input PD LGD'!$A9,'Model Output_TTC'!$A:$Z,'Input PD LGD'!AD$8,FALSE),"")))))</f>
        <v>0.44540000000000002</v>
      </c>
      <c r="K9" s="276">
        <f>IF('Ref-Data'!$Z$2="ON",VLOOKUP($A9,'MacroPD-Cal'!$A:$L,AE$1,FALSE),IF('Ref-Data'!$Z$5 = "Weighted",VLOOKUP($A9,'Model Output_TTC'!$A:$CB,AE$2,FALSE),IF('Ref-Data'!$Z$5="Baseline",VLOOKUP('Input PD LGD'!$A9,'Model Output_TTC'!$A:$AU,'Input PD LGD'!AE$4,FALSE),IF('Ref-Data'!$Z$5="90th Percentile",VLOOKUP('Input PD LGD'!$A9,'Model Output_TTC'!$A:$BP,'Input PD LGD'!AE$6,FALSE),IF('Ref-Data'!$Z$5="96th Percentile",VLOOKUP('Input PD LGD'!$A9,'Model Output_TTC'!$A:$Z,'Input PD LGD'!AE$8,FALSE),"")))))</f>
        <v>0.52690000000000003</v>
      </c>
      <c r="L9" s="274">
        <f>VLOOKUP(A9,'Ref-Data'!$A:$N,14,0)</f>
        <v>0.15358983630422796</v>
      </c>
      <c r="M9" s="354">
        <f>VLOOKUP(A9,'Ref-Data'!A:I,9,0)</f>
        <v>1</v>
      </c>
      <c r="N9" s="354" t="s">
        <v>1156</v>
      </c>
      <c r="T9" s="346"/>
      <c r="W9" s="346"/>
    </row>
    <row r="10" spans="1:34" x14ac:dyDescent="0.25">
      <c r="A10" s="277">
        <v>1100000144</v>
      </c>
      <c r="B10" s="277" t="str">
        <f>INDEX('Loan Book Summary'!B:C,MATCH('Input PD LGD'!A10,'Loan Book Summary'!C:C,0),1)</f>
        <v>Dartmouth Partners - Granite Bidco Limited - Business Trading - Restructuring</v>
      </c>
      <c r="C10" s="400">
        <f>VLOOKUP(A10,Reference_Rate_Repricing_Report!B:P,15,FALSE)</f>
        <v>5.25</v>
      </c>
      <c r="D10" s="276">
        <f>IF('Ref-Data'!$Z$2="ON",VLOOKUP($A10,'MacroPD-Cal'!$A:$L,X$1,FALSE),IF('Ref-Data'!$Z$5 = "Weighted",VLOOKUP($A10,'Model Output_TTC'!$A:$CB,X$2,FALSE),IF('Ref-Data'!$Z$5="Baseline",VLOOKUP('Input PD LGD'!$A10,'Model Output_TTC'!$A:$AU,'Input PD LGD'!X$4,FALSE),IF('Ref-Data'!$Z$5="90th Percentile",VLOOKUP('Input PD LGD'!$A10,'Model Output_TTC'!$A:$BP,'Input PD LGD'!X$6,FALSE),IF('Ref-Data'!$Z$5="96th Percentile",VLOOKUP('Input PD LGD'!$A10,'Model Output_TTC'!$A:$Z,'Input PD LGD'!X$8,FALSE),"")))))</f>
        <v>5.7919134949285756E-4</v>
      </c>
      <c r="E10" s="276">
        <f>IF('Ref-Data'!$Z$2="ON",VLOOKUP($A10,'MacroPD-Cal'!$A:$L,Y$1,FALSE),IF('Ref-Data'!$Z$5 = "Weighted",VLOOKUP($A10,'Model Output_TTC'!$A:$CB,Y$2,FALSE),IF('Ref-Data'!$Z$5="Baseline",VLOOKUP('Input PD LGD'!$A10,'Model Output_TTC'!$A:$AU,'Input PD LGD'!Y$4,FALSE),IF('Ref-Data'!$Z$5="90th Percentile",VLOOKUP('Input PD LGD'!$A10,'Model Output_TTC'!$A:$BP,'Input PD LGD'!Y$6,FALSE),IF('Ref-Data'!$Z$5="96th Percentile",VLOOKUP('Input PD LGD'!$A10,'Model Output_TTC'!$A:$Z,'Input PD LGD'!Y$8,FALSE),"")))))</f>
        <v>1.3814855625160494E-3</v>
      </c>
      <c r="F10" s="276">
        <f>IF('Ref-Data'!$Z$2="ON",VLOOKUP($A10,'MacroPD-Cal'!$A:$L,Z$1,FALSE),IF('Ref-Data'!$Z$5 = "Weighted",VLOOKUP($A10,'Model Output_TTC'!$A:$CB,Z$2,FALSE),IF('Ref-Data'!$Z$5="Baseline",VLOOKUP('Input PD LGD'!$A10,'Model Output_TTC'!$A:$AU,'Input PD LGD'!Z$4,FALSE),IF('Ref-Data'!$Z$5="90th Percentile",VLOOKUP('Input PD LGD'!$A10,'Model Output_TTC'!$A:$BP,'Input PD LGD'!Z$6,FALSE),IF('Ref-Data'!$Z$5="96th Percentile",VLOOKUP('Input PD LGD'!$A10,'Model Output_TTC'!$A:$Z,'Input PD LGD'!Z$8,FALSE),"")))))</f>
        <v>2.3148493313407403E-3</v>
      </c>
      <c r="G10" s="276">
        <f>IF('Ref-Data'!$Z$2="ON",VLOOKUP($A10,'MacroPD-Cal'!$A:$L,AA$1,FALSE),IF('Ref-Data'!$Z$5 = "Weighted",VLOOKUP($A10,'Model Output_TTC'!$A:$CB,AA$2,FALSE),IF('Ref-Data'!$Z$5="Baseline",VLOOKUP('Input PD LGD'!$A10,'Model Output_TTC'!$A:$AU,'Input PD LGD'!AA$4,FALSE),IF('Ref-Data'!$Z$5="90th Percentile",VLOOKUP('Input PD LGD'!$A10,'Model Output_TTC'!$A:$BP,'Input PD LGD'!AA$6,FALSE),IF('Ref-Data'!$Z$5="96th Percentile",VLOOKUP('Input PD LGD'!$A10,'Model Output_TTC'!$A:$Z,'Input PD LGD'!AA$8,FALSE),"")))))</f>
        <v>3.5000000000000001E-3</v>
      </c>
      <c r="H10" s="276">
        <f>IF('Ref-Data'!$Z$2="ON",VLOOKUP($A10,'MacroPD-Cal'!$A:$L,AB$1,FALSE),IF('Ref-Data'!$Z$5 = "Weighted",VLOOKUP($A10,'Model Output_TTC'!$A:$CB,AB$2,FALSE),IF('Ref-Data'!$Z$5="Baseline",VLOOKUP('Input PD LGD'!$A10,'Model Output_TTC'!$A:$AU,'Input PD LGD'!AB$4,FALSE),IF('Ref-Data'!$Z$5="90th Percentile",VLOOKUP('Input PD LGD'!$A10,'Model Output_TTC'!$A:$BP,'Input PD LGD'!AB$6,FALSE),IF('Ref-Data'!$Z$5="96th Percentile",VLOOKUP('Input PD LGD'!$A10,'Model Output_TTC'!$A:$Z,'Input PD LGD'!AB$8,FALSE),"")))))</f>
        <v>5.3E-3</v>
      </c>
      <c r="I10" s="276">
        <f>IF('Ref-Data'!$Z$2="ON",VLOOKUP($A10,'MacroPD-Cal'!$A:$L,AC$1,FALSE),IF('Ref-Data'!$Z$5 = "Weighted",VLOOKUP($A10,'Model Output_TTC'!$A:$CB,AC$2,FALSE),IF('Ref-Data'!$Z$5="Baseline",VLOOKUP('Input PD LGD'!$A10,'Model Output_TTC'!$A:$AU,'Input PD LGD'!AC$4,FALSE),IF('Ref-Data'!$Z$5="90th Percentile",VLOOKUP('Input PD LGD'!$A10,'Model Output_TTC'!$A:$BP,'Input PD LGD'!AC$6,FALSE),IF('Ref-Data'!$Z$5="96th Percentile",VLOOKUP('Input PD LGD'!$A10,'Model Output_TTC'!$A:$Z,'Input PD LGD'!AC$8,FALSE),"")))))</f>
        <v>6.3E-3</v>
      </c>
      <c r="J10" s="276">
        <f>IF('Ref-Data'!$Z$2="ON",VLOOKUP($A10,'MacroPD-Cal'!$A:$L,AD$1,FALSE),IF('Ref-Data'!$Z$5 = "Weighted",VLOOKUP($A10,'Model Output_TTC'!$A:$CB,AD$2,FALSE),IF('Ref-Data'!$Z$5="Baseline",VLOOKUP('Input PD LGD'!$A10,'Model Output_TTC'!$A:$AU,'Input PD LGD'!AD$4,FALSE),IF('Ref-Data'!$Z$5="90th Percentile",VLOOKUP('Input PD LGD'!$A10,'Model Output_TTC'!$A:$BP,'Input PD LGD'!AD$6,FALSE),IF('Ref-Data'!$Z$5="96th Percentile",VLOOKUP('Input PD LGD'!$A10,'Model Output_TTC'!$A:$Z,'Input PD LGD'!AD$8,FALSE),"")))))</f>
        <v>9.1999999999999998E-3</v>
      </c>
      <c r="K10" s="276">
        <f>IF('Ref-Data'!$Z$2="ON",VLOOKUP($A10,'MacroPD-Cal'!$A:$L,AE$1,FALSE),IF('Ref-Data'!$Z$5 = "Weighted",VLOOKUP($A10,'Model Output_TTC'!$A:$CB,AE$2,FALSE),IF('Ref-Data'!$Z$5="Baseline",VLOOKUP('Input PD LGD'!$A10,'Model Output_TTC'!$A:$AU,'Input PD LGD'!AE$4,FALSE),IF('Ref-Data'!$Z$5="90th Percentile",VLOOKUP('Input PD LGD'!$A10,'Model Output_TTC'!$A:$BP,'Input PD LGD'!AE$6,FALSE),IF('Ref-Data'!$Z$5="96th Percentile",VLOOKUP('Input PD LGD'!$A10,'Model Output_TTC'!$A:$Z,'Input PD LGD'!AE$8,FALSE),"")))))</f>
        <v>1.23E-2</v>
      </c>
      <c r="L10" s="274">
        <f>VLOOKUP(A10,'Ref-Data'!$A:$N,14,0)</f>
        <v>0.42289867849075702</v>
      </c>
      <c r="M10" s="354">
        <f>VLOOKUP(A10,'Ref-Data'!A:I,9,0)</f>
        <v>1</v>
      </c>
      <c r="N10" s="354" t="s">
        <v>1156</v>
      </c>
      <c r="T10" s="346"/>
      <c r="W10" s="346"/>
    </row>
    <row r="11" spans="1:34" x14ac:dyDescent="0.25">
      <c r="A11" s="277">
        <v>1100000143</v>
      </c>
      <c r="B11" s="277" t="str">
        <f>INDEX('Loan Book Summary'!B:C,MATCH('Input PD LGD'!A11,'Loan Book Summary'!C:C,0),1)</f>
        <v>Mitesh Devshi Jatania - Thornrose Limited - Business Trading Facility</v>
      </c>
      <c r="C11" s="400">
        <f>VLOOKUP(A11,Reference_Rate_Repricing_Report!B:P,15,FALSE)</f>
        <v>9.75</v>
      </c>
      <c r="D11" s="276">
        <f>IF('Ref-Data'!$Z$2="ON",VLOOKUP($A11,'MacroPD-Cal'!$A:$L,X$1,FALSE),IF('Ref-Data'!$Z$5 = "Weighted",VLOOKUP($A11,'Model Output_TTC'!$A:$CB,X$2,FALSE),IF('Ref-Data'!$Z$5="Baseline",VLOOKUP('Input PD LGD'!$A11,'Model Output_TTC'!$A:$AU,'Input PD LGD'!X$4,FALSE),IF('Ref-Data'!$Z$5="90th Percentile",VLOOKUP('Input PD LGD'!$A11,'Model Output_TTC'!$A:$BP,'Input PD LGD'!X$6,FALSE),IF('Ref-Data'!$Z$5="96th Percentile",VLOOKUP('Input PD LGD'!$A11,'Model Output_TTC'!$A:$Z,'Input PD LGD'!X$8,FALSE),"")))))</f>
        <v>1.6959426148996797E-2</v>
      </c>
      <c r="E11" s="276">
        <f>IF('Ref-Data'!$Z$2="ON",VLOOKUP($A11,'MacroPD-Cal'!$A:$L,Y$1,FALSE),IF('Ref-Data'!$Z$5 = "Weighted",VLOOKUP($A11,'Model Output_TTC'!$A:$CB,Y$2,FALSE),IF('Ref-Data'!$Z$5="Baseline",VLOOKUP('Input PD LGD'!$A11,'Model Output_TTC'!$A:$AU,'Input PD LGD'!Y$4,FALSE),IF('Ref-Data'!$Z$5="90th Percentile",VLOOKUP('Input PD LGD'!$A11,'Model Output_TTC'!$A:$BP,'Input PD LGD'!Y$6,FALSE),IF('Ref-Data'!$Z$5="96th Percentile",VLOOKUP('Input PD LGD'!$A11,'Model Output_TTC'!$A:$Z,'Input PD LGD'!Y$8,FALSE),"")))))</f>
        <v>3.7928706334737328E-2</v>
      </c>
      <c r="F11" s="276">
        <f>IF('Ref-Data'!$Z$2="ON",VLOOKUP($A11,'MacroPD-Cal'!$A:$L,Z$1,FALSE),IF('Ref-Data'!$Z$5 = "Weighted",VLOOKUP($A11,'Model Output_TTC'!$A:$CB,Z$2,FALSE),IF('Ref-Data'!$Z$5="Baseline",VLOOKUP('Input PD LGD'!$A11,'Model Output_TTC'!$A:$AU,'Input PD LGD'!Z$4,FALSE),IF('Ref-Data'!$Z$5="90th Percentile",VLOOKUP('Input PD LGD'!$A11,'Model Output_TTC'!$A:$BP,'Input PD LGD'!Z$6,FALSE),IF('Ref-Data'!$Z$5="96th Percentile",VLOOKUP('Input PD LGD'!$A11,'Model Output_TTC'!$A:$Z,'Input PD LGD'!Z$8,FALSE),"")))))</f>
        <v>6.0749195279698576E-2</v>
      </c>
      <c r="G11" s="276">
        <f>IF('Ref-Data'!$Z$2="ON",VLOOKUP($A11,'MacroPD-Cal'!$A:$L,AA$1,FALSE),IF('Ref-Data'!$Z$5 = "Weighted",VLOOKUP($A11,'Model Output_TTC'!$A:$CB,AA$2,FALSE),IF('Ref-Data'!$Z$5="Baseline",VLOOKUP('Input PD LGD'!$A11,'Model Output_TTC'!$A:$AU,'Input PD LGD'!AA$4,FALSE),IF('Ref-Data'!$Z$5="90th Percentile",VLOOKUP('Input PD LGD'!$A11,'Model Output_TTC'!$A:$BP,'Input PD LGD'!AA$6,FALSE),IF('Ref-Data'!$Z$5="96th Percentile",VLOOKUP('Input PD LGD'!$A11,'Model Output_TTC'!$A:$Z,'Input PD LGD'!AA$8,FALSE),"")))))</f>
        <v>8.8300000000000003E-2</v>
      </c>
      <c r="H11" s="276">
        <f>IF('Ref-Data'!$Z$2="ON",VLOOKUP($A11,'MacroPD-Cal'!$A:$L,AB$1,FALSE),IF('Ref-Data'!$Z$5 = "Weighted",VLOOKUP($A11,'Model Output_TTC'!$A:$CB,AB$2,FALSE),IF('Ref-Data'!$Z$5="Baseline",VLOOKUP('Input PD LGD'!$A11,'Model Output_TTC'!$A:$AU,'Input PD LGD'!AB$4,FALSE),IF('Ref-Data'!$Z$5="90th Percentile",VLOOKUP('Input PD LGD'!$A11,'Model Output_TTC'!$A:$BP,'Input PD LGD'!AB$6,FALSE),IF('Ref-Data'!$Z$5="96th Percentile",VLOOKUP('Input PD LGD'!$A11,'Model Output_TTC'!$A:$Z,'Input PD LGD'!AB$8,FALSE),"")))))</f>
        <v>0.13620000000000002</v>
      </c>
      <c r="I11" s="276">
        <f>IF('Ref-Data'!$Z$2="ON",VLOOKUP($A11,'MacroPD-Cal'!$A:$L,AC$1,FALSE),IF('Ref-Data'!$Z$5 = "Weighted",VLOOKUP($A11,'Model Output_TTC'!$A:$CB,AC$2,FALSE),IF('Ref-Data'!$Z$5="Baseline",VLOOKUP('Input PD LGD'!$A11,'Model Output_TTC'!$A:$AU,'Input PD LGD'!AC$4,FALSE),IF('Ref-Data'!$Z$5="90th Percentile",VLOOKUP('Input PD LGD'!$A11,'Model Output_TTC'!$A:$BP,'Input PD LGD'!AC$6,FALSE),IF('Ref-Data'!$Z$5="96th Percentile",VLOOKUP('Input PD LGD'!$A11,'Model Output_TTC'!$A:$Z,'Input PD LGD'!AC$8,FALSE),"")))))</f>
        <v>0.16590000000000002</v>
      </c>
      <c r="J11" s="276">
        <f>IF('Ref-Data'!$Z$2="ON",VLOOKUP($A11,'MacroPD-Cal'!$A:$L,AD$1,FALSE),IF('Ref-Data'!$Z$5 = "Weighted",VLOOKUP($A11,'Model Output_TTC'!$A:$CB,AD$2,FALSE),IF('Ref-Data'!$Z$5="Baseline",VLOOKUP('Input PD LGD'!$A11,'Model Output_TTC'!$A:$AU,'Input PD LGD'!AD$4,FALSE),IF('Ref-Data'!$Z$5="90th Percentile",VLOOKUP('Input PD LGD'!$A11,'Model Output_TTC'!$A:$BP,'Input PD LGD'!AD$6,FALSE),IF('Ref-Data'!$Z$5="96th Percentile",VLOOKUP('Input PD LGD'!$A11,'Model Output_TTC'!$A:$Z,'Input PD LGD'!AD$8,FALSE),"")))))</f>
        <v>0.21990000000000001</v>
      </c>
      <c r="K11" s="276">
        <f>IF('Ref-Data'!$Z$2="ON",VLOOKUP($A11,'MacroPD-Cal'!$A:$L,AE$1,FALSE),IF('Ref-Data'!$Z$5 = "Weighted",VLOOKUP($A11,'Model Output_TTC'!$A:$CB,AE$2,FALSE),IF('Ref-Data'!$Z$5="Baseline",VLOOKUP('Input PD LGD'!$A11,'Model Output_TTC'!$A:$AU,'Input PD LGD'!AE$4,FALSE),IF('Ref-Data'!$Z$5="90th Percentile",VLOOKUP('Input PD LGD'!$A11,'Model Output_TTC'!$A:$BP,'Input PD LGD'!AE$6,FALSE),IF('Ref-Data'!$Z$5="96th Percentile",VLOOKUP('Input PD LGD'!$A11,'Model Output_TTC'!$A:$Z,'Input PD LGD'!AE$8,FALSE),"")))))</f>
        <v>0.27110000000000001</v>
      </c>
      <c r="L11" s="274">
        <f>VLOOKUP(A11,'Ref-Data'!$A:$N,14,0)</f>
        <v>0.256405868273481</v>
      </c>
      <c r="M11" s="354">
        <f>VLOOKUP(A11,'Ref-Data'!A:I,9,0)</f>
        <v>1</v>
      </c>
      <c r="N11" s="354" t="s">
        <v>1156</v>
      </c>
      <c r="T11" s="346"/>
    </row>
    <row r="12" spans="1:34" x14ac:dyDescent="0.25">
      <c r="A12" s="277">
        <v>1100000153</v>
      </c>
      <c r="B12" s="277" t="str">
        <f>INDEX('Loan Book Summary'!B:C,MATCH('Input PD LGD'!A12,'Loan Book Summary'!C:C,0),1)</f>
        <v>Z Hotels Holdco - Z Cha Holdco - Business Trading - Charring Cross - Investment</v>
      </c>
      <c r="C12" s="400">
        <f>VLOOKUP(A12,Reference_Rate_Repricing_Report!B:P,15,FALSE)</f>
        <v>5.8</v>
      </c>
      <c r="D12" s="276">
        <f>IF('Ref-Data'!$Z$2="ON",VLOOKUP($A12,'MacroPD-Cal'!$A:$L,X$1,FALSE),IF('Ref-Data'!$Z$5 = "Weighted",VLOOKUP($A12,'Model Output_TTC'!$A:$CB,X$2,FALSE),IF('Ref-Data'!$Z$5="Baseline",VLOOKUP('Input PD LGD'!$A12,'Model Output_TTC'!$A:$AU,'Input PD LGD'!X$4,FALSE),IF('Ref-Data'!$Z$5="90th Percentile",VLOOKUP('Input PD LGD'!$A12,'Model Output_TTC'!$A:$BP,'Input PD LGD'!X$6,FALSE),IF('Ref-Data'!$Z$5="96th Percentile",VLOOKUP('Input PD LGD'!$A12,'Model Output_TTC'!$A:$Z,'Input PD LGD'!X$8,FALSE),"")))))</f>
        <v>2.5522499619300774E-2</v>
      </c>
      <c r="E12" s="276">
        <f>IF('Ref-Data'!$Z$2="ON",VLOOKUP($A12,'MacroPD-Cal'!$A:$L,Y$1,FALSE),IF('Ref-Data'!$Z$5 = "Weighted",VLOOKUP($A12,'Model Output_TTC'!$A:$CB,Y$2,FALSE),IF('Ref-Data'!$Z$5="Baseline",VLOOKUP('Input PD LGD'!$A12,'Model Output_TTC'!$A:$AU,'Input PD LGD'!Y$4,FALSE),IF('Ref-Data'!$Z$5="90th Percentile",VLOOKUP('Input PD LGD'!$A12,'Model Output_TTC'!$A:$BP,'Input PD LGD'!Y$6,FALSE),IF('Ref-Data'!$Z$5="96th Percentile",VLOOKUP('Input PD LGD'!$A12,'Model Output_TTC'!$A:$Z,'Input PD LGD'!Y$8,FALSE),"")))))</f>
        <v>5.6365334901311459E-2</v>
      </c>
      <c r="F12" s="276">
        <f>IF('Ref-Data'!$Z$2="ON",VLOOKUP($A12,'MacroPD-Cal'!$A:$L,Z$1,FALSE),IF('Ref-Data'!$Z$5 = "Weighted",VLOOKUP($A12,'Model Output_TTC'!$A:$CB,Z$2,FALSE),IF('Ref-Data'!$Z$5="Baseline",VLOOKUP('Input PD LGD'!$A12,'Model Output_TTC'!$A:$AU,'Input PD LGD'!Z$4,FALSE),IF('Ref-Data'!$Z$5="90th Percentile",VLOOKUP('Input PD LGD'!$A12,'Model Output_TTC'!$A:$BP,'Input PD LGD'!Z$6,FALSE),IF('Ref-Data'!$Z$5="96th Percentile",VLOOKUP('Input PD LGD'!$A12,'Model Output_TTC'!$A:$Z,'Input PD LGD'!Z$8,FALSE),"")))))</f>
        <v>8.9355863861766638E-2</v>
      </c>
      <c r="G12" s="276">
        <f>IF('Ref-Data'!$Z$2="ON",VLOOKUP($A12,'MacroPD-Cal'!$A:$L,AA$1,FALSE),IF('Ref-Data'!$Z$5 = "Weighted",VLOOKUP($A12,'Model Output_TTC'!$A:$CB,AA$2,FALSE),IF('Ref-Data'!$Z$5="Baseline",VLOOKUP('Input PD LGD'!$A12,'Model Output_TTC'!$A:$AU,'Input PD LGD'!AA$4,FALSE),IF('Ref-Data'!$Z$5="90th Percentile",VLOOKUP('Input PD LGD'!$A12,'Model Output_TTC'!$A:$BP,'Input PD LGD'!AA$6,FALSE),IF('Ref-Data'!$Z$5="96th Percentile",VLOOKUP('Input PD LGD'!$A12,'Model Output_TTC'!$A:$Z,'Input PD LGD'!AA$8,FALSE),"")))))</f>
        <v>0.1283</v>
      </c>
      <c r="H12" s="276">
        <f>IF('Ref-Data'!$Z$2="ON",VLOOKUP($A12,'MacroPD-Cal'!$A:$L,AB$1,FALSE),IF('Ref-Data'!$Z$5 = "Weighted",VLOOKUP($A12,'Model Output_TTC'!$A:$CB,AB$2,FALSE),IF('Ref-Data'!$Z$5="Baseline",VLOOKUP('Input PD LGD'!$A12,'Model Output_TTC'!$A:$AU,'Input PD LGD'!AB$4,FALSE),IF('Ref-Data'!$Z$5="90th Percentile",VLOOKUP('Input PD LGD'!$A12,'Model Output_TTC'!$A:$BP,'Input PD LGD'!AB$6,FALSE),IF('Ref-Data'!$Z$5="96th Percentile",VLOOKUP('Input PD LGD'!$A12,'Model Output_TTC'!$A:$Z,'Input PD LGD'!AB$8,FALSE),"")))))</f>
        <v>0.1852</v>
      </c>
      <c r="I12" s="276">
        <f>IF('Ref-Data'!$Z$2="ON",VLOOKUP($A12,'MacroPD-Cal'!$A:$L,AC$1,FALSE),IF('Ref-Data'!$Z$5 = "Weighted",VLOOKUP($A12,'Model Output_TTC'!$A:$CB,AC$2,FALSE),IF('Ref-Data'!$Z$5="Baseline",VLOOKUP('Input PD LGD'!$A12,'Model Output_TTC'!$A:$AU,'Input PD LGD'!AC$4,FALSE),IF('Ref-Data'!$Z$5="90th Percentile",VLOOKUP('Input PD LGD'!$A12,'Model Output_TTC'!$A:$BP,'Input PD LGD'!AC$6,FALSE),IF('Ref-Data'!$Z$5="96th Percentile",VLOOKUP('Input PD LGD'!$A12,'Model Output_TTC'!$A:$Z,'Input PD LGD'!AC$8,FALSE),"")))))</f>
        <v>0.21690000000000001</v>
      </c>
      <c r="J12" s="276">
        <f>IF('Ref-Data'!$Z$2="ON",VLOOKUP($A12,'MacroPD-Cal'!$A:$L,AD$1,FALSE),IF('Ref-Data'!$Z$5 = "Weighted",VLOOKUP($A12,'Model Output_TTC'!$A:$CB,AD$2,FALSE),IF('Ref-Data'!$Z$5="Baseline",VLOOKUP('Input PD LGD'!$A12,'Model Output_TTC'!$A:$AU,'Input PD LGD'!AD$4,FALSE),IF('Ref-Data'!$Z$5="90th Percentile",VLOOKUP('Input PD LGD'!$A12,'Model Output_TTC'!$A:$BP,'Input PD LGD'!AD$6,FALSE),IF('Ref-Data'!$Z$5="96th Percentile",VLOOKUP('Input PD LGD'!$A12,'Model Output_TTC'!$A:$Z,'Input PD LGD'!AD$8,FALSE),"")))))</f>
        <v>0.26940000000000003</v>
      </c>
      <c r="K12" s="276">
        <f>IF('Ref-Data'!$Z$2="ON",VLOOKUP($A12,'MacroPD-Cal'!$A:$L,AE$1,FALSE),IF('Ref-Data'!$Z$5 = "Weighted",VLOOKUP($A12,'Model Output_TTC'!$A:$CB,AE$2,FALSE),IF('Ref-Data'!$Z$5="Baseline",VLOOKUP('Input PD LGD'!$A12,'Model Output_TTC'!$A:$AU,'Input PD LGD'!AE$4,FALSE),IF('Ref-Data'!$Z$5="90th Percentile",VLOOKUP('Input PD LGD'!$A12,'Model Output_TTC'!$A:$BP,'Input PD LGD'!AE$6,FALSE),IF('Ref-Data'!$Z$5="96th Percentile",VLOOKUP('Input PD LGD'!$A12,'Model Output_TTC'!$A:$Z,'Input PD LGD'!AE$8,FALSE),"")))))</f>
        <v>0.31620000000000004</v>
      </c>
      <c r="L12" s="274">
        <f>VLOOKUP(A12,'Ref-Data'!$A:$N,14,0)</f>
        <v>0.1613</v>
      </c>
      <c r="M12" s="354">
        <f>VLOOKUP(A12,'Ref-Data'!A:I,9,0)</f>
        <v>1</v>
      </c>
      <c r="N12" s="354" t="s">
        <v>1156</v>
      </c>
      <c r="T12" s="346"/>
    </row>
    <row r="13" spans="1:34" s="346" customFormat="1" x14ac:dyDescent="0.25">
      <c r="A13" s="277">
        <v>1100000151</v>
      </c>
      <c r="B13" s="277" t="str">
        <f>INDEX('Loan Book Summary'!B:C,MATCH('Input PD LGD'!A13,'Loan Book Summary'!C:C,0),1)</f>
        <v>Ten M II Limited- Care Concern Management OA Ltd- Business Trading- Fac A</v>
      </c>
      <c r="C13" s="400">
        <f>VLOOKUP(A13,Reference_Rate_Repricing_Report!B:P,15,FALSE)</f>
        <v>7.02</v>
      </c>
      <c r="D13" s="276">
        <f>IF('Ref-Data'!$Z$2="ON",VLOOKUP($A13,'MacroPD-Cal'!$A:$L,X$1,FALSE),IF('Ref-Data'!$Z$5 = "Weighted",VLOOKUP($A13,'Model Output_TTC'!$A:$CB,X$2,FALSE),IF('Ref-Data'!$Z$5="Baseline",VLOOKUP('Input PD LGD'!$A13,'Model Output_TTC'!$A:$AU,'Input PD LGD'!X$4,FALSE),IF('Ref-Data'!$Z$5="90th Percentile",VLOOKUP('Input PD LGD'!$A13,'Model Output_TTC'!$A:$BP,'Input PD LGD'!X$6,FALSE),IF('Ref-Data'!$Z$5="96th Percentile",VLOOKUP('Input PD LGD'!$A13,'Model Output_TTC'!$A:$Z,'Input PD LGD'!X$8,FALSE),"")))))</f>
        <v>4.6855230119654189E-4</v>
      </c>
      <c r="E13" s="276">
        <f>IF('Ref-Data'!$Z$2="ON",VLOOKUP($A13,'MacroPD-Cal'!$A:$L,Y$1,FALSE),IF('Ref-Data'!$Z$5 = "Weighted",VLOOKUP($A13,'Model Output_TTC'!$A:$CB,Y$2,FALSE),IF('Ref-Data'!$Z$5="Baseline",VLOOKUP('Input PD LGD'!$A13,'Model Output_TTC'!$A:$AU,'Input PD LGD'!Y$4,FALSE),IF('Ref-Data'!$Z$5="90th Percentile",VLOOKUP('Input PD LGD'!$A13,'Model Output_TTC'!$A:$BP,'Input PD LGD'!Y$6,FALSE),IF('Ref-Data'!$Z$5="96th Percentile",VLOOKUP('Input PD LGD'!$A13,'Model Output_TTC'!$A:$Z,'Input PD LGD'!Y$8,FALSE),"")))))</f>
        <v>1.1210892140692819E-3</v>
      </c>
      <c r="F13" s="276">
        <f>IF('Ref-Data'!$Z$2="ON",VLOOKUP($A13,'MacroPD-Cal'!$A:$L,Z$1,FALSE),IF('Ref-Data'!$Z$5 = "Weighted",VLOOKUP($A13,'Model Output_TTC'!$A:$CB,Z$2,FALSE),IF('Ref-Data'!$Z$5="Baseline",VLOOKUP('Input PD LGD'!$A13,'Model Output_TTC'!$A:$AU,'Input PD LGD'!Z$4,FALSE),IF('Ref-Data'!$Z$5="90th Percentile",VLOOKUP('Input PD LGD'!$A13,'Model Output_TTC'!$A:$BP,'Input PD LGD'!Z$6,FALSE),IF('Ref-Data'!$Z$5="96th Percentile",VLOOKUP('Input PD LGD'!$A13,'Model Output_TTC'!$A:$Z,'Input PD LGD'!Z$8,FALSE),"")))))</f>
        <v>1.8822414398781406E-3</v>
      </c>
      <c r="G13" s="276">
        <f>IF('Ref-Data'!$Z$2="ON",VLOOKUP($A13,'MacroPD-Cal'!$A:$L,AA$1,FALSE),IF('Ref-Data'!$Z$5 = "Weighted",VLOOKUP($A13,'Model Output_TTC'!$A:$CB,AA$2,FALSE),IF('Ref-Data'!$Z$5="Baseline",VLOOKUP('Input PD LGD'!$A13,'Model Output_TTC'!$A:$AU,'Input PD LGD'!AA$4,FALSE),IF('Ref-Data'!$Z$5="90th Percentile",VLOOKUP('Input PD LGD'!$A13,'Model Output_TTC'!$A:$BP,'Input PD LGD'!AA$6,FALSE),IF('Ref-Data'!$Z$5="96th Percentile",VLOOKUP('Input PD LGD'!$A13,'Model Output_TTC'!$A:$Z,'Input PD LGD'!AA$8,FALSE),"")))))</f>
        <v>2.9000000000000002E-3</v>
      </c>
      <c r="H13" s="276">
        <f>IF('Ref-Data'!$Z$2="ON",VLOOKUP($A13,'MacroPD-Cal'!$A:$L,AB$1,FALSE),IF('Ref-Data'!$Z$5 = "Weighted",VLOOKUP($A13,'Model Output_TTC'!$A:$CB,AB$2,FALSE),IF('Ref-Data'!$Z$5="Baseline",VLOOKUP('Input PD LGD'!$A13,'Model Output_TTC'!$A:$AU,'Input PD LGD'!AB$4,FALSE),IF('Ref-Data'!$Z$5="90th Percentile",VLOOKUP('Input PD LGD'!$A13,'Model Output_TTC'!$A:$BP,'Input PD LGD'!AB$6,FALSE),IF('Ref-Data'!$Z$5="96th Percentile",VLOOKUP('Input PD LGD'!$A13,'Model Output_TTC'!$A:$Z,'Input PD LGD'!AB$8,FALSE),"")))))</f>
        <v>4.2000000000000006E-3</v>
      </c>
      <c r="I13" s="276">
        <f>IF('Ref-Data'!$Z$2="ON",VLOOKUP($A13,'MacroPD-Cal'!$A:$L,AC$1,FALSE),IF('Ref-Data'!$Z$5 = "Weighted",VLOOKUP($A13,'Model Output_TTC'!$A:$CB,AC$2,FALSE),IF('Ref-Data'!$Z$5="Baseline",VLOOKUP('Input PD LGD'!$A13,'Model Output_TTC'!$A:$AU,'Input PD LGD'!AC$4,FALSE),IF('Ref-Data'!$Z$5="90th Percentile",VLOOKUP('Input PD LGD'!$A13,'Model Output_TTC'!$A:$BP,'Input PD LGD'!AC$6,FALSE),IF('Ref-Data'!$Z$5="96th Percentile",VLOOKUP('Input PD LGD'!$A13,'Model Output_TTC'!$A:$Z,'Input PD LGD'!AC$8,FALSE),"")))))</f>
        <v>5.0000000000000001E-3</v>
      </c>
      <c r="J13" s="276">
        <f>IF('Ref-Data'!$Z$2="ON",VLOOKUP($A13,'MacroPD-Cal'!$A:$L,AD$1,FALSE),IF('Ref-Data'!$Z$5 = "Weighted",VLOOKUP($A13,'Model Output_TTC'!$A:$CB,AD$2,FALSE),IF('Ref-Data'!$Z$5="Baseline",VLOOKUP('Input PD LGD'!$A13,'Model Output_TTC'!$A:$AU,'Input PD LGD'!AD$4,FALSE),IF('Ref-Data'!$Z$5="90th Percentile",VLOOKUP('Input PD LGD'!$A13,'Model Output_TTC'!$A:$BP,'Input PD LGD'!AD$6,FALSE),IF('Ref-Data'!$Z$5="96th Percentile",VLOOKUP('Input PD LGD'!$A13,'Model Output_TTC'!$A:$Z,'Input PD LGD'!AD$8,FALSE),"")))))</f>
        <v>7.1000000000000004E-3</v>
      </c>
      <c r="K13" s="276">
        <f>IF('Ref-Data'!$Z$2="ON",VLOOKUP($A13,'MacroPD-Cal'!$A:$L,AE$1,FALSE),IF('Ref-Data'!$Z$5 = "Weighted",VLOOKUP($A13,'Model Output_TTC'!$A:$CB,AE$2,FALSE),IF('Ref-Data'!$Z$5="Baseline",VLOOKUP('Input PD LGD'!$A13,'Model Output_TTC'!$A:$AU,'Input PD LGD'!AE$4,FALSE),IF('Ref-Data'!$Z$5="90th Percentile",VLOOKUP('Input PD LGD'!$A13,'Model Output_TTC'!$A:$BP,'Input PD LGD'!AE$6,FALSE),IF('Ref-Data'!$Z$5="96th Percentile",VLOOKUP('Input PD LGD'!$A13,'Model Output_TTC'!$A:$Z,'Input PD LGD'!AE$8,FALSE),"")))))</f>
        <v>9.300000000000001E-3</v>
      </c>
      <c r="L13" s="274">
        <f>VLOOKUP(A13,'Ref-Data'!$A:$N,14,0)</f>
        <v>0.1</v>
      </c>
      <c r="M13" s="354">
        <f>VLOOKUP(A13,'Ref-Data'!A:I,9,0)</f>
        <v>1</v>
      </c>
      <c r="N13" s="354" t="s">
        <v>1156</v>
      </c>
      <c r="O13"/>
      <c r="P13"/>
      <c r="Q13"/>
      <c r="R13"/>
      <c r="S13"/>
    </row>
    <row r="14" spans="1:34" s="346" customFormat="1" x14ac:dyDescent="0.25">
      <c r="A14" s="277">
        <v>1100000186</v>
      </c>
      <c r="B14" s="277" t="str">
        <f>INDEX('Loan Book Summary'!B:C,MATCH('Input PD LGD'!A14,'Loan Book Summary'!C:C,0),1)</f>
        <v>Ergos Technology Partners - OncoreIT Limited - Business Trading - Facility A</v>
      </c>
      <c r="C14" s="400">
        <f>VLOOKUP(A14,Reference_Rate_Repricing_Report!B:P,15,FALSE)</f>
        <v>7.07</v>
      </c>
      <c r="D14" s="276">
        <f>IF('Ref-Data'!$Z$2="ON",VLOOKUP($A14,'MacroPD-Cal'!$A:$L,X$1,FALSE),IF('Ref-Data'!$Z$5 = "Weighted",VLOOKUP($A14,'Model Output_TTC'!$A:$CB,X$2,FALSE),IF('Ref-Data'!$Z$5="Baseline",VLOOKUP('Input PD LGD'!$A14,'Model Output_TTC'!$A:$AU,'Input PD LGD'!X$4,FALSE),IF('Ref-Data'!$Z$5="90th Percentile",VLOOKUP('Input PD LGD'!$A14,'Model Output_TTC'!$A:$BP,'Input PD LGD'!X$6,FALSE),IF('Ref-Data'!$Z$5="96th Percentile",VLOOKUP('Input PD LGD'!$A14,'Model Output_TTC'!$A:$Z,'Input PD LGD'!X$8,FALSE),"")))))</f>
        <v>3.0015888726513514E-4</v>
      </c>
      <c r="E14" s="276">
        <f>IF('Ref-Data'!$Z$2="ON",VLOOKUP($A14,'MacroPD-Cal'!$A:$L,Y$1,FALSE),IF('Ref-Data'!$Z$5 = "Weighted",VLOOKUP($A14,'Model Output_TTC'!$A:$CB,Y$2,FALSE),IF('Ref-Data'!$Z$5="Baseline",VLOOKUP('Input PD LGD'!$A14,'Model Output_TTC'!$A:$AU,'Input PD LGD'!Y$4,FALSE),IF('Ref-Data'!$Z$5="90th Percentile",VLOOKUP('Input PD LGD'!$A14,'Model Output_TTC'!$A:$BP,'Input PD LGD'!Y$6,FALSE),IF('Ref-Data'!$Z$5="96th Percentile",VLOOKUP('Input PD LGD'!$A14,'Model Output_TTC'!$A:$Z,'Input PD LGD'!Y$8,FALSE),"")))))</f>
        <v>7.2280348133579864E-4</v>
      </c>
      <c r="F14" s="276">
        <f>IF('Ref-Data'!$Z$2="ON",VLOOKUP($A14,'MacroPD-Cal'!$A:$L,Z$1,FALSE),IF('Ref-Data'!$Z$5 = "Weighted",VLOOKUP($A14,'Model Output_TTC'!$A:$CB,Z$2,FALSE),IF('Ref-Data'!$Z$5="Baseline",VLOOKUP('Input PD LGD'!$A14,'Model Output_TTC'!$A:$AU,'Input PD LGD'!Z$4,FALSE),IF('Ref-Data'!$Z$5="90th Percentile",VLOOKUP('Input PD LGD'!$A14,'Model Output_TTC'!$A:$BP,'Input PD LGD'!Z$6,FALSE),IF('Ref-Data'!$Z$5="96th Percentile",VLOOKUP('Input PD LGD'!$A14,'Model Output_TTC'!$A:$Z,'Input PD LGD'!Z$8,FALSE),"")))))</f>
        <v>1.2184490693811778E-3</v>
      </c>
      <c r="G14" s="276">
        <f>IF('Ref-Data'!$Z$2="ON",VLOOKUP($A14,'MacroPD-Cal'!$A:$L,AA$1,FALSE),IF('Ref-Data'!$Z$5 = "Weighted",VLOOKUP($A14,'Model Output_TTC'!$A:$CB,AA$2,FALSE),IF('Ref-Data'!$Z$5="Baseline",VLOOKUP('Input PD LGD'!$A14,'Model Output_TTC'!$A:$AU,'Input PD LGD'!AA$4,FALSE),IF('Ref-Data'!$Z$5="90th Percentile",VLOOKUP('Input PD LGD'!$A14,'Model Output_TTC'!$A:$BP,'Input PD LGD'!AA$6,FALSE),IF('Ref-Data'!$Z$5="96th Percentile",VLOOKUP('Input PD LGD'!$A14,'Model Output_TTC'!$A:$Z,'Input PD LGD'!AA$8,FALSE),"")))))</f>
        <v>1.9E-3</v>
      </c>
      <c r="H14" s="276">
        <f>IF('Ref-Data'!$Z$2="ON",VLOOKUP($A14,'MacroPD-Cal'!$A:$L,AB$1,FALSE),IF('Ref-Data'!$Z$5 = "Weighted",VLOOKUP($A14,'Model Output_TTC'!$A:$CB,AB$2,FALSE),IF('Ref-Data'!$Z$5="Baseline",VLOOKUP('Input PD LGD'!$A14,'Model Output_TTC'!$A:$AU,'Input PD LGD'!AB$4,FALSE),IF('Ref-Data'!$Z$5="90th Percentile",VLOOKUP('Input PD LGD'!$A14,'Model Output_TTC'!$A:$BP,'Input PD LGD'!AB$6,FALSE),IF('Ref-Data'!$Z$5="96th Percentile",VLOOKUP('Input PD LGD'!$A14,'Model Output_TTC'!$A:$Z,'Input PD LGD'!AB$8,FALSE),"")))))</f>
        <v>2.9000000000000002E-3</v>
      </c>
      <c r="I14" s="276">
        <f>IF('Ref-Data'!$Z$2="ON",VLOOKUP($A14,'MacroPD-Cal'!$A:$L,AC$1,FALSE),IF('Ref-Data'!$Z$5 = "Weighted",VLOOKUP($A14,'Model Output_TTC'!$A:$CB,AC$2,FALSE),IF('Ref-Data'!$Z$5="Baseline",VLOOKUP('Input PD LGD'!$A14,'Model Output_TTC'!$A:$AU,'Input PD LGD'!AC$4,FALSE),IF('Ref-Data'!$Z$5="90th Percentile",VLOOKUP('Input PD LGD'!$A14,'Model Output_TTC'!$A:$BP,'Input PD LGD'!AC$6,FALSE),IF('Ref-Data'!$Z$5="96th Percentile",VLOOKUP('Input PD LGD'!$A14,'Model Output_TTC'!$A:$Z,'Input PD LGD'!AC$8,FALSE),"")))))</f>
        <v>3.5000000000000001E-3</v>
      </c>
      <c r="J14" s="276">
        <f>IF('Ref-Data'!$Z$2="ON",VLOOKUP($A14,'MacroPD-Cal'!$A:$L,AD$1,FALSE),IF('Ref-Data'!$Z$5 = "Weighted",VLOOKUP($A14,'Model Output_TTC'!$A:$CB,AD$2,FALSE),IF('Ref-Data'!$Z$5="Baseline",VLOOKUP('Input PD LGD'!$A14,'Model Output_TTC'!$A:$AU,'Input PD LGD'!AD$4,FALSE),IF('Ref-Data'!$Z$5="90th Percentile",VLOOKUP('Input PD LGD'!$A14,'Model Output_TTC'!$A:$BP,'Input PD LGD'!AD$6,FALSE),IF('Ref-Data'!$Z$5="96th Percentile",VLOOKUP('Input PD LGD'!$A14,'Model Output_TTC'!$A:$Z,'Input PD LGD'!AD$8,FALSE),"")))))</f>
        <v>5.5000000000000005E-3</v>
      </c>
      <c r="K14" s="276">
        <f>IF('Ref-Data'!$Z$2="ON",VLOOKUP($A14,'MacroPD-Cal'!$A:$L,AE$1,FALSE),IF('Ref-Data'!$Z$5 = "Weighted",VLOOKUP($A14,'Model Output_TTC'!$A:$CB,AE$2,FALSE),IF('Ref-Data'!$Z$5="Baseline",VLOOKUP('Input PD LGD'!$A14,'Model Output_TTC'!$A:$AU,'Input PD LGD'!AE$4,FALSE),IF('Ref-Data'!$Z$5="90th Percentile",VLOOKUP('Input PD LGD'!$A14,'Model Output_TTC'!$A:$BP,'Input PD LGD'!AE$6,FALSE),IF('Ref-Data'!$Z$5="96th Percentile",VLOOKUP('Input PD LGD'!$A14,'Model Output_TTC'!$A:$Z,'Input PD LGD'!AE$8,FALSE),"")))))</f>
        <v>7.5000000000000006E-3</v>
      </c>
      <c r="L14" s="274">
        <f>VLOOKUP(A14,'Ref-Data'!$A:$N,14,0)</f>
        <v>0.30073707995253063</v>
      </c>
      <c r="M14" s="354">
        <f>VLOOKUP(A14,'Ref-Data'!A:I,9,0)</f>
        <v>1</v>
      </c>
      <c r="N14" s="354" t="s">
        <v>1156</v>
      </c>
      <c r="O14"/>
      <c r="P14"/>
      <c r="Q14"/>
      <c r="R14"/>
      <c r="S14"/>
    </row>
    <row r="15" spans="1:34" s="346" customFormat="1" x14ac:dyDescent="0.25">
      <c r="A15" s="277">
        <v>1100000187</v>
      </c>
      <c r="B15" s="277" t="str">
        <f>INDEX('Loan Book Summary'!B:C,MATCH('Input PD LGD'!A15,'Loan Book Summary'!C:C,0),1)</f>
        <v>Ergos Technology Partners - OncoreIT Limited - Business Trading - RCF</v>
      </c>
      <c r="C15" s="400">
        <f>VLOOKUP(A15,Reference_Rate_Repricing_Report!B:P,15,FALSE)</f>
        <v>6.57</v>
      </c>
      <c r="D15" s="276">
        <f>IF('Ref-Data'!$Z$2="ON",VLOOKUP($A15,'MacroPD-Cal'!$A:$L,X$1,FALSE),IF('Ref-Data'!$Z$5 = "Weighted",VLOOKUP($A15,'Model Output_TTC'!$A:$CB,X$2,FALSE),IF('Ref-Data'!$Z$5="Baseline",VLOOKUP('Input PD LGD'!$A15,'Model Output_TTC'!$A:$AU,'Input PD LGD'!X$4,FALSE),IF('Ref-Data'!$Z$5="90th Percentile",VLOOKUP('Input PD LGD'!$A15,'Model Output_TTC'!$A:$BP,'Input PD LGD'!X$6,FALSE),IF('Ref-Data'!$Z$5="96th Percentile",VLOOKUP('Input PD LGD'!$A15,'Model Output_TTC'!$A:$Z,'Input PD LGD'!X$8,FALSE),"")))))</f>
        <v>3.0015888726513514E-4</v>
      </c>
      <c r="E15" s="276">
        <f>IF('Ref-Data'!$Z$2="ON",VLOOKUP($A15,'MacroPD-Cal'!$A:$L,Y$1,FALSE),IF('Ref-Data'!$Z$5 = "Weighted",VLOOKUP($A15,'Model Output_TTC'!$A:$CB,Y$2,FALSE),IF('Ref-Data'!$Z$5="Baseline",VLOOKUP('Input PD LGD'!$A15,'Model Output_TTC'!$A:$AU,'Input PD LGD'!Y$4,FALSE),IF('Ref-Data'!$Z$5="90th Percentile",VLOOKUP('Input PD LGD'!$A15,'Model Output_TTC'!$A:$BP,'Input PD LGD'!Y$6,FALSE),IF('Ref-Data'!$Z$5="96th Percentile",VLOOKUP('Input PD LGD'!$A15,'Model Output_TTC'!$A:$Z,'Input PD LGD'!Y$8,FALSE),"")))))</f>
        <v>7.2280348133579864E-4</v>
      </c>
      <c r="F15" s="276">
        <f>IF('Ref-Data'!$Z$2="ON",VLOOKUP($A15,'MacroPD-Cal'!$A:$L,Z$1,FALSE),IF('Ref-Data'!$Z$5 = "Weighted",VLOOKUP($A15,'Model Output_TTC'!$A:$CB,Z$2,FALSE),IF('Ref-Data'!$Z$5="Baseline",VLOOKUP('Input PD LGD'!$A15,'Model Output_TTC'!$A:$AU,'Input PD LGD'!Z$4,FALSE),IF('Ref-Data'!$Z$5="90th Percentile",VLOOKUP('Input PD LGD'!$A15,'Model Output_TTC'!$A:$BP,'Input PD LGD'!Z$6,FALSE),IF('Ref-Data'!$Z$5="96th Percentile",VLOOKUP('Input PD LGD'!$A15,'Model Output_TTC'!$A:$Z,'Input PD LGD'!Z$8,FALSE),"")))))</f>
        <v>1.2184490693811778E-3</v>
      </c>
      <c r="G15" s="276">
        <f>IF('Ref-Data'!$Z$2="ON",VLOOKUP($A15,'MacroPD-Cal'!$A:$L,AA$1,FALSE),IF('Ref-Data'!$Z$5 = "Weighted",VLOOKUP($A15,'Model Output_TTC'!$A:$CB,AA$2,FALSE),IF('Ref-Data'!$Z$5="Baseline",VLOOKUP('Input PD LGD'!$A15,'Model Output_TTC'!$A:$AU,'Input PD LGD'!AA$4,FALSE),IF('Ref-Data'!$Z$5="90th Percentile",VLOOKUP('Input PD LGD'!$A15,'Model Output_TTC'!$A:$BP,'Input PD LGD'!AA$6,FALSE),IF('Ref-Data'!$Z$5="96th Percentile",VLOOKUP('Input PD LGD'!$A15,'Model Output_TTC'!$A:$Z,'Input PD LGD'!AA$8,FALSE),"")))))</f>
        <v>1.9E-3</v>
      </c>
      <c r="H15" s="276">
        <f>IF('Ref-Data'!$Z$2="ON",VLOOKUP($A15,'MacroPD-Cal'!$A:$L,AB$1,FALSE),IF('Ref-Data'!$Z$5 = "Weighted",VLOOKUP($A15,'Model Output_TTC'!$A:$CB,AB$2,FALSE),IF('Ref-Data'!$Z$5="Baseline",VLOOKUP('Input PD LGD'!$A15,'Model Output_TTC'!$A:$AU,'Input PD LGD'!AB$4,FALSE),IF('Ref-Data'!$Z$5="90th Percentile",VLOOKUP('Input PD LGD'!$A15,'Model Output_TTC'!$A:$BP,'Input PD LGD'!AB$6,FALSE),IF('Ref-Data'!$Z$5="96th Percentile",VLOOKUP('Input PD LGD'!$A15,'Model Output_TTC'!$A:$Z,'Input PD LGD'!AB$8,FALSE),"")))))</f>
        <v>2.9000000000000002E-3</v>
      </c>
      <c r="I15" s="276">
        <f>IF('Ref-Data'!$Z$2="ON",VLOOKUP($A15,'MacroPD-Cal'!$A:$L,AC$1,FALSE),IF('Ref-Data'!$Z$5 = "Weighted",VLOOKUP($A15,'Model Output_TTC'!$A:$CB,AC$2,FALSE),IF('Ref-Data'!$Z$5="Baseline",VLOOKUP('Input PD LGD'!$A15,'Model Output_TTC'!$A:$AU,'Input PD LGD'!AC$4,FALSE),IF('Ref-Data'!$Z$5="90th Percentile",VLOOKUP('Input PD LGD'!$A15,'Model Output_TTC'!$A:$BP,'Input PD LGD'!AC$6,FALSE),IF('Ref-Data'!$Z$5="96th Percentile",VLOOKUP('Input PD LGD'!$A15,'Model Output_TTC'!$A:$Z,'Input PD LGD'!AC$8,FALSE),"")))))</f>
        <v>3.5000000000000001E-3</v>
      </c>
      <c r="J15" s="276">
        <f>IF('Ref-Data'!$Z$2="ON",VLOOKUP($A15,'MacroPD-Cal'!$A:$L,AD$1,FALSE),IF('Ref-Data'!$Z$5 = "Weighted",VLOOKUP($A15,'Model Output_TTC'!$A:$CB,AD$2,FALSE),IF('Ref-Data'!$Z$5="Baseline",VLOOKUP('Input PD LGD'!$A15,'Model Output_TTC'!$A:$AU,'Input PD LGD'!AD$4,FALSE),IF('Ref-Data'!$Z$5="90th Percentile",VLOOKUP('Input PD LGD'!$A15,'Model Output_TTC'!$A:$BP,'Input PD LGD'!AD$6,FALSE),IF('Ref-Data'!$Z$5="96th Percentile",VLOOKUP('Input PD LGD'!$A15,'Model Output_TTC'!$A:$Z,'Input PD LGD'!AD$8,FALSE),"")))))</f>
        <v>5.5000000000000005E-3</v>
      </c>
      <c r="K15" s="276">
        <f>IF('Ref-Data'!$Z$2="ON",VLOOKUP($A15,'MacroPD-Cal'!$A:$L,AE$1,FALSE),IF('Ref-Data'!$Z$5 = "Weighted",VLOOKUP($A15,'Model Output_TTC'!$A:$CB,AE$2,FALSE),IF('Ref-Data'!$Z$5="Baseline",VLOOKUP('Input PD LGD'!$A15,'Model Output_TTC'!$A:$AU,'Input PD LGD'!AE$4,FALSE),IF('Ref-Data'!$Z$5="90th Percentile",VLOOKUP('Input PD LGD'!$A15,'Model Output_TTC'!$A:$BP,'Input PD LGD'!AE$6,FALSE),IF('Ref-Data'!$Z$5="96th Percentile",VLOOKUP('Input PD LGD'!$A15,'Model Output_TTC'!$A:$Z,'Input PD LGD'!AE$8,FALSE),"")))))</f>
        <v>7.5000000000000006E-3</v>
      </c>
      <c r="L15" s="274">
        <f>VLOOKUP(A15,'Ref-Data'!$A:$N,14,0)</f>
        <v>0.30073707995253063</v>
      </c>
      <c r="M15" s="354">
        <f>VLOOKUP(A15,'Ref-Data'!A:I,9,0)</f>
        <v>1</v>
      </c>
      <c r="N15" s="354" t="s">
        <v>1156</v>
      </c>
      <c r="O15"/>
      <c r="P15"/>
      <c r="Q15"/>
      <c r="R15"/>
      <c r="S15"/>
    </row>
    <row r="16" spans="1:34" s="346" customFormat="1" x14ac:dyDescent="0.25">
      <c r="A16" s="277">
        <v>1100000171</v>
      </c>
      <c r="B16" s="277" t="str">
        <f>INDEX('Loan Book Summary'!B:C,MATCH('Input PD LGD'!A16,'Loan Book Summary'!C:C,0),1)</f>
        <v>Nine Gatwick Hotel Limited - Business Trading - T1 Trading - Non-CBILS</v>
      </c>
      <c r="C16" s="400">
        <f>VLOOKUP(A16,Reference_Rate_Repricing_Report!B:P,15,FALSE)</f>
        <v>6.37</v>
      </c>
      <c r="D16" s="276">
        <f>IF('Ref-Data'!$Z$2="ON",VLOOKUP($A16,'MacroPD-Cal'!$A:$L,X$1,FALSE),IF('Ref-Data'!$Z$5 = "Weighted",VLOOKUP($A16,'Model Output_TTC'!$A:$CB,X$2,FALSE),IF('Ref-Data'!$Z$5="Baseline",VLOOKUP('Input PD LGD'!$A16,'Model Output_TTC'!$A:$AU,'Input PD LGD'!X$4,FALSE),IF('Ref-Data'!$Z$5="90th Percentile",VLOOKUP('Input PD LGD'!$A16,'Model Output_TTC'!$A:$BP,'Input PD LGD'!X$6,FALSE),IF('Ref-Data'!$Z$5="96th Percentile",VLOOKUP('Input PD LGD'!$A16,'Model Output_TTC'!$A:$Z,'Input PD LGD'!X$8,FALSE),"")))))</f>
        <v>2.4783737762410296E-3</v>
      </c>
      <c r="E16" s="276">
        <f>IF('Ref-Data'!$Z$2="ON",VLOOKUP($A16,'MacroPD-Cal'!$A:$L,Y$1,FALSE),IF('Ref-Data'!$Z$5 = "Weighted",VLOOKUP($A16,'Model Output_TTC'!$A:$CB,Y$2,FALSE),IF('Ref-Data'!$Z$5="Baseline",VLOOKUP('Input PD LGD'!$A16,'Model Output_TTC'!$A:$AU,'Input PD LGD'!Y$4,FALSE),IF('Ref-Data'!$Z$5="90th Percentile",VLOOKUP('Input PD LGD'!$A16,'Model Output_TTC'!$A:$BP,'Input PD LGD'!Y$6,FALSE),IF('Ref-Data'!$Z$5="96th Percentile",VLOOKUP('Input PD LGD'!$A16,'Model Output_TTC'!$A:$Z,'Input PD LGD'!Y$8,FALSE),"")))))</f>
        <v>5.77597863222723E-3</v>
      </c>
      <c r="F16" s="276">
        <f>IF('Ref-Data'!$Z$2="ON",VLOOKUP($A16,'MacroPD-Cal'!$A:$L,Z$1,FALSE),IF('Ref-Data'!$Z$5 = "Weighted",VLOOKUP($A16,'Model Output_TTC'!$A:$CB,Z$2,FALSE),IF('Ref-Data'!$Z$5="Baseline",VLOOKUP('Input PD LGD'!$A16,'Model Output_TTC'!$A:$AU,'Input PD LGD'!Z$4,FALSE),IF('Ref-Data'!$Z$5="90th Percentile",VLOOKUP('Input PD LGD'!$A16,'Model Output_TTC'!$A:$BP,'Input PD LGD'!Z$6,FALSE),IF('Ref-Data'!$Z$5="96th Percentile",VLOOKUP('Input PD LGD'!$A16,'Model Output_TTC'!$A:$Z,'Input PD LGD'!Z$8,FALSE),"")))))</f>
        <v>9.5338075769022534E-3</v>
      </c>
      <c r="G16" s="276">
        <f>IF('Ref-Data'!$Z$2="ON",VLOOKUP($A16,'MacroPD-Cal'!$A:$L,AA$1,FALSE),IF('Ref-Data'!$Z$5 = "Weighted",VLOOKUP($A16,'Model Output_TTC'!$A:$CB,AA$2,FALSE),IF('Ref-Data'!$Z$5="Baseline",VLOOKUP('Input PD LGD'!$A16,'Model Output_TTC'!$A:$AU,'Input PD LGD'!AA$4,FALSE),IF('Ref-Data'!$Z$5="90th Percentile",VLOOKUP('Input PD LGD'!$A16,'Model Output_TTC'!$A:$BP,'Input PD LGD'!AA$6,FALSE),IF('Ref-Data'!$Z$5="96th Percentile",VLOOKUP('Input PD LGD'!$A16,'Model Output_TTC'!$A:$Z,'Input PD LGD'!AA$8,FALSE),"")))))</f>
        <v>1.4400000000000001E-2</v>
      </c>
      <c r="H16" s="276">
        <f>IF('Ref-Data'!$Z$2="ON",VLOOKUP($A16,'MacroPD-Cal'!$A:$L,AB$1,FALSE),IF('Ref-Data'!$Z$5 = "Weighted",VLOOKUP($A16,'Model Output_TTC'!$A:$CB,AB$2,FALSE),IF('Ref-Data'!$Z$5="Baseline",VLOOKUP('Input PD LGD'!$A16,'Model Output_TTC'!$A:$AU,'Input PD LGD'!AB$4,FALSE),IF('Ref-Data'!$Z$5="90th Percentile",VLOOKUP('Input PD LGD'!$A16,'Model Output_TTC'!$A:$BP,'Input PD LGD'!AB$6,FALSE),IF('Ref-Data'!$Z$5="96th Percentile",VLOOKUP('Input PD LGD'!$A16,'Model Output_TTC'!$A:$Z,'Input PD LGD'!AB$8,FALSE),"")))))</f>
        <v>2.1600000000000001E-2</v>
      </c>
      <c r="I16" s="276">
        <f>IF('Ref-Data'!$Z$2="ON",VLOOKUP($A16,'MacroPD-Cal'!$A:$L,AC$1,FALSE),IF('Ref-Data'!$Z$5 = "Weighted",VLOOKUP($A16,'Model Output_TTC'!$A:$CB,AC$2,FALSE),IF('Ref-Data'!$Z$5="Baseline",VLOOKUP('Input PD LGD'!$A16,'Model Output_TTC'!$A:$AU,'Input PD LGD'!AC$4,FALSE),IF('Ref-Data'!$Z$5="90th Percentile",VLOOKUP('Input PD LGD'!$A16,'Model Output_TTC'!$A:$BP,'Input PD LGD'!AC$6,FALSE),IF('Ref-Data'!$Z$5="96th Percentile",VLOOKUP('Input PD LGD'!$A16,'Model Output_TTC'!$A:$Z,'Input PD LGD'!AC$8,FALSE),"")))))</f>
        <v>2.5700000000000001E-2</v>
      </c>
      <c r="J16" s="276">
        <f>IF('Ref-Data'!$Z$2="ON",VLOOKUP($A16,'MacroPD-Cal'!$A:$L,AD$1,FALSE),IF('Ref-Data'!$Z$5 = "Weighted",VLOOKUP($A16,'Model Output_TTC'!$A:$CB,AD$2,FALSE),IF('Ref-Data'!$Z$5="Baseline",VLOOKUP('Input PD LGD'!$A16,'Model Output_TTC'!$A:$AU,'Input PD LGD'!AD$4,FALSE),IF('Ref-Data'!$Z$5="90th Percentile",VLOOKUP('Input PD LGD'!$A16,'Model Output_TTC'!$A:$BP,'Input PD LGD'!AD$6,FALSE),IF('Ref-Data'!$Z$5="96th Percentile",VLOOKUP('Input PD LGD'!$A16,'Model Output_TTC'!$A:$Z,'Input PD LGD'!AD$8,FALSE),"")))))</f>
        <v>3.5500000000000004E-2</v>
      </c>
      <c r="K16" s="276">
        <f>IF('Ref-Data'!$Z$2="ON",VLOOKUP($A16,'MacroPD-Cal'!$A:$L,AE$1,FALSE),IF('Ref-Data'!$Z$5 = "Weighted",VLOOKUP($A16,'Model Output_TTC'!$A:$CB,AE$2,FALSE),IF('Ref-Data'!$Z$5="Baseline",VLOOKUP('Input PD LGD'!$A16,'Model Output_TTC'!$A:$AU,'Input PD LGD'!AE$4,FALSE),IF('Ref-Data'!$Z$5="90th Percentile",VLOOKUP('Input PD LGD'!$A16,'Model Output_TTC'!$A:$BP,'Input PD LGD'!AE$6,FALSE),IF('Ref-Data'!$Z$5="96th Percentile",VLOOKUP('Input PD LGD'!$A16,'Model Output_TTC'!$A:$Z,'Input PD LGD'!AE$8,FALSE),"")))))</f>
        <v>4.5400000000000003E-2</v>
      </c>
      <c r="L16" s="274">
        <f>VLOOKUP(A16,'Ref-Data'!$A:$N,14,0)</f>
        <v>0.15</v>
      </c>
      <c r="M16" s="354">
        <f>VLOOKUP(A16,'Ref-Data'!A:I,9,0)</f>
        <v>1</v>
      </c>
      <c r="N16" s="354" t="s">
        <v>1156</v>
      </c>
      <c r="O16"/>
      <c r="P16"/>
      <c r="Q16"/>
      <c r="R16"/>
      <c r="S16"/>
    </row>
    <row r="17" spans="1:20" s="346" customFormat="1" x14ac:dyDescent="0.25">
      <c r="A17" s="277">
        <v>1100000223</v>
      </c>
      <c r="B17" s="277" t="str">
        <f>INDEX('Loan Book Summary'!B:C,MATCH('Input PD LGD'!A17,'Loan Book Summary'!C:C,0),1)</f>
        <v>Z Hotels Holdco Limited - Heathcock Court Property Limited – Trading Facility</v>
      </c>
      <c r="C17" s="400">
        <f>VLOOKUP(A17,Reference_Rate_Repricing_Report!B:P,15,FALSE)</f>
        <v>6.27</v>
      </c>
      <c r="D17" s="276">
        <f>IF('Ref-Data'!$Z$2="ON",VLOOKUP($A17,'MacroPD-Cal'!$A:$L,X$1,FALSE),IF('Ref-Data'!$Z$5 = "Weighted",VLOOKUP($A17,'Model Output_TTC'!$A:$CB,X$2,FALSE),IF('Ref-Data'!$Z$5="Baseline",VLOOKUP('Input PD LGD'!$A17,'Model Output_TTC'!$A:$AU,'Input PD LGD'!X$4,FALSE),IF('Ref-Data'!$Z$5="90th Percentile",VLOOKUP('Input PD LGD'!$A17,'Model Output_TTC'!$A:$BP,'Input PD LGD'!X$6,FALSE),IF('Ref-Data'!$Z$5="96th Percentile",VLOOKUP('Input PD LGD'!$A17,'Model Output_TTC'!$A:$Z,'Input PD LGD'!X$8,FALSE),"")))))</f>
        <v>3.1967968743861251E-3</v>
      </c>
      <c r="E17" s="276">
        <f>IF('Ref-Data'!$Z$2="ON",VLOOKUP($A17,'MacroPD-Cal'!$A:$L,Y$1,FALSE),IF('Ref-Data'!$Z$5 = "Weighted",VLOOKUP($A17,'Model Output_TTC'!$A:$CB,Y$2,FALSE),IF('Ref-Data'!$Z$5="Baseline",VLOOKUP('Input PD LGD'!$A17,'Model Output_TTC'!$A:$AU,'Input PD LGD'!Y$4,FALSE),IF('Ref-Data'!$Z$5="90th Percentile",VLOOKUP('Input PD LGD'!$A17,'Model Output_TTC'!$A:$BP,'Input PD LGD'!Y$6,FALSE),IF('Ref-Data'!$Z$5="96th Percentile",VLOOKUP('Input PD LGD'!$A17,'Model Output_TTC'!$A:$Z,'Input PD LGD'!Y$8,FALSE),"")))))</f>
        <v>7.4168502453593188E-3</v>
      </c>
      <c r="F17" s="276">
        <f>IF('Ref-Data'!$Z$2="ON",VLOOKUP($A17,'MacroPD-Cal'!$A:$L,Z$1,FALSE),IF('Ref-Data'!$Z$5 = "Weighted",VLOOKUP($A17,'Model Output_TTC'!$A:$CB,Z$2,FALSE),IF('Ref-Data'!$Z$5="Baseline",VLOOKUP('Input PD LGD'!$A17,'Model Output_TTC'!$A:$AU,'Input PD LGD'!Z$4,FALSE),IF('Ref-Data'!$Z$5="90th Percentile",VLOOKUP('Input PD LGD'!$A17,'Model Output_TTC'!$A:$BP,'Input PD LGD'!Z$6,FALSE),IF('Ref-Data'!$Z$5="96th Percentile",VLOOKUP('Input PD LGD'!$A17,'Model Output_TTC'!$A:$Z,'Input PD LGD'!Z$8,FALSE),"")))))</f>
        <v>1.2205094962407625E-2</v>
      </c>
      <c r="G17" s="276">
        <f>IF('Ref-Data'!$Z$2="ON",VLOOKUP($A17,'MacroPD-Cal'!$A:$L,AA$1,FALSE),IF('Ref-Data'!$Z$5 = "Weighted",VLOOKUP($A17,'Model Output_TTC'!$A:$CB,AA$2,FALSE),IF('Ref-Data'!$Z$5="Baseline",VLOOKUP('Input PD LGD'!$A17,'Model Output_TTC'!$A:$AU,'Input PD LGD'!AA$4,FALSE),IF('Ref-Data'!$Z$5="90th Percentile",VLOOKUP('Input PD LGD'!$A17,'Model Output_TTC'!$A:$BP,'Input PD LGD'!AA$6,FALSE),IF('Ref-Data'!$Z$5="96th Percentile",VLOOKUP('Input PD LGD'!$A17,'Model Output_TTC'!$A:$Z,'Input PD LGD'!AA$8,FALSE),"")))))</f>
        <v>1.84E-2</v>
      </c>
      <c r="H17" s="276">
        <f>IF('Ref-Data'!$Z$2="ON",VLOOKUP($A17,'MacroPD-Cal'!$A:$L,AB$1,FALSE),IF('Ref-Data'!$Z$5 = "Weighted",VLOOKUP($A17,'Model Output_TTC'!$A:$CB,AB$2,FALSE),IF('Ref-Data'!$Z$5="Baseline",VLOOKUP('Input PD LGD'!$A17,'Model Output_TTC'!$A:$AU,'Input PD LGD'!AB$4,FALSE),IF('Ref-Data'!$Z$5="90th Percentile",VLOOKUP('Input PD LGD'!$A17,'Model Output_TTC'!$A:$BP,'Input PD LGD'!AB$6,FALSE),IF('Ref-Data'!$Z$5="96th Percentile",VLOOKUP('Input PD LGD'!$A17,'Model Output_TTC'!$A:$Z,'Input PD LGD'!AB$8,FALSE),"")))))</f>
        <v>2.8000000000000001E-2</v>
      </c>
      <c r="I17" s="276">
        <f>IF('Ref-Data'!$Z$2="ON",VLOOKUP($A17,'MacroPD-Cal'!$A:$L,AC$1,FALSE),IF('Ref-Data'!$Z$5 = "Weighted",VLOOKUP($A17,'Model Output_TTC'!$A:$CB,AC$2,FALSE),IF('Ref-Data'!$Z$5="Baseline",VLOOKUP('Input PD LGD'!$A17,'Model Output_TTC'!$A:$AU,'Input PD LGD'!AC$4,FALSE),IF('Ref-Data'!$Z$5="90th Percentile",VLOOKUP('Input PD LGD'!$A17,'Model Output_TTC'!$A:$BP,'Input PD LGD'!AC$6,FALSE),IF('Ref-Data'!$Z$5="96th Percentile",VLOOKUP('Input PD LGD'!$A17,'Model Output_TTC'!$A:$Z,'Input PD LGD'!AC$8,FALSE),"")))))</f>
        <v>3.3700000000000001E-2</v>
      </c>
      <c r="J17" s="276">
        <f>IF('Ref-Data'!$Z$2="ON",VLOOKUP($A17,'MacroPD-Cal'!$A:$L,AD$1,FALSE),IF('Ref-Data'!$Z$5 = "Weighted",VLOOKUP($A17,'Model Output_TTC'!$A:$CB,AD$2,FALSE),IF('Ref-Data'!$Z$5="Baseline",VLOOKUP('Input PD LGD'!$A17,'Model Output_TTC'!$A:$AU,'Input PD LGD'!AD$4,FALSE),IF('Ref-Data'!$Z$5="90th Percentile",VLOOKUP('Input PD LGD'!$A17,'Model Output_TTC'!$A:$BP,'Input PD LGD'!AD$6,FALSE),IF('Ref-Data'!$Z$5="96th Percentile",VLOOKUP('Input PD LGD'!$A17,'Model Output_TTC'!$A:$Z,'Input PD LGD'!AD$8,FALSE),"")))))</f>
        <v>4.6700000000000005E-2</v>
      </c>
      <c r="K17" s="276">
        <f>IF('Ref-Data'!$Z$2="ON",VLOOKUP($A17,'MacroPD-Cal'!$A:$L,AE$1,FALSE),IF('Ref-Data'!$Z$5 = "Weighted",VLOOKUP($A17,'Model Output_TTC'!$A:$CB,AE$2,FALSE),IF('Ref-Data'!$Z$5="Baseline",VLOOKUP('Input PD LGD'!$A17,'Model Output_TTC'!$A:$AU,'Input PD LGD'!AE$4,FALSE),IF('Ref-Data'!$Z$5="90th Percentile",VLOOKUP('Input PD LGD'!$A17,'Model Output_TTC'!$A:$BP,'Input PD LGD'!AE$6,FALSE),IF('Ref-Data'!$Z$5="96th Percentile",VLOOKUP('Input PD LGD'!$A17,'Model Output_TTC'!$A:$Z,'Input PD LGD'!AE$8,FALSE),"")))))</f>
        <v>5.9900000000000002E-2</v>
      </c>
      <c r="L17" s="274">
        <f>VLOOKUP(A17,'Ref-Data'!$A:$N,14,0)</f>
        <v>0.15002895299620464</v>
      </c>
      <c r="M17" s="354">
        <f>VLOOKUP(A17,'Ref-Data'!A:I,9,0)</f>
        <v>1</v>
      </c>
      <c r="N17" s="354" t="s">
        <v>1156</v>
      </c>
      <c r="O17"/>
      <c r="P17"/>
      <c r="Q17"/>
      <c r="R17"/>
      <c r="S17"/>
    </row>
    <row r="18" spans="1:20" s="346" customFormat="1" x14ac:dyDescent="0.25">
      <c r="A18" s="277">
        <v>1100000185</v>
      </c>
      <c r="B18" s="277" t="str">
        <f>INDEX('Loan Book Summary'!B:C,MATCH('Input PD LGD'!A18,'Loan Book Summary'!C:C,0),1)</f>
        <v>Lincoln Plaza Hotel - Business Trading - Facility A Non-CBILS</v>
      </c>
      <c r="C18" s="400">
        <f>VLOOKUP(A18,Reference_Rate_Repricing_Report!B:P,15,FALSE)</f>
        <v>5.71</v>
      </c>
      <c r="D18" s="276">
        <f>IF('Ref-Data'!$Z$2="ON",VLOOKUP($A18,'MacroPD-Cal'!$A:$L,X$1,FALSE),IF('Ref-Data'!$Z$5 = "Weighted",VLOOKUP($A18,'Model Output_TTC'!$A:$CB,X$2,FALSE),IF('Ref-Data'!$Z$5="Baseline",VLOOKUP('Input PD LGD'!$A18,'Model Output_TTC'!$A:$AU,'Input PD LGD'!X$4,FALSE),IF('Ref-Data'!$Z$5="90th Percentile",VLOOKUP('Input PD LGD'!$A18,'Model Output_TTC'!$A:$BP,'Input PD LGD'!X$6,FALSE),IF('Ref-Data'!$Z$5="96th Percentile",VLOOKUP('Input PD LGD'!$A18,'Model Output_TTC'!$A:$Z,'Input PD LGD'!X$8,FALSE),"")))))</f>
        <v>2.8366842468132019E-2</v>
      </c>
      <c r="E18" s="276">
        <f>IF('Ref-Data'!$Z$2="ON",VLOOKUP($A18,'MacroPD-Cal'!$A:$L,Y$1,FALSE),IF('Ref-Data'!$Z$5 = "Weighted",VLOOKUP($A18,'Model Output_TTC'!$A:$CB,Y$2,FALSE),IF('Ref-Data'!$Z$5="Baseline",VLOOKUP('Input PD LGD'!$A18,'Model Output_TTC'!$A:$AU,'Input PD LGD'!Y$4,FALSE),IF('Ref-Data'!$Z$5="90th Percentile",VLOOKUP('Input PD LGD'!$A18,'Model Output_TTC'!$A:$BP,'Input PD LGD'!Y$6,FALSE),IF('Ref-Data'!$Z$5="96th Percentile",VLOOKUP('Input PD LGD'!$A18,'Model Output_TTC'!$A:$Z,'Input PD LGD'!Y$8,FALSE),"")))))</f>
        <v>6.2417988886168341E-2</v>
      </c>
      <c r="F18" s="276">
        <f>IF('Ref-Data'!$Z$2="ON",VLOOKUP($A18,'MacroPD-Cal'!$A:$L,Z$1,FALSE),IF('Ref-Data'!$Z$5 = "Weighted",VLOOKUP($A18,'Model Output_TTC'!$A:$CB,Z$2,FALSE),IF('Ref-Data'!$Z$5="Baseline",VLOOKUP('Input PD LGD'!$A18,'Model Output_TTC'!$A:$AU,'Input PD LGD'!Z$4,FALSE),IF('Ref-Data'!$Z$5="90th Percentile",VLOOKUP('Input PD LGD'!$A18,'Model Output_TTC'!$A:$BP,'Input PD LGD'!Z$6,FALSE),IF('Ref-Data'!$Z$5="96th Percentile",VLOOKUP('Input PD LGD'!$A18,'Model Output_TTC'!$A:$Z,'Input PD LGD'!Z$8,FALSE),"")))))</f>
        <v>9.8647826604583044E-2</v>
      </c>
      <c r="G18" s="276">
        <f>IF('Ref-Data'!$Z$2="ON",VLOOKUP($A18,'MacroPD-Cal'!$A:$L,AA$1,FALSE),IF('Ref-Data'!$Z$5 = "Weighted",VLOOKUP($A18,'Model Output_TTC'!$A:$CB,AA$2,FALSE),IF('Ref-Data'!$Z$5="Baseline",VLOOKUP('Input PD LGD'!$A18,'Model Output_TTC'!$A:$AU,'Input PD LGD'!AA$4,FALSE),IF('Ref-Data'!$Z$5="90th Percentile",VLOOKUP('Input PD LGD'!$A18,'Model Output_TTC'!$A:$BP,'Input PD LGD'!AA$6,FALSE),IF('Ref-Data'!$Z$5="96th Percentile",VLOOKUP('Input PD LGD'!$A18,'Model Output_TTC'!$A:$Z,'Input PD LGD'!AA$8,FALSE),"")))))</f>
        <v>0.1411</v>
      </c>
      <c r="H18" s="276">
        <f>IF('Ref-Data'!$Z$2="ON",VLOOKUP($A18,'MacroPD-Cal'!$A:$L,AB$1,FALSE),IF('Ref-Data'!$Z$5 = "Weighted",VLOOKUP($A18,'Model Output_TTC'!$A:$CB,AB$2,FALSE),IF('Ref-Data'!$Z$5="Baseline",VLOOKUP('Input PD LGD'!$A18,'Model Output_TTC'!$A:$AU,'Input PD LGD'!AB$4,FALSE),IF('Ref-Data'!$Z$5="90th Percentile",VLOOKUP('Input PD LGD'!$A18,'Model Output_TTC'!$A:$BP,'Input PD LGD'!AB$6,FALSE),IF('Ref-Data'!$Z$5="96th Percentile",VLOOKUP('Input PD LGD'!$A18,'Model Output_TTC'!$A:$Z,'Input PD LGD'!AB$8,FALSE),"")))))</f>
        <v>0.20270000000000002</v>
      </c>
      <c r="I18" s="276">
        <f>IF('Ref-Data'!$Z$2="ON",VLOOKUP($A18,'MacroPD-Cal'!$A:$L,AC$1,FALSE),IF('Ref-Data'!$Z$5 = "Weighted",VLOOKUP($A18,'Model Output_TTC'!$A:$CB,AC$2,FALSE),IF('Ref-Data'!$Z$5="Baseline",VLOOKUP('Input PD LGD'!$A18,'Model Output_TTC'!$A:$AU,'Input PD LGD'!AC$4,FALSE),IF('Ref-Data'!$Z$5="90th Percentile",VLOOKUP('Input PD LGD'!$A18,'Model Output_TTC'!$A:$BP,'Input PD LGD'!AC$6,FALSE),IF('Ref-Data'!$Z$5="96th Percentile",VLOOKUP('Input PD LGD'!$A18,'Model Output_TTC'!$A:$Z,'Input PD LGD'!AC$8,FALSE),"")))))</f>
        <v>0.23670000000000002</v>
      </c>
      <c r="J18" s="276">
        <f>IF('Ref-Data'!$Z$2="ON",VLOOKUP($A18,'MacroPD-Cal'!$A:$L,AD$1,FALSE),IF('Ref-Data'!$Z$5 = "Weighted",VLOOKUP($A18,'Model Output_TTC'!$A:$CB,AD$2,FALSE),IF('Ref-Data'!$Z$5="Baseline",VLOOKUP('Input PD LGD'!$A18,'Model Output_TTC'!$A:$AU,'Input PD LGD'!AD$4,FALSE),IF('Ref-Data'!$Z$5="90th Percentile",VLOOKUP('Input PD LGD'!$A18,'Model Output_TTC'!$A:$BP,'Input PD LGD'!AD$6,FALSE),IF('Ref-Data'!$Z$5="96th Percentile",VLOOKUP('Input PD LGD'!$A18,'Model Output_TTC'!$A:$Z,'Input PD LGD'!AD$8,FALSE),"")))))</f>
        <v>0.29139999999999999</v>
      </c>
      <c r="K18" s="276">
        <f>IF('Ref-Data'!$Z$2="ON",VLOOKUP($A18,'MacroPD-Cal'!$A:$L,AE$1,FALSE),IF('Ref-Data'!$Z$5 = "Weighted",VLOOKUP($A18,'Model Output_TTC'!$A:$CB,AE$2,FALSE),IF('Ref-Data'!$Z$5="Baseline",VLOOKUP('Input PD LGD'!$A18,'Model Output_TTC'!$A:$AU,'Input PD LGD'!AE$4,FALSE),IF('Ref-Data'!$Z$5="90th Percentile",VLOOKUP('Input PD LGD'!$A18,'Model Output_TTC'!$A:$BP,'Input PD LGD'!AE$6,FALSE),IF('Ref-Data'!$Z$5="96th Percentile",VLOOKUP('Input PD LGD'!$A18,'Model Output_TTC'!$A:$Z,'Input PD LGD'!AE$8,FALSE),"")))))</f>
        <v>0.33979999999999999</v>
      </c>
      <c r="L18" s="274">
        <f>VLOOKUP(A18,'Ref-Data'!$A:$N,14,0)</f>
        <v>0.33850601215969001</v>
      </c>
      <c r="M18" s="354">
        <f>VLOOKUP(A18,'Ref-Data'!A:I,9,0)</f>
        <v>2</v>
      </c>
      <c r="N18" s="354" t="s">
        <v>1156</v>
      </c>
      <c r="O18"/>
      <c r="P18"/>
      <c r="Q18"/>
      <c r="R18"/>
      <c r="S18"/>
    </row>
    <row r="19" spans="1:20" s="346" customFormat="1" x14ac:dyDescent="0.25">
      <c r="A19" s="277">
        <v>1100000152</v>
      </c>
      <c r="B19" s="277" t="str">
        <f>INDEX('Loan Book Summary'!B:C,MATCH('Input PD LGD'!A19,'Loan Book Summary'!C:C,0),1)</f>
        <v>Ten M II Limited -Care Concern Management OA Ltd- Buss Trading - Fac B</v>
      </c>
      <c r="C19" s="400">
        <f>VLOOKUP(A19,Reference_Rate_Repricing_Report!B:P,15,FALSE)</f>
        <v>7.03</v>
      </c>
      <c r="D19" s="276">
        <f>IF('Ref-Data'!$Z$2="ON",VLOOKUP($A19,'MacroPD-Cal'!$A:$L,X$1,FALSE),IF('Ref-Data'!$Z$5 = "Weighted",VLOOKUP($A19,'Model Output_TTC'!$A:$CB,X$2,FALSE),IF('Ref-Data'!$Z$5="Baseline",VLOOKUP('Input PD LGD'!$A19,'Model Output_TTC'!$A:$AU,'Input PD LGD'!X$4,FALSE),IF('Ref-Data'!$Z$5="90th Percentile",VLOOKUP('Input PD LGD'!$A19,'Model Output_TTC'!$A:$BP,'Input PD LGD'!X$6,FALSE),IF('Ref-Data'!$Z$5="96th Percentile",VLOOKUP('Input PD LGD'!$A19,'Model Output_TTC'!$A:$Z,'Input PD LGD'!X$8,FALSE),"")))))</f>
        <v>4.6855230119654189E-4</v>
      </c>
      <c r="E19" s="276">
        <f>IF('Ref-Data'!$Z$2="ON",VLOOKUP($A19,'MacroPD-Cal'!$A:$L,Y$1,FALSE),IF('Ref-Data'!$Z$5 = "Weighted",VLOOKUP($A19,'Model Output_TTC'!$A:$CB,Y$2,FALSE),IF('Ref-Data'!$Z$5="Baseline",VLOOKUP('Input PD LGD'!$A19,'Model Output_TTC'!$A:$AU,'Input PD LGD'!Y$4,FALSE),IF('Ref-Data'!$Z$5="90th Percentile",VLOOKUP('Input PD LGD'!$A19,'Model Output_TTC'!$A:$BP,'Input PD LGD'!Y$6,FALSE),IF('Ref-Data'!$Z$5="96th Percentile",VLOOKUP('Input PD LGD'!$A19,'Model Output_TTC'!$A:$Z,'Input PD LGD'!Y$8,FALSE),"")))))</f>
        <v>1.1210892140692819E-3</v>
      </c>
      <c r="F19" s="276">
        <f>IF('Ref-Data'!$Z$2="ON",VLOOKUP($A19,'MacroPD-Cal'!$A:$L,Z$1,FALSE),IF('Ref-Data'!$Z$5 = "Weighted",VLOOKUP($A19,'Model Output_TTC'!$A:$CB,Z$2,FALSE),IF('Ref-Data'!$Z$5="Baseline",VLOOKUP('Input PD LGD'!$A19,'Model Output_TTC'!$A:$AU,'Input PD LGD'!Z$4,FALSE),IF('Ref-Data'!$Z$5="90th Percentile",VLOOKUP('Input PD LGD'!$A19,'Model Output_TTC'!$A:$BP,'Input PD LGD'!Z$6,FALSE),IF('Ref-Data'!$Z$5="96th Percentile",VLOOKUP('Input PD LGD'!$A19,'Model Output_TTC'!$A:$Z,'Input PD LGD'!Z$8,FALSE),"")))))</f>
        <v>1.8822414398781406E-3</v>
      </c>
      <c r="G19" s="276">
        <f>IF('Ref-Data'!$Z$2="ON",VLOOKUP($A19,'MacroPD-Cal'!$A:$L,AA$1,FALSE),IF('Ref-Data'!$Z$5 = "Weighted",VLOOKUP($A19,'Model Output_TTC'!$A:$CB,AA$2,FALSE),IF('Ref-Data'!$Z$5="Baseline",VLOOKUP('Input PD LGD'!$A19,'Model Output_TTC'!$A:$AU,'Input PD LGD'!AA$4,FALSE),IF('Ref-Data'!$Z$5="90th Percentile",VLOOKUP('Input PD LGD'!$A19,'Model Output_TTC'!$A:$BP,'Input PD LGD'!AA$6,FALSE),IF('Ref-Data'!$Z$5="96th Percentile",VLOOKUP('Input PD LGD'!$A19,'Model Output_TTC'!$A:$Z,'Input PD LGD'!AA$8,FALSE),"")))))</f>
        <v>2.9000000000000002E-3</v>
      </c>
      <c r="H19" s="276">
        <f>IF('Ref-Data'!$Z$2="ON",VLOOKUP($A19,'MacroPD-Cal'!$A:$L,AB$1,FALSE),IF('Ref-Data'!$Z$5 = "Weighted",VLOOKUP($A19,'Model Output_TTC'!$A:$CB,AB$2,FALSE),IF('Ref-Data'!$Z$5="Baseline",VLOOKUP('Input PD LGD'!$A19,'Model Output_TTC'!$A:$AU,'Input PD LGD'!AB$4,FALSE),IF('Ref-Data'!$Z$5="90th Percentile",VLOOKUP('Input PD LGD'!$A19,'Model Output_TTC'!$A:$BP,'Input PD LGD'!AB$6,FALSE),IF('Ref-Data'!$Z$5="96th Percentile",VLOOKUP('Input PD LGD'!$A19,'Model Output_TTC'!$A:$Z,'Input PD LGD'!AB$8,FALSE),"")))))</f>
        <v>4.2000000000000006E-3</v>
      </c>
      <c r="I19" s="276">
        <f>IF('Ref-Data'!$Z$2="ON",VLOOKUP($A19,'MacroPD-Cal'!$A:$L,AC$1,FALSE),IF('Ref-Data'!$Z$5 = "Weighted",VLOOKUP($A19,'Model Output_TTC'!$A:$CB,AC$2,FALSE),IF('Ref-Data'!$Z$5="Baseline",VLOOKUP('Input PD LGD'!$A19,'Model Output_TTC'!$A:$AU,'Input PD LGD'!AC$4,FALSE),IF('Ref-Data'!$Z$5="90th Percentile",VLOOKUP('Input PD LGD'!$A19,'Model Output_TTC'!$A:$BP,'Input PD LGD'!AC$6,FALSE),IF('Ref-Data'!$Z$5="96th Percentile",VLOOKUP('Input PD LGD'!$A19,'Model Output_TTC'!$A:$Z,'Input PD LGD'!AC$8,FALSE),"")))))</f>
        <v>5.0000000000000001E-3</v>
      </c>
      <c r="J19" s="276">
        <f>IF('Ref-Data'!$Z$2="ON",VLOOKUP($A19,'MacroPD-Cal'!$A:$L,AD$1,FALSE),IF('Ref-Data'!$Z$5 = "Weighted",VLOOKUP($A19,'Model Output_TTC'!$A:$CB,AD$2,FALSE),IF('Ref-Data'!$Z$5="Baseline",VLOOKUP('Input PD LGD'!$A19,'Model Output_TTC'!$A:$AU,'Input PD LGD'!AD$4,FALSE),IF('Ref-Data'!$Z$5="90th Percentile",VLOOKUP('Input PD LGD'!$A19,'Model Output_TTC'!$A:$BP,'Input PD LGD'!AD$6,FALSE),IF('Ref-Data'!$Z$5="96th Percentile",VLOOKUP('Input PD LGD'!$A19,'Model Output_TTC'!$A:$Z,'Input PD LGD'!AD$8,FALSE),"")))))</f>
        <v>7.1000000000000004E-3</v>
      </c>
      <c r="K19" s="276">
        <f>IF('Ref-Data'!$Z$2="ON",VLOOKUP($A19,'MacroPD-Cal'!$A:$L,AE$1,FALSE),IF('Ref-Data'!$Z$5 = "Weighted",VLOOKUP($A19,'Model Output_TTC'!$A:$CB,AE$2,FALSE),IF('Ref-Data'!$Z$5="Baseline",VLOOKUP('Input PD LGD'!$A19,'Model Output_TTC'!$A:$AU,'Input PD LGD'!AE$4,FALSE),IF('Ref-Data'!$Z$5="90th Percentile",VLOOKUP('Input PD LGD'!$A19,'Model Output_TTC'!$A:$BP,'Input PD LGD'!AE$6,FALSE),IF('Ref-Data'!$Z$5="96th Percentile",VLOOKUP('Input PD LGD'!$A19,'Model Output_TTC'!$A:$Z,'Input PD LGD'!AE$8,FALSE),"")))))</f>
        <v>9.300000000000001E-3</v>
      </c>
      <c r="L19" s="274">
        <f>VLOOKUP(A19,'Ref-Data'!$A:$N,14,0)</f>
        <v>0.1</v>
      </c>
      <c r="M19" s="354">
        <f>VLOOKUP(A19,'Ref-Data'!A:I,9,0)</f>
        <v>1</v>
      </c>
      <c r="N19" s="354" t="s">
        <v>1156</v>
      </c>
      <c r="O19"/>
      <c r="P19"/>
      <c r="Q19"/>
      <c r="R19"/>
      <c r="S19"/>
    </row>
    <row r="20" spans="1:20" s="346" customFormat="1" x14ac:dyDescent="0.25">
      <c r="A20" s="277">
        <v>1100000002</v>
      </c>
      <c r="B20" s="277" t="str">
        <f>INDEX('Loan Book Summary'!B:C,MATCH('Input PD LGD'!A20,'Loan Book Summary'!C:C,0),1)</f>
        <v>Slatters Development Limited - Business Trading - Non-CBILS</v>
      </c>
      <c r="C20" s="400">
        <f>VLOOKUP(A20,Reference_Rate_Repricing_Report!B:P,15,FALSE)</f>
        <v>6.52</v>
      </c>
      <c r="D20" s="276">
        <f>IF('Ref-Data'!$Z$2="ON",VLOOKUP($A20,'MacroPD-Cal'!$A:$L,X$1,FALSE),IF('Ref-Data'!$Z$5 = "Weighted",VLOOKUP($A20,'Model Output_TTC'!$A:$CB,X$2,FALSE),IF('Ref-Data'!$Z$5="Baseline",VLOOKUP('Input PD LGD'!$A20,'Model Output_TTC'!$A:$AU,'Input PD LGD'!X$4,FALSE),IF('Ref-Data'!$Z$5="90th Percentile",VLOOKUP('Input PD LGD'!$A20,'Model Output_TTC'!$A:$BP,'Input PD LGD'!X$6,FALSE),IF('Ref-Data'!$Z$5="96th Percentile",VLOOKUP('Input PD LGD'!$A20,'Model Output_TTC'!$A:$Z,'Input PD LGD'!X$8,FALSE),"")))))</f>
        <v>1.7496582002651242E-3</v>
      </c>
      <c r="E20" s="276">
        <f>IF('Ref-Data'!$Z$2="ON",VLOOKUP($A20,'MacroPD-Cal'!$A:$L,Y$1,FALSE),IF('Ref-Data'!$Z$5 = "Weighted",VLOOKUP($A20,'Model Output_TTC'!$A:$CB,Y$2,FALSE),IF('Ref-Data'!$Z$5="Baseline",VLOOKUP('Input PD LGD'!$A20,'Model Output_TTC'!$A:$AU,'Input PD LGD'!Y$4,FALSE),IF('Ref-Data'!$Z$5="90th Percentile",VLOOKUP('Input PD LGD'!$A20,'Model Output_TTC'!$A:$BP,'Input PD LGD'!Y$6,FALSE),IF('Ref-Data'!$Z$5="96th Percentile",VLOOKUP('Input PD LGD'!$A20,'Model Output_TTC'!$A:$Z,'Input PD LGD'!Y$8,FALSE),"")))))</f>
        <v>4.1017797156421842E-3</v>
      </c>
      <c r="F20" s="276">
        <f>IF('Ref-Data'!$Z$2="ON",VLOOKUP($A20,'MacroPD-Cal'!$A:$L,Z$1,FALSE),IF('Ref-Data'!$Z$5 = "Weighted",VLOOKUP($A20,'Model Output_TTC'!$A:$CB,Z$2,FALSE),IF('Ref-Data'!$Z$5="Baseline",VLOOKUP('Input PD LGD'!$A20,'Model Output_TTC'!$A:$AU,'Input PD LGD'!Z$4,FALSE),IF('Ref-Data'!$Z$5="90th Percentile",VLOOKUP('Input PD LGD'!$A20,'Model Output_TTC'!$A:$BP,'Input PD LGD'!Z$6,FALSE),IF('Ref-Data'!$Z$5="96th Percentile",VLOOKUP('Input PD LGD'!$A20,'Model Output_TTC'!$A:$Z,'Input PD LGD'!Z$8,FALSE),"")))))</f>
        <v>6.7969165063573866E-3</v>
      </c>
      <c r="G20" s="276">
        <f>IF('Ref-Data'!$Z$2="ON",VLOOKUP($A20,'MacroPD-Cal'!$A:$L,AA$1,FALSE),IF('Ref-Data'!$Z$5 = "Weighted",VLOOKUP($A20,'Model Output_TTC'!$A:$CB,AA$2,FALSE),IF('Ref-Data'!$Z$5="Baseline",VLOOKUP('Input PD LGD'!$A20,'Model Output_TTC'!$A:$AU,'Input PD LGD'!AA$4,FALSE),IF('Ref-Data'!$Z$5="90th Percentile",VLOOKUP('Input PD LGD'!$A20,'Model Output_TTC'!$A:$BP,'Input PD LGD'!AA$6,FALSE),IF('Ref-Data'!$Z$5="96th Percentile",VLOOKUP('Input PD LGD'!$A20,'Model Output_TTC'!$A:$Z,'Input PD LGD'!AA$8,FALSE),"")))))</f>
        <v>1.03E-2</v>
      </c>
      <c r="H20" s="276">
        <f>IF('Ref-Data'!$Z$2="ON",VLOOKUP($A20,'MacroPD-Cal'!$A:$L,AB$1,FALSE),IF('Ref-Data'!$Z$5 = "Weighted",VLOOKUP($A20,'Model Output_TTC'!$A:$CB,AB$2,FALSE),IF('Ref-Data'!$Z$5="Baseline",VLOOKUP('Input PD LGD'!$A20,'Model Output_TTC'!$A:$AU,'Input PD LGD'!AB$4,FALSE),IF('Ref-Data'!$Z$5="90th Percentile",VLOOKUP('Input PD LGD'!$A20,'Model Output_TTC'!$A:$BP,'Input PD LGD'!AB$6,FALSE),IF('Ref-Data'!$Z$5="96th Percentile",VLOOKUP('Input PD LGD'!$A20,'Model Output_TTC'!$A:$Z,'Input PD LGD'!AB$8,FALSE),"")))))</f>
        <v>1.55E-2</v>
      </c>
      <c r="I20" s="276">
        <f>IF('Ref-Data'!$Z$2="ON",VLOOKUP($A20,'MacroPD-Cal'!$A:$L,AC$1,FALSE),IF('Ref-Data'!$Z$5 = "Weighted",VLOOKUP($A20,'Model Output_TTC'!$A:$CB,AC$2,FALSE),IF('Ref-Data'!$Z$5="Baseline",VLOOKUP('Input PD LGD'!$A20,'Model Output_TTC'!$A:$AU,'Input PD LGD'!AC$4,FALSE),IF('Ref-Data'!$Z$5="90th Percentile",VLOOKUP('Input PD LGD'!$A20,'Model Output_TTC'!$A:$BP,'Input PD LGD'!AC$6,FALSE),IF('Ref-Data'!$Z$5="96th Percentile",VLOOKUP('Input PD LGD'!$A20,'Model Output_TTC'!$A:$Z,'Input PD LGD'!AC$8,FALSE),"")))))</f>
        <v>1.8600000000000002E-2</v>
      </c>
      <c r="J20" s="276">
        <f>IF('Ref-Data'!$Z$2="ON",VLOOKUP($A20,'MacroPD-Cal'!$A:$L,AD$1,FALSE),IF('Ref-Data'!$Z$5 = "Weighted",VLOOKUP($A20,'Model Output_TTC'!$A:$CB,AD$2,FALSE),IF('Ref-Data'!$Z$5="Baseline",VLOOKUP('Input PD LGD'!$A20,'Model Output_TTC'!$A:$AU,'Input PD LGD'!AD$4,FALSE),IF('Ref-Data'!$Z$5="90th Percentile",VLOOKUP('Input PD LGD'!$A20,'Model Output_TTC'!$A:$BP,'Input PD LGD'!AD$6,FALSE),IF('Ref-Data'!$Z$5="96th Percentile",VLOOKUP('Input PD LGD'!$A20,'Model Output_TTC'!$A:$Z,'Input PD LGD'!AD$8,FALSE),"")))))</f>
        <v>2.6100000000000002E-2</v>
      </c>
      <c r="K20" s="276">
        <f>IF('Ref-Data'!$Z$2="ON",VLOOKUP($A20,'MacroPD-Cal'!$A:$L,AE$1,FALSE),IF('Ref-Data'!$Z$5 = "Weighted",VLOOKUP($A20,'Model Output_TTC'!$A:$CB,AE$2,FALSE),IF('Ref-Data'!$Z$5="Baseline",VLOOKUP('Input PD LGD'!$A20,'Model Output_TTC'!$A:$AU,'Input PD LGD'!AE$4,FALSE),IF('Ref-Data'!$Z$5="90th Percentile",VLOOKUP('Input PD LGD'!$A20,'Model Output_TTC'!$A:$BP,'Input PD LGD'!AE$6,FALSE),IF('Ref-Data'!$Z$5="96th Percentile",VLOOKUP('Input PD LGD'!$A20,'Model Output_TTC'!$A:$Z,'Input PD LGD'!AE$8,FALSE),"")))))</f>
        <v>3.3800000000000004E-2</v>
      </c>
      <c r="L20" s="274">
        <f>VLOOKUP(A20,'Ref-Data'!$A:$N,14,0)</f>
        <v>0.15</v>
      </c>
      <c r="M20" s="354">
        <f>VLOOKUP(A20,'Ref-Data'!A:I,9,0)</f>
        <v>1</v>
      </c>
      <c r="N20" s="354" t="s">
        <v>1156</v>
      </c>
      <c r="O20"/>
      <c r="P20"/>
      <c r="Q20"/>
      <c r="R20"/>
      <c r="S20"/>
    </row>
    <row r="21" spans="1:20" s="346" customFormat="1" x14ac:dyDescent="0.25">
      <c r="A21" s="277">
        <v>1100000202</v>
      </c>
      <c r="B21" s="277" t="str">
        <f>INDEX('Loan Book Summary'!B:C,MATCH('Input PD LGD'!A21,'Loan Book Summary'!C:C,0),1)</f>
        <v>Zeal Hotel (Bridgwater J23) Limited - Business Trading - Trading Facility</v>
      </c>
      <c r="C21" s="400">
        <f>VLOOKUP(A21,Reference_Rate_Repricing_Report!B:P,15,FALSE)</f>
        <v>6.37</v>
      </c>
      <c r="D21" s="276">
        <f>IF('Ref-Data'!$Z$2="ON",VLOOKUP($A21,'MacroPD-Cal'!$A:$L,X$1,FALSE),IF('Ref-Data'!$Z$5 = "Weighted",VLOOKUP($A21,'Model Output_TTC'!$A:$CB,X$2,FALSE),IF('Ref-Data'!$Z$5="Baseline",VLOOKUP('Input PD LGD'!$A21,'Model Output_TTC'!$A:$AU,'Input PD LGD'!X$4,FALSE),IF('Ref-Data'!$Z$5="90th Percentile",VLOOKUP('Input PD LGD'!$A21,'Model Output_TTC'!$A:$BP,'Input PD LGD'!X$6,FALSE),IF('Ref-Data'!$Z$5="96th Percentile",VLOOKUP('Input PD LGD'!$A21,'Model Output_TTC'!$A:$Z,'Input PD LGD'!X$8,FALSE),"")))))</f>
        <v>3.0533239664205943E-3</v>
      </c>
      <c r="E21" s="276">
        <f>IF('Ref-Data'!$Z$2="ON",VLOOKUP($A21,'MacroPD-Cal'!$A:$L,Y$1,FALSE),IF('Ref-Data'!$Z$5 = "Weighted",VLOOKUP($A21,'Model Output_TTC'!$A:$CB,Y$2,FALSE),IF('Ref-Data'!$Z$5="Baseline",VLOOKUP('Input PD LGD'!$A21,'Model Output_TTC'!$A:$AU,'Input PD LGD'!Y$4,FALSE),IF('Ref-Data'!$Z$5="90th Percentile",VLOOKUP('Input PD LGD'!$A21,'Model Output_TTC'!$A:$BP,'Input PD LGD'!Y$6,FALSE),IF('Ref-Data'!$Z$5="96th Percentile",VLOOKUP('Input PD LGD'!$A21,'Model Output_TTC'!$A:$Z,'Input PD LGD'!Y$8,FALSE),"")))))</f>
        <v>7.0898280603686192E-3</v>
      </c>
      <c r="F21" s="276">
        <f>IF('Ref-Data'!$Z$2="ON",VLOOKUP($A21,'MacroPD-Cal'!$A:$L,Z$1,FALSE),IF('Ref-Data'!$Z$5 = "Weighted",VLOOKUP($A21,'Model Output_TTC'!$A:$CB,Z$2,FALSE),IF('Ref-Data'!$Z$5="Baseline",VLOOKUP('Input PD LGD'!$A21,'Model Output_TTC'!$A:$AU,'Input PD LGD'!Z$4,FALSE),IF('Ref-Data'!$Z$5="90th Percentile",VLOOKUP('Input PD LGD'!$A21,'Model Output_TTC'!$A:$BP,'Input PD LGD'!Z$6,FALSE),IF('Ref-Data'!$Z$5="96th Percentile",VLOOKUP('Input PD LGD'!$A21,'Model Output_TTC'!$A:$Z,'Input PD LGD'!Z$8,FALSE),"")))))</f>
        <v>1.1673493116970968E-2</v>
      </c>
      <c r="G21" s="276">
        <f>IF('Ref-Data'!$Z$2="ON",VLOOKUP($A21,'MacroPD-Cal'!$A:$L,AA$1,FALSE),IF('Ref-Data'!$Z$5 = "Weighted",VLOOKUP($A21,'Model Output_TTC'!$A:$CB,AA$2,FALSE),IF('Ref-Data'!$Z$5="Baseline",VLOOKUP('Input PD LGD'!$A21,'Model Output_TTC'!$A:$AU,'Input PD LGD'!AA$4,FALSE),IF('Ref-Data'!$Z$5="90th Percentile",VLOOKUP('Input PD LGD'!$A21,'Model Output_TTC'!$A:$BP,'Input PD LGD'!AA$6,FALSE),IF('Ref-Data'!$Z$5="96th Percentile",VLOOKUP('Input PD LGD'!$A21,'Model Output_TTC'!$A:$Z,'Input PD LGD'!AA$8,FALSE),"")))))</f>
        <v>1.7600000000000001E-2</v>
      </c>
      <c r="H21" s="276">
        <f>IF('Ref-Data'!$Z$2="ON",VLOOKUP($A21,'MacroPD-Cal'!$A:$L,AB$1,FALSE),IF('Ref-Data'!$Z$5 = "Weighted",VLOOKUP($A21,'Model Output_TTC'!$A:$CB,AB$2,FALSE),IF('Ref-Data'!$Z$5="Baseline",VLOOKUP('Input PD LGD'!$A21,'Model Output_TTC'!$A:$AU,'Input PD LGD'!AB$4,FALSE),IF('Ref-Data'!$Z$5="90th Percentile",VLOOKUP('Input PD LGD'!$A21,'Model Output_TTC'!$A:$BP,'Input PD LGD'!AB$6,FALSE),IF('Ref-Data'!$Z$5="96th Percentile",VLOOKUP('Input PD LGD'!$A21,'Model Output_TTC'!$A:$Z,'Input PD LGD'!AB$8,FALSE),"")))))</f>
        <v>2.7200000000000002E-2</v>
      </c>
      <c r="I21" s="276">
        <f>IF('Ref-Data'!$Z$2="ON",VLOOKUP($A21,'MacroPD-Cal'!$A:$L,AC$1,FALSE),IF('Ref-Data'!$Z$5 = "Weighted",VLOOKUP($A21,'Model Output_TTC'!$A:$CB,AC$2,FALSE),IF('Ref-Data'!$Z$5="Baseline",VLOOKUP('Input PD LGD'!$A21,'Model Output_TTC'!$A:$AU,'Input PD LGD'!AC$4,FALSE),IF('Ref-Data'!$Z$5="90th Percentile",VLOOKUP('Input PD LGD'!$A21,'Model Output_TTC'!$A:$BP,'Input PD LGD'!AC$6,FALSE),IF('Ref-Data'!$Z$5="96th Percentile",VLOOKUP('Input PD LGD'!$A21,'Model Output_TTC'!$A:$Z,'Input PD LGD'!AC$8,FALSE),"")))))</f>
        <v>3.3100000000000004E-2</v>
      </c>
      <c r="J21" s="276">
        <f>IF('Ref-Data'!$Z$2="ON",VLOOKUP($A21,'MacroPD-Cal'!$A:$L,AD$1,FALSE),IF('Ref-Data'!$Z$5 = "Weighted",VLOOKUP($A21,'Model Output_TTC'!$A:$CB,AD$2,FALSE),IF('Ref-Data'!$Z$5="Baseline",VLOOKUP('Input PD LGD'!$A21,'Model Output_TTC'!$A:$AU,'Input PD LGD'!AD$4,FALSE),IF('Ref-Data'!$Z$5="90th Percentile",VLOOKUP('Input PD LGD'!$A21,'Model Output_TTC'!$A:$BP,'Input PD LGD'!AD$6,FALSE),IF('Ref-Data'!$Z$5="96th Percentile",VLOOKUP('Input PD LGD'!$A21,'Model Output_TTC'!$A:$Z,'Input PD LGD'!AD$8,FALSE),"")))))</f>
        <v>4.6900000000000004E-2</v>
      </c>
      <c r="K21" s="276">
        <f>IF('Ref-Data'!$Z$2="ON",VLOOKUP($A21,'MacroPD-Cal'!$A:$L,AE$1,FALSE),IF('Ref-Data'!$Z$5 = "Weighted",VLOOKUP($A21,'Model Output_TTC'!$A:$CB,AE$2,FALSE),IF('Ref-Data'!$Z$5="Baseline",VLOOKUP('Input PD LGD'!$A21,'Model Output_TTC'!$A:$AU,'Input PD LGD'!AE$4,FALSE),IF('Ref-Data'!$Z$5="90th Percentile",VLOOKUP('Input PD LGD'!$A21,'Model Output_TTC'!$A:$BP,'Input PD LGD'!AE$6,FALSE),IF('Ref-Data'!$Z$5="96th Percentile",VLOOKUP('Input PD LGD'!$A21,'Model Output_TTC'!$A:$Z,'Input PD LGD'!AE$8,FALSE),"")))))</f>
        <v>6.1100000000000002E-2</v>
      </c>
      <c r="L21" s="274">
        <f>VLOOKUP(A21,'Ref-Data'!$A:$N,14,0)</f>
        <v>0.15</v>
      </c>
      <c r="M21" s="354">
        <f>VLOOKUP(A21,'Ref-Data'!A:I,9,0)</f>
        <v>1</v>
      </c>
      <c r="N21" s="354" t="s">
        <v>1156</v>
      </c>
      <c r="O21"/>
      <c r="P21"/>
      <c r="Q21"/>
      <c r="R21"/>
      <c r="S21"/>
    </row>
    <row r="22" spans="1:20" s="346" customFormat="1" x14ac:dyDescent="0.25">
      <c r="A22" s="277">
        <v>1100000203</v>
      </c>
      <c r="B22" s="277" t="str">
        <f>INDEX('Loan Book Summary'!B:C,MATCH('Input PD LGD'!A22,'Loan Book Summary'!C:C,0),1)</f>
        <v>Casa Italian Restaurants Limited - Business Trading - Main Facility</v>
      </c>
      <c r="C22" s="400">
        <f>VLOOKUP(A22,Reference_Rate_Repricing_Report!B:P,15,FALSE)</f>
        <v>5.53</v>
      </c>
      <c r="D22" s="276">
        <f>IF('Ref-Data'!$Z$2="ON",VLOOKUP($A22,'MacroPD-Cal'!$A:$L,X$1,FALSE),IF('Ref-Data'!$Z$5 = "Weighted",VLOOKUP($A22,'Model Output_TTC'!$A:$CB,X$2,FALSE),IF('Ref-Data'!$Z$5="Baseline",VLOOKUP('Input PD LGD'!$A22,'Model Output_TTC'!$A:$AU,'Input PD LGD'!X$4,FALSE),IF('Ref-Data'!$Z$5="90th Percentile",VLOOKUP('Input PD LGD'!$A22,'Model Output_TTC'!$A:$BP,'Input PD LGD'!X$6,FALSE),IF('Ref-Data'!$Z$5="96th Percentile",VLOOKUP('Input PD LGD'!$A22,'Model Output_TTC'!$A:$Z,'Input PD LGD'!X$8,FALSE),"")))))</f>
        <v>5.78851447579404E-4</v>
      </c>
      <c r="E22" s="276">
        <f>IF('Ref-Data'!$Z$2="ON",VLOOKUP($A22,'MacroPD-Cal'!$A:$L,Y$1,FALSE),IF('Ref-Data'!$Z$5 = "Weighted",VLOOKUP($A22,'Model Output_TTC'!$A:$CB,Y$2,FALSE),IF('Ref-Data'!$Z$5="Baseline",VLOOKUP('Input PD LGD'!$A22,'Model Output_TTC'!$A:$AU,'Input PD LGD'!Y$4,FALSE),IF('Ref-Data'!$Z$5="90th Percentile",VLOOKUP('Input PD LGD'!$A22,'Model Output_TTC'!$A:$BP,'Input PD LGD'!Y$6,FALSE),IF('Ref-Data'!$Z$5="96th Percentile",VLOOKUP('Input PD LGD'!$A22,'Model Output_TTC'!$A:$Z,'Input PD LGD'!Y$8,FALSE),"")))))</f>
        <v>1.3806868792907157E-3</v>
      </c>
      <c r="F22" s="276">
        <f>IF('Ref-Data'!$Z$2="ON",VLOOKUP($A22,'MacroPD-Cal'!$A:$L,Z$1,FALSE),IF('Ref-Data'!$Z$5 = "Weighted",VLOOKUP($A22,'Model Output_TTC'!$A:$CB,Z$2,FALSE),IF('Ref-Data'!$Z$5="Baseline",VLOOKUP('Input PD LGD'!$A22,'Model Output_TTC'!$A:$AU,'Input PD LGD'!Z$4,FALSE),IF('Ref-Data'!$Z$5="90th Percentile",VLOOKUP('Input PD LGD'!$A22,'Model Output_TTC'!$A:$BP,'Input PD LGD'!Z$6,FALSE),IF('Ref-Data'!$Z$5="96th Percentile",VLOOKUP('Input PD LGD'!$A22,'Model Output_TTC'!$A:$Z,'Input PD LGD'!Z$8,FALSE),"")))))</f>
        <v>2.3135238382311352E-3</v>
      </c>
      <c r="G22" s="276">
        <f>IF('Ref-Data'!$Z$2="ON",VLOOKUP($A22,'MacroPD-Cal'!$A:$L,AA$1,FALSE),IF('Ref-Data'!$Z$5 = "Weighted",VLOOKUP($A22,'Model Output_TTC'!$A:$CB,AA$2,FALSE),IF('Ref-Data'!$Z$5="Baseline",VLOOKUP('Input PD LGD'!$A22,'Model Output_TTC'!$A:$AU,'Input PD LGD'!AA$4,FALSE),IF('Ref-Data'!$Z$5="90th Percentile",VLOOKUP('Input PD LGD'!$A22,'Model Output_TTC'!$A:$BP,'Input PD LGD'!AA$6,FALSE),IF('Ref-Data'!$Z$5="96th Percentile",VLOOKUP('Input PD LGD'!$A22,'Model Output_TTC'!$A:$Z,'Input PD LGD'!AA$8,FALSE),"")))))</f>
        <v>3.5000000000000001E-3</v>
      </c>
      <c r="H22" s="276">
        <f>IF('Ref-Data'!$Z$2="ON",VLOOKUP($A22,'MacroPD-Cal'!$A:$L,AB$1,FALSE),IF('Ref-Data'!$Z$5 = "Weighted",VLOOKUP($A22,'Model Output_TTC'!$A:$CB,AB$2,FALSE),IF('Ref-Data'!$Z$5="Baseline",VLOOKUP('Input PD LGD'!$A22,'Model Output_TTC'!$A:$AU,'Input PD LGD'!AB$4,FALSE),IF('Ref-Data'!$Z$5="90th Percentile",VLOOKUP('Input PD LGD'!$A22,'Model Output_TTC'!$A:$BP,'Input PD LGD'!AB$6,FALSE),IF('Ref-Data'!$Z$5="96th Percentile",VLOOKUP('Input PD LGD'!$A22,'Model Output_TTC'!$A:$Z,'Input PD LGD'!AB$8,FALSE),"")))))</f>
        <v>5.5000000000000005E-3</v>
      </c>
      <c r="I22" s="276">
        <f>IF('Ref-Data'!$Z$2="ON",VLOOKUP($A22,'MacroPD-Cal'!$A:$L,AC$1,FALSE),IF('Ref-Data'!$Z$5 = "Weighted",VLOOKUP($A22,'Model Output_TTC'!$A:$CB,AC$2,FALSE),IF('Ref-Data'!$Z$5="Baseline",VLOOKUP('Input PD LGD'!$A22,'Model Output_TTC'!$A:$AU,'Input PD LGD'!AC$4,FALSE),IF('Ref-Data'!$Z$5="90th Percentile",VLOOKUP('Input PD LGD'!$A22,'Model Output_TTC'!$A:$BP,'Input PD LGD'!AC$6,FALSE),IF('Ref-Data'!$Z$5="96th Percentile",VLOOKUP('Input PD LGD'!$A22,'Model Output_TTC'!$A:$Z,'Input PD LGD'!AC$8,FALSE),"")))))</f>
        <v>6.8000000000000005E-3</v>
      </c>
      <c r="J22" s="276">
        <f>IF('Ref-Data'!$Z$2="ON",VLOOKUP($A22,'MacroPD-Cal'!$A:$L,AD$1,FALSE),IF('Ref-Data'!$Z$5 = "Weighted",VLOOKUP($A22,'Model Output_TTC'!$A:$CB,AD$2,FALSE),IF('Ref-Data'!$Z$5="Baseline",VLOOKUP('Input PD LGD'!$A22,'Model Output_TTC'!$A:$AU,'Input PD LGD'!AD$4,FALSE),IF('Ref-Data'!$Z$5="90th Percentile",VLOOKUP('Input PD LGD'!$A22,'Model Output_TTC'!$A:$BP,'Input PD LGD'!AD$6,FALSE),IF('Ref-Data'!$Z$5="96th Percentile",VLOOKUP('Input PD LGD'!$A22,'Model Output_TTC'!$A:$Z,'Input PD LGD'!AD$8,FALSE),"")))))</f>
        <v>1.0700000000000001E-2</v>
      </c>
      <c r="K22" s="276">
        <f>IF('Ref-Data'!$Z$2="ON",VLOOKUP($A22,'MacroPD-Cal'!$A:$L,AE$1,FALSE),IF('Ref-Data'!$Z$5 = "Weighted",VLOOKUP($A22,'Model Output_TTC'!$A:$CB,AE$2,FALSE),IF('Ref-Data'!$Z$5="Baseline",VLOOKUP('Input PD LGD'!$A22,'Model Output_TTC'!$A:$AU,'Input PD LGD'!AE$4,FALSE),IF('Ref-Data'!$Z$5="90th Percentile",VLOOKUP('Input PD LGD'!$A22,'Model Output_TTC'!$A:$BP,'Input PD LGD'!AE$6,FALSE),IF('Ref-Data'!$Z$5="96th Percentile",VLOOKUP('Input PD LGD'!$A22,'Model Output_TTC'!$A:$Z,'Input PD LGD'!AE$8,FALSE),"")))))</f>
        <v>1.49E-2</v>
      </c>
      <c r="L22" s="274">
        <f>VLOOKUP(A22,'Ref-Data'!$A:$N,14,0)</f>
        <v>0.28376064624326203</v>
      </c>
      <c r="M22" s="354">
        <f>VLOOKUP(A22,'Ref-Data'!A:I,9,0)</f>
        <v>1</v>
      </c>
      <c r="N22" s="354" t="s">
        <v>1156</v>
      </c>
      <c r="O22"/>
      <c r="P22"/>
      <c r="Q22"/>
      <c r="R22"/>
      <c r="S22"/>
    </row>
    <row r="23" spans="1:20" s="346" customFormat="1" x14ac:dyDescent="0.25">
      <c r="A23" s="277">
        <v>1100000184</v>
      </c>
      <c r="B23" s="277" t="str">
        <f>INDEX('Loan Book Summary'!B:C,MATCH('Input PD LGD'!A23,'Loan Book Summary'!C:C,0),1)</f>
        <v>Neptune 789 Limited -  Business Trading - Facility A £7.0m - Aptus Group</v>
      </c>
      <c r="C23" s="400">
        <f>VLOOKUP(A23,Reference_Rate_Repricing_Report!B:P,15,FALSE)</f>
        <v>5.98</v>
      </c>
      <c r="D23" s="276">
        <f>IF('Ref-Data'!$Z$2="ON",VLOOKUP($A23,'MacroPD-Cal'!$A:$L,X$1,FALSE),IF('Ref-Data'!$Z$5 = "Weighted",VLOOKUP($A23,'Model Output_TTC'!$A:$CB,X$2,FALSE),IF('Ref-Data'!$Z$5="Baseline",VLOOKUP('Input PD LGD'!$A23,'Model Output_TTC'!$A:$AU,'Input PD LGD'!X$4,FALSE),IF('Ref-Data'!$Z$5="90th Percentile",VLOOKUP('Input PD LGD'!$A23,'Model Output_TTC'!$A:$BP,'Input PD LGD'!X$6,FALSE),IF('Ref-Data'!$Z$5="96th Percentile",VLOOKUP('Input PD LGD'!$A23,'Model Output_TTC'!$A:$Z,'Input PD LGD'!X$8,FALSE),"")))))</f>
        <v>1.0705050271156204E-2</v>
      </c>
      <c r="E23" s="276">
        <f>IF('Ref-Data'!$Z$2="ON",VLOOKUP($A23,'MacroPD-Cal'!$A:$L,Y$1,FALSE),IF('Ref-Data'!$Z$5 = "Weighted",VLOOKUP($A23,'Model Output_TTC'!$A:$CB,Y$2,FALSE),IF('Ref-Data'!$Z$5="Baseline",VLOOKUP('Input PD LGD'!$A23,'Model Output_TTC'!$A:$AU,'Input PD LGD'!Y$4,FALSE),IF('Ref-Data'!$Z$5="90th Percentile",VLOOKUP('Input PD LGD'!$A23,'Model Output_TTC'!$A:$BP,'Input PD LGD'!Y$6,FALSE),IF('Ref-Data'!$Z$5="96th Percentile",VLOOKUP('Input PD LGD'!$A23,'Model Output_TTC'!$A:$Z,'Input PD LGD'!Y$8,FALSE),"")))))</f>
        <v>2.4228274039793773E-2</v>
      </c>
      <c r="F23" s="276">
        <f>IF('Ref-Data'!$Z$2="ON",VLOOKUP($A23,'MacroPD-Cal'!$A:$L,Z$1,FALSE),IF('Ref-Data'!$Z$5 = "Weighted",VLOOKUP($A23,'Model Output_TTC'!$A:$CB,Z$2,FALSE),IF('Ref-Data'!$Z$5="Baseline",VLOOKUP('Input PD LGD'!$A23,'Model Output_TTC'!$A:$AU,'Input PD LGD'!Z$4,FALSE),IF('Ref-Data'!$Z$5="90th Percentile",VLOOKUP('Input PD LGD'!$A23,'Model Output_TTC'!$A:$BP,'Input PD LGD'!Z$6,FALSE),IF('Ref-Data'!$Z$5="96th Percentile",VLOOKUP('Input PD LGD'!$A23,'Model Output_TTC'!$A:$Z,'Input PD LGD'!Z$8,FALSE),"")))))</f>
        <v>3.9166971899740277E-2</v>
      </c>
      <c r="G23" s="276">
        <f>IF('Ref-Data'!$Z$2="ON",VLOOKUP($A23,'MacroPD-Cal'!$A:$L,AA$1,FALSE),IF('Ref-Data'!$Z$5 = "Weighted",VLOOKUP($A23,'Model Output_TTC'!$A:$CB,AA$2,FALSE),IF('Ref-Data'!$Z$5="Baseline",VLOOKUP('Input PD LGD'!$A23,'Model Output_TTC'!$A:$AU,'Input PD LGD'!AA$4,FALSE),IF('Ref-Data'!$Z$5="90th Percentile",VLOOKUP('Input PD LGD'!$A23,'Model Output_TTC'!$A:$BP,'Input PD LGD'!AA$6,FALSE),IF('Ref-Data'!$Z$5="96th Percentile",VLOOKUP('Input PD LGD'!$A23,'Model Output_TTC'!$A:$Z,'Input PD LGD'!AA$8,FALSE),"")))))</f>
        <v>5.7600000000000005E-2</v>
      </c>
      <c r="H23" s="276">
        <f>IF('Ref-Data'!$Z$2="ON",VLOOKUP($A23,'MacroPD-Cal'!$A:$L,AB$1,FALSE),IF('Ref-Data'!$Z$5 = "Weighted",VLOOKUP($A23,'Model Output_TTC'!$A:$CB,AB$2,FALSE),IF('Ref-Data'!$Z$5="Baseline",VLOOKUP('Input PD LGD'!$A23,'Model Output_TTC'!$A:$AU,'Input PD LGD'!AB$4,FALSE),IF('Ref-Data'!$Z$5="90th Percentile",VLOOKUP('Input PD LGD'!$A23,'Model Output_TTC'!$A:$BP,'Input PD LGD'!AB$6,FALSE),IF('Ref-Data'!$Z$5="96th Percentile",VLOOKUP('Input PD LGD'!$A23,'Model Output_TTC'!$A:$Z,'Input PD LGD'!AB$8,FALSE),"")))))</f>
        <v>8.2600000000000007E-2</v>
      </c>
      <c r="I23" s="276">
        <f>IF('Ref-Data'!$Z$2="ON",VLOOKUP($A23,'MacroPD-Cal'!$A:$L,AC$1,FALSE),IF('Ref-Data'!$Z$5 = "Weighted",VLOOKUP($A23,'Model Output_TTC'!$A:$CB,AC$2,FALSE),IF('Ref-Data'!$Z$5="Baseline",VLOOKUP('Input PD LGD'!$A23,'Model Output_TTC'!$A:$AU,'Input PD LGD'!AC$4,FALSE),IF('Ref-Data'!$Z$5="90th Percentile",VLOOKUP('Input PD LGD'!$A23,'Model Output_TTC'!$A:$BP,'Input PD LGD'!AC$6,FALSE),IF('Ref-Data'!$Z$5="96th Percentile",VLOOKUP('Input PD LGD'!$A23,'Model Output_TTC'!$A:$Z,'Input PD LGD'!AC$8,FALSE),"")))))</f>
        <v>9.6000000000000002E-2</v>
      </c>
      <c r="J23" s="276">
        <f>IF('Ref-Data'!$Z$2="ON",VLOOKUP($A23,'MacroPD-Cal'!$A:$L,AD$1,FALSE),IF('Ref-Data'!$Z$5 = "Weighted",VLOOKUP($A23,'Model Output_TTC'!$A:$CB,AD$2,FALSE),IF('Ref-Data'!$Z$5="Baseline",VLOOKUP('Input PD LGD'!$A23,'Model Output_TTC'!$A:$AU,'Input PD LGD'!AD$4,FALSE),IF('Ref-Data'!$Z$5="90th Percentile",VLOOKUP('Input PD LGD'!$A23,'Model Output_TTC'!$A:$BP,'Input PD LGD'!AD$6,FALSE),IF('Ref-Data'!$Z$5="96th Percentile",VLOOKUP('Input PD LGD'!$A23,'Model Output_TTC'!$A:$Z,'Input PD LGD'!AD$8,FALSE),"")))))</f>
        <v>0.1212</v>
      </c>
      <c r="K23" s="276">
        <f>IF('Ref-Data'!$Z$2="ON",VLOOKUP($A23,'MacroPD-Cal'!$A:$L,AE$1,FALSE),IF('Ref-Data'!$Z$5 = "Weighted",VLOOKUP($A23,'Model Output_TTC'!$A:$CB,AE$2,FALSE),IF('Ref-Data'!$Z$5="Baseline",VLOOKUP('Input PD LGD'!$A23,'Model Output_TTC'!$A:$AU,'Input PD LGD'!AE$4,FALSE),IF('Ref-Data'!$Z$5="90th Percentile",VLOOKUP('Input PD LGD'!$A23,'Model Output_TTC'!$A:$BP,'Input PD LGD'!AE$6,FALSE),IF('Ref-Data'!$Z$5="96th Percentile",VLOOKUP('Input PD LGD'!$A23,'Model Output_TTC'!$A:$Z,'Input PD LGD'!AE$8,FALSE),"")))))</f>
        <v>0.14460000000000001</v>
      </c>
      <c r="L23" s="274">
        <f>VLOOKUP(A23,'Ref-Data'!$A:$N,14,0)</f>
        <v>0.28722729829082327</v>
      </c>
      <c r="M23" s="354">
        <f>VLOOKUP(A23,'Ref-Data'!A:I,9,0)</f>
        <v>1</v>
      </c>
      <c r="N23" s="354" t="s">
        <v>1156</v>
      </c>
      <c r="O23"/>
      <c r="P23"/>
      <c r="Q23"/>
      <c r="R23"/>
      <c r="S23"/>
    </row>
    <row r="24" spans="1:20" s="346" customFormat="1" x14ac:dyDescent="0.25">
      <c r="A24" s="277">
        <v>1100000182</v>
      </c>
      <c r="B24" s="277" t="str">
        <f>INDEX('Loan Book Summary'!B:C,MATCH('Input PD LGD'!A24,'Loan Book Summary'!C:C,0),1)</f>
        <v>Neptune 789 Limited -  Business Trading - RCF £1.0m - Aptus Group</v>
      </c>
      <c r="C24" s="400">
        <f>VLOOKUP(A24,Reference_Rate_Repricing_Report!B:P,15,FALSE)</f>
        <v>5.98</v>
      </c>
      <c r="D24" s="276">
        <f>IF('Ref-Data'!$Z$2="ON",VLOOKUP($A24,'MacroPD-Cal'!$A:$L,X$1,FALSE),IF('Ref-Data'!$Z$5 = "Weighted",VLOOKUP($A24,'Model Output_TTC'!$A:$CB,X$2,FALSE),IF('Ref-Data'!$Z$5="Baseline",VLOOKUP('Input PD LGD'!$A24,'Model Output_TTC'!$A:$AU,'Input PD LGD'!X$4,FALSE),IF('Ref-Data'!$Z$5="90th Percentile",VLOOKUP('Input PD LGD'!$A24,'Model Output_TTC'!$A:$BP,'Input PD LGD'!X$6,FALSE),IF('Ref-Data'!$Z$5="96th Percentile",VLOOKUP('Input PD LGD'!$A24,'Model Output_TTC'!$A:$Z,'Input PD LGD'!X$8,FALSE),"")))))</f>
        <v>1.0705050271156204E-2</v>
      </c>
      <c r="E24" s="276">
        <f>IF('Ref-Data'!$Z$2="ON",VLOOKUP($A24,'MacroPD-Cal'!$A:$L,Y$1,FALSE),IF('Ref-Data'!$Z$5 = "Weighted",VLOOKUP($A24,'Model Output_TTC'!$A:$CB,Y$2,FALSE),IF('Ref-Data'!$Z$5="Baseline",VLOOKUP('Input PD LGD'!$A24,'Model Output_TTC'!$A:$AU,'Input PD LGD'!Y$4,FALSE),IF('Ref-Data'!$Z$5="90th Percentile",VLOOKUP('Input PD LGD'!$A24,'Model Output_TTC'!$A:$BP,'Input PD LGD'!Y$6,FALSE),IF('Ref-Data'!$Z$5="96th Percentile",VLOOKUP('Input PD LGD'!$A24,'Model Output_TTC'!$A:$Z,'Input PD LGD'!Y$8,FALSE),"")))))</f>
        <v>2.4228274039793773E-2</v>
      </c>
      <c r="F24" s="276">
        <f>IF('Ref-Data'!$Z$2="ON",VLOOKUP($A24,'MacroPD-Cal'!$A:$L,Z$1,FALSE),IF('Ref-Data'!$Z$5 = "Weighted",VLOOKUP($A24,'Model Output_TTC'!$A:$CB,Z$2,FALSE),IF('Ref-Data'!$Z$5="Baseline",VLOOKUP('Input PD LGD'!$A24,'Model Output_TTC'!$A:$AU,'Input PD LGD'!Z$4,FALSE),IF('Ref-Data'!$Z$5="90th Percentile",VLOOKUP('Input PD LGD'!$A24,'Model Output_TTC'!$A:$BP,'Input PD LGD'!Z$6,FALSE),IF('Ref-Data'!$Z$5="96th Percentile",VLOOKUP('Input PD LGD'!$A24,'Model Output_TTC'!$A:$Z,'Input PD LGD'!Z$8,FALSE),"")))))</f>
        <v>3.9166971899740277E-2</v>
      </c>
      <c r="G24" s="276">
        <f>IF('Ref-Data'!$Z$2="ON",VLOOKUP($A24,'MacroPD-Cal'!$A:$L,AA$1,FALSE),IF('Ref-Data'!$Z$5 = "Weighted",VLOOKUP($A24,'Model Output_TTC'!$A:$CB,AA$2,FALSE),IF('Ref-Data'!$Z$5="Baseline",VLOOKUP('Input PD LGD'!$A24,'Model Output_TTC'!$A:$AU,'Input PD LGD'!AA$4,FALSE),IF('Ref-Data'!$Z$5="90th Percentile",VLOOKUP('Input PD LGD'!$A24,'Model Output_TTC'!$A:$BP,'Input PD LGD'!AA$6,FALSE),IF('Ref-Data'!$Z$5="96th Percentile",VLOOKUP('Input PD LGD'!$A24,'Model Output_TTC'!$A:$Z,'Input PD LGD'!AA$8,FALSE),"")))))</f>
        <v>5.7600000000000005E-2</v>
      </c>
      <c r="H24" s="276">
        <f>IF('Ref-Data'!$Z$2="ON",VLOOKUP($A24,'MacroPD-Cal'!$A:$L,AB$1,FALSE),IF('Ref-Data'!$Z$5 = "Weighted",VLOOKUP($A24,'Model Output_TTC'!$A:$CB,AB$2,FALSE),IF('Ref-Data'!$Z$5="Baseline",VLOOKUP('Input PD LGD'!$A24,'Model Output_TTC'!$A:$AU,'Input PD LGD'!AB$4,FALSE),IF('Ref-Data'!$Z$5="90th Percentile",VLOOKUP('Input PD LGD'!$A24,'Model Output_TTC'!$A:$BP,'Input PD LGD'!AB$6,FALSE),IF('Ref-Data'!$Z$5="96th Percentile",VLOOKUP('Input PD LGD'!$A24,'Model Output_TTC'!$A:$Z,'Input PD LGD'!AB$8,FALSE),"")))))</f>
        <v>8.2600000000000007E-2</v>
      </c>
      <c r="I24" s="276">
        <f>IF('Ref-Data'!$Z$2="ON",VLOOKUP($A24,'MacroPD-Cal'!$A:$L,AC$1,FALSE),IF('Ref-Data'!$Z$5 = "Weighted",VLOOKUP($A24,'Model Output_TTC'!$A:$CB,AC$2,FALSE),IF('Ref-Data'!$Z$5="Baseline",VLOOKUP('Input PD LGD'!$A24,'Model Output_TTC'!$A:$AU,'Input PD LGD'!AC$4,FALSE),IF('Ref-Data'!$Z$5="90th Percentile",VLOOKUP('Input PD LGD'!$A24,'Model Output_TTC'!$A:$BP,'Input PD LGD'!AC$6,FALSE),IF('Ref-Data'!$Z$5="96th Percentile",VLOOKUP('Input PD LGD'!$A24,'Model Output_TTC'!$A:$Z,'Input PD LGD'!AC$8,FALSE),"")))))</f>
        <v>9.6000000000000002E-2</v>
      </c>
      <c r="J24" s="276">
        <f>IF('Ref-Data'!$Z$2="ON",VLOOKUP($A24,'MacroPD-Cal'!$A:$L,AD$1,FALSE),IF('Ref-Data'!$Z$5 = "Weighted",VLOOKUP($A24,'Model Output_TTC'!$A:$CB,AD$2,FALSE),IF('Ref-Data'!$Z$5="Baseline",VLOOKUP('Input PD LGD'!$A24,'Model Output_TTC'!$A:$AU,'Input PD LGD'!AD$4,FALSE),IF('Ref-Data'!$Z$5="90th Percentile",VLOOKUP('Input PD LGD'!$A24,'Model Output_TTC'!$A:$BP,'Input PD LGD'!AD$6,FALSE),IF('Ref-Data'!$Z$5="96th Percentile",VLOOKUP('Input PD LGD'!$A24,'Model Output_TTC'!$A:$Z,'Input PD LGD'!AD$8,FALSE),"")))))</f>
        <v>0.1212</v>
      </c>
      <c r="K24" s="276">
        <f>IF('Ref-Data'!$Z$2="ON",VLOOKUP($A24,'MacroPD-Cal'!$A:$L,AE$1,FALSE),IF('Ref-Data'!$Z$5 = "Weighted",VLOOKUP($A24,'Model Output_TTC'!$A:$CB,AE$2,FALSE),IF('Ref-Data'!$Z$5="Baseline",VLOOKUP('Input PD LGD'!$A24,'Model Output_TTC'!$A:$AU,'Input PD LGD'!AE$4,FALSE),IF('Ref-Data'!$Z$5="90th Percentile",VLOOKUP('Input PD LGD'!$A24,'Model Output_TTC'!$A:$BP,'Input PD LGD'!AE$6,FALSE),IF('Ref-Data'!$Z$5="96th Percentile",VLOOKUP('Input PD LGD'!$A24,'Model Output_TTC'!$A:$Z,'Input PD LGD'!AE$8,FALSE),"")))))</f>
        <v>0.14460000000000001</v>
      </c>
      <c r="L24" s="274">
        <f>VLOOKUP(A24,'Ref-Data'!$A:$N,14,0)</f>
        <v>0.28722729829082327</v>
      </c>
      <c r="M24" s="354">
        <f>VLOOKUP(A24,'Ref-Data'!A:I,9,0)</f>
        <v>1</v>
      </c>
      <c r="N24" s="354" t="s">
        <v>1156</v>
      </c>
      <c r="O24"/>
      <c r="P24"/>
      <c r="Q24"/>
      <c r="R24"/>
      <c r="S24"/>
    </row>
    <row r="25" spans="1:20" x14ac:dyDescent="0.25">
      <c r="A25" s="277">
        <v>1100000130</v>
      </c>
      <c r="B25" s="277" t="str">
        <f>INDEX('Loan Book Summary'!B:C,MATCH('Input PD LGD'!A25,'Loan Book Summary'!C:C,0),1)</f>
        <v>Moorlands Healthcare Limited - Business Trading</v>
      </c>
      <c r="C25" s="400">
        <f>VLOOKUP(A25,Reference_Rate_Repricing_Report!B:P,15,FALSE)</f>
        <v>6.55</v>
      </c>
      <c r="D25" s="276">
        <f>IF('Ref-Data'!$Z$2="ON",VLOOKUP($A25,'MacroPD-Cal'!$A:$L,X$1,FALSE),IF('Ref-Data'!$Z$5 = "Weighted",VLOOKUP($A25,'Model Output_TTC'!$A:$CB,X$2,FALSE),IF('Ref-Data'!$Z$5="Baseline",VLOOKUP('Input PD LGD'!$A25,'Model Output_TTC'!$A:$AU,'Input PD LGD'!X$4,FALSE),IF('Ref-Data'!$Z$5="90th Percentile",VLOOKUP('Input PD LGD'!$A25,'Model Output_TTC'!$A:$BP,'Input PD LGD'!X$6,FALSE),IF('Ref-Data'!$Z$5="96th Percentile",VLOOKUP('Input PD LGD'!$A25,'Model Output_TTC'!$A:$Z,'Input PD LGD'!X$8,FALSE),"")))))</f>
        <v>1.000614881276481E-3</v>
      </c>
      <c r="E25" s="276">
        <f>IF('Ref-Data'!$Z$2="ON",VLOOKUP($A25,'MacroPD-Cal'!$A:$L,Y$1,FALSE),IF('Ref-Data'!$Z$5 = "Weighted",VLOOKUP($A25,'Model Output_TTC'!$A:$CB,Y$2,FALSE),IF('Ref-Data'!$Z$5="Baseline",VLOOKUP('Input PD LGD'!$A25,'Model Output_TTC'!$A:$AU,'Input PD LGD'!Y$4,FALSE),IF('Ref-Data'!$Z$5="90th Percentile",VLOOKUP('Input PD LGD'!$A25,'Model Output_TTC'!$A:$BP,'Input PD LGD'!Y$6,FALSE),IF('Ref-Data'!$Z$5="96th Percentile",VLOOKUP('Input PD LGD'!$A25,'Model Output_TTC'!$A:$Z,'Input PD LGD'!Y$8,FALSE),"")))))</f>
        <v>2.3668983149693901E-3</v>
      </c>
      <c r="F25" s="276">
        <f>IF('Ref-Data'!$Z$2="ON",VLOOKUP($A25,'MacroPD-Cal'!$A:$L,Z$1,FALSE),IF('Ref-Data'!$Z$5 = "Weighted",VLOOKUP($A25,'Model Output_TTC'!$A:$CB,Z$2,FALSE),IF('Ref-Data'!$Z$5="Baseline",VLOOKUP('Input PD LGD'!$A25,'Model Output_TTC'!$A:$AU,'Input PD LGD'!Z$4,FALSE),IF('Ref-Data'!$Z$5="90th Percentile",VLOOKUP('Input PD LGD'!$A25,'Model Output_TTC'!$A:$BP,'Input PD LGD'!Z$6,FALSE),IF('Ref-Data'!$Z$5="96th Percentile",VLOOKUP('Input PD LGD'!$A25,'Model Output_TTC'!$A:$Z,'Input PD LGD'!Z$8,FALSE),"")))))</f>
        <v>3.9450311402998706E-3</v>
      </c>
      <c r="G25" s="276">
        <f>IF('Ref-Data'!$Z$2="ON",VLOOKUP($A25,'MacroPD-Cal'!$A:$L,AA$1,FALSE),IF('Ref-Data'!$Z$5 = "Weighted",VLOOKUP($A25,'Model Output_TTC'!$A:$CB,AA$2,FALSE),IF('Ref-Data'!$Z$5="Baseline",VLOOKUP('Input PD LGD'!$A25,'Model Output_TTC'!$A:$AU,'Input PD LGD'!AA$4,FALSE),IF('Ref-Data'!$Z$5="90th Percentile",VLOOKUP('Input PD LGD'!$A25,'Model Output_TTC'!$A:$BP,'Input PD LGD'!AA$6,FALSE),IF('Ref-Data'!$Z$5="96th Percentile",VLOOKUP('Input PD LGD'!$A25,'Model Output_TTC'!$A:$Z,'Input PD LGD'!AA$8,FALSE),"")))))</f>
        <v>6.0000000000000001E-3</v>
      </c>
      <c r="H25" s="276">
        <f>IF('Ref-Data'!$Z$2="ON",VLOOKUP($A25,'MacroPD-Cal'!$A:$L,AB$1,FALSE),IF('Ref-Data'!$Z$5 = "Weighted",VLOOKUP($A25,'Model Output_TTC'!$A:$CB,AB$2,FALSE),IF('Ref-Data'!$Z$5="Baseline",VLOOKUP('Input PD LGD'!$A25,'Model Output_TTC'!$A:$AU,'Input PD LGD'!AB$4,FALSE),IF('Ref-Data'!$Z$5="90th Percentile",VLOOKUP('Input PD LGD'!$A25,'Model Output_TTC'!$A:$BP,'Input PD LGD'!AB$6,FALSE),IF('Ref-Data'!$Z$5="96th Percentile",VLOOKUP('Input PD LGD'!$A25,'Model Output_TTC'!$A:$Z,'Input PD LGD'!AB$8,FALSE),"")))))</f>
        <v>9.300000000000001E-3</v>
      </c>
      <c r="I25" s="276">
        <f>IF('Ref-Data'!$Z$2="ON",VLOOKUP($A25,'MacroPD-Cal'!$A:$L,AC$1,FALSE),IF('Ref-Data'!$Z$5 = "Weighted",VLOOKUP($A25,'Model Output_TTC'!$A:$CB,AC$2,FALSE),IF('Ref-Data'!$Z$5="Baseline",VLOOKUP('Input PD LGD'!$A25,'Model Output_TTC'!$A:$AU,'Input PD LGD'!AC$4,FALSE),IF('Ref-Data'!$Z$5="90th Percentile",VLOOKUP('Input PD LGD'!$A25,'Model Output_TTC'!$A:$BP,'Input PD LGD'!AC$6,FALSE),IF('Ref-Data'!$Z$5="96th Percentile",VLOOKUP('Input PD LGD'!$A25,'Model Output_TTC'!$A:$Z,'Input PD LGD'!AC$8,FALSE),"")))))</f>
        <v>1.15E-2</v>
      </c>
      <c r="J25" s="276">
        <f>IF('Ref-Data'!$Z$2="ON",VLOOKUP($A25,'MacroPD-Cal'!$A:$L,AD$1,FALSE),IF('Ref-Data'!$Z$5 = "Weighted",VLOOKUP($A25,'Model Output_TTC'!$A:$CB,AD$2,FALSE),IF('Ref-Data'!$Z$5="Baseline",VLOOKUP('Input PD LGD'!$A25,'Model Output_TTC'!$A:$AU,'Input PD LGD'!AD$4,FALSE),IF('Ref-Data'!$Z$5="90th Percentile",VLOOKUP('Input PD LGD'!$A25,'Model Output_TTC'!$A:$BP,'Input PD LGD'!AD$6,FALSE),IF('Ref-Data'!$Z$5="96th Percentile",VLOOKUP('Input PD LGD'!$A25,'Model Output_TTC'!$A:$Z,'Input PD LGD'!AD$8,FALSE),"")))))</f>
        <v>1.7000000000000001E-2</v>
      </c>
      <c r="K25" s="276">
        <f>IF('Ref-Data'!$Z$2="ON",VLOOKUP($A25,'MacroPD-Cal'!$A:$L,AE$1,FALSE),IF('Ref-Data'!$Z$5 = "Weighted",VLOOKUP($A25,'Model Output_TTC'!$A:$CB,AE$2,FALSE),IF('Ref-Data'!$Z$5="Baseline",VLOOKUP('Input PD LGD'!$A25,'Model Output_TTC'!$A:$AU,'Input PD LGD'!AE$4,FALSE),IF('Ref-Data'!$Z$5="90th Percentile",VLOOKUP('Input PD LGD'!$A25,'Model Output_TTC'!$A:$BP,'Input PD LGD'!AE$6,FALSE),IF('Ref-Data'!$Z$5="96th Percentile",VLOOKUP('Input PD LGD'!$A25,'Model Output_TTC'!$A:$Z,'Input PD LGD'!AE$8,FALSE),"")))))</f>
        <v>2.3E-2</v>
      </c>
      <c r="L25" s="274">
        <f>VLOOKUP(A25,'Ref-Data'!$A:$N,14,0)</f>
        <v>0.15189421709416262</v>
      </c>
      <c r="M25" s="354">
        <f>VLOOKUP(A25,'Ref-Data'!A:I,9,0)</f>
        <v>1</v>
      </c>
      <c r="N25" s="354" t="s">
        <v>1156</v>
      </c>
      <c r="T25" s="346"/>
    </row>
    <row r="26" spans="1:20" x14ac:dyDescent="0.25">
      <c r="A26" s="277">
        <v>1100000190</v>
      </c>
      <c r="B26" s="277" t="str">
        <f>INDEX('Loan Book Summary'!B:C,MATCH('Input PD LGD'!A26,'Loan Book Summary'!C:C,0),1)</f>
        <v>Ability Group - AP Bristol Number 3 Limited - Business Trading - Fac A</v>
      </c>
      <c r="C26" s="400">
        <f>VLOOKUP(A26,Reference_Rate_Repricing_Report!B:P,15,FALSE)</f>
        <v>6.25</v>
      </c>
      <c r="D26" s="276">
        <f>IF('Ref-Data'!$Z$2="ON",VLOOKUP($A26,'MacroPD-Cal'!$A:$L,X$1,FALSE),IF('Ref-Data'!$Z$5 = "Weighted",VLOOKUP($A26,'Model Output_TTC'!$A:$CB,X$2,FALSE),IF('Ref-Data'!$Z$5="Baseline",VLOOKUP('Input PD LGD'!$A26,'Model Output_TTC'!$A:$AU,'Input PD LGD'!X$4,FALSE),IF('Ref-Data'!$Z$5="90th Percentile",VLOOKUP('Input PD LGD'!$A26,'Model Output_TTC'!$A:$BP,'Input PD LGD'!X$6,FALSE),IF('Ref-Data'!$Z$5="96th Percentile",VLOOKUP('Input PD LGD'!$A26,'Model Output_TTC'!$A:$Z,'Input PD LGD'!X$8,FALSE),"")))))</f>
        <v>3.8474532564693634E-3</v>
      </c>
      <c r="E26" s="276">
        <f>IF('Ref-Data'!$Z$2="ON",VLOOKUP($A26,'MacroPD-Cal'!$A:$L,Y$1,FALSE),IF('Ref-Data'!$Z$5 = "Weighted",VLOOKUP($A26,'Model Output_TTC'!$A:$CB,Y$2,FALSE),IF('Ref-Data'!$Z$5="Baseline",VLOOKUP('Input PD LGD'!$A26,'Model Output_TTC'!$A:$AU,'Input PD LGD'!Y$4,FALSE),IF('Ref-Data'!$Z$5="90th Percentile",VLOOKUP('Input PD LGD'!$A26,'Model Output_TTC'!$A:$BP,'Input PD LGD'!Y$6,FALSE),IF('Ref-Data'!$Z$5="96th Percentile",VLOOKUP('Input PD LGD'!$A26,'Model Output_TTC'!$A:$Z,'Input PD LGD'!Y$8,FALSE),"")))))</f>
        <v>8.8961754244754054E-3</v>
      </c>
      <c r="F26" s="276">
        <f>IF('Ref-Data'!$Z$2="ON",VLOOKUP($A26,'MacroPD-Cal'!$A:$L,Z$1,FALSE),IF('Ref-Data'!$Z$5 = "Weighted",VLOOKUP($A26,'Model Output_TTC'!$A:$CB,Z$2,FALSE),IF('Ref-Data'!$Z$5="Baseline",VLOOKUP('Input PD LGD'!$A26,'Model Output_TTC'!$A:$AU,'Input PD LGD'!Z$4,FALSE),IF('Ref-Data'!$Z$5="90th Percentile",VLOOKUP('Input PD LGD'!$A26,'Model Output_TTC'!$A:$BP,'Input PD LGD'!Z$6,FALSE),IF('Ref-Data'!$Z$5="96th Percentile",VLOOKUP('Input PD LGD'!$A26,'Model Output_TTC'!$A:$Z,'Input PD LGD'!Z$8,FALSE),"")))))</f>
        <v>1.4605456369044645E-2</v>
      </c>
      <c r="G26" s="276">
        <f>IF('Ref-Data'!$Z$2="ON",VLOOKUP($A26,'MacroPD-Cal'!$A:$L,AA$1,FALSE),IF('Ref-Data'!$Z$5 = "Weighted",VLOOKUP($A26,'Model Output_TTC'!$A:$CB,AA$2,FALSE),IF('Ref-Data'!$Z$5="Baseline",VLOOKUP('Input PD LGD'!$A26,'Model Output_TTC'!$A:$AU,'Input PD LGD'!AA$4,FALSE),IF('Ref-Data'!$Z$5="90th Percentile",VLOOKUP('Input PD LGD'!$A26,'Model Output_TTC'!$A:$BP,'Input PD LGD'!AA$6,FALSE),IF('Ref-Data'!$Z$5="96th Percentile",VLOOKUP('Input PD LGD'!$A26,'Model Output_TTC'!$A:$Z,'Input PD LGD'!AA$8,FALSE),"")))))</f>
        <v>2.1899999999999999E-2</v>
      </c>
      <c r="H26" s="276">
        <f>IF('Ref-Data'!$Z$2="ON",VLOOKUP($A26,'MacroPD-Cal'!$A:$L,AB$1,FALSE),IF('Ref-Data'!$Z$5 = "Weighted",VLOOKUP($A26,'Model Output_TTC'!$A:$CB,AB$2,FALSE),IF('Ref-Data'!$Z$5="Baseline",VLOOKUP('Input PD LGD'!$A26,'Model Output_TTC'!$A:$AU,'Input PD LGD'!AB$4,FALSE),IF('Ref-Data'!$Z$5="90th Percentile",VLOOKUP('Input PD LGD'!$A26,'Model Output_TTC'!$A:$BP,'Input PD LGD'!AB$6,FALSE),IF('Ref-Data'!$Z$5="96th Percentile",VLOOKUP('Input PD LGD'!$A26,'Model Output_TTC'!$A:$Z,'Input PD LGD'!AB$8,FALSE),"")))))</f>
        <v>3.1800000000000002E-2</v>
      </c>
      <c r="I26" s="276">
        <f>IF('Ref-Data'!$Z$2="ON",VLOOKUP($A26,'MacroPD-Cal'!$A:$L,AC$1,FALSE),IF('Ref-Data'!$Z$5 = "Weighted",VLOOKUP($A26,'Model Output_TTC'!$A:$CB,AC$2,FALSE),IF('Ref-Data'!$Z$5="Baseline",VLOOKUP('Input PD LGD'!$A26,'Model Output_TTC'!$A:$AU,'Input PD LGD'!AC$4,FALSE),IF('Ref-Data'!$Z$5="90th Percentile",VLOOKUP('Input PD LGD'!$A26,'Model Output_TTC'!$A:$BP,'Input PD LGD'!AC$6,FALSE),IF('Ref-Data'!$Z$5="96th Percentile",VLOOKUP('Input PD LGD'!$A26,'Model Output_TTC'!$A:$Z,'Input PD LGD'!AC$8,FALSE),"")))))</f>
        <v>3.7200000000000004E-2</v>
      </c>
      <c r="J26" s="276">
        <f>IF('Ref-Data'!$Z$2="ON",VLOOKUP($A26,'MacroPD-Cal'!$A:$L,AD$1,FALSE),IF('Ref-Data'!$Z$5 = "Weighted",VLOOKUP($A26,'Model Output_TTC'!$A:$CB,AD$2,FALSE),IF('Ref-Data'!$Z$5="Baseline",VLOOKUP('Input PD LGD'!$A26,'Model Output_TTC'!$A:$AU,'Input PD LGD'!AD$4,FALSE),IF('Ref-Data'!$Z$5="90th Percentile",VLOOKUP('Input PD LGD'!$A26,'Model Output_TTC'!$A:$BP,'Input PD LGD'!AD$6,FALSE),IF('Ref-Data'!$Z$5="96th Percentile",VLOOKUP('Input PD LGD'!$A26,'Model Output_TTC'!$A:$Z,'Input PD LGD'!AD$8,FALSE),"")))))</f>
        <v>4.8899999999999999E-2</v>
      </c>
      <c r="K26" s="276">
        <f>IF('Ref-Data'!$Z$2="ON",VLOOKUP($A26,'MacroPD-Cal'!$A:$L,AE$1,FALSE),IF('Ref-Data'!$Z$5 = "Weighted",VLOOKUP($A26,'Model Output_TTC'!$A:$CB,AE$2,FALSE),IF('Ref-Data'!$Z$5="Baseline",VLOOKUP('Input PD LGD'!$A26,'Model Output_TTC'!$A:$AU,'Input PD LGD'!AE$4,FALSE),IF('Ref-Data'!$Z$5="90th Percentile",VLOOKUP('Input PD LGD'!$A26,'Model Output_TTC'!$A:$BP,'Input PD LGD'!AE$6,FALSE),IF('Ref-Data'!$Z$5="96th Percentile",VLOOKUP('Input PD LGD'!$A26,'Model Output_TTC'!$A:$Z,'Input PD LGD'!AE$8,FALSE),"")))))</f>
        <v>6.0299999999999999E-2</v>
      </c>
      <c r="L26" s="274">
        <f>VLOOKUP(A26,'Ref-Data'!$A:$N,14,0)</f>
        <v>0.1</v>
      </c>
      <c r="M26" s="354">
        <f>VLOOKUP(A26,'Ref-Data'!A:I,9,0)</f>
        <v>1</v>
      </c>
      <c r="N26" s="354" t="s">
        <v>1156</v>
      </c>
      <c r="T26" s="346"/>
    </row>
    <row r="27" spans="1:20" x14ac:dyDescent="0.25">
      <c r="A27" s="277">
        <v>1100000191</v>
      </c>
      <c r="B27" s="277" t="str">
        <f>INDEX('Loan Book Summary'!B:C,MATCH('Input PD LGD'!A27,'Loan Book Summary'!C:C,0),1)</f>
        <v>Ability Group - AP Bristol Number 3 Limited - Business Trading - Facility B</v>
      </c>
      <c r="C27" s="400">
        <f>VLOOKUP(A27,Reference_Rate_Repricing_Report!B:P,15,FALSE)</f>
        <v>7.25</v>
      </c>
      <c r="D27" s="276">
        <f>IF('Ref-Data'!$Z$2="ON",VLOOKUP($A27,'MacroPD-Cal'!$A:$L,X$1,FALSE),IF('Ref-Data'!$Z$5 = "Weighted",VLOOKUP($A27,'Model Output_TTC'!$A:$CB,X$2,FALSE),IF('Ref-Data'!$Z$5="Baseline",VLOOKUP('Input PD LGD'!$A27,'Model Output_TTC'!$A:$AU,'Input PD LGD'!X$4,FALSE),IF('Ref-Data'!$Z$5="90th Percentile",VLOOKUP('Input PD LGD'!$A27,'Model Output_TTC'!$A:$BP,'Input PD LGD'!X$6,FALSE),IF('Ref-Data'!$Z$5="96th Percentile",VLOOKUP('Input PD LGD'!$A27,'Model Output_TTC'!$A:$Z,'Input PD LGD'!X$8,FALSE),"")))))</f>
        <v>3.8474532564693634E-3</v>
      </c>
      <c r="E27" s="276">
        <f>IF('Ref-Data'!$Z$2="ON",VLOOKUP($A27,'MacroPD-Cal'!$A:$L,Y$1,FALSE),IF('Ref-Data'!$Z$5 = "Weighted",VLOOKUP($A27,'Model Output_TTC'!$A:$CB,Y$2,FALSE),IF('Ref-Data'!$Z$5="Baseline",VLOOKUP('Input PD LGD'!$A27,'Model Output_TTC'!$A:$AU,'Input PD LGD'!Y$4,FALSE),IF('Ref-Data'!$Z$5="90th Percentile",VLOOKUP('Input PD LGD'!$A27,'Model Output_TTC'!$A:$BP,'Input PD LGD'!Y$6,FALSE),IF('Ref-Data'!$Z$5="96th Percentile",VLOOKUP('Input PD LGD'!$A27,'Model Output_TTC'!$A:$Z,'Input PD LGD'!Y$8,FALSE),"")))))</f>
        <v>8.8961754244754054E-3</v>
      </c>
      <c r="F27" s="276">
        <f>IF('Ref-Data'!$Z$2="ON",VLOOKUP($A27,'MacroPD-Cal'!$A:$L,Z$1,FALSE),IF('Ref-Data'!$Z$5 = "Weighted",VLOOKUP($A27,'Model Output_TTC'!$A:$CB,Z$2,FALSE),IF('Ref-Data'!$Z$5="Baseline",VLOOKUP('Input PD LGD'!$A27,'Model Output_TTC'!$A:$AU,'Input PD LGD'!Z$4,FALSE),IF('Ref-Data'!$Z$5="90th Percentile",VLOOKUP('Input PD LGD'!$A27,'Model Output_TTC'!$A:$BP,'Input PD LGD'!Z$6,FALSE),IF('Ref-Data'!$Z$5="96th Percentile",VLOOKUP('Input PD LGD'!$A27,'Model Output_TTC'!$A:$Z,'Input PD LGD'!Z$8,FALSE),"")))))</f>
        <v>1.4605456369044645E-2</v>
      </c>
      <c r="G27" s="276">
        <f>IF('Ref-Data'!$Z$2="ON",VLOOKUP($A27,'MacroPD-Cal'!$A:$L,AA$1,FALSE),IF('Ref-Data'!$Z$5 = "Weighted",VLOOKUP($A27,'Model Output_TTC'!$A:$CB,AA$2,FALSE),IF('Ref-Data'!$Z$5="Baseline",VLOOKUP('Input PD LGD'!$A27,'Model Output_TTC'!$A:$AU,'Input PD LGD'!AA$4,FALSE),IF('Ref-Data'!$Z$5="90th Percentile",VLOOKUP('Input PD LGD'!$A27,'Model Output_TTC'!$A:$BP,'Input PD LGD'!AA$6,FALSE),IF('Ref-Data'!$Z$5="96th Percentile",VLOOKUP('Input PD LGD'!$A27,'Model Output_TTC'!$A:$Z,'Input PD LGD'!AA$8,FALSE),"")))))</f>
        <v>2.1899999999999999E-2</v>
      </c>
      <c r="H27" s="276">
        <f>IF('Ref-Data'!$Z$2="ON",VLOOKUP($A27,'MacroPD-Cal'!$A:$L,AB$1,FALSE),IF('Ref-Data'!$Z$5 = "Weighted",VLOOKUP($A27,'Model Output_TTC'!$A:$CB,AB$2,FALSE),IF('Ref-Data'!$Z$5="Baseline",VLOOKUP('Input PD LGD'!$A27,'Model Output_TTC'!$A:$AU,'Input PD LGD'!AB$4,FALSE),IF('Ref-Data'!$Z$5="90th Percentile",VLOOKUP('Input PD LGD'!$A27,'Model Output_TTC'!$A:$BP,'Input PD LGD'!AB$6,FALSE),IF('Ref-Data'!$Z$5="96th Percentile",VLOOKUP('Input PD LGD'!$A27,'Model Output_TTC'!$A:$Z,'Input PD LGD'!AB$8,FALSE),"")))))</f>
        <v>3.1800000000000002E-2</v>
      </c>
      <c r="I27" s="276">
        <f>IF('Ref-Data'!$Z$2="ON",VLOOKUP($A27,'MacroPD-Cal'!$A:$L,AC$1,FALSE),IF('Ref-Data'!$Z$5 = "Weighted",VLOOKUP($A27,'Model Output_TTC'!$A:$CB,AC$2,FALSE),IF('Ref-Data'!$Z$5="Baseline",VLOOKUP('Input PD LGD'!$A27,'Model Output_TTC'!$A:$AU,'Input PD LGD'!AC$4,FALSE),IF('Ref-Data'!$Z$5="90th Percentile",VLOOKUP('Input PD LGD'!$A27,'Model Output_TTC'!$A:$BP,'Input PD LGD'!AC$6,FALSE),IF('Ref-Data'!$Z$5="96th Percentile",VLOOKUP('Input PD LGD'!$A27,'Model Output_TTC'!$A:$Z,'Input PD LGD'!AC$8,FALSE),"")))))</f>
        <v>3.7200000000000004E-2</v>
      </c>
      <c r="J27" s="276">
        <f>IF('Ref-Data'!$Z$2="ON",VLOOKUP($A27,'MacroPD-Cal'!$A:$L,AD$1,FALSE),IF('Ref-Data'!$Z$5 = "Weighted",VLOOKUP($A27,'Model Output_TTC'!$A:$CB,AD$2,FALSE),IF('Ref-Data'!$Z$5="Baseline",VLOOKUP('Input PD LGD'!$A27,'Model Output_TTC'!$A:$AU,'Input PD LGD'!AD$4,FALSE),IF('Ref-Data'!$Z$5="90th Percentile",VLOOKUP('Input PD LGD'!$A27,'Model Output_TTC'!$A:$BP,'Input PD LGD'!AD$6,FALSE),IF('Ref-Data'!$Z$5="96th Percentile",VLOOKUP('Input PD LGD'!$A27,'Model Output_TTC'!$A:$Z,'Input PD LGD'!AD$8,FALSE),"")))))</f>
        <v>4.8899999999999999E-2</v>
      </c>
      <c r="K27" s="276">
        <f>IF('Ref-Data'!$Z$2="ON",VLOOKUP($A27,'MacroPD-Cal'!$A:$L,AE$1,FALSE),IF('Ref-Data'!$Z$5 = "Weighted",VLOOKUP($A27,'Model Output_TTC'!$A:$CB,AE$2,FALSE),IF('Ref-Data'!$Z$5="Baseline",VLOOKUP('Input PD LGD'!$A27,'Model Output_TTC'!$A:$AU,'Input PD LGD'!AE$4,FALSE),IF('Ref-Data'!$Z$5="90th Percentile",VLOOKUP('Input PD LGD'!$A27,'Model Output_TTC'!$A:$BP,'Input PD LGD'!AE$6,FALSE),IF('Ref-Data'!$Z$5="96th Percentile",VLOOKUP('Input PD LGD'!$A27,'Model Output_TTC'!$A:$Z,'Input PD LGD'!AE$8,FALSE),"")))))</f>
        <v>6.0299999999999999E-2</v>
      </c>
      <c r="L27" s="274">
        <f>VLOOKUP(A27,'Ref-Data'!$A:$N,14,0)</f>
        <v>0.1</v>
      </c>
      <c r="M27" s="354">
        <f>VLOOKUP(A27,'Ref-Data'!A:I,9,0)</f>
        <v>1</v>
      </c>
      <c r="N27" s="354" t="s">
        <v>1156</v>
      </c>
      <c r="T27" s="346"/>
    </row>
    <row r="28" spans="1:20" x14ac:dyDescent="0.25">
      <c r="A28" s="277">
        <v>1100000004</v>
      </c>
      <c r="B28" s="277" t="str">
        <f>INDEX('Loan Book Summary'!B:C,MATCH('Input PD LGD'!A28,'Loan Book Summary'!C:C,0),1)</f>
        <v>FORE Advisors LLP - Basil James Demeroutis - Business Trading</v>
      </c>
      <c r="C28" s="400">
        <f>VLOOKUP(A28,Reference_Rate_Repricing_Report!B:P,15,FALSE)</f>
        <v>7.23</v>
      </c>
      <c r="D28" s="276">
        <f>IF('Ref-Data'!$Z$2="ON",VLOOKUP($A28,'MacroPD-Cal'!$A:$L,X$1,FALSE),IF('Ref-Data'!$Z$5 = "Weighted",VLOOKUP($A28,'Model Output_TTC'!$A:$CB,X$2,FALSE),IF('Ref-Data'!$Z$5="Baseline",VLOOKUP('Input PD LGD'!$A28,'Model Output_TTC'!$A:$AU,'Input PD LGD'!X$4,FALSE),IF('Ref-Data'!$Z$5="90th Percentile",VLOOKUP('Input PD LGD'!$A28,'Model Output_TTC'!$A:$BP,'Input PD LGD'!X$6,FALSE),IF('Ref-Data'!$Z$5="96th Percentile",VLOOKUP('Input PD LGD'!$A28,'Model Output_TTC'!$A:$Z,'Input PD LGD'!X$8,FALSE),"")))))</f>
        <v>4.2347194781534484E-4</v>
      </c>
      <c r="E28" s="276">
        <f>IF('Ref-Data'!$Z$2="ON",VLOOKUP($A28,'MacroPD-Cal'!$A:$L,Y$1,FALSE),IF('Ref-Data'!$Z$5 = "Weighted",VLOOKUP($A28,'Model Output_TTC'!$A:$CB,Y$2,FALSE),IF('Ref-Data'!$Z$5="Baseline",VLOOKUP('Input PD LGD'!$A28,'Model Output_TTC'!$A:$AU,'Input PD LGD'!Y$4,FALSE),IF('Ref-Data'!$Z$5="90th Percentile",VLOOKUP('Input PD LGD'!$A28,'Model Output_TTC'!$A:$BP,'Input PD LGD'!Y$6,FALSE),IF('Ref-Data'!$Z$5="96th Percentile",VLOOKUP('Input PD LGD'!$A28,'Model Output_TTC'!$A:$Z,'Input PD LGD'!Y$8,FALSE),"")))))</f>
        <v>1.0147225220171752E-3</v>
      </c>
      <c r="F28" s="276">
        <f>IF('Ref-Data'!$Z$2="ON",VLOOKUP($A28,'MacroPD-Cal'!$A:$L,Z$1,FALSE),IF('Ref-Data'!$Z$5 = "Weighted",VLOOKUP($A28,'Model Output_TTC'!$A:$CB,Z$2,FALSE),IF('Ref-Data'!$Z$5="Baseline",VLOOKUP('Input PD LGD'!$A28,'Model Output_TTC'!$A:$AU,'Input PD LGD'!Z$4,FALSE),IF('Ref-Data'!$Z$5="90th Percentile",VLOOKUP('Input PD LGD'!$A28,'Model Output_TTC'!$A:$BP,'Input PD LGD'!Z$6,FALSE),IF('Ref-Data'!$Z$5="96th Percentile",VLOOKUP('Input PD LGD'!$A28,'Model Output_TTC'!$A:$Z,'Input PD LGD'!Z$8,FALSE),"")))))</f>
        <v>1.7052431932231826E-3</v>
      </c>
      <c r="G28" s="276">
        <f>IF('Ref-Data'!$Z$2="ON",VLOOKUP($A28,'MacroPD-Cal'!$A:$L,AA$1,FALSE),IF('Ref-Data'!$Z$5 = "Weighted",VLOOKUP($A28,'Model Output_TTC'!$A:$CB,AA$2,FALSE),IF('Ref-Data'!$Z$5="Baseline",VLOOKUP('Input PD LGD'!$A28,'Model Output_TTC'!$A:$AU,'Input PD LGD'!AA$4,FALSE),IF('Ref-Data'!$Z$5="90th Percentile",VLOOKUP('Input PD LGD'!$A28,'Model Output_TTC'!$A:$BP,'Input PD LGD'!AA$6,FALSE),IF('Ref-Data'!$Z$5="96th Percentile",VLOOKUP('Input PD LGD'!$A28,'Model Output_TTC'!$A:$Z,'Input PD LGD'!AA$8,FALSE),"")))))</f>
        <v>2.6000000000000003E-3</v>
      </c>
      <c r="H28" s="276">
        <f>IF('Ref-Data'!$Z$2="ON",VLOOKUP($A28,'MacroPD-Cal'!$A:$L,AB$1,FALSE),IF('Ref-Data'!$Z$5 = "Weighted",VLOOKUP($A28,'Model Output_TTC'!$A:$CB,AB$2,FALSE),IF('Ref-Data'!$Z$5="Baseline",VLOOKUP('Input PD LGD'!$A28,'Model Output_TTC'!$A:$AU,'Input PD LGD'!AB$4,FALSE),IF('Ref-Data'!$Z$5="90th Percentile",VLOOKUP('Input PD LGD'!$A28,'Model Output_TTC'!$A:$BP,'Input PD LGD'!AB$6,FALSE),IF('Ref-Data'!$Z$5="96th Percentile",VLOOKUP('Input PD LGD'!$A28,'Model Output_TTC'!$A:$Z,'Input PD LGD'!AB$8,FALSE),"")))))</f>
        <v>4.1000000000000003E-3</v>
      </c>
      <c r="I28" s="276">
        <f>IF('Ref-Data'!$Z$2="ON",VLOOKUP($A28,'MacroPD-Cal'!$A:$L,AC$1,FALSE),IF('Ref-Data'!$Z$5 = "Weighted",VLOOKUP($A28,'Model Output_TTC'!$A:$CB,AC$2,FALSE),IF('Ref-Data'!$Z$5="Baseline",VLOOKUP('Input PD LGD'!$A28,'Model Output_TTC'!$A:$AU,'Input PD LGD'!AC$4,FALSE),IF('Ref-Data'!$Z$5="90th Percentile",VLOOKUP('Input PD LGD'!$A28,'Model Output_TTC'!$A:$BP,'Input PD LGD'!AC$6,FALSE),IF('Ref-Data'!$Z$5="96th Percentile",VLOOKUP('Input PD LGD'!$A28,'Model Output_TTC'!$A:$Z,'Input PD LGD'!AC$8,FALSE),"")))))</f>
        <v>5.1000000000000004E-3</v>
      </c>
      <c r="J28" s="276">
        <f>IF('Ref-Data'!$Z$2="ON",VLOOKUP($A28,'MacroPD-Cal'!$A:$L,AD$1,FALSE),IF('Ref-Data'!$Z$5 = "Weighted",VLOOKUP($A28,'Model Output_TTC'!$A:$CB,AD$2,FALSE),IF('Ref-Data'!$Z$5="Baseline",VLOOKUP('Input PD LGD'!$A28,'Model Output_TTC'!$A:$AU,'Input PD LGD'!AD$4,FALSE),IF('Ref-Data'!$Z$5="90th Percentile",VLOOKUP('Input PD LGD'!$A28,'Model Output_TTC'!$A:$BP,'Input PD LGD'!AD$6,FALSE),IF('Ref-Data'!$Z$5="96th Percentile",VLOOKUP('Input PD LGD'!$A28,'Model Output_TTC'!$A:$Z,'Input PD LGD'!AD$8,FALSE),"")))))</f>
        <v>8.0999999999999996E-3</v>
      </c>
      <c r="K28" s="276">
        <f>IF('Ref-Data'!$Z$2="ON",VLOOKUP($A28,'MacroPD-Cal'!$A:$L,AE$1,FALSE),IF('Ref-Data'!$Z$5 = "Weighted",VLOOKUP($A28,'Model Output_TTC'!$A:$CB,AE$2,FALSE),IF('Ref-Data'!$Z$5="Baseline",VLOOKUP('Input PD LGD'!$A28,'Model Output_TTC'!$A:$AU,'Input PD LGD'!AE$4,FALSE),IF('Ref-Data'!$Z$5="90th Percentile",VLOOKUP('Input PD LGD'!$A28,'Model Output_TTC'!$A:$BP,'Input PD LGD'!AE$6,FALSE),IF('Ref-Data'!$Z$5="96th Percentile",VLOOKUP('Input PD LGD'!$A28,'Model Output_TTC'!$A:$Z,'Input PD LGD'!AE$8,FALSE),"")))))</f>
        <v>1.15E-2</v>
      </c>
      <c r="L28" s="274">
        <f>VLOOKUP(A28,'Ref-Data'!$A:$N,14,0)</f>
        <v>0.40369925783208194</v>
      </c>
      <c r="M28" s="354">
        <f>VLOOKUP(A28,'Ref-Data'!A:I,9,0)</f>
        <v>1</v>
      </c>
      <c r="N28" s="354" t="s">
        <v>1156</v>
      </c>
      <c r="T28" s="346"/>
    </row>
    <row r="29" spans="1:20" x14ac:dyDescent="0.25">
      <c r="A29" s="277">
        <v>1100000005</v>
      </c>
      <c r="B29" s="277" t="str">
        <f>INDEX('Loan Book Summary'!B:C,MATCH('Input PD LGD'!A29,'Loan Book Summary'!C:C,0),1)</f>
        <v>Khalida Khalid / The Jade Hotel - Business Trading Facility</v>
      </c>
      <c r="C29" s="400">
        <f>VLOOKUP(A29,Reference_Rate_Repricing_Report!B:P,15,FALSE)</f>
        <v>5.8</v>
      </c>
      <c r="D29" s="276">
        <f>IF('Ref-Data'!$Z$2="ON",VLOOKUP($A29,'MacroPD-Cal'!$A:$L,X$1,FALSE),IF('Ref-Data'!$Z$5 = "Weighted",VLOOKUP($A29,'Model Output_TTC'!$A:$CB,X$2,FALSE),IF('Ref-Data'!$Z$5="Baseline",VLOOKUP('Input PD LGD'!$A29,'Model Output_TTC'!$A:$AU,'Input PD LGD'!X$4,FALSE),IF('Ref-Data'!$Z$5="90th Percentile",VLOOKUP('Input PD LGD'!$A29,'Model Output_TTC'!$A:$BP,'Input PD LGD'!X$6,FALSE),IF('Ref-Data'!$Z$5="96th Percentile",VLOOKUP('Input PD LGD'!$A29,'Model Output_TTC'!$A:$Z,'Input PD LGD'!X$8,FALSE),"")))))</f>
        <v>1.5668594320357343E-3</v>
      </c>
      <c r="E29" s="276">
        <f>IF('Ref-Data'!$Z$2="ON",VLOOKUP($A29,'MacroPD-Cal'!$A:$L,Y$1,FALSE),IF('Ref-Data'!$Z$5 = "Weighted",VLOOKUP($A29,'Model Output_TTC'!$A:$CB,Y$2,FALSE),IF('Ref-Data'!$Z$5="Baseline",VLOOKUP('Input PD LGD'!$A29,'Model Output_TTC'!$A:$AU,'Input PD LGD'!Y$4,FALSE),IF('Ref-Data'!$Z$5="90th Percentile",VLOOKUP('Input PD LGD'!$A29,'Model Output_TTC'!$A:$BP,'Input PD LGD'!Y$6,FALSE),IF('Ref-Data'!$Z$5="96th Percentile",VLOOKUP('Input PD LGD'!$A29,'Model Output_TTC'!$A:$Z,'Input PD LGD'!Y$8,FALSE),"")))))</f>
        <v>3.6799099708146876E-3</v>
      </c>
      <c r="F29" s="276">
        <f>IF('Ref-Data'!$Z$2="ON",VLOOKUP($A29,'MacroPD-Cal'!$A:$L,Z$1,FALSE),IF('Ref-Data'!$Z$5 = "Weighted",VLOOKUP($A29,'Model Output_TTC'!$A:$CB,Z$2,FALSE),IF('Ref-Data'!$Z$5="Baseline",VLOOKUP('Input PD LGD'!$A29,'Model Output_TTC'!$A:$AU,'Input PD LGD'!Z$4,FALSE),IF('Ref-Data'!$Z$5="90th Percentile",VLOOKUP('Input PD LGD'!$A29,'Model Output_TTC'!$A:$BP,'Input PD LGD'!Z$6,FALSE),IF('Ref-Data'!$Z$5="96th Percentile",VLOOKUP('Input PD LGD'!$A29,'Model Output_TTC'!$A:$Z,'Input PD LGD'!Z$8,FALSE),"")))))</f>
        <v>6.1051135059940753E-3</v>
      </c>
      <c r="G29" s="276">
        <f>IF('Ref-Data'!$Z$2="ON",VLOOKUP($A29,'MacroPD-Cal'!$A:$L,AA$1,FALSE),IF('Ref-Data'!$Z$5 = "Weighted",VLOOKUP($A29,'Model Output_TTC'!$A:$CB,AA$2,FALSE),IF('Ref-Data'!$Z$5="Baseline",VLOOKUP('Input PD LGD'!$A29,'Model Output_TTC'!$A:$AU,'Input PD LGD'!AA$4,FALSE),IF('Ref-Data'!$Z$5="90th Percentile",VLOOKUP('Input PD LGD'!$A29,'Model Output_TTC'!$A:$BP,'Input PD LGD'!AA$6,FALSE),IF('Ref-Data'!$Z$5="96th Percentile",VLOOKUP('Input PD LGD'!$A29,'Model Output_TTC'!$A:$Z,'Input PD LGD'!AA$8,FALSE),"")))))</f>
        <v>9.300000000000001E-3</v>
      </c>
      <c r="H29" s="276">
        <f>IF('Ref-Data'!$Z$2="ON",VLOOKUP($A29,'MacroPD-Cal'!$A:$L,AB$1,FALSE),IF('Ref-Data'!$Z$5 = "Weighted",VLOOKUP($A29,'Model Output_TTC'!$A:$CB,AB$2,FALSE),IF('Ref-Data'!$Z$5="Baseline",VLOOKUP('Input PD LGD'!$A29,'Model Output_TTC'!$A:$AU,'Input PD LGD'!AB$4,FALSE),IF('Ref-Data'!$Z$5="90th Percentile",VLOOKUP('Input PD LGD'!$A29,'Model Output_TTC'!$A:$BP,'Input PD LGD'!AB$6,FALSE),IF('Ref-Data'!$Z$5="96th Percentile",VLOOKUP('Input PD LGD'!$A29,'Model Output_TTC'!$A:$Z,'Input PD LGD'!AB$8,FALSE),"")))))</f>
        <v>1.4200000000000001E-2</v>
      </c>
      <c r="I29" s="276">
        <f>IF('Ref-Data'!$Z$2="ON",VLOOKUP($A29,'MacroPD-Cal'!$A:$L,AC$1,FALSE),IF('Ref-Data'!$Z$5 = "Weighted",VLOOKUP($A29,'Model Output_TTC'!$A:$CB,AC$2,FALSE),IF('Ref-Data'!$Z$5="Baseline",VLOOKUP('Input PD LGD'!$A29,'Model Output_TTC'!$A:$AU,'Input PD LGD'!AC$4,FALSE),IF('Ref-Data'!$Z$5="90th Percentile",VLOOKUP('Input PD LGD'!$A29,'Model Output_TTC'!$A:$BP,'Input PD LGD'!AC$6,FALSE),IF('Ref-Data'!$Z$5="96th Percentile",VLOOKUP('Input PD LGD'!$A29,'Model Output_TTC'!$A:$Z,'Input PD LGD'!AC$8,FALSE),"")))))</f>
        <v>1.7000000000000001E-2</v>
      </c>
      <c r="J29" s="276">
        <f>IF('Ref-Data'!$Z$2="ON",VLOOKUP($A29,'MacroPD-Cal'!$A:$L,AD$1,FALSE),IF('Ref-Data'!$Z$5 = "Weighted",VLOOKUP($A29,'Model Output_TTC'!$A:$CB,AD$2,FALSE),IF('Ref-Data'!$Z$5="Baseline",VLOOKUP('Input PD LGD'!$A29,'Model Output_TTC'!$A:$AU,'Input PD LGD'!AD$4,FALSE),IF('Ref-Data'!$Z$5="90th Percentile",VLOOKUP('Input PD LGD'!$A29,'Model Output_TTC'!$A:$BP,'Input PD LGD'!AD$6,FALSE),IF('Ref-Data'!$Z$5="96th Percentile",VLOOKUP('Input PD LGD'!$A29,'Model Output_TTC'!$A:$Z,'Input PD LGD'!AD$8,FALSE),"")))))</f>
        <v>2.4300000000000002E-2</v>
      </c>
      <c r="K29" s="276">
        <f>IF('Ref-Data'!$Z$2="ON",VLOOKUP($A29,'MacroPD-Cal'!$A:$L,AE$1,FALSE),IF('Ref-Data'!$Z$5 = "Weighted",VLOOKUP($A29,'Model Output_TTC'!$A:$CB,AE$2,FALSE),IF('Ref-Data'!$Z$5="Baseline",VLOOKUP('Input PD LGD'!$A29,'Model Output_TTC'!$A:$AU,'Input PD LGD'!AE$4,FALSE),IF('Ref-Data'!$Z$5="90th Percentile",VLOOKUP('Input PD LGD'!$A29,'Model Output_TTC'!$A:$BP,'Input PD LGD'!AE$6,FALSE),IF('Ref-Data'!$Z$5="96th Percentile",VLOOKUP('Input PD LGD'!$A29,'Model Output_TTC'!$A:$Z,'Input PD LGD'!AE$8,FALSE),"")))))</f>
        <v>3.1900000000000005E-2</v>
      </c>
      <c r="L29" s="274">
        <f>VLOOKUP(A29,'Ref-Data'!$A:$N,14,0)</f>
        <v>0.1</v>
      </c>
      <c r="M29" s="354">
        <f>VLOOKUP(A29,'Ref-Data'!A:I,9,0)</f>
        <v>1</v>
      </c>
      <c r="N29" s="354" t="s">
        <v>1156</v>
      </c>
      <c r="T29" s="346"/>
    </row>
    <row r="30" spans="1:20" x14ac:dyDescent="0.25">
      <c r="A30" s="277">
        <v>1200000152</v>
      </c>
      <c r="B30" s="277" t="str">
        <f>INDEX('Loan Book Summary'!B:C,MATCH('Input PD LGD'!A30,'Loan Book Summary'!C:C,0),1)</f>
        <v>Inn Collection Bidco - Business Trading - Facility F - CBILS</v>
      </c>
      <c r="C30" s="400">
        <f>VLOOKUP(A30,Reference_Rate_Repricing_Report!B:P,15,FALSE)</f>
        <v>7.59</v>
      </c>
      <c r="D30" s="276">
        <f>IF('Ref-Data'!$Z$2="ON",VLOOKUP($A30,'MacroPD-Cal'!$A:$L,X$1,FALSE),IF('Ref-Data'!$Z$5 = "Weighted",VLOOKUP($A30,'Model Output_TTC'!$A:$CB,X$2,FALSE),IF('Ref-Data'!$Z$5="Baseline",VLOOKUP('Input PD LGD'!$A30,'Model Output_TTC'!$A:$AU,'Input PD LGD'!X$4,FALSE),IF('Ref-Data'!$Z$5="90th Percentile",VLOOKUP('Input PD LGD'!$A30,'Model Output_TTC'!$A:$BP,'Input PD LGD'!X$6,FALSE),IF('Ref-Data'!$Z$5="96th Percentile",VLOOKUP('Input PD LGD'!$A30,'Model Output_TTC'!$A:$Z,'Input PD LGD'!X$8,FALSE),"")))))</f>
        <v>4.0228091930422216E-3</v>
      </c>
      <c r="E30" s="276">
        <f>IF('Ref-Data'!$Z$2="ON",VLOOKUP($A30,'MacroPD-Cal'!$A:$L,Y$1,FALSE),IF('Ref-Data'!$Z$5 = "Weighted",VLOOKUP($A30,'Model Output_TTC'!$A:$CB,Y$2,FALSE),IF('Ref-Data'!$Z$5="Baseline",VLOOKUP('Input PD LGD'!$A30,'Model Output_TTC'!$A:$AU,'Input PD LGD'!Y$4,FALSE),IF('Ref-Data'!$Z$5="90th Percentile",VLOOKUP('Input PD LGD'!$A30,'Model Output_TTC'!$A:$BP,'Input PD LGD'!Y$6,FALSE),IF('Ref-Data'!$Z$5="96th Percentile",VLOOKUP('Input PD LGD'!$A30,'Model Output_TTC'!$A:$Z,'Input PD LGD'!Y$8,FALSE),"")))))</f>
        <v>9.2938867723136864E-3</v>
      </c>
      <c r="F30" s="276">
        <f>IF('Ref-Data'!$Z$2="ON",VLOOKUP($A30,'MacroPD-Cal'!$A:$L,Z$1,FALSE),IF('Ref-Data'!$Z$5 = "Weighted",VLOOKUP($A30,'Model Output_TTC'!$A:$CB,Z$2,FALSE),IF('Ref-Data'!$Z$5="Baseline",VLOOKUP('Input PD LGD'!$A30,'Model Output_TTC'!$A:$AU,'Input PD LGD'!Z$4,FALSE),IF('Ref-Data'!$Z$5="90th Percentile",VLOOKUP('Input PD LGD'!$A30,'Model Output_TTC'!$A:$BP,'Input PD LGD'!Z$6,FALSE),IF('Ref-Data'!$Z$5="96th Percentile",VLOOKUP('Input PD LGD'!$A30,'Model Output_TTC'!$A:$Z,'Input PD LGD'!Z$8,FALSE),"")))))</f>
        <v>1.5249624684039231E-2</v>
      </c>
      <c r="G30" s="276">
        <f>IF('Ref-Data'!$Z$2="ON",VLOOKUP($A30,'MacroPD-Cal'!$A:$L,AA$1,FALSE),IF('Ref-Data'!$Z$5 = "Weighted",VLOOKUP($A30,'Model Output_TTC'!$A:$CB,AA$2,FALSE),IF('Ref-Data'!$Z$5="Baseline",VLOOKUP('Input PD LGD'!$A30,'Model Output_TTC'!$A:$AU,'Input PD LGD'!AA$4,FALSE),IF('Ref-Data'!$Z$5="90th Percentile",VLOOKUP('Input PD LGD'!$A30,'Model Output_TTC'!$A:$BP,'Input PD LGD'!AA$6,FALSE),IF('Ref-Data'!$Z$5="96th Percentile",VLOOKUP('Input PD LGD'!$A30,'Model Output_TTC'!$A:$Z,'Input PD LGD'!AA$8,FALSE),"")))))</f>
        <v>2.29E-2</v>
      </c>
      <c r="H30" s="276">
        <f>IF('Ref-Data'!$Z$2="ON",VLOOKUP($A30,'MacroPD-Cal'!$A:$L,AB$1,FALSE),IF('Ref-Data'!$Z$5 = "Weighted",VLOOKUP($A30,'Model Output_TTC'!$A:$CB,AB$2,FALSE),IF('Ref-Data'!$Z$5="Baseline",VLOOKUP('Input PD LGD'!$A30,'Model Output_TTC'!$A:$AU,'Input PD LGD'!AB$4,FALSE),IF('Ref-Data'!$Z$5="90th Percentile",VLOOKUP('Input PD LGD'!$A30,'Model Output_TTC'!$A:$BP,'Input PD LGD'!AB$6,FALSE),IF('Ref-Data'!$Z$5="96th Percentile",VLOOKUP('Input PD LGD'!$A30,'Model Output_TTC'!$A:$Z,'Input PD LGD'!AB$8,FALSE),"")))))</f>
        <v>3.2899999999999999E-2</v>
      </c>
      <c r="I30" s="276">
        <f>IF('Ref-Data'!$Z$2="ON",VLOOKUP($A30,'MacroPD-Cal'!$A:$L,AC$1,FALSE),IF('Ref-Data'!$Z$5 = "Weighted",VLOOKUP($A30,'Model Output_TTC'!$A:$CB,AC$2,FALSE),IF('Ref-Data'!$Z$5="Baseline",VLOOKUP('Input PD LGD'!$A30,'Model Output_TTC'!$A:$AU,'Input PD LGD'!AC$4,FALSE),IF('Ref-Data'!$Z$5="90th Percentile",VLOOKUP('Input PD LGD'!$A30,'Model Output_TTC'!$A:$BP,'Input PD LGD'!AC$6,FALSE),IF('Ref-Data'!$Z$5="96th Percentile",VLOOKUP('Input PD LGD'!$A30,'Model Output_TTC'!$A:$Z,'Input PD LGD'!AC$8,FALSE),"")))))</f>
        <v>3.8300000000000001E-2</v>
      </c>
      <c r="J30" s="276">
        <f>IF('Ref-Data'!$Z$2="ON",VLOOKUP($A30,'MacroPD-Cal'!$A:$L,AD$1,FALSE),IF('Ref-Data'!$Z$5 = "Weighted",VLOOKUP($A30,'Model Output_TTC'!$A:$CB,AD$2,FALSE),IF('Ref-Data'!$Z$5="Baseline",VLOOKUP('Input PD LGD'!$A30,'Model Output_TTC'!$A:$AU,'Input PD LGD'!AD$4,FALSE),IF('Ref-Data'!$Z$5="90th Percentile",VLOOKUP('Input PD LGD'!$A30,'Model Output_TTC'!$A:$BP,'Input PD LGD'!AD$6,FALSE),IF('Ref-Data'!$Z$5="96th Percentile",VLOOKUP('Input PD LGD'!$A30,'Model Output_TTC'!$A:$Z,'Input PD LGD'!AD$8,FALSE),"")))))</f>
        <v>4.9700000000000001E-2</v>
      </c>
      <c r="K30" s="276">
        <f>IF('Ref-Data'!$Z$2="ON",VLOOKUP($A30,'MacroPD-Cal'!$A:$L,AE$1,FALSE),IF('Ref-Data'!$Z$5 = "Weighted",VLOOKUP($A30,'Model Output_TTC'!$A:$CB,AE$2,FALSE),IF('Ref-Data'!$Z$5="Baseline",VLOOKUP('Input PD LGD'!$A30,'Model Output_TTC'!$A:$AU,'Input PD LGD'!AE$4,FALSE),IF('Ref-Data'!$Z$5="90th Percentile",VLOOKUP('Input PD LGD'!$A30,'Model Output_TTC'!$A:$BP,'Input PD LGD'!AE$6,FALSE),IF('Ref-Data'!$Z$5="96th Percentile",VLOOKUP('Input PD LGD'!$A30,'Model Output_TTC'!$A:$Z,'Input PD LGD'!AE$8,FALSE),"")))))</f>
        <v>6.08E-2</v>
      </c>
      <c r="L30" s="274">
        <f>VLOOKUP(A30,'Ref-Data'!$A:$N,14,0)</f>
        <v>0.1</v>
      </c>
      <c r="M30" s="354">
        <f>VLOOKUP(A30,'Ref-Data'!A:I,9,0)</f>
        <v>1</v>
      </c>
      <c r="N30" s="354" t="s">
        <v>1156</v>
      </c>
      <c r="T30" s="346"/>
    </row>
    <row r="31" spans="1:20" x14ac:dyDescent="0.25">
      <c r="A31" s="277">
        <v>1200000128</v>
      </c>
      <c r="B31" s="277" t="str">
        <f>INDEX('Loan Book Summary'!B:C,MATCH('Input PD LGD'!A31,'Loan Book Summary'!C:C,0),1)</f>
        <v>The Adventure Bar - +Venture Battersea - Business Trading - CBILS A – Refi</v>
      </c>
      <c r="C31" s="400">
        <f>VLOOKUP(A31,Reference_Rate_Repricing_Report!B:P,15,FALSE)</f>
        <v>2.99</v>
      </c>
      <c r="D31" s="274">
        <f>IF('Ref-Data'!$Z$2="ON",VLOOKUP($A31,'MacroPD-Cal'!$A:$L,X$1,FALSE),IF('Ref-Data'!$Z$5 = "Weighted",VLOOKUP($A31,'Model Output_TTC'!$A:$CB,X$2,FALSE),IF('Ref-Data'!$Z$5="Baseline",VLOOKUP('Input PD LGD'!$A31,'Model Output_TTC'!$A:$AU,'Input PD LGD'!X$4,FALSE),IF('Ref-Data'!$Z$5="90th Percentile",VLOOKUP('Input PD LGD'!$A31,'Model Output_TTC'!$A:$BP,'Input PD LGD'!X$6,FALSE),IF('Ref-Data'!$Z$5="96th Percentile",VLOOKUP('Input PD LGD'!$A31,'Model Output_TTC'!$A:$Z,'Input PD LGD'!X$8,FALSE),"")))))</f>
        <v>1.6716101123373638E-3</v>
      </c>
      <c r="E31" s="274">
        <f>IF('Ref-Data'!$Z$2="ON",VLOOKUP($A31,'MacroPD-Cal'!$A:$L,Y$1,FALSE),IF('Ref-Data'!$Z$5 = "Weighted",VLOOKUP($A31,'Model Output_TTC'!$A:$CB,Y$2,FALSE),IF('Ref-Data'!$Z$5="Baseline",VLOOKUP('Input PD LGD'!$A31,'Model Output_TTC'!$A:$AU,'Input PD LGD'!Y$4,FALSE),IF('Ref-Data'!$Z$5="90th Percentile",VLOOKUP('Input PD LGD'!$A31,'Model Output_TTC'!$A:$BP,'Input PD LGD'!Y$6,FALSE),IF('Ref-Data'!$Z$5="96th Percentile",VLOOKUP('Input PD LGD'!$A31,'Model Output_TTC'!$A:$Z,'Input PD LGD'!Y$8,FALSE),"")))))</f>
        <v>3.9217621703806493E-3</v>
      </c>
      <c r="F31" s="274">
        <f>IF('Ref-Data'!$Z$2="ON",VLOOKUP($A31,'MacroPD-Cal'!$A:$L,Z$1,FALSE),IF('Ref-Data'!$Z$5 = "Weighted",VLOOKUP($A31,'Model Output_TTC'!$A:$CB,Z$2,FALSE),IF('Ref-Data'!$Z$5="Baseline",VLOOKUP('Input PD LGD'!$A31,'Model Output_TTC'!$A:$AU,'Input PD LGD'!Z$4,FALSE),IF('Ref-Data'!$Z$5="90th Percentile",VLOOKUP('Input PD LGD'!$A31,'Model Output_TTC'!$A:$BP,'Input PD LGD'!Z$6,FALSE),IF('Ref-Data'!$Z$5="96th Percentile",VLOOKUP('Input PD LGD'!$A31,'Model Output_TTC'!$A:$Z,'Input PD LGD'!Z$8,FALSE),"")))))</f>
        <v>6.5018324531470606E-3</v>
      </c>
      <c r="G31" s="274">
        <f>IF('Ref-Data'!$Z$2="ON",VLOOKUP($A31,'MacroPD-Cal'!$A:$L,AA$1,FALSE),IF('Ref-Data'!$Z$5 = "Weighted",VLOOKUP($A31,'Model Output_TTC'!$A:$CB,AA$2,FALSE),IF('Ref-Data'!$Z$5="Baseline",VLOOKUP('Input PD LGD'!$A31,'Model Output_TTC'!$A:$AU,'Input PD LGD'!AA$4,FALSE),IF('Ref-Data'!$Z$5="90th Percentile",VLOOKUP('Input PD LGD'!$A31,'Model Output_TTC'!$A:$BP,'Input PD LGD'!AA$6,FALSE),IF('Ref-Data'!$Z$5="96th Percentile",VLOOKUP('Input PD LGD'!$A31,'Model Output_TTC'!$A:$Z,'Input PD LGD'!AA$8,FALSE),"")))))</f>
        <v>9.9000000000000008E-3</v>
      </c>
      <c r="H31" s="274">
        <f>IF('Ref-Data'!$Z$2="ON",VLOOKUP($A31,'MacroPD-Cal'!$A:$L,AB$1,FALSE),IF('Ref-Data'!$Z$5 = "Weighted",VLOOKUP($A31,'Model Output_TTC'!$A:$CB,AB$2,FALSE),IF('Ref-Data'!$Z$5="Baseline",VLOOKUP('Input PD LGD'!$A31,'Model Output_TTC'!$A:$AU,'Input PD LGD'!AB$4,FALSE),IF('Ref-Data'!$Z$5="90th Percentile",VLOOKUP('Input PD LGD'!$A31,'Model Output_TTC'!$A:$BP,'Input PD LGD'!AB$6,FALSE),IF('Ref-Data'!$Z$5="96th Percentile",VLOOKUP('Input PD LGD'!$A31,'Model Output_TTC'!$A:$Z,'Input PD LGD'!AB$8,FALSE),"")))))</f>
        <v>1.52E-2</v>
      </c>
      <c r="I31" s="274">
        <f>IF('Ref-Data'!$Z$2="ON",VLOOKUP($A31,'MacroPD-Cal'!$A:$L,AC$1,FALSE),IF('Ref-Data'!$Z$5 = "Weighted",VLOOKUP($A31,'Model Output_TTC'!$A:$CB,AC$2,FALSE),IF('Ref-Data'!$Z$5="Baseline",VLOOKUP('Input PD LGD'!$A31,'Model Output_TTC'!$A:$AU,'Input PD LGD'!AC$4,FALSE),IF('Ref-Data'!$Z$5="90th Percentile",VLOOKUP('Input PD LGD'!$A31,'Model Output_TTC'!$A:$BP,'Input PD LGD'!AC$6,FALSE),IF('Ref-Data'!$Z$5="96th Percentile",VLOOKUP('Input PD LGD'!$A31,'Model Output_TTC'!$A:$Z,'Input PD LGD'!AC$8,FALSE),"")))))</f>
        <v>1.8500000000000003E-2</v>
      </c>
      <c r="J31" s="274">
        <f>IF('Ref-Data'!$Z$2="ON",VLOOKUP($A31,'MacroPD-Cal'!$A:$L,AD$1,FALSE),IF('Ref-Data'!$Z$5 = "Weighted",VLOOKUP($A31,'Model Output_TTC'!$A:$CB,AD$2,FALSE),IF('Ref-Data'!$Z$5="Baseline",VLOOKUP('Input PD LGD'!$A31,'Model Output_TTC'!$A:$AU,'Input PD LGD'!AD$4,FALSE),IF('Ref-Data'!$Z$5="90th Percentile",VLOOKUP('Input PD LGD'!$A31,'Model Output_TTC'!$A:$BP,'Input PD LGD'!AD$6,FALSE),IF('Ref-Data'!$Z$5="96th Percentile",VLOOKUP('Input PD LGD'!$A31,'Model Output_TTC'!$A:$Z,'Input PD LGD'!AD$8,FALSE),"")))))</f>
        <v>2.6700000000000002E-2</v>
      </c>
      <c r="K31" s="274">
        <f>IF('Ref-Data'!$Z$2="ON",VLOOKUP($A31,'MacroPD-Cal'!$A:$L,AE$1,FALSE),IF('Ref-Data'!$Z$5 = "Weighted",VLOOKUP($A31,'Model Output_TTC'!$A:$CB,AE$2,FALSE),IF('Ref-Data'!$Z$5="Baseline",VLOOKUP('Input PD LGD'!$A31,'Model Output_TTC'!$A:$AU,'Input PD LGD'!AE$4,FALSE),IF('Ref-Data'!$Z$5="90th Percentile",VLOOKUP('Input PD LGD'!$A31,'Model Output_TTC'!$A:$BP,'Input PD LGD'!AE$6,FALSE),IF('Ref-Data'!$Z$5="96th Percentile",VLOOKUP('Input PD LGD'!$A31,'Model Output_TTC'!$A:$Z,'Input PD LGD'!AE$8,FALSE),"")))))</f>
        <v>3.5400000000000001E-2</v>
      </c>
      <c r="L31" s="274">
        <f>VLOOKUP(A31,'Ref-Data'!$A:$N,14,0)</f>
        <v>0.34429999999999999</v>
      </c>
      <c r="M31" s="354">
        <f>VLOOKUP(A31,'Ref-Data'!A:I,9,0)</f>
        <v>1</v>
      </c>
      <c r="N31" s="354" t="s">
        <v>1156</v>
      </c>
      <c r="T31" s="346"/>
    </row>
    <row r="32" spans="1:20" x14ac:dyDescent="0.25">
      <c r="A32" s="277">
        <v>1200000130</v>
      </c>
      <c r="B32" s="277" t="str">
        <f>INDEX('Loan Book Summary'!B:C,MATCH('Input PD LGD'!A32,'Loan Book Summary'!C:C,0),1)</f>
        <v>The Adventure Bar - +Venture Battersea - Business Trading - CBILS B - New</v>
      </c>
      <c r="C32" s="400">
        <f>VLOOKUP(A32,Reference_Rate_Repricing_Report!B:P,15,FALSE)</f>
        <v>3.38</v>
      </c>
      <c r="D32" s="276">
        <f>IF('Ref-Data'!$Z$2="ON",VLOOKUP($A32,'MacroPD-Cal'!$A:$L,X$1,FALSE),IF('Ref-Data'!$Z$5 = "Weighted",VLOOKUP($A32,'Model Output_TTC'!$A:$CB,X$2,FALSE),IF('Ref-Data'!$Z$5="Baseline",VLOOKUP('Input PD LGD'!$A32,'Model Output_TTC'!$A:$AU,'Input PD LGD'!X$4,FALSE),IF('Ref-Data'!$Z$5="90th Percentile",VLOOKUP('Input PD LGD'!$A32,'Model Output_TTC'!$A:$BP,'Input PD LGD'!X$6,FALSE),IF('Ref-Data'!$Z$5="96th Percentile",VLOOKUP('Input PD LGD'!$A32,'Model Output_TTC'!$A:$Z,'Input PD LGD'!X$8,FALSE),"")))))</f>
        <v>1.6716101123373638E-3</v>
      </c>
      <c r="E32" s="276">
        <f>IF('Ref-Data'!$Z$2="ON",VLOOKUP($A32,'MacroPD-Cal'!$A:$L,Y$1,FALSE),IF('Ref-Data'!$Z$5 = "Weighted",VLOOKUP($A32,'Model Output_TTC'!$A:$CB,Y$2,FALSE),IF('Ref-Data'!$Z$5="Baseline",VLOOKUP('Input PD LGD'!$A32,'Model Output_TTC'!$A:$AU,'Input PD LGD'!Y$4,FALSE),IF('Ref-Data'!$Z$5="90th Percentile",VLOOKUP('Input PD LGD'!$A32,'Model Output_TTC'!$A:$BP,'Input PD LGD'!Y$6,FALSE),IF('Ref-Data'!$Z$5="96th Percentile",VLOOKUP('Input PD LGD'!$A32,'Model Output_TTC'!$A:$Z,'Input PD LGD'!Y$8,FALSE),"")))))</f>
        <v>3.9217621703806493E-3</v>
      </c>
      <c r="F32" s="276">
        <f>IF('Ref-Data'!$Z$2="ON",VLOOKUP($A32,'MacroPD-Cal'!$A:$L,Z$1,FALSE),IF('Ref-Data'!$Z$5 = "Weighted",VLOOKUP($A32,'Model Output_TTC'!$A:$CB,Z$2,FALSE),IF('Ref-Data'!$Z$5="Baseline",VLOOKUP('Input PD LGD'!$A32,'Model Output_TTC'!$A:$AU,'Input PD LGD'!Z$4,FALSE),IF('Ref-Data'!$Z$5="90th Percentile",VLOOKUP('Input PD LGD'!$A32,'Model Output_TTC'!$A:$BP,'Input PD LGD'!Z$6,FALSE),IF('Ref-Data'!$Z$5="96th Percentile",VLOOKUP('Input PD LGD'!$A32,'Model Output_TTC'!$A:$Z,'Input PD LGD'!Z$8,FALSE),"")))))</f>
        <v>6.5018324531470606E-3</v>
      </c>
      <c r="G32" s="276">
        <f>IF('Ref-Data'!$Z$2="ON",VLOOKUP($A32,'MacroPD-Cal'!$A:$L,AA$1,FALSE),IF('Ref-Data'!$Z$5 = "Weighted",VLOOKUP($A32,'Model Output_TTC'!$A:$CB,AA$2,FALSE),IF('Ref-Data'!$Z$5="Baseline",VLOOKUP('Input PD LGD'!$A32,'Model Output_TTC'!$A:$AU,'Input PD LGD'!AA$4,FALSE),IF('Ref-Data'!$Z$5="90th Percentile",VLOOKUP('Input PD LGD'!$A32,'Model Output_TTC'!$A:$BP,'Input PD LGD'!AA$6,FALSE),IF('Ref-Data'!$Z$5="96th Percentile",VLOOKUP('Input PD LGD'!$A32,'Model Output_TTC'!$A:$Z,'Input PD LGD'!AA$8,FALSE),"")))))</f>
        <v>9.9000000000000008E-3</v>
      </c>
      <c r="H32" s="276">
        <f>IF('Ref-Data'!$Z$2="ON",VLOOKUP($A32,'MacroPD-Cal'!$A:$L,AB$1,FALSE),IF('Ref-Data'!$Z$5 = "Weighted",VLOOKUP($A32,'Model Output_TTC'!$A:$CB,AB$2,FALSE),IF('Ref-Data'!$Z$5="Baseline",VLOOKUP('Input PD LGD'!$A32,'Model Output_TTC'!$A:$AU,'Input PD LGD'!AB$4,FALSE),IF('Ref-Data'!$Z$5="90th Percentile",VLOOKUP('Input PD LGD'!$A32,'Model Output_TTC'!$A:$BP,'Input PD LGD'!AB$6,FALSE),IF('Ref-Data'!$Z$5="96th Percentile",VLOOKUP('Input PD LGD'!$A32,'Model Output_TTC'!$A:$Z,'Input PD LGD'!AB$8,FALSE),"")))))</f>
        <v>1.52E-2</v>
      </c>
      <c r="I32" s="276">
        <f>IF('Ref-Data'!$Z$2="ON",VLOOKUP($A32,'MacroPD-Cal'!$A:$L,AC$1,FALSE),IF('Ref-Data'!$Z$5 = "Weighted",VLOOKUP($A32,'Model Output_TTC'!$A:$CB,AC$2,FALSE),IF('Ref-Data'!$Z$5="Baseline",VLOOKUP('Input PD LGD'!$A32,'Model Output_TTC'!$A:$AU,'Input PD LGD'!AC$4,FALSE),IF('Ref-Data'!$Z$5="90th Percentile",VLOOKUP('Input PD LGD'!$A32,'Model Output_TTC'!$A:$BP,'Input PD LGD'!AC$6,FALSE),IF('Ref-Data'!$Z$5="96th Percentile",VLOOKUP('Input PD LGD'!$A32,'Model Output_TTC'!$A:$Z,'Input PD LGD'!AC$8,FALSE),"")))))</f>
        <v>1.8500000000000003E-2</v>
      </c>
      <c r="J32" s="276">
        <f>IF('Ref-Data'!$Z$2="ON",VLOOKUP($A32,'MacroPD-Cal'!$A:$L,AD$1,FALSE),IF('Ref-Data'!$Z$5 = "Weighted",VLOOKUP($A32,'Model Output_TTC'!$A:$CB,AD$2,FALSE),IF('Ref-Data'!$Z$5="Baseline",VLOOKUP('Input PD LGD'!$A32,'Model Output_TTC'!$A:$AU,'Input PD LGD'!AD$4,FALSE),IF('Ref-Data'!$Z$5="90th Percentile",VLOOKUP('Input PD LGD'!$A32,'Model Output_TTC'!$A:$BP,'Input PD LGD'!AD$6,FALSE),IF('Ref-Data'!$Z$5="96th Percentile",VLOOKUP('Input PD LGD'!$A32,'Model Output_TTC'!$A:$Z,'Input PD LGD'!AD$8,FALSE),"")))))</f>
        <v>2.6700000000000002E-2</v>
      </c>
      <c r="K32" s="276">
        <f>IF('Ref-Data'!$Z$2="ON",VLOOKUP($A32,'MacroPD-Cal'!$A:$L,AE$1,FALSE),IF('Ref-Data'!$Z$5 = "Weighted",VLOOKUP($A32,'Model Output_TTC'!$A:$CB,AE$2,FALSE),IF('Ref-Data'!$Z$5="Baseline",VLOOKUP('Input PD LGD'!$A32,'Model Output_TTC'!$A:$AU,'Input PD LGD'!AE$4,FALSE),IF('Ref-Data'!$Z$5="90th Percentile",VLOOKUP('Input PD LGD'!$A32,'Model Output_TTC'!$A:$BP,'Input PD LGD'!AE$6,FALSE),IF('Ref-Data'!$Z$5="96th Percentile",VLOOKUP('Input PD LGD'!$A32,'Model Output_TTC'!$A:$Z,'Input PD LGD'!AE$8,FALSE),"")))))</f>
        <v>3.5400000000000001E-2</v>
      </c>
      <c r="L32" s="274">
        <f>VLOOKUP(A32,'Ref-Data'!$A:$N,14,0)</f>
        <v>0.34429999999999999</v>
      </c>
      <c r="M32" s="354">
        <f>VLOOKUP(A32,'Ref-Data'!A:I,9,0)</f>
        <v>1</v>
      </c>
      <c r="N32" s="354" t="s">
        <v>1156</v>
      </c>
      <c r="T32" s="346"/>
    </row>
    <row r="33" spans="1:20" x14ac:dyDescent="0.25">
      <c r="A33" s="277">
        <v>1200000001</v>
      </c>
      <c r="B33" s="277" t="str">
        <f>INDEX('Loan Book Summary'!B:C,MATCH('Input PD LGD'!A33,'Loan Book Summary'!C:C,0),1)</f>
        <v>Casa Italian Restaurants Limited - Business Trading - CBILS – Refi and New Money</v>
      </c>
      <c r="C33" s="400">
        <f>VLOOKUP(A33,Reference_Rate_Repricing_Report!B:P,15,FALSE)</f>
        <v>6.28</v>
      </c>
      <c r="D33" s="276">
        <f>IF('Ref-Data'!$Z$2="ON",VLOOKUP($A33,'MacroPD-Cal'!$A:$L,X$1,FALSE),IF('Ref-Data'!$Z$5 = "Weighted",VLOOKUP($A33,'Model Output_TTC'!$A:$CB,X$2,FALSE),IF('Ref-Data'!$Z$5="Baseline",VLOOKUP('Input PD LGD'!$A33,'Model Output_TTC'!$A:$AU,'Input PD LGD'!X$4,FALSE),IF('Ref-Data'!$Z$5="90th Percentile",VLOOKUP('Input PD LGD'!$A33,'Model Output_TTC'!$A:$BP,'Input PD LGD'!X$6,FALSE),IF('Ref-Data'!$Z$5="96th Percentile",VLOOKUP('Input PD LGD'!$A33,'Model Output_TTC'!$A:$Z,'Input PD LGD'!X$8,FALSE),"")))))</f>
        <v>5.78851447579404E-4</v>
      </c>
      <c r="E33" s="276">
        <f>IF('Ref-Data'!$Z$2="ON",VLOOKUP($A33,'MacroPD-Cal'!$A:$L,Y$1,FALSE),IF('Ref-Data'!$Z$5 = "Weighted",VLOOKUP($A33,'Model Output_TTC'!$A:$CB,Y$2,FALSE),IF('Ref-Data'!$Z$5="Baseline",VLOOKUP('Input PD LGD'!$A33,'Model Output_TTC'!$A:$AU,'Input PD LGD'!Y$4,FALSE),IF('Ref-Data'!$Z$5="90th Percentile",VLOOKUP('Input PD LGD'!$A33,'Model Output_TTC'!$A:$BP,'Input PD LGD'!Y$6,FALSE),IF('Ref-Data'!$Z$5="96th Percentile",VLOOKUP('Input PD LGD'!$A33,'Model Output_TTC'!$A:$Z,'Input PD LGD'!Y$8,FALSE),"")))))</f>
        <v>1.3806868792907157E-3</v>
      </c>
      <c r="F33" s="276">
        <f>IF('Ref-Data'!$Z$2="ON",VLOOKUP($A33,'MacroPD-Cal'!$A:$L,Z$1,FALSE),IF('Ref-Data'!$Z$5 = "Weighted",VLOOKUP($A33,'Model Output_TTC'!$A:$CB,Z$2,FALSE),IF('Ref-Data'!$Z$5="Baseline",VLOOKUP('Input PD LGD'!$A33,'Model Output_TTC'!$A:$AU,'Input PD LGD'!Z$4,FALSE),IF('Ref-Data'!$Z$5="90th Percentile",VLOOKUP('Input PD LGD'!$A33,'Model Output_TTC'!$A:$BP,'Input PD LGD'!Z$6,FALSE),IF('Ref-Data'!$Z$5="96th Percentile",VLOOKUP('Input PD LGD'!$A33,'Model Output_TTC'!$A:$Z,'Input PD LGD'!Z$8,FALSE),"")))))</f>
        <v>2.3135238382311352E-3</v>
      </c>
      <c r="G33" s="276">
        <f>IF('Ref-Data'!$Z$2="ON",VLOOKUP($A33,'MacroPD-Cal'!$A:$L,AA$1,FALSE),IF('Ref-Data'!$Z$5 = "Weighted",VLOOKUP($A33,'Model Output_TTC'!$A:$CB,AA$2,FALSE),IF('Ref-Data'!$Z$5="Baseline",VLOOKUP('Input PD LGD'!$A33,'Model Output_TTC'!$A:$AU,'Input PD LGD'!AA$4,FALSE),IF('Ref-Data'!$Z$5="90th Percentile",VLOOKUP('Input PD LGD'!$A33,'Model Output_TTC'!$A:$BP,'Input PD LGD'!AA$6,FALSE),IF('Ref-Data'!$Z$5="96th Percentile",VLOOKUP('Input PD LGD'!$A33,'Model Output_TTC'!$A:$Z,'Input PD LGD'!AA$8,FALSE),"")))))</f>
        <v>3.5000000000000001E-3</v>
      </c>
      <c r="H33" s="276">
        <f>IF('Ref-Data'!$Z$2="ON",VLOOKUP($A33,'MacroPD-Cal'!$A:$L,AB$1,FALSE),IF('Ref-Data'!$Z$5 = "Weighted",VLOOKUP($A33,'Model Output_TTC'!$A:$CB,AB$2,FALSE),IF('Ref-Data'!$Z$5="Baseline",VLOOKUP('Input PD LGD'!$A33,'Model Output_TTC'!$A:$AU,'Input PD LGD'!AB$4,FALSE),IF('Ref-Data'!$Z$5="90th Percentile",VLOOKUP('Input PD LGD'!$A33,'Model Output_TTC'!$A:$BP,'Input PD LGD'!AB$6,FALSE),IF('Ref-Data'!$Z$5="96th Percentile",VLOOKUP('Input PD LGD'!$A33,'Model Output_TTC'!$A:$Z,'Input PD LGD'!AB$8,FALSE),"")))))</f>
        <v>5.5000000000000005E-3</v>
      </c>
      <c r="I33" s="276">
        <f>IF('Ref-Data'!$Z$2="ON",VLOOKUP($A33,'MacroPD-Cal'!$A:$L,AC$1,FALSE),IF('Ref-Data'!$Z$5 = "Weighted",VLOOKUP($A33,'Model Output_TTC'!$A:$CB,AC$2,FALSE),IF('Ref-Data'!$Z$5="Baseline",VLOOKUP('Input PD LGD'!$A33,'Model Output_TTC'!$A:$AU,'Input PD LGD'!AC$4,FALSE),IF('Ref-Data'!$Z$5="90th Percentile",VLOOKUP('Input PD LGD'!$A33,'Model Output_TTC'!$A:$BP,'Input PD LGD'!AC$6,FALSE),IF('Ref-Data'!$Z$5="96th Percentile",VLOOKUP('Input PD LGD'!$A33,'Model Output_TTC'!$A:$Z,'Input PD LGD'!AC$8,FALSE),"")))))</f>
        <v>6.8000000000000005E-3</v>
      </c>
      <c r="J33" s="276">
        <f>IF('Ref-Data'!$Z$2="ON",VLOOKUP($A33,'MacroPD-Cal'!$A:$L,AD$1,FALSE),IF('Ref-Data'!$Z$5 = "Weighted",VLOOKUP($A33,'Model Output_TTC'!$A:$CB,AD$2,FALSE),IF('Ref-Data'!$Z$5="Baseline",VLOOKUP('Input PD LGD'!$A33,'Model Output_TTC'!$A:$AU,'Input PD LGD'!AD$4,FALSE),IF('Ref-Data'!$Z$5="90th Percentile",VLOOKUP('Input PD LGD'!$A33,'Model Output_TTC'!$A:$BP,'Input PD LGD'!AD$6,FALSE),IF('Ref-Data'!$Z$5="96th Percentile",VLOOKUP('Input PD LGD'!$A33,'Model Output_TTC'!$A:$Z,'Input PD LGD'!AD$8,FALSE),"")))))</f>
        <v>1.0700000000000001E-2</v>
      </c>
      <c r="K33" s="276">
        <f>IF('Ref-Data'!$Z$2="ON",VLOOKUP($A33,'MacroPD-Cal'!$A:$L,AE$1,FALSE),IF('Ref-Data'!$Z$5 = "Weighted",VLOOKUP($A33,'Model Output_TTC'!$A:$CB,AE$2,FALSE),IF('Ref-Data'!$Z$5="Baseline",VLOOKUP('Input PD LGD'!$A33,'Model Output_TTC'!$A:$AU,'Input PD LGD'!AE$4,FALSE),IF('Ref-Data'!$Z$5="90th Percentile",VLOOKUP('Input PD LGD'!$A33,'Model Output_TTC'!$A:$BP,'Input PD LGD'!AE$6,FALSE),IF('Ref-Data'!$Z$5="96th Percentile",VLOOKUP('Input PD LGD'!$A33,'Model Output_TTC'!$A:$Z,'Input PD LGD'!AE$8,FALSE),"")))))</f>
        <v>1.49E-2</v>
      </c>
      <c r="L33" s="274">
        <f>VLOOKUP(A33,'Ref-Data'!$A:$N,14,0)</f>
        <v>0.2</v>
      </c>
      <c r="M33" s="354">
        <f>VLOOKUP(A33,'Ref-Data'!A:I,9,0)</f>
        <v>1</v>
      </c>
      <c r="N33" s="354" t="s">
        <v>1156</v>
      </c>
      <c r="T33" s="346"/>
    </row>
    <row r="34" spans="1:20" x14ac:dyDescent="0.25">
      <c r="A34" s="277">
        <v>1200000131</v>
      </c>
      <c r="B34" s="277" t="str">
        <f>INDEX('Loan Book Summary'!B:C,MATCH('Input PD LGD'!A34,'Loan Book Summary'!C:C,0),1)</f>
        <v>Nine Gatwick Hotel Limited - Business Trading - T2 Trading – CBILS</v>
      </c>
      <c r="C34" s="400">
        <f>VLOOKUP(A34,Reference_Rate_Repricing_Report!B:P,15,FALSE)</f>
        <v>7.67</v>
      </c>
      <c r="D34" s="276">
        <f>IF('Ref-Data'!$Z$2="ON",VLOOKUP($A34,'MacroPD-Cal'!$A:$L,X$1,FALSE),IF('Ref-Data'!$Z$5 = "Weighted",VLOOKUP($A34,'Model Output_TTC'!$A:$CB,X$2,FALSE),IF('Ref-Data'!$Z$5="Baseline",VLOOKUP('Input PD LGD'!$A34,'Model Output_TTC'!$A:$AU,'Input PD LGD'!X$4,FALSE),IF('Ref-Data'!$Z$5="90th Percentile",VLOOKUP('Input PD LGD'!$A34,'Model Output_TTC'!$A:$BP,'Input PD LGD'!X$6,FALSE),IF('Ref-Data'!$Z$5="96th Percentile",VLOOKUP('Input PD LGD'!$A34,'Model Output_TTC'!$A:$Z,'Input PD LGD'!X$8,FALSE),"")))))</f>
        <v>2.4783737762410296E-3</v>
      </c>
      <c r="E34" s="276">
        <f>IF('Ref-Data'!$Z$2="ON",VLOOKUP($A34,'MacroPD-Cal'!$A:$L,Y$1,FALSE),IF('Ref-Data'!$Z$5 = "Weighted",VLOOKUP($A34,'Model Output_TTC'!$A:$CB,Y$2,FALSE),IF('Ref-Data'!$Z$5="Baseline",VLOOKUP('Input PD LGD'!$A34,'Model Output_TTC'!$A:$AU,'Input PD LGD'!Y$4,FALSE),IF('Ref-Data'!$Z$5="90th Percentile",VLOOKUP('Input PD LGD'!$A34,'Model Output_TTC'!$A:$BP,'Input PD LGD'!Y$6,FALSE),IF('Ref-Data'!$Z$5="96th Percentile",VLOOKUP('Input PD LGD'!$A34,'Model Output_TTC'!$A:$Z,'Input PD LGD'!Y$8,FALSE),"")))))</f>
        <v>5.77597863222723E-3</v>
      </c>
      <c r="F34" s="276">
        <f>IF('Ref-Data'!$Z$2="ON",VLOOKUP($A34,'MacroPD-Cal'!$A:$L,Z$1,FALSE),IF('Ref-Data'!$Z$5 = "Weighted",VLOOKUP($A34,'Model Output_TTC'!$A:$CB,Z$2,FALSE),IF('Ref-Data'!$Z$5="Baseline",VLOOKUP('Input PD LGD'!$A34,'Model Output_TTC'!$A:$AU,'Input PD LGD'!Z$4,FALSE),IF('Ref-Data'!$Z$5="90th Percentile",VLOOKUP('Input PD LGD'!$A34,'Model Output_TTC'!$A:$BP,'Input PD LGD'!Z$6,FALSE),IF('Ref-Data'!$Z$5="96th Percentile",VLOOKUP('Input PD LGD'!$A34,'Model Output_TTC'!$A:$Z,'Input PD LGD'!Z$8,FALSE),"")))))</f>
        <v>9.5338075769022534E-3</v>
      </c>
      <c r="G34" s="276">
        <f>IF('Ref-Data'!$Z$2="ON",VLOOKUP($A34,'MacroPD-Cal'!$A:$L,AA$1,FALSE),IF('Ref-Data'!$Z$5 = "Weighted",VLOOKUP($A34,'Model Output_TTC'!$A:$CB,AA$2,FALSE),IF('Ref-Data'!$Z$5="Baseline",VLOOKUP('Input PD LGD'!$A34,'Model Output_TTC'!$A:$AU,'Input PD LGD'!AA$4,FALSE),IF('Ref-Data'!$Z$5="90th Percentile",VLOOKUP('Input PD LGD'!$A34,'Model Output_TTC'!$A:$BP,'Input PD LGD'!AA$6,FALSE),IF('Ref-Data'!$Z$5="96th Percentile",VLOOKUP('Input PD LGD'!$A34,'Model Output_TTC'!$A:$Z,'Input PD LGD'!AA$8,FALSE),"")))))</f>
        <v>1.4400000000000001E-2</v>
      </c>
      <c r="H34" s="276">
        <f>IF('Ref-Data'!$Z$2="ON",VLOOKUP($A34,'MacroPD-Cal'!$A:$L,AB$1,FALSE),IF('Ref-Data'!$Z$5 = "Weighted",VLOOKUP($A34,'Model Output_TTC'!$A:$CB,AB$2,FALSE),IF('Ref-Data'!$Z$5="Baseline",VLOOKUP('Input PD LGD'!$A34,'Model Output_TTC'!$A:$AU,'Input PD LGD'!AB$4,FALSE),IF('Ref-Data'!$Z$5="90th Percentile",VLOOKUP('Input PD LGD'!$A34,'Model Output_TTC'!$A:$BP,'Input PD LGD'!AB$6,FALSE),IF('Ref-Data'!$Z$5="96th Percentile",VLOOKUP('Input PD LGD'!$A34,'Model Output_TTC'!$A:$Z,'Input PD LGD'!AB$8,FALSE),"")))))</f>
        <v>2.1600000000000001E-2</v>
      </c>
      <c r="I34" s="276">
        <f>IF('Ref-Data'!$Z$2="ON",VLOOKUP($A34,'MacroPD-Cal'!$A:$L,AC$1,FALSE),IF('Ref-Data'!$Z$5 = "Weighted",VLOOKUP($A34,'Model Output_TTC'!$A:$CB,AC$2,FALSE),IF('Ref-Data'!$Z$5="Baseline",VLOOKUP('Input PD LGD'!$A34,'Model Output_TTC'!$A:$AU,'Input PD LGD'!AC$4,FALSE),IF('Ref-Data'!$Z$5="90th Percentile",VLOOKUP('Input PD LGD'!$A34,'Model Output_TTC'!$A:$BP,'Input PD LGD'!AC$6,FALSE),IF('Ref-Data'!$Z$5="96th Percentile",VLOOKUP('Input PD LGD'!$A34,'Model Output_TTC'!$A:$Z,'Input PD LGD'!AC$8,FALSE),"")))))</f>
        <v>2.5700000000000001E-2</v>
      </c>
      <c r="J34" s="276">
        <f>IF('Ref-Data'!$Z$2="ON",VLOOKUP($A34,'MacroPD-Cal'!$A:$L,AD$1,FALSE),IF('Ref-Data'!$Z$5 = "Weighted",VLOOKUP($A34,'Model Output_TTC'!$A:$CB,AD$2,FALSE),IF('Ref-Data'!$Z$5="Baseline",VLOOKUP('Input PD LGD'!$A34,'Model Output_TTC'!$A:$AU,'Input PD LGD'!AD$4,FALSE),IF('Ref-Data'!$Z$5="90th Percentile",VLOOKUP('Input PD LGD'!$A34,'Model Output_TTC'!$A:$BP,'Input PD LGD'!AD$6,FALSE),IF('Ref-Data'!$Z$5="96th Percentile",VLOOKUP('Input PD LGD'!$A34,'Model Output_TTC'!$A:$Z,'Input PD LGD'!AD$8,FALSE),"")))))</f>
        <v>3.5500000000000004E-2</v>
      </c>
      <c r="K34" s="276">
        <f>IF('Ref-Data'!$Z$2="ON",VLOOKUP($A34,'MacroPD-Cal'!$A:$L,AE$1,FALSE),IF('Ref-Data'!$Z$5 = "Weighted",VLOOKUP($A34,'Model Output_TTC'!$A:$CB,AE$2,FALSE),IF('Ref-Data'!$Z$5="Baseline",VLOOKUP('Input PD LGD'!$A34,'Model Output_TTC'!$A:$AU,'Input PD LGD'!AE$4,FALSE),IF('Ref-Data'!$Z$5="90th Percentile",VLOOKUP('Input PD LGD'!$A34,'Model Output_TTC'!$A:$BP,'Input PD LGD'!AE$6,FALSE),IF('Ref-Data'!$Z$5="96th Percentile",VLOOKUP('Input PD LGD'!$A34,'Model Output_TTC'!$A:$Z,'Input PD LGD'!AE$8,FALSE),"")))))</f>
        <v>4.5400000000000003E-2</v>
      </c>
      <c r="L34" s="274">
        <f>VLOOKUP(A34,'Ref-Data'!$A:$N,14,0)</f>
        <v>0.15</v>
      </c>
      <c r="M34" s="354">
        <f>VLOOKUP(A34,'Ref-Data'!A:I,9,0)</f>
        <v>1</v>
      </c>
      <c r="N34" s="354" t="s">
        <v>1156</v>
      </c>
      <c r="T34" s="346"/>
    </row>
    <row r="35" spans="1:20" x14ac:dyDescent="0.25">
      <c r="A35" s="277">
        <v>1200000149</v>
      </c>
      <c r="B35" s="277" t="str">
        <f>INDEX('Loan Book Summary'!B:C,MATCH('Input PD LGD'!A35,'Loan Book Summary'!C:C,0),1)</f>
        <v>Inception Ventures Group Limited - Business Loans - Facility C CBILS New Money</v>
      </c>
      <c r="C35" s="400">
        <f>VLOOKUP(A35,Reference_Rate_Repricing_Report!B:P,15,FALSE)</f>
        <v>7.9</v>
      </c>
      <c r="D35" s="276">
        <f>IF('Ref-Data'!$Z$2="ON",VLOOKUP($A35,'MacroPD-Cal'!$A:$L,X$1,FALSE),IF('Ref-Data'!$Z$5 = "Weighted",VLOOKUP($A35,'Model Output_TTC'!$A:$CB,X$2,FALSE),IF('Ref-Data'!$Z$5="Baseline",VLOOKUP('Input PD LGD'!$A35,'Model Output_TTC'!$A:$AU,'Input PD LGD'!X$4,FALSE),IF('Ref-Data'!$Z$5="90th Percentile",VLOOKUP('Input PD LGD'!$A35,'Model Output_TTC'!$A:$BP,'Input PD LGD'!X$6,FALSE),IF('Ref-Data'!$Z$5="96th Percentile",VLOOKUP('Input PD LGD'!$A35,'Model Output_TTC'!$A:$Z,'Input PD LGD'!X$8,FALSE),"")))))</f>
        <v>1.7494248871209371E-3</v>
      </c>
      <c r="E35" s="276">
        <f>IF('Ref-Data'!$Z$2="ON",VLOOKUP($A35,'MacroPD-Cal'!$A:$L,Y$1,FALSE),IF('Ref-Data'!$Z$5 = "Weighted",VLOOKUP($A35,'Model Output_TTC'!$A:$CB,Y$2,FALSE),IF('Ref-Data'!$Z$5="Baseline",VLOOKUP('Input PD LGD'!$A35,'Model Output_TTC'!$A:$AU,'Input PD LGD'!Y$4,FALSE),IF('Ref-Data'!$Z$5="90th Percentile",VLOOKUP('Input PD LGD'!$A35,'Model Output_TTC'!$A:$BP,'Input PD LGD'!Y$6,FALSE),IF('Ref-Data'!$Z$5="96th Percentile",VLOOKUP('Input PD LGD'!$A35,'Model Output_TTC'!$A:$Z,'Input PD LGD'!Y$8,FALSE),"")))))</f>
        <v>4.1012418054688915E-3</v>
      </c>
      <c r="F35" s="276">
        <f>IF('Ref-Data'!$Z$2="ON",VLOOKUP($A35,'MacroPD-Cal'!$A:$L,Z$1,FALSE),IF('Ref-Data'!$Z$5 = "Weighted",VLOOKUP($A35,'Model Output_TTC'!$A:$CB,Z$2,FALSE),IF('Ref-Data'!$Z$5="Baseline",VLOOKUP('Input PD LGD'!$A35,'Model Output_TTC'!$A:$AU,'Input PD LGD'!Z$4,FALSE),IF('Ref-Data'!$Z$5="90th Percentile",VLOOKUP('Input PD LGD'!$A35,'Model Output_TTC'!$A:$BP,'Input PD LGD'!Z$6,FALSE),IF('Ref-Data'!$Z$5="96th Percentile",VLOOKUP('Input PD LGD'!$A35,'Model Output_TTC'!$A:$Z,'Input PD LGD'!Z$8,FALSE),"")))))</f>
        <v>6.7960350200328978E-3</v>
      </c>
      <c r="G35" s="276">
        <f>IF('Ref-Data'!$Z$2="ON",VLOOKUP($A35,'MacroPD-Cal'!$A:$L,AA$1,FALSE),IF('Ref-Data'!$Z$5 = "Weighted",VLOOKUP($A35,'Model Output_TTC'!$A:$CB,AA$2,FALSE),IF('Ref-Data'!$Z$5="Baseline",VLOOKUP('Input PD LGD'!$A35,'Model Output_TTC'!$A:$AU,'Input PD LGD'!AA$4,FALSE),IF('Ref-Data'!$Z$5="90th Percentile",VLOOKUP('Input PD LGD'!$A35,'Model Output_TTC'!$A:$BP,'Input PD LGD'!AA$6,FALSE),IF('Ref-Data'!$Z$5="96th Percentile",VLOOKUP('Input PD LGD'!$A35,'Model Output_TTC'!$A:$Z,'Input PD LGD'!AA$8,FALSE),"")))))</f>
        <v>1.03E-2</v>
      </c>
      <c r="H35" s="276">
        <f>IF('Ref-Data'!$Z$2="ON",VLOOKUP($A35,'MacroPD-Cal'!$A:$L,AB$1,FALSE),IF('Ref-Data'!$Z$5 = "Weighted",VLOOKUP($A35,'Model Output_TTC'!$A:$CB,AB$2,FALSE),IF('Ref-Data'!$Z$5="Baseline",VLOOKUP('Input PD LGD'!$A35,'Model Output_TTC'!$A:$AU,'Input PD LGD'!AB$4,FALSE),IF('Ref-Data'!$Z$5="90th Percentile",VLOOKUP('Input PD LGD'!$A35,'Model Output_TTC'!$A:$BP,'Input PD LGD'!AB$6,FALSE),IF('Ref-Data'!$Z$5="96th Percentile",VLOOKUP('Input PD LGD'!$A35,'Model Output_TTC'!$A:$Z,'Input PD LGD'!AB$8,FALSE),"")))))</f>
        <v>1.5700000000000002E-2</v>
      </c>
      <c r="I35" s="276">
        <f>IF('Ref-Data'!$Z$2="ON",VLOOKUP($A35,'MacroPD-Cal'!$A:$L,AC$1,FALSE),IF('Ref-Data'!$Z$5 = "Weighted",VLOOKUP($A35,'Model Output_TTC'!$A:$CB,AC$2,FALSE),IF('Ref-Data'!$Z$5="Baseline",VLOOKUP('Input PD LGD'!$A35,'Model Output_TTC'!$A:$AU,'Input PD LGD'!AC$4,FALSE),IF('Ref-Data'!$Z$5="90th Percentile",VLOOKUP('Input PD LGD'!$A35,'Model Output_TTC'!$A:$BP,'Input PD LGD'!AC$6,FALSE),IF('Ref-Data'!$Z$5="96th Percentile",VLOOKUP('Input PD LGD'!$A35,'Model Output_TTC'!$A:$Z,'Input PD LGD'!AC$8,FALSE),"")))))</f>
        <v>1.89E-2</v>
      </c>
      <c r="J35" s="276">
        <f>IF('Ref-Data'!$Z$2="ON",VLOOKUP($A35,'MacroPD-Cal'!$A:$L,AD$1,FALSE),IF('Ref-Data'!$Z$5 = "Weighted",VLOOKUP($A35,'Model Output_TTC'!$A:$CB,AD$2,FALSE),IF('Ref-Data'!$Z$5="Baseline",VLOOKUP('Input PD LGD'!$A35,'Model Output_TTC'!$A:$AU,'Input PD LGD'!AD$4,FALSE),IF('Ref-Data'!$Z$5="90th Percentile",VLOOKUP('Input PD LGD'!$A35,'Model Output_TTC'!$A:$BP,'Input PD LGD'!AD$6,FALSE),IF('Ref-Data'!$Z$5="96th Percentile",VLOOKUP('Input PD LGD'!$A35,'Model Output_TTC'!$A:$Z,'Input PD LGD'!AD$8,FALSE),"")))))</f>
        <v>2.6800000000000001E-2</v>
      </c>
      <c r="K35" s="276">
        <f>IF('Ref-Data'!$Z$2="ON",VLOOKUP($A35,'MacroPD-Cal'!$A:$L,AE$1,FALSE),IF('Ref-Data'!$Z$5 = "Weighted",VLOOKUP($A35,'Model Output_TTC'!$A:$CB,AE$2,FALSE),IF('Ref-Data'!$Z$5="Baseline",VLOOKUP('Input PD LGD'!$A35,'Model Output_TTC'!$A:$AU,'Input PD LGD'!AE$4,FALSE),IF('Ref-Data'!$Z$5="90th Percentile",VLOOKUP('Input PD LGD'!$A35,'Model Output_TTC'!$A:$BP,'Input PD LGD'!AE$6,FALSE),IF('Ref-Data'!$Z$5="96th Percentile",VLOOKUP('Input PD LGD'!$A35,'Model Output_TTC'!$A:$Z,'Input PD LGD'!AE$8,FALSE),"")))))</f>
        <v>3.5099999999999999E-2</v>
      </c>
      <c r="L35" s="274">
        <f>VLOOKUP(A35,'Ref-Data'!$A:$N,14,0)</f>
        <v>0.2</v>
      </c>
      <c r="M35" s="354">
        <f>VLOOKUP(A35,'Ref-Data'!A:I,9,0)</f>
        <v>1</v>
      </c>
      <c r="N35" s="354" t="s">
        <v>1156</v>
      </c>
      <c r="T35" s="346"/>
    </row>
    <row r="36" spans="1:20" x14ac:dyDescent="0.25">
      <c r="A36" s="277">
        <v>1200000148</v>
      </c>
      <c r="B36" s="277" t="str">
        <f>INDEX('Loan Book Summary'!B:C,MATCH('Input PD LGD'!A36,'Loan Book Summary'!C:C,0),1)</f>
        <v>Inception Ventures Group Limited - Business Loans -  Facility D CBILS Refinance</v>
      </c>
      <c r="C36" s="400">
        <f>VLOOKUP(A36,Reference_Rate_Repricing_Report!B:P,15,FALSE)</f>
        <v>8.5500000000000007</v>
      </c>
      <c r="D36" s="276">
        <f>IF('Ref-Data'!$Z$2="ON",VLOOKUP($A36,'MacroPD-Cal'!$A:$L,X$1,FALSE),IF('Ref-Data'!$Z$5 = "Weighted",VLOOKUP($A36,'Model Output_TTC'!$A:$CB,X$2,FALSE),IF('Ref-Data'!$Z$5="Baseline",VLOOKUP('Input PD LGD'!$A36,'Model Output_TTC'!$A:$AU,'Input PD LGD'!X$4,FALSE),IF('Ref-Data'!$Z$5="90th Percentile",VLOOKUP('Input PD LGD'!$A36,'Model Output_TTC'!$A:$BP,'Input PD LGD'!X$6,FALSE),IF('Ref-Data'!$Z$5="96th Percentile",VLOOKUP('Input PD LGD'!$A36,'Model Output_TTC'!$A:$Z,'Input PD LGD'!X$8,FALSE),"")))))</f>
        <v>1.7494248871209371E-3</v>
      </c>
      <c r="E36" s="276">
        <f>IF('Ref-Data'!$Z$2="ON",VLOOKUP($A36,'MacroPD-Cal'!$A:$L,Y$1,FALSE),IF('Ref-Data'!$Z$5 = "Weighted",VLOOKUP($A36,'Model Output_TTC'!$A:$CB,Y$2,FALSE),IF('Ref-Data'!$Z$5="Baseline",VLOOKUP('Input PD LGD'!$A36,'Model Output_TTC'!$A:$AU,'Input PD LGD'!Y$4,FALSE),IF('Ref-Data'!$Z$5="90th Percentile",VLOOKUP('Input PD LGD'!$A36,'Model Output_TTC'!$A:$BP,'Input PD LGD'!Y$6,FALSE),IF('Ref-Data'!$Z$5="96th Percentile",VLOOKUP('Input PD LGD'!$A36,'Model Output_TTC'!$A:$Z,'Input PD LGD'!Y$8,FALSE),"")))))</f>
        <v>4.1012418054688915E-3</v>
      </c>
      <c r="F36" s="276">
        <f>IF('Ref-Data'!$Z$2="ON",VLOOKUP($A36,'MacroPD-Cal'!$A:$L,Z$1,FALSE),IF('Ref-Data'!$Z$5 = "Weighted",VLOOKUP($A36,'Model Output_TTC'!$A:$CB,Z$2,FALSE),IF('Ref-Data'!$Z$5="Baseline",VLOOKUP('Input PD LGD'!$A36,'Model Output_TTC'!$A:$AU,'Input PD LGD'!Z$4,FALSE),IF('Ref-Data'!$Z$5="90th Percentile",VLOOKUP('Input PD LGD'!$A36,'Model Output_TTC'!$A:$BP,'Input PD LGD'!Z$6,FALSE),IF('Ref-Data'!$Z$5="96th Percentile",VLOOKUP('Input PD LGD'!$A36,'Model Output_TTC'!$A:$Z,'Input PD LGD'!Z$8,FALSE),"")))))</f>
        <v>6.7960350200328978E-3</v>
      </c>
      <c r="G36" s="276">
        <f>IF('Ref-Data'!$Z$2="ON",VLOOKUP($A36,'MacroPD-Cal'!$A:$L,AA$1,FALSE),IF('Ref-Data'!$Z$5 = "Weighted",VLOOKUP($A36,'Model Output_TTC'!$A:$CB,AA$2,FALSE),IF('Ref-Data'!$Z$5="Baseline",VLOOKUP('Input PD LGD'!$A36,'Model Output_TTC'!$A:$AU,'Input PD LGD'!AA$4,FALSE),IF('Ref-Data'!$Z$5="90th Percentile",VLOOKUP('Input PD LGD'!$A36,'Model Output_TTC'!$A:$BP,'Input PD LGD'!AA$6,FALSE),IF('Ref-Data'!$Z$5="96th Percentile",VLOOKUP('Input PD LGD'!$A36,'Model Output_TTC'!$A:$Z,'Input PD LGD'!AA$8,FALSE),"")))))</f>
        <v>1.03E-2</v>
      </c>
      <c r="H36" s="276">
        <f>IF('Ref-Data'!$Z$2="ON",VLOOKUP($A36,'MacroPD-Cal'!$A:$L,AB$1,FALSE),IF('Ref-Data'!$Z$5 = "Weighted",VLOOKUP($A36,'Model Output_TTC'!$A:$CB,AB$2,FALSE),IF('Ref-Data'!$Z$5="Baseline",VLOOKUP('Input PD LGD'!$A36,'Model Output_TTC'!$A:$AU,'Input PD LGD'!AB$4,FALSE),IF('Ref-Data'!$Z$5="90th Percentile",VLOOKUP('Input PD LGD'!$A36,'Model Output_TTC'!$A:$BP,'Input PD LGD'!AB$6,FALSE),IF('Ref-Data'!$Z$5="96th Percentile",VLOOKUP('Input PD LGD'!$A36,'Model Output_TTC'!$A:$Z,'Input PD LGD'!AB$8,FALSE),"")))))</f>
        <v>1.5700000000000002E-2</v>
      </c>
      <c r="I36" s="276">
        <f>IF('Ref-Data'!$Z$2="ON",VLOOKUP($A36,'MacroPD-Cal'!$A:$L,AC$1,FALSE),IF('Ref-Data'!$Z$5 = "Weighted",VLOOKUP($A36,'Model Output_TTC'!$A:$CB,AC$2,FALSE),IF('Ref-Data'!$Z$5="Baseline",VLOOKUP('Input PD LGD'!$A36,'Model Output_TTC'!$A:$AU,'Input PD LGD'!AC$4,FALSE),IF('Ref-Data'!$Z$5="90th Percentile",VLOOKUP('Input PD LGD'!$A36,'Model Output_TTC'!$A:$BP,'Input PD LGD'!AC$6,FALSE),IF('Ref-Data'!$Z$5="96th Percentile",VLOOKUP('Input PD LGD'!$A36,'Model Output_TTC'!$A:$Z,'Input PD LGD'!AC$8,FALSE),"")))))</f>
        <v>1.89E-2</v>
      </c>
      <c r="J36" s="276">
        <f>IF('Ref-Data'!$Z$2="ON",VLOOKUP($A36,'MacroPD-Cal'!$A:$L,AD$1,FALSE),IF('Ref-Data'!$Z$5 = "Weighted",VLOOKUP($A36,'Model Output_TTC'!$A:$CB,AD$2,FALSE),IF('Ref-Data'!$Z$5="Baseline",VLOOKUP('Input PD LGD'!$A36,'Model Output_TTC'!$A:$AU,'Input PD LGD'!AD$4,FALSE),IF('Ref-Data'!$Z$5="90th Percentile",VLOOKUP('Input PD LGD'!$A36,'Model Output_TTC'!$A:$BP,'Input PD LGD'!AD$6,FALSE),IF('Ref-Data'!$Z$5="96th Percentile",VLOOKUP('Input PD LGD'!$A36,'Model Output_TTC'!$A:$Z,'Input PD LGD'!AD$8,FALSE),"")))))</f>
        <v>2.6800000000000001E-2</v>
      </c>
      <c r="K36" s="276">
        <f>IF('Ref-Data'!$Z$2="ON",VLOOKUP($A36,'MacroPD-Cal'!$A:$L,AE$1,FALSE),IF('Ref-Data'!$Z$5 = "Weighted",VLOOKUP($A36,'Model Output_TTC'!$A:$CB,AE$2,FALSE),IF('Ref-Data'!$Z$5="Baseline",VLOOKUP('Input PD LGD'!$A36,'Model Output_TTC'!$A:$AU,'Input PD LGD'!AE$4,FALSE),IF('Ref-Data'!$Z$5="90th Percentile",VLOOKUP('Input PD LGD'!$A36,'Model Output_TTC'!$A:$BP,'Input PD LGD'!AE$6,FALSE),IF('Ref-Data'!$Z$5="96th Percentile",VLOOKUP('Input PD LGD'!$A36,'Model Output_TTC'!$A:$Z,'Input PD LGD'!AE$8,FALSE),"")))))</f>
        <v>3.5099999999999999E-2</v>
      </c>
      <c r="L36" s="274">
        <f>VLOOKUP(A36,'Ref-Data'!$A:$N,14,0)</f>
        <v>0.2</v>
      </c>
      <c r="M36" s="354">
        <f>VLOOKUP(A36,'Ref-Data'!A:I,9,0)</f>
        <v>1</v>
      </c>
      <c r="N36" s="354" t="s">
        <v>1156</v>
      </c>
      <c r="T36" s="346"/>
    </row>
    <row r="37" spans="1:20" x14ac:dyDescent="0.25">
      <c r="A37" s="277">
        <v>1200000125</v>
      </c>
      <c r="B37" s="277" t="str">
        <f>INDEX('Loan Book Summary'!B:C,MATCH('Input PD LGD'!A37,'Loan Book Summary'!C:C,0),1)</f>
        <v>Daisy Green Food Limited - Business Trading - Facility B - CBILS Refinance</v>
      </c>
      <c r="C37" s="400">
        <f>VLOOKUP(A37,Reference_Rate_Repricing_Report!B:P,15,FALSE)</f>
        <v>7.9</v>
      </c>
      <c r="D37" s="276">
        <f>IF('Ref-Data'!$Z$2="ON",VLOOKUP($A37,'MacroPD-Cal'!$A:$L,X$1,FALSE),IF('Ref-Data'!$Z$5 = "Weighted",VLOOKUP($A37,'Model Output_TTC'!$A:$CB,X$2,FALSE),IF('Ref-Data'!$Z$5="Baseline",VLOOKUP('Input PD LGD'!$A37,'Model Output_TTC'!$A:$AU,'Input PD LGD'!X$4,FALSE),IF('Ref-Data'!$Z$5="90th Percentile",VLOOKUP('Input PD LGD'!$A37,'Model Output_TTC'!$A:$BP,'Input PD LGD'!X$6,FALSE),IF('Ref-Data'!$Z$5="96th Percentile",VLOOKUP('Input PD LGD'!$A37,'Model Output_TTC'!$A:$Z,'Input PD LGD'!X$8,FALSE),"")))))</f>
        <v>3.4284526556452302E-3</v>
      </c>
      <c r="E37" s="276">
        <f>IF('Ref-Data'!$Z$2="ON",VLOOKUP($A37,'MacroPD-Cal'!$A:$L,Y$1,FALSE),IF('Ref-Data'!$Z$5 = "Weighted",VLOOKUP($A37,'Model Output_TTC'!$A:$CB,Y$2,FALSE),IF('Ref-Data'!$Z$5="Baseline",VLOOKUP('Input PD LGD'!$A37,'Model Output_TTC'!$A:$AU,'Input PD LGD'!Y$4,FALSE),IF('Ref-Data'!$Z$5="90th Percentile",VLOOKUP('Input PD LGD'!$A37,'Model Output_TTC'!$A:$BP,'Input PD LGD'!Y$6,FALSE),IF('Ref-Data'!$Z$5="96th Percentile",VLOOKUP('Input PD LGD'!$A37,'Model Output_TTC'!$A:$Z,'Input PD LGD'!Y$8,FALSE),"")))))</f>
        <v>7.9442220353370674E-3</v>
      </c>
      <c r="F37" s="276">
        <f>IF('Ref-Data'!$Z$2="ON",VLOOKUP($A37,'MacroPD-Cal'!$A:$L,Z$1,FALSE),IF('Ref-Data'!$Z$5 = "Weighted",VLOOKUP($A37,'Model Output_TTC'!$A:$CB,Z$2,FALSE),IF('Ref-Data'!$Z$5="Baseline",VLOOKUP('Input PD LGD'!$A37,'Model Output_TTC'!$A:$AU,'Input PD LGD'!Z$4,FALSE),IF('Ref-Data'!$Z$5="90th Percentile",VLOOKUP('Input PD LGD'!$A37,'Model Output_TTC'!$A:$BP,'Input PD LGD'!Z$6,FALSE),IF('Ref-Data'!$Z$5="96th Percentile",VLOOKUP('Input PD LGD'!$A37,'Model Output_TTC'!$A:$Z,'Input PD LGD'!Z$8,FALSE),"")))))</f>
        <v>1.3061619214511988E-2</v>
      </c>
      <c r="G37" s="276">
        <f>IF('Ref-Data'!$Z$2="ON",VLOOKUP($A37,'MacroPD-Cal'!$A:$L,AA$1,FALSE),IF('Ref-Data'!$Z$5 = "Weighted",VLOOKUP($A37,'Model Output_TTC'!$A:$CB,AA$2,FALSE),IF('Ref-Data'!$Z$5="Baseline",VLOOKUP('Input PD LGD'!$A37,'Model Output_TTC'!$A:$AU,'Input PD LGD'!AA$4,FALSE),IF('Ref-Data'!$Z$5="90th Percentile",VLOOKUP('Input PD LGD'!$A37,'Model Output_TTC'!$A:$BP,'Input PD LGD'!AA$6,FALSE),IF('Ref-Data'!$Z$5="96th Percentile",VLOOKUP('Input PD LGD'!$A37,'Model Output_TTC'!$A:$Z,'Input PD LGD'!AA$8,FALSE),"")))))</f>
        <v>1.9599999999999999E-2</v>
      </c>
      <c r="H37" s="276">
        <f>IF('Ref-Data'!$Z$2="ON",VLOOKUP($A37,'MacroPD-Cal'!$A:$L,AB$1,FALSE),IF('Ref-Data'!$Z$5 = "Weighted",VLOOKUP($A37,'Model Output_TTC'!$A:$CB,AB$2,FALSE),IF('Ref-Data'!$Z$5="Baseline",VLOOKUP('Input PD LGD'!$A37,'Model Output_TTC'!$A:$AU,'Input PD LGD'!AB$4,FALSE),IF('Ref-Data'!$Z$5="90th Percentile",VLOOKUP('Input PD LGD'!$A37,'Model Output_TTC'!$A:$BP,'Input PD LGD'!AB$6,FALSE),IF('Ref-Data'!$Z$5="96th Percentile",VLOOKUP('Input PD LGD'!$A37,'Model Output_TTC'!$A:$Z,'Input PD LGD'!AB$8,FALSE),"")))))</f>
        <v>3.04E-2</v>
      </c>
      <c r="I37" s="276">
        <f>IF('Ref-Data'!$Z$2="ON",VLOOKUP($A37,'MacroPD-Cal'!$A:$L,AC$1,FALSE),IF('Ref-Data'!$Z$5 = "Weighted",VLOOKUP($A37,'Model Output_TTC'!$A:$CB,AC$2,FALSE),IF('Ref-Data'!$Z$5="Baseline",VLOOKUP('Input PD LGD'!$A37,'Model Output_TTC'!$A:$AU,'Input PD LGD'!AC$4,FALSE),IF('Ref-Data'!$Z$5="90th Percentile",VLOOKUP('Input PD LGD'!$A37,'Model Output_TTC'!$A:$BP,'Input PD LGD'!AC$6,FALSE),IF('Ref-Data'!$Z$5="96th Percentile",VLOOKUP('Input PD LGD'!$A37,'Model Output_TTC'!$A:$Z,'Input PD LGD'!AC$8,FALSE),"")))))</f>
        <v>3.7100000000000001E-2</v>
      </c>
      <c r="J37" s="276">
        <f>IF('Ref-Data'!$Z$2="ON",VLOOKUP($A37,'MacroPD-Cal'!$A:$L,AD$1,FALSE),IF('Ref-Data'!$Z$5 = "Weighted",VLOOKUP($A37,'Model Output_TTC'!$A:$CB,AD$2,FALSE),IF('Ref-Data'!$Z$5="Baseline",VLOOKUP('Input PD LGD'!$A37,'Model Output_TTC'!$A:$AU,'Input PD LGD'!AD$4,FALSE),IF('Ref-Data'!$Z$5="90th Percentile",VLOOKUP('Input PD LGD'!$A37,'Model Output_TTC'!$A:$BP,'Input PD LGD'!AD$6,FALSE),IF('Ref-Data'!$Z$5="96th Percentile",VLOOKUP('Input PD LGD'!$A37,'Model Output_TTC'!$A:$Z,'Input PD LGD'!AD$8,FALSE),"")))))</f>
        <v>5.2600000000000001E-2</v>
      </c>
      <c r="K37" s="276">
        <f>IF('Ref-Data'!$Z$2="ON",VLOOKUP($A37,'MacroPD-Cal'!$A:$L,AE$1,FALSE),IF('Ref-Data'!$Z$5 = "Weighted",VLOOKUP($A37,'Model Output_TTC'!$A:$CB,AE$2,FALSE),IF('Ref-Data'!$Z$5="Baseline",VLOOKUP('Input PD LGD'!$A37,'Model Output_TTC'!$A:$AU,'Input PD LGD'!AE$4,FALSE),IF('Ref-Data'!$Z$5="90th Percentile",VLOOKUP('Input PD LGD'!$A37,'Model Output_TTC'!$A:$BP,'Input PD LGD'!AE$6,FALSE),IF('Ref-Data'!$Z$5="96th Percentile",VLOOKUP('Input PD LGD'!$A37,'Model Output_TTC'!$A:$Z,'Input PD LGD'!AE$8,FALSE),"")))))</f>
        <v>6.8600000000000008E-2</v>
      </c>
      <c r="L37" s="274">
        <f>VLOOKUP(A37,'Ref-Data'!$A:$N,14,0)</f>
        <v>0.44259999999999999</v>
      </c>
      <c r="M37" s="354">
        <f>VLOOKUP(A37,'Ref-Data'!A:I,9,0)</f>
        <v>1</v>
      </c>
      <c r="N37" s="354" t="s">
        <v>1156</v>
      </c>
      <c r="T37" s="346"/>
    </row>
    <row r="38" spans="1:20" x14ac:dyDescent="0.25">
      <c r="A38" s="277">
        <v>1200000124</v>
      </c>
      <c r="B38" s="277" t="str">
        <f>INDEX('Loan Book Summary'!B:C,MATCH('Input PD LGD'!A38,'Loan Book Summary'!C:C,0),1)</f>
        <v>Daisy Green Food Limited - Business Trading - Facility C - CBILS Refinance</v>
      </c>
      <c r="C38" s="400">
        <f>VLOOKUP(A38,Reference_Rate_Repricing_Report!B:P,15,FALSE)</f>
        <v>7.9</v>
      </c>
      <c r="D38" s="276">
        <f>IF('Ref-Data'!$Z$2="ON",VLOOKUP($A38,'MacroPD-Cal'!$A:$L,X$1,FALSE),IF('Ref-Data'!$Z$5 = "Weighted",VLOOKUP($A38,'Model Output_TTC'!$A:$CB,X$2,FALSE),IF('Ref-Data'!$Z$5="Baseline",VLOOKUP('Input PD LGD'!$A38,'Model Output_TTC'!$A:$AU,'Input PD LGD'!X$4,FALSE),IF('Ref-Data'!$Z$5="90th Percentile",VLOOKUP('Input PD LGD'!$A38,'Model Output_TTC'!$A:$BP,'Input PD LGD'!X$6,FALSE),IF('Ref-Data'!$Z$5="96th Percentile",VLOOKUP('Input PD LGD'!$A38,'Model Output_TTC'!$A:$Z,'Input PD LGD'!X$8,FALSE),"")))))</f>
        <v>3.4284526556452302E-3</v>
      </c>
      <c r="E38" s="276">
        <f>IF('Ref-Data'!$Z$2="ON",VLOOKUP($A38,'MacroPD-Cal'!$A:$L,Y$1,FALSE),IF('Ref-Data'!$Z$5 = "Weighted",VLOOKUP($A38,'Model Output_TTC'!$A:$CB,Y$2,FALSE),IF('Ref-Data'!$Z$5="Baseline",VLOOKUP('Input PD LGD'!$A38,'Model Output_TTC'!$A:$AU,'Input PD LGD'!Y$4,FALSE),IF('Ref-Data'!$Z$5="90th Percentile",VLOOKUP('Input PD LGD'!$A38,'Model Output_TTC'!$A:$BP,'Input PD LGD'!Y$6,FALSE),IF('Ref-Data'!$Z$5="96th Percentile",VLOOKUP('Input PD LGD'!$A38,'Model Output_TTC'!$A:$Z,'Input PD LGD'!Y$8,FALSE),"")))))</f>
        <v>7.9442220353370674E-3</v>
      </c>
      <c r="F38" s="276">
        <f>IF('Ref-Data'!$Z$2="ON",VLOOKUP($A38,'MacroPD-Cal'!$A:$L,Z$1,FALSE),IF('Ref-Data'!$Z$5 = "Weighted",VLOOKUP($A38,'Model Output_TTC'!$A:$CB,Z$2,FALSE),IF('Ref-Data'!$Z$5="Baseline",VLOOKUP('Input PD LGD'!$A38,'Model Output_TTC'!$A:$AU,'Input PD LGD'!Z$4,FALSE),IF('Ref-Data'!$Z$5="90th Percentile",VLOOKUP('Input PD LGD'!$A38,'Model Output_TTC'!$A:$BP,'Input PD LGD'!Z$6,FALSE),IF('Ref-Data'!$Z$5="96th Percentile",VLOOKUP('Input PD LGD'!$A38,'Model Output_TTC'!$A:$Z,'Input PD LGD'!Z$8,FALSE),"")))))</f>
        <v>1.3061619214511988E-2</v>
      </c>
      <c r="G38" s="276">
        <f>IF('Ref-Data'!$Z$2="ON",VLOOKUP($A38,'MacroPD-Cal'!$A:$L,AA$1,FALSE),IF('Ref-Data'!$Z$5 = "Weighted",VLOOKUP($A38,'Model Output_TTC'!$A:$CB,AA$2,FALSE),IF('Ref-Data'!$Z$5="Baseline",VLOOKUP('Input PD LGD'!$A38,'Model Output_TTC'!$A:$AU,'Input PD LGD'!AA$4,FALSE),IF('Ref-Data'!$Z$5="90th Percentile",VLOOKUP('Input PD LGD'!$A38,'Model Output_TTC'!$A:$BP,'Input PD LGD'!AA$6,FALSE),IF('Ref-Data'!$Z$5="96th Percentile",VLOOKUP('Input PD LGD'!$A38,'Model Output_TTC'!$A:$Z,'Input PD LGD'!AA$8,FALSE),"")))))</f>
        <v>1.9599999999999999E-2</v>
      </c>
      <c r="H38" s="276">
        <f>IF('Ref-Data'!$Z$2="ON",VLOOKUP($A38,'MacroPD-Cal'!$A:$L,AB$1,FALSE),IF('Ref-Data'!$Z$5 = "Weighted",VLOOKUP($A38,'Model Output_TTC'!$A:$CB,AB$2,FALSE),IF('Ref-Data'!$Z$5="Baseline",VLOOKUP('Input PD LGD'!$A38,'Model Output_TTC'!$A:$AU,'Input PD LGD'!AB$4,FALSE),IF('Ref-Data'!$Z$5="90th Percentile",VLOOKUP('Input PD LGD'!$A38,'Model Output_TTC'!$A:$BP,'Input PD LGD'!AB$6,FALSE),IF('Ref-Data'!$Z$5="96th Percentile",VLOOKUP('Input PD LGD'!$A38,'Model Output_TTC'!$A:$Z,'Input PD LGD'!AB$8,FALSE),"")))))</f>
        <v>3.04E-2</v>
      </c>
      <c r="I38" s="276">
        <f>IF('Ref-Data'!$Z$2="ON",VLOOKUP($A38,'MacroPD-Cal'!$A:$L,AC$1,FALSE),IF('Ref-Data'!$Z$5 = "Weighted",VLOOKUP($A38,'Model Output_TTC'!$A:$CB,AC$2,FALSE),IF('Ref-Data'!$Z$5="Baseline",VLOOKUP('Input PD LGD'!$A38,'Model Output_TTC'!$A:$AU,'Input PD LGD'!AC$4,FALSE),IF('Ref-Data'!$Z$5="90th Percentile",VLOOKUP('Input PD LGD'!$A38,'Model Output_TTC'!$A:$BP,'Input PD LGD'!AC$6,FALSE),IF('Ref-Data'!$Z$5="96th Percentile",VLOOKUP('Input PD LGD'!$A38,'Model Output_TTC'!$A:$Z,'Input PD LGD'!AC$8,FALSE),"")))))</f>
        <v>3.7100000000000001E-2</v>
      </c>
      <c r="J38" s="276">
        <f>IF('Ref-Data'!$Z$2="ON",VLOOKUP($A38,'MacroPD-Cal'!$A:$L,AD$1,FALSE),IF('Ref-Data'!$Z$5 = "Weighted",VLOOKUP($A38,'Model Output_TTC'!$A:$CB,AD$2,FALSE),IF('Ref-Data'!$Z$5="Baseline",VLOOKUP('Input PD LGD'!$A38,'Model Output_TTC'!$A:$AU,'Input PD LGD'!AD$4,FALSE),IF('Ref-Data'!$Z$5="90th Percentile",VLOOKUP('Input PD LGD'!$A38,'Model Output_TTC'!$A:$BP,'Input PD LGD'!AD$6,FALSE),IF('Ref-Data'!$Z$5="96th Percentile",VLOOKUP('Input PD LGD'!$A38,'Model Output_TTC'!$A:$Z,'Input PD LGD'!AD$8,FALSE),"")))))</f>
        <v>5.2600000000000001E-2</v>
      </c>
      <c r="K38" s="276">
        <f>IF('Ref-Data'!$Z$2="ON",VLOOKUP($A38,'MacroPD-Cal'!$A:$L,AE$1,FALSE),IF('Ref-Data'!$Z$5 = "Weighted",VLOOKUP($A38,'Model Output_TTC'!$A:$CB,AE$2,FALSE),IF('Ref-Data'!$Z$5="Baseline",VLOOKUP('Input PD LGD'!$A38,'Model Output_TTC'!$A:$AU,'Input PD LGD'!AE$4,FALSE),IF('Ref-Data'!$Z$5="90th Percentile",VLOOKUP('Input PD LGD'!$A38,'Model Output_TTC'!$A:$BP,'Input PD LGD'!AE$6,FALSE),IF('Ref-Data'!$Z$5="96th Percentile",VLOOKUP('Input PD LGD'!$A38,'Model Output_TTC'!$A:$Z,'Input PD LGD'!AE$8,FALSE),"")))))</f>
        <v>6.8600000000000008E-2</v>
      </c>
      <c r="L38" s="274">
        <f>VLOOKUP(A38,'Ref-Data'!$A:$N,14,0)</f>
        <v>0.44259999999999999</v>
      </c>
      <c r="M38" s="354">
        <f>VLOOKUP(A38,'Ref-Data'!A:I,9,0)</f>
        <v>1</v>
      </c>
      <c r="N38" s="354" t="s">
        <v>1156</v>
      </c>
      <c r="T38" s="346"/>
    </row>
    <row r="39" spans="1:20" x14ac:dyDescent="0.25">
      <c r="A39" s="277">
        <v>1200000127</v>
      </c>
      <c r="B39" s="277" t="str">
        <f>INDEX('Loan Book Summary'!B:C,MATCH('Input PD LGD'!A39,'Loan Book Summary'!C:C,0),1)</f>
        <v>Daisy Green Food Limited - Business Trading - Facility D - CBILS New Money</v>
      </c>
      <c r="C39" s="400">
        <f>VLOOKUP(A39,Reference_Rate_Repricing_Report!B:P,15,FALSE)</f>
        <v>7.9</v>
      </c>
      <c r="D39" s="276">
        <f>IF('Ref-Data'!$Z$2="ON",VLOOKUP($A39,'MacroPD-Cal'!$A:$L,X$1,FALSE),IF('Ref-Data'!$Z$5 = "Weighted",VLOOKUP($A39,'Model Output_TTC'!$A:$CB,X$2,FALSE),IF('Ref-Data'!$Z$5="Baseline",VLOOKUP('Input PD LGD'!$A39,'Model Output_TTC'!$A:$AU,'Input PD LGD'!X$4,FALSE),IF('Ref-Data'!$Z$5="90th Percentile",VLOOKUP('Input PD LGD'!$A39,'Model Output_TTC'!$A:$BP,'Input PD LGD'!X$6,FALSE),IF('Ref-Data'!$Z$5="96th Percentile",VLOOKUP('Input PD LGD'!$A39,'Model Output_TTC'!$A:$Z,'Input PD LGD'!X$8,FALSE),"")))))</f>
        <v>3.4284526556452302E-3</v>
      </c>
      <c r="E39" s="276">
        <f>IF('Ref-Data'!$Z$2="ON",VLOOKUP($A39,'MacroPD-Cal'!$A:$L,Y$1,FALSE),IF('Ref-Data'!$Z$5 = "Weighted",VLOOKUP($A39,'Model Output_TTC'!$A:$CB,Y$2,FALSE),IF('Ref-Data'!$Z$5="Baseline",VLOOKUP('Input PD LGD'!$A39,'Model Output_TTC'!$A:$AU,'Input PD LGD'!Y$4,FALSE),IF('Ref-Data'!$Z$5="90th Percentile",VLOOKUP('Input PD LGD'!$A39,'Model Output_TTC'!$A:$BP,'Input PD LGD'!Y$6,FALSE),IF('Ref-Data'!$Z$5="96th Percentile",VLOOKUP('Input PD LGD'!$A39,'Model Output_TTC'!$A:$Z,'Input PD LGD'!Y$8,FALSE),"")))))</f>
        <v>7.9442220353370674E-3</v>
      </c>
      <c r="F39" s="276">
        <f>IF('Ref-Data'!$Z$2="ON",VLOOKUP($A39,'MacroPD-Cal'!$A:$L,Z$1,FALSE),IF('Ref-Data'!$Z$5 = "Weighted",VLOOKUP($A39,'Model Output_TTC'!$A:$CB,Z$2,FALSE),IF('Ref-Data'!$Z$5="Baseline",VLOOKUP('Input PD LGD'!$A39,'Model Output_TTC'!$A:$AU,'Input PD LGD'!Z$4,FALSE),IF('Ref-Data'!$Z$5="90th Percentile",VLOOKUP('Input PD LGD'!$A39,'Model Output_TTC'!$A:$BP,'Input PD LGD'!Z$6,FALSE),IF('Ref-Data'!$Z$5="96th Percentile",VLOOKUP('Input PD LGD'!$A39,'Model Output_TTC'!$A:$Z,'Input PD LGD'!Z$8,FALSE),"")))))</f>
        <v>1.3061619214511988E-2</v>
      </c>
      <c r="G39" s="276">
        <f>IF('Ref-Data'!$Z$2="ON",VLOOKUP($A39,'MacroPD-Cal'!$A:$L,AA$1,FALSE),IF('Ref-Data'!$Z$5 = "Weighted",VLOOKUP($A39,'Model Output_TTC'!$A:$CB,AA$2,FALSE),IF('Ref-Data'!$Z$5="Baseline",VLOOKUP('Input PD LGD'!$A39,'Model Output_TTC'!$A:$AU,'Input PD LGD'!AA$4,FALSE),IF('Ref-Data'!$Z$5="90th Percentile",VLOOKUP('Input PD LGD'!$A39,'Model Output_TTC'!$A:$BP,'Input PD LGD'!AA$6,FALSE),IF('Ref-Data'!$Z$5="96th Percentile",VLOOKUP('Input PD LGD'!$A39,'Model Output_TTC'!$A:$Z,'Input PD LGD'!AA$8,FALSE),"")))))</f>
        <v>1.9599999999999999E-2</v>
      </c>
      <c r="H39" s="276">
        <f>IF('Ref-Data'!$Z$2="ON",VLOOKUP($A39,'MacroPD-Cal'!$A:$L,AB$1,FALSE),IF('Ref-Data'!$Z$5 = "Weighted",VLOOKUP($A39,'Model Output_TTC'!$A:$CB,AB$2,FALSE),IF('Ref-Data'!$Z$5="Baseline",VLOOKUP('Input PD LGD'!$A39,'Model Output_TTC'!$A:$AU,'Input PD LGD'!AB$4,FALSE),IF('Ref-Data'!$Z$5="90th Percentile",VLOOKUP('Input PD LGD'!$A39,'Model Output_TTC'!$A:$BP,'Input PD LGD'!AB$6,FALSE),IF('Ref-Data'!$Z$5="96th Percentile",VLOOKUP('Input PD LGD'!$A39,'Model Output_TTC'!$A:$Z,'Input PD LGD'!AB$8,FALSE),"")))))</f>
        <v>3.04E-2</v>
      </c>
      <c r="I39" s="276">
        <f>IF('Ref-Data'!$Z$2="ON",VLOOKUP($A39,'MacroPD-Cal'!$A:$L,AC$1,FALSE),IF('Ref-Data'!$Z$5 = "Weighted",VLOOKUP($A39,'Model Output_TTC'!$A:$CB,AC$2,FALSE),IF('Ref-Data'!$Z$5="Baseline",VLOOKUP('Input PD LGD'!$A39,'Model Output_TTC'!$A:$AU,'Input PD LGD'!AC$4,FALSE),IF('Ref-Data'!$Z$5="90th Percentile",VLOOKUP('Input PD LGD'!$A39,'Model Output_TTC'!$A:$BP,'Input PD LGD'!AC$6,FALSE),IF('Ref-Data'!$Z$5="96th Percentile",VLOOKUP('Input PD LGD'!$A39,'Model Output_TTC'!$A:$Z,'Input PD LGD'!AC$8,FALSE),"")))))</f>
        <v>3.7100000000000001E-2</v>
      </c>
      <c r="J39" s="276">
        <f>IF('Ref-Data'!$Z$2="ON",VLOOKUP($A39,'MacroPD-Cal'!$A:$L,AD$1,FALSE),IF('Ref-Data'!$Z$5 = "Weighted",VLOOKUP($A39,'Model Output_TTC'!$A:$CB,AD$2,FALSE),IF('Ref-Data'!$Z$5="Baseline",VLOOKUP('Input PD LGD'!$A39,'Model Output_TTC'!$A:$AU,'Input PD LGD'!AD$4,FALSE),IF('Ref-Data'!$Z$5="90th Percentile",VLOOKUP('Input PD LGD'!$A39,'Model Output_TTC'!$A:$BP,'Input PD LGD'!AD$6,FALSE),IF('Ref-Data'!$Z$5="96th Percentile",VLOOKUP('Input PD LGD'!$A39,'Model Output_TTC'!$A:$Z,'Input PD LGD'!AD$8,FALSE),"")))))</f>
        <v>5.2600000000000001E-2</v>
      </c>
      <c r="K39" s="276">
        <f>IF('Ref-Data'!$Z$2="ON",VLOOKUP($A39,'MacroPD-Cal'!$A:$L,AE$1,FALSE),IF('Ref-Data'!$Z$5 = "Weighted",VLOOKUP($A39,'Model Output_TTC'!$A:$CB,AE$2,FALSE),IF('Ref-Data'!$Z$5="Baseline",VLOOKUP('Input PD LGD'!$A39,'Model Output_TTC'!$A:$AU,'Input PD LGD'!AE$4,FALSE),IF('Ref-Data'!$Z$5="90th Percentile",VLOOKUP('Input PD LGD'!$A39,'Model Output_TTC'!$A:$BP,'Input PD LGD'!AE$6,FALSE),IF('Ref-Data'!$Z$5="96th Percentile",VLOOKUP('Input PD LGD'!$A39,'Model Output_TTC'!$A:$Z,'Input PD LGD'!AE$8,FALSE),"")))))</f>
        <v>6.8600000000000008E-2</v>
      </c>
      <c r="L39" s="274">
        <f>VLOOKUP(A39,'Ref-Data'!$A:$N,14,0)</f>
        <v>0.44259999999999999</v>
      </c>
      <c r="M39" s="354">
        <f>VLOOKUP(A39,'Ref-Data'!A:I,9,0)</f>
        <v>1</v>
      </c>
      <c r="N39" s="354" t="s">
        <v>1156</v>
      </c>
      <c r="T39" s="346"/>
    </row>
    <row r="40" spans="1:20" x14ac:dyDescent="0.25">
      <c r="A40" s="277">
        <v>1200000132</v>
      </c>
      <c r="B40" s="277" t="str">
        <f>INDEX('Loan Book Summary'!B:C,MATCH('Input PD LGD'!A40,'Loan Book Summary'!C:C,0),1)</f>
        <v>Starboard Hotels - SBH Park Holding - Business Trading - Facility B - CBILS Refi</v>
      </c>
      <c r="C40" s="400">
        <f>VLOOKUP(A40,Reference_Rate_Repricing_Report!B:P,15,FALSE)</f>
        <v>7.48</v>
      </c>
      <c r="D40" s="276">
        <f>IF('Ref-Data'!$Z$2="ON",VLOOKUP($A40,'MacroPD-Cal'!$A:$L,X$1,FALSE),IF('Ref-Data'!$Z$5 = "Weighted",VLOOKUP($A40,'Model Output_TTC'!$A:$CB,X$2,FALSE),IF('Ref-Data'!$Z$5="Baseline",VLOOKUP('Input PD LGD'!$A40,'Model Output_TTC'!$A:$AU,'Input PD LGD'!X$4,FALSE),IF('Ref-Data'!$Z$5="90th Percentile",VLOOKUP('Input PD LGD'!$A40,'Model Output_TTC'!$A:$BP,'Input PD LGD'!X$6,FALSE),IF('Ref-Data'!$Z$5="96th Percentile",VLOOKUP('Input PD LGD'!$A40,'Model Output_TTC'!$A:$Z,'Input PD LGD'!X$8,FALSE),"")))))</f>
        <v>3.9335337154020281E-2</v>
      </c>
      <c r="E40" s="276">
        <f>IF('Ref-Data'!$Z$2="ON",VLOOKUP($A40,'MacroPD-Cal'!$A:$L,Y$1,FALSE),IF('Ref-Data'!$Z$5 = "Weighted",VLOOKUP($A40,'Model Output_TTC'!$A:$CB,Y$2,FALSE),IF('Ref-Data'!$Z$5="Baseline",VLOOKUP('Input PD LGD'!$A40,'Model Output_TTC'!$A:$AU,'Input PD LGD'!Y$4,FALSE),IF('Ref-Data'!$Z$5="90th Percentile",VLOOKUP('Input PD LGD'!$A40,'Model Output_TTC'!$A:$BP,'Input PD LGD'!Y$6,FALSE),IF('Ref-Data'!$Z$5="96th Percentile",VLOOKUP('Input PD LGD'!$A40,'Model Output_TTC'!$A:$Z,'Input PD LGD'!Y$8,FALSE),"")))))</f>
        <v>8.5460952654883182E-2</v>
      </c>
      <c r="F40" s="276">
        <f>IF('Ref-Data'!$Z$2="ON",VLOOKUP($A40,'MacroPD-Cal'!$A:$L,Z$1,FALSE),IF('Ref-Data'!$Z$5 = "Weighted",VLOOKUP($A40,'Model Output_TTC'!$A:$CB,Z$2,FALSE),IF('Ref-Data'!$Z$5="Baseline",VLOOKUP('Input PD LGD'!$A40,'Model Output_TTC'!$A:$AU,'Input PD LGD'!Z$4,FALSE),IF('Ref-Data'!$Z$5="90th Percentile",VLOOKUP('Input PD LGD'!$A40,'Model Output_TTC'!$A:$BP,'Input PD LGD'!Z$6,FALSE),IF('Ref-Data'!$Z$5="96th Percentile",VLOOKUP('Input PD LGD'!$A40,'Model Output_TTC'!$A:$Z,'Input PD LGD'!Z$8,FALSE),"")))))</f>
        <v>0.13360360384645742</v>
      </c>
      <c r="G40" s="276">
        <f>IF('Ref-Data'!$Z$2="ON",VLOOKUP($A40,'MacroPD-Cal'!$A:$L,AA$1,FALSE),IF('Ref-Data'!$Z$5 = "Weighted",VLOOKUP($A40,'Model Output_TTC'!$A:$CB,AA$2,FALSE),IF('Ref-Data'!$Z$5="Baseline",VLOOKUP('Input PD LGD'!$A40,'Model Output_TTC'!$A:$AU,'Input PD LGD'!AA$4,FALSE),IF('Ref-Data'!$Z$5="90th Percentile",VLOOKUP('Input PD LGD'!$A40,'Model Output_TTC'!$A:$BP,'Input PD LGD'!AA$6,FALSE),IF('Ref-Data'!$Z$5="96th Percentile",VLOOKUP('Input PD LGD'!$A40,'Model Output_TTC'!$A:$Z,'Input PD LGD'!AA$8,FALSE),"")))))</f>
        <v>0.1885</v>
      </c>
      <c r="H40" s="276">
        <f>IF('Ref-Data'!$Z$2="ON",VLOOKUP($A40,'MacroPD-Cal'!$A:$L,AB$1,FALSE),IF('Ref-Data'!$Z$5 = "Weighted",VLOOKUP($A40,'Model Output_TTC'!$A:$CB,AB$2,FALSE),IF('Ref-Data'!$Z$5="Baseline",VLOOKUP('Input PD LGD'!$A40,'Model Output_TTC'!$A:$AU,'Input PD LGD'!AB$4,FALSE),IF('Ref-Data'!$Z$5="90th Percentile",VLOOKUP('Input PD LGD'!$A40,'Model Output_TTC'!$A:$BP,'Input PD LGD'!AB$6,FALSE),IF('Ref-Data'!$Z$5="96th Percentile",VLOOKUP('Input PD LGD'!$A40,'Model Output_TTC'!$A:$Z,'Input PD LGD'!AB$8,FALSE),"")))))</f>
        <v>0.28870000000000001</v>
      </c>
      <c r="I40" s="276">
        <f>IF('Ref-Data'!$Z$2="ON",VLOOKUP($A40,'MacroPD-Cal'!$A:$L,AC$1,FALSE),IF('Ref-Data'!$Z$5 = "Weighted",VLOOKUP($A40,'Model Output_TTC'!$A:$CB,AC$2,FALSE),IF('Ref-Data'!$Z$5="Baseline",VLOOKUP('Input PD LGD'!$A40,'Model Output_TTC'!$A:$AU,'Input PD LGD'!AC$4,FALSE),IF('Ref-Data'!$Z$5="90th Percentile",VLOOKUP('Input PD LGD'!$A40,'Model Output_TTC'!$A:$BP,'Input PD LGD'!AC$6,FALSE),IF('Ref-Data'!$Z$5="96th Percentile",VLOOKUP('Input PD LGD'!$A40,'Model Output_TTC'!$A:$Z,'Input PD LGD'!AC$8,FALSE),"")))))</f>
        <v>0.35089999999999999</v>
      </c>
      <c r="J40" s="276">
        <f>IF('Ref-Data'!$Z$2="ON",VLOOKUP($A40,'MacroPD-Cal'!$A:$L,AD$1,FALSE),IF('Ref-Data'!$Z$5 = "Weighted",VLOOKUP($A40,'Model Output_TTC'!$A:$CB,AD$2,FALSE),IF('Ref-Data'!$Z$5="Baseline",VLOOKUP('Input PD LGD'!$A40,'Model Output_TTC'!$A:$AU,'Input PD LGD'!AD$4,FALSE),IF('Ref-Data'!$Z$5="90th Percentile",VLOOKUP('Input PD LGD'!$A40,'Model Output_TTC'!$A:$BP,'Input PD LGD'!AD$6,FALSE),IF('Ref-Data'!$Z$5="96th Percentile",VLOOKUP('Input PD LGD'!$A40,'Model Output_TTC'!$A:$Z,'Input PD LGD'!AD$8,FALSE),"")))))</f>
        <v>0.44540000000000002</v>
      </c>
      <c r="K40" s="276">
        <f>IF('Ref-Data'!$Z$2="ON",VLOOKUP($A40,'MacroPD-Cal'!$A:$L,AE$1,FALSE),IF('Ref-Data'!$Z$5 = "Weighted",VLOOKUP($A40,'Model Output_TTC'!$A:$CB,AE$2,FALSE),IF('Ref-Data'!$Z$5="Baseline",VLOOKUP('Input PD LGD'!$A40,'Model Output_TTC'!$A:$AU,'Input PD LGD'!AE$4,FALSE),IF('Ref-Data'!$Z$5="90th Percentile",VLOOKUP('Input PD LGD'!$A40,'Model Output_TTC'!$A:$BP,'Input PD LGD'!AE$6,FALSE),IF('Ref-Data'!$Z$5="96th Percentile",VLOOKUP('Input PD LGD'!$A40,'Model Output_TTC'!$A:$Z,'Input PD LGD'!AE$8,FALSE),"")))))</f>
        <v>0.52690000000000003</v>
      </c>
      <c r="L40" s="274">
        <f>VLOOKUP(A40,'Ref-Data'!$A:$N,14,0)</f>
        <v>0.15373995174733182</v>
      </c>
      <c r="M40" s="354">
        <f>VLOOKUP(A40,'Ref-Data'!A:I,9,0)</f>
        <v>1</v>
      </c>
      <c r="N40" s="354" t="s">
        <v>1156</v>
      </c>
      <c r="T40" s="346"/>
    </row>
    <row r="41" spans="1:20" x14ac:dyDescent="0.25">
      <c r="A41" s="277">
        <v>1200000133</v>
      </c>
      <c r="B41" s="277" t="str">
        <f>INDEX('Loan Book Summary'!B:C,MATCH('Input PD LGD'!A41,'Loan Book Summary'!C:C,0),1)</f>
        <v>Rosedale - Bike &amp; Boot / Leisure &amp; Hotel - Business Trading - CBILS A Refinance</v>
      </c>
      <c r="C41" s="400">
        <f>VLOOKUP(A41,Reference_Rate_Repricing_Report!B:P,15,FALSE)</f>
        <v>7.32</v>
      </c>
      <c r="D41" s="276">
        <f>IF('Ref-Data'!$Z$2="ON",VLOOKUP($A41,'MacroPD-Cal'!$A:$L,X$1,FALSE),IF('Ref-Data'!$Z$5 = "Weighted",VLOOKUP($A41,'Model Output_TTC'!$A:$CB,X$2,FALSE),IF('Ref-Data'!$Z$5="Baseline",VLOOKUP('Input PD LGD'!$A41,'Model Output_TTC'!$A:$AU,'Input PD LGD'!X$4,FALSE),IF('Ref-Data'!$Z$5="90th Percentile",VLOOKUP('Input PD LGD'!$A41,'Model Output_TTC'!$A:$BP,'Input PD LGD'!X$6,FALSE),IF('Ref-Data'!$Z$5="96th Percentile",VLOOKUP('Input PD LGD'!$A41,'Model Output_TTC'!$A:$Z,'Input PD LGD'!X$8,FALSE),"")))))</f>
        <v>1.4664857435136747E-3</v>
      </c>
      <c r="E41" s="276">
        <f>IF('Ref-Data'!$Z$2="ON",VLOOKUP($A41,'MacroPD-Cal'!$A:$L,Y$1,FALSE),IF('Ref-Data'!$Z$5 = "Weighted",VLOOKUP($A41,'Model Output_TTC'!$A:$CB,Y$2,FALSE),IF('Ref-Data'!$Z$5="Baseline",VLOOKUP('Input PD LGD'!$A41,'Model Output_TTC'!$A:$AU,'Input PD LGD'!Y$4,FALSE),IF('Ref-Data'!$Z$5="90th Percentile",VLOOKUP('Input PD LGD'!$A41,'Model Output_TTC'!$A:$BP,'Input PD LGD'!Y$6,FALSE),IF('Ref-Data'!$Z$5="96th Percentile",VLOOKUP('Input PD LGD'!$A41,'Model Output_TTC'!$A:$Z,'Input PD LGD'!Y$8,FALSE),"")))))</f>
        <v>3.4478863367868318E-3</v>
      </c>
      <c r="F41" s="276">
        <f>IF('Ref-Data'!$Z$2="ON",VLOOKUP($A41,'MacroPD-Cal'!$A:$L,Z$1,FALSE),IF('Ref-Data'!$Z$5 = "Weighted",VLOOKUP($A41,'Model Output_TTC'!$A:$CB,Z$2,FALSE),IF('Ref-Data'!$Z$5="Baseline",VLOOKUP('Input PD LGD'!$A41,'Model Output_TTC'!$A:$AU,'Input PD LGD'!Z$4,FALSE),IF('Ref-Data'!$Z$5="90th Percentile",VLOOKUP('Input PD LGD'!$A41,'Model Output_TTC'!$A:$BP,'Input PD LGD'!Z$6,FALSE),IF('Ref-Data'!$Z$5="96th Percentile",VLOOKUP('Input PD LGD'!$A41,'Model Output_TTC'!$A:$Z,'Input PD LGD'!Z$8,FALSE),"")))))</f>
        <v>5.724206043032698E-3</v>
      </c>
      <c r="G41" s="276">
        <f>IF('Ref-Data'!$Z$2="ON",VLOOKUP($A41,'MacroPD-Cal'!$A:$L,AA$1,FALSE),IF('Ref-Data'!$Z$5 = "Weighted",VLOOKUP($A41,'Model Output_TTC'!$A:$CB,AA$2,FALSE),IF('Ref-Data'!$Z$5="Baseline",VLOOKUP('Input PD LGD'!$A41,'Model Output_TTC'!$A:$AU,'Input PD LGD'!AA$4,FALSE),IF('Ref-Data'!$Z$5="90th Percentile",VLOOKUP('Input PD LGD'!$A41,'Model Output_TTC'!$A:$BP,'Input PD LGD'!AA$6,FALSE),IF('Ref-Data'!$Z$5="96th Percentile",VLOOKUP('Input PD LGD'!$A41,'Model Output_TTC'!$A:$Z,'Input PD LGD'!AA$8,FALSE),"")))))</f>
        <v>8.7000000000000011E-3</v>
      </c>
      <c r="H41" s="276">
        <f>IF('Ref-Data'!$Z$2="ON",VLOOKUP($A41,'MacroPD-Cal'!$A:$L,AB$1,FALSE),IF('Ref-Data'!$Z$5 = "Weighted",VLOOKUP($A41,'Model Output_TTC'!$A:$CB,AB$2,FALSE),IF('Ref-Data'!$Z$5="Baseline",VLOOKUP('Input PD LGD'!$A41,'Model Output_TTC'!$A:$AU,'Input PD LGD'!AB$4,FALSE),IF('Ref-Data'!$Z$5="90th Percentile",VLOOKUP('Input PD LGD'!$A41,'Model Output_TTC'!$A:$BP,'Input PD LGD'!AB$6,FALSE),IF('Ref-Data'!$Z$5="96th Percentile",VLOOKUP('Input PD LGD'!$A41,'Model Output_TTC'!$A:$Z,'Input PD LGD'!AB$8,FALSE),"")))))</f>
        <v>1.4E-2</v>
      </c>
      <c r="I41" s="276">
        <f>IF('Ref-Data'!$Z$2="ON",VLOOKUP($A41,'MacroPD-Cal'!$A:$L,AC$1,FALSE),IF('Ref-Data'!$Z$5 = "Weighted",VLOOKUP($A41,'Model Output_TTC'!$A:$CB,AC$2,FALSE),IF('Ref-Data'!$Z$5="Baseline",VLOOKUP('Input PD LGD'!$A41,'Model Output_TTC'!$A:$AU,'Input PD LGD'!AC$4,FALSE),IF('Ref-Data'!$Z$5="90th Percentile",VLOOKUP('Input PD LGD'!$A41,'Model Output_TTC'!$A:$BP,'Input PD LGD'!AC$6,FALSE),IF('Ref-Data'!$Z$5="96th Percentile",VLOOKUP('Input PD LGD'!$A41,'Model Output_TTC'!$A:$Z,'Input PD LGD'!AC$8,FALSE),"")))))</f>
        <v>1.7600000000000001E-2</v>
      </c>
      <c r="J41" s="276">
        <f>IF('Ref-Data'!$Z$2="ON",VLOOKUP($A41,'MacroPD-Cal'!$A:$L,AD$1,FALSE),IF('Ref-Data'!$Z$5 = "Weighted",VLOOKUP($A41,'Model Output_TTC'!$A:$CB,AD$2,FALSE),IF('Ref-Data'!$Z$5="Baseline",VLOOKUP('Input PD LGD'!$A41,'Model Output_TTC'!$A:$AU,'Input PD LGD'!AD$4,FALSE),IF('Ref-Data'!$Z$5="90th Percentile",VLOOKUP('Input PD LGD'!$A41,'Model Output_TTC'!$A:$BP,'Input PD LGD'!AD$6,FALSE),IF('Ref-Data'!$Z$5="96th Percentile",VLOOKUP('Input PD LGD'!$A41,'Model Output_TTC'!$A:$Z,'Input PD LGD'!AD$8,FALSE),"")))))</f>
        <v>2.69E-2</v>
      </c>
      <c r="K41" s="276">
        <f>IF('Ref-Data'!$Z$2="ON",VLOOKUP($A41,'MacroPD-Cal'!$A:$L,AE$1,FALSE),IF('Ref-Data'!$Z$5 = "Weighted",VLOOKUP($A41,'Model Output_TTC'!$A:$CB,AE$2,FALSE),IF('Ref-Data'!$Z$5="Baseline",VLOOKUP('Input PD LGD'!$A41,'Model Output_TTC'!$A:$AU,'Input PD LGD'!AE$4,FALSE),IF('Ref-Data'!$Z$5="90th Percentile",VLOOKUP('Input PD LGD'!$A41,'Model Output_TTC'!$A:$BP,'Input PD LGD'!AE$6,FALSE),IF('Ref-Data'!$Z$5="96th Percentile",VLOOKUP('Input PD LGD'!$A41,'Model Output_TTC'!$A:$Z,'Input PD LGD'!AE$8,FALSE),"")))))</f>
        <v>3.7100000000000001E-2</v>
      </c>
      <c r="L41" s="274">
        <f>VLOOKUP(A41,'Ref-Data'!$A:$N,14,0)</f>
        <v>0.15</v>
      </c>
      <c r="M41" s="354">
        <f>VLOOKUP(A41,'Ref-Data'!A:I,9,0)</f>
        <v>1</v>
      </c>
      <c r="N41" s="354" t="s">
        <v>1156</v>
      </c>
      <c r="T41" s="346"/>
    </row>
    <row r="42" spans="1:20" x14ac:dyDescent="0.25">
      <c r="A42" s="277">
        <v>1200000134</v>
      </c>
      <c r="B42" s="277" t="str">
        <f>INDEX('Loan Book Summary'!B:C,MATCH('Input PD LGD'!A42,'Loan Book Summary'!C:C,0),1)</f>
        <v>Rosedale - Bike &amp; Boot / Leisure &amp; Hotel - Business Trading - CBILS B New Money</v>
      </c>
      <c r="C42" s="400">
        <f>VLOOKUP(A42,Reference_Rate_Repricing_Report!B:P,15,FALSE)</f>
        <v>7.32</v>
      </c>
      <c r="D42" s="276">
        <f>IF('Ref-Data'!$Z$2="ON",VLOOKUP($A42,'MacroPD-Cal'!$A:$L,X$1,FALSE),IF('Ref-Data'!$Z$5 = "Weighted",VLOOKUP($A42,'Model Output_TTC'!$A:$CB,X$2,FALSE),IF('Ref-Data'!$Z$5="Baseline",VLOOKUP('Input PD LGD'!$A42,'Model Output_TTC'!$A:$AU,'Input PD LGD'!X$4,FALSE),IF('Ref-Data'!$Z$5="90th Percentile",VLOOKUP('Input PD LGD'!$A42,'Model Output_TTC'!$A:$BP,'Input PD LGD'!X$6,FALSE),IF('Ref-Data'!$Z$5="96th Percentile",VLOOKUP('Input PD LGD'!$A42,'Model Output_TTC'!$A:$Z,'Input PD LGD'!X$8,FALSE),"")))))</f>
        <v>1.4664857435136747E-3</v>
      </c>
      <c r="E42" s="276">
        <f>IF('Ref-Data'!$Z$2="ON",VLOOKUP($A42,'MacroPD-Cal'!$A:$L,Y$1,FALSE),IF('Ref-Data'!$Z$5 = "Weighted",VLOOKUP($A42,'Model Output_TTC'!$A:$CB,Y$2,FALSE),IF('Ref-Data'!$Z$5="Baseline",VLOOKUP('Input PD LGD'!$A42,'Model Output_TTC'!$A:$AU,'Input PD LGD'!Y$4,FALSE),IF('Ref-Data'!$Z$5="90th Percentile",VLOOKUP('Input PD LGD'!$A42,'Model Output_TTC'!$A:$BP,'Input PD LGD'!Y$6,FALSE),IF('Ref-Data'!$Z$5="96th Percentile",VLOOKUP('Input PD LGD'!$A42,'Model Output_TTC'!$A:$Z,'Input PD LGD'!Y$8,FALSE),"")))))</f>
        <v>3.4478863367868318E-3</v>
      </c>
      <c r="F42" s="276">
        <f>IF('Ref-Data'!$Z$2="ON",VLOOKUP($A42,'MacroPD-Cal'!$A:$L,Z$1,FALSE),IF('Ref-Data'!$Z$5 = "Weighted",VLOOKUP($A42,'Model Output_TTC'!$A:$CB,Z$2,FALSE),IF('Ref-Data'!$Z$5="Baseline",VLOOKUP('Input PD LGD'!$A42,'Model Output_TTC'!$A:$AU,'Input PD LGD'!Z$4,FALSE),IF('Ref-Data'!$Z$5="90th Percentile",VLOOKUP('Input PD LGD'!$A42,'Model Output_TTC'!$A:$BP,'Input PD LGD'!Z$6,FALSE),IF('Ref-Data'!$Z$5="96th Percentile",VLOOKUP('Input PD LGD'!$A42,'Model Output_TTC'!$A:$Z,'Input PD LGD'!Z$8,FALSE),"")))))</f>
        <v>5.724206043032698E-3</v>
      </c>
      <c r="G42" s="276">
        <f>IF('Ref-Data'!$Z$2="ON",VLOOKUP($A42,'MacroPD-Cal'!$A:$L,AA$1,FALSE),IF('Ref-Data'!$Z$5 = "Weighted",VLOOKUP($A42,'Model Output_TTC'!$A:$CB,AA$2,FALSE),IF('Ref-Data'!$Z$5="Baseline",VLOOKUP('Input PD LGD'!$A42,'Model Output_TTC'!$A:$AU,'Input PD LGD'!AA$4,FALSE),IF('Ref-Data'!$Z$5="90th Percentile",VLOOKUP('Input PD LGD'!$A42,'Model Output_TTC'!$A:$BP,'Input PD LGD'!AA$6,FALSE),IF('Ref-Data'!$Z$5="96th Percentile",VLOOKUP('Input PD LGD'!$A42,'Model Output_TTC'!$A:$Z,'Input PD LGD'!AA$8,FALSE),"")))))</f>
        <v>8.7000000000000011E-3</v>
      </c>
      <c r="H42" s="276">
        <f>IF('Ref-Data'!$Z$2="ON",VLOOKUP($A42,'MacroPD-Cal'!$A:$L,AB$1,FALSE),IF('Ref-Data'!$Z$5 = "Weighted",VLOOKUP($A42,'Model Output_TTC'!$A:$CB,AB$2,FALSE),IF('Ref-Data'!$Z$5="Baseline",VLOOKUP('Input PD LGD'!$A42,'Model Output_TTC'!$A:$AU,'Input PD LGD'!AB$4,FALSE),IF('Ref-Data'!$Z$5="90th Percentile",VLOOKUP('Input PD LGD'!$A42,'Model Output_TTC'!$A:$BP,'Input PD LGD'!AB$6,FALSE),IF('Ref-Data'!$Z$5="96th Percentile",VLOOKUP('Input PD LGD'!$A42,'Model Output_TTC'!$A:$Z,'Input PD LGD'!AB$8,FALSE),"")))))</f>
        <v>1.4E-2</v>
      </c>
      <c r="I42" s="276">
        <f>IF('Ref-Data'!$Z$2="ON",VLOOKUP($A42,'MacroPD-Cal'!$A:$L,AC$1,FALSE),IF('Ref-Data'!$Z$5 = "Weighted",VLOOKUP($A42,'Model Output_TTC'!$A:$CB,AC$2,FALSE),IF('Ref-Data'!$Z$5="Baseline",VLOOKUP('Input PD LGD'!$A42,'Model Output_TTC'!$A:$AU,'Input PD LGD'!AC$4,FALSE),IF('Ref-Data'!$Z$5="90th Percentile",VLOOKUP('Input PD LGD'!$A42,'Model Output_TTC'!$A:$BP,'Input PD LGD'!AC$6,FALSE),IF('Ref-Data'!$Z$5="96th Percentile",VLOOKUP('Input PD LGD'!$A42,'Model Output_TTC'!$A:$Z,'Input PD LGD'!AC$8,FALSE),"")))))</f>
        <v>1.7600000000000001E-2</v>
      </c>
      <c r="J42" s="276">
        <f>IF('Ref-Data'!$Z$2="ON",VLOOKUP($A42,'MacroPD-Cal'!$A:$L,AD$1,FALSE),IF('Ref-Data'!$Z$5 = "Weighted",VLOOKUP($A42,'Model Output_TTC'!$A:$CB,AD$2,FALSE),IF('Ref-Data'!$Z$5="Baseline",VLOOKUP('Input PD LGD'!$A42,'Model Output_TTC'!$A:$AU,'Input PD LGD'!AD$4,FALSE),IF('Ref-Data'!$Z$5="90th Percentile",VLOOKUP('Input PD LGD'!$A42,'Model Output_TTC'!$A:$BP,'Input PD LGD'!AD$6,FALSE),IF('Ref-Data'!$Z$5="96th Percentile",VLOOKUP('Input PD LGD'!$A42,'Model Output_TTC'!$A:$Z,'Input PD LGD'!AD$8,FALSE),"")))))</f>
        <v>2.69E-2</v>
      </c>
      <c r="K42" s="276">
        <f>IF('Ref-Data'!$Z$2="ON",VLOOKUP($A42,'MacroPD-Cal'!$A:$L,AE$1,FALSE),IF('Ref-Data'!$Z$5 = "Weighted",VLOOKUP($A42,'Model Output_TTC'!$A:$CB,AE$2,FALSE),IF('Ref-Data'!$Z$5="Baseline",VLOOKUP('Input PD LGD'!$A42,'Model Output_TTC'!$A:$AU,'Input PD LGD'!AE$4,FALSE),IF('Ref-Data'!$Z$5="90th Percentile",VLOOKUP('Input PD LGD'!$A42,'Model Output_TTC'!$A:$BP,'Input PD LGD'!AE$6,FALSE),IF('Ref-Data'!$Z$5="96th Percentile",VLOOKUP('Input PD LGD'!$A42,'Model Output_TTC'!$A:$Z,'Input PD LGD'!AE$8,FALSE),"")))))</f>
        <v>3.7100000000000001E-2</v>
      </c>
      <c r="L42" s="274">
        <f>VLOOKUP(A42,'Ref-Data'!$A:$N,14,0)</f>
        <v>0.15</v>
      </c>
      <c r="M42" s="354">
        <f>VLOOKUP(A42,'Ref-Data'!A:I,9,0)</f>
        <v>1</v>
      </c>
      <c r="N42" s="354" t="s">
        <v>1156</v>
      </c>
      <c r="T42" s="346"/>
    </row>
    <row r="43" spans="1:20" x14ac:dyDescent="0.25">
      <c r="A43" s="277">
        <v>1200000157</v>
      </c>
      <c r="B43" s="277" t="str">
        <f>INDEX('Loan Book Summary'!B:C,MATCH('Input PD LGD'!A43,'Loan Book Summary'!C:C,0),1)</f>
        <v>Ottolenghi Limited - Business Trading - CBILS Facility</v>
      </c>
      <c r="C43" s="400">
        <f>VLOOKUP(A43,Reference_Rate_Repricing_Report!B:P,15,FALSE)</f>
        <v>7.79</v>
      </c>
      <c r="D43" s="276">
        <f>IF('Ref-Data'!$Z$2="ON",VLOOKUP($A43,'MacroPD-Cal'!$A:$L,X$1,FALSE),IF('Ref-Data'!$Z$5 = "Weighted",VLOOKUP($A43,'Model Output_TTC'!$A:$CB,X$2,FALSE),IF('Ref-Data'!$Z$5="Baseline",VLOOKUP('Input PD LGD'!$A43,'Model Output_TTC'!$A:$AU,'Input PD LGD'!X$4,FALSE),IF('Ref-Data'!$Z$5="90th Percentile",VLOOKUP('Input PD LGD'!$A43,'Model Output_TTC'!$A:$BP,'Input PD LGD'!X$6,FALSE),IF('Ref-Data'!$Z$5="96th Percentile",VLOOKUP('Input PD LGD'!$A43,'Model Output_TTC'!$A:$Z,'Input PD LGD'!X$8,FALSE),"")))))</f>
        <v>2.105980708150264E-3</v>
      </c>
      <c r="E43" s="276">
        <f>IF('Ref-Data'!$Z$2="ON",VLOOKUP($A43,'MacroPD-Cal'!$A:$L,Y$1,FALSE),IF('Ref-Data'!$Z$5 = "Weighted",VLOOKUP($A43,'Model Output_TTC'!$A:$CB,Y$2,FALSE),IF('Ref-Data'!$Z$5="Baseline",VLOOKUP('Input PD LGD'!$A43,'Model Output_TTC'!$A:$AU,'Input PD LGD'!Y$4,FALSE),IF('Ref-Data'!$Z$5="90th Percentile",VLOOKUP('Input PD LGD'!$A43,'Model Output_TTC'!$A:$BP,'Input PD LGD'!Y$6,FALSE),IF('Ref-Data'!$Z$5="96th Percentile",VLOOKUP('Input PD LGD'!$A43,'Model Output_TTC'!$A:$Z,'Input PD LGD'!Y$8,FALSE),"")))))</f>
        <v>4.9218148571199549E-3</v>
      </c>
      <c r="F43" s="276">
        <f>IF('Ref-Data'!$Z$2="ON",VLOOKUP($A43,'MacroPD-Cal'!$A:$L,Z$1,FALSE),IF('Ref-Data'!$Z$5 = "Weighted",VLOOKUP($A43,'Model Output_TTC'!$A:$CB,Z$2,FALSE),IF('Ref-Data'!$Z$5="Baseline",VLOOKUP('Input PD LGD'!$A43,'Model Output_TTC'!$A:$AU,'Input PD LGD'!Z$4,FALSE),IF('Ref-Data'!$Z$5="90th Percentile",VLOOKUP('Input PD LGD'!$A43,'Model Output_TTC'!$A:$BP,'Input PD LGD'!Z$6,FALSE),IF('Ref-Data'!$Z$5="96th Percentile",VLOOKUP('Input PD LGD'!$A43,'Model Output_TTC'!$A:$Z,'Input PD LGD'!Z$8,FALSE),"")))))</f>
        <v>8.139058731977955E-3</v>
      </c>
      <c r="G43" s="276">
        <f>IF('Ref-Data'!$Z$2="ON",VLOOKUP($A43,'MacroPD-Cal'!$A:$L,AA$1,FALSE),IF('Ref-Data'!$Z$5 = "Weighted",VLOOKUP($A43,'Model Output_TTC'!$A:$CB,AA$2,FALSE),IF('Ref-Data'!$Z$5="Baseline",VLOOKUP('Input PD LGD'!$A43,'Model Output_TTC'!$A:$AU,'Input PD LGD'!AA$4,FALSE),IF('Ref-Data'!$Z$5="90th Percentile",VLOOKUP('Input PD LGD'!$A43,'Model Output_TTC'!$A:$BP,'Input PD LGD'!AA$6,FALSE),IF('Ref-Data'!$Z$5="96th Percentile",VLOOKUP('Input PD LGD'!$A43,'Model Output_TTC'!$A:$Z,'Input PD LGD'!AA$8,FALSE),"")))))</f>
        <v>1.23E-2</v>
      </c>
      <c r="H43" s="276">
        <f>IF('Ref-Data'!$Z$2="ON",VLOOKUP($A43,'MacroPD-Cal'!$A:$L,AB$1,FALSE),IF('Ref-Data'!$Z$5 = "Weighted",VLOOKUP($A43,'Model Output_TTC'!$A:$CB,AB$2,FALSE),IF('Ref-Data'!$Z$5="Baseline",VLOOKUP('Input PD LGD'!$A43,'Model Output_TTC'!$A:$AU,'Input PD LGD'!AB$4,FALSE),IF('Ref-Data'!$Z$5="90th Percentile",VLOOKUP('Input PD LGD'!$A43,'Model Output_TTC'!$A:$BP,'Input PD LGD'!AB$6,FALSE),IF('Ref-Data'!$Z$5="96th Percentile",VLOOKUP('Input PD LGD'!$A43,'Model Output_TTC'!$A:$Z,'Input PD LGD'!AB$8,FALSE),"")))))</f>
        <v>1.8600000000000002E-2</v>
      </c>
      <c r="I43" s="276">
        <f>IF('Ref-Data'!$Z$2="ON",VLOOKUP($A43,'MacroPD-Cal'!$A:$L,AC$1,FALSE),IF('Ref-Data'!$Z$5 = "Weighted",VLOOKUP($A43,'Model Output_TTC'!$A:$CB,AC$2,FALSE),IF('Ref-Data'!$Z$5="Baseline",VLOOKUP('Input PD LGD'!$A43,'Model Output_TTC'!$A:$AU,'Input PD LGD'!AC$4,FALSE),IF('Ref-Data'!$Z$5="90th Percentile",VLOOKUP('Input PD LGD'!$A43,'Model Output_TTC'!$A:$BP,'Input PD LGD'!AC$6,FALSE),IF('Ref-Data'!$Z$5="96th Percentile",VLOOKUP('Input PD LGD'!$A43,'Model Output_TTC'!$A:$Z,'Input PD LGD'!AC$8,FALSE),"")))))</f>
        <v>2.23E-2</v>
      </c>
      <c r="J43" s="276">
        <f>IF('Ref-Data'!$Z$2="ON",VLOOKUP($A43,'MacroPD-Cal'!$A:$L,AD$1,FALSE),IF('Ref-Data'!$Z$5 = "Weighted",VLOOKUP($A43,'Model Output_TTC'!$A:$CB,AD$2,FALSE),IF('Ref-Data'!$Z$5="Baseline",VLOOKUP('Input PD LGD'!$A43,'Model Output_TTC'!$A:$AU,'Input PD LGD'!AD$4,FALSE),IF('Ref-Data'!$Z$5="90th Percentile",VLOOKUP('Input PD LGD'!$A43,'Model Output_TTC'!$A:$BP,'Input PD LGD'!AD$6,FALSE),IF('Ref-Data'!$Z$5="96th Percentile",VLOOKUP('Input PD LGD'!$A43,'Model Output_TTC'!$A:$Z,'Input PD LGD'!AD$8,FALSE),"")))))</f>
        <v>3.1200000000000002E-2</v>
      </c>
      <c r="K43" s="276">
        <f>IF('Ref-Data'!$Z$2="ON",VLOOKUP($A43,'MacroPD-Cal'!$A:$L,AE$1,FALSE),IF('Ref-Data'!$Z$5 = "Weighted",VLOOKUP($A43,'Model Output_TTC'!$A:$CB,AE$2,FALSE),IF('Ref-Data'!$Z$5="Baseline",VLOOKUP('Input PD LGD'!$A43,'Model Output_TTC'!$A:$AU,'Input PD LGD'!AE$4,FALSE),IF('Ref-Data'!$Z$5="90th Percentile",VLOOKUP('Input PD LGD'!$A43,'Model Output_TTC'!$A:$BP,'Input PD LGD'!AE$6,FALSE),IF('Ref-Data'!$Z$5="96th Percentile",VLOOKUP('Input PD LGD'!$A43,'Model Output_TTC'!$A:$Z,'Input PD LGD'!AE$8,FALSE),"")))))</f>
        <v>4.0500000000000001E-2</v>
      </c>
      <c r="L43" s="274">
        <f>VLOOKUP(A43,'Ref-Data'!$A:$N,14,0)</f>
        <v>0.42970000000000003</v>
      </c>
      <c r="M43" s="354">
        <f>VLOOKUP(A43,'Ref-Data'!A:I,9,0)</f>
        <v>1</v>
      </c>
      <c r="N43" s="354" t="s">
        <v>1156</v>
      </c>
      <c r="T43" s="346"/>
    </row>
    <row r="44" spans="1:20" x14ac:dyDescent="0.25">
      <c r="A44" s="277">
        <v>1200000002</v>
      </c>
      <c r="B44" s="277" t="str">
        <f>INDEX('Loan Book Summary'!B:C,MATCH('Input PD LGD'!A44,'Loan Book Summary'!C:C,0),1)</f>
        <v>Staycity Investments Limited - Business Trading - Facility A - CLBILS</v>
      </c>
      <c r="C44" s="400">
        <f>VLOOKUP(A44,Reference_Rate_Repricing_Report!B:P,15,FALSE)</f>
        <v>8</v>
      </c>
      <c r="D44" s="276">
        <f>IF('Ref-Data'!$Z$2="ON",VLOOKUP($A44,'MacroPD-Cal'!$A:$L,X$1,FALSE),IF('Ref-Data'!$Z$5 = "Weighted",VLOOKUP($A44,'Model Output_TTC'!$A:$CB,X$2,FALSE),IF('Ref-Data'!$Z$5="Baseline",VLOOKUP('Input PD LGD'!$A44,'Model Output_TTC'!$A:$AU,'Input PD LGD'!X$4,FALSE),IF('Ref-Data'!$Z$5="90th Percentile",VLOOKUP('Input PD LGD'!$A44,'Model Output_TTC'!$A:$BP,'Input PD LGD'!X$6,FALSE),IF('Ref-Data'!$Z$5="96th Percentile",VLOOKUP('Input PD LGD'!$A44,'Model Output_TTC'!$A:$Z,'Input PD LGD'!X$8,FALSE),"")))))</f>
        <v>7.7997480051165762E-4</v>
      </c>
      <c r="E44" s="276">
        <f>IF('Ref-Data'!$Z$2="ON",VLOOKUP($A44,'MacroPD-Cal'!$A:$L,Y$1,FALSE),IF('Ref-Data'!$Z$5 = "Weighted",VLOOKUP($A44,'Model Output_TTC'!$A:$CB,Y$2,FALSE),IF('Ref-Data'!$Z$5="Baseline",VLOOKUP('Input PD LGD'!$A44,'Model Output_TTC'!$A:$AU,'Input PD LGD'!Y$4,FALSE),IF('Ref-Data'!$Z$5="90th Percentile",VLOOKUP('Input PD LGD'!$A44,'Model Output_TTC'!$A:$BP,'Input PD LGD'!Y$6,FALSE),IF('Ref-Data'!$Z$5="96th Percentile",VLOOKUP('Input PD LGD'!$A44,'Model Output_TTC'!$A:$Z,'Input PD LGD'!Y$8,FALSE),"")))))</f>
        <v>1.8520806365800446E-3</v>
      </c>
      <c r="F44" s="276">
        <f>IF('Ref-Data'!$Z$2="ON",VLOOKUP($A44,'MacroPD-Cal'!$A:$L,Z$1,FALSE),IF('Ref-Data'!$Z$5 = "Weighted",VLOOKUP($A44,'Model Output_TTC'!$A:$CB,Z$2,FALSE),IF('Ref-Data'!$Z$5="Baseline",VLOOKUP('Input PD LGD'!$A44,'Model Output_TTC'!$A:$AU,'Input PD LGD'!Z$4,FALSE),IF('Ref-Data'!$Z$5="90th Percentile",VLOOKUP('Input PD LGD'!$A44,'Model Output_TTC'!$A:$BP,'Input PD LGD'!Z$6,FALSE),IF('Ref-Data'!$Z$5="96th Percentile",VLOOKUP('Input PD LGD'!$A44,'Model Output_TTC'!$A:$Z,'Input PD LGD'!Z$8,FALSE),"")))))</f>
        <v>3.0945601691256819E-3</v>
      </c>
      <c r="G44" s="276">
        <f>IF('Ref-Data'!$Z$2="ON",VLOOKUP($A44,'MacroPD-Cal'!$A:$L,AA$1,FALSE),IF('Ref-Data'!$Z$5 = "Weighted",VLOOKUP($A44,'Model Output_TTC'!$A:$CB,AA$2,FALSE),IF('Ref-Data'!$Z$5="Baseline",VLOOKUP('Input PD LGD'!$A44,'Model Output_TTC'!$A:$AU,'Input PD LGD'!AA$4,FALSE),IF('Ref-Data'!$Z$5="90th Percentile",VLOOKUP('Input PD LGD'!$A44,'Model Output_TTC'!$A:$BP,'Input PD LGD'!AA$6,FALSE),IF('Ref-Data'!$Z$5="96th Percentile",VLOOKUP('Input PD LGD'!$A44,'Model Output_TTC'!$A:$Z,'Input PD LGD'!AA$8,FALSE),"")))))</f>
        <v>4.7000000000000002E-3</v>
      </c>
      <c r="H44" s="276">
        <f>IF('Ref-Data'!$Z$2="ON",VLOOKUP($A44,'MacroPD-Cal'!$A:$L,AB$1,FALSE),IF('Ref-Data'!$Z$5 = "Weighted",VLOOKUP($A44,'Model Output_TTC'!$A:$CB,AB$2,FALSE),IF('Ref-Data'!$Z$5="Baseline",VLOOKUP('Input PD LGD'!$A44,'Model Output_TTC'!$A:$AU,'Input PD LGD'!AB$4,FALSE),IF('Ref-Data'!$Z$5="90th Percentile",VLOOKUP('Input PD LGD'!$A44,'Model Output_TTC'!$A:$BP,'Input PD LGD'!AB$6,FALSE),IF('Ref-Data'!$Z$5="96th Percentile",VLOOKUP('Input PD LGD'!$A44,'Model Output_TTC'!$A:$Z,'Input PD LGD'!AB$8,FALSE),"")))))</f>
        <v>6.8000000000000005E-3</v>
      </c>
      <c r="I44" s="276">
        <f>IF('Ref-Data'!$Z$2="ON",VLOOKUP($A44,'MacroPD-Cal'!$A:$L,AC$1,FALSE),IF('Ref-Data'!$Z$5 = "Weighted",VLOOKUP($A44,'Model Output_TTC'!$A:$CB,AC$2,FALSE),IF('Ref-Data'!$Z$5="Baseline",VLOOKUP('Input PD LGD'!$A44,'Model Output_TTC'!$A:$AU,'Input PD LGD'!AC$4,FALSE),IF('Ref-Data'!$Z$5="90th Percentile",VLOOKUP('Input PD LGD'!$A44,'Model Output_TTC'!$A:$BP,'Input PD LGD'!AC$6,FALSE),IF('Ref-Data'!$Z$5="96th Percentile",VLOOKUP('Input PD LGD'!$A44,'Model Output_TTC'!$A:$Z,'Input PD LGD'!AC$8,FALSE),"")))))</f>
        <v>7.9000000000000008E-3</v>
      </c>
      <c r="J44" s="276">
        <f>IF('Ref-Data'!$Z$2="ON",VLOOKUP($A44,'MacroPD-Cal'!$A:$L,AD$1,FALSE),IF('Ref-Data'!$Z$5 = "Weighted",VLOOKUP($A44,'Model Output_TTC'!$A:$CB,AD$2,FALSE),IF('Ref-Data'!$Z$5="Baseline",VLOOKUP('Input PD LGD'!$A44,'Model Output_TTC'!$A:$AU,'Input PD LGD'!AD$4,FALSE),IF('Ref-Data'!$Z$5="90th Percentile",VLOOKUP('Input PD LGD'!$A44,'Model Output_TTC'!$A:$BP,'Input PD LGD'!AD$6,FALSE),IF('Ref-Data'!$Z$5="96th Percentile",VLOOKUP('Input PD LGD'!$A44,'Model Output_TTC'!$A:$Z,'Input PD LGD'!AD$8,FALSE),"")))))</f>
        <v>1.0800000000000001E-2</v>
      </c>
      <c r="K44" s="276">
        <f>IF('Ref-Data'!$Z$2="ON",VLOOKUP($A44,'MacroPD-Cal'!$A:$L,AE$1,FALSE),IF('Ref-Data'!$Z$5 = "Weighted",VLOOKUP($A44,'Model Output_TTC'!$A:$CB,AE$2,FALSE),IF('Ref-Data'!$Z$5="Baseline",VLOOKUP('Input PD LGD'!$A44,'Model Output_TTC'!$A:$AU,'Input PD LGD'!AE$4,FALSE),IF('Ref-Data'!$Z$5="90th Percentile",VLOOKUP('Input PD LGD'!$A44,'Model Output_TTC'!$A:$BP,'Input PD LGD'!AE$6,FALSE),IF('Ref-Data'!$Z$5="96th Percentile",VLOOKUP('Input PD LGD'!$A44,'Model Output_TTC'!$A:$Z,'Input PD LGD'!AE$8,FALSE),"")))))</f>
        <v>1.37E-2</v>
      </c>
      <c r="L44" s="274">
        <f>VLOOKUP(A44,'Ref-Data'!$A:$N,14,0)</f>
        <v>0.2</v>
      </c>
      <c r="M44" s="354">
        <f>VLOOKUP(A44,'Ref-Data'!A:I,9,0)</f>
        <v>1</v>
      </c>
      <c r="N44" s="354" t="s">
        <v>1156</v>
      </c>
      <c r="T44" s="346"/>
    </row>
    <row r="45" spans="1:20" x14ac:dyDescent="0.25">
      <c r="A45" s="277">
        <v>1100000225</v>
      </c>
      <c r="B45" s="277" t="str">
        <f>INDEX('Loan Book Summary'!B:C,MATCH('Input PD LGD'!A45,'Loan Book Summary'!C:C,0),1)</f>
        <v>Staycity Investments Limited - Business Trading - Facility B - Non CLBILS</v>
      </c>
      <c r="C45" s="400">
        <f>VLOOKUP(A45,Reference_Rate_Repricing_Report!B:P,15,FALSE)</f>
        <v>8</v>
      </c>
      <c r="D45" s="276">
        <f>IF('Ref-Data'!$Z$2="ON",VLOOKUP($A45,'MacroPD-Cal'!$A:$L,X$1,FALSE),IF('Ref-Data'!$Z$5 = "Weighted",VLOOKUP($A45,'Model Output_TTC'!$A:$CB,X$2,FALSE),IF('Ref-Data'!$Z$5="Baseline",VLOOKUP('Input PD LGD'!$A45,'Model Output_TTC'!$A:$AU,'Input PD LGD'!X$4,FALSE),IF('Ref-Data'!$Z$5="90th Percentile",VLOOKUP('Input PD LGD'!$A45,'Model Output_TTC'!$A:$BP,'Input PD LGD'!X$6,FALSE),IF('Ref-Data'!$Z$5="96th Percentile",VLOOKUP('Input PD LGD'!$A45,'Model Output_TTC'!$A:$Z,'Input PD LGD'!X$8,FALSE),"")))))</f>
        <v>7.7997480051165762E-4</v>
      </c>
      <c r="E45" s="276">
        <f>IF('Ref-Data'!$Z$2="ON",VLOOKUP($A45,'MacroPD-Cal'!$A:$L,Y$1,FALSE),IF('Ref-Data'!$Z$5 = "Weighted",VLOOKUP($A45,'Model Output_TTC'!$A:$CB,Y$2,FALSE),IF('Ref-Data'!$Z$5="Baseline",VLOOKUP('Input PD LGD'!$A45,'Model Output_TTC'!$A:$AU,'Input PD LGD'!Y$4,FALSE),IF('Ref-Data'!$Z$5="90th Percentile",VLOOKUP('Input PD LGD'!$A45,'Model Output_TTC'!$A:$BP,'Input PD LGD'!Y$6,FALSE),IF('Ref-Data'!$Z$5="96th Percentile",VLOOKUP('Input PD LGD'!$A45,'Model Output_TTC'!$A:$Z,'Input PD LGD'!Y$8,FALSE),"")))))</f>
        <v>1.8520806365800446E-3</v>
      </c>
      <c r="F45" s="276">
        <f>IF('Ref-Data'!$Z$2="ON",VLOOKUP($A45,'MacroPD-Cal'!$A:$L,Z$1,FALSE),IF('Ref-Data'!$Z$5 = "Weighted",VLOOKUP($A45,'Model Output_TTC'!$A:$CB,Z$2,FALSE),IF('Ref-Data'!$Z$5="Baseline",VLOOKUP('Input PD LGD'!$A45,'Model Output_TTC'!$A:$AU,'Input PD LGD'!Z$4,FALSE),IF('Ref-Data'!$Z$5="90th Percentile",VLOOKUP('Input PD LGD'!$A45,'Model Output_TTC'!$A:$BP,'Input PD LGD'!Z$6,FALSE),IF('Ref-Data'!$Z$5="96th Percentile",VLOOKUP('Input PD LGD'!$A45,'Model Output_TTC'!$A:$Z,'Input PD LGD'!Z$8,FALSE),"")))))</f>
        <v>3.0945601691256819E-3</v>
      </c>
      <c r="G45" s="276">
        <f>IF('Ref-Data'!$Z$2="ON",VLOOKUP($A45,'MacroPD-Cal'!$A:$L,AA$1,FALSE),IF('Ref-Data'!$Z$5 = "Weighted",VLOOKUP($A45,'Model Output_TTC'!$A:$CB,AA$2,FALSE),IF('Ref-Data'!$Z$5="Baseline",VLOOKUP('Input PD LGD'!$A45,'Model Output_TTC'!$A:$AU,'Input PD LGD'!AA$4,FALSE),IF('Ref-Data'!$Z$5="90th Percentile",VLOOKUP('Input PD LGD'!$A45,'Model Output_TTC'!$A:$BP,'Input PD LGD'!AA$6,FALSE),IF('Ref-Data'!$Z$5="96th Percentile",VLOOKUP('Input PD LGD'!$A45,'Model Output_TTC'!$A:$Z,'Input PD LGD'!AA$8,FALSE),"")))))</f>
        <v>4.7000000000000002E-3</v>
      </c>
      <c r="H45" s="276">
        <f>IF('Ref-Data'!$Z$2="ON",VLOOKUP($A45,'MacroPD-Cal'!$A:$L,AB$1,FALSE),IF('Ref-Data'!$Z$5 = "Weighted",VLOOKUP($A45,'Model Output_TTC'!$A:$CB,AB$2,FALSE),IF('Ref-Data'!$Z$5="Baseline",VLOOKUP('Input PD LGD'!$A45,'Model Output_TTC'!$A:$AU,'Input PD LGD'!AB$4,FALSE),IF('Ref-Data'!$Z$5="90th Percentile",VLOOKUP('Input PD LGD'!$A45,'Model Output_TTC'!$A:$BP,'Input PD LGD'!AB$6,FALSE),IF('Ref-Data'!$Z$5="96th Percentile",VLOOKUP('Input PD LGD'!$A45,'Model Output_TTC'!$A:$Z,'Input PD LGD'!AB$8,FALSE),"")))))</f>
        <v>6.8000000000000005E-3</v>
      </c>
      <c r="I45" s="276">
        <f>IF('Ref-Data'!$Z$2="ON",VLOOKUP($A45,'MacroPD-Cal'!$A:$L,AC$1,FALSE),IF('Ref-Data'!$Z$5 = "Weighted",VLOOKUP($A45,'Model Output_TTC'!$A:$CB,AC$2,FALSE),IF('Ref-Data'!$Z$5="Baseline",VLOOKUP('Input PD LGD'!$A45,'Model Output_TTC'!$A:$AU,'Input PD LGD'!AC$4,FALSE),IF('Ref-Data'!$Z$5="90th Percentile",VLOOKUP('Input PD LGD'!$A45,'Model Output_TTC'!$A:$BP,'Input PD LGD'!AC$6,FALSE),IF('Ref-Data'!$Z$5="96th Percentile",VLOOKUP('Input PD LGD'!$A45,'Model Output_TTC'!$A:$Z,'Input PD LGD'!AC$8,FALSE),"")))))</f>
        <v>7.9000000000000008E-3</v>
      </c>
      <c r="J45" s="276">
        <f>IF('Ref-Data'!$Z$2="ON",VLOOKUP($A45,'MacroPD-Cal'!$A:$L,AD$1,FALSE),IF('Ref-Data'!$Z$5 = "Weighted",VLOOKUP($A45,'Model Output_TTC'!$A:$CB,AD$2,FALSE),IF('Ref-Data'!$Z$5="Baseline",VLOOKUP('Input PD LGD'!$A45,'Model Output_TTC'!$A:$AU,'Input PD LGD'!AD$4,FALSE),IF('Ref-Data'!$Z$5="90th Percentile",VLOOKUP('Input PD LGD'!$A45,'Model Output_TTC'!$A:$BP,'Input PD LGD'!AD$6,FALSE),IF('Ref-Data'!$Z$5="96th Percentile",VLOOKUP('Input PD LGD'!$A45,'Model Output_TTC'!$A:$Z,'Input PD LGD'!AD$8,FALSE),"")))))</f>
        <v>1.0800000000000001E-2</v>
      </c>
      <c r="K45" s="276">
        <f>IF('Ref-Data'!$Z$2="ON",VLOOKUP($A45,'MacroPD-Cal'!$A:$L,AE$1,FALSE),IF('Ref-Data'!$Z$5 = "Weighted",VLOOKUP($A45,'Model Output_TTC'!$A:$CB,AE$2,FALSE),IF('Ref-Data'!$Z$5="Baseline",VLOOKUP('Input PD LGD'!$A45,'Model Output_TTC'!$A:$AU,'Input PD LGD'!AE$4,FALSE),IF('Ref-Data'!$Z$5="90th Percentile",VLOOKUP('Input PD LGD'!$A45,'Model Output_TTC'!$A:$BP,'Input PD LGD'!AE$6,FALSE),IF('Ref-Data'!$Z$5="96th Percentile",VLOOKUP('Input PD LGD'!$A45,'Model Output_TTC'!$A:$Z,'Input PD LGD'!AE$8,FALSE),"")))))</f>
        <v>1.37E-2</v>
      </c>
      <c r="L45" s="274">
        <f>VLOOKUP(A45,'Ref-Data'!$A:$N,14,0)</f>
        <v>0.2</v>
      </c>
      <c r="M45" s="354">
        <f>VLOOKUP(A45,'Ref-Data'!A:I,9,0)</f>
        <v>1</v>
      </c>
      <c r="N45" s="354" t="s">
        <v>1156</v>
      </c>
      <c r="T45" s="346"/>
    </row>
    <row r="46" spans="1:20" x14ac:dyDescent="0.25">
      <c r="A46" s="277">
        <v>1100000111</v>
      </c>
      <c r="B46" s="277" t="str">
        <f>INDEX('Loan Book Summary'!B:C,MATCH('Input PD LGD'!A46,'Loan Book Summary'!C:C,0),1)</f>
        <v>Remsons Holdings Ltd. - Business Trading - Term Loan - RCF - Magal Cables</v>
      </c>
      <c r="C46" s="400">
        <f>VLOOKUP(A46,Reference_Rate_Repricing_Report!B:P,15,FALSE)</f>
        <v>6.47</v>
      </c>
      <c r="D46" s="276">
        <f>IF('Ref-Data'!$Z$2="ON",VLOOKUP($A46,'MacroPD-Cal'!$A:$L,X$1,FALSE),IF('Ref-Data'!$Z$5 = "Weighted",VLOOKUP($A46,'Model Output_TTC'!$A:$CB,X$2,FALSE),IF('Ref-Data'!$Z$5="Baseline",VLOOKUP('Input PD LGD'!$A46,'Model Output_TTC'!$A:$AU,'Input PD LGD'!X$4,FALSE),IF('Ref-Data'!$Z$5="90th Percentile",VLOOKUP('Input PD LGD'!$A46,'Model Output_TTC'!$A:$BP,'Input PD LGD'!X$6,FALSE),IF('Ref-Data'!$Z$5="96th Percentile",VLOOKUP('Input PD LGD'!$A46,'Model Output_TTC'!$A:$Z,'Input PD LGD'!X$8,FALSE),"")))))</f>
        <v>5.6732262999201807E-4</v>
      </c>
      <c r="E46" s="276">
        <f>IF('Ref-Data'!$Z$2="ON",VLOOKUP($A46,'MacroPD-Cal'!$A:$L,Y$1,FALSE),IF('Ref-Data'!$Z$5 = "Weighted",VLOOKUP($A46,'Model Output_TTC'!$A:$CB,Y$2,FALSE),IF('Ref-Data'!$Z$5="Baseline",VLOOKUP('Input PD LGD'!$A46,'Model Output_TTC'!$A:$AU,'Input PD LGD'!Y$4,FALSE),IF('Ref-Data'!$Z$5="90th Percentile",VLOOKUP('Input PD LGD'!$A46,'Model Output_TTC'!$A:$BP,'Input PD LGD'!Y$6,FALSE),IF('Ref-Data'!$Z$5="96th Percentile",VLOOKUP('Input PD LGD'!$A46,'Model Output_TTC'!$A:$Z,'Input PD LGD'!Y$8,FALSE),"")))))</f>
        <v>1.353592603147602E-3</v>
      </c>
      <c r="F46" s="276">
        <f>IF('Ref-Data'!$Z$2="ON",VLOOKUP($A46,'MacroPD-Cal'!$A:$L,Z$1,FALSE),IF('Ref-Data'!$Z$5 = "Weighted",VLOOKUP($A46,'Model Output_TTC'!$A:$CB,Z$2,FALSE),IF('Ref-Data'!$Z$5="Baseline",VLOOKUP('Input PD LGD'!$A46,'Model Output_TTC'!$A:$AU,'Input PD LGD'!Z$4,FALSE),IF('Ref-Data'!$Z$5="90th Percentile",VLOOKUP('Input PD LGD'!$A46,'Model Output_TTC'!$A:$BP,'Input PD LGD'!Z$6,FALSE),IF('Ref-Data'!$Z$5="96th Percentile",VLOOKUP('Input PD LGD'!$A46,'Model Output_TTC'!$A:$Z,'Input PD LGD'!Z$8,FALSE),"")))))</f>
        <v>2.2685534083560777E-3</v>
      </c>
      <c r="G46" s="276">
        <f>IF('Ref-Data'!$Z$2="ON",VLOOKUP($A46,'MacroPD-Cal'!$A:$L,AA$1,FALSE),IF('Ref-Data'!$Z$5 = "Weighted",VLOOKUP($A46,'Model Output_TTC'!$A:$CB,AA$2,FALSE),IF('Ref-Data'!$Z$5="Baseline",VLOOKUP('Input PD LGD'!$A46,'Model Output_TTC'!$A:$AU,'Input PD LGD'!AA$4,FALSE),IF('Ref-Data'!$Z$5="90th Percentile",VLOOKUP('Input PD LGD'!$A46,'Model Output_TTC'!$A:$BP,'Input PD LGD'!AA$6,FALSE),IF('Ref-Data'!$Z$5="96th Percentile",VLOOKUP('Input PD LGD'!$A46,'Model Output_TTC'!$A:$Z,'Input PD LGD'!AA$8,FALSE),"")))))</f>
        <v>3.5000000000000001E-3</v>
      </c>
      <c r="H46" s="276">
        <f>IF('Ref-Data'!$Z$2="ON",VLOOKUP($A46,'MacroPD-Cal'!$A:$L,AB$1,FALSE),IF('Ref-Data'!$Z$5 = "Weighted",VLOOKUP($A46,'Model Output_TTC'!$A:$CB,AB$2,FALSE),IF('Ref-Data'!$Z$5="Baseline",VLOOKUP('Input PD LGD'!$A46,'Model Output_TTC'!$A:$AU,'Input PD LGD'!AB$4,FALSE),IF('Ref-Data'!$Z$5="90th Percentile",VLOOKUP('Input PD LGD'!$A46,'Model Output_TTC'!$A:$BP,'Input PD LGD'!AB$6,FALSE),IF('Ref-Data'!$Z$5="96th Percentile",VLOOKUP('Input PD LGD'!$A46,'Model Output_TTC'!$A:$Z,'Input PD LGD'!AB$8,FALSE),"")))))</f>
        <v>5.7000000000000002E-3</v>
      </c>
      <c r="I46" s="276">
        <f>IF('Ref-Data'!$Z$2="ON",VLOOKUP($A46,'MacroPD-Cal'!$A:$L,AC$1,FALSE),IF('Ref-Data'!$Z$5 = "Weighted",VLOOKUP($A46,'Model Output_TTC'!$A:$CB,AC$2,FALSE),IF('Ref-Data'!$Z$5="Baseline",VLOOKUP('Input PD LGD'!$A46,'Model Output_TTC'!$A:$AU,'Input PD LGD'!AC$4,FALSE),IF('Ref-Data'!$Z$5="90th Percentile",VLOOKUP('Input PD LGD'!$A46,'Model Output_TTC'!$A:$BP,'Input PD LGD'!AC$6,FALSE),IF('Ref-Data'!$Z$5="96th Percentile",VLOOKUP('Input PD LGD'!$A46,'Model Output_TTC'!$A:$Z,'Input PD LGD'!AC$8,FALSE),"")))))</f>
        <v>7.2000000000000007E-3</v>
      </c>
      <c r="J46" s="276">
        <f>IF('Ref-Data'!$Z$2="ON",VLOOKUP($A46,'MacroPD-Cal'!$A:$L,AD$1,FALSE),IF('Ref-Data'!$Z$5 = "Weighted",VLOOKUP($A46,'Model Output_TTC'!$A:$CB,AD$2,FALSE),IF('Ref-Data'!$Z$5="Baseline",VLOOKUP('Input PD LGD'!$A46,'Model Output_TTC'!$A:$AU,'Input PD LGD'!AD$4,FALSE),IF('Ref-Data'!$Z$5="90th Percentile",VLOOKUP('Input PD LGD'!$A46,'Model Output_TTC'!$A:$BP,'Input PD LGD'!AD$6,FALSE),IF('Ref-Data'!$Z$5="96th Percentile",VLOOKUP('Input PD LGD'!$A46,'Model Output_TTC'!$A:$Z,'Input PD LGD'!AD$8,FALSE),"")))))</f>
        <v>1.1600000000000001E-2</v>
      </c>
      <c r="K46" s="276">
        <f>IF('Ref-Data'!$Z$2="ON",VLOOKUP($A46,'MacroPD-Cal'!$A:$L,AE$1,FALSE),IF('Ref-Data'!$Z$5 = "Weighted",VLOOKUP($A46,'Model Output_TTC'!$A:$CB,AE$2,FALSE),IF('Ref-Data'!$Z$5="Baseline",VLOOKUP('Input PD LGD'!$A46,'Model Output_TTC'!$A:$AU,'Input PD LGD'!AE$4,FALSE),IF('Ref-Data'!$Z$5="90th Percentile",VLOOKUP('Input PD LGD'!$A46,'Model Output_TTC'!$A:$BP,'Input PD LGD'!AE$6,FALSE),IF('Ref-Data'!$Z$5="96th Percentile",VLOOKUP('Input PD LGD'!$A46,'Model Output_TTC'!$A:$Z,'Input PD LGD'!AE$8,FALSE),"")))))</f>
        <v>1.6500000000000001E-2</v>
      </c>
      <c r="L46" s="274">
        <f>VLOOKUP(A46,'Ref-Data'!$A:$N,14,0)</f>
        <v>0.39429999999999998</v>
      </c>
      <c r="M46" s="354">
        <f>VLOOKUP(A46,'Ref-Data'!A:I,9,0)</f>
        <v>1</v>
      </c>
      <c r="N46" s="354" t="s">
        <v>1156</v>
      </c>
      <c r="T46" s="346"/>
    </row>
    <row r="47" spans="1:20" x14ac:dyDescent="0.25">
      <c r="A47" s="277">
        <v>1100000110</v>
      </c>
      <c r="B47" s="277" t="str">
        <f>INDEX('Loan Book Summary'!B:C,MATCH('Input PD LGD'!A47,'Loan Book Summary'!C:C,0),1)</f>
        <v>Remsons Holdings Ltd. - Business Trading - TL - Facility A - Magal Cables</v>
      </c>
      <c r="C47" s="400">
        <f>VLOOKUP(A47,Reference_Rate_Repricing_Report!B:P,15,FALSE)</f>
        <v>6.92</v>
      </c>
      <c r="D47" s="276">
        <f>IF('Ref-Data'!$Z$2="ON",VLOOKUP($A47,'MacroPD-Cal'!$A:$L,X$1,FALSE),IF('Ref-Data'!$Z$5 = "Weighted",VLOOKUP($A47,'Model Output_TTC'!$A:$CB,X$2,FALSE),IF('Ref-Data'!$Z$5="Baseline",VLOOKUP('Input PD LGD'!$A47,'Model Output_TTC'!$A:$AU,'Input PD LGD'!X$4,FALSE),IF('Ref-Data'!$Z$5="90th Percentile",VLOOKUP('Input PD LGD'!$A47,'Model Output_TTC'!$A:$BP,'Input PD LGD'!X$6,FALSE),IF('Ref-Data'!$Z$5="96th Percentile",VLOOKUP('Input PD LGD'!$A47,'Model Output_TTC'!$A:$Z,'Input PD LGD'!X$8,FALSE),"")))))</f>
        <v>5.6732262999201807E-4</v>
      </c>
      <c r="E47" s="276">
        <f>IF('Ref-Data'!$Z$2="ON",VLOOKUP($A47,'MacroPD-Cal'!$A:$L,Y$1,FALSE),IF('Ref-Data'!$Z$5 = "Weighted",VLOOKUP($A47,'Model Output_TTC'!$A:$CB,Y$2,FALSE),IF('Ref-Data'!$Z$5="Baseline",VLOOKUP('Input PD LGD'!$A47,'Model Output_TTC'!$A:$AU,'Input PD LGD'!Y$4,FALSE),IF('Ref-Data'!$Z$5="90th Percentile",VLOOKUP('Input PD LGD'!$A47,'Model Output_TTC'!$A:$BP,'Input PD LGD'!Y$6,FALSE),IF('Ref-Data'!$Z$5="96th Percentile",VLOOKUP('Input PD LGD'!$A47,'Model Output_TTC'!$A:$Z,'Input PD LGD'!Y$8,FALSE),"")))))</f>
        <v>1.353592603147602E-3</v>
      </c>
      <c r="F47" s="276">
        <f>IF('Ref-Data'!$Z$2="ON",VLOOKUP($A47,'MacroPD-Cal'!$A:$L,Z$1,FALSE),IF('Ref-Data'!$Z$5 = "Weighted",VLOOKUP($A47,'Model Output_TTC'!$A:$CB,Z$2,FALSE),IF('Ref-Data'!$Z$5="Baseline",VLOOKUP('Input PD LGD'!$A47,'Model Output_TTC'!$A:$AU,'Input PD LGD'!Z$4,FALSE),IF('Ref-Data'!$Z$5="90th Percentile",VLOOKUP('Input PD LGD'!$A47,'Model Output_TTC'!$A:$BP,'Input PD LGD'!Z$6,FALSE),IF('Ref-Data'!$Z$5="96th Percentile",VLOOKUP('Input PD LGD'!$A47,'Model Output_TTC'!$A:$Z,'Input PD LGD'!Z$8,FALSE),"")))))</f>
        <v>2.2685534083560777E-3</v>
      </c>
      <c r="G47" s="276">
        <f>IF('Ref-Data'!$Z$2="ON",VLOOKUP($A47,'MacroPD-Cal'!$A:$L,AA$1,FALSE),IF('Ref-Data'!$Z$5 = "Weighted",VLOOKUP($A47,'Model Output_TTC'!$A:$CB,AA$2,FALSE),IF('Ref-Data'!$Z$5="Baseline",VLOOKUP('Input PD LGD'!$A47,'Model Output_TTC'!$A:$AU,'Input PD LGD'!AA$4,FALSE),IF('Ref-Data'!$Z$5="90th Percentile",VLOOKUP('Input PD LGD'!$A47,'Model Output_TTC'!$A:$BP,'Input PD LGD'!AA$6,FALSE),IF('Ref-Data'!$Z$5="96th Percentile",VLOOKUP('Input PD LGD'!$A47,'Model Output_TTC'!$A:$Z,'Input PD LGD'!AA$8,FALSE),"")))))</f>
        <v>3.5000000000000001E-3</v>
      </c>
      <c r="H47" s="276">
        <f>IF('Ref-Data'!$Z$2="ON",VLOOKUP($A47,'MacroPD-Cal'!$A:$L,AB$1,FALSE),IF('Ref-Data'!$Z$5 = "Weighted",VLOOKUP($A47,'Model Output_TTC'!$A:$CB,AB$2,FALSE),IF('Ref-Data'!$Z$5="Baseline",VLOOKUP('Input PD LGD'!$A47,'Model Output_TTC'!$A:$AU,'Input PD LGD'!AB$4,FALSE),IF('Ref-Data'!$Z$5="90th Percentile",VLOOKUP('Input PD LGD'!$A47,'Model Output_TTC'!$A:$BP,'Input PD LGD'!AB$6,FALSE),IF('Ref-Data'!$Z$5="96th Percentile",VLOOKUP('Input PD LGD'!$A47,'Model Output_TTC'!$A:$Z,'Input PD LGD'!AB$8,FALSE),"")))))</f>
        <v>5.7000000000000002E-3</v>
      </c>
      <c r="I47" s="276">
        <f>IF('Ref-Data'!$Z$2="ON",VLOOKUP($A47,'MacroPD-Cal'!$A:$L,AC$1,FALSE),IF('Ref-Data'!$Z$5 = "Weighted",VLOOKUP($A47,'Model Output_TTC'!$A:$CB,AC$2,FALSE),IF('Ref-Data'!$Z$5="Baseline",VLOOKUP('Input PD LGD'!$A47,'Model Output_TTC'!$A:$AU,'Input PD LGD'!AC$4,FALSE),IF('Ref-Data'!$Z$5="90th Percentile",VLOOKUP('Input PD LGD'!$A47,'Model Output_TTC'!$A:$BP,'Input PD LGD'!AC$6,FALSE),IF('Ref-Data'!$Z$5="96th Percentile",VLOOKUP('Input PD LGD'!$A47,'Model Output_TTC'!$A:$Z,'Input PD LGD'!AC$8,FALSE),"")))))</f>
        <v>7.2000000000000007E-3</v>
      </c>
      <c r="J47" s="276">
        <f>IF('Ref-Data'!$Z$2="ON",VLOOKUP($A47,'MacroPD-Cal'!$A:$L,AD$1,FALSE),IF('Ref-Data'!$Z$5 = "Weighted",VLOOKUP($A47,'Model Output_TTC'!$A:$CB,AD$2,FALSE),IF('Ref-Data'!$Z$5="Baseline",VLOOKUP('Input PD LGD'!$A47,'Model Output_TTC'!$A:$AU,'Input PD LGD'!AD$4,FALSE),IF('Ref-Data'!$Z$5="90th Percentile",VLOOKUP('Input PD LGD'!$A47,'Model Output_TTC'!$A:$BP,'Input PD LGD'!AD$6,FALSE),IF('Ref-Data'!$Z$5="96th Percentile",VLOOKUP('Input PD LGD'!$A47,'Model Output_TTC'!$A:$Z,'Input PD LGD'!AD$8,FALSE),"")))))</f>
        <v>1.1600000000000001E-2</v>
      </c>
      <c r="K47" s="276">
        <f>IF('Ref-Data'!$Z$2="ON",VLOOKUP($A47,'MacroPD-Cal'!$A:$L,AE$1,FALSE),IF('Ref-Data'!$Z$5 = "Weighted",VLOOKUP($A47,'Model Output_TTC'!$A:$CB,AE$2,FALSE),IF('Ref-Data'!$Z$5="Baseline",VLOOKUP('Input PD LGD'!$A47,'Model Output_TTC'!$A:$AU,'Input PD LGD'!AE$4,FALSE),IF('Ref-Data'!$Z$5="90th Percentile",VLOOKUP('Input PD LGD'!$A47,'Model Output_TTC'!$A:$BP,'Input PD LGD'!AE$6,FALSE),IF('Ref-Data'!$Z$5="96th Percentile",VLOOKUP('Input PD LGD'!$A47,'Model Output_TTC'!$A:$Z,'Input PD LGD'!AE$8,FALSE),"")))))</f>
        <v>1.6500000000000001E-2</v>
      </c>
      <c r="L47" s="274">
        <f>VLOOKUP(A47,'Ref-Data'!$A:$N,14,0)</f>
        <v>0.39429999999999998</v>
      </c>
      <c r="M47" s="354">
        <f>VLOOKUP(A47,'Ref-Data'!A:I,9,0)</f>
        <v>1</v>
      </c>
      <c r="N47" s="354" t="s">
        <v>1156</v>
      </c>
      <c r="T47" s="346"/>
    </row>
    <row r="48" spans="1:20" x14ac:dyDescent="0.25">
      <c r="A48" s="277">
        <v>1200000147</v>
      </c>
      <c r="B48" s="277" t="str">
        <f>INDEX('Loan Book Summary'!B:C,MATCH('Input PD LGD'!A48,'Loan Book Summary'!C:C,0),1)</f>
        <v>Zeal Hotel (Bridgwater J23) Limited - Business Trading - CBILS</v>
      </c>
      <c r="C48" s="400">
        <f>VLOOKUP(A48,Reference_Rate_Repricing_Report!B:P,15,FALSE)</f>
        <v>7.47</v>
      </c>
      <c r="D48" s="276">
        <f>IF('Ref-Data'!$Z$2="ON",VLOOKUP($A48,'MacroPD-Cal'!$A:$L,X$1,FALSE),IF('Ref-Data'!$Z$5 = "Weighted",VLOOKUP($A48,'Model Output_TTC'!$A:$CB,X$2,FALSE),IF('Ref-Data'!$Z$5="Baseline",VLOOKUP('Input PD LGD'!$A48,'Model Output_TTC'!$A:$AU,'Input PD LGD'!X$4,FALSE),IF('Ref-Data'!$Z$5="90th Percentile",VLOOKUP('Input PD LGD'!$A48,'Model Output_TTC'!$A:$BP,'Input PD LGD'!X$6,FALSE),IF('Ref-Data'!$Z$5="96th Percentile",VLOOKUP('Input PD LGD'!$A48,'Model Output_TTC'!$A:$Z,'Input PD LGD'!X$8,FALSE),"")))))</f>
        <v>3.0533239664205943E-3</v>
      </c>
      <c r="E48" s="276">
        <f>IF('Ref-Data'!$Z$2="ON",VLOOKUP($A48,'MacroPD-Cal'!$A:$L,Y$1,FALSE),IF('Ref-Data'!$Z$5 = "Weighted",VLOOKUP($A48,'Model Output_TTC'!$A:$CB,Y$2,FALSE),IF('Ref-Data'!$Z$5="Baseline",VLOOKUP('Input PD LGD'!$A48,'Model Output_TTC'!$A:$AU,'Input PD LGD'!Y$4,FALSE),IF('Ref-Data'!$Z$5="90th Percentile",VLOOKUP('Input PD LGD'!$A48,'Model Output_TTC'!$A:$BP,'Input PD LGD'!Y$6,FALSE),IF('Ref-Data'!$Z$5="96th Percentile",VLOOKUP('Input PD LGD'!$A48,'Model Output_TTC'!$A:$Z,'Input PD LGD'!Y$8,FALSE),"")))))</f>
        <v>7.0898280603686192E-3</v>
      </c>
      <c r="F48" s="276">
        <f>IF('Ref-Data'!$Z$2="ON",VLOOKUP($A48,'MacroPD-Cal'!$A:$L,Z$1,FALSE),IF('Ref-Data'!$Z$5 = "Weighted",VLOOKUP($A48,'Model Output_TTC'!$A:$CB,Z$2,FALSE),IF('Ref-Data'!$Z$5="Baseline",VLOOKUP('Input PD LGD'!$A48,'Model Output_TTC'!$A:$AU,'Input PD LGD'!Z$4,FALSE),IF('Ref-Data'!$Z$5="90th Percentile",VLOOKUP('Input PD LGD'!$A48,'Model Output_TTC'!$A:$BP,'Input PD LGD'!Z$6,FALSE),IF('Ref-Data'!$Z$5="96th Percentile",VLOOKUP('Input PD LGD'!$A48,'Model Output_TTC'!$A:$Z,'Input PD LGD'!Z$8,FALSE),"")))))</f>
        <v>1.1673493116970968E-2</v>
      </c>
      <c r="G48" s="276">
        <f>IF('Ref-Data'!$Z$2="ON",VLOOKUP($A48,'MacroPD-Cal'!$A:$L,AA$1,FALSE),IF('Ref-Data'!$Z$5 = "Weighted",VLOOKUP($A48,'Model Output_TTC'!$A:$CB,AA$2,FALSE),IF('Ref-Data'!$Z$5="Baseline",VLOOKUP('Input PD LGD'!$A48,'Model Output_TTC'!$A:$AU,'Input PD LGD'!AA$4,FALSE),IF('Ref-Data'!$Z$5="90th Percentile",VLOOKUP('Input PD LGD'!$A48,'Model Output_TTC'!$A:$BP,'Input PD LGD'!AA$6,FALSE),IF('Ref-Data'!$Z$5="96th Percentile",VLOOKUP('Input PD LGD'!$A48,'Model Output_TTC'!$A:$Z,'Input PD LGD'!AA$8,FALSE),"")))))</f>
        <v>1.7600000000000001E-2</v>
      </c>
      <c r="H48" s="276">
        <f>IF('Ref-Data'!$Z$2="ON",VLOOKUP($A48,'MacroPD-Cal'!$A:$L,AB$1,FALSE),IF('Ref-Data'!$Z$5 = "Weighted",VLOOKUP($A48,'Model Output_TTC'!$A:$CB,AB$2,FALSE),IF('Ref-Data'!$Z$5="Baseline",VLOOKUP('Input PD LGD'!$A48,'Model Output_TTC'!$A:$AU,'Input PD LGD'!AB$4,FALSE),IF('Ref-Data'!$Z$5="90th Percentile",VLOOKUP('Input PD LGD'!$A48,'Model Output_TTC'!$A:$BP,'Input PD LGD'!AB$6,FALSE),IF('Ref-Data'!$Z$5="96th Percentile",VLOOKUP('Input PD LGD'!$A48,'Model Output_TTC'!$A:$Z,'Input PD LGD'!AB$8,FALSE),"")))))</f>
        <v>2.7200000000000002E-2</v>
      </c>
      <c r="I48" s="276">
        <f>IF('Ref-Data'!$Z$2="ON",VLOOKUP($A48,'MacroPD-Cal'!$A:$L,AC$1,FALSE),IF('Ref-Data'!$Z$5 = "Weighted",VLOOKUP($A48,'Model Output_TTC'!$A:$CB,AC$2,FALSE),IF('Ref-Data'!$Z$5="Baseline",VLOOKUP('Input PD LGD'!$A48,'Model Output_TTC'!$A:$AU,'Input PD LGD'!AC$4,FALSE),IF('Ref-Data'!$Z$5="90th Percentile",VLOOKUP('Input PD LGD'!$A48,'Model Output_TTC'!$A:$BP,'Input PD LGD'!AC$6,FALSE),IF('Ref-Data'!$Z$5="96th Percentile",VLOOKUP('Input PD LGD'!$A48,'Model Output_TTC'!$A:$Z,'Input PD LGD'!AC$8,FALSE),"")))))</f>
        <v>3.3100000000000004E-2</v>
      </c>
      <c r="J48" s="276">
        <f>IF('Ref-Data'!$Z$2="ON",VLOOKUP($A48,'MacroPD-Cal'!$A:$L,AD$1,FALSE),IF('Ref-Data'!$Z$5 = "Weighted",VLOOKUP($A48,'Model Output_TTC'!$A:$CB,AD$2,FALSE),IF('Ref-Data'!$Z$5="Baseline",VLOOKUP('Input PD LGD'!$A48,'Model Output_TTC'!$A:$AU,'Input PD LGD'!AD$4,FALSE),IF('Ref-Data'!$Z$5="90th Percentile",VLOOKUP('Input PD LGD'!$A48,'Model Output_TTC'!$A:$BP,'Input PD LGD'!AD$6,FALSE),IF('Ref-Data'!$Z$5="96th Percentile",VLOOKUP('Input PD LGD'!$A48,'Model Output_TTC'!$A:$Z,'Input PD LGD'!AD$8,FALSE),"")))))</f>
        <v>4.6900000000000004E-2</v>
      </c>
      <c r="K48" s="276">
        <f>IF('Ref-Data'!$Z$2="ON",VLOOKUP($A48,'MacroPD-Cal'!$A:$L,AE$1,FALSE),IF('Ref-Data'!$Z$5 = "Weighted",VLOOKUP($A48,'Model Output_TTC'!$A:$CB,AE$2,FALSE),IF('Ref-Data'!$Z$5="Baseline",VLOOKUP('Input PD LGD'!$A48,'Model Output_TTC'!$A:$AU,'Input PD LGD'!AE$4,FALSE),IF('Ref-Data'!$Z$5="90th Percentile",VLOOKUP('Input PD LGD'!$A48,'Model Output_TTC'!$A:$BP,'Input PD LGD'!AE$6,FALSE),IF('Ref-Data'!$Z$5="96th Percentile",VLOOKUP('Input PD LGD'!$A48,'Model Output_TTC'!$A:$Z,'Input PD LGD'!AE$8,FALSE),"")))))</f>
        <v>6.1100000000000002E-2</v>
      </c>
      <c r="L48" s="274">
        <f>VLOOKUP(A48,'Ref-Data'!$A:$N,14,0)</f>
        <v>0.15</v>
      </c>
      <c r="M48" s="354">
        <f>VLOOKUP(A48,'Ref-Data'!A:I,9,0)</f>
        <v>1</v>
      </c>
      <c r="N48" s="354" t="s">
        <v>1156</v>
      </c>
      <c r="T48" s="346"/>
    </row>
    <row r="49" spans="1:20" x14ac:dyDescent="0.25">
      <c r="A49" s="277">
        <v>1200000146</v>
      </c>
      <c r="B49" s="277" t="str">
        <f>INDEX('Loan Book Summary'!B:C,MATCH('Input PD LGD'!A49,'Loan Book Summary'!C:C,0),1)</f>
        <v>Whiskey (BidCo) Limited - Business Trading - Tranche D - CBILS Facility</v>
      </c>
      <c r="C49" s="400">
        <f>VLOOKUP(A49,Reference_Rate_Repricing_Report!B:P,15,FALSE)</f>
        <v>7.24</v>
      </c>
      <c r="D49" s="276">
        <f>IF('Ref-Data'!$Z$2="ON",VLOOKUP($A49,'MacroPD-Cal'!$A:$L,X$1,FALSE),IF('Ref-Data'!$Z$5 = "Weighted",VLOOKUP($A49,'Model Output_TTC'!$A:$CB,X$2,FALSE),IF('Ref-Data'!$Z$5="Baseline",VLOOKUP('Input PD LGD'!$A49,'Model Output_TTC'!$A:$AU,'Input PD LGD'!X$4,FALSE),IF('Ref-Data'!$Z$5="90th Percentile",VLOOKUP('Input PD LGD'!$A49,'Model Output_TTC'!$A:$BP,'Input PD LGD'!X$6,FALSE),IF('Ref-Data'!$Z$5="96th Percentile",VLOOKUP('Input PD LGD'!$A49,'Model Output_TTC'!$A:$Z,'Input PD LGD'!X$8,FALSE),"")))))</f>
        <v>1.2213071921756953E-3</v>
      </c>
      <c r="E49" s="276">
        <f>IF('Ref-Data'!$Z$2="ON",VLOOKUP($A49,'MacroPD-Cal'!$A:$L,Y$1,FALSE),IF('Ref-Data'!$Z$5 = "Weighted",VLOOKUP($A49,'Model Output_TTC'!$A:$CB,Y$2,FALSE),IF('Ref-Data'!$Z$5="Baseline",VLOOKUP('Input PD LGD'!$A49,'Model Output_TTC'!$A:$AU,'Input PD LGD'!Y$4,FALSE),IF('Ref-Data'!$Z$5="90th Percentile",VLOOKUP('Input PD LGD'!$A49,'Model Output_TTC'!$A:$BP,'Input PD LGD'!Y$6,FALSE),IF('Ref-Data'!$Z$5="96th Percentile",VLOOKUP('Input PD LGD'!$A49,'Model Output_TTC'!$A:$Z,'Input PD LGD'!Y$8,FALSE),"")))))</f>
        <v>2.8798866476352769E-3</v>
      </c>
      <c r="F49" s="276">
        <f>IF('Ref-Data'!$Z$2="ON",VLOOKUP($A49,'MacroPD-Cal'!$A:$L,Z$1,FALSE),IF('Ref-Data'!$Z$5 = "Weighted",VLOOKUP($A49,'Model Output_TTC'!$A:$CB,Z$2,FALSE),IF('Ref-Data'!$Z$5="Baseline",VLOOKUP('Input PD LGD'!$A49,'Model Output_TTC'!$A:$AU,'Input PD LGD'!Z$4,FALSE),IF('Ref-Data'!$Z$5="90th Percentile",VLOOKUP('Input PD LGD'!$A49,'Model Output_TTC'!$A:$BP,'Input PD LGD'!Z$6,FALSE),IF('Ref-Data'!$Z$5="96th Percentile",VLOOKUP('Input PD LGD'!$A49,'Model Output_TTC'!$A:$Z,'Input PD LGD'!Z$8,FALSE),"")))))</f>
        <v>4.7903459833295026E-3</v>
      </c>
      <c r="G49" s="276">
        <f>IF('Ref-Data'!$Z$2="ON",VLOOKUP($A49,'MacroPD-Cal'!$A:$L,AA$1,FALSE),IF('Ref-Data'!$Z$5 = "Weighted",VLOOKUP($A49,'Model Output_TTC'!$A:$CB,AA$2,FALSE),IF('Ref-Data'!$Z$5="Baseline",VLOOKUP('Input PD LGD'!$A49,'Model Output_TTC'!$A:$AU,'Input PD LGD'!AA$4,FALSE),IF('Ref-Data'!$Z$5="90th Percentile",VLOOKUP('Input PD LGD'!$A49,'Model Output_TTC'!$A:$BP,'Input PD LGD'!AA$6,FALSE),IF('Ref-Data'!$Z$5="96th Percentile",VLOOKUP('Input PD LGD'!$A49,'Model Output_TTC'!$A:$Z,'Input PD LGD'!AA$8,FALSE),"")))))</f>
        <v>7.3000000000000001E-3</v>
      </c>
      <c r="H49" s="276">
        <f>IF('Ref-Data'!$Z$2="ON",VLOOKUP($A49,'MacroPD-Cal'!$A:$L,AB$1,FALSE),IF('Ref-Data'!$Z$5 = "Weighted",VLOOKUP($A49,'Model Output_TTC'!$A:$CB,AB$2,FALSE),IF('Ref-Data'!$Z$5="Baseline",VLOOKUP('Input PD LGD'!$A49,'Model Output_TTC'!$A:$AU,'Input PD LGD'!AB$4,FALSE),IF('Ref-Data'!$Z$5="90th Percentile",VLOOKUP('Input PD LGD'!$A49,'Model Output_TTC'!$A:$BP,'Input PD LGD'!AB$6,FALSE),IF('Ref-Data'!$Z$5="96th Percentile",VLOOKUP('Input PD LGD'!$A49,'Model Output_TTC'!$A:$Z,'Input PD LGD'!AB$8,FALSE),"")))))</f>
        <v>1.17E-2</v>
      </c>
      <c r="I49" s="276">
        <f>IF('Ref-Data'!$Z$2="ON",VLOOKUP($A49,'MacroPD-Cal'!$A:$L,AC$1,FALSE),IF('Ref-Data'!$Z$5 = "Weighted",VLOOKUP($A49,'Model Output_TTC'!$A:$CB,AC$2,FALSE),IF('Ref-Data'!$Z$5="Baseline",VLOOKUP('Input PD LGD'!$A49,'Model Output_TTC'!$A:$AU,'Input PD LGD'!AC$4,FALSE),IF('Ref-Data'!$Z$5="90th Percentile",VLOOKUP('Input PD LGD'!$A49,'Model Output_TTC'!$A:$BP,'Input PD LGD'!AC$6,FALSE),IF('Ref-Data'!$Z$5="96th Percentile",VLOOKUP('Input PD LGD'!$A49,'Model Output_TTC'!$A:$Z,'Input PD LGD'!AC$8,FALSE),"")))))</f>
        <v>1.4500000000000001E-2</v>
      </c>
      <c r="J49" s="276">
        <f>IF('Ref-Data'!$Z$2="ON",VLOOKUP($A49,'MacroPD-Cal'!$A:$L,AD$1,FALSE),IF('Ref-Data'!$Z$5 = "Weighted",VLOOKUP($A49,'Model Output_TTC'!$A:$CB,AD$2,FALSE),IF('Ref-Data'!$Z$5="Baseline",VLOOKUP('Input PD LGD'!$A49,'Model Output_TTC'!$A:$AU,'Input PD LGD'!AD$4,FALSE),IF('Ref-Data'!$Z$5="90th Percentile",VLOOKUP('Input PD LGD'!$A49,'Model Output_TTC'!$A:$BP,'Input PD LGD'!AD$6,FALSE),IF('Ref-Data'!$Z$5="96th Percentile",VLOOKUP('Input PD LGD'!$A49,'Model Output_TTC'!$A:$Z,'Input PD LGD'!AD$8,FALSE),"")))))</f>
        <v>2.2100000000000002E-2</v>
      </c>
      <c r="K49" s="276">
        <f>IF('Ref-Data'!$Z$2="ON",VLOOKUP($A49,'MacroPD-Cal'!$A:$L,AE$1,FALSE),IF('Ref-Data'!$Z$5 = "Weighted",VLOOKUP($A49,'Model Output_TTC'!$A:$CB,AE$2,FALSE),IF('Ref-Data'!$Z$5="Baseline",VLOOKUP('Input PD LGD'!$A49,'Model Output_TTC'!$A:$AU,'Input PD LGD'!AE$4,FALSE),IF('Ref-Data'!$Z$5="90th Percentile",VLOOKUP('Input PD LGD'!$A49,'Model Output_TTC'!$A:$BP,'Input PD LGD'!AE$6,FALSE),IF('Ref-Data'!$Z$5="96th Percentile",VLOOKUP('Input PD LGD'!$A49,'Model Output_TTC'!$A:$Z,'Input PD LGD'!AE$8,FALSE),"")))))</f>
        <v>3.0300000000000001E-2</v>
      </c>
      <c r="L49" s="274">
        <f>VLOOKUP(A49,'Ref-Data'!$A:$N,14,0)</f>
        <v>0.43159999999999998</v>
      </c>
      <c r="M49" s="354">
        <f>VLOOKUP(A49,'Ref-Data'!A:I,9,0)</f>
        <v>1</v>
      </c>
      <c r="N49" s="354" t="s">
        <v>1156</v>
      </c>
      <c r="T49" s="346"/>
    </row>
    <row r="50" spans="1:20" x14ac:dyDescent="0.25">
      <c r="A50" s="277">
        <v>1200000116</v>
      </c>
      <c r="B50" s="277" t="str">
        <f>INDEX('Loan Book Summary'!B:C,MATCH('Input PD LGD'!A50,'Loan Book Summary'!C:C,0),1)</f>
        <v>Constant Equity Alpha Ltd - Business Loan - Facility C - CBILS Refinance</v>
      </c>
      <c r="C50" s="400">
        <f>VLOOKUP(A50,Reference_Rate_Repricing_Report!B:P,15,FALSE)</f>
        <v>7.04</v>
      </c>
      <c r="D50" s="276">
        <f>IF('Ref-Data'!$Z$2="ON",VLOOKUP($A50,'MacroPD-Cal'!$A:$L,X$1,FALSE),IF('Ref-Data'!$Z$5 = "Weighted",VLOOKUP($A50,'Model Output_TTC'!$A:$CB,X$2,FALSE),IF('Ref-Data'!$Z$5="Baseline",VLOOKUP('Input PD LGD'!$A50,'Model Output_TTC'!$A:$AU,'Input PD LGD'!X$4,FALSE),IF('Ref-Data'!$Z$5="90th Percentile",VLOOKUP('Input PD LGD'!$A50,'Model Output_TTC'!$A:$BP,'Input PD LGD'!X$6,FALSE),IF('Ref-Data'!$Z$5="96th Percentile",VLOOKUP('Input PD LGD'!$A50,'Model Output_TTC'!$A:$Z,'Input PD LGD'!X$8,FALSE),"")))))</f>
        <v>9.3334239922107404E-4</v>
      </c>
      <c r="E50" s="276">
        <f>IF('Ref-Data'!$Z$2="ON",VLOOKUP($A50,'MacroPD-Cal'!$A:$L,Y$1,FALSE),IF('Ref-Data'!$Z$5 = "Weighted",VLOOKUP($A50,'Model Output_TTC'!$A:$CB,Y$2,FALSE),IF('Ref-Data'!$Z$5="Baseline",VLOOKUP('Input PD LGD'!$A50,'Model Output_TTC'!$A:$AU,'Input PD LGD'!Y$4,FALSE),IF('Ref-Data'!$Z$5="90th Percentile",VLOOKUP('Input PD LGD'!$A50,'Model Output_TTC'!$A:$BP,'Input PD LGD'!Y$6,FALSE),IF('Ref-Data'!$Z$5="96th Percentile",VLOOKUP('Input PD LGD'!$A50,'Model Output_TTC'!$A:$Z,'Input PD LGD'!Y$8,FALSE),"")))))</f>
        <v>2.2101569656043374E-3</v>
      </c>
      <c r="F50" s="276">
        <f>IF('Ref-Data'!$Z$2="ON",VLOOKUP($A50,'MacroPD-Cal'!$A:$L,Z$1,FALSE),IF('Ref-Data'!$Z$5 = "Weighted",VLOOKUP($A50,'Model Output_TTC'!$A:$CB,Z$2,FALSE),IF('Ref-Data'!$Z$5="Baseline",VLOOKUP('Input PD LGD'!$A50,'Model Output_TTC'!$A:$AU,'Input PD LGD'!Z$4,FALSE),IF('Ref-Data'!$Z$5="90th Percentile",VLOOKUP('Input PD LGD'!$A50,'Model Output_TTC'!$A:$BP,'Input PD LGD'!Z$6,FALSE),IF('Ref-Data'!$Z$5="96th Percentile",VLOOKUP('Input PD LGD'!$A50,'Model Output_TTC'!$A:$Z,'Input PD LGD'!Z$8,FALSE),"")))))</f>
        <v>3.6863423460092859E-3</v>
      </c>
      <c r="G50" s="276">
        <f>IF('Ref-Data'!$Z$2="ON",VLOOKUP($A50,'MacroPD-Cal'!$A:$L,AA$1,FALSE),IF('Ref-Data'!$Z$5 = "Weighted",VLOOKUP($A50,'Model Output_TTC'!$A:$CB,AA$2,FALSE),IF('Ref-Data'!$Z$5="Baseline",VLOOKUP('Input PD LGD'!$A50,'Model Output_TTC'!$A:$AU,'Input PD LGD'!AA$4,FALSE),IF('Ref-Data'!$Z$5="90th Percentile",VLOOKUP('Input PD LGD'!$A50,'Model Output_TTC'!$A:$BP,'Input PD LGD'!AA$6,FALSE),IF('Ref-Data'!$Z$5="96th Percentile",VLOOKUP('Input PD LGD'!$A50,'Model Output_TTC'!$A:$Z,'Input PD LGD'!AA$8,FALSE),"")))))</f>
        <v>5.5999999999999999E-3</v>
      </c>
      <c r="H50" s="276">
        <f>IF('Ref-Data'!$Z$2="ON",VLOOKUP($A50,'MacroPD-Cal'!$A:$L,AB$1,FALSE),IF('Ref-Data'!$Z$5 = "Weighted",VLOOKUP($A50,'Model Output_TTC'!$A:$CB,AB$2,FALSE),IF('Ref-Data'!$Z$5="Baseline",VLOOKUP('Input PD LGD'!$A50,'Model Output_TTC'!$A:$AU,'Input PD LGD'!AB$4,FALSE),IF('Ref-Data'!$Z$5="90th Percentile",VLOOKUP('Input PD LGD'!$A50,'Model Output_TTC'!$A:$BP,'Input PD LGD'!AB$6,FALSE),IF('Ref-Data'!$Z$5="96th Percentile",VLOOKUP('Input PD LGD'!$A50,'Model Output_TTC'!$A:$Z,'Input PD LGD'!AB$8,FALSE),"")))))</f>
        <v>9.1000000000000004E-3</v>
      </c>
      <c r="I50" s="276">
        <f>IF('Ref-Data'!$Z$2="ON",VLOOKUP($A50,'MacroPD-Cal'!$A:$L,AC$1,FALSE),IF('Ref-Data'!$Z$5 = "Weighted",VLOOKUP($A50,'Model Output_TTC'!$A:$CB,AC$2,FALSE),IF('Ref-Data'!$Z$5="Baseline",VLOOKUP('Input PD LGD'!$A50,'Model Output_TTC'!$A:$AU,'Input PD LGD'!AC$4,FALSE),IF('Ref-Data'!$Z$5="90th Percentile",VLOOKUP('Input PD LGD'!$A50,'Model Output_TTC'!$A:$BP,'Input PD LGD'!AC$6,FALSE),IF('Ref-Data'!$Z$5="96th Percentile",VLOOKUP('Input PD LGD'!$A50,'Model Output_TTC'!$A:$Z,'Input PD LGD'!AC$8,FALSE),"")))))</f>
        <v>1.14E-2</v>
      </c>
      <c r="J50" s="276">
        <f>IF('Ref-Data'!$Z$2="ON",VLOOKUP($A50,'MacroPD-Cal'!$A:$L,AD$1,FALSE),IF('Ref-Data'!$Z$5 = "Weighted",VLOOKUP($A50,'Model Output_TTC'!$A:$CB,AD$2,FALSE),IF('Ref-Data'!$Z$5="Baseline",VLOOKUP('Input PD LGD'!$A50,'Model Output_TTC'!$A:$AU,'Input PD LGD'!AD$4,FALSE),IF('Ref-Data'!$Z$5="90th Percentile",VLOOKUP('Input PD LGD'!$A50,'Model Output_TTC'!$A:$BP,'Input PD LGD'!AD$6,FALSE),IF('Ref-Data'!$Z$5="96th Percentile",VLOOKUP('Input PD LGD'!$A50,'Model Output_TTC'!$A:$Z,'Input PD LGD'!AD$8,FALSE),"")))))</f>
        <v>1.78E-2</v>
      </c>
      <c r="K50" s="276">
        <f>IF('Ref-Data'!$Z$2="ON",VLOOKUP($A50,'MacroPD-Cal'!$A:$L,AE$1,FALSE),IF('Ref-Data'!$Z$5 = "Weighted",VLOOKUP($A50,'Model Output_TTC'!$A:$CB,AE$2,FALSE),IF('Ref-Data'!$Z$5="Baseline",VLOOKUP('Input PD LGD'!$A50,'Model Output_TTC'!$A:$AU,'Input PD LGD'!AE$4,FALSE),IF('Ref-Data'!$Z$5="90th Percentile",VLOOKUP('Input PD LGD'!$A50,'Model Output_TTC'!$A:$BP,'Input PD LGD'!AE$6,FALSE),IF('Ref-Data'!$Z$5="96th Percentile",VLOOKUP('Input PD LGD'!$A50,'Model Output_TTC'!$A:$Z,'Input PD LGD'!AE$8,FALSE),"")))))</f>
        <v>2.5000000000000001E-2</v>
      </c>
      <c r="L50" s="274">
        <f>VLOOKUP(A50,'Ref-Data'!$A:$N,14,0)</f>
        <v>0.1</v>
      </c>
      <c r="M50" s="354">
        <f>VLOOKUP(A50,'Ref-Data'!A:I,9,0)</f>
        <v>1</v>
      </c>
      <c r="N50" s="354" t="s">
        <v>1156</v>
      </c>
      <c r="T50" s="346"/>
    </row>
    <row r="51" spans="1:20" x14ac:dyDescent="0.25">
      <c r="A51" s="277">
        <v>1200000105</v>
      </c>
      <c r="B51" s="277" t="str">
        <f>INDEX('Loan Book Summary'!B:C,MATCH('Input PD LGD'!A51,'Loan Book Summary'!C:C,0),1)</f>
        <v>Ashton Yates Limited - Business Trading - HY Hotels - CBILS Facility</v>
      </c>
      <c r="C51" s="400">
        <f>VLOOKUP(A51,Reference_Rate_Repricing_Report!B:P,15,FALSE)</f>
        <v>7.09</v>
      </c>
      <c r="D51" s="276">
        <f>IF('Ref-Data'!$Z$2="ON",VLOOKUP($A51,'MacroPD-Cal'!$A:$L,X$1,FALSE),IF('Ref-Data'!$Z$5 = "Weighted",VLOOKUP($A51,'Model Output_TTC'!$A:$CB,X$2,FALSE),IF('Ref-Data'!$Z$5="Baseline",VLOOKUP('Input PD LGD'!$A51,'Model Output_TTC'!$A:$AU,'Input PD LGD'!X$4,FALSE),IF('Ref-Data'!$Z$5="90th Percentile",VLOOKUP('Input PD LGD'!$A51,'Model Output_TTC'!$A:$BP,'Input PD LGD'!X$6,FALSE),IF('Ref-Data'!$Z$5="96th Percentile",VLOOKUP('Input PD LGD'!$A51,'Model Output_TTC'!$A:$Z,'Input PD LGD'!X$8,FALSE),"")))))</f>
        <v>1.1707437157442793E-3</v>
      </c>
      <c r="E51" s="276">
        <f>IF('Ref-Data'!$Z$2="ON",VLOOKUP($A51,'MacroPD-Cal'!$A:$L,Y$1,FALSE),IF('Ref-Data'!$Z$5 = "Weighted",VLOOKUP($A51,'Model Output_TTC'!$A:$CB,Y$2,FALSE),IF('Ref-Data'!$Z$5="Baseline",VLOOKUP('Input PD LGD'!$A51,'Model Output_TTC'!$A:$AU,'Input PD LGD'!Y$4,FALSE),IF('Ref-Data'!$Z$5="90th Percentile",VLOOKUP('Input PD LGD'!$A51,'Model Output_TTC'!$A:$BP,'Input PD LGD'!Y$6,FALSE),IF('Ref-Data'!$Z$5="96th Percentile",VLOOKUP('Input PD LGD'!$A51,'Model Output_TTC'!$A:$Z,'Input PD LGD'!Y$8,FALSE),"")))))</f>
        <v>2.7625082037178172E-3</v>
      </c>
      <c r="F51" s="276">
        <f>IF('Ref-Data'!$Z$2="ON",VLOOKUP($A51,'MacroPD-Cal'!$A:$L,Z$1,FALSE),IF('Ref-Data'!$Z$5 = "Weighted",VLOOKUP($A51,'Model Output_TTC'!$A:$CB,Z$2,FALSE),IF('Ref-Data'!$Z$5="Baseline",VLOOKUP('Input PD LGD'!$A51,'Model Output_TTC'!$A:$AU,'Input PD LGD'!Z$4,FALSE),IF('Ref-Data'!$Z$5="90th Percentile",VLOOKUP('Input PD LGD'!$A51,'Model Output_TTC'!$A:$BP,'Input PD LGD'!Z$6,FALSE),IF('Ref-Data'!$Z$5="96th Percentile",VLOOKUP('Input PD LGD'!$A51,'Model Output_TTC'!$A:$Z,'Input PD LGD'!Z$8,FALSE),"")))))</f>
        <v>4.5970963431510858E-3</v>
      </c>
      <c r="G51" s="276">
        <f>IF('Ref-Data'!$Z$2="ON",VLOOKUP($A51,'MacroPD-Cal'!$A:$L,AA$1,FALSE),IF('Ref-Data'!$Z$5 = "Weighted",VLOOKUP($A51,'Model Output_TTC'!$A:$CB,AA$2,FALSE),IF('Ref-Data'!$Z$5="Baseline",VLOOKUP('Input PD LGD'!$A51,'Model Output_TTC'!$A:$AU,'Input PD LGD'!AA$4,FALSE),IF('Ref-Data'!$Z$5="90th Percentile",VLOOKUP('Input PD LGD'!$A51,'Model Output_TTC'!$A:$BP,'Input PD LGD'!AA$6,FALSE),IF('Ref-Data'!$Z$5="96th Percentile",VLOOKUP('Input PD LGD'!$A51,'Model Output_TTC'!$A:$Z,'Input PD LGD'!AA$8,FALSE),"")))))</f>
        <v>7.0000000000000001E-3</v>
      </c>
      <c r="H51" s="276">
        <f>IF('Ref-Data'!$Z$2="ON",VLOOKUP($A51,'MacroPD-Cal'!$A:$L,AB$1,FALSE),IF('Ref-Data'!$Z$5 = "Weighted",VLOOKUP($A51,'Model Output_TTC'!$A:$CB,AB$2,FALSE),IF('Ref-Data'!$Z$5="Baseline",VLOOKUP('Input PD LGD'!$A51,'Model Output_TTC'!$A:$AU,'Input PD LGD'!AB$4,FALSE),IF('Ref-Data'!$Z$5="90th Percentile",VLOOKUP('Input PD LGD'!$A51,'Model Output_TTC'!$A:$BP,'Input PD LGD'!AB$6,FALSE),IF('Ref-Data'!$Z$5="96th Percentile",VLOOKUP('Input PD LGD'!$A51,'Model Output_TTC'!$A:$Z,'Input PD LGD'!AB$8,FALSE),"")))))</f>
        <v>1.0800000000000001E-2</v>
      </c>
      <c r="I51" s="276">
        <f>IF('Ref-Data'!$Z$2="ON",VLOOKUP($A51,'MacroPD-Cal'!$A:$L,AC$1,FALSE),IF('Ref-Data'!$Z$5 = "Weighted",VLOOKUP($A51,'Model Output_TTC'!$A:$CB,AC$2,FALSE),IF('Ref-Data'!$Z$5="Baseline",VLOOKUP('Input PD LGD'!$A51,'Model Output_TTC'!$A:$AU,'Input PD LGD'!AC$4,FALSE),IF('Ref-Data'!$Z$5="90th Percentile",VLOOKUP('Input PD LGD'!$A51,'Model Output_TTC'!$A:$BP,'Input PD LGD'!AC$6,FALSE),IF('Ref-Data'!$Z$5="96th Percentile",VLOOKUP('Input PD LGD'!$A51,'Model Output_TTC'!$A:$Z,'Input PD LGD'!AC$8,FALSE),"")))))</f>
        <v>1.3100000000000001E-2</v>
      </c>
      <c r="J51" s="276">
        <f>IF('Ref-Data'!$Z$2="ON",VLOOKUP($A51,'MacroPD-Cal'!$A:$L,AD$1,FALSE),IF('Ref-Data'!$Z$5 = "Weighted",VLOOKUP($A51,'Model Output_TTC'!$A:$CB,AD$2,FALSE),IF('Ref-Data'!$Z$5="Baseline",VLOOKUP('Input PD LGD'!$A51,'Model Output_TTC'!$A:$AU,'Input PD LGD'!AD$4,FALSE),IF('Ref-Data'!$Z$5="90th Percentile",VLOOKUP('Input PD LGD'!$A51,'Model Output_TTC'!$A:$BP,'Input PD LGD'!AD$6,FALSE),IF('Ref-Data'!$Z$5="96th Percentile",VLOOKUP('Input PD LGD'!$A51,'Model Output_TTC'!$A:$Z,'Input PD LGD'!AD$8,FALSE),"")))))</f>
        <v>1.9300000000000001E-2</v>
      </c>
      <c r="K51" s="276">
        <f>IF('Ref-Data'!$Z$2="ON",VLOOKUP($A51,'MacroPD-Cal'!$A:$L,AE$1,FALSE),IF('Ref-Data'!$Z$5 = "Weighted",VLOOKUP($A51,'Model Output_TTC'!$A:$CB,AE$2,FALSE),IF('Ref-Data'!$Z$5="Baseline",VLOOKUP('Input PD LGD'!$A51,'Model Output_TTC'!$A:$AU,'Input PD LGD'!AE$4,FALSE),IF('Ref-Data'!$Z$5="90th Percentile",VLOOKUP('Input PD LGD'!$A51,'Model Output_TTC'!$A:$BP,'Input PD LGD'!AE$6,FALSE),IF('Ref-Data'!$Z$5="96th Percentile",VLOOKUP('Input PD LGD'!$A51,'Model Output_TTC'!$A:$Z,'Input PD LGD'!AE$8,FALSE),"")))))</f>
        <v>2.58E-2</v>
      </c>
      <c r="L51" s="274">
        <f>VLOOKUP(A51,'Ref-Data'!$A:$N,14,0)</f>
        <v>0.15</v>
      </c>
      <c r="M51" s="354">
        <f>VLOOKUP(A51,'Ref-Data'!A:I,9,0)</f>
        <v>1</v>
      </c>
      <c r="N51" s="354" t="s">
        <v>1156</v>
      </c>
      <c r="T51" s="346"/>
    </row>
    <row r="52" spans="1:20" x14ac:dyDescent="0.25">
      <c r="A52" s="277">
        <v>1200000106</v>
      </c>
      <c r="B52" s="277" t="str">
        <f>INDEX('Loan Book Summary'!B:C,MATCH('Input PD LGD'!A52,'Loan Book Summary'!C:C,0),1)</f>
        <v>Vista Bidco Limited - Business Trading - Alufold Direct - CBILS Refinance</v>
      </c>
      <c r="C52" s="400">
        <f>VLOOKUP(A52,Reference_Rate_Repricing_Report!B:P,15,FALSE)</f>
        <v>6.78</v>
      </c>
      <c r="D52" s="276">
        <f>IF('Ref-Data'!$Z$2="ON",VLOOKUP($A52,'MacroPD-Cal'!$A:$L,X$1,FALSE),IF('Ref-Data'!$Z$5 = "Weighted",VLOOKUP($A52,'Model Output_TTC'!$A:$CB,X$2,FALSE),IF('Ref-Data'!$Z$5="Baseline",VLOOKUP('Input PD LGD'!$A52,'Model Output_TTC'!$A:$AU,'Input PD LGD'!X$4,FALSE),IF('Ref-Data'!$Z$5="90th Percentile",VLOOKUP('Input PD LGD'!$A52,'Model Output_TTC'!$A:$BP,'Input PD LGD'!X$6,FALSE),IF('Ref-Data'!$Z$5="96th Percentile",VLOOKUP('Input PD LGD'!$A52,'Model Output_TTC'!$A:$Z,'Input PD LGD'!X$8,FALSE),"")))))</f>
        <v>2.0181887000557244E-2</v>
      </c>
      <c r="E52" s="276">
        <f>IF('Ref-Data'!$Z$2="ON",VLOOKUP($A52,'MacroPD-Cal'!$A:$L,Y$1,FALSE),IF('Ref-Data'!$Z$5 = "Weighted",VLOOKUP($A52,'Model Output_TTC'!$A:$CB,Y$2,FALSE),IF('Ref-Data'!$Z$5="Baseline",VLOOKUP('Input PD LGD'!$A52,'Model Output_TTC'!$A:$AU,'Input PD LGD'!Y$4,FALSE),IF('Ref-Data'!$Z$5="90th Percentile",VLOOKUP('Input PD LGD'!$A52,'Model Output_TTC'!$A:$BP,'Input PD LGD'!Y$6,FALSE),IF('Ref-Data'!$Z$5="96th Percentile",VLOOKUP('Input PD LGD'!$A52,'Model Output_TTC'!$A:$Z,'Input PD LGD'!Y$8,FALSE),"")))))</f>
        <v>4.4906672870860809E-2</v>
      </c>
      <c r="F52" s="276">
        <f>IF('Ref-Data'!$Z$2="ON",VLOOKUP($A52,'MacroPD-Cal'!$A:$L,Z$1,FALSE),IF('Ref-Data'!$Z$5 = "Weighted",VLOOKUP($A52,'Model Output_TTC'!$A:$CB,Z$2,FALSE),IF('Ref-Data'!$Z$5="Baseline",VLOOKUP('Input PD LGD'!$A52,'Model Output_TTC'!$A:$AU,'Input PD LGD'!Z$4,FALSE),IF('Ref-Data'!$Z$5="90th Percentile",VLOOKUP('Input PD LGD'!$A52,'Model Output_TTC'!$A:$BP,'Input PD LGD'!Z$6,FALSE),IF('Ref-Data'!$Z$5="96th Percentile",VLOOKUP('Input PD LGD'!$A52,'Model Output_TTC'!$A:$Z,'Input PD LGD'!Z$8,FALSE),"")))))</f>
        <v>7.1631874074090218E-2</v>
      </c>
      <c r="G52" s="276">
        <f>IF('Ref-Data'!$Z$2="ON",VLOOKUP($A52,'MacroPD-Cal'!$A:$L,AA$1,FALSE),IF('Ref-Data'!$Z$5 = "Weighted",VLOOKUP($A52,'Model Output_TTC'!$A:$CB,AA$2,FALSE),IF('Ref-Data'!$Z$5="Baseline",VLOOKUP('Input PD LGD'!$A52,'Model Output_TTC'!$A:$AU,'Input PD LGD'!AA$4,FALSE),IF('Ref-Data'!$Z$5="90th Percentile",VLOOKUP('Input PD LGD'!$A52,'Model Output_TTC'!$A:$BP,'Input PD LGD'!AA$6,FALSE),IF('Ref-Data'!$Z$5="96th Percentile",VLOOKUP('Input PD LGD'!$A52,'Model Output_TTC'!$A:$Z,'Input PD LGD'!AA$8,FALSE),"")))))</f>
        <v>0.10360000000000001</v>
      </c>
      <c r="H52" s="276">
        <f>IF('Ref-Data'!$Z$2="ON",VLOOKUP($A52,'MacroPD-Cal'!$A:$L,AB$1,FALSE),IF('Ref-Data'!$Z$5 = "Weighted",VLOOKUP($A52,'Model Output_TTC'!$A:$CB,AB$2,FALSE),IF('Ref-Data'!$Z$5="Baseline",VLOOKUP('Input PD LGD'!$A52,'Model Output_TTC'!$A:$AU,'Input PD LGD'!AB$4,FALSE),IF('Ref-Data'!$Z$5="90th Percentile",VLOOKUP('Input PD LGD'!$A52,'Model Output_TTC'!$A:$BP,'Input PD LGD'!AB$6,FALSE),IF('Ref-Data'!$Z$5="96th Percentile",VLOOKUP('Input PD LGD'!$A52,'Model Output_TTC'!$A:$Z,'Input PD LGD'!AB$8,FALSE),"")))))</f>
        <v>0.15080000000000002</v>
      </c>
      <c r="I52" s="276">
        <f>IF('Ref-Data'!$Z$2="ON",VLOOKUP($A52,'MacroPD-Cal'!$A:$L,AC$1,FALSE),IF('Ref-Data'!$Z$5 = "Weighted",VLOOKUP($A52,'Model Output_TTC'!$A:$CB,AC$2,FALSE),IF('Ref-Data'!$Z$5="Baseline",VLOOKUP('Input PD LGD'!$A52,'Model Output_TTC'!$A:$AU,'Input PD LGD'!AC$4,FALSE),IF('Ref-Data'!$Z$5="90th Percentile",VLOOKUP('Input PD LGD'!$A52,'Model Output_TTC'!$A:$BP,'Input PD LGD'!AC$6,FALSE),IF('Ref-Data'!$Z$5="96th Percentile",VLOOKUP('Input PD LGD'!$A52,'Model Output_TTC'!$A:$Z,'Input PD LGD'!AC$8,FALSE),"")))))</f>
        <v>0.17730000000000001</v>
      </c>
      <c r="J52" s="276">
        <f>IF('Ref-Data'!$Z$2="ON",VLOOKUP($A52,'MacroPD-Cal'!$A:$L,AD$1,FALSE),IF('Ref-Data'!$Z$5 = "Weighted",VLOOKUP($A52,'Model Output_TTC'!$A:$CB,AD$2,FALSE),IF('Ref-Data'!$Z$5="Baseline",VLOOKUP('Input PD LGD'!$A52,'Model Output_TTC'!$A:$AU,'Input PD LGD'!AD$4,FALSE),IF('Ref-Data'!$Z$5="90th Percentile",VLOOKUP('Input PD LGD'!$A52,'Model Output_TTC'!$A:$BP,'Input PD LGD'!AD$6,FALSE),IF('Ref-Data'!$Z$5="96th Percentile",VLOOKUP('Input PD LGD'!$A52,'Model Output_TTC'!$A:$Z,'Input PD LGD'!AD$8,FALSE),"")))))</f>
        <v>0.2228</v>
      </c>
      <c r="K52" s="276">
        <f>IF('Ref-Data'!$Z$2="ON",VLOOKUP($A52,'MacroPD-Cal'!$A:$L,AE$1,FALSE),IF('Ref-Data'!$Z$5 = "Weighted",VLOOKUP($A52,'Model Output_TTC'!$A:$CB,AE$2,FALSE),IF('Ref-Data'!$Z$5="Baseline",VLOOKUP('Input PD LGD'!$A52,'Model Output_TTC'!$A:$AU,'Input PD LGD'!AE$4,FALSE),IF('Ref-Data'!$Z$5="90th Percentile",VLOOKUP('Input PD LGD'!$A52,'Model Output_TTC'!$A:$BP,'Input PD LGD'!AE$6,FALSE),IF('Ref-Data'!$Z$5="96th Percentile",VLOOKUP('Input PD LGD'!$A52,'Model Output_TTC'!$A:$Z,'Input PD LGD'!AE$8,FALSE),"")))))</f>
        <v>0.26419999999999999</v>
      </c>
      <c r="L52" s="274">
        <f>VLOOKUP(A52,'Ref-Data'!$A:$N,14,0)</f>
        <v>0.457881885879943</v>
      </c>
      <c r="M52" s="354">
        <f>VLOOKUP(A52,'Ref-Data'!A:I,9,0)</f>
        <v>1</v>
      </c>
      <c r="N52" s="354" t="s">
        <v>1156</v>
      </c>
      <c r="T52" s="346"/>
    </row>
    <row r="53" spans="1:20" x14ac:dyDescent="0.25">
      <c r="A53" s="277">
        <v>1200000135</v>
      </c>
      <c r="B53" s="277" t="str">
        <f>INDEX('Loan Book Summary'!B:C,MATCH('Input PD LGD'!A53,'Loan Book Summary'!C:C,0),1)</f>
        <v>Lincoln Plaza Hotel - Business Trading - Facility B CBILS</v>
      </c>
      <c r="C53" s="400">
        <f>VLOOKUP(A53,Reference_Rate_Repricing_Report!B:P,15,FALSE)</f>
        <v>7.11</v>
      </c>
      <c r="D53" s="276">
        <f>IF('Ref-Data'!$Z$2="ON",VLOOKUP($A53,'MacroPD-Cal'!$A:$L,X$1,FALSE),IF('Ref-Data'!$Z$5 = "Weighted",VLOOKUP($A53,'Model Output_TTC'!$A:$CB,X$2,FALSE),IF('Ref-Data'!$Z$5="Baseline",VLOOKUP('Input PD LGD'!$A53,'Model Output_TTC'!$A:$AU,'Input PD LGD'!X$4,FALSE),IF('Ref-Data'!$Z$5="90th Percentile",VLOOKUP('Input PD LGD'!$A53,'Model Output_TTC'!$A:$BP,'Input PD LGD'!X$6,FALSE),IF('Ref-Data'!$Z$5="96th Percentile",VLOOKUP('Input PD LGD'!$A53,'Model Output_TTC'!$A:$Z,'Input PD LGD'!X$8,FALSE),"")))))</f>
        <v>2.8366842468132019E-2</v>
      </c>
      <c r="E53" s="276">
        <f>IF('Ref-Data'!$Z$2="ON",VLOOKUP($A53,'MacroPD-Cal'!$A:$L,Y$1,FALSE),IF('Ref-Data'!$Z$5 = "Weighted",VLOOKUP($A53,'Model Output_TTC'!$A:$CB,Y$2,FALSE),IF('Ref-Data'!$Z$5="Baseline",VLOOKUP('Input PD LGD'!$A53,'Model Output_TTC'!$A:$AU,'Input PD LGD'!Y$4,FALSE),IF('Ref-Data'!$Z$5="90th Percentile",VLOOKUP('Input PD LGD'!$A53,'Model Output_TTC'!$A:$BP,'Input PD LGD'!Y$6,FALSE),IF('Ref-Data'!$Z$5="96th Percentile",VLOOKUP('Input PD LGD'!$A53,'Model Output_TTC'!$A:$Z,'Input PD LGD'!Y$8,FALSE),"")))))</f>
        <v>6.2417988886168341E-2</v>
      </c>
      <c r="F53" s="276">
        <f>IF('Ref-Data'!$Z$2="ON",VLOOKUP($A53,'MacroPD-Cal'!$A:$L,Z$1,FALSE),IF('Ref-Data'!$Z$5 = "Weighted",VLOOKUP($A53,'Model Output_TTC'!$A:$CB,Z$2,FALSE),IF('Ref-Data'!$Z$5="Baseline",VLOOKUP('Input PD LGD'!$A53,'Model Output_TTC'!$A:$AU,'Input PD LGD'!Z$4,FALSE),IF('Ref-Data'!$Z$5="90th Percentile",VLOOKUP('Input PD LGD'!$A53,'Model Output_TTC'!$A:$BP,'Input PD LGD'!Z$6,FALSE),IF('Ref-Data'!$Z$5="96th Percentile",VLOOKUP('Input PD LGD'!$A53,'Model Output_TTC'!$A:$Z,'Input PD LGD'!Z$8,FALSE),"")))))</f>
        <v>9.8647826604583044E-2</v>
      </c>
      <c r="G53" s="276">
        <f>IF('Ref-Data'!$Z$2="ON",VLOOKUP($A53,'MacroPD-Cal'!$A:$L,AA$1,FALSE),IF('Ref-Data'!$Z$5 = "Weighted",VLOOKUP($A53,'Model Output_TTC'!$A:$CB,AA$2,FALSE),IF('Ref-Data'!$Z$5="Baseline",VLOOKUP('Input PD LGD'!$A53,'Model Output_TTC'!$A:$AU,'Input PD LGD'!AA$4,FALSE),IF('Ref-Data'!$Z$5="90th Percentile",VLOOKUP('Input PD LGD'!$A53,'Model Output_TTC'!$A:$BP,'Input PD LGD'!AA$6,FALSE),IF('Ref-Data'!$Z$5="96th Percentile",VLOOKUP('Input PD LGD'!$A53,'Model Output_TTC'!$A:$Z,'Input PD LGD'!AA$8,FALSE),"")))))</f>
        <v>0.1411</v>
      </c>
      <c r="H53" s="276">
        <f>IF('Ref-Data'!$Z$2="ON",VLOOKUP($A53,'MacroPD-Cal'!$A:$L,AB$1,FALSE),IF('Ref-Data'!$Z$5 = "Weighted",VLOOKUP($A53,'Model Output_TTC'!$A:$CB,AB$2,FALSE),IF('Ref-Data'!$Z$5="Baseline",VLOOKUP('Input PD LGD'!$A53,'Model Output_TTC'!$A:$AU,'Input PD LGD'!AB$4,FALSE),IF('Ref-Data'!$Z$5="90th Percentile",VLOOKUP('Input PD LGD'!$A53,'Model Output_TTC'!$A:$BP,'Input PD LGD'!AB$6,FALSE),IF('Ref-Data'!$Z$5="96th Percentile",VLOOKUP('Input PD LGD'!$A53,'Model Output_TTC'!$A:$Z,'Input PD LGD'!AB$8,FALSE),"")))))</f>
        <v>0.20270000000000002</v>
      </c>
      <c r="I53" s="276">
        <f>IF('Ref-Data'!$Z$2="ON",VLOOKUP($A53,'MacroPD-Cal'!$A:$L,AC$1,FALSE),IF('Ref-Data'!$Z$5 = "Weighted",VLOOKUP($A53,'Model Output_TTC'!$A:$CB,AC$2,FALSE),IF('Ref-Data'!$Z$5="Baseline",VLOOKUP('Input PD LGD'!$A53,'Model Output_TTC'!$A:$AU,'Input PD LGD'!AC$4,FALSE),IF('Ref-Data'!$Z$5="90th Percentile",VLOOKUP('Input PD LGD'!$A53,'Model Output_TTC'!$A:$BP,'Input PD LGD'!AC$6,FALSE),IF('Ref-Data'!$Z$5="96th Percentile",VLOOKUP('Input PD LGD'!$A53,'Model Output_TTC'!$A:$Z,'Input PD LGD'!AC$8,FALSE),"")))))</f>
        <v>0.23670000000000002</v>
      </c>
      <c r="J53" s="276">
        <f>IF('Ref-Data'!$Z$2="ON",VLOOKUP($A53,'MacroPD-Cal'!$A:$L,AD$1,FALSE),IF('Ref-Data'!$Z$5 = "Weighted",VLOOKUP($A53,'Model Output_TTC'!$A:$CB,AD$2,FALSE),IF('Ref-Data'!$Z$5="Baseline",VLOOKUP('Input PD LGD'!$A53,'Model Output_TTC'!$A:$AU,'Input PD LGD'!AD$4,FALSE),IF('Ref-Data'!$Z$5="90th Percentile",VLOOKUP('Input PD LGD'!$A53,'Model Output_TTC'!$A:$BP,'Input PD LGD'!AD$6,FALSE),IF('Ref-Data'!$Z$5="96th Percentile",VLOOKUP('Input PD LGD'!$A53,'Model Output_TTC'!$A:$Z,'Input PD LGD'!AD$8,FALSE),"")))))</f>
        <v>0.29139999999999999</v>
      </c>
      <c r="K53" s="276">
        <f>IF('Ref-Data'!$Z$2="ON",VLOOKUP($A53,'MacroPD-Cal'!$A:$L,AE$1,FALSE),IF('Ref-Data'!$Z$5 = "Weighted",VLOOKUP($A53,'Model Output_TTC'!$A:$CB,AE$2,FALSE),IF('Ref-Data'!$Z$5="Baseline",VLOOKUP('Input PD LGD'!$A53,'Model Output_TTC'!$A:$AU,'Input PD LGD'!AE$4,FALSE),IF('Ref-Data'!$Z$5="90th Percentile",VLOOKUP('Input PD LGD'!$A53,'Model Output_TTC'!$A:$BP,'Input PD LGD'!AE$6,FALSE),IF('Ref-Data'!$Z$5="96th Percentile",VLOOKUP('Input PD LGD'!$A53,'Model Output_TTC'!$A:$Z,'Input PD LGD'!AE$8,FALSE),"")))))</f>
        <v>0.33979999999999999</v>
      </c>
      <c r="L53" s="274">
        <f>VLOOKUP(A53,'Ref-Data'!$A:$N,14,0)</f>
        <v>0.33850601215969001</v>
      </c>
      <c r="M53" s="354">
        <f>VLOOKUP(A53,'Ref-Data'!A:I,9,0)</f>
        <v>2</v>
      </c>
      <c r="N53" s="354" t="s">
        <v>1156</v>
      </c>
      <c r="T53" s="346"/>
    </row>
    <row r="54" spans="1:20" x14ac:dyDescent="0.25">
      <c r="A54" s="277">
        <v>1100000119</v>
      </c>
      <c r="B54" s="277" t="str">
        <f>INDEX('Loan Book Summary'!B:C,MATCH('Input PD LGD'!A54,'Loan Book Summary'!C:C,0),1)</f>
        <v>Cullen Wealth Holdings Limited - Business Trading Facility</v>
      </c>
      <c r="C54" s="400">
        <f>VLOOKUP(A54,Reference_Rate_Repricing_Report!B:P,15,FALSE)</f>
        <v>6.25</v>
      </c>
      <c r="D54" s="276">
        <f>IF('Ref-Data'!$Z$2="ON",VLOOKUP($A54,'MacroPD-Cal'!$A:$L,X$1,FALSE),IF('Ref-Data'!$Z$5 = "Weighted",VLOOKUP($A54,'Model Output_TTC'!$A:$CB,X$2,FALSE),IF('Ref-Data'!$Z$5="Baseline",VLOOKUP('Input PD LGD'!$A54,'Model Output_TTC'!$A:$AU,'Input PD LGD'!X$4,FALSE),IF('Ref-Data'!$Z$5="90th Percentile",VLOOKUP('Input PD LGD'!$A54,'Model Output_TTC'!$A:$BP,'Input PD LGD'!X$6,FALSE),IF('Ref-Data'!$Z$5="96th Percentile",VLOOKUP('Input PD LGD'!$A54,'Model Output_TTC'!$A:$Z,'Input PD LGD'!X$8,FALSE),"")))))</f>
        <v>5.7310757425068741E-3</v>
      </c>
      <c r="E54" s="276">
        <f>IF('Ref-Data'!$Z$2="ON",VLOOKUP($A54,'MacroPD-Cal'!$A:$L,Y$1,FALSE),IF('Ref-Data'!$Z$5 = "Weighted",VLOOKUP($A54,'Model Output_TTC'!$A:$CB,Y$2,FALSE),IF('Ref-Data'!$Z$5="Baseline",VLOOKUP('Input PD LGD'!$A54,'Model Output_TTC'!$A:$AU,'Input PD LGD'!Y$4,FALSE),IF('Ref-Data'!$Z$5="90th Percentile",VLOOKUP('Input PD LGD'!$A54,'Model Output_TTC'!$A:$BP,'Input PD LGD'!Y$6,FALSE),IF('Ref-Data'!$Z$5="96th Percentile",VLOOKUP('Input PD LGD'!$A54,'Model Output_TTC'!$A:$Z,'Input PD LGD'!Y$8,FALSE),"")))))</f>
        <v>1.3149607536908192E-2</v>
      </c>
      <c r="F54" s="276">
        <f>IF('Ref-Data'!$Z$2="ON",VLOOKUP($A54,'MacroPD-Cal'!$A:$L,Z$1,FALSE),IF('Ref-Data'!$Z$5 = "Weighted",VLOOKUP($A54,'Model Output_TTC'!$A:$CB,Z$2,FALSE),IF('Ref-Data'!$Z$5="Baseline",VLOOKUP('Input PD LGD'!$A54,'Model Output_TTC'!$A:$AU,'Input PD LGD'!Z$4,FALSE),IF('Ref-Data'!$Z$5="90th Percentile",VLOOKUP('Input PD LGD'!$A54,'Model Output_TTC'!$A:$BP,'Input PD LGD'!Z$6,FALSE),IF('Ref-Data'!$Z$5="96th Percentile",VLOOKUP('Input PD LGD'!$A54,'Model Output_TTC'!$A:$Z,'Input PD LGD'!Z$8,FALSE),"")))))</f>
        <v>2.1472146399617809E-2</v>
      </c>
      <c r="G54" s="276">
        <f>IF('Ref-Data'!$Z$2="ON",VLOOKUP($A54,'MacroPD-Cal'!$A:$L,AA$1,FALSE),IF('Ref-Data'!$Z$5 = "Weighted",VLOOKUP($A54,'Model Output_TTC'!$A:$CB,AA$2,FALSE),IF('Ref-Data'!$Z$5="Baseline",VLOOKUP('Input PD LGD'!$A54,'Model Output_TTC'!$A:$AU,'Input PD LGD'!AA$4,FALSE),IF('Ref-Data'!$Z$5="90th Percentile",VLOOKUP('Input PD LGD'!$A54,'Model Output_TTC'!$A:$BP,'Input PD LGD'!AA$6,FALSE),IF('Ref-Data'!$Z$5="96th Percentile",VLOOKUP('Input PD LGD'!$A54,'Model Output_TTC'!$A:$Z,'Input PD LGD'!AA$8,FALSE),"")))))</f>
        <v>3.2000000000000001E-2</v>
      </c>
      <c r="H54" s="276">
        <f>IF('Ref-Data'!$Z$2="ON",VLOOKUP($A54,'MacroPD-Cal'!$A:$L,AB$1,FALSE),IF('Ref-Data'!$Z$5 = "Weighted",VLOOKUP($A54,'Model Output_TTC'!$A:$CB,AB$2,FALSE),IF('Ref-Data'!$Z$5="Baseline",VLOOKUP('Input PD LGD'!$A54,'Model Output_TTC'!$A:$AU,'Input PD LGD'!AB$4,FALSE),IF('Ref-Data'!$Z$5="90th Percentile",VLOOKUP('Input PD LGD'!$A54,'Model Output_TTC'!$A:$BP,'Input PD LGD'!AB$6,FALSE),IF('Ref-Data'!$Z$5="96th Percentile",VLOOKUP('Input PD LGD'!$A54,'Model Output_TTC'!$A:$Z,'Input PD LGD'!AB$8,FALSE),"")))))</f>
        <v>4.8300000000000003E-2</v>
      </c>
      <c r="I54" s="276">
        <f>IF('Ref-Data'!$Z$2="ON",VLOOKUP($A54,'MacroPD-Cal'!$A:$L,AC$1,FALSE),IF('Ref-Data'!$Z$5 = "Weighted",VLOOKUP($A54,'Model Output_TTC'!$A:$CB,AC$2,FALSE),IF('Ref-Data'!$Z$5="Baseline",VLOOKUP('Input PD LGD'!$A54,'Model Output_TTC'!$A:$AU,'Input PD LGD'!AC$4,FALSE),IF('Ref-Data'!$Z$5="90th Percentile",VLOOKUP('Input PD LGD'!$A54,'Model Output_TTC'!$A:$BP,'Input PD LGD'!AC$6,FALSE),IF('Ref-Data'!$Z$5="96th Percentile",VLOOKUP('Input PD LGD'!$A54,'Model Output_TTC'!$A:$Z,'Input PD LGD'!AC$8,FALSE),"")))))</f>
        <v>5.8000000000000003E-2</v>
      </c>
      <c r="J54" s="276">
        <f>IF('Ref-Data'!$Z$2="ON",VLOOKUP($A54,'MacroPD-Cal'!$A:$L,AD$1,FALSE),IF('Ref-Data'!$Z$5 = "Weighted",VLOOKUP($A54,'Model Output_TTC'!$A:$CB,AD$2,FALSE),IF('Ref-Data'!$Z$5="Baseline",VLOOKUP('Input PD LGD'!$A54,'Model Output_TTC'!$A:$AU,'Input PD LGD'!AD$4,FALSE),IF('Ref-Data'!$Z$5="90th Percentile",VLOOKUP('Input PD LGD'!$A54,'Model Output_TTC'!$A:$BP,'Input PD LGD'!AD$6,FALSE),IF('Ref-Data'!$Z$5="96th Percentile",VLOOKUP('Input PD LGD'!$A54,'Model Output_TTC'!$A:$Z,'Input PD LGD'!AD$8,FALSE),"")))))</f>
        <v>7.8399999999999997E-2</v>
      </c>
      <c r="K54" s="276">
        <f>IF('Ref-Data'!$Z$2="ON",VLOOKUP($A54,'MacroPD-Cal'!$A:$L,AE$1,FALSE),IF('Ref-Data'!$Z$5 = "Weighted",VLOOKUP($A54,'Model Output_TTC'!$A:$CB,AE$2,FALSE),IF('Ref-Data'!$Z$5="Baseline",VLOOKUP('Input PD LGD'!$A54,'Model Output_TTC'!$A:$AU,'Input PD LGD'!AE$4,FALSE),IF('Ref-Data'!$Z$5="90th Percentile",VLOOKUP('Input PD LGD'!$A54,'Model Output_TTC'!$A:$BP,'Input PD LGD'!AE$6,FALSE),IF('Ref-Data'!$Z$5="96th Percentile",VLOOKUP('Input PD LGD'!$A54,'Model Output_TTC'!$A:$Z,'Input PD LGD'!AE$8,FALSE),"")))))</f>
        <v>9.8600000000000007E-2</v>
      </c>
      <c r="L54" s="274">
        <f>VLOOKUP(A54,'Ref-Data'!$A:$N,14,0)</f>
        <v>0.44950000000000001</v>
      </c>
      <c r="M54" s="354">
        <f>VLOOKUP(A54,'Ref-Data'!A:I,9,0)</f>
        <v>1</v>
      </c>
      <c r="N54" s="354" t="s">
        <v>1156</v>
      </c>
      <c r="T54" s="346"/>
    </row>
    <row r="55" spans="1:20" x14ac:dyDescent="0.25">
      <c r="A55" s="277">
        <v>1200000111</v>
      </c>
      <c r="B55" s="277" t="str">
        <f>INDEX('Loan Book Summary'!B:C,MATCH('Input PD LGD'!A55,'Loan Book Summary'!C:C,0),1)</f>
        <v>LAR Group Limited - Business Trading - Facility B - CBILS Refinance</v>
      </c>
      <c r="C55" s="400">
        <f>VLOOKUP(A55,Reference_Rate_Repricing_Report!B:P,15,FALSE)</f>
        <v>5.87</v>
      </c>
      <c r="D55" s="276">
        <f>IF('Ref-Data'!$Z$2="ON",VLOOKUP($A55,'MacroPD-Cal'!$A:$L,X$1,FALSE),IF('Ref-Data'!$Z$5 = "Weighted",VLOOKUP($A55,'Model Output_TTC'!$A:$CB,X$2,FALSE),IF('Ref-Data'!$Z$5="Baseline",VLOOKUP('Input PD LGD'!$A55,'Model Output_TTC'!$A:$AU,'Input PD LGD'!X$4,FALSE),IF('Ref-Data'!$Z$5="90th Percentile",VLOOKUP('Input PD LGD'!$A55,'Model Output_TTC'!$A:$BP,'Input PD LGD'!X$6,FALSE),IF('Ref-Data'!$Z$5="96th Percentile",VLOOKUP('Input PD LGD'!$A55,'Model Output_TTC'!$A:$Z,'Input PD LGD'!X$8,FALSE),"")))))</f>
        <v>8.2325963782694243E-4</v>
      </c>
      <c r="E55" s="276">
        <f>IF('Ref-Data'!$Z$2="ON",VLOOKUP($A55,'MacroPD-Cal'!$A:$L,Y$1,FALSE),IF('Ref-Data'!$Z$5 = "Weighted",VLOOKUP($A55,'Model Output_TTC'!$A:$CB,Y$2,FALSE),IF('Ref-Data'!$Z$5="Baseline",VLOOKUP('Input PD LGD'!$A55,'Model Output_TTC'!$A:$AU,'Input PD LGD'!Y$4,FALSE),IF('Ref-Data'!$Z$5="90th Percentile",VLOOKUP('Input PD LGD'!$A55,'Model Output_TTC'!$A:$BP,'Input PD LGD'!Y$6,FALSE),IF('Ref-Data'!$Z$5="96th Percentile",VLOOKUP('Input PD LGD'!$A55,'Model Output_TTC'!$A:$Z,'Input PD LGD'!Y$8,FALSE),"")))))</f>
        <v>1.9532505345530859E-3</v>
      </c>
      <c r="F55" s="276">
        <f>IF('Ref-Data'!$Z$2="ON",VLOOKUP($A55,'MacroPD-Cal'!$A:$L,Z$1,FALSE),IF('Ref-Data'!$Z$5 = "Weighted",VLOOKUP($A55,'Model Output_TTC'!$A:$CB,Z$2,FALSE),IF('Ref-Data'!$Z$5="Baseline",VLOOKUP('Input PD LGD'!$A55,'Model Output_TTC'!$A:$AU,'Input PD LGD'!Z$4,FALSE),IF('Ref-Data'!$Z$5="90th Percentile",VLOOKUP('Input PD LGD'!$A55,'Model Output_TTC'!$A:$BP,'Input PD LGD'!Z$6,FALSE),IF('Ref-Data'!$Z$5="96th Percentile",VLOOKUP('Input PD LGD'!$A55,'Model Output_TTC'!$A:$Z,'Input PD LGD'!Z$8,FALSE),"")))))</f>
        <v>3.2618807560202967E-3</v>
      </c>
      <c r="G55" s="276">
        <f>IF('Ref-Data'!$Z$2="ON",VLOOKUP($A55,'MacroPD-Cal'!$A:$L,AA$1,FALSE),IF('Ref-Data'!$Z$5 = "Weighted",VLOOKUP($A55,'Model Output_TTC'!$A:$CB,AA$2,FALSE),IF('Ref-Data'!$Z$5="Baseline",VLOOKUP('Input PD LGD'!$A55,'Model Output_TTC'!$A:$AU,'Input PD LGD'!AA$4,FALSE),IF('Ref-Data'!$Z$5="90th Percentile",VLOOKUP('Input PD LGD'!$A55,'Model Output_TTC'!$A:$BP,'Input PD LGD'!AA$6,FALSE),IF('Ref-Data'!$Z$5="96th Percentile",VLOOKUP('Input PD LGD'!$A55,'Model Output_TTC'!$A:$Z,'Input PD LGD'!AA$8,FALSE),"")))))</f>
        <v>5.0000000000000001E-3</v>
      </c>
      <c r="H55" s="276">
        <f>IF('Ref-Data'!$Z$2="ON",VLOOKUP($A55,'MacroPD-Cal'!$A:$L,AB$1,FALSE),IF('Ref-Data'!$Z$5 = "Weighted",VLOOKUP($A55,'Model Output_TTC'!$A:$CB,AB$2,FALSE),IF('Ref-Data'!$Z$5="Baseline",VLOOKUP('Input PD LGD'!$A55,'Model Output_TTC'!$A:$AU,'Input PD LGD'!AB$4,FALSE),IF('Ref-Data'!$Z$5="90th Percentile",VLOOKUP('Input PD LGD'!$A55,'Model Output_TTC'!$A:$BP,'Input PD LGD'!AB$6,FALSE),IF('Ref-Data'!$Z$5="96th Percentile",VLOOKUP('Input PD LGD'!$A55,'Model Output_TTC'!$A:$Z,'Input PD LGD'!AB$8,FALSE),"")))))</f>
        <v>8.3000000000000001E-3</v>
      </c>
      <c r="I55" s="276">
        <f>IF('Ref-Data'!$Z$2="ON",VLOOKUP($A55,'MacroPD-Cal'!$A:$L,AC$1,FALSE),IF('Ref-Data'!$Z$5 = "Weighted",VLOOKUP($A55,'Model Output_TTC'!$A:$CB,AC$2,FALSE),IF('Ref-Data'!$Z$5="Baseline",VLOOKUP('Input PD LGD'!$A55,'Model Output_TTC'!$A:$AU,'Input PD LGD'!AC$4,FALSE),IF('Ref-Data'!$Z$5="90th Percentile",VLOOKUP('Input PD LGD'!$A55,'Model Output_TTC'!$A:$BP,'Input PD LGD'!AC$6,FALSE),IF('Ref-Data'!$Z$5="96th Percentile",VLOOKUP('Input PD LGD'!$A55,'Model Output_TTC'!$A:$Z,'Input PD LGD'!AC$8,FALSE),"")))))</f>
        <v>1.06E-2</v>
      </c>
      <c r="J55" s="276">
        <f>IF('Ref-Data'!$Z$2="ON",VLOOKUP($A55,'MacroPD-Cal'!$A:$L,AD$1,FALSE),IF('Ref-Data'!$Z$5 = "Weighted",VLOOKUP($A55,'Model Output_TTC'!$A:$CB,AD$2,FALSE),IF('Ref-Data'!$Z$5="Baseline",VLOOKUP('Input PD LGD'!$A55,'Model Output_TTC'!$A:$AU,'Input PD LGD'!AD$4,FALSE),IF('Ref-Data'!$Z$5="90th Percentile",VLOOKUP('Input PD LGD'!$A55,'Model Output_TTC'!$A:$BP,'Input PD LGD'!AD$6,FALSE),IF('Ref-Data'!$Z$5="96th Percentile",VLOOKUP('Input PD LGD'!$A55,'Model Output_TTC'!$A:$Z,'Input PD LGD'!AD$8,FALSE),"")))))</f>
        <v>1.7100000000000001E-2</v>
      </c>
      <c r="K55" s="276">
        <f>IF('Ref-Data'!$Z$2="ON",VLOOKUP($A55,'MacroPD-Cal'!$A:$L,AE$1,FALSE),IF('Ref-Data'!$Z$5 = "Weighted",VLOOKUP($A55,'Model Output_TTC'!$A:$CB,AE$2,FALSE),IF('Ref-Data'!$Z$5="Baseline",VLOOKUP('Input PD LGD'!$A55,'Model Output_TTC'!$A:$AU,'Input PD LGD'!AE$4,FALSE),IF('Ref-Data'!$Z$5="90th Percentile",VLOOKUP('Input PD LGD'!$A55,'Model Output_TTC'!$A:$BP,'Input PD LGD'!AE$6,FALSE),IF('Ref-Data'!$Z$5="96th Percentile",VLOOKUP('Input PD LGD'!$A55,'Model Output_TTC'!$A:$Z,'Input PD LGD'!AE$8,FALSE),"")))))</f>
        <v>2.4400000000000002E-2</v>
      </c>
      <c r="L55" s="274">
        <f>VLOOKUP(A55,'Ref-Data'!$A:$N,14,0)</f>
        <v>0.21205137936335117</v>
      </c>
      <c r="M55" s="354">
        <f>VLOOKUP(A55,'Ref-Data'!A:I,9,0)</f>
        <v>1</v>
      </c>
      <c r="N55" s="354" t="s">
        <v>1156</v>
      </c>
      <c r="T55" s="346"/>
    </row>
    <row r="56" spans="1:20" x14ac:dyDescent="0.25">
      <c r="A56" s="277">
        <v>1200000112</v>
      </c>
      <c r="B56" s="277" t="str">
        <f>INDEX('Loan Book Summary'!B:C,MATCH('Input PD LGD'!A56,'Loan Book Summary'!C:C,0),1)</f>
        <v>LAR Group Limited - Business Trading - Revolving Credit Facility - CBILS</v>
      </c>
      <c r="C56" s="400">
        <f>VLOOKUP(A56,Reference_Rate_Repricing_Report!B:P,15,FALSE)</f>
        <v>5.76</v>
      </c>
      <c r="D56" s="276">
        <f>IF('Ref-Data'!$Z$2="ON",VLOOKUP($A56,'MacroPD-Cal'!$A:$L,X$1,FALSE),IF('Ref-Data'!$Z$5 = "Weighted",VLOOKUP($A56,'Model Output_TTC'!$A:$CB,X$2,FALSE),IF('Ref-Data'!$Z$5="Baseline",VLOOKUP('Input PD LGD'!$A56,'Model Output_TTC'!$A:$AU,'Input PD LGD'!X$4,FALSE),IF('Ref-Data'!$Z$5="90th Percentile",VLOOKUP('Input PD LGD'!$A56,'Model Output_TTC'!$A:$BP,'Input PD LGD'!X$6,FALSE),IF('Ref-Data'!$Z$5="96th Percentile",VLOOKUP('Input PD LGD'!$A56,'Model Output_TTC'!$A:$Z,'Input PD LGD'!X$8,FALSE),"")))))</f>
        <v>8.2325963782694243E-4</v>
      </c>
      <c r="E56" s="276">
        <f>IF('Ref-Data'!$Z$2="ON",VLOOKUP($A56,'MacroPD-Cal'!$A:$L,Y$1,FALSE),IF('Ref-Data'!$Z$5 = "Weighted",VLOOKUP($A56,'Model Output_TTC'!$A:$CB,Y$2,FALSE),IF('Ref-Data'!$Z$5="Baseline",VLOOKUP('Input PD LGD'!$A56,'Model Output_TTC'!$A:$AU,'Input PD LGD'!Y$4,FALSE),IF('Ref-Data'!$Z$5="90th Percentile",VLOOKUP('Input PD LGD'!$A56,'Model Output_TTC'!$A:$BP,'Input PD LGD'!Y$6,FALSE),IF('Ref-Data'!$Z$5="96th Percentile",VLOOKUP('Input PD LGD'!$A56,'Model Output_TTC'!$A:$Z,'Input PD LGD'!Y$8,FALSE),"")))))</f>
        <v>1.9532505345530859E-3</v>
      </c>
      <c r="F56" s="276">
        <f>IF('Ref-Data'!$Z$2="ON",VLOOKUP($A56,'MacroPD-Cal'!$A:$L,Z$1,FALSE),IF('Ref-Data'!$Z$5 = "Weighted",VLOOKUP($A56,'Model Output_TTC'!$A:$CB,Z$2,FALSE),IF('Ref-Data'!$Z$5="Baseline",VLOOKUP('Input PD LGD'!$A56,'Model Output_TTC'!$A:$AU,'Input PD LGD'!Z$4,FALSE),IF('Ref-Data'!$Z$5="90th Percentile",VLOOKUP('Input PD LGD'!$A56,'Model Output_TTC'!$A:$BP,'Input PD LGD'!Z$6,FALSE),IF('Ref-Data'!$Z$5="96th Percentile",VLOOKUP('Input PD LGD'!$A56,'Model Output_TTC'!$A:$Z,'Input PD LGD'!Z$8,FALSE),"")))))</f>
        <v>3.2618807560202967E-3</v>
      </c>
      <c r="G56" s="276">
        <f>IF('Ref-Data'!$Z$2="ON",VLOOKUP($A56,'MacroPD-Cal'!$A:$L,AA$1,FALSE),IF('Ref-Data'!$Z$5 = "Weighted",VLOOKUP($A56,'Model Output_TTC'!$A:$CB,AA$2,FALSE),IF('Ref-Data'!$Z$5="Baseline",VLOOKUP('Input PD LGD'!$A56,'Model Output_TTC'!$A:$AU,'Input PD LGD'!AA$4,FALSE),IF('Ref-Data'!$Z$5="90th Percentile",VLOOKUP('Input PD LGD'!$A56,'Model Output_TTC'!$A:$BP,'Input PD LGD'!AA$6,FALSE),IF('Ref-Data'!$Z$5="96th Percentile",VLOOKUP('Input PD LGD'!$A56,'Model Output_TTC'!$A:$Z,'Input PD LGD'!AA$8,FALSE),"")))))</f>
        <v>5.0000000000000001E-3</v>
      </c>
      <c r="H56" s="276">
        <f>IF('Ref-Data'!$Z$2="ON",VLOOKUP($A56,'MacroPD-Cal'!$A:$L,AB$1,FALSE),IF('Ref-Data'!$Z$5 = "Weighted",VLOOKUP($A56,'Model Output_TTC'!$A:$CB,AB$2,FALSE),IF('Ref-Data'!$Z$5="Baseline",VLOOKUP('Input PD LGD'!$A56,'Model Output_TTC'!$A:$AU,'Input PD LGD'!AB$4,FALSE),IF('Ref-Data'!$Z$5="90th Percentile",VLOOKUP('Input PD LGD'!$A56,'Model Output_TTC'!$A:$BP,'Input PD LGD'!AB$6,FALSE),IF('Ref-Data'!$Z$5="96th Percentile",VLOOKUP('Input PD LGD'!$A56,'Model Output_TTC'!$A:$Z,'Input PD LGD'!AB$8,FALSE),"")))))</f>
        <v>8.3000000000000001E-3</v>
      </c>
      <c r="I56" s="276">
        <f>IF('Ref-Data'!$Z$2="ON",VLOOKUP($A56,'MacroPD-Cal'!$A:$L,AC$1,FALSE),IF('Ref-Data'!$Z$5 = "Weighted",VLOOKUP($A56,'Model Output_TTC'!$A:$CB,AC$2,FALSE),IF('Ref-Data'!$Z$5="Baseline",VLOOKUP('Input PD LGD'!$A56,'Model Output_TTC'!$A:$AU,'Input PD LGD'!AC$4,FALSE),IF('Ref-Data'!$Z$5="90th Percentile",VLOOKUP('Input PD LGD'!$A56,'Model Output_TTC'!$A:$BP,'Input PD LGD'!AC$6,FALSE),IF('Ref-Data'!$Z$5="96th Percentile",VLOOKUP('Input PD LGD'!$A56,'Model Output_TTC'!$A:$Z,'Input PD LGD'!AC$8,FALSE),"")))))</f>
        <v>1.06E-2</v>
      </c>
      <c r="J56" s="276">
        <f>IF('Ref-Data'!$Z$2="ON",VLOOKUP($A56,'MacroPD-Cal'!$A:$L,AD$1,FALSE),IF('Ref-Data'!$Z$5 = "Weighted",VLOOKUP($A56,'Model Output_TTC'!$A:$CB,AD$2,FALSE),IF('Ref-Data'!$Z$5="Baseline",VLOOKUP('Input PD LGD'!$A56,'Model Output_TTC'!$A:$AU,'Input PD LGD'!AD$4,FALSE),IF('Ref-Data'!$Z$5="90th Percentile",VLOOKUP('Input PD LGD'!$A56,'Model Output_TTC'!$A:$BP,'Input PD LGD'!AD$6,FALSE),IF('Ref-Data'!$Z$5="96th Percentile",VLOOKUP('Input PD LGD'!$A56,'Model Output_TTC'!$A:$Z,'Input PD LGD'!AD$8,FALSE),"")))))</f>
        <v>1.7100000000000001E-2</v>
      </c>
      <c r="K56" s="276">
        <f>IF('Ref-Data'!$Z$2="ON",VLOOKUP($A56,'MacroPD-Cal'!$A:$L,AE$1,FALSE),IF('Ref-Data'!$Z$5 = "Weighted",VLOOKUP($A56,'Model Output_TTC'!$A:$CB,AE$2,FALSE),IF('Ref-Data'!$Z$5="Baseline",VLOOKUP('Input PD LGD'!$A56,'Model Output_TTC'!$A:$AU,'Input PD LGD'!AE$4,FALSE),IF('Ref-Data'!$Z$5="90th Percentile",VLOOKUP('Input PD LGD'!$A56,'Model Output_TTC'!$A:$BP,'Input PD LGD'!AE$6,FALSE),IF('Ref-Data'!$Z$5="96th Percentile",VLOOKUP('Input PD LGD'!$A56,'Model Output_TTC'!$A:$Z,'Input PD LGD'!AE$8,FALSE),"")))))</f>
        <v>2.4400000000000002E-2</v>
      </c>
      <c r="L56" s="274">
        <f>VLOOKUP(A56,'Ref-Data'!$A:$N,14,0)</f>
        <v>0.21205137936335117</v>
      </c>
      <c r="M56" s="354">
        <f>VLOOKUP(A56,'Ref-Data'!A:I,9,0)</f>
        <v>1</v>
      </c>
      <c r="N56" s="354" t="s">
        <v>1156</v>
      </c>
      <c r="T56" s="346"/>
    </row>
    <row r="57" spans="1:20" x14ac:dyDescent="0.25">
      <c r="A57" s="277">
        <v>1200000108</v>
      </c>
      <c r="B57" s="277" t="str">
        <f>INDEX('Loan Book Summary'!B:C,MATCH('Input PD LGD'!A57,'Loan Book Summary'!C:C,0),1)</f>
        <v>BXTR Limited - Trading - Edinburgh Refinance CBILS</v>
      </c>
      <c r="C57" s="400">
        <f>VLOOKUP(A57,Reference_Rate_Repricing_Report!B:P,15,FALSE)</f>
        <v>7.34</v>
      </c>
      <c r="D57" s="276">
        <f>IF('Ref-Data'!$Z$2="ON",VLOOKUP($A57,'MacroPD-Cal'!$A:$L,X$1,FALSE),IF('Ref-Data'!$Z$5 = "Weighted",VLOOKUP($A57,'Model Output_TTC'!$A:$CB,X$2,FALSE),IF('Ref-Data'!$Z$5="Baseline",VLOOKUP('Input PD LGD'!$A57,'Model Output_TTC'!$A:$AU,'Input PD LGD'!X$4,FALSE),IF('Ref-Data'!$Z$5="90th Percentile",VLOOKUP('Input PD LGD'!$A57,'Model Output_TTC'!$A:$BP,'Input PD LGD'!X$6,FALSE),IF('Ref-Data'!$Z$5="96th Percentile",VLOOKUP('Input PD LGD'!$A57,'Model Output_TTC'!$A:$Z,'Input PD LGD'!X$8,FALSE),"")))))</f>
        <v>2.3728324537306083E-3</v>
      </c>
      <c r="E57" s="276">
        <f>IF('Ref-Data'!$Z$2="ON",VLOOKUP($A57,'MacroPD-Cal'!$A:$L,Y$1,FALSE),IF('Ref-Data'!$Z$5 = "Weighted",VLOOKUP($A57,'Model Output_TTC'!$A:$CB,Y$2,FALSE),IF('Ref-Data'!$Z$5="Baseline",VLOOKUP('Input PD LGD'!$A57,'Model Output_TTC'!$A:$AU,'Input PD LGD'!Y$4,FALSE),IF('Ref-Data'!$Z$5="90th Percentile",VLOOKUP('Input PD LGD'!$A57,'Model Output_TTC'!$A:$BP,'Input PD LGD'!Y$6,FALSE),IF('Ref-Data'!$Z$5="96th Percentile",VLOOKUP('Input PD LGD'!$A57,'Model Output_TTC'!$A:$Z,'Input PD LGD'!Y$8,FALSE),"")))))</f>
        <v>5.5341704239845191E-3</v>
      </c>
      <c r="F57" s="276">
        <f>IF('Ref-Data'!$Z$2="ON",VLOOKUP($A57,'MacroPD-Cal'!$A:$L,Z$1,FALSE),IF('Ref-Data'!$Z$5 = "Weighted",VLOOKUP($A57,'Model Output_TTC'!$A:$CB,Z$2,FALSE),IF('Ref-Data'!$Z$5="Baseline",VLOOKUP('Input PD LGD'!$A57,'Model Output_TTC'!$A:$AU,'Input PD LGD'!Z$4,FALSE),IF('Ref-Data'!$Z$5="90th Percentile",VLOOKUP('Input PD LGD'!$A57,'Model Output_TTC'!$A:$BP,'Input PD LGD'!Z$6,FALSE),IF('Ref-Data'!$Z$5="96th Percentile",VLOOKUP('Input PD LGD'!$A57,'Model Output_TTC'!$A:$Z,'Input PD LGD'!Z$8,FALSE),"")))))</f>
        <v>9.1392772221348118E-3</v>
      </c>
      <c r="G57" s="276">
        <f>IF('Ref-Data'!$Z$2="ON",VLOOKUP($A57,'MacroPD-Cal'!$A:$L,AA$1,FALSE),IF('Ref-Data'!$Z$5 = "Weighted",VLOOKUP($A57,'Model Output_TTC'!$A:$CB,AA$2,FALSE),IF('Ref-Data'!$Z$5="Baseline",VLOOKUP('Input PD LGD'!$A57,'Model Output_TTC'!$A:$AU,'Input PD LGD'!AA$4,FALSE),IF('Ref-Data'!$Z$5="90th Percentile",VLOOKUP('Input PD LGD'!$A57,'Model Output_TTC'!$A:$BP,'Input PD LGD'!AA$6,FALSE),IF('Ref-Data'!$Z$5="96th Percentile",VLOOKUP('Input PD LGD'!$A57,'Model Output_TTC'!$A:$Z,'Input PD LGD'!AA$8,FALSE),"")))))</f>
        <v>1.3800000000000002E-2</v>
      </c>
      <c r="H57" s="276">
        <f>IF('Ref-Data'!$Z$2="ON",VLOOKUP($A57,'MacroPD-Cal'!$A:$L,AB$1,FALSE),IF('Ref-Data'!$Z$5 = "Weighted",VLOOKUP($A57,'Model Output_TTC'!$A:$CB,AB$2,FALSE),IF('Ref-Data'!$Z$5="Baseline",VLOOKUP('Input PD LGD'!$A57,'Model Output_TTC'!$A:$AU,'Input PD LGD'!AB$4,FALSE),IF('Ref-Data'!$Z$5="90th Percentile",VLOOKUP('Input PD LGD'!$A57,'Model Output_TTC'!$A:$BP,'Input PD LGD'!AB$6,FALSE),IF('Ref-Data'!$Z$5="96th Percentile",VLOOKUP('Input PD LGD'!$A57,'Model Output_TTC'!$A:$Z,'Input PD LGD'!AB$8,FALSE),"")))))</f>
        <v>2.1700000000000001E-2</v>
      </c>
      <c r="I57" s="276">
        <f>IF('Ref-Data'!$Z$2="ON",VLOOKUP($A57,'MacroPD-Cal'!$A:$L,AC$1,FALSE),IF('Ref-Data'!$Z$5 = "Weighted",VLOOKUP($A57,'Model Output_TTC'!$A:$CB,AC$2,FALSE),IF('Ref-Data'!$Z$5="Baseline",VLOOKUP('Input PD LGD'!$A57,'Model Output_TTC'!$A:$AU,'Input PD LGD'!AC$4,FALSE),IF('Ref-Data'!$Z$5="90th Percentile",VLOOKUP('Input PD LGD'!$A57,'Model Output_TTC'!$A:$BP,'Input PD LGD'!AC$6,FALSE),IF('Ref-Data'!$Z$5="96th Percentile",VLOOKUP('Input PD LGD'!$A57,'Model Output_TTC'!$A:$Z,'Input PD LGD'!AC$8,FALSE),"")))))</f>
        <v>2.6700000000000002E-2</v>
      </c>
      <c r="J57" s="276">
        <f>IF('Ref-Data'!$Z$2="ON",VLOOKUP($A57,'MacroPD-Cal'!$A:$L,AD$1,FALSE),IF('Ref-Data'!$Z$5 = "Weighted",VLOOKUP($A57,'Model Output_TTC'!$A:$CB,AD$2,FALSE),IF('Ref-Data'!$Z$5="Baseline",VLOOKUP('Input PD LGD'!$A57,'Model Output_TTC'!$A:$AU,'Input PD LGD'!AD$4,FALSE),IF('Ref-Data'!$Z$5="90th Percentile",VLOOKUP('Input PD LGD'!$A57,'Model Output_TTC'!$A:$BP,'Input PD LGD'!AD$6,FALSE),IF('Ref-Data'!$Z$5="96th Percentile",VLOOKUP('Input PD LGD'!$A57,'Model Output_TTC'!$A:$Z,'Input PD LGD'!AD$8,FALSE),"")))))</f>
        <v>3.8800000000000001E-2</v>
      </c>
      <c r="K57" s="276">
        <f>IF('Ref-Data'!$Z$2="ON",VLOOKUP($A57,'MacroPD-Cal'!$A:$L,AE$1,FALSE),IF('Ref-Data'!$Z$5 = "Weighted",VLOOKUP($A57,'Model Output_TTC'!$A:$CB,AE$2,FALSE),IF('Ref-Data'!$Z$5="Baseline",VLOOKUP('Input PD LGD'!$A57,'Model Output_TTC'!$A:$AU,'Input PD LGD'!AE$4,FALSE),IF('Ref-Data'!$Z$5="90th Percentile",VLOOKUP('Input PD LGD'!$A57,'Model Output_TTC'!$A:$BP,'Input PD LGD'!AE$6,FALSE),IF('Ref-Data'!$Z$5="96th Percentile",VLOOKUP('Input PD LGD'!$A57,'Model Output_TTC'!$A:$Z,'Input PD LGD'!AE$8,FALSE),"")))))</f>
        <v>5.1700000000000003E-2</v>
      </c>
      <c r="L57" s="274">
        <f>VLOOKUP(A57,'Ref-Data'!$A:$N,14,0)</f>
        <v>0.44550000000000001</v>
      </c>
      <c r="M57" s="354">
        <f>VLOOKUP(A57,'Ref-Data'!A:I,9,0)</f>
        <v>1</v>
      </c>
      <c r="N57" s="354" t="s">
        <v>1156</v>
      </c>
      <c r="T57" s="346"/>
    </row>
    <row r="58" spans="1:20" x14ac:dyDescent="0.25">
      <c r="A58" s="277">
        <v>1100000126</v>
      </c>
      <c r="B58" s="277" t="str">
        <f>INDEX('Loan Book Summary'!B:C,MATCH('Input PD LGD'!A58,'Loan Book Summary'!C:C,0),1)</f>
        <v>Farrelly Energy / FBS Intelligent Engg. - Business Trading - Term Loan</v>
      </c>
      <c r="C58" s="400">
        <f>VLOOKUP(A58,Reference_Rate_Repricing_Report!B:P,15,FALSE)</f>
        <v>6.5</v>
      </c>
      <c r="D58" s="276">
        <f>IF('Ref-Data'!$Z$2="ON",VLOOKUP($A58,'MacroPD-Cal'!$A:$L,X$1,FALSE),IF('Ref-Data'!$Z$5 = "Weighted",VLOOKUP($A58,'Model Output_TTC'!$A:$CB,X$2,FALSE),IF('Ref-Data'!$Z$5="Baseline",VLOOKUP('Input PD LGD'!$A58,'Model Output_TTC'!$A:$AU,'Input PD LGD'!X$4,FALSE),IF('Ref-Data'!$Z$5="90th Percentile",VLOOKUP('Input PD LGD'!$A58,'Model Output_TTC'!$A:$BP,'Input PD LGD'!X$6,FALSE),IF('Ref-Data'!$Z$5="96th Percentile",VLOOKUP('Input PD LGD'!$A58,'Model Output_TTC'!$A:$Z,'Input PD LGD'!X$8,FALSE),"")))))</f>
        <v>5.6309620499244404E-4</v>
      </c>
      <c r="E58" s="276">
        <f>IF('Ref-Data'!$Z$2="ON",VLOOKUP($A58,'MacroPD-Cal'!$A:$L,Y$1,FALSE),IF('Ref-Data'!$Z$5 = "Weighted",VLOOKUP($A58,'Model Output_TTC'!$A:$CB,Y$2,FALSE),IF('Ref-Data'!$Z$5="Baseline",VLOOKUP('Input PD LGD'!$A58,'Model Output_TTC'!$A:$AU,'Input PD LGD'!Y$4,FALSE),IF('Ref-Data'!$Z$5="90th Percentile",VLOOKUP('Input PD LGD'!$A58,'Model Output_TTC'!$A:$BP,'Input PD LGD'!Y$6,FALSE),IF('Ref-Data'!$Z$5="96th Percentile",VLOOKUP('Input PD LGD'!$A58,'Model Output_TTC'!$A:$Z,'Input PD LGD'!Y$8,FALSE),"")))))</f>
        <v>1.343657735008108E-3</v>
      </c>
      <c r="F58" s="276">
        <f>IF('Ref-Data'!$Z$2="ON",VLOOKUP($A58,'MacroPD-Cal'!$A:$L,Z$1,FALSE),IF('Ref-Data'!$Z$5 = "Weighted",VLOOKUP($A58,'Model Output_TTC'!$A:$CB,Z$2,FALSE),IF('Ref-Data'!$Z$5="Baseline",VLOOKUP('Input PD LGD'!$A58,'Model Output_TTC'!$A:$AU,'Input PD LGD'!Z$4,FALSE),IF('Ref-Data'!$Z$5="90th Percentile",VLOOKUP('Input PD LGD'!$A58,'Model Output_TTC'!$A:$BP,'Input PD LGD'!Z$6,FALSE),IF('Ref-Data'!$Z$5="96th Percentile",VLOOKUP('Input PD LGD'!$A58,'Model Output_TTC'!$A:$Z,'Input PD LGD'!Z$8,FALSE),"")))))</f>
        <v>2.2520613860200767E-3</v>
      </c>
      <c r="G58" s="276">
        <f>IF('Ref-Data'!$Z$2="ON",VLOOKUP($A58,'MacroPD-Cal'!$A:$L,AA$1,FALSE),IF('Ref-Data'!$Z$5 = "Weighted",VLOOKUP($A58,'Model Output_TTC'!$A:$CB,AA$2,FALSE),IF('Ref-Data'!$Z$5="Baseline",VLOOKUP('Input PD LGD'!$A58,'Model Output_TTC'!$A:$AU,'Input PD LGD'!AA$4,FALSE),IF('Ref-Data'!$Z$5="90th Percentile",VLOOKUP('Input PD LGD'!$A58,'Model Output_TTC'!$A:$BP,'Input PD LGD'!AA$6,FALSE),IF('Ref-Data'!$Z$5="96th Percentile",VLOOKUP('Input PD LGD'!$A58,'Model Output_TTC'!$A:$Z,'Input PD LGD'!AA$8,FALSE),"")))))</f>
        <v>3.4000000000000002E-3</v>
      </c>
      <c r="H58" s="276">
        <f>IF('Ref-Data'!$Z$2="ON",VLOOKUP($A58,'MacroPD-Cal'!$A:$L,AB$1,FALSE),IF('Ref-Data'!$Z$5 = "Weighted",VLOOKUP($A58,'Model Output_TTC'!$A:$CB,AB$2,FALSE),IF('Ref-Data'!$Z$5="Baseline",VLOOKUP('Input PD LGD'!$A58,'Model Output_TTC'!$A:$AU,'Input PD LGD'!AB$4,FALSE),IF('Ref-Data'!$Z$5="90th Percentile",VLOOKUP('Input PD LGD'!$A58,'Model Output_TTC'!$A:$BP,'Input PD LGD'!AB$6,FALSE),IF('Ref-Data'!$Z$5="96th Percentile",VLOOKUP('Input PD LGD'!$A58,'Model Output_TTC'!$A:$Z,'Input PD LGD'!AB$8,FALSE),"")))))</f>
        <v>5.7000000000000002E-3</v>
      </c>
      <c r="I58" s="276">
        <f>IF('Ref-Data'!$Z$2="ON",VLOOKUP($A58,'MacroPD-Cal'!$A:$L,AC$1,FALSE),IF('Ref-Data'!$Z$5 = "Weighted",VLOOKUP($A58,'Model Output_TTC'!$A:$CB,AC$2,FALSE),IF('Ref-Data'!$Z$5="Baseline",VLOOKUP('Input PD LGD'!$A58,'Model Output_TTC'!$A:$AU,'Input PD LGD'!AC$4,FALSE),IF('Ref-Data'!$Z$5="90th Percentile",VLOOKUP('Input PD LGD'!$A58,'Model Output_TTC'!$A:$BP,'Input PD LGD'!AC$6,FALSE),IF('Ref-Data'!$Z$5="96th Percentile",VLOOKUP('Input PD LGD'!$A58,'Model Output_TTC'!$A:$Z,'Input PD LGD'!AC$8,FALSE),"")))))</f>
        <v>7.3000000000000001E-3</v>
      </c>
      <c r="J58" s="276">
        <f>IF('Ref-Data'!$Z$2="ON",VLOOKUP($A58,'MacroPD-Cal'!$A:$L,AD$1,FALSE),IF('Ref-Data'!$Z$5 = "Weighted",VLOOKUP($A58,'Model Output_TTC'!$A:$CB,AD$2,FALSE),IF('Ref-Data'!$Z$5="Baseline",VLOOKUP('Input PD LGD'!$A58,'Model Output_TTC'!$A:$AU,'Input PD LGD'!AD$4,FALSE),IF('Ref-Data'!$Z$5="90th Percentile",VLOOKUP('Input PD LGD'!$A58,'Model Output_TTC'!$A:$BP,'Input PD LGD'!AD$6,FALSE),IF('Ref-Data'!$Z$5="96th Percentile",VLOOKUP('Input PD LGD'!$A58,'Model Output_TTC'!$A:$Z,'Input PD LGD'!AD$8,FALSE),"")))))</f>
        <v>1.2200000000000001E-2</v>
      </c>
      <c r="K58" s="276">
        <f>IF('Ref-Data'!$Z$2="ON",VLOOKUP($A58,'MacroPD-Cal'!$A:$L,AE$1,FALSE),IF('Ref-Data'!$Z$5 = "Weighted",VLOOKUP($A58,'Model Output_TTC'!$A:$CB,AE$2,FALSE),IF('Ref-Data'!$Z$5="Baseline",VLOOKUP('Input PD LGD'!$A58,'Model Output_TTC'!$A:$AU,'Input PD LGD'!AE$4,FALSE),IF('Ref-Data'!$Z$5="90th Percentile",VLOOKUP('Input PD LGD'!$A58,'Model Output_TTC'!$A:$BP,'Input PD LGD'!AE$6,FALSE),IF('Ref-Data'!$Z$5="96th Percentile",VLOOKUP('Input PD LGD'!$A58,'Model Output_TTC'!$A:$Z,'Input PD LGD'!AE$8,FALSE),"")))))</f>
        <v>1.78E-2</v>
      </c>
      <c r="L58" s="274">
        <f>VLOOKUP(A58,'Ref-Data'!$A:$N,14,0)</f>
        <v>0.44550000000000001</v>
      </c>
      <c r="M58" s="354">
        <f>VLOOKUP(A58,'Ref-Data'!A:I,9,0)</f>
        <v>1</v>
      </c>
      <c r="N58" s="354" t="s">
        <v>1156</v>
      </c>
      <c r="T58" s="346"/>
    </row>
    <row r="59" spans="1:20" x14ac:dyDescent="0.25">
      <c r="A59" s="277">
        <v>1100000128</v>
      </c>
      <c r="B59" s="277" t="str">
        <f>INDEX('Loan Book Summary'!B:C,MATCH('Input PD LGD'!A59,'Loan Book Summary'!C:C,0),1)</f>
        <v>Learning Curve Group Limited - Business Trading Facility (SS-RCF)</v>
      </c>
      <c r="C59" s="400">
        <f>VLOOKUP(A59,Reference_Rate_Repricing_Report!B:P,15,FALSE)</f>
        <v>5.25</v>
      </c>
      <c r="D59" s="276">
        <f>IF('Ref-Data'!$Z$2="ON",VLOOKUP($A59,'MacroPD-Cal'!$A:$L,X$1,FALSE),IF('Ref-Data'!$Z$5 = "Weighted",VLOOKUP($A59,'Model Output_TTC'!$A:$CB,X$2,FALSE),IF('Ref-Data'!$Z$5="Baseline",VLOOKUP('Input PD LGD'!$A59,'Model Output_TTC'!$A:$AU,'Input PD LGD'!X$4,FALSE),IF('Ref-Data'!$Z$5="90th Percentile",VLOOKUP('Input PD LGD'!$A59,'Model Output_TTC'!$A:$BP,'Input PD LGD'!X$6,FALSE),IF('Ref-Data'!$Z$5="96th Percentile",VLOOKUP('Input PD LGD'!$A59,'Model Output_TTC'!$A:$Z,'Input PD LGD'!X$8,FALSE),"")))))</f>
        <v>1.2223033272755343E-3</v>
      </c>
      <c r="E59" s="276">
        <f>IF('Ref-Data'!$Z$2="ON",VLOOKUP($A59,'MacroPD-Cal'!$A:$L,Y$1,FALSE),IF('Ref-Data'!$Z$5 = "Weighted",VLOOKUP($A59,'Model Output_TTC'!$A:$CB,Y$2,FALSE),IF('Ref-Data'!$Z$5="Baseline",VLOOKUP('Input PD LGD'!$A59,'Model Output_TTC'!$A:$AU,'Input PD LGD'!Y$4,FALSE),IF('Ref-Data'!$Z$5="90th Percentile",VLOOKUP('Input PD LGD'!$A59,'Model Output_TTC'!$A:$BP,'Input PD LGD'!Y$6,FALSE),IF('Ref-Data'!$Z$5="96th Percentile",VLOOKUP('Input PD LGD'!$A59,'Model Output_TTC'!$A:$Z,'Input PD LGD'!Y$8,FALSE),"")))))</f>
        <v>2.8821982155246006E-3</v>
      </c>
      <c r="F59" s="276">
        <f>IF('Ref-Data'!$Z$2="ON",VLOOKUP($A59,'MacroPD-Cal'!$A:$L,Z$1,FALSE),IF('Ref-Data'!$Z$5 = "Weighted",VLOOKUP($A59,'Model Output_TTC'!$A:$CB,Z$2,FALSE),IF('Ref-Data'!$Z$5="Baseline",VLOOKUP('Input PD LGD'!$A59,'Model Output_TTC'!$A:$AU,'Input PD LGD'!Z$4,FALSE),IF('Ref-Data'!$Z$5="90th Percentile",VLOOKUP('Input PD LGD'!$A59,'Model Output_TTC'!$A:$BP,'Input PD LGD'!Z$6,FALSE),IF('Ref-Data'!$Z$5="96th Percentile",VLOOKUP('Input PD LGD'!$A59,'Model Output_TTC'!$A:$Z,'Input PD LGD'!Z$8,FALSE),"")))))</f>
        <v>4.7941507459240418E-3</v>
      </c>
      <c r="G59" s="276">
        <f>IF('Ref-Data'!$Z$2="ON",VLOOKUP($A59,'MacroPD-Cal'!$A:$L,AA$1,FALSE),IF('Ref-Data'!$Z$5 = "Weighted",VLOOKUP($A59,'Model Output_TTC'!$A:$CB,AA$2,FALSE),IF('Ref-Data'!$Z$5="Baseline",VLOOKUP('Input PD LGD'!$A59,'Model Output_TTC'!$A:$AU,'Input PD LGD'!AA$4,FALSE),IF('Ref-Data'!$Z$5="90th Percentile",VLOOKUP('Input PD LGD'!$A59,'Model Output_TTC'!$A:$BP,'Input PD LGD'!AA$6,FALSE),IF('Ref-Data'!$Z$5="96th Percentile",VLOOKUP('Input PD LGD'!$A59,'Model Output_TTC'!$A:$Z,'Input PD LGD'!AA$8,FALSE),"")))))</f>
        <v>7.3000000000000001E-3</v>
      </c>
      <c r="H59" s="276">
        <f>IF('Ref-Data'!$Z$2="ON",VLOOKUP($A59,'MacroPD-Cal'!$A:$L,AB$1,FALSE),IF('Ref-Data'!$Z$5 = "Weighted",VLOOKUP($A59,'Model Output_TTC'!$A:$CB,AB$2,FALSE),IF('Ref-Data'!$Z$5="Baseline",VLOOKUP('Input PD LGD'!$A59,'Model Output_TTC'!$A:$AU,'Input PD LGD'!AB$4,FALSE),IF('Ref-Data'!$Z$5="90th Percentile",VLOOKUP('Input PD LGD'!$A59,'Model Output_TTC'!$A:$BP,'Input PD LGD'!AB$6,FALSE),IF('Ref-Data'!$Z$5="96th Percentile",VLOOKUP('Input PD LGD'!$A59,'Model Output_TTC'!$A:$Z,'Input PD LGD'!AB$8,FALSE),"")))))</f>
        <v>1.0800000000000001E-2</v>
      </c>
      <c r="I59" s="276">
        <f>IF('Ref-Data'!$Z$2="ON",VLOOKUP($A59,'MacroPD-Cal'!$A:$L,AC$1,FALSE),IF('Ref-Data'!$Z$5 = "Weighted",VLOOKUP($A59,'Model Output_TTC'!$A:$CB,AC$2,FALSE),IF('Ref-Data'!$Z$5="Baseline",VLOOKUP('Input PD LGD'!$A59,'Model Output_TTC'!$A:$AU,'Input PD LGD'!AC$4,FALSE),IF('Ref-Data'!$Z$5="90th Percentile",VLOOKUP('Input PD LGD'!$A59,'Model Output_TTC'!$A:$BP,'Input PD LGD'!AC$6,FALSE),IF('Ref-Data'!$Z$5="96th Percentile",VLOOKUP('Input PD LGD'!$A59,'Model Output_TTC'!$A:$Z,'Input PD LGD'!AC$8,FALSE),"")))))</f>
        <v>1.2800000000000001E-2</v>
      </c>
      <c r="J59" s="276">
        <f>IF('Ref-Data'!$Z$2="ON",VLOOKUP($A59,'MacroPD-Cal'!$A:$L,AD$1,FALSE),IF('Ref-Data'!$Z$5 = "Weighted",VLOOKUP($A59,'Model Output_TTC'!$A:$CB,AD$2,FALSE),IF('Ref-Data'!$Z$5="Baseline",VLOOKUP('Input PD LGD'!$A59,'Model Output_TTC'!$A:$AU,'Input PD LGD'!AD$4,FALSE),IF('Ref-Data'!$Z$5="90th Percentile",VLOOKUP('Input PD LGD'!$A59,'Model Output_TTC'!$A:$BP,'Input PD LGD'!AD$6,FALSE),IF('Ref-Data'!$Z$5="96th Percentile",VLOOKUP('Input PD LGD'!$A59,'Model Output_TTC'!$A:$Z,'Input PD LGD'!AD$8,FALSE),"")))))</f>
        <v>1.77E-2</v>
      </c>
      <c r="K59" s="276">
        <f>IF('Ref-Data'!$Z$2="ON",VLOOKUP($A59,'MacroPD-Cal'!$A:$L,AE$1,FALSE),IF('Ref-Data'!$Z$5 = "Weighted",VLOOKUP($A59,'Model Output_TTC'!$A:$CB,AE$2,FALSE),IF('Ref-Data'!$Z$5="Baseline",VLOOKUP('Input PD LGD'!$A59,'Model Output_TTC'!$A:$AU,'Input PD LGD'!AE$4,FALSE),IF('Ref-Data'!$Z$5="90th Percentile",VLOOKUP('Input PD LGD'!$A59,'Model Output_TTC'!$A:$BP,'Input PD LGD'!AE$6,FALSE),IF('Ref-Data'!$Z$5="96th Percentile",VLOOKUP('Input PD LGD'!$A59,'Model Output_TTC'!$A:$Z,'Input PD LGD'!AE$8,FALSE),"")))))</f>
        <v>2.2800000000000001E-2</v>
      </c>
      <c r="L59" s="274">
        <f>VLOOKUP(A59,'Ref-Data'!$A:$N,14,0)</f>
        <v>0.40620000000000001</v>
      </c>
      <c r="M59" s="354">
        <f>VLOOKUP(A59,'Ref-Data'!A:I,9,0)</f>
        <v>1</v>
      </c>
      <c r="N59" s="354" t="s">
        <v>1156</v>
      </c>
      <c r="T59" s="346"/>
    </row>
    <row r="60" spans="1:20" x14ac:dyDescent="0.25">
      <c r="A60" s="277">
        <v>1100000136</v>
      </c>
      <c r="B60" s="277" t="str">
        <f>INDEX('Loan Book Summary'!B:C,MATCH('Input PD LGD'!A60,'Loan Book Summary'!C:C,0),1)</f>
        <v>Dumbleton Hall Hotel Property Company Limited - Business Trading</v>
      </c>
      <c r="C60" s="400">
        <f>VLOOKUP(A60,Reference_Rate_Repricing_Report!B:P,15,FALSE)</f>
        <v>6.9</v>
      </c>
      <c r="D60" s="276">
        <f>IF('Ref-Data'!$Z$2="ON",VLOOKUP($A60,'MacroPD-Cal'!$A:$L,X$1,FALSE),IF('Ref-Data'!$Z$5 = "Weighted",VLOOKUP($A60,'Model Output_TTC'!$A:$CB,X$2,FALSE),IF('Ref-Data'!$Z$5="Baseline",VLOOKUP('Input PD LGD'!$A60,'Model Output_TTC'!$A:$AU,'Input PD LGD'!X$4,FALSE),IF('Ref-Data'!$Z$5="90th Percentile",VLOOKUP('Input PD LGD'!$A60,'Model Output_TTC'!$A:$BP,'Input PD LGD'!X$6,FALSE),IF('Ref-Data'!$Z$5="96th Percentile",VLOOKUP('Input PD LGD'!$A60,'Model Output_TTC'!$A:$Z,'Input PD LGD'!X$8,FALSE),"")))))</f>
        <v>3.3648550417315079E-3</v>
      </c>
      <c r="E60" s="276">
        <f>IF('Ref-Data'!$Z$2="ON",VLOOKUP($A60,'MacroPD-Cal'!$A:$L,Y$1,FALSE),IF('Ref-Data'!$Z$5 = "Weighted",VLOOKUP($A60,'Model Output_TTC'!$A:$CB,Y$2,FALSE),IF('Ref-Data'!$Z$5="Baseline",VLOOKUP('Input PD LGD'!$A60,'Model Output_TTC'!$A:$AU,'Input PD LGD'!Y$4,FALSE),IF('Ref-Data'!$Z$5="90th Percentile",VLOOKUP('Input PD LGD'!$A60,'Model Output_TTC'!$A:$BP,'Input PD LGD'!Y$6,FALSE),IF('Ref-Data'!$Z$5="96th Percentile",VLOOKUP('Input PD LGD'!$A60,'Model Output_TTC'!$A:$Z,'Input PD LGD'!Y$8,FALSE),"")))))</f>
        <v>7.7995178142969968E-3</v>
      </c>
      <c r="F60" s="276">
        <f>IF('Ref-Data'!$Z$2="ON",VLOOKUP($A60,'MacroPD-Cal'!$A:$L,Z$1,FALSE),IF('Ref-Data'!$Z$5 = "Weighted",VLOOKUP($A60,'Model Output_TTC'!$A:$CB,Z$2,FALSE),IF('Ref-Data'!$Z$5="Baseline",VLOOKUP('Input PD LGD'!$A60,'Model Output_TTC'!$A:$AU,'Input PD LGD'!Z$4,FALSE),IF('Ref-Data'!$Z$5="90th Percentile",VLOOKUP('Input PD LGD'!$A60,'Model Output_TTC'!$A:$BP,'Input PD LGD'!Z$6,FALSE),IF('Ref-Data'!$Z$5="96th Percentile",VLOOKUP('Input PD LGD'!$A60,'Model Output_TTC'!$A:$Z,'Input PD LGD'!Z$8,FALSE),"")))))</f>
        <v>1.2826691456277572E-2</v>
      </c>
      <c r="G60" s="276">
        <f>IF('Ref-Data'!$Z$2="ON",VLOOKUP($A60,'MacroPD-Cal'!$A:$L,AA$1,FALSE),IF('Ref-Data'!$Z$5 = "Weighted",VLOOKUP($A60,'Model Output_TTC'!$A:$CB,AA$2,FALSE),IF('Ref-Data'!$Z$5="Baseline",VLOOKUP('Input PD LGD'!$A60,'Model Output_TTC'!$A:$AU,'Input PD LGD'!AA$4,FALSE),IF('Ref-Data'!$Z$5="90th Percentile",VLOOKUP('Input PD LGD'!$A60,'Model Output_TTC'!$A:$BP,'Input PD LGD'!AA$6,FALSE),IF('Ref-Data'!$Z$5="96th Percentile",VLOOKUP('Input PD LGD'!$A60,'Model Output_TTC'!$A:$Z,'Input PD LGD'!AA$8,FALSE),"")))))</f>
        <v>1.9300000000000001E-2</v>
      </c>
      <c r="H60" s="276">
        <f>IF('Ref-Data'!$Z$2="ON",VLOOKUP($A60,'MacroPD-Cal'!$A:$L,AB$1,FALSE),IF('Ref-Data'!$Z$5 = "Weighted",VLOOKUP($A60,'Model Output_TTC'!$A:$CB,AB$2,FALSE),IF('Ref-Data'!$Z$5="Baseline",VLOOKUP('Input PD LGD'!$A60,'Model Output_TTC'!$A:$AU,'Input PD LGD'!AB$4,FALSE),IF('Ref-Data'!$Z$5="90th Percentile",VLOOKUP('Input PD LGD'!$A60,'Model Output_TTC'!$A:$BP,'Input PD LGD'!AB$6,FALSE),IF('Ref-Data'!$Z$5="96th Percentile",VLOOKUP('Input PD LGD'!$A60,'Model Output_TTC'!$A:$Z,'Input PD LGD'!AB$8,FALSE),"")))))</f>
        <v>3.0500000000000003E-2</v>
      </c>
      <c r="I60" s="276">
        <f>IF('Ref-Data'!$Z$2="ON",VLOOKUP($A60,'MacroPD-Cal'!$A:$L,AC$1,FALSE),IF('Ref-Data'!$Z$5 = "Weighted",VLOOKUP($A60,'Model Output_TTC'!$A:$CB,AC$2,FALSE),IF('Ref-Data'!$Z$5="Baseline",VLOOKUP('Input PD LGD'!$A60,'Model Output_TTC'!$A:$AU,'Input PD LGD'!AC$4,FALSE),IF('Ref-Data'!$Z$5="90th Percentile",VLOOKUP('Input PD LGD'!$A60,'Model Output_TTC'!$A:$BP,'Input PD LGD'!AC$6,FALSE),IF('Ref-Data'!$Z$5="96th Percentile",VLOOKUP('Input PD LGD'!$A60,'Model Output_TTC'!$A:$Z,'Input PD LGD'!AC$8,FALSE),"")))))</f>
        <v>3.7600000000000001E-2</v>
      </c>
      <c r="J60" s="276">
        <f>IF('Ref-Data'!$Z$2="ON",VLOOKUP($A60,'MacroPD-Cal'!$A:$L,AD$1,FALSE),IF('Ref-Data'!$Z$5 = "Weighted",VLOOKUP($A60,'Model Output_TTC'!$A:$CB,AD$2,FALSE),IF('Ref-Data'!$Z$5="Baseline",VLOOKUP('Input PD LGD'!$A60,'Model Output_TTC'!$A:$AU,'Input PD LGD'!AD$4,FALSE),IF('Ref-Data'!$Z$5="90th Percentile",VLOOKUP('Input PD LGD'!$A60,'Model Output_TTC'!$A:$BP,'Input PD LGD'!AD$6,FALSE),IF('Ref-Data'!$Z$5="96th Percentile",VLOOKUP('Input PD LGD'!$A60,'Model Output_TTC'!$A:$Z,'Input PD LGD'!AD$8,FALSE),"")))))</f>
        <v>5.4300000000000001E-2</v>
      </c>
      <c r="K60" s="276">
        <f>IF('Ref-Data'!$Z$2="ON",VLOOKUP($A60,'MacroPD-Cal'!$A:$L,AE$1,FALSE),IF('Ref-Data'!$Z$5 = "Weighted",VLOOKUP($A60,'Model Output_TTC'!$A:$CB,AE$2,FALSE),IF('Ref-Data'!$Z$5="Baseline",VLOOKUP('Input PD LGD'!$A60,'Model Output_TTC'!$A:$AU,'Input PD LGD'!AE$4,FALSE),IF('Ref-Data'!$Z$5="90th Percentile",VLOOKUP('Input PD LGD'!$A60,'Model Output_TTC'!$A:$BP,'Input PD LGD'!AE$6,FALSE),IF('Ref-Data'!$Z$5="96th Percentile",VLOOKUP('Input PD LGD'!$A60,'Model Output_TTC'!$A:$Z,'Input PD LGD'!AE$8,FALSE),"")))))</f>
        <v>7.1599999999999997E-2</v>
      </c>
      <c r="L60" s="274">
        <f>VLOOKUP(A60,'Ref-Data'!$A:$N,14,0)</f>
        <v>0.1</v>
      </c>
      <c r="M60" s="354">
        <f>VLOOKUP(A60,'Ref-Data'!A:I,9,0)</f>
        <v>1</v>
      </c>
      <c r="N60" s="354" t="s">
        <v>1156</v>
      </c>
      <c r="T60" s="346"/>
    </row>
    <row r="61" spans="1:20" x14ac:dyDescent="0.25">
      <c r="A61" s="277">
        <v>1200000117</v>
      </c>
      <c r="B61" s="277" t="str">
        <f>INDEX('Loan Book Summary'!B:C,MATCH('Input PD LGD'!A61,'Loan Book Summary'!C:C,0),1)</f>
        <v>Signet Hotels (Hampton Court - Property) - Trading CBILS Facility B</v>
      </c>
      <c r="C61" s="400">
        <f>VLOOKUP(A61,Reference_Rate_Repricing_Report!B:P,15,FALSE)</f>
        <v>6.25</v>
      </c>
      <c r="D61" s="276">
        <f>IF('Ref-Data'!$Z$2="ON",VLOOKUP($A61,'MacroPD-Cal'!$A:$L,X$1,FALSE),IF('Ref-Data'!$Z$5 = "Weighted",VLOOKUP($A61,'Model Output_TTC'!$A:$CB,X$2,FALSE),IF('Ref-Data'!$Z$5="Baseline",VLOOKUP('Input PD LGD'!$A61,'Model Output_TTC'!$A:$AU,'Input PD LGD'!X$4,FALSE),IF('Ref-Data'!$Z$5="90th Percentile",VLOOKUP('Input PD LGD'!$A61,'Model Output_TTC'!$A:$BP,'Input PD LGD'!X$6,FALSE),IF('Ref-Data'!$Z$5="96th Percentile",VLOOKUP('Input PD LGD'!$A61,'Model Output_TTC'!$A:$Z,'Input PD LGD'!X$8,FALSE),"")))))</f>
        <v>2.0650728731724174E-3</v>
      </c>
      <c r="E61" s="276">
        <f>IF('Ref-Data'!$Z$2="ON",VLOOKUP($A61,'MacroPD-Cal'!$A:$L,Y$1,FALSE),IF('Ref-Data'!$Z$5 = "Weighted",VLOOKUP($A61,'Model Output_TTC'!$A:$CB,Y$2,FALSE),IF('Ref-Data'!$Z$5="Baseline",VLOOKUP('Input PD LGD'!$A61,'Model Output_TTC'!$A:$AU,'Input PD LGD'!Y$4,FALSE),IF('Ref-Data'!$Z$5="90th Percentile",VLOOKUP('Input PD LGD'!$A61,'Model Output_TTC'!$A:$BP,'Input PD LGD'!Y$6,FALSE),IF('Ref-Data'!$Z$5="96th Percentile",VLOOKUP('Input PD LGD'!$A61,'Model Output_TTC'!$A:$Z,'Input PD LGD'!Y$8,FALSE),"")))))</f>
        <v>4.8278134180611554E-3</v>
      </c>
      <c r="F61" s="276">
        <f>IF('Ref-Data'!$Z$2="ON",VLOOKUP($A61,'MacroPD-Cal'!$A:$L,Z$1,FALSE),IF('Ref-Data'!$Z$5 = "Weighted",VLOOKUP($A61,'Model Output_TTC'!$A:$CB,Z$2,FALSE),IF('Ref-Data'!$Z$5="Baseline",VLOOKUP('Input PD LGD'!$A61,'Model Output_TTC'!$A:$AU,'Input PD LGD'!Z$4,FALSE),IF('Ref-Data'!$Z$5="90th Percentile",VLOOKUP('Input PD LGD'!$A61,'Model Output_TTC'!$A:$BP,'Input PD LGD'!Z$6,FALSE),IF('Ref-Data'!$Z$5="96th Percentile",VLOOKUP('Input PD LGD'!$A61,'Model Output_TTC'!$A:$Z,'Input PD LGD'!Z$8,FALSE),"")))))</f>
        <v>7.9853702124685899E-3</v>
      </c>
      <c r="G61" s="276">
        <f>IF('Ref-Data'!$Z$2="ON",VLOOKUP($A61,'MacroPD-Cal'!$A:$L,AA$1,FALSE),IF('Ref-Data'!$Z$5 = "Weighted",VLOOKUP($A61,'Model Output_TTC'!$A:$CB,AA$2,FALSE),IF('Ref-Data'!$Z$5="Baseline",VLOOKUP('Input PD LGD'!$A61,'Model Output_TTC'!$A:$AU,'Input PD LGD'!AA$4,FALSE),IF('Ref-Data'!$Z$5="90th Percentile",VLOOKUP('Input PD LGD'!$A61,'Model Output_TTC'!$A:$BP,'Input PD LGD'!AA$6,FALSE),IF('Ref-Data'!$Z$5="96th Percentile",VLOOKUP('Input PD LGD'!$A61,'Model Output_TTC'!$A:$Z,'Input PD LGD'!AA$8,FALSE),"")))))</f>
        <v>1.2100000000000001E-2</v>
      </c>
      <c r="H61" s="276">
        <f>IF('Ref-Data'!$Z$2="ON",VLOOKUP($A61,'MacroPD-Cal'!$A:$L,AB$1,FALSE),IF('Ref-Data'!$Z$5 = "Weighted",VLOOKUP($A61,'Model Output_TTC'!$A:$CB,AB$2,FALSE),IF('Ref-Data'!$Z$5="Baseline",VLOOKUP('Input PD LGD'!$A61,'Model Output_TTC'!$A:$AU,'Input PD LGD'!AB$4,FALSE),IF('Ref-Data'!$Z$5="90th Percentile",VLOOKUP('Input PD LGD'!$A61,'Model Output_TTC'!$A:$BP,'Input PD LGD'!AB$6,FALSE),IF('Ref-Data'!$Z$5="96th Percentile",VLOOKUP('Input PD LGD'!$A61,'Model Output_TTC'!$A:$Z,'Input PD LGD'!AB$8,FALSE),"")))))</f>
        <v>1.8800000000000001E-2</v>
      </c>
      <c r="I61" s="276">
        <f>IF('Ref-Data'!$Z$2="ON",VLOOKUP($A61,'MacroPD-Cal'!$A:$L,AC$1,FALSE),IF('Ref-Data'!$Z$5 = "Weighted",VLOOKUP($A61,'Model Output_TTC'!$A:$CB,AC$2,FALSE),IF('Ref-Data'!$Z$5="Baseline",VLOOKUP('Input PD LGD'!$A61,'Model Output_TTC'!$A:$AU,'Input PD LGD'!AC$4,FALSE),IF('Ref-Data'!$Z$5="90th Percentile",VLOOKUP('Input PD LGD'!$A61,'Model Output_TTC'!$A:$BP,'Input PD LGD'!AC$6,FALSE),IF('Ref-Data'!$Z$5="96th Percentile",VLOOKUP('Input PD LGD'!$A61,'Model Output_TTC'!$A:$Z,'Input PD LGD'!AC$8,FALSE),"")))))</f>
        <v>2.29E-2</v>
      </c>
      <c r="J61" s="276">
        <f>IF('Ref-Data'!$Z$2="ON",VLOOKUP($A61,'MacroPD-Cal'!$A:$L,AD$1,FALSE),IF('Ref-Data'!$Z$5 = "Weighted",VLOOKUP($A61,'Model Output_TTC'!$A:$CB,AD$2,FALSE),IF('Ref-Data'!$Z$5="Baseline",VLOOKUP('Input PD LGD'!$A61,'Model Output_TTC'!$A:$AU,'Input PD LGD'!AD$4,FALSE),IF('Ref-Data'!$Z$5="90th Percentile",VLOOKUP('Input PD LGD'!$A61,'Model Output_TTC'!$A:$BP,'Input PD LGD'!AD$6,FALSE),IF('Ref-Data'!$Z$5="96th Percentile",VLOOKUP('Input PD LGD'!$A61,'Model Output_TTC'!$A:$Z,'Input PD LGD'!AD$8,FALSE),"")))))</f>
        <v>3.3100000000000004E-2</v>
      </c>
      <c r="K61" s="276">
        <f>IF('Ref-Data'!$Z$2="ON",VLOOKUP($A61,'MacroPD-Cal'!$A:$L,AE$1,FALSE),IF('Ref-Data'!$Z$5 = "Weighted",VLOOKUP($A61,'Model Output_TTC'!$A:$CB,AE$2,FALSE),IF('Ref-Data'!$Z$5="Baseline",VLOOKUP('Input PD LGD'!$A61,'Model Output_TTC'!$A:$AU,'Input PD LGD'!AE$4,FALSE),IF('Ref-Data'!$Z$5="90th Percentile",VLOOKUP('Input PD LGD'!$A61,'Model Output_TTC'!$A:$BP,'Input PD LGD'!AE$6,FALSE),IF('Ref-Data'!$Z$5="96th Percentile",VLOOKUP('Input PD LGD'!$A61,'Model Output_TTC'!$A:$Z,'Input PD LGD'!AE$8,FALSE),"")))))</f>
        <v>4.3700000000000003E-2</v>
      </c>
      <c r="L61" s="274">
        <f>VLOOKUP(A61,'Ref-Data'!$A:$N,14,0)</f>
        <v>0.15</v>
      </c>
      <c r="M61" s="354">
        <f>VLOOKUP(A61,'Ref-Data'!A:I,9,0)</f>
        <v>1</v>
      </c>
      <c r="N61" s="354" t="s">
        <v>1156</v>
      </c>
      <c r="T61" s="346"/>
    </row>
    <row r="62" spans="1:20" x14ac:dyDescent="0.25">
      <c r="A62" s="277">
        <v>1100000150</v>
      </c>
      <c r="B62" s="277" t="str">
        <f>INDEX('Loan Book Summary'!B:C,MATCH('Input PD LGD'!A62,'Loan Book Summary'!C:C,0),1)</f>
        <v>Signet Hotels (Hampton Court - Property) - Trading Non-CBILS Facility A</v>
      </c>
      <c r="C62" s="400">
        <f>VLOOKUP(A62,Reference_Rate_Repricing_Report!B:P,15,FALSE)</f>
        <v>5.25</v>
      </c>
      <c r="D62" s="276">
        <f>IF('Ref-Data'!$Z$2="ON",VLOOKUP($A62,'MacroPD-Cal'!$A:$L,X$1,FALSE),IF('Ref-Data'!$Z$5 = "Weighted",VLOOKUP($A62,'Model Output_TTC'!$A:$CB,X$2,FALSE),IF('Ref-Data'!$Z$5="Baseline",VLOOKUP('Input PD LGD'!$A62,'Model Output_TTC'!$A:$AU,'Input PD LGD'!X$4,FALSE),IF('Ref-Data'!$Z$5="90th Percentile",VLOOKUP('Input PD LGD'!$A62,'Model Output_TTC'!$A:$BP,'Input PD LGD'!X$6,FALSE),IF('Ref-Data'!$Z$5="96th Percentile",VLOOKUP('Input PD LGD'!$A62,'Model Output_TTC'!$A:$Z,'Input PD LGD'!X$8,FALSE),"")))))</f>
        <v>2.0650728731724174E-3</v>
      </c>
      <c r="E62" s="276">
        <f>IF('Ref-Data'!$Z$2="ON",VLOOKUP($A62,'MacroPD-Cal'!$A:$L,Y$1,FALSE),IF('Ref-Data'!$Z$5 = "Weighted",VLOOKUP($A62,'Model Output_TTC'!$A:$CB,Y$2,FALSE),IF('Ref-Data'!$Z$5="Baseline",VLOOKUP('Input PD LGD'!$A62,'Model Output_TTC'!$A:$AU,'Input PD LGD'!Y$4,FALSE),IF('Ref-Data'!$Z$5="90th Percentile",VLOOKUP('Input PD LGD'!$A62,'Model Output_TTC'!$A:$BP,'Input PD LGD'!Y$6,FALSE),IF('Ref-Data'!$Z$5="96th Percentile",VLOOKUP('Input PD LGD'!$A62,'Model Output_TTC'!$A:$Z,'Input PD LGD'!Y$8,FALSE),"")))))</f>
        <v>4.8278134180611554E-3</v>
      </c>
      <c r="F62" s="276">
        <f>IF('Ref-Data'!$Z$2="ON",VLOOKUP($A62,'MacroPD-Cal'!$A:$L,Z$1,FALSE),IF('Ref-Data'!$Z$5 = "Weighted",VLOOKUP($A62,'Model Output_TTC'!$A:$CB,Z$2,FALSE),IF('Ref-Data'!$Z$5="Baseline",VLOOKUP('Input PD LGD'!$A62,'Model Output_TTC'!$A:$AU,'Input PD LGD'!Z$4,FALSE),IF('Ref-Data'!$Z$5="90th Percentile",VLOOKUP('Input PD LGD'!$A62,'Model Output_TTC'!$A:$BP,'Input PD LGD'!Z$6,FALSE),IF('Ref-Data'!$Z$5="96th Percentile",VLOOKUP('Input PD LGD'!$A62,'Model Output_TTC'!$A:$Z,'Input PD LGD'!Z$8,FALSE),"")))))</f>
        <v>7.9853702124685899E-3</v>
      </c>
      <c r="G62" s="276">
        <f>IF('Ref-Data'!$Z$2="ON",VLOOKUP($A62,'MacroPD-Cal'!$A:$L,AA$1,FALSE),IF('Ref-Data'!$Z$5 = "Weighted",VLOOKUP($A62,'Model Output_TTC'!$A:$CB,AA$2,FALSE),IF('Ref-Data'!$Z$5="Baseline",VLOOKUP('Input PD LGD'!$A62,'Model Output_TTC'!$A:$AU,'Input PD LGD'!AA$4,FALSE),IF('Ref-Data'!$Z$5="90th Percentile",VLOOKUP('Input PD LGD'!$A62,'Model Output_TTC'!$A:$BP,'Input PD LGD'!AA$6,FALSE),IF('Ref-Data'!$Z$5="96th Percentile",VLOOKUP('Input PD LGD'!$A62,'Model Output_TTC'!$A:$Z,'Input PD LGD'!AA$8,FALSE),"")))))</f>
        <v>1.2100000000000001E-2</v>
      </c>
      <c r="H62" s="276">
        <f>IF('Ref-Data'!$Z$2="ON",VLOOKUP($A62,'MacroPD-Cal'!$A:$L,AB$1,FALSE),IF('Ref-Data'!$Z$5 = "Weighted",VLOOKUP($A62,'Model Output_TTC'!$A:$CB,AB$2,FALSE),IF('Ref-Data'!$Z$5="Baseline",VLOOKUP('Input PD LGD'!$A62,'Model Output_TTC'!$A:$AU,'Input PD LGD'!AB$4,FALSE),IF('Ref-Data'!$Z$5="90th Percentile",VLOOKUP('Input PD LGD'!$A62,'Model Output_TTC'!$A:$BP,'Input PD LGD'!AB$6,FALSE),IF('Ref-Data'!$Z$5="96th Percentile",VLOOKUP('Input PD LGD'!$A62,'Model Output_TTC'!$A:$Z,'Input PD LGD'!AB$8,FALSE),"")))))</f>
        <v>1.8800000000000001E-2</v>
      </c>
      <c r="I62" s="276">
        <f>IF('Ref-Data'!$Z$2="ON",VLOOKUP($A62,'MacroPD-Cal'!$A:$L,AC$1,FALSE),IF('Ref-Data'!$Z$5 = "Weighted",VLOOKUP($A62,'Model Output_TTC'!$A:$CB,AC$2,FALSE),IF('Ref-Data'!$Z$5="Baseline",VLOOKUP('Input PD LGD'!$A62,'Model Output_TTC'!$A:$AU,'Input PD LGD'!AC$4,FALSE),IF('Ref-Data'!$Z$5="90th Percentile",VLOOKUP('Input PD LGD'!$A62,'Model Output_TTC'!$A:$BP,'Input PD LGD'!AC$6,FALSE),IF('Ref-Data'!$Z$5="96th Percentile",VLOOKUP('Input PD LGD'!$A62,'Model Output_TTC'!$A:$Z,'Input PD LGD'!AC$8,FALSE),"")))))</f>
        <v>2.29E-2</v>
      </c>
      <c r="J62" s="276">
        <f>IF('Ref-Data'!$Z$2="ON",VLOOKUP($A62,'MacroPD-Cal'!$A:$L,AD$1,FALSE),IF('Ref-Data'!$Z$5 = "Weighted",VLOOKUP($A62,'Model Output_TTC'!$A:$CB,AD$2,FALSE),IF('Ref-Data'!$Z$5="Baseline",VLOOKUP('Input PD LGD'!$A62,'Model Output_TTC'!$A:$AU,'Input PD LGD'!AD$4,FALSE),IF('Ref-Data'!$Z$5="90th Percentile",VLOOKUP('Input PD LGD'!$A62,'Model Output_TTC'!$A:$BP,'Input PD LGD'!AD$6,FALSE),IF('Ref-Data'!$Z$5="96th Percentile",VLOOKUP('Input PD LGD'!$A62,'Model Output_TTC'!$A:$Z,'Input PD LGD'!AD$8,FALSE),"")))))</f>
        <v>3.3100000000000004E-2</v>
      </c>
      <c r="K62" s="276">
        <f>IF('Ref-Data'!$Z$2="ON",VLOOKUP($A62,'MacroPD-Cal'!$A:$L,AE$1,FALSE),IF('Ref-Data'!$Z$5 = "Weighted",VLOOKUP($A62,'Model Output_TTC'!$A:$CB,AE$2,FALSE),IF('Ref-Data'!$Z$5="Baseline",VLOOKUP('Input PD LGD'!$A62,'Model Output_TTC'!$A:$AU,'Input PD LGD'!AE$4,FALSE),IF('Ref-Data'!$Z$5="90th Percentile",VLOOKUP('Input PD LGD'!$A62,'Model Output_TTC'!$A:$BP,'Input PD LGD'!AE$6,FALSE),IF('Ref-Data'!$Z$5="96th Percentile",VLOOKUP('Input PD LGD'!$A62,'Model Output_TTC'!$A:$Z,'Input PD LGD'!AE$8,FALSE),"")))))</f>
        <v>4.3700000000000003E-2</v>
      </c>
      <c r="L62" s="274">
        <f>VLOOKUP(A62,'Ref-Data'!$A:$N,14,0)</f>
        <v>0.15</v>
      </c>
      <c r="M62" s="354">
        <f>VLOOKUP(A62,'Ref-Data'!A:I,9,0)</f>
        <v>1</v>
      </c>
      <c r="N62" s="354" t="s">
        <v>1156</v>
      </c>
      <c r="T62" s="346"/>
    </row>
    <row r="63" spans="1:20" x14ac:dyDescent="0.25">
      <c r="A63" s="277">
        <v>1200000118</v>
      </c>
      <c r="B63" s="277" t="str">
        <f>INDEX('Loan Book Summary'!B:C,MATCH('Input PD LGD'!A63,'Loan Book Summary'!C:C,0),1)</f>
        <v>Lyons Davidson Limited - Business Trading - CBILS Term Loan</v>
      </c>
      <c r="C63" s="400">
        <f>VLOOKUP(A63,Reference_Rate_Repricing_Report!B:P,15,FALSE)</f>
        <v>7.59</v>
      </c>
      <c r="D63" s="276">
        <f>IF('Ref-Data'!$Z$2="ON",VLOOKUP($A63,'MacroPD-Cal'!$A:$L,X$1,FALSE),IF('Ref-Data'!$Z$5 = "Weighted",VLOOKUP($A63,'Model Output_TTC'!$A:$CB,X$2,FALSE),IF('Ref-Data'!$Z$5="Baseline",VLOOKUP('Input PD LGD'!$A63,'Model Output_TTC'!$A:$AU,'Input PD LGD'!X$4,FALSE),IF('Ref-Data'!$Z$5="90th Percentile",VLOOKUP('Input PD LGD'!$A63,'Model Output_TTC'!$A:$BP,'Input PD LGD'!X$6,FALSE),IF('Ref-Data'!$Z$5="96th Percentile",VLOOKUP('Input PD LGD'!$A63,'Model Output_TTC'!$A:$Z,'Input PD LGD'!X$8,FALSE),"")))))</f>
        <v>3.9243287312251017E-3</v>
      </c>
      <c r="E63" s="276">
        <f>IF('Ref-Data'!$Z$2="ON",VLOOKUP($A63,'MacroPD-Cal'!$A:$L,Y$1,FALSE),IF('Ref-Data'!$Z$5 = "Weighted",VLOOKUP($A63,'Model Output_TTC'!$A:$CB,Y$2,FALSE),IF('Ref-Data'!$Z$5="Baseline",VLOOKUP('Input PD LGD'!$A63,'Model Output_TTC'!$A:$AU,'Input PD LGD'!Y$4,FALSE),IF('Ref-Data'!$Z$5="90th Percentile",VLOOKUP('Input PD LGD'!$A63,'Model Output_TTC'!$A:$BP,'Input PD LGD'!Y$6,FALSE),IF('Ref-Data'!$Z$5="96th Percentile",VLOOKUP('Input PD LGD'!$A63,'Model Output_TTC'!$A:$Z,'Input PD LGD'!Y$8,FALSE),"")))))</f>
        <v>9.0705793225682729E-3</v>
      </c>
      <c r="F63" s="276">
        <f>IF('Ref-Data'!$Z$2="ON",VLOOKUP($A63,'MacroPD-Cal'!$A:$L,Z$1,FALSE),IF('Ref-Data'!$Z$5 = "Weighted",VLOOKUP($A63,'Model Output_TTC'!$A:$CB,Z$2,FALSE),IF('Ref-Data'!$Z$5="Baseline",VLOOKUP('Input PD LGD'!$A63,'Model Output_TTC'!$A:$AU,'Input PD LGD'!Z$4,FALSE),IF('Ref-Data'!$Z$5="90th Percentile",VLOOKUP('Input PD LGD'!$A63,'Model Output_TTC'!$A:$BP,'Input PD LGD'!Z$6,FALSE),IF('Ref-Data'!$Z$5="96th Percentile",VLOOKUP('Input PD LGD'!$A63,'Model Output_TTC'!$A:$Z,'Input PD LGD'!Z$8,FALSE),"")))))</f>
        <v>1.4887994365265778E-2</v>
      </c>
      <c r="G63" s="276">
        <f>IF('Ref-Data'!$Z$2="ON",VLOOKUP($A63,'MacroPD-Cal'!$A:$L,AA$1,FALSE),IF('Ref-Data'!$Z$5 = "Weighted",VLOOKUP($A63,'Model Output_TTC'!$A:$CB,AA$2,FALSE),IF('Ref-Data'!$Z$5="Baseline",VLOOKUP('Input PD LGD'!$A63,'Model Output_TTC'!$A:$AU,'Input PD LGD'!AA$4,FALSE),IF('Ref-Data'!$Z$5="90th Percentile",VLOOKUP('Input PD LGD'!$A63,'Model Output_TTC'!$A:$BP,'Input PD LGD'!AA$6,FALSE),IF('Ref-Data'!$Z$5="96th Percentile",VLOOKUP('Input PD LGD'!$A63,'Model Output_TTC'!$A:$Z,'Input PD LGD'!AA$8,FALSE),"")))))</f>
        <v>2.23E-2</v>
      </c>
      <c r="H63" s="276">
        <f>IF('Ref-Data'!$Z$2="ON",VLOOKUP($A63,'MacroPD-Cal'!$A:$L,AB$1,FALSE),IF('Ref-Data'!$Z$5 = "Weighted",VLOOKUP($A63,'Model Output_TTC'!$A:$CB,AB$2,FALSE),IF('Ref-Data'!$Z$5="Baseline",VLOOKUP('Input PD LGD'!$A63,'Model Output_TTC'!$A:$AU,'Input PD LGD'!AB$4,FALSE),IF('Ref-Data'!$Z$5="90th Percentile",VLOOKUP('Input PD LGD'!$A63,'Model Output_TTC'!$A:$BP,'Input PD LGD'!AB$6,FALSE),IF('Ref-Data'!$Z$5="96th Percentile",VLOOKUP('Input PD LGD'!$A63,'Model Output_TTC'!$A:$Z,'Input PD LGD'!AB$8,FALSE),"")))))</f>
        <v>3.5200000000000002E-2</v>
      </c>
      <c r="I63" s="276">
        <f>IF('Ref-Data'!$Z$2="ON",VLOOKUP($A63,'MacroPD-Cal'!$A:$L,AC$1,FALSE),IF('Ref-Data'!$Z$5 = "Weighted",VLOOKUP($A63,'Model Output_TTC'!$A:$CB,AC$2,FALSE),IF('Ref-Data'!$Z$5="Baseline",VLOOKUP('Input PD LGD'!$A63,'Model Output_TTC'!$A:$AU,'Input PD LGD'!AC$4,FALSE),IF('Ref-Data'!$Z$5="90th Percentile",VLOOKUP('Input PD LGD'!$A63,'Model Output_TTC'!$A:$BP,'Input PD LGD'!AC$6,FALSE),IF('Ref-Data'!$Z$5="96th Percentile",VLOOKUP('Input PD LGD'!$A63,'Model Output_TTC'!$A:$Z,'Input PD LGD'!AC$8,FALSE),"")))))</f>
        <v>4.36E-2</v>
      </c>
      <c r="J63" s="276">
        <f>IF('Ref-Data'!$Z$2="ON",VLOOKUP($A63,'MacroPD-Cal'!$A:$L,AD$1,FALSE),IF('Ref-Data'!$Z$5 = "Weighted",VLOOKUP($A63,'Model Output_TTC'!$A:$CB,AD$2,FALSE),IF('Ref-Data'!$Z$5="Baseline",VLOOKUP('Input PD LGD'!$A63,'Model Output_TTC'!$A:$AU,'Input PD LGD'!AD$4,FALSE),IF('Ref-Data'!$Z$5="90th Percentile",VLOOKUP('Input PD LGD'!$A63,'Model Output_TTC'!$A:$BP,'Input PD LGD'!AD$6,FALSE),IF('Ref-Data'!$Z$5="96th Percentile",VLOOKUP('Input PD LGD'!$A63,'Model Output_TTC'!$A:$Z,'Input PD LGD'!AD$8,FALSE),"")))))</f>
        <v>6.2600000000000003E-2</v>
      </c>
      <c r="K63" s="276">
        <f>IF('Ref-Data'!$Z$2="ON",VLOOKUP($A63,'MacroPD-Cal'!$A:$L,AE$1,FALSE),IF('Ref-Data'!$Z$5 = "Weighted",VLOOKUP($A63,'Model Output_TTC'!$A:$CB,AE$2,FALSE),IF('Ref-Data'!$Z$5="Baseline",VLOOKUP('Input PD LGD'!$A63,'Model Output_TTC'!$A:$AU,'Input PD LGD'!AE$4,FALSE),IF('Ref-Data'!$Z$5="90th Percentile",VLOOKUP('Input PD LGD'!$A63,'Model Output_TTC'!$A:$BP,'Input PD LGD'!AE$6,FALSE),IF('Ref-Data'!$Z$5="96th Percentile",VLOOKUP('Input PD LGD'!$A63,'Model Output_TTC'!$A:$Z,'Input PD LGD'!AE$8,FALSE),"")))))</f>
        <v>8.2200000000000009E-2</v>
      </c>
      <c r="L63" s="274">
        <f>VLOOKUP(A63,'Ref-Data'!$A:$N,14,0)</f>
        <v>0.15</v>
      </c>
      <c r="M63" s="354">
        <f>VLOOKUP(A63,'Ref-Data'!A:I,9,0)</f>
        <v>1</v>
      </c>
      <c r="N63" s="354" t="s">
        <v>1156</v>
      </c>
      <c r="T63" s="346"/>
    </row>
    <row r="64" spans="1:20" x14ac:dyDescent="0.25">
      <c r="A64" s="277">
        <v>1100000157</v>
      </c>
      <c r="B64" s="277" t="str">
        <f>INDEX('Loan Book Summary'!B:C,MATCH('Input PD LGD'!A64,'Loan Book Summary'!C:C,0),1)</f>
        <v>Lyons Davidson Limited - Business Trading - Non-CBILS RCF</v>
      </c>
      <c r="C64" s="400">
        <f>VLOOKUP(A64,Reference_Rate_Repricing_Report!B:P,15,FALSE)</f>
        <v>6.25</v>
      </c>
      <c r="D64" s="276">
        <f>IF('Ref-Data'!$Z$2="ON",VLOOKUP($A64,'MacroPD-Cal'!$A:$L,X$1,FALSE),IF('Ref-Data'!$Z$5 = "Weighted",VLOOKUP($A64,'Model Output_TTC'!$A:$CB,X$2,FALSE),IF('Ref-Data'!$Z$5="Baseline",VLOOKUP('Input PD LGD'!$A64,'Model Output_TTC'!$A:$AU,'Input PD LGD'!X$4,FALSE),IF('Ref-Data'!$Z$5="90th Percentile",VLOOKUP('Input PD LGD'!$A64,'Model Output_TTC'!$A:$BP,'Input PD LGD'!X$6,FALSE),IF('Ref-Data'!$Z$5="96th Percentile",VLOOKUP('Input PD LGD'!$A64,'Model Output_TTC'!$A:$Z,'Input PD LGD'!X$8,FALSE),"")))))</f>
        <v>3.9243287312251017E-3</v>
      </c>
      <c r="E64" s="276">
        <f>IF('Ref-Data'!$Z$2="ON",VLOOKUP($A64,'MacroPD-Cal'!$A:$L,Y$1,FALSE),IF('Ref-Data'!$Z$5 = "Weighted",VLOOKUP($A64,'Model Output_TTC'!$A:$CB,Y$2,FALSE),IF('Ref-Data'!$Z$5="Baseline",VLOOKUP('Input PD LGD'!$A64,'Model Output_TTC'!$A:$AU,'Input PD LGD'!Y$4,FALSE),IF('Ref-Data'!$Z$5="90th Percentile",VLOOKUP('Input PD LGD'!$A64,'Model Output_TTC'!$A:$BP,'Input PD LGD'!Y$6,FALSE),IF('Ref-Data'!$Z$5="96th Percentile",VLOOKUP('Input PD LGD'!$A64,'Model Output_TTC'!$A:$Z,'Input PD LGD'!Y$8,FALSE),"")))))</f>
        <v>9.0705793225682729E-3</v>
      </c>
      <c r="F64" s="276">
        <f>IF('Ref-Data'!$Z$2="ON",VLOOKUP($A64,'MacroPD-Cal'!$A:$L,Z$1,FALSE),IF('Ref-Data'!$Z$5 = "Weighted",VLOOKUP($A64,'Model Output_TTC'!$A:$CB,Z$2,FALSE),IF('Ref-Data'!$Z$5="Baseline",VLOOKUP('Input PD LGD'!$A64,'Model Output_TTC'!$A:$AU,'Input PD LGD'!Z$4,FALSE),IF('Ref-Data'!$Z$5="90th Percentile",VLOOKUP('Input PD LGD'!$A64,'Model Output_TTC'!$A:$BP,'Input PD LGD'!Z$6,FALSE),IF('Ref-Data'!$Z$5="96th Percentile",VLOOKUP('Input PD LGD'!$A64,'Model Output_TTC'!$A:$Z,'Input PD LGD'!Z$8,FALSE),"")))))</f>
        <v>1.4887994365265778E-2</v>
      </c>
      <c r="G64" s="276">
        <f>IF('Ref-Data'!$Z$2="ON",VLOOKUP($A64,'MacroPD-Cal'!$A:$L,AA$1,FALSE),IF('Ref-Data'!$Z$5 = "Weighted",VLOOKUP($A64,'Model Output_TTC'!$A:$CB,AA$2,FALSE),IF('Ref-Data'!$Z$5="Baseline",VLOOKUP('Input PD LGD'!$A64,'Model Output_TTC'!$A:$AU,'Input PD LGD'!AA$4,FALSE),IF('Ref-Data'!$Z$5="90th Percentile",VLOOKUP('Input PD LGD'!$A64,'Model Output_TTC'!$A:$BP,'Input PD LGD'!AA$6,FALSE),IF('Ref-Data'!$Z$5="96th Percentile",VLOOKUP('Input PD LGD'!$A64,'Model Output_TTC'!$A:$Z,'Input PD LGD'!AA$8,FALSE),"")))))</f>
        <v>2.23E-2</v>
      </c>
      <c r="H64" s="276">
        <f>IF('Ref-Data'!$Z$2="ON",VLOOKUP($A64,'MacroPD-Cal'!$A:$L,AB$1,FALSE),IF('Ref-Data'!$Z$5 = "Weighted",VLOOKUP($A64,'Model Output_TTC'!$A:$CB,AB$2,FALSE),IF('Ref-Data'!$Z$5="Baseline",VLOOKUP('Input PD LGD'!$A64,'Model Output_TTC'!$A:$AU,'Input PD LGD'!AB$4,FALSE),IF('Ref-Data'!$Z$5="90th Percentile",VLOOKUP('Input PD LGD'!$A64,'Model Output_TTC'!$A:$BP,'Input PD LGD'!AB$6,FALSE),IF('Ref-Data'!$Z$5="96th Percentile",VLOOKUP('Input PD LGD'!$A64,'Model Output_TTC'!$A:$Z,'Input PD LGD'!AB$8,FALSE),"")))))</f>
        <v>3.5200000000000002E-2</v>
      </c>
      <c r="I64" s="276">
        <f>IF('Ref-Data'!$Z$2="ON",VLOOKUP($A64,'MacroPD-Cal'!$A:$L,AC$1,FALSE),IF('Ref-Data'!$Z$5 = "Weighted",VLOOKUP($A64,'Model Output_TTC'!$A:$CB,AC$2,FALSE),IF('Ref-Data'!$Z$5="Baseline",VLOOKUP('Input PD LGD'!$A64,'Model Output_TTC'!$A:$AU,'Input PD LGD'!AC$4,FALSE),IF('Ref-Data'!$Z$5="90th Percentile",VLOOKUP('Input PD LGD'!$A64,'Model Output_TTC'!$A:$BP,'Input PD LGD'!AC$6,FALSE),IF('Ref-Data'!$Z$5="96th Percentile",VLOOKUP('Input PD LGD'!$A64,'Model Output_TTC'!$A:$Z,'Input PD LGD'!AC$8,FALSE),"")))))</f>
        <v>4.36E-2</v>
      </c>
      <c r="J64" s="276">
        <f>IF('Ref-Data'!$Z$2="ON",VLOOKUP($A64,'MacroPD-Cal'!$A:$L,AD$1,FALSE),IF('Ref-Data'!$Z$5 = "Weighted",VLOOKUP($A64,'Model Output_TTC'!$A:$CB,AD$2,FALSE),IF('Ref-Data'!$Z$5="Baseline",VLOOKUP('Input PD LGD'!$A64,'Model Output_TTC'!$A:$AU,'Input PD LGD'!AD$4,FALSE),IF('Ref-Data'!$Z$5="90th Percentile",VLOOKUP('Input PD LGD'!$A64,'Model Output_TTC'!$A:$BP,'Input PD LGD'!AD$6,FALSE),IF('Ref-Data'!$Z$5="96th Percentile",VLOOKUP('Input PD LGD'!$A64,'Model Output_TTC'!$A:$Z,'Input PD LGD'!AD$8,FALSE),"")))))</f>
        <v>6.2600000000000003E-2</v>
      </c>
      <c r="K64" s="276">
        <f>IF('Ref-Data'!$Z$2="ON",VLOOKUP($A64,'MacroPD-Cal'!$A:$L,AE$1,FALSE),IF('Ref-Data'!$Z$5 = "Weighted",VLOOKUP($A64,'Model Output_TTC'!$A:$CB,AE$2,FALSE),IF('Ref-Data'!$Z$5="Baseline",VLOOKUP('Input PD LGD'!$A64,'Model Output_TTC'!$A:$AU,'Input PD LGD'!AE$4,FALSE),IF('Ref-Data'!$Z$5="90th Percentile",VLOOKUP('Input PD LGD'!$A64,'Model Output_TTC'!$A:$BP,'Input PD LGD'!AE$6,FALSE),IF('Ref-Data'!$Z$5="96th Percentile",VLOOKUP('Input PD LGD'!$A64,'Model Output_TTC'!$A:$Z,'Input PD LGD'!AE$8,FALSE),"")))))</f>
        <v>8.2200000000000009E-2</v>
      </c>
      <c r="L64" s="274">
        <f>VLOOKUP(A64,'Ref-Data'!$A:$N,14,0)</f>
        <v>0.1</v>
      </c>
      <c r="M64" s="354">
        <f>VLOOKUP(A64,'Ref-Data'!A:I,9,0)</f>
        <v>1</v>
      </c>
      <c r="N64" s="354" t="s">
        <v>1156</v>
      </c>
      <c r="T64" s="346"/>
    </row>
    <row r="65" spans="1:20" x14ac:dyDescent="0.25">
      <c r="A65" s="277">
        <v>1200000119</v>
      </c>
      <c r="B65" s="277" t="str">
        <f>INDEX('Loan Book Summary'!B:C,MATCH('Input PD LGD'!A65,'Loan Book Summary'!C:C,0),1)</f>
        <v>Slatters Development Limited - Business Trading - CBILS A - Refi</v>
      </c>
      <c r="C65" s="400">
        <f>VLOOKUP(A65,Reference_Rate_Repricing_Report!B:P,15,FALSE)</f>
        <v>7.19</v>
      </c>
      <c r="D65" s="276">
        <f>IF('Ref-Data'!$Z$2="ON",VLOOKUP($A65,'MacroPD-Cal'!$A:$L,X$1,FALSE),IF('Ref-Data'!$Z$5 = "Weighted",VLOOKUP($A65,'Model Output_TTC'!$A:$CB,X$2,FALSE),IF('Ref-Data'!$Z$5="Baseline",VLOOKUP('Input PD LGD'!$A65,'Model Output_TTC'!$A:$AU,'Input PD LGD'!X$4,FALSE),IF('Ref-Data'!$Z$5="90th Percentile",VLOOKUP('Input PD LGD'!$A65,'Model Output_TTC'!$A:$BP,'Input PD LGD'!X$6,FALSE),IF('Ref-Data'!$Z$5="96th Percentile",VLOOKUP('Input PD LGD'!$A65,'Model Output_TTC'!$A:$Z,'Input PD LGD'!X$8,FALSE),"")))))</f>
        <v>1.7496582002651242E-3</v>
      </c>
      <c r="E65" s="276">
        <f>IF('Ref-Data'!$Z$2="ON",VLOOKUP($A65,'MacroPD-Cal'!$A:$L,Y$1,FALSE),IF('Ref-Data'!$Z$5 = "Weighted",VLOOKUP($A65,'Model Output_TTC'!$A:$CB,Y$2,FALSE),IF('Ref-Data'!$Z$5="Baseline",VLOOKUP('Input PD LGD'!$A65,'Model Output_TTC'!$A:$AU,'Input PD LGD'!Y$4,FALSE),IF('Ref-Data'!$Z$5="90th Percentile",VLOOKUP('Input PD LGD'!$A65,'Model Output_TTC'!$A:$BP,'Input PD LGD'!Y$6,FALSE),IF('Ref-Data'!$Z$5="96th Percentile",VLOOKUP('Input PD LGD'!$A65,'Model Output_TTC'!$A:$Z,'Input PD LGD'!Y$8,FALSE),"")))))</f>
        <v>4.1017797156421842E-3</v>
      </c>
      <c r="F65" s="276">
        <f>IF('Ref-Data'!$Z$2="ON",VLOOKUP($A65,'MacroPD-Cal'!$A:$L,Z$1,FALSE),IF('Ref-Data'!$Z$5 = "Weighted",VLOOKUP($A65,'Model Output_TTC'!$A:$CB,Z$2,FALSE),IF('Ref-Data'!$Z$5="Baseline",VLOOKUP('Input PD LGD'!$A65,'Model Output_TTC'!$A:$AU,'Input PD LGD'!Z$4,FALSE),IF('Ref-Data'!$Z$5="90th Percentile",VLOOKUP('Input PD LGD'!$A65,'Model Output_TTC'!$A:$BP,'Input PD LGD'!Z$6,FALSE),IF('Ref-Data'!$Z$5="96th Percentile",VLOOKUP('Input PD LGD'!$A65,'Model Output_TTC'!$A:$Z,'Input PD LGD'!Z$8,FALSE),"")))))</f>
        <v>6.7969165063573866E-3</v>
      </c>
      <c r="G65" s="276">
        <f>IF('Ref-Data'!$Z$2="ON",VLOOKUP($A65,'MacroPD-Cal'!$A:$L,AA$1,FALSE),IF('Ref-Data'!$Z$5 = "Weighted",VLOOKUP($A65,'Model Output_TTC'!$A:$CB,AA$2,FALSE),IF('Ref-Data'!$Z$5="Baseline",VLOOKUP('Input PD LGD'!$A65,'Model Output_TTC'!$A:$AU,'Input PD LGD'!AA$4,FALSE),IF('Ref-Data'!$Z$5="90th Percentile",VLOOKUP('Input PD LGD'!$A65,'Model Output_TTC'!$A:$BP,'Input PD LGD'!AA$6,FALSE),IF('Ref-Data'!$Z$5="96th Percentile",VLOOKUP('Input PD LGD'!$A65,'Model Output_TTC'!$A:$Z,'Input PD LGD'!AA$8,FALSE),"")))))</f>
        <v>1.03E-2</v>
      </c>
      <c r="H65" s="276">
        <f>IF('Ref-Data'!$Z$2="ON",VLOOKUP($A65,'MacroPD-Cal'!$A:$L,AB$1,FALSE),IF('Ref-Data'!$Z$5 = "Weighted",VLOOKUP($A65,'Model Output_TTC'!$A:$CB,AB$2,FALSE),IF('Ref-Data'!$Z$5="Baseline",VLOOKUP('Input PD LGD'!$A65,'Model Output_TTC'!$A:$AU,'Input PD LGD'!AB$4,FALSE),IF('Ref-Data'!$Z$5="90th Percentile",VLOOKUP('Input PD LGD'!$A65,'Model Output_TTC'!$A:$BP,'Input PD LGD'!AB$6,FALSE),IF('Ref-Data'!$Z$5="96th Percentile",VLOOKUP('Input PD LGD'!$A65,'Model Output_TTC'!$A:$Z,'Input PD LGD'!AB$8,FALSE),"")))))</f>
        <v>1.55E-2</v>
      </c>
      <c r="I65" s="276">
        <f>IF('Ref-Data'!$Z$2="ON",VLOOKUP($A65,'MacroPD-Cal'!$A:$L,AC$1,FALSE),IF('Ref-Data'!$Z$5 = "Weighted",VLOOKUP($A65,'Model Output_TTC'!$A:$CB,AC$2,FALSE),IF('Ref-Data'!$Z$5="Baseline",VLOOKUP('Input PD LGD'!$A65,'Model Output_TTC'!$A:$AU,'Input PD LGD'!AC$4,FALSE),IF('Ref-Data'!$Z$5="90th Percentile",VLOOKUP('Input PD LGD'!$A65,'Model Output_TTC'!$A:$BP,'Input PD LGD'!AC$6,FALSE),IF('Ref-Data'!$Z$5="96th Percentile",VLOOKUP('Input PD LGD'!$A65,'Model Output_TTC'!$A:$Z,'Input PD LGD'!AC$8,FALSE),"")))))</f>
        <v>1.8600000000000002E-2</v>
      </c>
      <c r="J65" s="276">
        <f>IF('Ref-Data'!$Z$2="ON",VLOOKUP($A65,'MacroPD-Cal'!$A:$L,AD$1,FALSE),IF('Ref-Data'!$Z$5 = "Weighted",VLOOKUP($A65,'Model Output_TTC'!$A:$CB,AD$2,FALSE),IF('Ref-Data'!$Z$5="Baseline",VLOOKUP('Input PD LGD'!$A65,'Model Output_TTC'!$A:$AU,'Input PD LGD'!AD$4,FALSE),IF('Ref-Data'!$Z$5="90th Percentile",VLOOKUP('Input PD LGD'!$A65,'Model Output_TTC'!$A:$BP,'Input PD LGD'!AD$6,FALSE),IF('Ref-Data'!$Z$5="96th Percentile",VLOOKUP('Input PD LGD'!$A65,'Model Output_TTC'!$A:$Z,'Input PD LGD'!AD$8,FALSE),"")))))</f>
        <v>2.6100000000000002E-2</v>
      </c>
      <c r="K65" s="276">
        <f>IF('Ref-Data'!$Z$2="ON",VLOOKUP($A65,'MacroPD-Cal'!$A:$L,AE$1,FALSE),IF('Ref-Data'!$Z$5 = "Weighted",VLOOKUP($A65,'Model Output_TTC'!$A:$CB,AE$2,FALSE),IF('Ref-Data'!$Z$5="Baseline",VLOOKUP('Input PD LGD'!$A65,'Model Output_TTC'!$A:$AU,'Input PD LGD'!AE$4,FALSE),IF('Ref-Data'!$Z$5="90th Percentile",VLOOKUP('Input PD LGD'!$A65,'Model Output_TTC'!$A:$BP,'Input PD LGD'!AE$6,FALSE),IF('Ref-Data'!$Z$5="96th Percentile",VLOOKUP('Input PD LGD'!$A65,'Model Output_TTC'!$A:$Z,'Input PD LGD'!AE$8,FALSE),"")))))</f>
        <v>3.3800000000000004E-2</v>
      </c>
      <c r="L65" s="274">
        <f>VLOOKUP(A65,'Ref-Data'!$A:$N,14,0)</f>
        <v>0.15</v>
      </c>
      <c r="M65" s="354">
        <f>VLOOKUP(A65,'Ref-Data'!A:I,9,0)</f>
        <v>1</v>
      </c>
      <c r="N65" s="354" t="s">
        <v>1156</v>
      </c>
      <c r="T65" s="346"/>
    </row>
    <row r="66" spans="1:20" x14ac:dyDescent="0.25">
      <c r="A66" s="277">
        <v>1200000120</v>
      </c>
      <c r="B66" s="277" t="str">
        <f>INDEX('Loan Book Summary'!B:C,MATCH('Input PD LGD'!A66,'Loan Book Summary'!C:C,0),1)</f>
        <v>Slatters Development Limited - Business Trading - CBILS B - New</v>
      </c>
      <c r="C66" s="400">
        <f>VLOOKUP(A66,Reference_Rate_Repricing_Report!B:P,15,FALSE)</f>
        <v>7.19</v>
      </c>
      <c r="D66" s="276">
        <f>IF('Ref-Data'!$Z$2="ON",VLOOKUP($A66,'MacroPD-Cal'!$A:$L,X$1,FALSE),IF('Ref-Data'!$Z$5 = "Weighted",VLOOKUP($A66,'Model Output_TTC'!$A:$CB,X$2,FALSE),IF('Ref-Data'!$Z$5="Baseline",VLOOKUP('Input PD LGD'!$A66,'Model Output_TTC'!$A:$AU,'Input PD LGD'!X$4,FALSE),IF('Ref-Data'!$Z$5="90th Percentile",VLOOKUP('Input PD LGD'!$A66,'Model Output_TTC'!$A:$BP,'Input PD LGD'!X$6,FALSE),IF('Ref-Data'!$Z$5="96th Percentile",VLOOKUP('Input PD LGD'!$A66,'Model Output_TTC'!$A:$Z,'Input PD LGD'!X$8,FALSE),"")))))</f>
        <v>1.7496582002651242E-3</v>
      </c>
      <c r="E66" s="276">
        <f>IF('Ref-Data'!$Z$2="ON",VLOOKUP($A66,'MacroPD-Cal'!$A:$L,Y$1,FALSE),IF('Ref-Data'!$Z$5 = "Weighted",VLOOKUP($A66,'Model Output_TTC'!$A:$CB,Y$2,FALSE),IF('Ref-Data'!$Z$5="Baseline",VLOOKUP('Input PD LGD'!$A66,'Model Output_TTC'!$A:$AU,'Input PD LGD'!Y$4,FALSE),IF('Ref-Data'!$Z$5="90th Percentile",VLOOKUP('Input PD LGD'!$A66,'Model Output_TTC'!$A:$BP,'Input PD LGD'!Y$6,FALSE),IF('Ref-Data'!$Z$5="96th Percentile",VLOOKUP('Input PD LGD'!$A66,'Model Output_TTC'!$A:$Z,'Input PD LGD'!Y$8,FALSE),"")))))</f>
        <v>4.1017797156421842E-3</v>
      </c>
      <c r="F66" s="276">
        <f>IF('Ref-Data'!$Z$2="ON",VLOOKUP($A66,'MacroPD-Cal'!$A:$L,Z$1,FALSE),IF('Ref-Data'!$Z$5 = "Weighted",VLOOKUP($A66,'Model Output_TTC'!$A:$CB,Z$2,FALSE),IF('Ref-Data'!$Z$5="Baseline",VLOOKUP('Input PD LGD'!$A66,'Model Output_TTC'!$A:$AU,'Input PD LGD'!Z$4,FALSE),IF('Ref-Data'!$Z$5="90th Percentile",VLOOKUP('Input PD LGD'!$A66,'Model Output_TTC'!$A:$BP,'Input PD LGD'!Z$6,FALSE),IF('Ref-Data'!$Z$5="96th Percentile",VLOOKUP('Input PD LGD'!$A66,'Model Output_TTC'!$A:$Z,'Input PD LGD'!Z$8,FALSE),"")))))</f>
        <v>6.7969165063573866E-3</v>
      </c>
      <c r="G66" s="276">
        <f>IF('Ref-Data'!$Z$2="ON",VLOOKUP($A66,'MacroPD-Cal'!$A:$L,AA$1,FALSE),IF('Ref-Data'!$Z$5 = "Weighted",VLOOKUP($A66,'Model Output_TTC'!$A:$CB,AA$2,FALSE),IF('Ref-Data'!$Z$5="Baseline",VLOOKUP('Input PD LGD'!$A66,'Model Output_TTC'!$A:$AU,'Input PD LGD'!AA$4,FALSE),IF('Ref-Data'!$Z$5="90th Percentile",VLOOKUP('Input PD LGD'!$A66,'Model Output_TTC'!$A:$BP,'Input PD LGD'!AA$6,FALSE),IF('Ref-Data'!$Z$5="96th Percentile",VLOOKUP('Input PD LGD'!$A66,'Model Output_TTC'!$A:$Z,'Input PD LGD'!AA$8,FALSE),"")))))</f>
        <v>1.03E-2</v>
      </c>
      <c r="H66" s="276">
        <f>IF('Ref-Data'!$Z$2="ON",VLOOKUP($A66,'MacroPD-Cal'!$A:$L,AB$1,FALSE),IF('Ref-Data'!$Z$5 = "Weighted",VLOOKUP($A66,'Model Output_TTC'!$A:$CB,AB$2,FALSE),IF('Ref-Data'!$Z$5="Baseline",VLOOKUP('Input PD LGD'!$A66,'Model Output_TTC'!$A:$AU,'Input PD LGD'!AB$4,FALSE),IF('Ref-Data'!$Z$5="90th Percentile",VLOOKUP('Input PD LGD'!$A66,'Model Output_TTC'!$A:$BP,'Input PD LGD'!AB$6,FALSE),IF('Ref-Data'!$Z$5="96th Percentile",VLOOKUP('Input PD LGD'!$A66,'Model Output_TTC'!$A:$Z,'Input PD LGD'!AB$8,FALSE),"")))))</f>
        <v>1.55E-2</v>
      </c>
      <c r="I66" s="276">
        <f>IF('Ref-Data'!$Z$2="ON",VLOOKUP($A66,'MacroPD-Cal'!$A:$L,AC$1,FALSE),IF('Ref-Data'!$Z$5 = "Weighted",VLOOKUP($A66,'Model Output_TTC'!$A:$CB,AC$2,FALSE),IF('Ref-Data'!$Z$5="Baseline",VLOOKUP('Input PD LGD'!$A66,'Model Output_TTC'!$A:$AU,'Input PD LGD'!AC$4,FALSE),IF('Ref-Data'!$Z$5="90th Percentile",VLOOKUP('Input PD LGD'!$A66,'Model Output_TTC'!$A:$BP,'Input PD LGD'!AC$6,FALSE),IF('Ref-Data'!$Z$5="96th Percentile",VLOOKUP('Input PD LGD'!$A66,'Model Output_TTC'!$A:$Z,'Input PD LGD'!AC$8,FALSE),"")))))</f>
        <v>1.8600000000000002E-2</v>
      </c>
      <c r="J66" s="276">
        <f>IF('Ref-Data'!$Z$2="ON",VLOOKUP($A66,'MacroPD-Cal'!$A:$L,AD$1,FALSE),IF('Ref-Data'!$Z$5 = "Weighted",VLOOKUP($A66,'Model Output_TTC'!$A:$CB,AD$2,FALSE),IF('Ref-Data'!$Z$5="Baseline",VLOOKUP('Input PD LGD'!$A66,'Model Output_TTC'!$A:$AU,'Input PD LGD'!AD$4,FALSE),IF('Ref-Data'!$Z$5="90th Percentile",VLOOKUP('Input PD LGD'!$A66,'Model Output_TTC'!$A:$BP,'Input PD LGD'!AD$6,FALSE),IF('Ref-Data'!$Z$5="96th Percentile",VLOOKUP('Input PD LGD'!$A66,'Model Output_TTC'!$A:$Z,'Input PD LGD'!AD$8,FALSE),"")))))</f>
        <v>2.6100000000000002E-2</v>
      </c>
      <c r="K66" s="276">
        <f>IF('Ref-Data'!$Z$2="ON",VLOOKUP($A66,'MacroPD-Cal'!$A:$L,AE$1,FALSE),IF('Ref-Data'!$Z$5 = "Weighted",VLOOKUP($A66,'Model Output_TTC'!$A:$CB,AE$2,FALSE),IF('Ref-Data'!$Z$5="Baseline",VLOOKUP('Input PD LGD'!$A66,'Model Output_TTC'!$A:$AU,'Input PD LGD'!AE$4,FALSE),IF('Ref-Data'!$Z$5="90th Percentile",VLOOKUP('Input PD LGD'!$A66,'Model Output_TTC'!$A:$BP,'Input PD LGD'!AE$6,FALSE),IF('Ref-Data'!$Z$5="96th Percentile",VLOOKUP('Input PD LGD'!$A66,'Model Output_TTC'!$A:$Z,'Input PD LGD'!AE$8,FALSE),"")))))</f>
        <v>3.3800000000000004E-2</v>
      </c>
      <c r="L66" s="274">
        <f>VLOOKUP(A66,'Ref-Data'!$A:$N,14,0)</f>
        <v>0.15</v>
      </c>
      <c r="M66" s="354">
        <f>VLOOKUP(A66,'Ref-Data'!A:I,9,0)</f>
        <v>1</v>
      </c>
      <c r="N66" s="354" t="s">
        <v>1156</v>
      </c>
      <c r="T66" s="346"/>
    </row>
    <row r="67" spans="1:20" x14ac:dyDescent="0.25">
      <c r="A67" s="277">
        <v>1200000121</v>
      </c>
      <c r="B67" s="277" t="str">
        <f>INDEX('Loan Book Summary'!B:C,MATCH('Input PD LGD'!A67,'Loan Book Summary'!C:C,0),1)</f>
        <v>LHH Investments Limited - Business Trading - CBILS</v>
      </c>
      <c r="C67" s="400">
        <f>VLOOKUP(A67,Reference_Rate_Repricing_Report!B:P,15,FALSE)</f>
        <v>7.3</v>
      </c>
      <c r="D67" s="276">
        <f>IF('Ref-Data'!$Z$2="ON",VLOOKUP($A67,'MacroPD-Cal'!$A:$L,X$1,FALSE),IF('Ref-Data'!$Z$5 = "Weighted",VLOOKUP($A67,'Model Output_TTC'!$A:$CB,X$2,FALSE),IF('Ref-Data'!$Z$5="Baseline",VLOOKUP('Input PD LGD'!$A67,'Model Output_TTC'!$A:$AU,'Input PD LGD'!X$4,FALSE),IF('Ref-Data'!$Z$5="90th Percentile",VLOOKUP('Input PD LGD'!$A67,'Model Output_TTC'!$A:$BP,'Input PD LGD'!X$6,FALSE),IF('Ref-Data'!$Z$5="96th Percentile",VLOOKUP('Input PD LGD'!$A67,'Model Output_TTC'!$A:$Z,'Input PD LGD'!X$8,FALSE),"")))))</f>
        <v>1.3848899098690369E-3</v>
      </c>
      <c r="E67" s="276">
        <f>IF('Ref-Data'!$Z$2="ON",VLOOKUP($A67,'MacroPD-Cal'!$A:$L,Y$1,FALSE),IF('Ref-Data'!$Z$5 = "Weighted",VLOOKUP($A67,'Model Output_TTC'!$A:$CB,Y$2,FALSE),IF('Ref-Data'!$Z$5="Baseline",VLOOKUP('Input PD LGD'!$A67,'Model Output_TTC'!$A:$AU,'Input PD LGD'!Y$4,FALSE),IF('Ref-Data'!$Z$5="90th Percentile",VLOOKUP('Input PD LGD'!$A67,'Model Output_TTC'!$A:$BP,'Input PD LGD'!Y$6,FALSE),IF('Ref-Data'!$Z$5="96th Percentile",VLOOKUP('Input PD LGD'!$A67,'Model Output_TTC'!$A:$Z,'Input PD LGD'!Y$8,FALSE),"")))))</f>
        <v>3.2590586225322848E-3</v>
      </c>
      <c r="F67" s="276">
        <f>IF('Ref-Data'!$Z$2="ON",VLOOKUP($A67,'MacroPD-Cal'!$A:$L,Z$1,FALSE),IF('Ref-Data'!$Z$5 = "Weighted",VLOOKUP($A67,'Model Output_TTC'!$A:$CB,Z$2,FALSE),IF('Ref-Data'!$Z$5="Baseline",VLOOKUP('Input PD LGD'!$A67,'Model Output_TTC'!$A:$AU,'Input PD LGD'!Z$4,FALSE),IF('Ref-Data'!$Z$5="90th Percentile",VLOOKUP('Input PD LGD'!$A67,'Model Output_TTC'!$A:$BP,'Input PD LGD'!Z$6,FALSE),IF('Ref-Data'!$Z$5="96th Percentile",VLOOKUP('Input PD LGD'!$A67,'Model Output_TTC'!$A:$Z,'Input PD LGD'!Z$8,FALSE),"")))))</f>
        <v>5.4139766692243851E-3</v>
      </c>
      <c r="G67" s="276">
        <f>IF('Ref-Data'!$Z$2="ON",VLOOKUP($A67,'MacroPD-Cal'!$A:$L,AA$1,FALSE),IF('Ref-Data'!$Z$5 = "Weighted",VLOOKUP($A67,'Model Output_TTC'!$A:$CB,AA$2,FALSE),IF('Ref-Data'!$Z$5="Baseline",VLOOKUP('Input PD LGD'!$A67,'Model Output_TTC'!$A:$AU,'Input PD LGD'!AA$4,FALSE),IF('Ref-Data'!$Z$5="90th Percentile",VLOOKUP('Input PD LGD'!$A67,'Model Output_TTC'!$A:$BP,'Input PD LGD'!AA$6,FALSE),IF('Ref-Data'!$Z$5="96th Percentile",VLOOKUP('Input PD LGD'!$A67,'Model Output_TTC'!$A:$Z,'Input PD LGD'!AA$8,FALSE),"")))))</f>
        <v>8.2000000000000007E-3</v>
      </c>
      <c r="H67" s="276">
        <f>IF('Ref-Data'!$Z$2="ON",VLOOKUP($A67,'MacroPD-Cal'!$A:$L,AB$1,FALSE),IF('Ref-Data'!$Z$5 = "Weighted",VLOOKUP($A67,'Model Output_TTC'!$A:$CB,AB$2,FALSE),IF('Ref-Data'!$Z$5="Baseline",VLOOKUP('Input PD LGD'!$A67,'Model Output_TTC'!$A:$AU,'Input PD LGD'!AB$4,FALSE),IF('Ref-Data'!$Z$5="90th Percentile",VLOOKUP('Input PD LGD'!$A67,'Model Output_TTC'!$A:$BP,'Input PD LGD'!AB$6,FALSE),IF('Ref-Data'!$Z$5="96th Percentile",VLOOKUP('Input PD LGD'!$A67,'Model Output_TTC'!$A:$Z,'Input PD LGD'!AB$8,FALSE),"")))))</f>
        <v>1.2800000000000001E-2</v>
      </c>
      <c r="I67" s="276">
        <f>IF('Ref-Data'!$Z$2="ON",VLOOKUP($A67,'MacroPD-Cal'!$A:$L,AC$1,FALSE),IF('Ref-Data'!$Z$5 = "Weighted",VLOOKUP($A67,'Model Output_TTC'!$A:$CB,AC$2,FALSE),IF('Ref-Data'!$Z$5="Baseline",VLOOKUP('Input PD LGD'!$A67,'Model Output_TTC'!$A:$AU,'Input PD LGD'!AC$4,FALSE),IF('Ref-Data'!$Z$5="90th Percentile",VLOOKUP('Input PD LGD'!$A67,'Model Output_TTC'!$A:$BP,'Input PD LGD'!AC$6,FALSE),IF('Ref-Data'!$Z$5="96th Percentile",VLOOKUP('Input PD LGD'!$A67,'Model Output_TTC'!$A:$Z,'Input PD LGD'!AC$8,FALSE),"")))))</f>
        <v>1.5800000000000002E-2</v>
      </c>
      <c r="J67" s="276">
        <f>IF('Ref-Data'!$Z$2="ON",VLOOKUP($A67,'MacroPD-Cal'!$A:$L,AD$1,FALSE),IF('Ref-Data'!$Z$5 = "Weighted",VLOOKUP($A67,'Model Output_TTC'!$A:$CB,AD$2,FALSE),IF('Ref-Data'!$Z$5="Baseline",VLOOKUP('Input PD LGD'!$A67,'Model Output_TTC'!$A:$AU,'Input PD LGD'!AD$4,FALSE),IF('Ref-Data'!$Z$5="90th Percentile",VLOOKUP('Input PD LGD'!$A67,'Model Output_TTC'!$A:$BP,'Input PD LGD'!AD$6,FALSE),IF('Ref-Data'!$Z$5="96th Percentile",VLOOKUP('Input PD LGD'!$A67,'Model Output_TTC'!$A:$Z,'Input PD LGD'!AD$8,FALSE),"")))))</f>
        <v>2.35E-2</v>
      </c>
      <c r="K67" s="276">
        <f>IF('Ref-Data'!$Z$2="ON",VLOOKUP($A67,'MacroPD-Cal'!$A:$L,AE$1,FALSE),IF('Ref-Data'!$Z$5 = "Weighted",VLOOKUP($A67,'Model Output_TTC'!$A:$CB,AE$2,FALSE),IF('Ref-Data'!$Z$5="Baseline",VLOOKUP('Input PD LGD'!$A67,'Model Output_TTC'!$A:$AU,'Input PD LGD'!AE$4,FALSE),IF('Ref-Data'!$Z$5="90th Percentile",VLOOKUP('Input PD LGD'!$A67,'Model Output_TTC'!$A:$BP,'Input PD LGD'!AE$6,FALSE),IF('Ref-Data'!$Z$5="96th Percentile",VLOOKUP('Input PD LGD'!$A67,'Model Output_TTC'!$A:$Z,'Input PD LGD'!AE$8,FALSE),"")))))</f>
        <v>3.1699999999999999E-2</v>
      </c>
      <c r="L67" s="274">
        <f>VLOOKUP(A67,'Ref-Data'!$A:$N,14,0)</f>
        <v>0.15</v>
      </c>
      <c r="M67" s="354">
        <f>VLOOKUP(A67,'Ref-Data'!A:I,9,0)</f>
        <v>1</v>
      </c>
      <c r="N67" s="354" t="s">
        <v>1156</v>
      </c>
      <c r="T67" s="346"/>
    </row>
    <row r="68" spans="1:20" x14ac:dyDescent="0.25">
      <c r="A68" s="277">
        <v>1200000137</v>
      </c>
      <c r="B68" s="277" t="str">
        <f>INDEX('Loan Book Summary'!B:C,MATCH('Input PD LGD'!A68,'Loan Book Summary'!C:C,0),1)</f>
        <v>Daisy Green Food Ltd - Business Trading - Facility E - CBILS Refinance</v>
      </c>
      <c r="C68" s="400">
        <f>VLOOKUP(A68,Reference_Rate_Repricing_Report!B:P,15,FALSE)</f>
        <v>7.2</v>
      </c>
      <c r="D68" s="276">
        <f>IF('Ref-Data'!$Z$2="ON",VLOOKUP($A68,'MacroPD-Cal'!$A:$L,X$1,FALSE),IF('Ref-Data'!$Z$5 = "Weighted",VLOOKUP($A68,'Model Output_TTC'!$A:$CB,X$2,FALSE),IF('Ref-Data'!$Z$5="Baseline",VLOOKUP('Input PD LGD'!$A68,'Model Output_TTC'!$A:$AU,'Input PD LGD'!X$4,FALSE),IF('Ref-Data'!$Z$5="90th Percentile",VLOOKUP('Input PD LGD'!$A68,'Model Output_TTC'!$A:$BP,'Input PD LGD'!X$6,FALSE),IF('Ref-Data'!$Z$5="96th Percentile",VLOOKUP('Input PD LGD'!$A68,'Model Output_TTC'!$A:$Z,'Input PD LGD'!X$8,FALSE),"")))))</f>
        <v>3.4284526556452302E-3</v>
      </c>
      <c r="E68" s="276">
        <f>IF('Ref-Data'!$Z$2="ON",VLOOKUP($A68,'MacroPD-Cal'!$A:$L,Y$1,FALSE),IF('Ref-Data'!$Z$5 = "Weighted",VLOOKUP($A68,'Model Output_TTC'!$A:$CB,Y$2,FALSE),IF('Ref-Data'!$Z$5="Baseline",VLOOKUP('Input PD LGD'!$A68,'Model Output_TTC'!$A:$AU,'Input PD LGD'!Y$4,FALSE),IF('Ref-Data'!$Z$5="90th Percentile",VLOOKUP('Input PD LGD'!$A68,'Model Output_TTC'!$A:$BP,'Input PD LGD'!Y$6,FALSE),IF('Ref-Data'!$Z$5="96th Percentile",VLOOKUP('Input PD LGD'!$A68,'Model Output_TTC'!$A:$Z,'Input PD LGD'!Y$8,FALSE),"")))))</f>
        <v>7.9442220353370674E-3</v>
      </c>
      <c r="F68" s="276">
        <f>IF('Ref-Data'!$Z$2="ON",VLOOKUP($A68,'MacroPD-Cal'!$A:$L,Z$1,FALSE),IF('Ref-Data'!$Z$5 = "Weighted",VLOOKUP($A68,'Model Output_TTC'!$A:$CB,Z$2,FALSE),IF('Ref-Data'!$Z$5="Baseline",VLOOKUP('Input PD LGD'!$A68,'Model Output_TTC'!$A:$AU,'Input PD LGD'!Z$4,FALSE),IF('Ref-Data'!$Z$5="90th Percentile",VLOOKUP('Input PD LGD'!$A68,'Model Output_TTC'!$A:$BP,'Input PD LGD'!Z$6,FALSE),IF('Ref-Data'!$Z$5="96th Percentile",VLOOKUP('Input PD LGD'!$A68,'Model Output_TTC'!$A:$Z,'Input PD LGD'!Z$8,FALSE),"")))))</f>
        <v>1.3061619214511988E-2</v>
      </c>
      <c r="G68" s="276">
        <f>IF('Ref-Data'!$Z$2="ON",VLOOKUP($A68,'MacroPD-Cal'!$A:$L,AA$1,FALSE),IF('Ref-Data'!$Z$5 = "Weighted",VLOOKUP($A68,'Model Output_TTC'!$A:$CB,AA$2,FALSE),IF('Ref-Data'!$Z$5="Baseline",VLOOKUP('Input PD LGD'!$A68,'Model Output_TTC'!$A:$AU,'Input PD LGD'!AA$4,FALSE),IF('Ref-Data'!$Z$5="90th Percentile",VLOOKUP('Input PD LGD'!$A68,'Model Output_TTC'!$A:$BP,'Input PD LGD'!AA$6,FALSE),IF('Ref-Data'!$Z$5="96th Percentile",VLOOKUP('Input PD LGD'!$A68,'Model Output_TTC'!$A:$Z,'Input PD LGD'!AA$8,FALSE),"")))))</f>
        <v>1.9599999999999999E-2</v>
      </c>
      <c r="H68" s="276">
        <f>IF('Ref-Data'!$Z$2="ON",VLOOKUP($A68,'MacroPD-Cal'!$A:$L,AB$1,FALSE),IF('Ref-Data'!$Z$5 = "Weighted",VLOOKUP($A68,'Model Output_TTC'!$A:$CB,AB$2,FALSE),IF('Ref-Data'!$Z$5="Baseline",VLOOKUP('Input PD LGD'!$A68,'Model Output_TTC'!$A:$AU,'Input PD LGD'!AB$4,FALSE),IF('Ref-Data'!$Z$5="90th Percentile",VLOOKUP('Input PD LGD'!$A68,'Model Output_TTC'!$A:$BP,'Input PD LGD'!AB$6,FALSE),IF('Ref-Data'!$Z$5="96th Percentile",VLOOKUP('Input PD LGD'!$A68,'Model Output_TTC'!$A:$Z,'Input PD LGD'!AB$8,FALSE),"")))))</f>
        <v>3.04E-2</v>
      </c>
      <c r="I68" s="276">
        <f>IF('Ref-Data'!$Z$2="ON",VLOOKUP($A68,'MacroPD-Cal'!$A:$L,AC$1,FALSE),IF('Ref-Data'!$Z$5 = "Weighted",VLOOKUP($A68,'Model Output_TTC'!$A:$CB,AC$2,FALSE),IF('Ref-Data'!$Z$5="Baseline",VLOOKUP('Input PD LGD'!$A68,'Model Output_TTC'!$A:$AU,'Input PD LGD'!AC$4,FALSE),IF('Ref-Data'!$Z$5="90th Percentile",VLOOKUP('Input PD LGD'!$A68,'Model Output_TTC'!$A:$BP,'Input PD LGD'!AC$6,FALSE),IF('Ref-Data'!$Z$5="96th Percentile",VLOOKUP('Input PD LGD'!$A68,'Model Output_TTC'!$A:$Z,'Input PD LGD'!AC$8,FALSE),"")))))</f>
        <v>3.7100000000000001E-2</v>
      </c>
      <c r="J68" s="276">
        <f>IF('Ref-Data'!$Z$2="ON",VLOOKUP($A68,'MacroPD-Cal'!$A:$L,AD$1,FALSE),IF('Ref-Data'!$Z$5 = "Weighted",VLOOKUP($A68,'Model Output_TTC'!$A:$CB,AD$2,FALSE),IF('Ref-Data'!$Z$5="Baseline",VLOOKUP('Input PD LGD'!$A68,'Model Output_TTC'!$A:$AU,'Input PD LGD'!AD$4,FALSE),IF('Ref-Data'!$Z$5="90th Percentile",VLOOKUP('Input PD LGD'!$A68,'Model Output_TTC'!$A:$BP,'Input PD LGD'!AD$6,FALSE),IF('Ref-Data'!$Z$5="96th Percentile",VLOOKUP('Input PD LGD'!$A68,'Model Output_TTC'!$A:$Z,'Input PD LGD'!AD$8,FALSE),"")))))</f>
        <v>5.2600000000000001E-2</v>
      </c>
      <c r="K68" s="276">
        <f>IF('Ref-Data'!$Z$2="ON",VLOOKUP($A68,'MacroPD-Cal'!$A:$L,AE$1,FALSE),IF('Ref-Data'!$Z$5 = "Weighted",VLOOKUP($A68,'Model Output_TTC'!$A:$CB,AE$2,FALSE),IF('Ref-Data'!$Z$5="Baseline",VLOOKUP('Input PD LGD'!$A68,'Model Output_TTC'!$A:$AU,'Input PD LGD'!AE$4,FALSE),IF('Ref-Data'!$Z$5="90th Percentile",VLOOKUP('Input PD LGD'!$A68,'Model Output_TTC'!$A:$BP,'Input PD LGD'!AE$6,FALSE),IF('Ref-Data'!$Z$5="96th Percentile",VLOOKUP('Input PD LGD'!$A68,'Model Output_TTC'!$A:$Z,'Input PD LGD'!AE$8,FALSE),"")))))</f>
        <v>6.8600000000000008E-2</v>
      </c>
      <c r="L68" s="274">
        <f>VLOOKUP(A68,'Ref-Data'!$A:$N,14,0)</f>
        <v>0.44259999999999999</v>
      </c>
      <c r="M68" s="354">
        <f>VLOOKUP(A68,'Ref-Data'!A:I,9,0)</f>
        <v>1</v>
      </c>
      <c r="N68" s="354" t="s">
        <v>1156</v>
      </c>
      <c r="T68" s="346"/>
    </row>
    <row r="69" spans="1:20" x14ac:dyDescent="0.25">
      <c r="A69" s="277">
        <v>1200000138</v>
      </c>
      <c r="B69" s="277" t="str">
        <f>INDEX('Loan Book Summary'!B:C,MATCH('Input PD LGD'!A69,'Loan Book Summary'!C:C,0),1)</f>
        <v>Daisy Green Food Ltd - Business Trading - Facility F - CBILS New Money</v>
      </c>
      <c r="C69" s="400">
        <f>VLOOKUP(A69,Reference_Rate_Repricing_Report!B:P,15,FALSE)</f>
        <v>7.19</v>
      </c>
      <c r="D69" s="276">
        <f>IF('Ref-Data'!$Z$2="ON",VLOOKUP($A69,'MacroPD-Cal'!$A:$L,X$1,FALSE),IF('Ref-Data'!$Z$5 = "Weighted",VLOOKUP($A69,'Model Output_TTC'!$A:$CB,X$2,FALSE),IF('Ref-Data'!$Z$5="Baseline",VLOOKUP('Input PD LGD'!$A69,'Model Output_TTC'!$A:$AU,'Input PD LGD'!X$4,FALSE),IF('Ref-Data'!$Z$5="90th Percentile",VLOOKUP('Input PD LGD'!$A69,'Model Output_TTC'!$A:$BP,'Input PD LGD'!X$6,FALSE),IF('Ref-Data'!$Z$5="96th Percentile",VLOOKUP('Input PD LGD'!$A69,'Model Output_TTC'!$A:$Z,'Input PD LGD'!X$8,FALSE),"")))))</f>
        <v>3.4284526556452302E-3</v>
      </c>
      <c r="E69" s="276">
        <f>IF('Ref-Data'!$Z$2="ON",VLOOKUP($A69,'MacroPD-Cal'!$A:$L,Y$1,FALSE),IF('Ref-Data'!$Z$5 = "Weighted",VLOOKUP($A69,'Model Output_TTC'!$A:$CB,Y$2,FALSE),IF('Ref-Data'!$Z$5="Baseline",VLOOKUP('Input PD LGD'!$A69,'Model Output_TTC'!$A:$AU,'Input PD LGD'!Y$4,FALSE),IF('Ref-Data'!$Z$5="90th Percentile",VLOOKUP('Input PD LGD'!$A69,'Model Output_TTC'!$A:$BP,'Input PD LGD'!Y$6,FALSE),IF('Ref-Data'!$Z$5="96th Percentile",VLOOKUP('Input PD LGD'!$A69,'Model Output_TTC'!$A:$Z,'Input PD LGD'!Y$8,FALSE),"")))))</f>
        <v>7.9442220353370674E-3</v>
      </c>
      <c r="F69" s="276">
        <f>IF('Ref-Data'!$Z$2="ON",VLOOKUP($A69,'MacroPD-Cal'!$A:$L,Z$1,FALSE),IF('Ref-Data'!$Z$5 = "Weighted",VLOOKUP($A69,'Model Output_TTC'!$A:$CB,Z$2,FALSE),IF('Ref-Data'!$Z$5="Baseline",VLOOKUP('Input PD LGD'!$A69,'Model Output_TTC'!$A:$AU,'Input PD LGD'!Z$4,FALSE),IF('Ref-Data'!$Z$5="90th Percentile",VLOOKUP('Input PD LGD'!$A69,'Model Output_TTC'!$A:$BP,'Input PD LGD'!Z$6,FALSE),IF('Ref-Data'!$Z$5="96th Percentile",VLOOKUP('Input PD LGD'!$A69,'Model Output_TTC'!$A:$Z,'Input PD LGD'!Z$8,FALSE),"")))))</f>
        <v>1.3061619214511988E-2</v>
      </c>
      <c r="G69" s="276">
        <f>IF('Ref-Data'!$Z$2="ON",VLOOKUP($A69,'MacroPD-Cal'!$A:$L,AA$1,FALSE),IF('Ref-Data'!$Z$5 = "Weighted",VLOOKUP($A69,'Model Output_TTC'!$A:$CB,AA$2,FALSE),IF('Ref-Data'!$Z$5="Baseline",VLOOKUP('Input PD LGD'!$A69,'Model Output_TTC'!$A:$AU,'Input PD LGD'!AA$4,FALSE),IF('Ref-Data'!$Z$5="90th Percentile",VLOOKUP('Input PD LGD'!$A69,'Model Output_TTC'!$A:$BP,'Input PD LGD'!AA$6,FALSE),IF('Ref-Data'!$Z$5="96th Percentile",VLOOKUP('Input PD LGD'!$A69,'Model Output_TTC'!$A:$Z,'Input PD LGD'!AA$8,FALSE),"")))))</f>
        <v>1.9599999999999999E-2</v>
      </c>
      <c r="H69" s="276">
        <f>IF('Ref-Data'!$Z$2="ON",VLOOKUP($A69,'MacroPD-Cal'!$A:$L,AB$1,FALSE),IF('Ref-Data'!$Z$5 = "Weighted",VLOOKUP($A69,'Model Output_TTC'!$A:$CB,AB$2,FALSE),IF('Ref-Data'!$Z$5="Baseline",VLOOKUP('Input PD LGD'!$A69,'Model Output_TTC'!$A:$AU,'Input PD LGD'!AB$4,FALSE),IF('Ref-Data'!$Z$5="90th Percentile",VLOOKUP('Input PD LGD'!$A69,'Model Output_TTC'!$A:$BP,'Input PD LGD'!AB$6,FALSE),IF('Ref-Data'!$Z$5="96th Percentile",VLOOKUP('Input PD LGD'!$A69,'Model Output_TTC'!$A:$Z,'Input PD LGD'!AB$8,FALSE),"")))))</f>
        <v>3.04E-2</v>
      </c>
      <c r="I69" s="276">
        <f>IF('Ref-Data'!$Z$2="ON",VLOOKUP($A69,'MacroPD-Cal'!$A:$L,AC$1,FALSE),IF('Ref-Data'!$Z$5 = "Weighted",VLOOKUP($A69,'Model Output_TTC'!$A:$CB,AC$2,FALSE),IF('Ref-Data'!$Z$5="Baseline",VLOOKUP('Input PD LGD'!$A69,'Model Output_TTC'!$A:$AU,'Input PD LGD'!AC$4,FALSE),IF('Ref-Data'!$Z$5="90th Percentile",VLOOKUP('Input PD LGD'!$A69,'Model Output_TTC'!$A:$BP,'Input PD LGD'!AC$6,FALSE),IF('Ref-Data'!$Z$5="96th Percentile",VLOOKUP('Input PD LGD'!$A69,'Model Output_TTC'!$A:$Z,'Input PD LGD'!AC$8,FALSE),"")))))</f>
        <v>3.7100000000000001E-2</v>
      </c>
      <c r="J69" s="276">
        <f>IF('Ref-Data'!$Z$2="ON",VLOOKUP($A69,'MacroPD-Cal'!$A:$L,AD$1,FALSE),IF('Ref-Data'!$Z$5 = "Weighted",VLOOKUP($A69,'Model Output_TTC'!$A:$CB,AD$2,FALSE),IF('Ref-Data'!$Z$5="Baseline",VLOOKUP('Input PD LGD'!$A69,'Model Output_TTC'!$A:$AU,'Input PD LGD'!AD$4,FALSE),IF('Ref-Data'!$Z$5="90th Percentile",VLOOKUP('Input PD LGD'!$A69,'Model Output_TTC'!$A:$BP,'Input PD LGD'!AD$6,FALSE),IF('Ref-Data'!$Z$5="96th Percentile",VLOOKUP('Input PD LGD'!$A69,'Model Output_TTC'!$A:$Z,'Input PD LGD'!AD$8,FALSE),"")))))</f>
        <v>5.2600000000000001E-2</v>
      </c>
      <c r="K69" s="276">
        <f>IF('Ref-Data'!$Z$2="ON",VLOOKUP($A69,'MacroPD-Cal'!$A:$L,AE$1,FALSE),IF('Ref-Data'!$Z$5 = "Weighted",VLOOKUP($A69,'Model Output_TTC'!$A:$CB,AE$2,FALSE),IF('Ref-Data'!$Z$5="Baseline",VLOOKUP('Input PD LGD'!$A69,'Model Output_TTC'!$A:$AU,'Input PD LGD'!AE$4,FALSE),IF('Ref-Data'!$Z$5="90th Percentile",VLOOKUP('Input PD LGD'!$A69,'Model Output_TTC'!$A:$BP,'Input PD LGD'!AE$6,FALSE),IF('Ref-Data'!$Z$5="96th Percentile",VLOOKUP('Input PD LGD'!$A69,'Model Output_TTC'!$A:$Z,'Input PD LGD'!AE$8,FALSE),"")))))</f>
        <v>6.8600000000000008E-2</v>
      </c>
      <c r="L69" s="274">
        <f>VLOOKUP(A69,'Ref-Data'!$A:$N,14,0)</f>
        <v>0.44259999999999999</v>
      </c>
      <c r="M69" s="354">
        <f>VLOOKUP(A69,'Ref-Data'!A:I,9,0)</f>
        <v>1</v>
      </c>
      <c r="N69" s="354" t="s">
        <v>1156</v>
      </c>
      <c r="T69" s="346"/>
    </row>
    <row r="70" spans="1:20" x14ac:dyDescent="0.25">
      <c r="A70" s="277">
        <v>1200000142</v>
      </c>
      <c r="B70" s="277" t="str">
        <f>INDEX('Loan Book Summary'!B:C,MATCH('Input PD LGD'!A70,'Loan Book Summary'!C:C,0),1)</f>
        <v>Starboard Hotels - SBH Park Holding - Business Trading - Facility C - CBILS New</v>
      </c>
      <c r="C70" s="400">
        <f>VLOOKUP(A70,Reference_Rate_Repricing_Report!B:P,15,FALSE)</f>
        <v>7.44</v>
      </c>
      <c r="D70" s="276">
        <f>IF('Ref-Data'!$Z$2="ON",VLOOKUP($A70,'MacroPD-Cal'!$A:$L,X$1,FALSE),IF('Ref-Data'!$Z$5 = "Weighted",VLOOKUP($A70,'Model Output_TTC'!$A:$CB,X$2,FALSE),IF('Ref-Data'!$Z$5="Baseline",VLOOKUP('Input PD LGD'!$A70,'Model Output_TTC'!$A:$AU,'Input PD LGD'!X$4,FALSE),IF('Ref-Data'!$Z$5="90th Percentile",VLOOKUP('Input PD LGD'!$A70,'Model Output_TTC'!$A:$BP,'Input PD LGD'!X$6,FALSE),IF('Ref-Data'!$Z$5="96th Percentile",VLOOKUP('Input PD LGD'!$A70,'Model Output_TTC'!$A:$Z,'Input PD LGD'!X$8,FALSE),"")))))</f>
        <v>3.9335337154020281E-2</v>
      </c>
      <c r="E70" s="276">
        <f>IF('Ref-Data'!$Z$2="ON",VLOOKUP($A70,'MacroPD-Cal'!$A:$L,Y$1,FALSE),IF('Ref-Data'!$Z$5 = "Weighted",VLOOKUP($A70,'Model Output_TTC'!$A:$CB,Y$2,FALSE),IF('Ref-Data'!$Z$5="Baseline",VLOOKUP('Input PD LGD'!$A70,'Model Output_TTC'!$A:$AU,'Input PD LGD'!Y$4,FALSE),IF('Ref-Data'!$Z$5="90th Percentile",VLOOKUP('Input PD LGD'!$A70,'Model Output_TTC'!$A:$BP,'Input PD LGD'!Y$6,FALSE),IF('Ref-Data'!$Z$5="96th Percentile",VLOOKUP('Input PD LGD'!$A70,'Model Output_TTC'!$A:$Z,'Input PD LGD'!Y$8,FALSE),"")))))</f>
        <v>8.5460952654883182E-2</v>
      </c>
      <c r="F70" s="276">
        <f>IF('Ref-Data'!$Z$2="ON",VLOOKUP($A70,'MacroPD-Cal'!$A:$L,Z$1,FALSE),IF('Ref-Data'!$Z$5 = "Weighted",VLOOKUP($A70,'Model Output_TTC'!$A:$CB,Z$2,FALSE),IF('Ref-Data'!$Z$5="Baseline",VLOOKUP('Input PD LGD'!$A70,'Model Output_TTC'!$A:$AU,'Input PD LGD'!Z$4,FALSE),IF('Ref-Data'!$Z$5="90th Percentile",VLOOKUP('Input PD LGD'!$A70,'Model Output_TTC'!$A:$BP,'Input PD LGD'!Z$6,FALSE),IF('Ref-Data'!$Z$5="96th Percentile",VLOOKUP('Input PD LGD'!$A70,'Model Output_TTC'!$A:$Z,'Input PD LGD'!Z$8,FALSE),"")))))</f>
        <v>0.13360360384645742</v>
      </c>
      <c r="G70" s="276">
        <f>IF('Ref-Data'!$Z$2="ON",VLOOKUP($A70,'MacroPD-Cal'!$A:$L,AA$1,FALSE),IF('Ref-Data'!$Z$5 = "Weighted",VLOOKUP($A70,'Model Output_TTC'!$A:$CB,AA$2,FALSE),IF('Ref-Data'!$Z$5="Baseline",VLOOKUP('Input PD LGD'!$A70,'Model Output_TTC'!$A:$AU,'Input PD LGD'!AA$4,FALSE),IF('Ref-Data'!$Z$5="90th Percentile",VLOOKUP('Input PD LGD'!$A70,'Model Output_TTC'!$A:$BP,'Input PD LGD'!AA$6,FALSE),IF('Ref-Data'!$Z$5="96th Percentile",VLOOKUP('Input PD LGD'!$A70,'Model Output_TTC'!$A:$Z,'Input PD LGD'!AA$8,FALSE),"")))))</f>
        <v>0.1885</v>
      </c>
      <c r="H70" s="276">
        <f>IF('Ref-Data'!$Z$2="ON",VLOOKUP($A70,'MacroPD-Cal'!$A:$L,AB$1,FALSE),IF('Ref-Data'!$Z$5 = "Weighted",VLOOKUP($A70,'Model Output_TTC'!$A:$CB,AB$2,FALSE),IF('Ref-Data'!$Z$5="Baseline",VLOOKUP('Input PD LGD'!$A70,'Model Output_TTC'!$A:$AU,'Input PD LGD'!AB$4,FALSE),IF('Ref-Data'!$Z$5="90th Percentile",VLOOKUP('Input PD LGD'!$A70,'Model Output_TTC'!$A:$BP,'Input PD LGD'!AB$6,FALSE),IF('Ref-Data'!$Z$5="96th Percentile",VLOOKUP('Input PD LGD'!$A70,'Model Output_TTC'!$A:$Z,'Input PD LGD'!AB$8,FALSE),"")))))</f>
        <v>0.28870000000000001</v>
      </c>
      <c r="I70" s="276">
        <f>IF('Ref-Data'!$Z$2="ON",VLOOKUP($A70,'MacroPD-Cal'!$A:$L,AC$1,FALSE),IF('Ref-Data'!$Z$5 = "Weighted",VLOOKUP($A70,'Model Output_TTC'!$A:$CB,AC$2,FALSE),IF('Ref-Data'!$Z$5="Baseline",VLOOKUP('Input PD LGD'!$A70,'Model Output_TTC'!$A:$AU,'Input PD LGD'!AC$4,FALSE),IF('Ref-Data'!$Z$5="90th Percentile",VLOOKUP('Input PD LGD'!$A70,'Model Output_TTC'!$A:$BP,'Input PD LGD'!AC$6,FALSE),IF('Ref-Data'!$Z$5="96th Percentile",VLOOKUP('Input PD LGD'!$A70,'Model Output_TTC'!$A:$Z,'Input PD LGD'!AC$8,FALSE),"")))))</f>
        <v>0.35089999999999999</v>
      </c>
      <c r="J70" s="276">
        <f>IF('Ref-Data'!$Z$2="ON",VLOOKUP($A70,'MacroPD-Cal'!$A:$L,AD$1,FALSE),IF('Ref-Data'!$Z$5 = "Weighted",VLOOKUP($A70,'Model Output_TTC'!$A:$CB,AD$2,FALSE),IF('Ref-Data'!$Z$5="Baseline",VLOOKUP('Input PD LGD'!$A70,'Model Output_TTC'!$A:$AU,'Input PD LGD'!AD$4,FALSE),IF('Ref-Data'!$Z$5="90th Percentile",VLOOKUP('Input PD LGD'!$A70,'Model Output_TTC'!$A:$BP,'Input PD LGD'!AD$6,FALSE),IF('Ref-Data'!$Z$5="96th Percentile",VLOOKUP('Input PD LGD'!$A70,'Model Output_TTC'!$A:$Z,'Input PD LGD'!AD$8,FALSE),"")))))</f>
        <v>0.44540000000000002</v>
      </c>
      <c r="K70" s="276">
        <f>IF('Ref-Data'!$Z$2="ON",VLOOKUP($A70,'MacroPD-Cal'!$A:$L,AE$1,FALSE),IF('Ref-Data'!$Z$5 = "Weighted",VLOOKUP($A70,'Model Output_TTC'!$A:$CB,AE$2,FALSE),IF('Ref-Data'!$Z$5="Baseline",VLOOKUP('Input PD LGD'!$A70,'Model Output_TTC'!$A:$AU,'Input PD LGD'!AE$4,FALSE),IF('Ref-Data'!$Z$5="90th Percentile",VLOOKUP('Input PD LGD'!$A70,'Model Output_TTC'!$A:$BP,'Input PD LGD'!AE$6,FALSE),IF('Ref-Data'!$Z$5="96th Percentile",VLOOKUP('Input PD LGD'!$A70,'Model Output_TTC'!$A:$Z,'Input PD LGD'!AE$8,FALSE),"")))))</f>
        <v>0.52690000000000003</v>
      </c>
      <c r="L70" s="274">
        <f>VLOOKUP(A70,'Ref-Data'!$A:$N,14,0)</f>
        <v>0.15397009191929528</v>
      </c>
      <c r="M70" s="354">
        <f>VLOOKUP(A70,'Ref-Data'!A:I,9,0)</f>
        <v>1</v>
      </c>
      <c r="N70" s="354" t="s">
        <v>1156</v>
      </c>
      <c r="T70" s="346"/>
    </row>
    <row r="71" spans="1:20" x14ac:dyDescent="0.25">
      <c r="A71" s="277">
        <v>1200000143</v>
      </c>
      <c r="B71" s="277" t="str">
        <f>INDEX('Loan Book Summary'!B:C,MATCH('Input PD LGD'!A71,'Loan Book Summary'!C:C,0),1)</f>
        <v>Rosedale - Bike &amp; Boot / Leisure &amp; Hotel - Buss. Trading - CBILS C Refi</v>
      </c>
      <c r="C71" s="400">
        <f>VLOOKUP(A71,Reference_Rate_Repricing_Report!B:P,15,FALSE)</f>
        <v>6.48</v>
      </c>
      <c r="D71" s="276">
        <f>IF('Ref-Data'!$Z$2="ON",VLOOKUP($A71,'MacroPD-Cal'!$A:$L,X$1,FALSE),IF('Ref-Data'!$Z$5 = "Weighted",VLOOKUP($A71,'Model Output_TTC'!$A:$CB,X$2,FALSE),IF('Ref-Data'!$Z$5="Baseline",VLOOKUP('Input PD LGD'!$A71,'Model Output_TTC'!$A:$AU,'Input PD LGD'!X$4,FALSE),IF('Ref-Data'!$Z$5="90th Percentile",VLOOKUP('Input PD LGD'!$A71,'Model Output_TTC'!$A:$BP,'Input PD LGD'!X$6,FALSE),IF('Ref-Data'!$Z$5="96th Percentile",VLOOKUP('Input PD LGD'!$A71,'Model Output_TTC'!$A:$Z,'Input PD LGD'!X$8,FALSE),"")))))</f>
        <v>1.4664857435136747E-3</v>
      </c>
      <c r="E71" s="276">
        <f>IF('Ref-Data'!$Z$2="ON",VLOOKUP($A71,'MacroPD-Cal'!$A:$L,Y$1,FALSE),IF('Ref-Data'!$Z$5 = "Weighted",VLOOKUP($A71,'Model Output_TTC'!$A:$CB,Y$2,FALSE),IF('Ref-Data'!$Z$5="Baseline",VLOOKUP('Input PD LGD'!$A71,'Model Output_TTC'!$A:$AU,'Input PD LGD'!Y$4,FALSE),IF('Ref-Data'!$Z$5="90th Percentile",VLOOKUP('Input PD LGD'!$A71,'Model Output_TTC'!$A:$BP,'Input PD LGD'!Y$6,FALSE),IF('Ref-Data'!$Z$5="96th Percentile",VLOOKUP('Input PD LGD'!$A71,'Model Output_TTC'!$A:$Z,'Input PD LGD'!Y$8,FALSE),"")))))</f>
        <v>3.4478863367868318E-3</v>
      </c>
      <c r="F71" s="276">
        <f>IF('Ref-Data'!$Z$2="ON",VLOOKUP($A71,'MacroPD-Cal'!$A:$L,Z$1,FALSE),IF('Ref-Data'!$Z$5 = "Weighted",VLOOKUP($A71,'Model Output_TTC'!$A:$CB,Z$2,FALSE),IF('Ref-Data'!$Z$5="Baseline",VLOOKUP('Input PD LGD'!$A71,'Model Output_TTC'!$A:$AU,'Input PD LGD'!Z$4,FALSE),IF('Ref-Data'!$Z$5="90th Percentile",VLOOKUP('Input PD LGD'!$A71,'Model Output_TTC'!$A:$BP,'Input PD LGD'!Z$6,FALSE),IF('Ref-Data'!$Z$5="96th Percentile",VLOOKUP('Input PD LGD'!$A71,'Model Output_TTC'!$A:$Z,'Input PD LGD'!Z$8,FALSE),"")))))</f>
        <v>5.724206043032698E-3</v>
      </c>
      <c r="G71" s="276">
        <f>IF('Ref-Data'!$Z$2="ON",VLOOKUP($A71,'MacroPD-Cal'!$A:$L,AA$1,FALSE),IF('Ref-Data'!$Z$5 = "Weighted",VLOOKUP($A71,'Model Output_TTC'!$A:$CB,AA$2,FALSE),IF('Ref-Data'!$Z$5="Baseline",VLOOKUP('Input PD LGD'!$A71,'Model Output_TTC'!$A:$AU,'Input PD LGD'!AA$4,FALSE),IF('Ref-Data'!$Z$5="90th Percentile",VLOOKUP('Input PD LGD'!$A71,'Model Output_TTC'!$A:$BP,'Input PD LGD'!AA$6,FALSE),IF('Ref-Data'!$Z$5="96th Percentile",VLOOKUP('Input PD LGD'!$A71,'Model Output_TTC'!$A:$Z,'Input PD LGD'!AA$8,FALSE),"")))))</f>
        <v>8.7000000000000011E-3</v>
      </c>
      <c r="H71" s="276">
        <f>IF('Ref-Data'!$Z$2="ON",VLOOKUP($A71,'MacroPD-Cal'!$A:$L,AB$1,FALSE),IF('Ref-Data'!$Z$5 = "Weighted",VLOOKUP($A71,'Model Output_TTC'!$A:$CB,AB$2,FALSE),IF('Ref-Data'!$Z$5="Baseline",VLOOKUP('Input PD LGD'!$A71,'Model Output_TTC'!$A:$AU,'Input PD LGD'!AB$4,FALSE),IF('Ref-Data'!$Z$5="90th Percentile",VLOOKUP('Input PD LGD'!$A71,'Model Output_TTC'!$A:$BP,'Input PD LGD'!AB$6,FALSE),IF('Ref-Data'!$Z$5="96th Percentile",VLOOKUP('Input PD LGD'!$A71,'Model Output_TTC'!$A:$Z,'Input PD LGD'!AB$8,FALSE),"")))))</f>
        <v>1.4E-2</v>
      </c>
      <c r="I71" s="276">
        <f>IF('Ref-Data'!$Z$2="ON",VLOOKUP($A71,'MacroPD-Cal'!$A:$L,AC$1,FALSE),IF('Ref-Data'!$Z$5 = "Weighted",VLOOKUP($A71,'Model Output_TTC'!$A:$CB,AC$2,FALSE),IF('Ref-Data'!$Z$5="Baseline",VLOOKUP('Input PD LGD'!$A71,'Model Output_TTC'!$A:$AU,'Input PD LGD'!AC$4,FALSE),IF('Ref-Data'!$Z$5="90th Percentile",VLOOKUP('Input PD LGD'!$A71,'Model Output_TTC'!$A:$BP,'Input PD LGD'!AC$6,FALSE),IF('Ref-Data'!$Z$5="96th Percentile",VLOOKUP('Input PD LGD'!$A71,'Model Output_TTC'!$A:$Z,'Input PD LGD'!AC$8,FALSE),"")))))</f>
        <v>1.7600000000000001E-2</v>
      </c>
      <c r="J71" s="276">
        <f>IF('Ref-Data'!$Z$2="ON",VLOOKUP($A71,'MacroPD-Cal'!$A:$L,AD$1,FALSE),IF('Ref-Data'!$Z$5 = "Weighted",VLOOKUP($A71,'Model Output_TTC'!$A:$CB,AD$2,FALSE),IF('Ref-Data'!$Z$5="Baseline",VLOOKUP('Input PD LGD'!$A71,'Model Output_TTC'!$A:$AU,'Input PD LGD'!AD$4,FALSE),IF('Ref-Data'!$Z$5="90th Percentile",VLOOKUP('Input PD LGD'!$A71,'Model Output_TTC'!$A:$BP,'Input PD LGD'!AD$6,FALSE),IF('Ref-Data'!$Z$5="96th Percentile",VLOOKUP('Input PD LGD'!$A71,'Model Output_TTC'!$A:$Z,'Input PD LGD'!AD$8,FALSE),"")))))</f>
        <v>2.69E-2</v>
      </c>
      <c r="K71" s="276">
        <f>IF('Ref-Data'!$Z$2="ON",VLOOKUP($A71,'MacroPD-Cal'!$A:$L,AE$1,FALSE),IF('Ref-Data'!$Z$5 = "Weighted",VLOOKUP($A71,'Model Output_TTC'!$A:$CB,AE$2,FALSE),IF('Ref-Data'!$Z$5="Baseline",VLOOKUP('Input PD LGD'!$A71,'Model Output_TTC'!$A:$AU,'Input PD LGD'!AE$4,FALSE),IF('Ref-Data'!$Z$5="90th Percentile",VLOOKUP('Input PD LGD'!$A71,'Model Output_TTC'!$A:$BP,'Input PD LGD'!AE$6,FALSE),IF('Ref-Data'!$Z$5="96th Percentile",VLOOKUP('Input PD LGD'!$A71,'Model Output_TTC'!$A:$Z,'Input PD LGD'!AE$8,FALSE),"")))))</f>
        <v>3.7100000000000001E-2</v>
      </c>
      <c r="L71" s="274">
        <f>VLOOKUP(A71,'Ref-Data'!$A:$N,14,0)</f>
        <v>0.15</v>
      </c>
      <c r="M71" s="354">
        <f>VLOOKUP(A71,'Ref-Data'!A:I,9,0)</f>
        <v>1</v>
      </c>
      <c r="N71" s="354" t="s">
        <v>1156</v>
      </c>
      <c r="T71" s="346"/>
    </row>
    <row r="72" spans="1:20" x14ac:dyDescent="0.25">
      <c r="A72" s="354">
        <v>1200000144</v>
      </c>
      <c r="B72" s="277" t="str">
        <f>INDEX('Loan Book Summary'!B:C,MATCH('Input PD LGD'!A72,'Loan Book Summary'!C:C,0),1)</f>
        <v>BXTR Limited - Trading - Edinburgh -CBILS Liquidity Reserve</v>
      </c>
      <c r="C72" s="400">
        <f>VLOOKUP(A72,Reference_Rate_Repricing_Report!B:P,15,FALSE)</f>
        <v>7.34</v>
      </c>
      <c r="D72" s="276">
        <f>IF('Ref-Data'!$Z$2="ON",VLOOKUP($A72,'MacroPD-Cal'!$A:$L,X$1,FALSE),IF('Ref-Data'!$Z$5 = "Weighted",VLOOKUP($A72,'Model Output_TTC'!$A:$CB,X$2,FALSE),IF('Ref-Data'!$Z$5="Baseline",VLOOKUP('Input PD LGD'!$A72,'Model Output_TTC'!$A:$AU,'Input PD LGD'!X$4,FALSE),IF('Ref-Data'!$Z$5="90th Percentile",VLOOKUP('Input PD LGD'!$A72,'Model Output_TTC'!$A:$BP,'Input PD LGD'!X$6,FALSE),IF('Ref-Data'!$Z$5="96th Percentile",VLOOKUP('Input PD LGD'!$A72,'Model Output_TTC'!$A:$Z,'Input PD LGD'!X$8,FALSE),"")))))</f>
        <v>2.3728324537306083E-3</v>
      </c>
      <c r="E72" s="276">
        <f>IF('Ref-Data'!$Z$2="ON",VLOOKUP($A72,'MacroPD-Cal'!$A:$L,Y$1,FALSE),IF('Ref-Data'!$Z$5 = "Weighted",VLOOKUP($A72,'Model Output_TTC'!$A:$CB,Y$2,FALSE),IF('Ref-Data'!$Z$5="Baseline",VLOOKUP('Input PD LGD'!$A72,'Model Output_TTC'!$A:$AU,'Input PD LGD'!Y$4,FALSE),IF('Ref-Data'!$Z$5="90th Percentile",VLOOKUP('Input PD LGD'!$A72,'Model Output_TTC'!$A:$BP,'Input PD LGD'!Y$6,FALSE),IF('Ref-Data'!$Z$5="96th Percentile",VLOOKUP('Input PD LGD'!$A72,'Model Output_TTC'!$A:$Z,'Input PD LGD'!Y$8,FALSE),"")))))</f>
        <v>5.5341704239845191E-3</v>
      </c>
      <c r="F72" s="276">
        <f>IF('Ref-Data'!$Z$2="ON",VLOOKUP($A72,'MacroPD-Cal'!$A:$L,Z$1,FALSE),IF('Ref-Data'!$Z$5 = "Weighted",VLOOKUP($A72,'Model Output_TTC'!$A:$CB,Z$2,FALSE),IF('Ref-Data'!$Z$5="Baseline",VLOOKUP('Input PD LGD'!$A72,'Model Output_TTC'!$A:$AU,'Input PD LGD'!Z$4,FALSE),IF('Ref-Data'!$Z$5="90th Percentile",VLOOKUP('Input PD LGD'!$A72,'Model Output_TTC'!$A:$BP,'Input PD LGD'!Z$6,FALSE),IF('Ref-Data'!$Z$5="96th Percentile",VLOOKUP('Input PD LGD'!$A72,'Model Output_TTC'!$A:$Z,'Input PD LGD'!Z$8,FALSE),"")))))</f>
        <v>9.1392772221348118E-3</v>
      </c>
      <c r="G72" s="276">
        <f>IF('Ref-Data'!$Z$2="ON",VLOOKUP($A72,'MacroPD-Cal'!$A:$L,AA$1,FALSE),IF('Ref-Data'!$Z$5 = "Weighted",VLOOKUP($A72,'Model Output_TTC'!$A:$CB,AA$2,FALSE),IF('Ref-Data'!$Z$5="Baseline",VLOOKUP('Input PD LGD'!$A72,'Model Output_TTC'!$A:$AU,'Input PD LGD'!AA$4,FALSE),IF('Ref-Data'!$Z$5="90th Percentile",VLOOKUP('Input PD LGD'!$A72,'Model Output_TTC'!$A:$BP,'Input PD LGD'!AA$6,FALSE),IF('Ref-Data'!$Z$5="96th Percentile",VLOOKUP('Input PD LGD'!$A72,'Model Output_TTC'!$A:$Z,'Input PD LGD'!AA$8,FALSE),"")))))</f>
        <v>1.3800000000000002E-2</v>
      </c>
      <c r="H72" s="276">
        <f>IF('Ref-Data'!$Z$2="ON",VLOOKUP($A72,'MacroPD-Cal'!$A:$L,AB$1,FALSE),IF('Ref-Data'!$Z$5 = "Weighted",VLOOKUP($A72,'Model Output_TTC'!$A:$CB,AB$2,FALSE),IF('Ref-Data'!$Z$5="Baseline",VLOOKUP('Input PD LGD'!$A72,'Model Output_TTC'!$A:$AU,'Input PD LGD'!AB$4,FALSE),IF('Ref-Data'!$Z$5="90th Percentile",VLOOKUP('Input PD LGD'!$A72,'Model Output_TTC'!$A:$BP,'Input PD LGD'!AB$6,FALSE),IF('Ref-Data'!$Z$5="96th Percentile",VLOOKUP('Input PD LGD'!$A72,'Model Output_TTC'!$A:$Z,'Input PD LGD'!AB$8,FALSE),"")))))</f>
        <v>2.1700000000000001E-2</v>
      </c>
      <c r="I72" s="276">
        <f>IF('Ref-Data'!$Z$2="ON",VLOOKUP($A72,'MacroPD-Cal'!$A:$L,AC$1,FALSE),IF('Ref-Data'!$Z$5 = "Weighted",VLOOKUP($A72,'Model Output_TTC'!$A:$CB,AC$2,FALSE),IF('Ref-Data'!$Z$5="Baseline",VLOOKUP('Input PD LGD'!$A72,'Model Output_TTC'!$A:$AU,'Input PD LGD'!AC$4,FALSE),IF('Ref-Data'!$Z$5="90th Percentile",VLOOKUP('Input PD LGD'!$A72,'Model Output_TTC'!$A:$BP,'Input PD LGD'!AC$6,FALSE),IF('Ref-Data'!$Z$5="96th Percentile",VLOOKUP('Input PD LGD'!$A72,'Model Output_TTC'!$A:$Z,'Input PD LGD'!AC$8,FALSE),"")))))</f>
        <v>2.6700000000000002E-2</v>
      </c>
      <c r="J72" s="276">
        <f>IF('Ref-Data'!$Z$2="ON",VLOOKUP($A72,'MacroPD-Cal'!$A:$L,AD$1,FALSE),IF('Ref-Data'!$Z$5 = "Weighted",VLOOKUP($A72,'Model Output_TTC'!$A:$CB,AD$2,FALSE),IF('Ref-Data'!$Z$5="Baseline",VLOOKUP('Input PD LGD'!$A72,'Model Output_TTC'!$A:$AU,'Input PD LGD'!AD$4,FALSE),IF('Ref-Data'!$Z$5="90th Percentile",VLOOKUP('Input PD LGD'!$A72,'Model Output_TTC'!$A:$BP,'Input PD LGD'!AD$6,FALSE),IF('Ref-Data'!$Z$5="96th Percentile",VLOOKUP('Input PD LGD'!$A72,'Model Output_TTC'!$A:$Z,'Input PD LGD'!AD$8,FALSE),"")))))</f>
        <v>3.8800000000000001E-2</v>
      </c>
      <c r="K72" s="276">
        <f>IF('Ref-Data'!$Z$2="ON",VLOOKUP($A72,'MacroPD-Cal'!$A:$L,AE$1,FALSE),IF('Ref-Data'!$Z$5 = "Weighted",VLOOKUP($A72,'Model Output_TTC'!$A:$CB,AE$2,FALSE),IF('Ref-Data'!$Z$5="Baseline",VLOOKUP('Input PD LGD'!$A72,'Model Output_TTC'!$A:$AU,'Input PD LGD'!AE$4,FALSE),IF('Ref-Data'!$Z$5="90th Percentile",VLOOKUP('Input PD LGD'!$A72,'Model Output_TTC'!$A:$BP,'Input PD LGD'!AE$6,FALSE),IF('Ref-Data'!$Z$5="96th Percentile",VLOOKUP('Input PD LGD'!$A72,'Model Output_TTC'!$A:$Z,'Input PD LGD'!AE$8,FALSE),"")))))</f>
        <v>5.1700000000000003E-2</v>
      </c>
      <c r="L72" s="274">
        <f>VLOOKUP(A72,'Ref-Data'!$A:$N,14,0)</f>
        <v>0.44550000000000001</v>
      </c>
      <c r="M72" s="354">
        <f>VLOOKUP(A72,'Ref-Data'!A:I,9,0)</f>
        <v>1</v>
      </c>
      <c r="N72" s="354" t="s">
        <v>1156</v>
      </c>
      <c r="T72" s="346"/>
    </row>
    <row r="73" spans="1:20" x14ac:dyDescent="0.25">
      <c r="A73" s="354">
        <v>1200000139</v>
      </c>
      <c r="B73" s="277" t="str">
        <f>INDEX('Loan Book Summary'!B:C,MATCH('Input PD LGD'!A73,'Loan Book Summary'!C:C,0),1)</f>
        <v>Nicol's Worsteds Limited - Business Trading - CBILS Facility</v>
      </c>
      <c r="C73" s="400">
        <f>VLOOKUP(A73,Reference_Rate_Repricing_Report!B:P,15,FALSE)</f>
        <v>6.74</v>
      </c>
      <c r="D73" s="276">
        <f>IF('Ref-Data'!$Z$2="ON",VLOOKUP($A73,'MacroPD-Cal'!$A:$L,X$1,FALSE),IF('Ref-Data'!$Z$5 = "Weighted",VLOOKUP($A73,'Model Output_TTC'!$A:$CB,X$2,FALSE),IF('Ref-Data'!$Z$5="Baseline",VLOOKUP('Input PD LGD'!$A73,'Model Output_TTC'!$A:$AU,'Input PD LGD'!X$4,FALSE),IF('Ref-Data'!$Z$5="90th Percentile",VLOOKUP('Input PD LGD'!$A73,'Model Output_TTC'!$A:$BP,'Input PD LGD'!X$6,FALSE),IF('Ref-Data'!$Z$5="96th Percentile",VLOOKUP('Input PD LGD'!$A73,'Model Output_TTC'!$A:$Z,'Input PD LGD'!X$8,FALSE),"")))))</f>
        <v>4.7652832030200265E-3</v>
      </c>
      <c r="E73" s="276">
        <f>IF('Ref-Data'!$Z$2="ON",VLOOKUP($A73,'MacroPD-Cal'!$A:$L,Y$1,FALSE),IF('Ref-Data'!$Z$5 = "Weighted",VLOOKUP($A73,'Model Output_TTC'!$A:$CB,Y$2,FALSE),IF('Ref-Data'!$Z$5="Baseline",VLOOKUP('Input PD LGD'!$A73,'Model Output_TTC'!$A:$AU,'Input PD LGD'!Y$4,FALSE),IF('Ref-Data'!$Z$5="90th Percentile",VLOOKUP('Input PD LGD'!$A73,'Model Output_TTC'!$A:$BP,'Input PD LGD'!Y$6,FALSE),IF('Ref-Data'!$Z$5="96th Percentile",VLOOKUP('Input PD LGD'!$A73,'Model Output_TTC'!$A:$Z,'Input PD LGD'!Y$8,FALSE),"")))))</f>
        <v>1.0973679517791823E-2</v>
      </c>
      <c r="F73" s="276">
        <f>IF('Ref-Data'!$Z$2="ON",VLOOKUP($A73,'MacroPD-Cal'!$A:$L,Z$1,FALSE),IF('Ref-Data'!$Z$5 = "Weighted",VLOOKUP($A73,'Model Output_TTC'!$A:$CB,Z$2,FALSE),IF('Ref-Data'!$Z$5="Baseline",VLOOKUP('Input PD LGD'!$A73,'Model Output_TTC'!$A:$AU,'Input PD LGD'!Z$4,FALSE),IF('Ref-Data'!$Z$5="90th Percentile",VLOOKUP('Input PD LGD'!$A73,'Model Output_TTC'!$A:$BP,'Input PD LGD'!Z$6,FALSE),IF('Ref-Data'!$Z$5="96th Percentile",VLOOKUP('Input PD LGD'!$A73,'Model Output_TTC'!$A:$Z,'Input PD LGD'!Z$8,FALSE),"")))))</f>
        <v>1.7965369124224417E-2</v>
      </c>
      <c r="G73" s="276">
        <f>IF('Ref-Data'!$Z$2="ON",VLOOKUP($A73,'MacroPD-Cal'!$A:$L,AA$1,FALSE),IF('Ref-Data'!$Z$5 = "Weighted",VLOOKUP($A73,'Model Output_TTC'!$A:$CB,AA$2,FALSE),IF('Ref-Data'!$Z$5="Baseline",VLOOKUP('Input PD LGD'!$A73,'Model Output_TTC'!$A:$AU,'Input PD LGD'!AA$4,FALSE),IF('Ref-Data'!$Z$5="90th Percentile",VLOOKUP('Input PD LGD'!$A73,'Model Output_TTC'!$A:$BP,'Input PD LGD'!AA$6,FALSE),IF('Ref-Data'!$Z$5="96th Percentile",VLOOKUP('Input PD LGD'!$A73,'Model Output_TTC'!$A:$Z,'Input PD LGD'!AA$8,FALSE),"")))))</f>
        <v>2.69E-2</v>
      </c>
      <c r="H73" s="276">
        <f>IF('Ref-Data'!$Z$2="ON",VLOOKUP($A73,'MacroPD-Cal'!$A:$L,AB$1,FALSE),IF('Ref-Data'!$Z$5 = "Weighted",VLOOKUP($A73,'Model Output_TTC'!$A:$CB,AB$2,FALSE),IF('Ref-Data'!$Z$5="Baseline",VLOOKUP('Input PD LGD'!$A73,'Model Output_TTC'!$A:$AU,'Input PD LGD'!AB$4,FALSE),IF('Ref-Data'!$Z$5="90th Percentile",VLOOKUP('Input PD LGD'!$A73,'Model Output_TTC'!$A:$BP,'Input PD LGD'!AB$6,FALSE),IF('Ref-Data'!$Z$5="96th Percentile",VLOOKUP('Input PD LGD'!$A73,'Model Output_TTC'!$A:$Z,'Input PD LGD'!AB$8,FALSE),"")))))</f>
        <v>4.0400000000000005E-2</v>
      </c>
      <c r="I73" s="276">
        <f>IF('Ref-Data'!$Z$2="ON",VLOOKUP($A73,'MacroPD-Cal'!$A:$L,AC$1,FALSE),IF('Ref-Data'!$Z$5 = "Weighted",VLOOKUP($A73,'Model Output_TTC'!$A:$CB,AC$2,FALSE),IF('Ref-Data'!$Z$5="Baseline",VLOOKUP('Input PD LGD'!$A73,'Model Output_TTC'!$A:$AU,'Input PD LGD'!AC$4,FALSE),IF('Ref-Data'!$Z$5="90th Percentile",VLOOKUP('Input PD LGD'!$A73,'Model Output_TTC'!$A:$BP,'Input PD LGD'!AC$6,FALSE),IF('Ref-Data'!$Z$5="96th Percentile",VLOOKUP('Input PD LGD'!$A73,'Model Output_TTC'!$A:$Z,'Input PD LGD'!AC$8,FALSE),"")))))</f>
        <v>4.8300000000000003E-2</v>
      </c>
      <c r="J73" s="276">
        <f>IF('Ref-Data'!$Z$2="ON",VLOOKUP($A73,'MacroPD-Cal'!$A:$L,AD$1,FALSE),IF('Ref-Data'!$Z$5 = "Weighted",VLOOKUP($A73,'Model Output_TTC'!$A:$CB,AD$2,FALSE),IF('Ref-Data'!$Z$5="Baseline",VLOOKUP('Input PD LGD'!$A73,'Model Output_TTC'!$A:$AU,'Input PD LGD'!AD$4,FALSE),IF('Ref-Data'!$Z$5="90th Percentile",VLOOKUP('Input PD LGD'!$A73,'Model Output_TTC'!$A:$BP,'Input PD LGD'!AD$6,FALSE),IF('Ref-Data'!$Z$5="96th Percentile",VLOOKUP('Input PD LGD'!$A73,'Model Output_TTC'!$A:$Z,'Input PD LGD'!AD$8,FALSE),"")))))</f>
        <v>6.5299999999999997E-2</v>
      </c>
      <c r="K73" s="276">
        <f>IF('Ref-Data'!$Z$2="ON",VLOOKUP($A73,'MacroPD-Cal'!$A:$L,AE$1,FALSE),IF('Ref-Data'!$Z$5 = "Weighted",VLOOKUP($A73,'Model Output_TTC'!$A:$CB,AE$2,FALSE),IF('Ref-Data'!$Z$5="Baseline",VLOOKUP('Input PD LGD'!$A73,'Model Output_TTC'!$A:$AU,'Input PD LGD'!AE$4,FALSE),IF('Ref-Data'!$Z$5="90th Percentile",VLOOKUP('Input PD LGD'!$A73,'Model Output_TTC'!$A:$BP,'Input PD LGD'!AE$6,FALSE),IF('Ref-Data'!$Z$5="96th Percentile",VLOOKUP('Input PD LGD'!$A73,'Model Output_TTC'!$A:$Z,'Input PD LGD'!AE$8,FALSE),"")))))</f>
        <v>8.2299999999999998E-2</v>
      </c>
      <c r="L73" s="274">
        <f>VLOOKUP(A73,'Ref-Data'!$A:$N,14,0)</f>
        <v>0.15</v>
      </c>
      <c r="M73" s="354">
        <f>VLOOKUP(A73,'Ref-Data'!A:I,9,0)</f>
        <v>1</v>
      </c>
      <c r="N73" s="354" t="s">
        <v>1156</v>
      </c>
    </row>
    <row r="74" spans="1:20" x14ac:dyDescent="0.25">
      <c r="A74" s="354">
        <v>1100000195</v>
      </c>
      <c r="B74" s="277" t="str">
        <f>INDEX('Loan Book Summary'!B:C,MATCH('Input PD LGD'!A74,'Loan Book Summary'!C:C,0),1)</f>
        <v>Kansas Bidco Limited - Business Trading - Senior Secured RCF</v>
      </c>
      <c r="C74" s="400">
        <f>VLOOKUP(A74,Reference_Rate_Repricing_Report!B:P,15,FALSE)</f>
        <v>5.5</v>
      </c>
      <c r="D74" s="276">
        <f>IF('Ref-Data'!$Z$2="ON",VLOOKUP($A74,'MacroPD-Cal'!$A:$L,X$1,FALSE),IF('Ref-Data'!$Z$5 = "Weighted",VLOOKUP($A74,'Model Output_TTC'!$A:$CB,X$2,FALSE),IF('Ref-Data'!$Z$5="Baseline",VLOOKUP('Input PD LGD'!$A74,'Model Output_TTC'!$A:$AU,'Input PD LGD'!X$4,FALSE),IF('Ref-Data'!$Z$5="90th Percentile",VLOOKUP('Input PD LGD'!$A74,'Model Output_TTC'!$A:$BP,'Input PD LGD'!X$6,FALSE),IF('Ref-Data'!$Z$5="96th Percentile",VLOOKUP('Input PD LGD'!$A74,'Model Output_TTC'!$A:$Z,'Input PD LGD'!X$8,FALSE),"")))))</f>
        <v>9.0176998350473547E-3</v>
      </c>
      <c r="E74" s="276">
        <f>IF('Ref-Data'!$Z$2="ON",VLOOKUP($A74,'MacroPD-Cal'!$A:$L,Y$1,FALSE),IF('Ref-Data'!$Z$5 = "Weighted",VLOOKUP($A74,'Model Output_TTC'!$A:$CB,Y$2,FALSE),IF('Ref-Data'!$Z$5="Baseline",VLOOKUP('Input PD LGD'!$A74,'Model Output_TTC'!$A:$AU,'Input PD LGD'!Y$4,FALSE),IF('Ref-Data'!$Z$5="90th Percentile",VLOOKUP('Input PD LGD'!$A74,'Model Output_TTC'!$A:$BP,'Input PD LGD'!Y$6,FALSE),IF('Ref-Data'!$Z$5="96th Percentile",VLOOKUP('Input PD LGD'!$A74,'Model Output_TTC'!$A:$Z,'Input PD LGD'!Y$8,FALSE),"")))))</f>
        <v>2.0491061369928731E-2</v>
      </c>
      <c r="F74" s="276">
        <f>IF('Ref-Data'!$Z$2="ON",VLOOKUP($A74,'MacroPD-Cal'!$A:$L,Z$1,FALSE),IF('Ref-Data'!$Z$5 = "Weighted",VLOOKUP($A74,'Model Output_TTC'!$A:$CB,Z$2,FALSE),IF('Ref-Data'!$Z$5="Baseline",VLOOKUP('Input PD LGD'!$A74,'Model Output_TTC'!$A:$AU,'Input PD LGD'!Z$4,FALSE),IF('Ref-Data'!$Z$5="90th Percentile",VLOOKUP('Input PD LGD'!$A74,'Model Output_TTC'!$A:$BP,'Input PD LGD'!Z$6,FALSE),IF('Ref-Data'!$Z$5="96th Percentile",VLOOKUP('Input PD LGD'!$A74,'Model Output_TTC'!$A:$Z,'Input PD LGD'!Z$8,FALSE),"")))))</f>
        <v>3.322495541514825E-2</v>
      </c>
      <c r="G74" s="276">
        <f>IF('Ref-Data'!$Z$2="ON",VLOOKUP($A74,'MacroPD-Cal'!$A:$L,AA$1,FALSE),IF('Ref-Data'!$Z$5 = "Weighted",VLOOKUP($A74,'Model Output_TTC'!$A:$CB,AA$2,FALSE),IF('Ref-Data'!$Z$5="Baseline",VLOOKUP('Input PD LGD'!$A74,'Model Output_TTC'!$A:$AU,'Input PD LGD'!AA$4,FALSE),IF('Ref-Data'!$Z$5="90th Percentile",VLOOKUP('Input PD LGD'!$A74,'Model Output_TTC'!$A:$BP,'Input PD LGD'!AA$6,FALSE),IF('Ref-Data'!$Z$5="96th Percentile",VLOOKUP('Input PD LGD'!$A74,'Model Output_TTC'!$A:$Z,'Input PD LGD'!AA$8,FALSE),"")))))</f>
        <v>4.9100000000000005E-2</v>
      </c>
      <c r="H74" s="276">
        <f>IF('Ref-Data'!$Z$2="ON",VLOOKUP($A74,'MacroPD-Cal'!$A:$L,AB$1,FALSE),IF('Ref-Data'!$Z$5 = "Weighted",VLOOKUP($A74,'Model Output_TTC'!$A:$CB,AB$2,FALSE),IF('Ref-Data'!$Z$5="Baseline",VLOOKUP('Input PD LGD'!$A74,'Model Output_TTC'!$A:$AU,'Input PD LGD'!AB$4,FALSE),IF('Ref-Data'!$Z$5="90th Percentile",VLOOKUP('Input PD LGD'!$A74,'Model Output_TTC'!$A:$BP,'Input PD LGD'!AB$6,FALSE),IF('Ref-Data'!$Z$5="96th Percentile",VLOOKUP('Input PD LGD'!$A74,'Model Output_TTC'!$A:$Z,'Input PD LGD'!AB$8,FALSE),"")))))</f>
        <v>7.3700000000000002E-2</v>
      </c>
      <c r="I74" s="276">
        <f>IF('Ref-Data'!$Z$2="ON",VLOOKUP($A74,'MacroPD-Cal'!$A:$L,AC$1,FALSE),IF('Ref-Data'!$Z$5 = "Weighted",VLOOKUP($A74,'Model Output_TTC'!$A:$CB,AC$2,FALSE),IF('Ref-Data'!$Z$5="Baseline",VLOOKUP('Input PD LGD'!$A74,'Model Output_TTC'!$A:$AU,'Input PD LGD'!AC$4,FALSE),IF('Ref-Data'!$Z$5="90th Percentile",VLOOKUP('Input PD LGD'!$A74,'Model Output_TTC'!$A:$BP,'Input PD LGD'!AC$6,FALSE),IF('Ref-Data'!$Z$5="96th Percentile",VLOOKUP('Input PD LGD'!$A74,'Model Output_TTC'!$A:$Z,'Input PD LGD'!AC$8,FALSE),"")))))</f>
        <v>8.7900000000000006E-2</v>
      </c>
      <c r="J74" s="276">
        <f>IF('Ref-Data'!$Z$2="ON",VLOOKUP($A74,'MacroPD-Cal'!$A:$L,AD$1,FALSE),IF('Ref-Data'!$Z$5 = "Weighted",VLOOKUP($A74,'Model Output_TTC'!$A:$CB,AD$2,FALSE),IF('Ref-Data'!$Z$5="Baseline",VLOOKUP('Input PD LGD'!$A74,'Model Output_TTC'!$A:$AU,'Input PD LGD'!AD$4,FALSE),IF('Ref-Data'!$Z$5="90th Percentile",VLOOKUP('Input PD LGD'!$A74,'Model Output_TTC'!$A:$BP,'Input PD LGD'!AD$6,FALSE),IF('Ref-Data'!$Z$5="96th Percentile",VLOOKUP('Input PD LGD'!$A74,'Model Output_TTC'!$A:$Z,'Input PD LGD'!AD$8,FALSE),"")))))</f>
        <v>0.11620000000000001</v>
      </c>
      <c r="K74" s="276">
        <f>IF('Ref-Data'!$Z$2="ON",VLOOKUP($A74,'MacroPD-Cal'!$A:$L,AE$1,FALSE),IF('Ref-Data'!$Z$5 = "Weighted",VLOOKUP($A74,'Model Output_TTC'!$A:$CB,AE$2,FALSE),IF('Ref-Data'!$Z$5="Baseline",VLOOKUP('Input PD LGD'!$A74,'Model Output_TTC'!$A:$AU,'Input PD LGD'!AE$4,FALSE),IF('Ref-Data'!$Z$5="90th Percentile",VLOOKUP('Input PD LGD'!$A74,'Model Output_TTC'!$A:$BP,'Input PD LGD'!AE$6,FALSE),IF('Ref-Data'!$Z$5="96th Percentile",VLOOKUP('Input PD LGD'!$A74,'Model Output_TTC'!$A:$Z,'Input PD LGD'!AE$8,FALSE),"")))))</f>
        <v>0.1434</v>
      </c>
      <c r="L74" s="274">
        <f>VLOOKUP(A74,'Ref-Data'!$A:$N,14,0)</f>
        <v>0.38150000000000001</v>
      </c>
      <c r="M74" s="354">
        <f>VLOOKUP(A74,'Ref-Data'!A:I,9,0)</f>
        <v>1</v>
      </c>
      <c r="N74" s="354" t="s">
        <v>1156</v>
      </c>
    </row>
    <row r="75" spans="1:20" x14ac:dyDescent="0.25">
      <c r="A75" s="354">
        <v>1100000224</v>
      </c>
      <c r="B75" s="277" t="str">
        <f>INDEX('Loan Book Summary'!B:C,MATCH('Input PD LGD'!A75,'Loan Book Summary'!C:C,0),1)</f>
        <v>QBH Holdings Ltd - Pinboard Limited Partnership - Business Trading - Fac B</v>
      </c>
      <c r="C75" s="400">
        <f>VLOOKUP(A75,Reference_Rate_Repricing_Report!B:P,15,FALSE)</f>
        <v>6.5</v>
      </c>
      <c r="D75" s="276">
        <f>IF('Ref-Data'!$Z$2="ON",VLOOKUP($A75,'MacroPD-Cal'!$A:$L,X$1,FALSE),IF('Ref-Data'!$Z$5 = "Weighted",VLOOKUP($A75,'Model Output_TTC'!$A:$CB,X$2,FALSE),IF('Ref-Data'!$Z$5="Baseline",VLOOKUP('Input PD LGD'!$A75,'Model Output_TTC'!$A:$AU,'Input PD LGD'!X$4,FALSE),IF('Ref-Data'!$Z$5="90th Percentile",VLOOKUP('Input PD LGD'!$A75,'Model Output_TTC'!$A:$BP,'Input PD LGD'!X$6,FALSE),IF('Ref-Data'!$Z$5="96th Percentile",VLOOKUP('Input PD LGD'!$A75,'Model Output_TTC'!$A:$Z,'Input PD LGD'!X$8,FALSE),"")))))</f>
        <v>4.6295262838880782E-4</v>
      </c>
      <c r="E75" s="276">
        <f>IF('Ref-Data'!$Z$2="ON",VLOOKUP($A75,'MacroPD-Cal'!$A:$L,Y$1,FALSE),IF('Ref-Data'!$Z$5 = "Weighted",VLOOKUP($A75,'Model Output_TTC'!$A:$CB,Y$2,FALSE),IF('Ref-Data'!$Z$5="Baseline",VLOOKUP('Input PD LGD'!$A75,'Model Output_TTC'!$A:$AU,'Input PD LGD'!Y$4,FALSE),IF('Ref-Data'!$Z$5="90th Percentile",VLOOKUP('Input PD LGD'!$A75,'Model Output_TTC'!$A:$BP,'Input PD LGD'!Y$6,FALSE),IF('Ref-Data'!$Z$5="96th Percentile",VLOOKUP('Input PD LGD'!$A75,'Model Output_TTC'!$A:$Z,'Input PD LGD'!Y$8,FALSE),"")))))</f>
        <v>1.1078858782956891E-3</v>
      </c>
      <c r="F75" s="276">
        <f>IF('Ref-Data'!$Z$2="ON",VLOOKUP($A75,'MacroPD-Cal'!$A:$L,Z$1,FALSE),IF('Ref-Data'!$Z$5 = "Weighted",VLOOKUP($A75,'Model Output_TTC'!$A:$CB,Z$2,FALSE),IF('Ref-Data'!$Z$5="Baseline",VLOOKUP('Input PD LGD'!$A75,'Model Output_TTC'!$A:$AU,'Input PD LGD'!Z$4,FALSE),IF('Ref-Data'!$Z$5="90th Percentile",VLOOKUP('Input PD LGD'!$A75,'Model Output_TTC'!$A:$BP,'Input PD LGD'!Z$6,FALSE),IF('Ref-Data'!$Z$5="96th Percentile",VLOOKUP('Input PD LGD'!$A75,'Model Output_TTC'!$A:$Z,'Input PD LGD'!Z$8,FALSE),"")))))</f>
        <v>1.8602802571872079E-3</v>
      </c>
      <c r="G75" s="276">
        <f>IF('Ref-Data'!$Z$2="ON",VLOOKUP($A75,'MacroPD-Cal'!$A:$L,AA$1,FALSE),IF('Ref-Data'!$Z$5 = "Weighted",VLOOKUP($A75,'Model Output_TTC'!$A:$CB,AA$2,FALSE),IF('Ref-Data'!$Z$5="Baseline",VLOOKUP('Input PD LGD'!$A75,'Model Output_TTC'!$A:$AU,'Input PD LGD'!AA$4,FALSE),IF('Ref-Data'!$Z$5="90th Percentile",VLOOKUP('Input PD LGD'!$A75,'Model Output_TTC'!$A:$BP,'Input PD LGD'!AA$6,FALSE),IF('Ref-Data'!$Z$5="96th Percentile",VLOOKUP('Input PD LGD'!$A75,'Model Output_TTC'!$A:$Z,'Input PD LGD'!AA$8,FALSE),"")))))</f>
        <v>2.8E-3</v>
      </c>
      <c r="H75" s="276">
        <f>IF('Ref-Data'!$Z$2="ON",VLOOKUP($A75,'MacroPD-Cal'!$A:$L,AB$1,FALSE),IF('Ref-Data'!$Z$5 = "Weighted",VLOOKUP($A75,'Model Output_TTC'!$A:$CB,AB$2,FALSE),IF('Ref-Data'!$Z$5="Baseline",VLOOKUP('Input PD LGD'!$A75,'Model Output_TTC'!$A:$AU,'Input PD LGD'!AB$4,FALSE),IF('Ref-Data'!$Z$5="90th Percentile",VLOOKUP('Input PD LGD'!$A75,'Model Output_TTC'!$A:$BP,'Input PD LGD'!AB$6,FALSE),IF('Ref-Data'!$Z$5="96th Percentile",VLOOKUP('Input PD LGD'!$A75,'Model Output_TTC'!$A:$Z,'Input PD LGD'!AB$8,FALSE),"")))))</f>
        <v>4.3E-3</v>
      </c>
      <c r="I75" s="276">
        <f>IF('Ref-Data'!$Z$2="ON",VLOOKUP($A75,'MacroPD-Cal'!$A:$L,AC$1,FALSE),IF('Ref-Data'!$Z$5 = "Weighted",VLOOKUP($A75,'Model Output_TTC'!$A:$CB,AC$2,FALSE),IF('Ref-Data'!$Z$5="Baseline",VLOOKUP('Input PD LGD'!$A75,'Model Output_TTC'!$A:$AU,'Input PD LGD'!AC$4,FALSE),IF('Ref-Data'!$Z$5="90th Percentile",VLOOKUP('Input PD LGD'!$A75,'Model Output_TTC'!$A:$BP,'Input PD LGD'!AC$6,FALSE),IF('Ref-Data'!$Z$5="96th Percentile",VLOOKUP('Input PD LGD'!$A75,'Model Output_TTC'!$A:$Z,'Input PD LGD'!AC$8,FALSE),"")))))</f>
        <v>5.1000000000000004E-3</v>
      </c>
      <c r="J75" s="276">
        <f>IF('Ref-Data'!$Z$2="ON",VLOOKUP($A75,'MacroPD-Cal'!$A:$L,AD$1,FALSE),IF('Ref-Data'!$Z$5 = "Weighted",VLOOKUP($A75,'Model Output_TTC'!$A:$CB,AD$2,FALSE),IF('Ref-Data'!$Z$5="Baseline",VLOOKUP('Input PD LGD'!$A75,'Model Output_TTC'!$A:$AU,'Input PD LGD'!AD$4,FALSE),IF('Ref-Data'!$Z$5="90th Percentile",VLOOKUP('Input PD LGD'!$A75,'Model Output_TTC'!$A:$BP,'Input PD LGD'!AD$6,FALSE),IF('Ref-Data'!$Z$5="96th Percentile",VLOOKUP('Input PD LGD'!$A75,'Model Output_TTC'!$A:$Z,'Input PD LGD'!AD$8,FALSE),"")))))</f>
        <v>7.7000000000000002E-3</v>
      </c>
      <c r="K75" s="276">
        <f>IF('Ref-Data'!$Z$2="ON",VLOOKUP($A75,'MacroPD-Cal'!$A:$L,AE$1,FALSE),IF('Ref-Data'!$Z$5 = "Weighted",VLOOKUP($A75,'Model Output_TTC'!$A:$CB,AE$2,FALSE),IF('Ref-Data'!$Z$5="Baseline",VLOOKUP('Input PD LGD'!$A75,'Model Output_TTC'!$A:$AU,'Input PD LGD'!AE$4,FALSE),IF('Ref-Data'!$Z$5="90th Percentile",VLOOKUP('Input PD LGD'!$A75,'Model Output_TTC'!$A:$BP,'Input PD LGD'!AE$6,FALSE),IF('Ref-Data'!$Z$5="96th Percentile",VLOOKUP('Input PD LGD'!$A75,'Model Output_TTC'!$A:$Z,'Input PD LGD'!AE$8,FALSE),"")))))</f>
        <v>1.0500000000000001E-2</v>
      </c>
      <c r="L75" s="274">
        <f>VLOOKUP(A75,'Ref-Data'!$A:$N,14,0)</f>
        <v>0.15</v>
      </c>
      <c r="M75" s="354">
        <f>VLOOKUP(A75,'Ref-Data'!A:I,9,0)</f>
        <v>1</v>
      </c>
      <c r="N75" s="354" t="s">
        <v>1156</v>
      </c>
    </row>
    <row r="76" spans="1:20" x14ac:dyDescent="0.25">
      <c r="A76" s="354">
        <v>1100000226</v>
      </c>
      <c r="B76" s="277" t="str">
        <f>INDEX('Loan Book Summary'!B:C,MATCH('Input PD LGD'!A76,'Loan Book Summary'!C:C,0),1)</f>
        <v>T14H Guernsey Limited - Business Trading Facility - Topland</v>
      </c>
      <c r="C76" s="400">
        <f>VLOOKUP(A76,Reference_Rate_Repricing_Report!B:P,15,FALSE)</f>
        <v>5.5</v>
      </c>
      <c r="D76" s="276">
        <f>IF('Ref-Data'!$Z$2="ON",VLOOKUP($A76,'MacroPD-Cal'!$A:$L,X$1,FALSE),IF('Ref-Data'!$Z$5 = "Weighted",VLOOKUP($A76,'Model Output_TTC'!$A:$CB,X$2,FALSE),IF('Ref-Data'!$Z$5="Baseline",VLOOKUP('Input PD LGD'!$A76,'Model Output_TTC'!$A:$AU,'Input PD LGD'!X$4,FALSE),IF('Ref-Data'!$Z$5="90th Percentile",VLOOKUP('Input PD LGD'!$A76,'Model Output_TTC'!$A:$BP,'Input PD LGD'!X$6,FALSE),IF('Ref-Data'!$Z$5="96th Percentile",VLOOKUP('Input PD LGD'!$A76,'Model Output_TTC'!$A:$Z,'Input PD LGD'!X$8,FALSE),"")))))</f>
        <v>4.1461660858590921E-3</v>
      </c>
      <c r="E76" s="276">
        <f>IF('Ref-Data'!$Z$2="ON",VLOOKUP($A76,'MacroPD-Cal'!$A:$L,Y$1,FALSE),IF('Ref-Data'!$Z$5 = "Weighted",VLOOKUP($A76,'Model Output_TTC'!$A:$CB,Y$2,FALSE),IF('Ref-Data'!$Z$5="Baseline",VLOOKUP('Input PD LGD'!$A76,'Model Output_TTC'!$A:$AU,'Input PD LGD'!Y$4,FALSE),IF('Ref-Data'!$Z$5="90th Percentile",VLOOKUP('Input PD LGD'!$A76,'Model Output_TTC'!$A:$BP,'Input PD LGD'!Y$6,FALSE),IF('Ref-Data'!$Z$5="96th Percentile",VLOOKUP('Input PD LGD'!$A76,'Model Output_TTC'!$A:$Z,'Input PD LGD'!Y$8,FALSE),"")))))</f>
        <v>9.5734301230536722E-3</v>
      </c>
      <c r="F76" s="276">
        <f>IF('Ref-Data'!$Z$2="ON",VLOOKUP($A76,'MacroPD-Cal'!$A:$L,Z$1,FALSE),IF('Ref-Data'!$Z$5 = "Weighted",VLOOKUP($A76,'Model Output_TTC'!$A:$CB,Z$2,FALSE),IF('Ref-Data'!$Z$5="Baseline",VLOOKUP('Input PD LGD'!$A76,'Model Output_TTC'!$A:$AU,'Input PD LGD'!Z$4,FALSE),IF('Ref-Data'!$Z$5="90th Percentile",VLOOKUP('Input PD LGD'!$A76,'Model Output_TTC'!$A:$BP,'Input PD LGD'!Z$6,FALSE),IF('Ref-Data'!$Z$5="96th Percentile",VLOOKUP('Input PD LGD'!$A76,'Model Output_TTC'!$A:$Z,'Input PD LGD'!Z$8,FALSE),"")))))</f>
        <v>1.5702118542660126E-2</v>
      </c>
      <c r="G76" s="276">
        <f>IF('Ref-Data'!$Z$2="ON",VLOOKUP($A76,'MacroPD-Cal'!$A:$L,AA$1,FALSE),IF('Ref-Data'!$Z$5 = "Weighted",VLOOKUP($A76,'Model Output_TTC'!$A:$CB,AA$2,FALSE),IF('Ref-Data'!$Z$5="Baseline",VLOOKUP('Input PD LGD'!$A76,'Model Output_TTC'!$A:$AU,'Input PD LGD'!AA$4,FALSE),IF('Ref-Data'!$Z$5="90th Percentile",VLOOKUP('Input PD LGD'!$A76,'Model Output_TTC'!$A:$BP,'Input PD LGD'!AA$6,FALSE),IF('Ref-Data'!$Z$5="96th Percentile",VLOOKUP('Input PD LGD'!$A76,'Model Output_TTC'!$A:$Z,'Input PD LGD'!AA$8,FALSE),"")))))</f>
        <v>2.35E-2</v>
      </c>
      <c r="H76" s="276">
        <f>IF('Ref-Data'!$Z$2="ON",VLOOKUP($A76,'MacroPD-Cal'!$A:$L,AB$1,FALSE),IF('Ref-Data'!$Z$5 = "Weighted",VLOOKUP($A76,'Model Output_TTC'!$A:$CB,AB$2,FALSE),IF('Ref-Data'!$Z$5="Baseline",VLOOKUP('Input PD LGD'!$A76,'Model Output_TTC'!$A:$AU,'Input PD LGD'!AB$4,FALSE),IF('Ref-Data'!$Z$5="90th Percentile",VLOOKUP('Input PD LGD'!$A76,'Model Output_TTC'!$A:$BP,'Input PD LGD'!AB$6,FALSE),IF('Ref-Data'!$Z$5="96th Percentile",VLOOKUP('Input PD LGD'!$A76,'Model Output_TTC'!$A:$Z,'Input PD LGD'!AB$8,FALSE),"")))))</f>
        <v>3.4200000000000001E-2</v>
      </c>
      <c r="I76" s="276">
        <f>IF('Ref-Data'!$Z$2="ON",VLOOKUP($A76,'MacroPD-Cal'!$A:$L,AC$1,FALSE),IF('Ref-Data'!$Z$5 = "Weighted",VLOOKUP($A76,'Model Output_TTC'!$A:$CB,AC$2,FALSE),IF('Ref-Data'!$Z$5="Baseline",VLOOKUP('Input PD LGD'!$A76,'Model Output_TTC'!$A:$AU,'Input PD LGD'!AC$4,FALSE),IF('Ref-Data'!$Z$5="90th Percentile",VLOOKUP('Input PD LGD'!$A76,'Model Output_TTC'!$A:$BP,'Input PD LGD'!AC$6,FALSE),IF('Ref-Data'!$Z$5="96th Percentile",VLOOKUP('Input PD LGD'!$A76,'Model Output_TTC'!$A:$Z,'Input PD LGD'!AC$8,FALSE),"")))))</f>
        <v>0.04</v>
      </c>
      <c r="J76" s="276">
        <f>IF('Ref-Data'!$Z$2="ON",VLOOKUP($A76,'MacroPD-Cal'!$A:$L,AD$1,FALSE),IF('Ref-Data'!$Z$5 = "Weighted",VLOOKUP($A76,'Model Output_TTC'!$A:$CB,AD$2,FALSE),IF('Ref-Data'!$Z$5="Baseline",VLOOKUP('Input PD LGD'!$A76,'Model Output_TTC'!$A:$AU,'Input PD LGD'!AD$4,FALSE),IF('Ref-Data'!$Z$5="90th Percentile",VLOOKUP('Input PD LGD'!$A76,'Model Output_TTC'!$A:$BP,'Input PD LGD'!AD$6,FALSE),IF('Ref-Data'!$Z$5="96th Percentile",VLOOKUP('Input PD LGD'!$A76,'Model Output_TTC'!$A:$Z,'Input PD LGD'!AD$8,FALSE),"")))))</f>
        <v>5.2600000000000001E-2</v>
      </c>
      <c r="K76" s="276">
        <f>IF('Ref-Data'!$Z$2="ON",VLOOKUP($A76,'MacroPD-Cal'!$A:$L,AE$1,FALSE),IF('Ref-Data'!$Z$5 = "Weighted",VLOOKUP($A76,'Model Output_TTC'!$A:$CB,AE$2,FALSE),IF('Ref-Data'!$Z$5="Baseline",VLOOKUP('Input PD LGD'!$A76,'Model Output_TTC'!$A:$AU,'Input PD LGD'!AE$4,FALSE),IF('Ref-Data'!$Z$5="90th Percentile",VLOOKUP('Input PD LGD'!$A76,'Model Output_TTC'!$A:$BP,'Input PD LGD'!AE$6,FALSE),IF('Ref-Data'!$Z$5="96th Percentile",VLOOKUP('Input PD LGD'!$A76,'Model Output_TTC'!$A:$Z,'Input PD LGD'!AE$8,FALSE),"")))))</f>
        <v>6.4799999999999996E-2</v>
      </c>
      <c r="L76" s="274">
        <f>VLOOKUP(A76,'Ref-Data'!$A:$N,14,0)</f>
        <v>0.1</v>
      </c>
      <c r="M76" s="354">
        <f>VLOOKUP(A76,'Ref-Data'!A:I,9,0)</f>
        <v>1</v>
      </c>
      <c r="N76" s="354" t="s">
        <v>1156</v>
      </c>
    </row>
    <row r="77" spans="1:20" x14ac:dyDescent="0.25">
      <c r="A77" s="354">
        <v>1300000001</v>
      </c>
      <c r="B77" s="277" t="str">
        <f>INDEX('Loan Book Summary'!B:C,MATCH('Input PD LGD'!A77,'Loan Book Summary'!C:C,0),1)</f>
        <v>Z Hotels Holdco - Z Cha Holdco - Business Trading - Charing Cross - Invest. RLS</v>
      </c>
      <c r="C77" s="400">
        <f>VLOOKUP(A77,Reference_Rate_Repricing_Report!B:P,15,FALSE)</f>
        <v>6.87</v>
      </c>
      <c r="D77" s="276">
        <f>IF('Ref-Data'!$Z$2="ON",VLOOKUP($A77,'MacroPD-Cal'!$A:$L,X$1,FALSE),IF('Ref-Data'!$Z$5 = "Weighted",VLOOKUP($A77,'Model Output_TTC'!$A:$CB,X$2,FALSE),IF('Ref-Data'!$Z$5="Baseline",VLOOKUP('Input PD LGD'!$A77,'Model Output_TTC'!$A:$AU,'Input PD LGD'!X$4,FALSE),IF('Ref-Data'!$Z$5="90th Percentile",VLOOKUP('Input PD LGD'!$A77,'Model Output_TTC'!$A:$BP,'Input PD LGD'!X$6,FALSE),IF('Ref-Data'!$Z$5="96th Percentile",VLOOKUP('Input PD LGD'!$A77,'Model Output_TTC'!$A:$Z,'Input PD LGD'!X$8,FALSE),"")))))</f>
        <v>2.5522499619300774E-2</v>
      </c>
      <c r="E77" s="276">
        <f>IF('Ref-Data'!$Z$2="ON",VLOOKUP($A77,'MacroPD-Cal'!$A:$L,Y$1,FALSE),IF('Ref-Data'!$Z$5 = "Weighted",VLOOKUP($A77,'Model Output_TTC'!$A:$CB,Y$2,FALSE),IF('Ref-Data'!$Z$5="Baseline",VLOOKUP('Input PD LGD'!$A77,'Model Output_TTC'!$A:$AU,'Input PD LGD'!Y$4,FALSE),IF('Ref-Data'!$Z$5="90th Percentile",VLOOKUP('Input PD LGD'!$A77,'Model Output_TTC'!$A:$BP,'Input PD LGD'!Y$6,FALSE),IF('Ref-Data'!$Z$5="96th Percentile",VLOOKUP('Input PD LGD'!$A77,'Model Output_TTC'!$A:$Z,'Input PD LGD'!Y$8,FALSE),"")))))</f>
        <v>5.6365334901311459E-2</v>
      </c>
      <c r="F77" s="276">
        <f>IF('Ref-Data'!$Z$2="ON",VLOOKUP($A77,'MacroPD-Cal'!$A:$L,Z$1,FALSE),IF('Ref-Data'!$Z$5 = "Weighted",VLOOKUP($A77,'Model Output_TTC'!$A:$CB,Z$2,FALSE),IF('Ref-Data'!$Z$5="Baseline",VLOOKUP('Input PD LGD'!$A77,'Model Output_TTC'!$A:$AU,'Input PD LGD'!Z$4,FALSE),IF('Ref-Data'!$Z$5="90th Percentile",VLOOKUP('Input PD LGD'!$A77,'Model Output_TTC'!$A:$BP,'Input PD LGD'!Z$6,FALSE),IF('Ref-Data'!$Z$5="96th Percentile",VLOOKUP('Input PD LGD'!$A77,'Model Output_TTC'!$A:$Z,'Input PD LGD'!Z$8,FALSE),"")))))</f>
        <v>8.9355863861766638E-2</v>
      </c>
      <c r="G77" s="276">
        <f>IF('Ref-Data'!$Z$2="ON",VLOOKUP($A77,'MacroPD-Cal'!$A:$L,AA$1,FALSE),IF('Ref-Data'!$Z$5 = "Weighted",VLOOKUP($A77,'Model Output_TTC'!$A:$CB,AA$2,FALSE),IF('Ref-Data'!$Z$5="Baseline",VLOOKUP('Input PD LGD'!$A77,'Model Output_TTC'!$A:$AU,'Input PD LGD'!AA$4,FALSE),IF('Ref-Data'!$Z$5="90th Percentile",VLOOKUP('Input PD LGD'!$A77,'Model Output_TTC'!$A:$BP,'Input PD LGD'!AA$6,FALSE),IF('Ref-Data'!$Z$5="96th Percentile",VLOOKUP('Input PD LGD'!$A77,'Model Output_TTC'!$A:$Z,'Input PD LGD'!AA$8,FALSE),"")))))</f>
        <v>0.1283</v>
      </c>
      <c r="H77" s="276">
        <f>IF('Ref-Data'!$Z$2="ON",VLOOKUP($A77,'MacroPD-Cal'!$A:$L,AB$1,FALSE),IF('Ref-Data'!$Z$5 = "Weighted",VLOOKUP($A77,'Model Output_TTC'!$A:$CB,AB$2,FALSE),IF('Ref-Data'!$Z$5="Baseline",VLOOKUP('Input PD LGD'!$A77,'Model Output_TTC'!$A:$AU,'Input PD LGD'!AB$4,FALSE),IF('Ref-Data'!$Z$5="90th Percentile",VLOOKUP('Input PD LGD'!$A77,'Model Output_TTC'!$A:$BP,'Input PD LGD'!AB$6,FALSE),IF('Ref-Data'!$Z$5="96th Percentile",VLOOKUP('Input PD LGD'!$A77,'Model Output_TTC'!$A:$Z,'Input PD LGD'!AB$8,FALSE),"")))))</f>
        <v>0.1852</v>
      </c>
      <c r="I77" s="276">
        <f>IF('Ref-Data'!$Z$2="ON",VLOOKUP($A77,'MacroPD-Cal'!$A:$L,AC$1,FALSE),IF('Ref-Data'!$Z$5 = "Weighted",VLOOKUP($A77,'Model Output_TTC'!$A:$CB,AC$2,FALSE),IF('Ref-Data'!$Z$5="Baseline",VLOOKUP('Input PD LGD'!$A77,'Model Output_TTC'!$A:$AU,'Input PD LGD'!AC$4,FALSE),IF('Ref-Data'!$Z$5="90th Percentile",VLOOKUP('Input PD LGD'!$A77,'Model Output_TTC'!$A:$BP,'Input PD LGD'!AC$6,FALSE),IF('Ref-Data'!$Z$5="96th Percentile",VLOOKUP('Input PD LGD'!$A77,'Model Output_TTC'!$A:$Z,'Input PD LGD'!AC$8,FALSE),"")))))</f>
        <v>0.21690000000000001</v>
      </c>
      <c r="J77" s="276">
        <f>IF('Ref-Data'!$Z$2="ON",VLOOKUP($A77,'MacroPD-Cal'!$A:$L,AD$1,FALSE),IF('Ref-Data'!$Z$5 = "Weighted",VLOOKUP($A77,'Model Output_TTC'!$A:$CB,AD$2,FALSE),IF('Ref-Data'!$Z$5="Baseline",VLOOKUP('Input PD LGD'!$A77,'Model Output_TTC'!$A:$AU,'Input PD LGD'!AD$4,FALSE),IF('Ref-Data'!$Z$5="90th Percentile",VLOOKUP('Input PD LGD'!$A77,'Model Output_TTC'!$A:$BP,'Input PD LGD'!AD$6,FALSE),IF('Ref-Data'!$Z$5="96th Percentile",VLOOKUP('Input PD LGD'!$A77,'Model Output_TTC'!$A:$Z,'Input PD LGD'!AD$8,FALSE),"")))))</f>
        <v>0.26940000000000003</v>
      </c>
      <c r="K77" s="276">
        <f>IF('Ref-Data'!$Z$2="ON",VLOOKUP($A77,'MacroPD-Cal'!$A:$L,AE$1,FALSE),IF('Ref-Data'!$Z$5 = "Weighted",VLOOKUP($A77,'Model Output_TTC'!$A:$CB,AE$2,FALSE),IF('Ref-Data'!$Z$5="Baseline",VLOOKUP('Input PD LGD'!$A77,'Model Output_TTC'!$A:$AU,'Input PD LGD'!AE$4,FALSE),IF('Ref-Data'!$Z$5="90th Percentile",VLOOKUP('Input PD LGD'!$A77,'Model Output_TTC'!$A:$BP,'Input PD LGD'!AE$6,FALSE),IF('Ref-Data'!$Z$5="96th Percentile",VLOOKUP('Input PD LGD'!$A77,'Model Output_TTC'!$A:$Z,'Input PD LGD'!AE$8,FALSE),"")))))</f>
        <v>0.31620000000000004</v>
      </c>
      <c r="L77" s="274">
        <f>VLOOKUP(A77,'Ref-Data'!$A:$N,14,0)</f>
        <v>0.1613</v>
      </c>
      <c r="M77" s="354">
        <f>VLOOKUP(A77,'Ref-Data'!A:I,9,0)</f>
        <v>1</v>
      </c>
      <c r="N77" s="354" t="s">
        <v>1156</v>
      </c>
    </row>
    <row r="78" spans="1:20" x14ac:dyDescent="0.25">
      <c r="A78" s="354">
        <v>1100000234</v>
      </c>
      <c r="B78" s="277" t="str">
        <f>INDEX('Loan Book Summary'!B:C,MATCH('Input PD LGD'!A78,'Loan Book Summary'!C:C,0),1)</f>
        <v>M&amp;E Mills Limited - Business Trading Facility - Term Loan</v>
      </c>
      <c r="C78" s="400">
        <f>VLOOKUP(A78,Reference_Rate_Repricing_Report!B:P,15,FALSE)</f>
        <v>6.25</v>
      </c>
      <c r="D78" s="276">
        <f>IF('Ref-Data'!$Z$2="ON",VLOOKUP($A78,'MacroPD-Cal'!$A:$L,X$1,FALSE),IF('Ref-Data'!$Z$5 = "Weighted",VLOOKUP($A78,'Model Output_TTC'!$A:$CB,X$2,FALSE),IF('Ref-Data'!$Z$5="Baseline",VLOOKUP('Input PD LGD'!$A78,'Model Output_TTC'!$A:$AU,'Input PD LGD'!X$4,FALSE),IF('Ref-Data'!$Z$5="90th Percentile",VLOOKUP('Input PD LGD'!$A78,'Model Output_TTC'!$A:$BP,'Input PD LGD'!X$6,FALSE),IF('Ref-Data'!$Z$5="96th Percentile",VLOOKUP('Input PD LGD'!$A78,'Model Output_TTC'!$A:$Z,'Input PD LGD'!X$8,FALSE),"")))))</f>
        <v>7.5443478799107203E-4</v>
      </c>
      <c r="E78" s="276">
        <f>IF('Ref-Data'!$Z$2="ON",VLOOKUP($A78,'MacroPD-Cal'!$A:$L,Y$1,FALSE),IF('Ref-Data'!$Z$5 = "Weighted",VLOOKUP($A78,'Model Output_TTC'!$A:$CB,Y$2,FALSE),IF('Ref-Data'!$Z$5="Baseline",VLOOKUP('Input PD LGD'!$A78,'Model Output_TTC'!$A:$AU,'Input PD LGD'!Y$4,FALSE),IF('Ref-Data'!$Z$5="90th Percentile",VLOOKUP('Input PD LGD'!$A78,'Model Output_TTC'!$A:$BP,'Input PD LGD'!Y$6,FALSE),IF('Ref-Data'!$Z$5="96th Percentile",VLOOKUP('Input PD LGD'!$A78,'Model Output_TTC'!$A:$Z,'Input PD LGD'!Y$8,FALSE),"")))))</f>
        <v>1.7923424326365955E-3</v>
      </c>
      <c r="F78" s="276">
        <f>IF('Ref-Data'!$Z$2="ON",VLOOKUP($A78,'MacroPD-Cal'!$A:$L,Z$1,FALSE),IF('Ref-Data'!$Z$5 = "Weighted",VLOOKUP($A78,'Model Output_TTC'!$A:$CB,Z$2,FALSE),IF('Ref-Data'!$Z$5="Baseline",VLOOKUP('Input PD LGD'!$A78,'Model Output_TTC'!$A:$AU,'Input PD LGD'!Z$4,FALSE),IF('Ref-Data'!$Z$5="90th Percentile",VLOOKUP('Input PD LGD'!$A78,'Model Output_TTC'!$A:$BP,'Input PD LGD'!Z$6,FALSE),IF('Ref-Data'!$Z$5="96th Percentile",VLOOKUP('Input PD LGD'!$A78,'Model Output_TTC'!$A:$Z,'Input PD LGD'!Z$8,FALSE),"")))))</f>
        <v>2.9957145545816966E-3</v>
      </c>
      <c r="G78" s="276">
        <f>IF('Ref-Data'!$Z$2="ON",VLOOKUP($A78,'MacroPD-Cal'!$A:$L,AA$1,FALSE),IF('Ref-Data'!$Z$5 = "Weighted",VLOOKUP($A78,'Model Output_TTC'!$A:$CB,AA$2,FALSE),IF('Ref-Data'!$Z$5="Baseline",VLOOKUP('Input PD LGD'!$A78,'Model Output_TTC'!$A:$AU,'Input PD LGD'!AA$4,FALSE),IF('Ref-Data'!$Z$5="90th Percentile",VLOOKUP('Input PD LGD'!$A78,'Model Output_TTC'!$A:$BP,'Input PD LGD'!AA$6,FALSE),IF('Ref-Data'!$Z$5="96th Percentile",VLOOKUP('Input PD LGD'!$A78,'Model Output_TTC'!$A:$Z,'Input PD LGD'!AA$8,FALSE),"")))))</f>
        <v>4.5999999999999999E-3</v>
      </c>
      <c r="H78" s="276">
        <f>IF('Ref-Data'!$Z$2="ON",VLOOKUP($A78,'MacroPD-Cal'!$A:$L,AB$1,FALSE),IF('Ref-Data'!$Z$5 = "Weighted",VLOOKUP($A78,'Model Output_TTC'!$A:$CB,AB$2,FALSE),IF('Ref-Data'!$Z$5="Baseline",VLOOKUP('Input PD LGD'!$A78,'Model Output_TTC'!$A:$AU,'Input PD LGD'!AB$4,FALSE),IF('Ref-Data'!$Z$5="90th Percentile",VLOOKUP('Input PD LGD'!$A78,'Model Output_TTC'!$A:$BP,'Input PD LGD'!AB$6,FALSE),IF('Ref-Data'!$Z$5="96th Percentile",VLOOKUP('Input PD LGD'!$A78,'Model Output_TTC'!$A:$Z,'Input PD LGD'!AB$8,FALSE),"")))))</f>
        <v>7.2000000000000007E-3</v>
      </c>
      <c r="I78" s="276">
        <f>IF('Ref-Data'!$Z$2="ON",VLOOKUP($A78,'MacroPD-Cal'!$A:$L,AC$1,FALSE),IF('Ref-Data'!$Z$5 = "Weighted",VLOOKUP($A78,'Model Output_TTC'!$A:$CB,AC$2,FALSE),IF('Ref-Data'!$Z$5="Baseline",VLOOKUP('Input PD LGD'!$A78,'Model Output_TTC'!$A:$AU,'Input PD LGD'!AC$4,FALSE),IF('Ref-Data'!$Z$5="90th Percentile",VLOOKUP('Input PD LGD'!$A78,'Model Output_TTC'!$A:$BP,'Input PD LGD'!AC$6,FALSE),IF('Ref-Data'!$Z$5="96th Percentile",VLOOKUP('Input PD LGD'!$A78,'Model Output_TTC'!$A:$Z,'Input PD LGD'!AC$8,FALSE),"")))))</f>
        <v>8.8999999999999999E-3</v>
      </c>
      <c r="J78" s="276">
        <f>IF('Ref-Data'!$Z$2="ON",VLOOKUP($A78,'MacroPD-Cal'!$A:$L,AD$1,FALSE),IF('Ref-Data'!$Z$5 = "Weighted",VLOOKUP($A78,'Model Output_TTC'!$A:$CB,AD$2,FALSE),IF('Ref-Data'!$Z$5="Baseline",VLOOKUP('Input PD LGD'!$A78,'Model Output_TTC'!$A:$AU,'Input PD LGD'!AD$4,FALSE),IF('Ref-Data'!$Z$5="90th Percentile",VLOOKUP('Input PD LGD'!$A78,'Model Output_TTC'!$A:$BP,'Input PD LGD'!AD$6,FALSE),IF('Ref-Data'!$Z$5="96th Percentile",VLOOKUP('Input PD LGD'!$A78,'Model Output_TTC'!$A:$Z,'Input PD LGD'!AD$8,FALSE),"")))))</f>
        <v>1.37E-2</v>
      </c>
      <c r="K78" s="276">
        <f>IF('Ref-Data'!$Z$2="ON",VLOOKUP($A78,'MacroPD-Cal'!$A:$L,AE$1,FALSE),IF('Ref-Data'!$Z$5 = "Weighted",VLOOKUP($A78,'Model Output_TTC'!$A:$CB,AE$2,FALSE),IF('Ref-Data'!$Z$5="Baseline",VLOOKUP('Input PD LGD'!$A78,'Model Output_TTC'!$A:$AU,'Input PD LGD'!AE$4,FALSE),IF('Ref-Data'!$Z$5="90th Percentile",VLOOKUP('Input PD LGD'!$A78,'Model Output_TTC'!$A:$BP,'Input PD LGD'!AE$6,FALSE),IF('Ref-Data'!$Z$5="96th Percentile",VLOOKUP('Input PD LGD'!$A78,'Model Output_TTC'!$A:$Z,'Input PD LGD'!AE$8,FALSE),"")))))</f>
        <v>1.9E-2</v>
      </c>
      <c r="L78" s="274">
        <f>VLOOKUP(A78,'Ref-Data'!$A:$N,14,0)</f>
        <v>0.45</v>
      </c>
      <c r="M78" s="354">
        <f>VLOOKUP(A78,'Ref-Data'!A:I,9,0)</f>
        <v>1</v>
      </c>
      <c r="N78" s="354" t="s">
        <v>1156</v>
      </c>
    </row>
    <row r="79" spans="1:20" x14ac:dyDescent="0.25">
      <c r="A79" s="354">
        <v>1100000233</v>
      </c>
      <c r="B79" s="277" t="str">
        <f>INDEX('Loan Book Summary'!B:C,MATCH('Input PD LGD'!A79,'Loan Book Summary'!C:C,0),1)</f>
        <v>M&amp;E Mills Limited -  Business Trading Facility  - RCF</v>
      </c>
      <c r="C79" s="400">
        <f>VLOOKUP(A79,Reference_Rate_Repricing_Report!B:P,15,FALSE)</f>
        <v>6.25</v>
      </c>
      <c r="D79" s="276">
        <f>IF('Ref-Data'!$Z$2="ON",VLOOKUP($A79,'MacroPD-Cal'!$A:$L,X$1,FALSE),IF('Ref-Data'!$Z$5 = "Weighted",VLOOKUP($A79,'Model Output_TTC'!$A:$CB,X$2,FALSE),IF('Ref-Data'!$Z$5="Baseline",VLOOKUP('Input PD LGD'!$A79,'Model Output_TTC'!$A:$AU,'Input PD LGD'!X$4,FALSE),IF('Ref-Data'!$Z$5="90th Percentile",VLOOKUP('Input PD LGD'!$A79,'Model Output_TTC'!$A:$BP,'Input PD LGD'!X$6,FALSE),IF('Ref-Data'!$Z$5="96th Percentile",VLOOKUP('Input PD LGD'!$A79,'Model Output_TTC'!$A:$Z,'Input PD LGD'!X$8,FALSE),"")))))</f>
        <v>7.5443478799107203E-4</v>
      </c>
      <c r="E79" s="276">
        <f>IF('Ref-Data'!$Z$2="ON",VLOOKUP($A79,'MacroPD-Cal'!$A:$L,Y$1,FALSE),IF('Ref-Data'!$Z$5 = "Weighted",VLOOKUP($A79,'Model Output_TTC'!$A:$CB,Y$2,FALSE),IF('Ref-Data'!$Z$5="Baseline",VLOOKUP('Input PD LGD'!$A79,'Model Output_TTC'!$A:$AU,'Input PD LGD'!Y$4,FALSE),IF('Ref-Data'!$Z$5="90th Percentile",VLOOKUP('Input PD LGD'!$A79,'Model Output_TTC'!$A:$BP,'Input PD LGD'!Y$6,FALSE),IF('Ref-Data'!$Z$5="96th Percentile",VLOOKUP('Input PD LGD'!$A79,'Model Output_TTC'!$A:$Z,'Input PD LGD'!Y$8,FALSE),"")))))</f>
        <v>1.7923424326365955E-3</v>
      </c>
      <c r="F79" s="276">
        <f>IF('Ref-Data'!$Z$2="ON",VLOOKUP($A79,'MacroPD-Cal'!$A:$L,Z$1,FALSE),IF('Ref-Data'!$Z$5 = "Weighted",VLOOKUP($A79,'Model Output_TTC'!$A:$CB,Z$2,FALSE),IF('Ref-Data'!$Z$5="Baseline",VLOOKUP('Input PD LGD'!$A79,'Model Output_TTC'!$A:$AU,'Input PD LGD'!Z$4,FALSE),IF('Ref-Data'!$Z$5="90th Percentile",VLOOKUP('Input PD LGD'!$A79,'Model Output_TTC'!$A:$BP,'Input PD LGD'!Z$6,FALSE),IF('Ref-Data'!$Z$5="96th Percentile",VLOOKUP('Input PD LGD'!$A79,'Model Output_TTC'!$A:$Z,'Input PD LGD'!Z$8,FALSE),"")))))</f>
        <v>2.9957145545816966E-3</v>
      </c>
      <c r="G79" s="276">
        <f>IF('Ref-Data'!$Z$2="ON",VLOOKUP($A79,'MacroPD-Cal'!$A:$L,AA$1,FALSE),IF('Ref-Data'!$Z$5 = "Weighted",VLOOKUP($A79,'Model Output_TTC'!$A:$CB,AA$2,FALSE),IF('Ref-Data'!$Z$5="Baseline",VLOOKUP('Input PD LGD'!$A79,'Model Output_TTC'!$A:$AU,'Input PD LGD'!AA$4,FALSE),IF('Ref-Data'!$Z$5="90th Percentile",VLOOKUP('Input PD LGD'!$A79,'Model Output_TTC'!$A:$BP,'Input PD LGD'!AA$6,FALSE),IF('Ref-Data'!$Z$5="96th Percentile",VLOOKUP('Input PD LGD'!$A79,'Model Output_TTC'!$A:$Z,'Input PD LGD'!AA$8,FALSE),"")))))</f>
        <v>4.5999999999999999E-3</v>
      </c>
      <c r="H79" s="276">
        <f>IF('Ref-Data'!$Z$2="ON",VLOOKUP($A79,'MacroPD-Cal'!$A:$L,AB$1,FALSE),IF('Ref-Data'!$Z$5 = "Weighted",VLOOKUP($A79,'Model Output_TTC'!$A:$CB,AB$2,FALSE),IF('Ref-Data'!$Z$5="Baseline",VLOOKUP('Input PD LGD'!$A79,'Model Output_TTC'!$A:$AU,'Input PD LGD'!AB$4,FALSE),IF('Ref-Data'!$Z$5="90th Percentile",VLOOKUP('Input PD LGD'!$A79,'Model Output_TTC'!$A:$BP,'Input PD LGD'!AB$6,FALSE),IF('Ref-Data'!$Z$5="96th Percentile",VLOOKUP('Input PD LGD'!$A79,'Model Output_TTC'!$A:$Z,'Input PD LGD'!AB$8,FALSE),"")))))</f>
        <v>7.2000000000000007E-3</v>
      </c>
      <c r="I79" s="276">
        <f>IF('Ref-Data'!$Z$2="ON",VLOOKUP($A79,'MacroPD-Cal'!$A:$L,AC$1,FALSE),IF('Ref-Data'!$Z$5 = "Weighted",VLOOKUP($A79,'Model Output_TTC'!$A:$CB,AC$2,FALSE),IF('Ref-Data'!$Z$5="Baseline",VLOOKUP('Input PD LGD'!$A79,'Model Output_TTC'!$A:$AU,'Input PD LGD'!AC$4,FALSE),IF('Ref-Data'!$Z$5="90th Percentile",VLOOKUP('Input PD LGD'!$A79,'Model Output_TTC'!$A:$BP,'Input PD LGD'!AC$6,FALSE),IF('Ref-Data'!$Z$5="96th Percentile",VLOOKUP('Input PD LGD'!$A79,'Model Output_TTC'!$A:$Z,'Input PD LGD'!AC$8,FALSE),"")))))</f>
        <v>8.8999999999999999E-3</v>
      </c>
      <c r="J79" s="276">
        <f>IF('Ref-Data'!$Z$2="ON",VLOOKUP($A79,'MacroPD-Cal'!$A:$L,AD$1,FALSE),IF('Ref-Data'!$Z$5 = "Weighted",VLOOKUP($A79,'Model Output_TTC'!$A:$CB,AD$2,FALSE),IF('Ref-Data'!$Z$5="Baseline",VLOOKUP('Input PD LGD'!$A79,'Model Output_TTC'!$A:$AU,'Input PD LGD'!AD$4,FALSE),IF('Ref-Data'!$Z$5="90th Percentile",VLOOKUP('Input PD LGD'!$A79,'Model Output_TTC'!$A:$BP,'Input PD LGD'!AD$6,FALSE),IF('Ref-Data'!$Z$5="96th Percentile",VLOOKUP('Input PD LGD'!$A79,'Model Output_TTC'!$A:$Z,'Input PD LGD'!AD$8,FALSE),"")))))</f>
        <v>1.37E-2</v>
      </c>
      <c r="K79" s="276">
        <f>IF('Ref-Data'!$Z$2="ON",VLOOKUP($A79,'MacroPD-Cal'!$A:$L,AE$1,FALSE),IF('Ref-Data'!$Z$5 = "Weighted",VLOOKUP($A79,'Model Output_TTC'!$A:$CB,AE$2,FALSE),IF('Ref-Data'!$Z$5="Baseline",VLOOKUP('Input PD LGD'!$A79,'Model Output_TTC'!$A:$AU,'Input PD LGD'!AE$4,FALSE),IF('Ref-Data'!$Z$5="90th Percentile",VLOOKUP('Input PD LGD'!$A79,'Model Output_TTC'!$A:$BP,'Input PD LGD'!AE$6,FALSE),IF('Ref-Data'!$Z$5="96th Percentile",VLOOKUP('Input PD LGD'!$A79,'Model Output_TTC'!$A:$Z,'Input PD LGD'!AE$8,FALSE),"")))))</f>
        <v>1.9E-2</v>
      </c>
      <c r="L79" s="274">
        <f>VLOOKUP(A79,'Ref-Data'!$A:$N,14,0)</f>
        <v>0.45</v>
      </c>
      <c r="M79" s="354">
        <f>VLOOKUP(A79,'Ref-Data'!A:I,9,0)</f>
        <v>1</v>
      </c>
      <c r="N79" s="354" t="s">
        <v>1156</v>
      </c>
    </row>
    <row r="80" spans="1:20" x14ac:dyDescent="0.25">
      <c r="A80" s="354">
        <v>1100000235</v>
      </c>
      <c r="B80" s="277" t="str">
        <f>INDEX('Loan Book Summary'!B:C,MATCH('Input PD LGD'!A80,'Loan Book Summary'!C:C,0),1)</f>
        <v>Melrose Education Limited - Business Trading Facility</v>
      </c>
      <c r="C80" s="400">
        <f>VLOOKUP(A80,Reference_Rate_Repricing_Report!B:P,15,FALSE)</f>
        <v>6.6</v>
      </c>
      <c r="D80" s="276">
        <f>IF('Ref-Data'!$Z$2="ON",VLOOKUP($A80,'MacroPD-Cal'!$A:$L,X$1,FALSE),IF('Ref-Data'!$Z$5 = "Weighted",VLOOKUP($A80,'Model Output_TTC'!$A:$CB,X$2,FALSE),IF('Ref-Data'!$Z$5="Baseline",VLOOKUP('Input PD LGD'!$A80,'Model Output_TTC'!$A:$AU,'Input PD LGD'!X$4,FALSE),IF('Ref-Data'!$Z$5="90th Percentile",VLOOKUP('Input PD LGD'!$A80,'Model Output_TTC'!$A:$BP,'Input PD LGD'!X$6,FALSE),IF('Ref-Data'!$Z$5="96th Percentile",VLOOKUP('Input PD LGD'!$A80,'Model Output_TTC'!$A:$Z,'Input PD LGD'!X$8,FALSE),"")))))</f>
        <v>4.3788111488077281E-3</v>
      </c>
      <c r="E80" s="276">
        <f>IF('Ref-Data'!$Z$2="ON",VLOOKUP($A80,'MacroPD-Cal'!$A:$L,Y$1,FALSE),IF('Ref-Data'!$Z$5 = "Weighted",VLOOKUP($A80,'Model Output_TTC'!$A:$CB,Y$2,FALSE),IF('Ref-Data'!$Z$5="Baseline",VLOOKUP('Input PD LGD'!$A80,'Model Output_TTC'!$A:$AU,'Input PD LGD'!Y$4,FALSE),IF('Ref-Data'!$Z$5="90th Percentile",VLOOKUP('Input PD LGD'!$A80,'Model Output_TTC'!$A:$BP,'Input PD LGD'!Y$6,FALSE),IF('Ref-Data'!$Z$5="96th Percentile",VLOOKUP('Input PD LGD'!$A80,'Model Output_TTC'!$A:$Z,'Input PD LGD'!Y$8,FALSE),"")))))</f>
        <v>1.010012821314632E-2</v>
      </c>
      <c r="F80" s="276">
        <f>IF('Ref-Data'!$Z$2="ON",VLOOKUP($A80,'MacroPD-Cal'!$A:$L,Z$1,FALSE),IF('Ref-Data'!$Z$5 = "Weighted",VLOOKUP($A80,'Model Output_TTC'!$A:$CB,Z$2,FALSE),IF('Ref-Data'!$Z$5="Baseline",VLOOKUP('Input PD LGD'!$A80,'Model Output_TTC'!$A:$AU,'Input PD LGD'!Z$4,FALSE),IF('Ref-Data'!$Z$5="90th Percentile",VLOOKUP('Input PD LGD'!$A80,'Model Output_TTC'!$A:$BP,'Input PD LGD'!Z$6,FALSE),IF('Ref-Data'!$Z$5="96th Percentile",VLOOKUP('Input PD LGD'!$A80,'Model Output_TTC'!$A:$Z,'Input PD LGD'!Z$8,FALSE),"")))))</f>
        <v>1.6554069361419788E-2</v>
      </c>
      <c r="G80" s="276">
        <f>IF('Ref-Data'!$Z$2="ON",VLOOKUP($A80,'MacroPD-Cal'!$A:$L,AA$1,FALSE),IF('Ref-Data'!$Z$5 = "Weighted",VLOOKUP($A80,'Model Output_TTC'!$A:$CB,AA$2,FALSE),IF('Ref-Data'!$Z$5="Baseline",VLOOKUP('Input PD LGD'!$A80,'Model Output_TTC'!$A:$AU,'Input PD LGD'!AA$4,FALSE),IF('Ref-Data'!$Z$5="90th Percentile",VLOOKUP('Input PD LGD'!$A80,'Model Output_TTC'!$A:$BP,'Input PD LGD'!AA$6,FALSE),IF('Ref-Data'!$Z$5="96th Percentile",VLOOKUP('Input PD LGD'!$A80,'Model Output_TTC'!$A:$Z,'Input PD LGD'!AA$8,FALSE),"")))))</f>
        <v>2.4800000000000003E-2</v>
      </c>
      <c r="H80" s="276">
        <f>IF('Ref-Data'!$Z$2="ON",VLOOKUP($A80,'MacroPD-Cal'!$A:$L,AB$1,FALSE),IF('Ref-Data'!$Z$5 = "Weighted",VLOOKUP($A80,'Model Output_TTC'!$A:$CB,AB$2,FALSE),IF('Ref-Data'!$Z$5="Baseline",VLOOKUP('Input PD LGD'!$A80,'Model Output_TTC'!$A:$AU,'Input PD LGD'!AB$4,FALSE),IF('Ref-Data'!$Z$5="90th Percentile",VLOOKUP('Input PD LGD'!$A80,'Model Output_TTC'!$A:$BP,'Input PD LGD'!AB$6,FALSE),IF('Ref-Data'!$Z$5="96th Percentile",VLOOKUP('Input PD LGD'!$A80,'Model Output_TTC'!$A:$Z,'Input PD LGD'!AB$8,FALSE),"")))))</f>
        <v>3.73E-2</v>
      </c>
      <c r="I80" s="276">
        <f>IF('Ref-Data'!$Z$2="ON",VLOOKUP($A80,'MacroPD-Cal'!$A:$L,AC$1,FALSE),IF('Ref-Data'!$Z$5 = "Weighted",VLOOKUP($A80,'Model Output_TTC'!$A:$CB,AC$2,FALSE),IF('Ref-Data'!$Z$5="Baseline",VLOOKUP('Input PD LGD'!$A80,'Model Output_TTC'!$A:$AU,'Input PD LGD'!AC$4,FALSE),IF('Ref-Data'!$Z$5="90th Percentile",VLOOKUP('Input PD LGD'!$A80,'Model Output_TTC'!$A:$BP,'Input PD LGD'!AC$6,FALSE),IF('Ref-Data'!$Z$5="96th Percentile",VLOOKUP('Input PD LGD'!$A80,'Model Output_TTC'!$A:$Z,'Input PD LGD'!AC$8,FALSE),"")))))</f>
        <v>4.4600000000000001E-2</v>
      </c>
      <c r="J80" s="276">
        <f>IF('Ref-Data'!$Z$2="ON",VLOOKUP($A80,'MacroPD-Cal'!$A:$L,AD$1,FALSE),IF('Ref-Data'!$Z$5 = "Weighted",VLOOKUP($A80,'Model Output_TTC'!$A:$CB,AD$2,FALSE),IF('Ref-Data'!$Z$5="Baseline",VLOOKUP('Input PD LGD'!$A80,'Model Output_TTC'!$A:$AU,'Input PD LGD'!AD$4,FALSE),IF('Ref-Data'!$Z$5="90th Percentile",VLOOKUP('Input PD LGD'!$A80,'Model Output_TTC'!$A:$BP,'Input PD LGD'!AD$6,FALSE),IF('Ref-Data'!$Z$5="96th Percentile",VLOOKUP('Input PD LGD'!$A80,'Model Output_TTC'!$A:$Z,'Input PD LGD'!AD$8,FALSE),"")))))</f>
        <v>6.0600000000000001E-2</v>
      </c>
      <c r="K80" s="276">
        <f>IF('Ref-Data'!$Z$2="ON",VLOOKUP($A80,'MacroPD-Cal'!$A:$L,AE$1,FALSE),IF('Ref-Data'!$Z$5 = "Weighted",VLOOKUP($A80,'Model Output_TTC'!$A:$CB,AE$2,FALSE),IF('Ref-Data'!$Z$5="Baseline",VLOOKUP('Input PD LGD'!$A80,'Model Output_TTC'!$A:$AU,'Input PD LGD'!AE$4,FALSE),IF('Ref-Data'!$Z$5="90th Percentile",VLOOKUP('Input PD LGD'!$A80,'Model Output_TTC'!$A:$BP,'Input PD LGD'!AE$6,FALSE),IF('Ref-Data'!$Z$5="96th Percentile",VLOOKUP('Input PD LGD'!$A80,'Model Output_TTC'!$A:$Z,'Input PD LGD'!AE$8,FALSE),"")))))</f>
        <v>7.6499999999999999E-2</v>
      </c>
      <c r="L80" s="274">
        <f>VLOOKUP(A80,'Ref-Data'!$A:$N,14,0)</f>
        <v>0.42</v>
      </c>
      <c r="M80" s="354">
        <f>VLOOKUP(A80,'Ref-Data'!A:I,9,0)</f>
        <v>1</v>
      </c>
      <c r="N80" s="354" t="s">
        <v>1156</v>
      </c>
    </row>
    <row r="81" spans="1:14" x14ac:dyDescent="0.25">
      <c r="A81" s="354">
        <v>1100000238</v>
      </c>
      <c r="B81" s="277" t="str">
        <f>INDEX('Loan Book Summary'!B:C,MATCH('Input PD LGD'!A81,'Loan Book Summary'!C:C,0),1)</f>
        <v>Topham Bidco Limited - Business Trading RCF</v>
      </c>
      <c r="C81" s="400">
        <f>VLOOKUP(A81,Reference_Rate_Repricing_Report!B:P,15,FALSE)</f>
        <v>5.75</v>
      </c>
      <c r="D81" s="276">
        <f>IF('Ref-Data'!$Z$2="ON",VLOOKUP($A81,'MacroPD-Cal'!$A:$L,X$1,FALSE),IF('Ref-Data'!$Z$5 = "Weighted",VLOOKUP($A81,'Model Output_TTC'!$A:$CB,X$2,FALSE),IF('Ref-Data'!$Z$5="Baseline",VLOOKUP('Input PD LGD'!$A81,'Model Output_TTC'!$A:$AU,'Input PD LGD'!X$4,FALSE),IF('Ref-Data'!$Z$5="90th Percentile",VLOOKUP('Input PD LGD'!$A81,'Model Output_TTC'!$A:$BP,'Input PD LGD'!X$6,FALSE),IF('Ref-Data'!$Z$5="96th Percentile",VLOOKUP('Input PD LGD'!$A81,'Model Output_TTC'!$A:$Z,'Input PD LGD'!X$8,FALSE),"")))))</f>
        <v>1.4794530011509205E-2</v>
      </c>
      <c r="E81" s="276">
        <f>IF('Ref-Data'!$Z$2="ON",VLOOKUP($A81,'MacroPD-Cal'!$A:$L,Y$1,FALSE),IF('Ref-Data'!$Z$5 = "Weighted",VLOOKUP($A81,'Model Output_TTC'!$A:$CB,Y$2,FALSE),IF('Ref-Data'!$Z$5="Baseline",VLOOKUP('Input PD LGD'!$A81,'Model Output_TTC'!$A:$AU,'Input PD LGD'!Y$4,FALSE),IF('Ref-Data'!$Z$5="90th Percentile",VLOOKUP('Input PD LGD'!$A81,'Model Output_TTC'!$A:$BP,'Input PD LGD'!Y$6,FALSE),IF('Ref-Data'!$Z$5="96th Percentile",VLOOKUP('Input PD LGD'!$A81,'Model Output_TTC'!$A:$Z,'Input PD LGD'!Y$8,FALSE),"")))))</f>
        <v>3.3211305442328087E-2</v>
      </c>
      <c r="F81" s="276">
        <f>IF('Ref-Data'!$Z$2="ON",VLOOKUP($A81,'MacroPD-Cal'!$A:$L,Z$1,FALSE),IF('Ref-Data'!$Z$5 = "Weighted",VLOOKUP($A81,'Model Output_TTC'!$A:$CB,Z$2,FALSE),IF('Ref-Data'!$Z$5="Baseline",VLOOKUP('Input PD LGD'!$A81,'Model Output_TTC'!$A:$AU,'Input PD LGD'!Z$4,FALSE),IF('Ref-Data'!$Z$5="90th Percentile",VLOOKUP('Input PD LGD'!$A81,'Model Output_TTC'!$A:$BP,'Input PD LGD'!Z$6,FALSE),IF('Ref-Data'!$Z$5="96th Percentile",VLOOKUP('Input PD LGD'!$A81,'Model Output_TTC'!$A:$Z,'Input PD LGD'!Z$8,FALSE),"")))))</f>
        <v>5.3351437527099699E-2</v>
      </c>
      <c r="G81" s="276">
        <f>IF('Ref-Data'!$Z$2="ON",VLOOKUP($A81,'MacroPD-Cal'!$A:$L,AA$1,FALSE),IF('Ref-Data'!$Z$5 = "Weighted",VLOOKUP($A81,'Model Output_TTC'!$A:$CB,AA$2,FALSE),IF('Ref-Data'!$Z$5="Baseline",VLOOKUP('Input PD LGD'!$A81,'Model Output_TTC'!$A:$AU,'Input PD LGD'!AA$4,FALSE),IF('Ref-Data'!$Z$5="90th Percentile",VLOOKUP('Input PD LGD'!$A81,'Model Output_TTC'!$A:$BP,'Input PD LGD'!AA$6,FALSE),IF('Ref-Data'!$Z$5="96th Percentile",VLOOKUP('Input PD LGD'!$A81,'Model Output_TTC'!$A:$Z,'Input PD LGD'!AA$8,FALSE),"")))))</f>
        <v>7.7899999999999997E-2</v>
      </c>
      <c r="H81" s="276">
        <f>IF('Ref-Data'!$Z$2="ON",VLOOKUP($A81,'MacroPD-Cal'!$A:$L,AB$1,FALSE),IF('Ref-Data'!$Z$5 = "Weighted",VLOOKUP($A81,'Model Output_TTC'!$A:$CB,AB$2,FALSE),IF('Ref-Data'!$Z$5="Baseline",VLOOKUP('Input PD LGD'!$A81,'Model Output_TTC'!$A:$AU,'Input PD LGD'!AB$4,FALSE),IF('Ref-Data'!$Z$5="90th Percentile",VLOOKUP('Input PD LGD'!$A81,'Model Output_TTC'!$A:$BP,'Input PD LGD'!AB$6,FALSE),IF('Ref-Data'!$Z$5="96th Percentile",VLOOKUP('Input PD LGD'!$A81,'Model Output_TTC'!$A:$Z,'Input PD LGD'!AB$8,FALSE),"")))))</f>
        <v>0.11470000000000001</v>
      </c>
      <c r="I81" s="276">
        <f>IF('Ref-Data'!$Z$2="ON",VLOOKUP($A81,'MacroPD-Cal'!$A:$L,AC$1,FALSE),IF('Ref-Data'!$Z$5 = "Weighted",VLOOKUP($A81,'Model Output_TTC'!$A:$CB,AC$2,FALSE),IF('Ref-Data'!$Z$5="Baseline",VLOOKUP('Input PD LGD'!$A81,'Model Output_TTC'!$A:$AU,'Input PD LGD'!AC$4,FALSE),IF('Ref-Data'!$Z$5="90th Percentile",VLOOKUP('Input PD LGD'!$A81,'Model Output_TTC'!$A:$BP,'Input PD LGD'!AC$6,FALSE),IF('Ref-Data'!$Z$5="96th Percentile",VLOOKUP('Input PD LGD'!$A81,'Model Output_TTC'!$A:$Z,'Input PD LGD'!AC$8,FALSE),"")))))</f>
        <v>0.13550000000000001</v>
      </c>
      <c r="J81" s="276">
        <f>IF('Ref-Data'!$Z$2="ON",VLOOKUP($A81,'MacroPD-Cal'!$A:$L,AD$1,FALSE),IF('Ref-Data'!$Z$5 = "Weighted",VLOOKUP($A81,'Model Output_TTC'!$A:$CB,AD$2,FALSE),IF('Ref-Data'!$Z$5="Baseline",VLOOKUP('Input PD LGD'!$A81,'Model Output_TTC'!$A:$AU,'Input PD LGD'!AD$4,FALSE),IF('Ref-Data'!$Z$5="90th Percentile",VLOOKUP('Input PD LGD'!$A81,'Model Output_TTC'!$A:$BP,'Input PD LGD'!AD$6,FALSE),IF('Ref-Data'!$Z$5="96th Percentile",VLOOKUP('Input PD LGD'!$A81,'Model Output_TTC'!$A:$Z,'Input PD LGD'!AD$8,FALSE),"")))))</f>
        <v>0.1734</v>
      </c>
      <c r="K81" s="276">
        <f>IF('Ref-Data'!$Z$2="ON",VLOOKUP($A81,'MacroPD-Cal'!$A:$L,AE$1,FALSE),IF('Ref-Data'!$Z$5 = "Weighted",VLOOKUP($A81,'Model Output_TTC'!$A:$CB,AE$2,FALSE),IF('Ref-Data'!$Z$5="Baseline",VLOOKUP('Input PD LGD'!$A81,'Model Output_TTC'!$A:$AU,'Input PD LGD'!AE$4,FALSE),IF('Ref-Data'!$Z$5="90th Percentile",VLOOKUP('Input PD LGD'!$A81,'Model Output_TTC'!$A:$BP,'Input PD LGD'!AE$6,FALSE),IF('Ref-Data'!$Z$5="96th Percentile",VLOOKUP('Input PD LGD'!$A81,'Model Output_TTC'!$A:$Z,'Input PD LGD'!AE$8,FALSE),"")))))</f>
        <v>0.20860000000000001</v>
      </c>
      <c r="L81" s="274">
        <f>VLOOKUP(A81,'Ref-Data'!$A:$N,14,0)</f>
        <v>0.4264</v>
      </c>
      <c r="M81" s="354">
        <f>VLOOKUP(A81,'Ref-Data'!A:I,9,0)</f>
        <v>1</v>
      </c>
      <c r="N81" s="354" t="s">
        <v>1156</v>
      </c>
    </row>
    <row r="82" spans="1:14" x14ac:dyDescent="0.25">
      <c r="A82" s="354">
        <v>1100000236</v>
      </c>
      <c r="B82" s="277" t="str">
        <f>INDEX('Loan Book Summary'!B:C,MATCH('Input PD LGD'!A82,'Loan Book Summary'!C:C,0),1)</f>
        <v>Topham Bidco Limited - Business Trading Term Facility - A</v>
      </c>
      <c r="C82" s="400">
        <f>VLOOKUP(A82,Reference_Rate_Repricing_Report!B:P,15,FALSE)</f>
        <v>6</v>
      </c>
      <c r="D82" s="276">
        <f>IF('Ref-Data'!$Z$2="ON",VLOOKUP($A82,'MacroPD-Cal'!$A:$L,X$1,FALSE),IF('Ref-Data'!$Z$5 = "Weighted",VLOOKUP($A82,'Model Output_TTC'!$A:$CB,X$2,FALSE),IF('Ref-Data'!$Z$5="Baseline",VLOOKUP('Input PD LGD'!$A82,'Model Output_TTC'!$A:$AU,'Input PD LGD'!X$4,FALSE),IF('Ref-Data'!$Z$5="90th Percentile",VLOOKUP('Input PD LGD'!$A82,'Model Output_TTC'!$A:$BP,'Input PD LGD'!X$6,FALSE),IF('Ref-Data'!$Z$5="96th Percentile",VLOOKUP('Input PD LGD'!$A82,'Model Output_TTC'!$A:$Z,'Input PD LGD'!X$8,FALSE),"")))))</f>
        <v>1.4794530011509205E-2</v>
      </c>
      <c r="E82" s="276">
        <f>IF('Ref-Data'!$Z$2="ON",VLOOKUP($A82,'MacroPD-Cal'!$A:$L,Y$1,FALSE),IF('Ref-Data'!$Z$5 = "Weighted",VLOOKUP($A82,'Model Output_TTC'!$A:$CB,Y$2,FALSE),IF('Ref-Data'!$Z$5="Baseline",VLOOKUP('Input PD LGD'!$A82,'Model Output_TTC'!$A:$AU,'Input PD LGD'!Y$4,FALSE),IF('Ref-Data'!$Z$5="90th Percentile",VLOOKUP('Input PD LGD'!$A82,'Model Output_TTC'!$A:$BP,'Input PD LGD'!Y$6,FALSE),IF('Ref-Data'!$Z$5="96th Percentile",VLOOKUP('Input PD LGD'!$A82,'Model Output_TTC'!$A:$Z,'Input PD LGD'!Y$8,FALSE),"")))))</f>
        <v>3.3211305442328087E-2</v>
      </c>
      <c r="F82" s="276">
        <f>IF('Ref-Data'!$Z$2="ON",VLOOKUP($A82,'MacroPD-Cal'!$A:$L,Z$1,FALSE),IF('Ref-Data'!$Z$5 = "Weighted",VLOOKUP($A82,'Model Output_TTC'!$A:$CB,Z$2,FALSE),IF('Ref-Data'!$Z$5="Baseline",VLOOKUP('Input PD LGD'!$A82,'Model Output_TTC'!$A:$AU,'Input PD LGD'!Z$4,FALSE),IF('Ref-Data'!$Z$5="90th Percentile",VLOOKUP('Input PD LGD'!$A82,'Model Output_TTC'!$A:$BP,'Input PD LGD'!Z$6,FALSE),IF('Ref-Data'!$Z$5="96th Percentile",VLOOKUP('Input PD LGD'!$A82,'Model Output_TTC'!$A:$Z,'Input PD LGD'!Z$8,FALSE),"")))))</f>
        <v>5.3351437527099699E-2</v>
      </c>
      <c r="G82" s="276">
        <f>IF('Ref-Data'!$Z$2="ON",VLOOKUP($A82,'MacroPD-Cal'!$A:$L,AA$1,FALSE),IF('Ref-Data'!$Z$5 = "Weighted",VLOOKUP($A82,'Model Output_TTC'!$A:$CB,AA$2,FALSE),IF('Ref-Data'!$Z$5="Baseline",VLOOKUP('Input PD LGD'!$A82,'Model Output_TTC'!$A:$AU,'Input PD LGD'!AA$4,FALSE),IF('Ref-Data'!$Z$5="90th Percentile",VLOOKUP('Input PD LGD'!$A82,'Model Output_TTC'!$A:$BP,'Input PD LGD'!AA$6,FALSE),IF('Ref-Data'!$Z$5="96th Percentile",VLOOKUP('Input PD LGD'!$A82,'Model Output_TTC'!$A:$Z,'Input PD LGD'!AA$8,FALSE),"")))))</f>
        <v>7.7899999999999997E-2</v>
      </c>
      <c r="H82" s="276">
        <f>IF('Ref-Data'!$Z$2="ON",VLOOKUP($A82,'MacroPD-Cal'!$A:$L,AB$1,FALSE),IF('Ref-Data'!$Z$5 = "Weighted",VLOOKUP($A82,'Model Output_TTC'!$A:$CB,AB$2,FALSE),IF('Ref-Data'!$Z$5="Baseline",VLOOKUP('Input PD LGD'!$A82,'Model Output_TTC'!$A:$AU,'Input PD LGD'!AB$4,FALSE),IF('Ref-Data'!$Z$5="90th Percentile",VLOOKUP('Input PD LGD'!$A82,'Model Output_TTC'!$A:$BP,'Input PD LGD'!AB$6,FALSE),IF('Ref-Data'!$Z$5="96th Percentile",VLOOKUP('Input PD LGD'!$A82,'Model Output_TTC'!$A:$Z,'Input PD LGD'!AB$8,FALSE),"")))))</f>
        <v>0.11470000000000001</v>
      </c>
      <c r="I82" s="276">
        <f>IF('Ref-Data'!$Z$2="ON",VLOOKUP($A82,'MacroPD-Cal'!$A:$L,AC$1,FALSE),IF('Ref-Data'!$Z$5 = "Weighted",VLOOKUP($A82,'Model Output_TTC'!$A:$CB,AC$2,FALSE),IF('Ref-Data'!$Z$5="Baseline",VLOOKUP('Input PD LGD'!$A82,'Model Output_TTC'!$A:$AU,'Input PD LGD'!AC$4,FALSE),IF('Ref-Data'!$Z$5="90th Percentile",VLOOKUP('Input PD LGD'!$A82,'Model Output_TTC'!$A:$BP,'Input PD LGD'!AC$6,FALSE),IF('Ref-Data'!$Z$5="96th Percentile",VLOOKUP('Input PD LGD'!$A82,'Model Output_TTC'!$A:$Z,'Input PD LGD'!AC$8,FALSE),"")))))</f>
        <v>0.13550000000000001</v>
      </c>
      <c r="J82" s="276">
        <f>IF('Ref-Data'!$Z$2="ON",VLOOKUP($A82,'MacroPD-Cal'!$A:$L,AD$1,FALSE),IF('Ref-Data'!$Z$5 = "Weighted",VLOOKUP($A82,'Model Output_TTC'!$A:$CB,AD$2,FALSE),IF('Ref-Data'!$Z$5="Baseline",VLOOKUP('Input PD LGD'!$A82,'Model Output_TTC'!$A:$AU,'Input PD LGD'!AD$4,FALSE),IF('Ref-Data'!$Z$5="90th Percentile",VLOOKUP('Input PD LGD'!$A82,'Model Output_TTC'!$A:$BP,'Input PD LGD'!AD$6,FALSE),IF('Ref-Data'!$Z$5="96th Percentile",VLOOKUP('Input PD LGD'!$A82,'Model Output_TTC'!$A:$Z,'Input PD LGD'!AD$8,FALSE),"")))))</f>
        <v>0.1734</v>
      </c>
      <c r="K82" s="276">
        <f>IF('Ref-Data'!$Z$2="ON",VLOOKUP($A82,'MacroPD-Cal'!$A:$L,AE$1,FALSE),IF('Ref-Data'!$Z$5 = "Weighted",VLOOKUP($A82,'Model Output_TTC'!$A:$CB,AE$2,FALSE),IF('Ref-Data'!$Z$5="Baseline",VLOOKUP('Input PD LGD'!$A82,'Model Output_TTC'!$A:$AU,'Input PD LGD'!AE$4,FALSE),IF('Ref-Data'!$Z$5="90th Percentile",VLOOKUP('Input PD LGD'!$A82,'Model Output_TTC'!$A:$BP,'Input PD LGD'!AE$6,FALSE),IF('Ref-Data'!$Z$5="96th Percentile",VLOOKUP('Input PD LGD'!$A82,'Model Output_TTC'!$A:$Z,'Input PD LGD'!AE$8,FALSE),"")))))</f>
        <v>0.20860000000000001</v>
      </c>
      <c r="L82" s="274">
        <f>VLOOKUP(A82,'Ref-Data'!$A:$N,14,0)</f>
        <v>0.4264</v>
      </c>
      <c r="M82" s="354">
        <f>VLOOKUP(A82,'Ref-Data'!A:I,9,0)</f>
        <v>1</v>
      </c>
      <c r="N82" s="354" t="s">
        <v>1156</v>
      </c>
    </row>
    <row r="83" spans="1:14" x14ac:dyDescent="0.25">
      <c r="A83" s="354">
        <v>1100000237</v>
      </c>
      <c r="B83" s="277" t="str">
        <f>INDEX('Loan Book Summary'!B:C,MATCH('Input PD LGD'!A83,'Loan Book Summary'!C:C,0),1)</f>
        <v>Topham Bidco Limited - Business Trading Term Facility - B</v>
      </c>
      <c r="C83" s="400">
        <f>VLOOKUP(A83,Reference_Rate_Repricing_Report!B:P,15,FALSE)</f>
        <v>6.25</v>
      </c>
      <c r="D83" s="276">
        <f>IF('Ref-Data'!$Z$2="ON",VLOOKUP($A83,'MacroPD-Cal'!$A:$L,X$1,FALSE),IF('Ref-Data'!$Z$5 = "Weighted",VLOOKUP($A83,'Model Output_TTC'!$A:$CB,X$2,FALSE),IF('Ref-Data'!$Z$5="Baseline",VLOOKUP('Input PD LGD'!$A83,'Model Output_TTC'!$A:$AU,'Input PD LGD'!X$4,FALSE),IF('Ref-Data'!$Z$5="90th Percentile",VLOOKUP('Input PD LGD'!$A83,'Model Output_TTC'!$A:$BP,'Input PD LGD'!X$6,FALSE),IF('Ref-Data'!$Z$5="96th Percentile",VLOOKUP('Input PD LGD'!$A83,'Model Output_TTC'!$A:$Z,'Input PD LGD'!X$8,FALSE),"")))))</f>
        <v>1.4794530011509205E-2</v>
      </c>
      <c r="E83" s="276">
        <f>IF('Ref-Data'!$Z$2="ON",VLOOKUP($A83,'MacroPD-Cal'!$A:$L,Y$1,FALSE),IF('Ref-Data'!$Z$5 = "Weighted",VLOOKUP($A83,'Model Output_TTC'!$A:$CB,Y$2,FALSE),IF('Ref-Data'!$Z$5="Baseline",VLOOKUP('Input PD LGD'!$A83,'Model Output_TTC'!$A:$AU,'Input PD LGD'!Y$4,FALSE),IF('Ref-Data'!$Z$5="90th Percentile",VLOOKUP('Input PD LGD'!$A83,'Model Output_TTC'!$A:$BP,'Input PD LGD'!Y$6,FALSE),IF('Ref-Data'!$Z$5="96th Percentile",VLOOKUP('Input PD LGD'!$A83,'Model Output_TTC'!$A:$Z,'Input PD LGD'!Y$8,FALSE),"")))))</f>
        <v>3.3211305442328087E-2</v>
      </c>
      <c r="F83" s="276">
        <f>IF('Ref-Data'!$Z$2="ON",VLOOKUP($A83,'MacroPD-Cal'!$A:$L,Z$1,FALSE),IF('Ref-Data'!$Z$5 = "Weighted",VLOOKUP($A83,'Model Output_TTC'!$A:$CB,Z$2,FALSE),IF('Ref-Data'!$Z$5="Baseline",VLOOKUP('Input PD LGD'!$A83,'Model Output_TTC'!$A:$AU,'Input PD LGD'!Z$4,FALSE),IF('Ref-Data'!$Z$5="90th Percentile",VLOOKUP('Input PD LGD'!$A83,'Model Output_TTC'!$A:$BP,'Input PD LGD'!Z$6,FALSE),IF('Ref-Data'!$Z$5="96th Percentile",VLOOKUP('Input PD LGD'!$A83,'Model Output_TTC'!$A:$Z,'Input PD LGD'!Z$8,FALSE),"")))))</f>
        <v>5.3351437527099699E-2</v>
      </c>
      <c r="G83" s="276">
        <f>IF('Ref-Data'!$Z$2="ON",VLOOKUP($A83,'MacroPD-Cal'!$A:$L,AA$1,FALSE),IF('Ref-Data'!$Z$5 = "Weighted",VLOOKUP($A83,'Model Output_TTC'!$A:$CB,AA$2,FALSE),IF('Ref-Data'!$Z$5="Baseline",VLOOKUP('Input PD LGD'!$A83,'Model Output_TTC'!$A:$AU,'Input PD LGD'!AA$4,FALSE),IF('Ref-Data'!$Z$5="90th Percentile",VLOOKUP('Input PD LGD'!$A83,'Model Output_TTC'!$A:$BP,'Input PD LGD'!AA$6,FALSE),IF('Ref-Data'!$Z$5="96th Percentile",VLOOKUP('Input PD LGD'!$A83,'Model Output_TTC'!$A:$Z,'Input PD LGD'!AA$8,FALSE),"")))))</f>
        <v>7.7899999999999997E-2</v>
      </c>
      <c r="H83" s="276">
        <f>IF('Ref-Data'!$Z$2="ON",VLOOKUP($A83,'MacroPD-Cal'!$A:$L,AB$1,FALSE),IF('Ref-Data'!$Z$5 = "Weighted",VLOOKUP($A83,'Model Output_TTC'!$A:$CB,AB$2,FALSE),IF('Ref-Data'!$Z$5="Baseline",VLOOKUP('Input PD LGD'!$A83,'Model Output_TTC'!$A:$AU,'Input PD LGD'!AB$4,FALSE),IF('Ref-Data'!$Z$5="90th Percentile",VLOOKUP('Input PD LGD'!$A83,'Model Output_TTC'!$A:$BP,'Input PD LGD'!AB$6,FALSE),IF('Ref-Data'!$Z$5="96th Percentile",VLOOKUP('Input PD LGD'!$A83,'Model Output_TTC'!$A:$Z,'Input PD LGD'!AB$8,FALSE),"")))))</f>
        <v>0.11470000000000001</v>
      </c>
      <c r="I83" s="276">
        <f>IF('Ref-Data'!$Z$2="ON",VLOOKUP($A83,'MacroPD-Cal'!$A:$L,AC$1,FALSE),IF('Ref-Data'!$Z$5 = "Weighted",VLOOKUP($A83,'Model Output_TTC'!$A:$CB,AC$2,FALSE),IF('Ref-Data'!$Z$5="Baseline",VLOOKUP('Input PD LGD'!$A83,'Model Output_TTC'!$A:$AU,'Input PD LGD'!AC$4,FALSE),IF('Ref-Data'!$Z$5="90th Percentile",VLOOKUP('Input PD LGD'!$A83,'Model Output_TTC'!$A:$BP,'Input PD LGD'!AC$6,FALSE),IF('Ref-Data'!$Z$5="96th Percentile",VLOOKUP('Input PD LGD'!$A83,'Model Output_TTC'!$A:$Z,'Input PD LGD'!AC$8,FALSE),"")))))</f>
        <v>0.13550000000000001</v>
      </c>
      <c r="J83" s="276">
        <f>IF('Ref-Data'!$Z$2="ON",VLOOKUP($A83,'MacroPD-Cal'!$A:$L,AD$1,FALSE),IF('Ref-Data'!$Z$5 = "Weighted",VLOOKUP($A83,'Model Output_TTC'!$A:$CB,AD$2,FALSE),IF('Ref-Data'!$Z$5="Baseline",VLOOKUP('Input PD LGD'!$A83,'Model Output_TTC'!$A:$AU,'Input PD LGD'!AD$4,FALSE),IF('Ref-Data'!$Z$5="90th Percentile",VLOOKUP('Input PD LGD'!$A83,'Model Output_TTC'!$A:$BP,'Input PD LGD'!AD$6,FALSE),IF('Ref-Data'!$Z$5="96th Percentile",VLOOKUP('Input PD LGD'!$A83,'Model Output_TTC'!$A:$Z,'Input PD LGD'!AD$8,FALSE),"")))))</f>
        <v>0.1734</v>
      </c>
      <c r="K83" s="276">
        <f>IF('Ref-Data'!$Z$2="ON",VLOOKUP($A83,'MacroPD-Cal'!$A:$L,AE$1,FALSE),IF('Ref-Data'!$Z$5 = "Weighted",VLOOKUP($A83,'Model Output_TTC'!$A:$CB,AE$2,FALSE),IF('Ref-Data'!$Z$5="Baseline",VLOOKUP('Input PD LGD'!$A83,'Model Output_TTC'!$A:$AU,'Input PD LGD'!AE$4,FALSE),IF('Ref-Data'!$Z$5="90th Percentile",VLOOKUP('Input PD LGD'!$A83,'Model Output_TTC'!$A:$BP,'Input PD LGD'!AE$6,FALSE),IF('Ref-Data'!$Z$5="96th Percentile",VLOOKUP('Input PD LGD'!$A83,'Model Output_TTC'!$A:$Z,'Input PD LGD'!AE$8,FALSE),"")))))</f>
        <v>0.20860000000000001</v>
      </c>
      <c r="L83" s="274">
        <f>VLOOKUP(A83,'Ref-Data'!$A:$N,14,0)</f>
        <v>0.4264</v>
      </c>
      <c r="M83" s="354">
        <f>VLOOKUP(A83,'Ref-Data'!A:I,9,0)</f>
        <v>1</v>
      </c>
      <c r="N83" s="354" t="s">
        <v>1156</v>
      </c>
    </row>
    <row r="84" spans="1:14" x14ac:dyDescent="0.25">
      <c r="A84" s="354">
        <v>1100000241</v>
      </c>
      <c r="B84" s="277" t="str">
        <f>INDEX('Loan Book Summary'!B:C,MATCH('Input PD LGD'!A84,'Loan Book Summary'!C:C,0),1)</f>
        <v>PLHC - Park Lane Healthcare Group - Magnolia House - Trading Facility</v>
      </c>
      <c r="C84" s="400">
        <f>VLOOKUP(A84,Reference_Rate_Repricing_Report!B:P,15,FALSE)</f>
        <v>5.6</v>
      </c>
      <c r="D84" s="276">
        <f>IF('Ref-Data'!$Z$2="ON",VLOOKUP($A84,'MacroPD-Cal'!$A:$L,X$1,FALSE),IF('Ref-Data'!$Z$5 = "Weighted",VLOOKUP($A84,'Model Output_TTC'!$A:$CB,X$2,FALSE),IF('Ref-Data'!$Z$5="Baseline",VLOOKUP('Input PD LGD'!$A84,'Model Output_TTC'!$A:$AU,'Input PD LGD'!X$4,FALSE),IF('Ref-Data'!$Z$5="90th Percentile",VLOOKUP('Input PD LGD'!$A84,'Model Output_TTC'!$A:$BP,'Input PD LGD'!X$6,FALSE),IF('Ref-Data'!$Z$5="96th Percentile",VLOOKUP('Input PD LGD'!$A84,'Model Output_TTC'!$A:$Z,'Input PD LGD'!X$8,FALSE),"")))))</f>
        <v>5.8416686889706238E-4</v>
      </c>
      <c r="E84" s="276">
        <f>IF('Ref-Data'!$Z$2="ON",VLOOKUP($A84,'MacroPD-Cal'!$A:$L,Y$1,FALSE),IF('Ref-Data'!$Z$5 = "Weighted",VLOOKUP($A84,'Model Output_TTC'!$A:$CB,Y$2,FALSE),IF('Ref-Data'!$Z$5="Baseline",VLOOKUP('Input PD LGD'!$A84,'Model Output_TTC'!$A:$AU,'Input PD LGD'!Y$4,FALSE),IF('Ref-Data'!$Z$5="90th Percentile",VLOOKUP('Input PD LGD'!$A84,'Model Output_TTC'!$A:$BP,'Input PD LGD'!Y$6,FALSE),IF('Ref-Data'!$Z$5="96th Percentile",VLOOKUP('Input PD LGD'!$A84,'Model Output_TTC'!$A:$Z,'Input PD LGD'!Y$8,FALSE),"")))))</f>
        <v>1.3931759118497311E-3</v>
      </c>
      <c r="F84" s="276">
        <f>IF('Ref-Data'!$Z$2="ON",VLOOKUP($A84,'MacroPD-Cal'!$A:$L,Z$1,FALSE),IF('Ref-Data'!$Z$5 = "Weighted",VLOOKUP($A84,'Model Output_TTC'!$A:$CB,Z$2,FALSE),IF('Ref-Data'!$Z$5="Baseline",VLOOKUP('Input PD LGD'!$A84,'Model Output_TTC'!$A:$AU,'Input PD LGD'!Z$4,FALSE),IF('Ref-Data'!$Z$5="90th Percentile",VLOOKUP('Input PD LGD'!$A84,'Model Output_TTC'!$A:$BP,'Input PD LGD'!Z$6,FALSE),IF('Ref-Data'!$Z$5="96th Percentile",VLOOKUP('Input PD LGD'!$A84,'Model Output_TTC'!$A:$Z,'Input PD LGD'!Z$8,FALSE),"")))))</f>
        <v>2.3342496881620933E-3</v>
      </c>
      <c r="G84" s="276">
        <f>IF('Ref-Data'!$Z$2="ON",VLOOKUP($A84,'MacroPD-Cal'!$A:$L,AA$1,FALSE),IF('Ref-Data'!$Z$5 = "Weighted",VLOOKUP($A84,'Model Output_TTC'!$A:$CB,AA$2,FALSE),IF('Ref-Data'!$Z$5="Baseline",VLOOKUP('Input PD LGD'!$A84,'Model Output_TTC'!$A:$AU,'Input PD LGD'!AA$4,FALSE),IF('Ref-Data'!$Z$5="90th Percentile",VLOOKUP('Input PD LGD'!$A84,'Model Output_TTC'!$A:$BP,'Input PD LGD'!AA$6,FALSE),IF('Ref-Data'!$Z$5="96th Percentile",VLOOKUP('Input PD LGD'!$A84,'Model Output_TTC'!$A:$Z,'Input PD LGD'!AA$8,FALSE),"")))))</f>
        <v>3.6000000000000003E-3</v>
      </c>
      <c r="H84" s="276">
        <f>IF('Ref-Data'!$Z$2="ON",VLOOKUP($A84,'MacroPD-Cal'!$A:$L,AB$1,FALSE),IF('Ref-Data'!$Z$5 = "Weighted",VLOOKUP($A84,'Model Output_TTC'!$A:$CB,AB$2,FALSE),IF('Ref-Data'!$Z$5="Baseline",VLOOKUP('Input PD LGD'!$A84,'Model Output_TTC'!$A:$AU,'Input PD LGD'!AB$4,FALSE),IF('Ref-Data'!$Z$5="90th Percentile",VLOOKUP('Input PD LGD'!$A84,'Model Output_TTC'!$A:$BP,'Input PD LGD'!AB$6,FALSE),IF('Ref-Data'!$Z$5="96th Percentile",VLOOKUP('Input PD LGD'!$A84,'Model Output_TTC'!$A:$Z,'Input PD LGD'!AB$8,FALSE),"")))))</f>
        <v>5.4000000000000003E-3</v>
      </c>
      <c r="I84" s="276">
        <f>IF('Ref-Data'!$Z$2="ON",VLOOKUP($A84,'MacroPD-Cal'!$A:$L,AC$1,FALSE),IF('Ref-Data'!$Z$5 = "Weighted",VLOOKUP($A84,'Model Output_TTC'!$A:$CB,AC$2,FALSE),IF('Ref-Data'!$Z$5="Baseline",VLOOKUP('Input PD LGD'!$A84,'Model Output_TTC'!$A:$AU,'Input PD LGD'!AC$4,FALSE),IF('Ref-Data'!$Z$5="90th Percentile",VLOOKUP('Input PD LGD'!$A84,'Model Output_TTC'!$A:$BP,'Input PD LGD'!AC$6,FALSE),IF('Ref-Data'!$Z$5="96th Percentile",VLOOKUP('Input PD LGD'!$A84,'Model Output_TTC'!$A:$Z,'Input PD LGD'!AC$8,FALSE),"")))))</f>
        <v>6.4000000000000003E-3</v>
      </c>
      <c r="J84" s="276">
        <f>IF('Ref-Data'!$Z$2="ON",VLOOKUP($A84,'MacroPD-Cal'!$A:$L,AD$1,FALSE),IF('Ref-Data'!$Z$5 = "Weighted",VLOOKUP($A84,'Model Output_TTC'!$A:$CB,AD$2,FALSE),IF('Ref-Data'!$Z$5="Baseline",VLOOKUP('Input PD LGD'!$A84,'Model Output_TTC'!$A:$AU,'Input PD LGD'!AD$4,FALSE),IF('Ref-Data'!$Z$5="90th Percentile",VLOOKUP('Input PD LGD'!$A84,'Model Output_TTC'!$A:$BP,'Input PD LGD'!AD$6,FALSE),IF('Ref-Data'!$Z$5="96th Percentile",VLOOKUP('Input PD LGD'!$A84,'Model Output_TTC'!$A:$Z,'Input PD LGD'!AD$8,FALSE),"")))))</f>
        <v>9.1999999999999998E-3</v>
      </c>
      <c r="K84" s="276">
        <f>IF('Ref-Data'!$Z$2="ON",VLOOKUP($A84,'MacroPD-Cal'!$A:$L,AE$1,FALSE),IF('Ref-Data'!$Z$5 = "Weighted",VLOOKUP($A84,'Model Output_TTC'!$A:$CB,AE$2,FALSE),IF('Ref-Data'!$Z$5="Baseline",VLOOKUP('Input PD LGD'!$A84,'Model Output_TTC'!$A:$AU,'Input PD LGD'!AE$4,FALSE),IF('Ref-Data'!$Z$5="90th Percentile",VLOOKUP('Input PD LGD'!$A84,'Model Output_TTC'!$A:$BP,'Input PD LGD'!AE$6,FALSE),IF('Ref-Data'!$Z$5="96th Percentile",VLOOKUP('Input PD LGD'!$A84,'Model Output_TTC'!$A:$Z,'Input PD LGD'!AE$8,FALSE),"")))))</f>
        <v>1.2200000000000001E-2</v>
      </c>
      <c r="L84" s="274">
        <f>VLOOKUP(A84,'Ref-Data'!$A:$N,14,0)</f>
        <v>0.15016858201638894</v>
      </c>
      <c r="M84" s="354">
        <f>VLOOKUP(A84,'Ref-Data'!A:I,9,0)</f>
        <v>1</v>
      </c>
      <c r="N84" s="354" t="s">
        <v>1156</v>
      </c>
    </row>
    <row r="85" spans="1:14" x14ac:dyDescent="0.25">
      <c r="A85" s="354">
        <v>1100000242</v>
      </c>
      <c r="B85" s="277" t="str">
        <f>INDEX('Loan Book Summary'!B:C,MATCH('Input PD LGD'!A85,'Loan Book Summary'!C:C,0),1)</f>
        <v>PLHC - Park Lane Healthcare Group - Manor House - Trading Facility</v>
      </c>
      <c r="C85" s="400">
        <f>VLOOKUP(A85,Reference_Rate_Repricing_Report!B:P,15,FALSE)</f>
        <v>5.6</v>
      </c>
      <c r="D85" s="276">
        <f>IF('Ref-Data'!$Z$2="ON",VLOOKUP($A85,'MacroPD-Cal'!$A:$L,X$1,FALSE),IF('Ref-Data'!$Z$5 = "Weighted",VLOOKUP($A85,'Model Output_TTC'!$A:$CB,X$2,FALSE),IF('Ref-Data'!$Z$5="Baseline",VLOOKUP('Input PD LGD'!$A85,'Model Output_TTC'!$A:$AU,'Input PD LGD'!X$4,FALSE),IF('Ref-Data'!$Z$5="90th Percentile",VLOOKUP('Input PD LGD'!$A85,'Model Output_TTC'!$A:$BP,'Input PD LGD'!X$6,FALSE),IF('Ref-Data'!$Z$5="96th Percentile",VLOOKUP('Input PD LGD'!$A85,'Model Output_TTC'!$A:$Z,'Input PD LGD'!X$8,FALSE),"")))))</f>
        <v>5.8416686889706238E-4</v>
      </c>
      <c r="E85" s="276">
        <f>IF('Ref-Data'!$Z$2="ON",VLOOKUP($A85,'MacroPD-Cal'!$A:$L,Y$1,FALSE),IF('Ref-Data'!$Z$5 = "Weighted",VLOOKUP($A85,'Model Output_TTC'!$A:$CB,Y$2,FALSE),IF('Ref-Data'!$Z$5="Baseline",VLOOKUP('Input PD LGD'!$A85,'Model Output_TTC'!$A:$AU,'Input PD LGD'!Y$4,FALSE),IF('Ref-Data'!$Z$5="90th Percentile",VLOOKUP('Input PD LGD'!$A85,'Model Output_TTC'!$A:$BP,'Input PD LGD'!Y$6,FALSE),IF('Ref-Data'!$Z$5="96th Percentile",VLOOKUP('Input PD LGD'!$A85,'Model Output_TTC'!$A:$Z,'Input PD LGD'!Y$8,FALSE),"")))))</f>
        <v>1.3931759118497311E-3</v>
      </c>
      <c r="F85" s="276">
        <f>IF('Ref-Data'!$Z$2="ON",VLOOKUP($A85,'MacroPD-Cal'!$A:$L,Z$1,FALSE),IF('Ref-Data'!$Z$5 = "Weighted",VLOOKUP($A85,'Model Output_TTC'!$A:$CB,Z$2,FALSE),IF('Ref-Data'!$Z$5="Baseline",VLOOKUP('Input PD LGD'!$A85,'Model Output_TTC'!$A:$AU,'Input PD LGD'!Z$4,FALSE),IF('Ref-Data'!$Z$5="90th Percentile",VLOOKUP('Input PD LGD'!$A85,'Model Output_TTC'!$A:$BP,'Input PD LGD'!Z$6,FALSE),IF('Ref-Data'!$Z$5="96th Percentile",VLOOKUP('Input PD LGD'!$A85,'Model Output_TTC'!$A:$Z,'Input PD LGD'!Z$8,FALSE),"")))))</f>
        <v>2.3342496881620933E-3</v>
      </c>
      <c r="G85" s="276">
        <f>IF('Ref-Data'!$Z$2="ON",VLOOKUP($A85,'MacroPD-Cal'!$A:$L,AA$1,FALSE),IF('Ref-Data'!$Z$5 = "Weighted",VLOOKUP($A85,'Model Output_TTC'!$A:$CB,AA$2,FALSE),IF('Ref-Data'!$Z$5="Baseline",VLOOKUP('Input PD LGD'!$A85,'Model Output_TTC'!$A:$AU,'Input PD LGD'!AA$4,FALSE),IF('Ref-Data'!$Z$5="90th Percentile",VLOOKUP('Input PD LGD'!$A85,'Model Output_TTC'!$A:$BP,'Input PD LGD'!AA$6,FALSE),IF('Ref-Data'!$Z$5="96th Percentile",VLOOKUP('Input PD LGD'!$A85,'Model Output_TTC'!$A:$Z,'Input PD LGD'!AA$8,FALSE),"")))))</f>
        <v>3.6000000000000003E-3</v>
      </c>
      <c r="H85" s="276">
        <f>IF('Ref-Data'!$Z$2="ON",VLOOKUP($A85,'MacroPD-Cal'!$A:$L,AB$1,FALSE),IF('Ref-Data'!$Z$5 = "Weighted",VLOOKUP($A85,'Model Output_TTC'!$A:$CB,AB$2,FALSE),IF('Ref-Data'!$Z$5="Baseline",VLOOKUP('Input PD LGD'!$A85,'Model Output_TTC'!$A:$AU,'Input PD LGD'!AB$4,FALSE),IF('Ref-Data'!$Z$5="90th Percentile",VLOOKUP('Input PD LGD'!$A85,'Model Output_TTC'!$A:$BP,'Input PD LGD'!AB$6,FALSE),IF('Ref-Data'!$Z$5="96th Percentile",VLOOKUP('Input PD LGD'!$A85,'Model Output_TTC'!$A:$Z,'Input PD LGD'!AB$8,FALSE),"")))))</f>
        <v>5.4000000000000003E-3</v>
      </c>
      <c r="I85" s="276">
        <f>IF('Ref-Data'!$Z$2="ON",VLOOKUP($A85,'MacroPD-Cal'!$A:$L,AC$1,FALSE),IF('Ref-Data'!$Z$5 = "Weighted",VLOOKUP($A85,'Model Output_TTC'!$A:$CB,AC$2,FALSE),IF('Ref-Data'!$Z$5="Baseline",VLOOKUP('Input PD LGD'!$A85,'Model Output_TTC'!$A:$AU,'Input PD LGD'!AC$4,FALSE),IF('Ref-Data'!$Z$5="90th Percentile",VLOOKUP('Input PD LGD'!$A85,'Model Output_TTC'!$A:$BP,'Input PD LGD'!AC$6,FALSE),IF('Ref-Data'!$Z$5="96th Percentile",VLOOKUP('Input PD LGD'!$A85,'Model Output_TTC'!$A:$Z,'Input PD LGD'!AC$8,FALSE),"")))))</f>
        <v>6.4000000000000003E-3</v>
      </c>
      <c r="J85" s="276">
        <f>IF('Ref-Data'!$Z$2="ON",VLOOKUP($A85,'MacroPD-Cal'!$A:$L,AD$1,FALSE),IF('Ref-Data'!$Z$5 = "Weighted",VLOOKUP($A85,'Model Output_TTC'!$A:$CB,AD$2,FALSE),IF('Ref-Data'!$Z$5="Baseline",VLOOKUP('Input PD LGD'!$A85,'Model Output_TTC'!$A:$AU,'Input PD LGD'!AD$4,FALSE),IF('Ref-Data'!$Z$5="90th Percentile",VLOOKUP('Input PD LGD'!$A85,'Model Output_TTC'!$A:$BP,'Input PD LGD'!AD$6,FALSE),IF('Ref-Data'!$Z$5="96th Percentile",VLOOKUP('Input PD LGD'!$A85,'Model Output_TTC'!$A:$Z,'Input PD LGD'!AD$8,FALSE),"")))))</f>
        <v>9.1999999999999998E-3</v>
      </c>
      <c r="K85" s="276">
        <f>IF('Ref-Data'!$Z$2="ON",VLOOKUP($A85,'MacroPD-Cal'!$A:$L,AE$1,FALSE),IF('Ref-Data'!$Z$5 = "Weighted",VLOOKUP($A85,'Model Output_TTC'!$A:$CB,AE$2,FALSE),IF('Ref-Data'!$Z$5="Baseline",VLOOKUP('Input PD LGD'!$A85,'Model Output_TTC'!$A:$AU,'Input PD LGD'!AE$4,FALSE),IF('Ref-Data'!$Z$5="90th Percentile",VLOOKUP('Input PD LGD'!$A85,'Model Output_TTC'!$A:$BP,'Input PD LGD'!AE$6,FALSE),IF('Ref-Data'!$Z$5="96th Percentile",VLOOKUP('Input PD LGD'!$A85,'Model Output_TTC'!$A:$Z,'Input PD LGD'!AE$8,FALSE),"")))))</f>
        <v>1.2200000000000001E-2</v>
      </c>
      <c r="L85" s="274">
        <f>VLOOKUP(A85,'Ref-Data'!$A:$N,14,0)</f>
        <v>0.15016858201638894</v>
      </c>
      <c r="M85" s="354">
        <f>VLOOKUP(A85,'Ref-Data'!A:I,9,0)</f>
        <v>1</v>
      </c>
      <c r="N85" s="354" t="s">
        <v>1156</v>
      </c>
    </row>
    <row r="86" spans="1:14" x14ac:dyDescent="0.25">
      <c r="A86" s="354">
        <v>1100000243</v>
      </c>
      <c r="B86" s="277" t="str">
        <f>INDEX('Loan Book Summary'!B:C,MATCH('Input PD LGD'!A86,'Loan Book Summary'!C:C,0),1)</f>
        <v>PLHC - Park Lane Healthcare Group - Croston Park - Trading Facility</v>
      </c>
      <c r="C86" s="400">
        <f>VLOOKUP(A86,Reference_Rate_Repricing_Report!B:P,15,FALSE)</f>
        <v>5.6</v>
      </c>
      <c r="D86" s="276">
        <f>IF('Ref-Data'!$Z$2="ON",VLOOKUP($A86,'MacroPD-Cal'!$A:$L,X$1,FALSE),IF('Ref-Data'!$Z$5 = "Weighted",VLOOKUP($A86,'Model Output_TTC'!$A:$CB,X$2,FALSE),IF('Ref-Data'!$Z$5="Baseline",VLOOKUP('Input PD LGD'!$A86,'Model Output_TTC'!$A:$AU,'Input PD LGD'!X$4,FALSE),IF('Ref-Data'!$Z$5="90th Percentile",VLOOKUP('Input PD LGD'!$A86,'Model Output_TTC'!$A:$BP,'Input PD LGD'!X$6,FALSE),IF('Ref-Data'!$Z$5="96th Percentile",VLOOKUP('Input PD LGD'!$A86,'Model Output_TTC'!$A:$Z,'Input PD LGD'!X$8,FALSE),"")))))</f>
        <v>5.8416686889706238E-4</v>
      </c>
      <c r="E86" s="276">
        <f>IF('Ref-Data'!$Z$2="ON",VLOOKUP($A86,'MacroPD-Cal'!$A:$L,Y$1,FALSE),IF('Ref-Data'!$Z$5 = "Weighted",VLOOKUP($A86,'Model Output_TTC'!$A:$CB,Y$2,FALSE),IF('Ref-Data'!$Z$5="Baseline",VLOOKUP('Input PD LGD'!$A86,'Model Output_TTC'!$A:$AU,'Input PD LGD'!Y$4,FALSE),IF('Ref-Data'!$Z$5="90th Percentile",VLOOKUP('Input PD LGD'!$A86,'Model Output_TTC'!$A:$BP,'Input PD LGD'!Y$6,FALSE),IF('Ref-Data'!$Z$5="96th Percentile",VLOOKUP('Input PD LGD'!$A86,'Model Output_TTC'!$A:$Z,'Input PD LGD'!Y$8,FALSE),"")))))</f>
        <v>1.3931759118497311E-3</v>
      </c>
      <c r="F86" s="276">
        <f>IF('Ref-Data'!$Z$2="ON",VLOOKUP($A86,'MacroPD-Cal'!$A:$L,Z$1,FALSE),IF('Ref-Data'!$Z$5 = "Weighted",VLOOKUP($A86,'Model Output_TTC'!$A:$CB,Z$2,FALSE),IF('Ref-Data'!$Z$5="Baseline",VLOOKUP('Input PD LGD'!$A86,'Model Output_TTC'!$A:$AU,'Input PD LGD'!Z$4,FALSE),IF('Ref-Data'!$Z$5="90th Percentile",VLOOKUP('Input PD LGD'!$A86,'Model Output_TTC'!$A:$BP,'Input PD LGD'!Z$6,FALSE),IF('Ref-Data'!$Z$5="96th Percentile",VLOOKUP('Input PD LGD'!$A86,'Model Output_TTC'!$A:$Z,'Input PD LGD'!Z$8,FALSE),"")))))</f>
        <v>2.3342496881620933E-3</v>
      </c>
      <c r="G86" s="276">
        <f>IF('Ref-Data'!$Z$2="ON",VLOOKUP($A86,'MacroPD-Cal'!$A:$L,AA$1,FALSE),IF('Ref-Data'!$Z$5 = "Weighted",VLOOKUP($A86,'Model Output_TTC'!$A:$CB,AA$2,FALSE),IF('Ref-Data'!$Z$5="Baseline",VLOOKUP('Input PD LGD'!$A86,'Model Output_TTC'!$A:$AU,'Input PD LGD'!AA$4,FALSE),IF('Ref-Data'!$Z$5="90th Percentile",VLOOKUP('Input PD LGD'!$A86,'Model Output_TTC'!$A:$BP,'Input PD LGD'!AA$6,FALSE),IF('Ref-Data'!$Z$5="96th Percentile",VLOOKUP('Input PD LGD'!$A86,'Model Output_TTC'!$A:$Z,'Input PD LGD'!AA$8,FALSE),"")))))</f>
        <v>3.6000000000000003E-3</v>
      </c>
      <c r="H86" s="276">
        <f>IF('Ref-Data'!$Z$2="ON",VLOOKUP($A86,'MacroPD-Cal'!$A:$L,AB$1,FALSE),IF('Ref-Data'!$Z$5 = "Weighted",VLOOKUP($A86,'Model Output_TTC'!$A:$CB,AB$2,FALSE),IF('Ref-Data'!$Z$5="Baseline",VLOOKUP('Input PD LGD'!$A86,'Model Output_TTC'!$A:$AU,'Input PD LGD'!AB$4,FALSE),IF('Ref-Data'!$Z$5="90th Percentile",VLOOKUP('Input PD LGD'!$A86,'Model Output_TTC'!$A:$BP,'Input PD LGD'!AB$6,FALSE),IF('Ref-Data'!$Z$5="96th Percentile",VLOOKUP('Input PD LGD'!$A86,'Model Output_TTC'!$A:$Z,'Input PD LGD'!AB$8,FALSE),"")))))</f>
        <v>5.4000000000000003E-3</v>
      </c>
      <c r="I86" s="276">
        <f>IF('Ref-Data'!$Z$2="ON",VLOOKUP($A86,'MacroPD-Cal'!$A:$L,AC$1,FALSE),IF('Ref-Data'!$Z$5 = "Weighted",VLOOKUP($A86,'Model Output_TTC'!$A:$CB,AC$2,FALSE),IF('Ref-Data'!$Z$5="Baseline",VLOOKUP('Input PD LGD'!$A86,'Model Output_TTC'!$A:$AU,'Input PD LGD'!AC$4,FALSE),IF('Ref-Data'!$Z$5="90th Percentile",VLOOKUP('Input PD LGD'!$A86,'Model Output_TTC'!$A:$BP,'Input PD LGD'!AC$6,FALSE),IF('Ref-Data'!$Z$5="96th Percentile",VLOOKUP('Input PD LGD'!$A86,'Model Output_TTC'!$A:$Z,'Input PD LGD'!AC$8,FALSE),"")))))</f>
        <v>6.4000000000000003E-3</v>
      </c>
      <c r="J86" s="276">
        <f>IF('Ref-Data'!$Z$2="ON",VLOOKUP($A86,'MacroPD-Cal'!$A:$L,AD$1,FALSE),IF('Ref-Data'!$Z$5 = "Weighted",VLOOKUP($A86,'Model Output_TTC'!$A:$CB,AD$2,FALSE),IF('Ref-Data'!$Z$5="Baseline",VLOOKUP('Input PD LGD'!$A86,'Model Output_TTC'!$A:$AU,'Input PD LGD'!AD$4,FALSE),IF('Ref-Data'!$Z$5="90th Percentile",VLOOKUP('Input PD LGD'!$A86,'Model Output_TTC'!$A:$BP,'Input PD LGD'!AD$6,FALSE),IF('Ref-Data'!$Z$5="96th Percentile",VLOOKUP('Input PD LGD'!$A86,'Model Output_TTC'!$A:$Z,'Input PD LGD'!AD$8,FALSE),"")))))</f>
        <v>9.1999999999999998E-3</v>
      </c>
      <c r="K86" s="276">
        <f>IF('Ref-Data'!$Z$2="ON",VLOOKUP($A86,'MacroPD-Cal'!$A:$L,AE$1,FALSE),IF('Ref-Data'!$Z$5 = "Weighted",VLOOKUP($A86,'Model Output_TTC'!$A:$CB,AE$2,FALSE),IF('Ref-Data'!$Z$5="Baseline",VLOOKUP('Input PD LGD'!$A86,'Model Output_TTC'!$A:$AU,'Input PD LGD'!AE$4,FALSE),IF('Ref-Data'!$Z$5="90th Percentile",VLOOKUP('Input PD LGD'!$A86,'Model Output_TTC'!$A:$BP,'Input PD LGD'!AE$6,FALSE),IF('Ref-Data'!$Z$5="96th Percentile",VLOOKUP('Input PD LGD'!$A86,'Model Output_TTC'!$A:$Z,'Input PD LGD'!AE$8,FALSE),"")))))</f>
        <v>1.2200000000000001E-2</v>
      </c>
      <c r="L86" s="274">
        <f>VLOOKUP(A86,'Ref-Data'!$A:$N,14,0)</f>
        <v>0.15016858201638894</v>
      </c>
      <c r="M86" s="354">
        <f>VLOOKUP(A86,'Ref-Data'!A:I,9,0)</f>
        <v>1</v>
      </c>
      <c r="N86" s="354" t="s">
        <v>1156</v>
      </c>
    </row>
    <row r="87" spans="1:14" x14ac:dyDescent="0.25">
      <c r="A87" s="354">
        <v>1100000245</v>
      </c>
      <c r="B87" s="277" t="str">
        <f>INDEX('Loan Book Summary'!B:C,MATCH('Input PD LGD'!A87,'Loan Book Summary'!C:C,0),1)</f>
        <v>PLHC - Park Lane Healthcare Group - The Hall Thornton Le Dale - Trading Facility</v>
      </c>
      <c r="C87" s="400">
        <f>VLOOKUP(A87,Reference_Rate_Repricing_Report!B:P,15,FALSE)</f>
        <v>5.6</v>
      </c>
      <c r="D87" s="276">
        <f>IF('Ref-Data'!$Z$2="ON",VLOOKUP($A87,'MacroPD-Cal'!$A:$L,X$1,FALSE),IF('Ref-Data'!$Z$5 = "Weighted",VLOOKUP($A87,'Model Output_TTC'!$A:$CB,X$2,FALSE),IF('Ref-Data'!$Z$5="Baseline",VLOOKUP('Input PD LGD'!$A87,'Model Output_TTC'!$A:$AU,'Input PD LGD'!X$4,FALSE),IF('Ref-Data'!$Z$5="90th Percentile",VLOOKUP('Input PD LGD'!$A87,'Model Output_TTC'!$A:$BP,'Input PD LGD'!X$6,FALSE),IF('Ref-Data'!$Z$5="96th Percentile",VLOOKUP('Input PD LGD'!$A87,'Model Output_TTC'!$A:$Z,'Input PD LGD'!X$8,FALSE),"")))))</f>
        <v>5.8416686889706238E-4</v>
      </c>
      <c r="E87" s="276">
        <f>IF('Ref-Data'!$Z$2="ON",VLOOKUP($A87,'MacroPD-Cal'!$A:$L,Y$1,FALSE),IF('Ref-Data'!$Z$5 = "Weighted",VLOOKUP($A87,'Model Output_TTC'!$A:$CB,Y$2,FALSE),IF('Ref-Data'!$Z$5="Baseline",VLOOKUP('Input PD LGD'!$A87,'Model Output_TTC'!$A:$AU,'Input PD LGD'!Y$4,FALSE),IF('Ref-Data'!$Z$5="90th Percentile",VLOOKUP('Input PD LGD'!$A87,'Model Output_TTC'!$A:$BP,'Input PD LGD'!Y$6,FALSE),IF('Ref-Data'!$Z$5="96th Percentile",VLOOKUP('Input PD LGD'!$A87,'Model Output_TTC'!$A:$Z,'Input PD LGD'!Y$8,FALSE),"")))))</f>
        <v>1.3931759118497311E-3</v>
      </c>
      <c r="F87" s="276">
        <f>IF('Ref-Data'!$Z$2="ON",VLOOKUP($A87,'MacroPD-Cal'!$A:$L,Z$1,FALSE),IF('Ref-Data'!$Z$5 = "Weighted",VLOOKUP($A87,'Model Output_TTC'!$A:$CB,Z$2,FALSE),IF('Ref-Data'!$Z$5="Baseline",VLOOKUP('Input PD LGD'!$A87,'Model Output_TTC'!$A:$AU,'Input PD LGD'!Z$4,FALSE),IF('Ref-Data'!$Z$5="90th Percentile",VLOOKUP('Input PD LGD'!$A87,'Model Output_TTC'!$A:$BP,'Input PD LGD'!Z$6,FALSE),IF('Ref-Data'!$Z$5="96th Percentile",VLOOKUP('Input PD LGD'!$A87,'Model Output_TTC'!$A:$Z,'Input PD LGD'!Z$8,FALSE),"")))))</f>
        <v>2.3342496881620933E-3</v>
      </c>
      <c r="G87" s="276">
        <f>IF('Ref-Data'!$Z$2="ON",VLOOKUP($A87,'MacroPD-Cal'!$A:$L,AA$1,FALSE),IF('Ref-Data'!$Z$5 = "Weighted",VLOOKUP($A87,'Model Output_TTC'!$A:$CB,AA$2,FALSE),IF('Ref-Data'!$Z$5="Baseline",VLOOKUP('Input PD LGD'!$A87,'Model Output_TTC'!$A:$AU,'Input PD LGD'!AA$4,FALSE),IF('Ref-Data'!$Z$5="90th Percentile",VLOOKUP('Input PD LGD'!$A87,'Model Output_TTC'!$A:$BP,'Input PD LGD'!AA$6,FALSE),IF('Ref-Data'!$Z$5="96th Percentile",VLOOKUP('Input PD LGD'!$A87,'Model Output_TTC'!$A:$Z,'Input PD LGD'!AA$8,FALSE),"")))))</f>
        <v>3.6000000000000003E-3</v>
      </c>
      <c r="H87" s="276">
        <f>IF('Ref-Data'!$Z$2="ON",VLOOKUP($A87,'MacroPD-Cal'!$A:$L,AB$1,FALSE),IF('Ref-Data'!$Z$5 = "Weighted",VLOOKUP($A87,'Model Output_TTC'!$A:$CB,AB$2,FALSE),IF('Ref-Data'!$Z$5="Baseline",VLOOKUP('Input PD LGD'!$A87,'Model Output_TTC'!$A:$AU,'Input PD LGD'!AB$4,FALSE),IF('Ref-Data'!$Z$5="90th Percentile",VLOOKUP('Input PD LGD'!$A87,'Model Output_TTC'!$A:$BP,'Input PD LGD'!AB$6,FALSE),IF('Ref-Data'!$Z$5="96th Percentile",VLOOKUP('Input PD LGD'!$A87,'Model Output_TTC'!$A:$Z,'Input PD LGD'!AB$8,FALSE),"")))))</f>
        <v>5.4000000000000003E-3</v>
      </c>
      <c r="I87" s="276">
        <f>IF('Ref-Data'!$Z$2="ON",VLOOKUP($A87,'MacroPD-Cal'!$A:$L,AC$1,FALSE),IF('Ref-Data'!$Z$5 = "Weighted",VLOOKUP($A87,'Model Output_TTC'!$A:$CB,AC$2,FALSE),IF('Ref-Data'!$Z$5="Baseline",VLOOKUP('Input PD LGD'!$A87,'Model Output_TTC'!$A:$AU,'Input PD LGD'!AC$4,FALSE),IF('Ref-Data'!$Z$5="90th Percentile",VLOOKUP('Input PD LGD'!$A87,'Model Output_TTC'!$A:$BP,'Input PD LGD'!AC$6,FALSE),IF('Ref-Data'!$Z$5="96th Percentile",VLOOKUP('Input PD LGD'!$A87,'Model Output_TTC'!$A:$Z,'Input PD LGD'!AC$8,FALSE),"")))))</f>
        <v>6.4000000000000003E-3</v>
      </c>
      <c r="J87" s="276">
        <f>IF('Ref-Data'!$Z$2="ON",VLOOKUP($A87,'MacroPD-Cal'!$A:$L,AD$1,FALSE),IF('Ref-Data'!$Z$5 = "Weighted",VLOOKUP($A87,'Model Output_TTC'!$A:$CB,AD$2,FALSE),IF('Ref-Data'!$Z$5="Baseline",VLOOKUP('Input PD LGD'!$A87,'Model Output_TTC'!$A:$AU,'Input PD LGD'!AD$4,FALSE),IF('Ref-Data'!$Z$5="90th Percentile",VLOOKUP('Input PD LGD'!$A87,'Model Output_TTC'!$A:$BP,'Input PD LGD'!AD$6,FALSE),IF('Ref-Data'!$Z$5="96th Percentile",VLOOKUP('Input PD LGD'!$A87,'Model Output_TTC'!$A:$Z,'Input PD LGD'!AD$8,FALSE),"")))))</f>
        <v>9.1999999999999998E-3</v>
      </c>
      <c r="K87" s="276">
        <f>IF('Ref-Data'!$Z$2="ON",VLOOKUP($A87,'MacroPD-Cal'!$A:$L,AE$1,FALSE),IF('Ref-Data'!$Z$5 = "Weighted",VLOOKUP($A87,'Model Output_TTC'!$A:$CB,AE$2,FALSE),IF('Ref-Data'!$Z$5="Baseline",VLOOKUP('Input PD LGD'!$A87,'Model Output_TTC'!$A:$AU,'Input PD LGD'!AE$4,FALSE),IF('Ref-Data'!$Z$5="90th Percentile",VLOOKUP('Input PD LGD'!$A87,'Model Output_TTC'!$A:$BP,'Input PD LGD'!AE$6,FALSE),IF('Ref-Data'!$Z$5="96th Percentile",VLOOKUP('Input PD LGD'!$A87,'Model Output_TTC'!$A:$Z,'Input PD LGD'!AE$8,FALSE),"")))))</f>
        <v>1.2200000000000001E-2</v>
      </c>
      <c r="L87" s="274">
        <f>VLOOKUP(A87,'Ref-Data'!$A:$N,14,0)</f>
        <v>0.15016858201638894</v>
      </c>
      <c r="M87" s="354">
        <f>VLOOKUP(A87,'Ref-Data'!A:I,9,0)</f>
        <v>1</v>
      </c>
      <c r="N87" s="354" t="s">
        <v>1156</v>
      </c>
    </row>
    <row r="88" spans="1:14" x14ac:dyDescent="0.25">
      <c r="A88" s="354">
        <v>1100000244</v>
      </c>
      <c r="B88" s="277" t="str">
        <f>INDEX('Loan Book Summary'!B:C,MATCH('Input PD LGD'!A88,'Loan Book Summary'!C:C,0),1)</f>
        <v>PLHC - Park Lane Healthcare Group - Moorgate - Trading Facility</v>
      </c>
      <c r="C88" s="400">
        <f>VLOOKUP(A88,Reference_Rate_Repricing_Report!B:P,15,FALSE)</f>
        <v>5.6</v>
      </c>
      <c r="D88" s="276">
        <f>IF('Ref-Data'!$Z$2="ON",VLOOKUP($A88,'MacroPD-Cal'!$A:$L,X$1,FALSE),IF('Ref-Data'!$Z$5 = "Weighted",VLOOKUP($A88,'Model Output_TTC'!$A:$CB,X$2,FALSE),IF('Ref-Data'!$Z$5="Baseline",VLOOKUP('Input PD LGD'!$A88,'Model Output_TTC'!$A:$AU,'Input PD LGD'!X$4,FALSE),IF('Ref-Data'!$Z$5="90th Percentile",VLOOKUP('Input PD LGD'!$A88,'Model Output_TTC'!$A:$BP,'Input PD LGD'!X$6,FALSE),IF('Ref-Data'!$Z$5="96th Percentile",VLOOKUP('Input PD LGD'!$A88,'Model Output_TTC'!$A:$Z,'Input PD LGD'!X$8,FALSE),"")))))</f>
        <v>5.8416686889706238E-4</v>
      </c>
      <c r="E88" s="276">
        <f>IF('Ref-Data'!$Z$2="ON",VLOOKUP($A88,'MacroPD-Cal'!$A:$L,Y$1,FALSE),IF('Ref-Data'!$Z$5 = "Weighted",VLOOKUP($A88,'Model Output_TTC'!$A:$CB,Y$2,FALSE),IF('Ref-Data'!$Z$5="Baseline",VLOOKUP('Input PD LGD'!$A88,'Model Output_TTC'!$A:$AU,'Input PD LGD'!Y$4,FALSE),IF('Ref-Data'!$Z$5="90th Percentile",VLOOKUP('Input PD LGD'!$A88,'Model Output_TTC'!$A:$BP,'Input PD LGD'!Y$6,FALSE),IF('Ref-Data'!$Z$5="96th Percentile",VLOOKUP('Input PD LGD'!$A88,'Model Output_TTC'!$A:$Z,'Input PD LGD'!Y$8,FALSE),"")))))</f>
        <v>1.3931759118497311E-3</v>
      </c>
      <c r="F88" s="276">
        <f>IF('Ref-Data'!$Z$2="ON",VLOOKUP($A88,'MacroPD-Cal'!$A:$L,Z$1,FALSE),IF('Ref-Data'!$Z$5 = "Weighted",VLOOKUP($A88,'Model Output_TTC'!$A:$CB,Z$2,FALSE),IF('Ref-Data'!$Z$5="Baseline",VLOOKUP('Input PD LGD'!$A88,'Model Output_TTC'!$A:$AU,'Input PD LGD'!Z$4,FALSE),IF('Ref-Data'!$Z$5="90th Percentile",VLOOKUP('Input PD LGD'!$A88,'Model Output_TTC'!$A:$BP,'Input PD LGD'!Z$6,FALSE),IF('Ref-Data'!$Z$5="96th Percentile",VLOOKUP('Input PD LGD'!$A88,'Model Output_TTC'!$A:$Z,'Input PD LGD'!Z$8,FALSE),"")))))</f>
        <v>2.3342496881620933E-3</v>
      </c>
      <c r="G88" s="276">
        <f>IF('Ref-Data'!$Z$2="ON",VLOOKUP($A88,'MacroPD-Cal'!$A:$L,AA$1,FALSE),IF('Ref-Data'!$Z$5 = "Weighted",VLOOKUP($A88,'Model Output_TTC'!$A:$CB,AA$2,FALSE),IF('Ref-Data'!$Z$5="Baseline",VLOOKUP('Input PD LGD'!$A88,'Model Output_TTC'!$A:$AU,'Input PD LGD'!AA$4,FALSE),IF('Ref-Data'!$Z$5="90th Percentile",VLOOKUP('Input PD LGD'!$A88,'Model Output_TTC'!$A:$BP,'Input PD LGD'!AA$6,FALSE),IF('Ref-Data'!$Z$5="96th Percentile",VLOOKUP('Input PD LGD'!$A88,'Model Output_TTC'!$A:$Z,'Input PD LGD'!AA$8,FALSE),"")))))</f>
        <v>3.6000000000000003E-3</v>
      </c>
      <c r="H88" s="276">
        <f>IF('Ref-Data'!$Z$2="ON",VLOOKUP($A88,'MacroPD-Cal'!$A:$L,AB$1,FALSE),IF('Ref-Data'!$Z$5 = "Weighted",VLOOKUP($A88,'Model Output_TTC'!$A:$CB,AB$2,FALSE),IF('Ref-Data'!$Z$5="Baseline",VLOOKUP('Input PD LGD'!$A88,'Model Output_TTC'!$A:$AU,'Input PD LGD'!AB$4,FALSE),IF('Ref-Data'!$Z$5="90th Percentile",VLOOKUP('Input PD LGD'!$A88,'Model Output_TTC'!$A:$BP,'Input PD LGD'!AB$6,FALSE),IF('Ref-Data'!$Z$5="96th Percentile",VLOOKUP('Input PD LGD'!$A88,'Model Output_TTC'!$A:$Z,'Input PD LGD'!AB$8,FALSE),"")))))</f>
        <v>5.4000000000000003E-3</v>
      </c>
      <c r="I88" s="276">
        <f>IF('Ref-Data'!$Z$2="ON",VLOOKUP($A88,'MacroPD-Cal'!$A:$L,AC$1,FALSE),IF('Ref-Data'!$Z$5 = "Weighted",VLOOKUP($A88,'Model Output_TTC'!$A:$CB,AC$2,FALSE),IF('Ref-Data'!$Z$5="Baseline",VLOOKUP('Input PD LGD'!$A88,'Model Output_TTC'!$A:$AU,'Input PD LGD'!AC$4,FALSE),IF('Ref-Data'!$Z$5="90th Percentile",VLOOKUP('Input PD LGD'!$A88,'Model Output_TTC'!$A:$BP,'Input PD LGD'!AC$6,FALSE),IF('Ref-Data'!$Z$5="96th Percentile",VLOOKUP('Input PD LGD'!$A88,'Model Output_TTC'!$A:$Z,'Input PD LGD'!AC$8,FALSE),"")))))</f>
        <v>6.4000000000000003E-3</v>
      </c>
      <c r="J88" s="276">
        <f>IF('Ref-Data'!$Z$2="ON",VLOOKUP($A88,'MacroPD-Cal'!$A:$L,AD$1,FALSE),IF('Ref-Data'!$Z$5 = "Weighted",VLOOKUP($A88,'Model Output_TTC'!$A:$CB,AD$2,FALSE),IF('Ref-Data'!$Z$5="Baseline",VLOOKUP('Input PD LGD'!$A88,'Model Output_TTC'!$A:$AU,'Input PD LGD'!AD$4,FALSE),IF('Ref-Data'!$Z$5="90th Percentile",VLOOKUP('Input PD LGD'!$A88,'Model Output_TTC'!$A:$BP,'Input PD LGD'!AD$6,FALSE),IF('Ref-Data'!$Z$5="96th Percentile",VLOOKUP('Input PD LGD'!$A88,'Model Output_TTC'!$A:$Z,'Input PD LGD'!AD$8,FALSE),"")))))</f>
        <v>9.1999999999999998E-3</v>
      </c>
      <c r="K88" s="276">
        <f>IF('Ref-Data'!$Z$2="ON",VLOOKUP($A88,'MacroPD-Cal'!$A:$L,AE$1,FALSE),IF('Ref-Data'!$Z$5 = "Weighted",VLOOKUP($A88,'Model Output_TTC'!$A:$CB,AE$2,FALSE),IF('Ref-Data'!$Z$5="Baseline",VLOOKUP('Input PD LGD'!$A88,'Model Output_TTC'!$A:$AU,'Input PD LGD'!AE$4,FALSE),IF('Ref-Data'!$Z$5="90th Percentile",VLOOKUP('Input PD LGD'!$A88,'Model Output_TTC'!$A:$BP,'Input PD LGD'!AE$6,FALSE),IF('Ref-Data'!$Z$5="96th Percentile",VLOOKUP('Input PD LGD'!$A88,'Model Output_TTC'!$A:$Z,'Input PD LGD'!AE$8,FALSE),"")))))</f>
        <v>1.2200000000000001E-2</v>
      </c>
      <c r="L88" s="274">
        <f>VLOOKUP(A88,'Ref-Data'!$A:$N,14,0)</f>
        <v>0.15016858201638894</v>
      </c>
      <c r="M88" s="354">
        <f>VLOOKUP(A88,'Ref-Data'!A:I,9,0)</f>
        <v>1</v>
      </c>
      <c r="N88" s="354" t="s">
        <v>1156</v>
      </c>
    </row>
    <row r="89" spans="1:14" x14ac:dyDescent="0.25">
      <c r="A89" s="354">
        <v>1100000248</v>
      </c>
      <c r="B89" s="277" t="str">
        <f>INDEX('Loan Book Summary'!B:C,MATCH('Input PD LGD'!A89,'Loan Book Summary'!C:C,0),1)</f>
        <v>Inn Collection Bidco - Business Trading - Facility G - Refinance of A/B/D</v>
      </c>
      <c r="C89" s="400">
        <f>VLOOKUP(A89,Reference_Rate_Repricing_Report!B:P,15,FALSE)</f>
        <v>5.7</v>
      </c>
      <c r="D89" s="276">
        <f>IF('Ref-Data'!$Z$2="ON",VLOOKUP($A89,'MacroPD-Cal'!$A:$L,X$1,FALSE),IF('Ref-Data'!$Z$5 = "Weighted",VLOOKUP($A89,'Model Output_TTC'!$A:$CB,X$2,FALSE),IF('Ref-Data'!$Z$5="Baseline",VLOOKUP('Input PD LGD'!$A89,'Model Output_TTC'!$A:$AU,'Input PD LGD'!X$4,FALSE),IF('Ref-Data'!$Z$5="90th Percentile",VLOOKUP('Input PD LGD'!$A89,'Model Output_TTC'!$A:$BP,'Input PD LGD'!X$6,FALSE),IF('Ref-Data'!$Z$5="96th Percentile",VLOOKUP('Input PD LGD'!$A89,'Model Output_TTC'!$A:$Z,'Input PD LGD'!X$8,FALSE),"")))))</f>
        <v>4.0228091930422216E-3</v>
      </c>
      <c r="E89" s="276">
        <f>IF('Ref-Data'!$Z$2="ON",VLOOKUP($A89,'MacroPD-Cal'!$A:$L,Y$1,FALSE),IF('Ref-Data'!$Z$5 = "Weighted",VLOOKUP($A89,'Model Output_TTC'!$A:$CB,Y$2,FALSE),IF('Ref-Data'!$Z$5="Baseline",VLOOKUP('Input PD LGD'!$A89,'Model Output_TTC'!$A:$AU,'Input PD LGD'!Y$4,FALSE),IF('Ref-Data'!$Z$5="90th Percentile",VLOOKUP('Input PD LGD'!$A89,'Model Output_TTC'!$A:$BP,'Input PD LGD'!Y$6,FALSE),IF('Ref-Data'!$Z$5="96th Percentile",VLOOKUP('Input PD LGD'!$A89,'Model Output_TTC'!$A:$Z,'Input PD LGD'!Y$8,FALSE),"")))))</f>
        <v>9.2938867723136864E-3</v>
      </c>
      <c r="F89" s="276">
        <f>IF('Ref-Data'!$Z$2="ON",VLOOKUP($A89,'MacroPD-Cal'!$A:$L,Z$1,FALSE),IF('Ref-Data'!$Z$5 = "Weighted",VLOOKUP($A89,'Model Output_TTC'!$A:$CB,Z$2,FALSE),IF('Ref-Data'!$Z$5="Baseline",VLOOKUP('Input PD LGD'!$A89,'Model Output_TTC'!$A:$AU,'Input PD LGD'!Z$4,FALSE),IF('Ref-Data'!$Z$5="90th Percentile",VLOOKUP('Input PD LGD'!$A89,'Model Output_TTC'!$A:$BP,'Input PD LGD'!Z$6,FALSE),IF('Ref-Data'!$Z$5="96th Percentile",VLOOKUP('Input PD LGD'!$A89,'Model Output_TTC'!$A:$Z,'Input PD LGD'!Z$8,FALSE),"")))))</f>
        <v>1.5249624684039231E-2</v>
      </c>
      <c r="G89" s="276">
        <f>IF('Ref-Data'!$Z$2="ON",VLOOKUP($A89,'MacroPD-Cal'!$A:$L,AA$1,FALSE),IF('Ref-Data'!$Z$5 = "Weighted",VLOOKUP($A89,'Model Output_TTC'!$A:$CB,AA$2,FALSE),IF('Ref-Data'!$Z$5="Baseline",VLOOKUP('Input PD LGD'!$A89,'Model Output_TTC'!$A:$AU,'Input PD LGD'!AA$4,FALSE),IF('Ref-Data'!$Z$5="90th Percentile",VLOOKUP('Input PD LGD'!$A89,'Model Output_TTC'!$A:$BP,'Input PD LGD'!AA$6,FALSE),IF('Ref-Data'!$Z$5="96th Percentile",VLOOKUP('Input PD LGD'!$A89,'Model Output_TTC'!$A:$Z,'Input PD LGD'!AA$8,FALSE),"")))))</f>
        <v>2.29E-2</v>
      </c>
      <c r="H89" s="276">
        <f>IF('Ref-Data'!$Z$2="ON",VLOOKUP($A89,'MacroPD-Cal'!$A:$L,AB$1,FALSE),IF('Ref-Data'!$Z$5 = "Weighted",VLOOKUP($A89,'Model Output_TTC'!$A:$CB,AB$2,FALSE),IF('Ref-Data'!$Z$5="Baseline",VLOOKUP('Input PD LGD'!$A89,'Model Output_TTC'!$A:$AU,'Input PD LGD'!AB$4,FALSE),IF('Ref-Data'!$Z$5="90th Percentile",VLOOKUP('Input PD LGD'!$A89,'Model Output_TTC'!$A:$BP,'Input PD LGD'!AB$6,FALSE),IF('Ref-Data'!$Z$5="96th Percentile",VLOOKUP('Input PD LGD'!$A89,'Model Output_TTC'!$A:$Z,'Input PD LGD'!AB$8,FALSE),"")))))</f>
        <v>3.2899999999999999E-2</v>
      </c>
      <c r="I89" s="276">
        <f>IF('Ref-Data'!$Z$2="ON",VLOOKUP($A89,'MacroPD-Cal'!$A:$L,AC$1,FALSE),IF('Ref-Data'!$Z$5 = "Weighted",VLOOKUP($A89,'Model Output_TTC'!$A:$CB,AC$2,FALSE),IF('Ref-Data'!$Z$5="Baseline",VLOOKUP('Input PD LGD'!$A89,'Model Output_TTC'!$A:$AU,'Input PD LGD'!AC$4,FALSE),IF('Ref-Data'!$Z$5="90th Percentile",VLOOKUP('Input PD LGD'!$A89,'Model Output_TTC'!$A:$BP,'Input PD LGD'!AC$6,FALSE),IF('Ref-Data'!$Z$5="96th Percentile",VLOOKUP('Input PD LGD'!$A89,'Model Output_TTC'!$A:$Z,'Input PD LGD'!AC$8,FALSE),"")))))</f>
        <v>3.8300000000000001E-2</v>
      </c>
      <c r="J89" s="276">
        <f>IF('Ref-Data'!$Z$2="ON",VLOOKUP($A89,'MacroPD-Cal'!$A:$L,AD$1,FALSE),IF('Ref-Data'!$Z$5 = "Weighted",VLOOKUP($A89,'Model Output_TTC'!$A:$CB,AD$2,FALSE),IF('Ref-Data'!$Z$5="Baseline",VLOOKUP('Input PD LGD'!$A89,'Model Output_TTC'!$A:$AU,'Input PD LGD'!AD$4,FALSE),IF('Ref-Data'!$Z$5="90th Percentile",VLOOKUP('Input PD LGD'!$A89,'Model Output_TTC'!$A:$BP,'Input PD LGD'!AD$6,FALSE),IF('Ref-Data'!$Z$5="96th Percentile",VLOOKUP('Input PD LGD'!$A89,'Model Output_TTC'!$A:$Z,'Input PD LGD'!AD$8,FALSE),"")))))</f>
        <v>4.9700000000000001E-2</v>
      </c>
      <c r="K89" s="276">
        <f>IF('Ref-Data'!$Z$2="ON",VLOOKUP($A89,'MacroPD-Cal'!$A:$L,AE$1,FALSE),IF('Ref-Data'!$Z$5 = "Weighted",VLOOKUP($A89,'Model Output_TTC'!$A:$CB,AE$2,FALSE),IF('Ref-Data'!$Z$5="Baseline",VLOOKUP('Input PD LGD'!$A89,'Model Output_TTC'!$A:$AU,'Input PD LGD'!AE$4,FALSE),IF('Ref-Data'!$Z$5="90th Percentile",VLOOKUP('Input PD LGD'!$A89,'Model Output_TTC'!$A:$BP,'Input PD LGD'!AE$6,FALSE),IF('Ref-Data'!$Z$5="96th Percentile",VLOOKUP('Input PD LGD'!$A89,'Model Output_TTC'!$A:$Z,'Input PD LGD'!AE$8,FALSE),"")))))</f>
        <v>6.08E-2</v>
      </c>
      <c r="L89" s="274">
        <f>VLOOKUP(A89,'Ref-Data'!$A:$N,14,0)</f>
        <v>0.35859999999999997</v>
      </c>
      <c r="M89" s="354">
        <f>VLOOKUP(A89,'Ref-Data'!A:I,9,0)</f>
        <v>1</v>
      </c>
      <c r="N89" s="354" t="s">
        <v>1156</v>
      </c>
    </row>
    <row r="90" spans="1:14" x14ac:dyDescent="0.25">
      <c r="A90" s="354">
        <v>1100000249</v>
      </c>
      <c r="B90" s="277" t="str">
        <f>INDEX('Loan Book Summary'!B:C,MATCH('Input PD LGD'!A90,'Loan Book Summary'!C:C,0),1)</f>
        <v>Inn Collection Bidco - Business Trading - Facility H10 - Black Swan IC Site</v>
      </c>
      <c r="C90" s="400">
        <f>VLOOKUP(A90,Reference_Rate_Repricing_Report!B:P,15,FALSE)</f>
        <v>6.2</v>
      </c>
      <c r="D90" s="276">
        <f>IF('Ref-Data'!$Z$2="ON",VLOOKUP($A90,'MacroPD-Cal'!$A:$L,X$1,FALSE),IF('Ref-Data'!$Z$5 = "Weighted",VLOOKUP($A90,'Model Output_TTC'!$A:$CB,X$2,FALSE),IF('Ref-Data'!$Z$5="Baseline",VLOOKUP('Input PD LGD'!$A90,'Model Output_TTC'!$A:$AU,'Input PD LGD'!X$4,FALSE),IF('Ref-Data'!$Z$5="90th Percentile",VLOOKUP('Input PD LGD'!$A90,'Model Output_TTC'!$A:$BP,'Input PD LGD'!X$6,FALSE),IF('Ref-Data'!$Z$5="96th Percentile",VLOOKUP('Input PD LGD'!$A90,'Model Output_TTC'!$A:$Z,'Input PD LGD'!X$8,FALSE),"")))))</f>
        <v>4.0228091930422216E-3</v>
      </c>
      <c r="E90" s="276">
        <f>IF('Ref-Data'!$Z$2="ON",VLOOKUP($A90,'MacroPD-Cal'!$A:$L,Y$1,FALSE),IF('Ref-Data'!$Z$5 = "Weighted",VLOOKUP($A90,'Model Output_TTC'!$A:$CB,Y$2,FALSE),IF('Ref-Data'!$Z$5="Baseline",VLOOKUP('Input PD LGD'!$A90,'Model Output_TTC'!$A:$AU,'Input PD LGD'!Y$4,FALSE),IF('Ref-Data'!$Z$5="90th Percentile",VLOOKUP('Input PD LGD'!$A90,'Model Output_TTC'!$A:$BP,'Input PD LGD'!Y$6,FALSE),IF('Ref-Data'!$Z$5="96th Percentile",VLOOKUP('Input PD LGD'!$A90,'Model Output_TTC'!$A:$Z,'Input PD LGD'!Y$8,FALSE),"")))))</f>
        <v>9.2938867723136864E-3</v>
      </c>
      <c r="F90" s="276">
        <f>IF('Ref-Data'!$Z$2="ON",VLOOKUP($A90,'MacroPD-Cal'!$A:$L,Z$1,FALSE),IF('Ref-Data'!$Z$5 = "Weighted",VLOOKUP($A90,'Model Output_TTC'!$A:$CB,Z$2,FALSE),IF('Ref-Data'!$Z$5="Baseline",VLOOKUP('Input PD LGD'!$A90,'Model Output_TTC'!$A:$AU,'Input PD LGD'!Z$4,FALSE),IF('Ref-Data'!$Z$5="90th Percentile",VLOOKUP('Input PD LGD'!$A90,'Model Output_TTC'!$A:$BP,'Input PD LGD'!Z$6,FALSE),IF('Ref-Data'!$Z$5="96th Percentile",VLOOKUP('Input PD LGD'!$A90,'Model Output_TTC'!$A:$Z,'Input PD LGD'!Z$8,FALSE),"")))))</f>
        <v>1.5249624684039231E-2</v>
      </c>
      <c r="G90" s="276">
        <f>IF('Ref-Data'!$Z$2="ON",VLOOKUP($A90,'MacroPD-Cal'!$A:$L,AA$1,FALSE),IF('Ref-Data'!$Z$5 = "Weighted",VLOOKUP($A90,'Model Output_TTC'!$A:$CB,AA$2,FALSE),IF('Ref-Data'!$Z$5="Baseline",VLOOKUP('Input PD LGD'!$A90,'Model Output_TTC'!$A:$AU,'Input PD LGD'!AA$4,FALSE),IF('Ref-Data'!$Z$5="90th Percentile",VLOOKUP('Input PD LGD'!$A90,'Model Output_TTC'!$A:$BP,'Input PD LGD'!AA$6,FALSE),IF('Ref-Data'!$Z$5="96th Percentile",VLOOKUP('Input PD LGD'!$A90,'Model Output_TTC'!$A:$Z,'Input PD LGD'!AA$8,FALSE),"")))))</f>
        <v>2.29E-2</v>
      </c>
      <c r="H90" s="276">
        <f>IF('Ref-Data'!$Z$2="ON",VLOOKUP($A90,'MacroPD-Cal'!$A:$L,AB$1,FALSE),IF('Ref-Data'!$Z$5 = "Weighted",VLOOKUP($A90,'Model Output_TTC'!$A:$CB,AB$2,FALSE),IF('Ref-Data'!$Z$5="Baseline",VLOOKUP('Input PD LGD'!$A90,'Model Output_TTC'!$A:$AU,'Input PD LGD'!AB$4,FALSE),IF('Ref-Data'!$Z$5="90th Percentile",VLOOKUP('Input PD LGD'!$A90,'Model Output_TTC'!$A:$BP,'Input PD LGD'!AB$6,FALSE),IF('Ref-Data'!$Z$5="96th Percentile",VLOOKUP('Input PD LGD'!$A90,'Model Output_TTC'!$A:$Z,'Input PD LGD'!AB$8,FALSE),"")))))</f>
        <v>3.2899999999999999E-2</v>
      </c>
      <c r="I90" s="276">
        <f>IF('Ref-Data'!$Z$2="ON",VLOOKUP($A90,'MacroPD-Cal'!$A:$L,AC$1,FALSE),IF('Ref-Data'!$Z$5 = "Weighted",VLOOKUP($A90,'Model Output_TTC'!$A:$CB,AC$2,FALSE),IF('Ref-Data'!$Z$5="Baseline",VLOOKUP('Input PD LGD'!$A90,'Model Output_TTC'!$A:$AU,'Input PD LGD'!AC$4,FALSE),IF('Ref-Data'!$Z$5="90th Percentile",VLOOKUP('Input PD LGD'!$A90,'Model Output_TTC'!$A:$BP,'Input PD LGD'!AC$6,FALSE),IF('Ref-Data'!$Z$5="96th Percentile",VLOOKUP('Input PD LGD'!$A90,'Model Output_TTC'!$A:$Z,'Input PD LGD'!AC$8,FALSE),"")))))</f>
        <v>3.8300000000000001E-2</v>
      </c>
      <c r="J90" s="276">
        <f>IF('Ref-Data'!$Z$2="ON",VLOOKUP($A90,'MacroPD-Cal'!$A:$L,AD$1,FALSE),IF('Ref-Data'!$Z$5 = "Weighted",VLOOKUP($A90,'Model Output_TTC'!$A:$CB,AD$2,FALSE),IF('Ref-Data'!$Z$5="Baseline",VLOOKUP('Input PD LGD'!$A90,'Model Output_TTC'!$A:$AU,'Input PD LGD'!AD$4,FALSE),IF('Ref-Data'!$Z$5="90th Percentile",VLOOKUP('Input PD LGD'!$A90,'Model Output_TTC'!$A:$BP,'Input PD LGD'!AD$6,FALSE),IF('Ref-Data'!$Z$5="96th Percentile",VLOOKUP('Input PD LGD'!$A90,'Model Output_TTC'!$A:$Z,'Input PD LGD'!AD$8,FALSE),"")))))</f>
        <v>4.9700000000000001E-2</v>
      </c>
      <c r="K90" s="276">
        <f>IF('Ref-Data'!$Z$2="ON",VLOOKUP($A90,'MacroPD-Cal'!$A:$L,AE$1,FALSE),IF('Ref-Data'!$Z$5 = "Weighted",VLOOKUP($A90,'Model Output_TTC'!$A:$CB,AE$2,FALSE),IF('Ref-Data'!$Z$5="Baseline",VLOOKUP('Input PD LGD'!$A90,'Model Output_TTC'!$A:$AU,'Input PD LGD'!AE$4,FALSE),IF('Ref-Data'!$Z$5="90th Percentile",VLOOKUP('Input PD LGD'!$A90,'Model Output_TTC'!$A:$BP,'Input PD LGD'!AE$6,FALSE),IF('Ref-Data'!$Z$5="96th Percentile",VLOOKUP('Input PD LGD'!$A90,'Model Output_TTC'!$A:$Z,'Input PD LGD'!AE$8,FALSE),"")))))</f>
        <v>6.08E-2</v>
      </c>
      <c r="L90" s="274">
        <f>VLOOKUP(A90,'Ref-Data'!$A:$N,14,0)</f>
        <v>0.35859999999999997</v>
      </c>
      <c r="M90" s="354">
        <f>VLOOKUP(A90,'Ref-Data'!A:I,9,0)</f>
        <v>1</v>
      </c>
      <c r="N90" s="354" t="s">
        <v>1156</v>
      </c>
    </row>
    <row r="91" spans="1:14" x14ac:dyDescent="0.25">
      <c r="A91" s="354">
        <v>1100000258</v>
      </c>
      <c r="B91" s="277" t="str">
        <f>INDEX('Loan Book Summary'!B:C,MATCH('Input PD LGD'!A91,'Loan Book Summary'!C:C,0),1)</f>
        <v>Inn Collection Bidco - Business Trading - Facility H11 - Swan IC Site</v>
      </c>
      <c r="C91" s="400">
        <f>VLOOKUP(A91,Reference_Rate_Repricing_Report!B:P,15,FALSE)</f>
        <v>6.2</v>
      </c>
      <c r="D91" s="276">
        <f>IF('Ref-Data'!$Z$2="ON",VLOOKUP($A91,'MacroPD-Cal'!$A:$L,X$1,FALSE),IF('Ref-Data'!$Z$5 = "Weighted",VLOOKUP($A91,'Model Output_TTC'!$A:$CB,X$2,FALSE),IF('Ref-Data'!$Z$5="Baseline",VLOOKUP('Input PD LGD'!$A91,'Model Output_TTC'!$A:$AU,'Input PD LGD'!X$4,FALSE),IF('Ref-Data'!$Z$5="90th Percentile",VLOOKUP('Input PD LGD'!$A91,'Model Output_TTC'!$A:$BP,'Input PD LGD'!X$6,FALSE),IF('Ref-Data'!$Z$5="96th Percentile",VLOOKUP('Input PD LGD'!$A91,'Model Output_TTC'!$A:$Z,'Input PD LGD'!X$8,FALSE),"")))))</f>
        <v>4.0228091930422216E-3</v>
      </c>
      <c r="E91" s="276">
        <f>IF('Ref-Data'!$Z$2="ON",VLOOKUP($A91,'MacroPD-Cal'!$A:$L,Y$1,FALSE),IF('Ref-Data'!$Z$5 = "Weighted",VLOOKUP($A91,'Model Output_TTC'!$A:$CB,Y$2,FALSE),IF('Ref-Data'!$Z$5="Baseline",VLOOKUP('Input PD LGD'!$A91,'Model Output_TTC'!$A:$AU,'Input PD LGD'!Y$4,FALSE),IF('Ref-Data'!$Z$5="90th Percentile",VLOOKUP('Input PD LGD'!$A91,'Model Output_TTC'!$A:$BP,'Input PD LGD'!Y$6,FALSE),IF('Ref-Data'!$Z$5="96th Percentile",VLOOKUP('Input PD LGD'!$A91,'Model Output_TTC'!$A:$Z,'Input PD LGD'!Y$8,FALSE),"")))))</f>
        <v>9.2938867723136864E-3</v>
      </c>
      <c r="F91" s="276">
        <f>IF('Ref-Data'!$Z$2="ON",VLOOKUP($A91,'MacroPD-Cal'!$A:$L,Z$1,FALSE),IF('Ref-Data'!$Z$5 = "Weighted",VLOOKUP($A91,'Model Output_TTC'!$A:$CB,Z$2,FALSE),IF('Ref-Data'!$Z$5="Baseline",VLOOKUP('Input PD LGD'!$A91,'Model Output_TTC'!$A:$AU,'Input PD LGD'!Z$4,FALSE),IF('Ref-Data'!$Z$5="90th Percentile",VLOOKUP('Input PD LGD'!$A91,'Model Output_TTC'!$A:$BP,'Input PD LGD'!Z$6,FALSE),IF('Ref-Data'!$Z$5="96th Percentile",VLOOKUP('Input PD LGD'!$A91,'Model Output_TTC'!$A:$Z,'Input PD LGD'!Z$8,FALSE),"")))))</f>
        <v>1.5249624684039231E-2</v>
      </c>
      <c r="G91" s="276">
        <f>IF('Ref-Data'!$Z$2="ON",VLOOKUP($A91,'MacroPD-Cal'!$A:$L,AA$1,FALSE),IF('Ref-Data'!$Z$5 = "Weighted",VLOOKUP($A91,'Model Output_TTC'!$A:$CB,AA$2,FALSE),IF('Ref-Data'!$Z$5="Baseline",VLOOKUP('Input PD LGD'!$A91,'Model Output_TTC'!$A:$AU,'Input PD LGD'!AA$4,FALSE),IF('Ref-Data'!$Z$5="90th Percentile",VLOOKUP('Input PD LGD'!$A91,'Model Output_TTC'!$A:$BP,'Input PD LGD'!AA$6,FALSE),IF('Ref-Data'!$Z$5="96th Percentile",VLOOKUP('Input PD LGD'!$A91,'Model Output_TTC'!$A:$Z,'Input PD LGD'!AA$8,FALSE),"")))))</f>
        <v>2.29E-2</v>
      </c>
      <c r="H91" s="276">
        <f>IF('Ref-Data'!$Z$2="ON",VLOOKUP($A91,'MacroPD-Cal'!$A:$L,AB$1,FALSE),IF('Ref-Data'!$Z$5 = "Weighted",VLOOKUP($A91,'Model Output_TTC'!$A:$CB,AB$2,FALSE),IF('Ref-Data'!$Z$5="Baseline",VLOOKUP('Input PD LGD'!$A91,'Model Output_TTC'!$A:$AU,'Input PD LGD'!AB$4,FALSE),IF('Ref-Data'!$Z$5="90th Percentile",VLOOKUP('Input PD LGD'!$A91,'Model Output_TTC'!$A:$BP,'Input PD LGD'!AB$6,FALSE),IF('Ref-Data'!$Z$5="96th Percentile",VLOOKUP('Input PD LGD'!$A91,'Model Output_TTC'!$A:$Z,'Input PD LGD'!AB$8,FALSE),"")))))</f>
        <v>3.2899999999999999E-2</v>
      </c>
      <c r="I91" s="276">
        <f>IF('Ref-Data'!$Z$2="ON",VLOOKUP($A91,'MacroPD-Cal'!$A:$L,AC$1,FALSE),IF('Ref-Data'!$Z$5 = "Weighted",VLOOKUP($A91,'Model Output_TTC'!$A:$CB,AC$2,FALSE),IF('Ref-Data'!$Z$5="Baseline",VLOOKUP('Input PD LGD'!$A91,'Model Output_TTC'!$A:$AU,'Input PD LGD'!AC$4,FALSE),IF('Ref-Data'!$Z$5="90th Percentile",VLOOKUP('Input PD LGD'!$A91,'Model Output_TTC'!$A:$BP,'Input PD LGD'!AC$6,FALSE),IF('Ref-Data'!$Z$5="96th Percentile",VLOOKUP('Input PD LGD'!$A91,'Model Output_TTC'!$A:$Z,'Input PD LGD'!AC$8,FALSE),"")))))</f>
        <v>3.8300000000000001E-2</v>
      </c>
      <c r="J91" s="276">
        <f>IF('Ref-Data'!$Z$2="ON",VLOOKUP($A91,'MacroPD-Cal'!$A:$L,AD$1,FALSE),IF('Ref-Data'!$Z$5 = "Weighted",VLOOKUP($A91,'Model Output_TTC'!$A:$CB,AD$2,FALSE),IF('Ref-Data'!$Z$5="Baseline",VLOOKUP('Input PD LGD'!$A91,'Model Output_TTC'!$A:$AU,'Input PD LGD'!AD$4,FALSE),IF('Ref-Data'!$Z$5="90th Percentile",VLOOKUP('Input PD LGD'!$A91,'Model Output_TTC'!$A:$BP,'Input PD LGD'!AD$6,FALSE),IF('Ref-Data'!$Z$5="96th Percentile",VLOOKUP('Input PD LGD'!$A91,'Model Output_TTC'!$A:$Z,'Input PD LGD'!AD$8,FALSE),"")))))</f>
        <v>4.9700000000000001E-2</v>
      </c>
      <c r="K91" s="276">
        <f>IF('Ref-Data'!$Z$2="ON",VLOOKUP($A91,'MacroPD-Cal'!$A:$L,AE$1,FALSE),IF('Ref-Data'!$Z$5 = "Weighted",VLOOKUP($A91,'Model Output_TTC'!$A:$CB,AE$2,FALSE),IF('Ref-Data'!$Z$5="Baseline",VLOOKUP('Input PD LGD'!$A91,'Model Output_TTC'!$A:$AU,'Input PD LGD'!AE$4,FALSE),IF('Ref-Data'!$Z$5="90th Percentile",VLOOKUP('Input PD LGD'!$A91,'Model Output_TTC'!$A:$BP,'Input PD LGD'!AE$6,FALSE),IF('Ref-Data'!$Z$5="96th Percentile",VLOOKUP('Input PD LGD'!$A91,'Model Output_TTC'!$A:$Z,'Input PD LGD'!AE$8,FALSE),"")))))</f>
        <v>6.08E-2</v>
      </c>
      <c r="L91" s="274">
        <f>VLOOKUP(A91,'Ref-Data'!$A:$N,14,0)</f>
        <v>0.35859999999999997</v>
      </c>
      <c r="M91" s="354">
        <f>VLOOKUP(A91,'Ref-Data'!A:I,9,0)</f>
        <v>1</v>
      </c>
      <c r="N91" s="354" t="s">
        <v>1156</v>
      </c>
    </row>
    <row r="92" spans="1:14" x14ac:dyDescent="0.25">
      <c r="A92" s="354">
        <v>1100000259</v>
      </c>
      <c r="B92" s="277" t="str">
        <f>INDEX('Loan Book Summary'!B:C,MATCH('Input PD LGD'!A92,'Loan Book Summary'!C:C,0),1)</f>
        <v>Inn Collection Bidco - Business Trading - Facility H12 - Temperance IC Site</v>
      </c>
      <c r="C92" s="400">
        <f>VLOOKUP(A92,Reference_Rate_Repricing_Report!B:P,15,FALSE)</f>
        <v>6.2</v>
      </c>
      <c r="D92" s="276">
        <f>IF('Ref-Data'!$Z$2="ON",VLOOKUP($A92,'MacroPD-Cal'!$A:$L,X$1,FALSE),IF('Ref-Data'!$Z$5 = "Weighted",VLOOKUP($A92,'Model Output_TTC'!$A:$CB,X$2,FALSE),IF('Ref-Data'!$Z$5="Baseline",VLOOKUP('Input PD LGD'!$A92,'Model Output_TTC'!$A:$AU,'Input PD LGD'!X$4,FALSE),IF('Ref-Data'!$Z$5="90th Percentile",VLOOKUP('Input PD LGD'!$A92,'Model Output_TTC'!$A:$BP,'Input PD LGD'!X$6,FALSE),IF('Ref-Data'!$Z$5="96th Percentile",VLOOKUP('Input PD LGD'!$A92,'Model Output_TTC'!$A:$Z,'Input PD LGD'!X$8,FALSE),"")))))</f>
        <v>4.0228091930422216E-3</v>
      </c>
      <c r="E92" s="276">
        <f>IF('Ref-Data'!$Z$2="ON",VLOOKUP($A92,'MacroPD-Cal'!$A:$L,Y$1,FALSE),IF('Ref-Data'!$Z$5 = "Weighted",VLOOKUP($A92,'Model Output_TTC'!$A:$CB,Y$2,FALSE),IF('Ref-Data'!$Z$5="Baseline",VLOOKUP('Input PD LGD'!$A92,'Model Output_TTC'!$A:$AU,'Input PD LGD'!Y$4,FALSE),IF('Ref-Data'!$Z$5="90th Percentile",VLOOKUP('Input PD LGD'!$A92,'Model Output_TTC'!$A:$BP,'Input PD LGD'!Y$6,FALSE),IF('Ref-Data'!$Z$5="96th Percentile",VLOOKUP('Input PD LGD'!$A92,'Model Output_TTC'!$A:$Z,'Input PD LGD'!Y$8,FALSE),"")))))</f>
        <v>9.2938867723136864E-3</v>
      </c>
      <c r="F92" s="276">
        <f>IF('Ref-Data'!$Z$2="ON",VLOOKUP($A92,'MacroPD-Cal'!$A:$L,Z$1,FALSE),IF('Ref-Data'!$Z$5 = "Weighted",VLOOKUP($A92,'Model Output_TTC'!$A:$CB,Z$2,FALSE),IF('Ref-Data'!$Z$5="Baseline",VLOOKUP('Input PD LGD'!$A92,'Model Output_TTC'!$A:$AU,'Input PD LGD'!Z$4,FALSE),IF('Ref-Data'!$Z$5="90th Percentile",VLOOKUP('Input PD LGD'!$A92,'Model Output_TTC'!$A:$BP,'Input PD LGD'!Z$6,FALSE),IF('Ref-Data'!$Z$5="96th Percentile",VLOOKUP('Input PD LGD'!$A92,'Model Output_TTC'!$A:$Z,'Input PD LGD'!Z$8,FALSE),"")))))</f>
        <v>1.5249624684039231E-2</v>
      </c>
      <c r="G92" s="276">
        <f>IF('Ref-Data'!$Z$2="ON",VLOOKUP($A92,'MacroPD-Cal'!$A:$L,AA$1,FALSE),IF('Ref-Data'!$Z$5 = "Weighted",VLOOKUP($A92,'Model Output_TTC'!$A:$CB,AA$2,FALSE),IF('Ref-Data'!$Z$5="Baseline",VLOOKUP('Input PD LGD'!$A92,'Model Output_TTC'!$A:$AU,'Input PD LGD'!AA$4,FALSE),IF('Ref-Data'!$Z$5="90th Percentile",VLOOKUP('Input PD LGD'!$A92,'Model Output_TTC'!$A:$BP,'Input PD LGD'!AA$6,FALSE),IF('Ref-Data'!$Z$5="96th Percentile",VLOOKUP('Input PD LGD'!$A92,'Model Output_TTC'!$A:$Z,'Input PD LGD'!AA$8,FALSE),"")))))</f>
        <v>2.29E-2</v>
      </c>
      <c r="H92" s="276">
        <f>IF('Ref-Data'!$Z$2="ON",VLOOKUP($A92,'MacroPD-Cal'!$A:$L,AB$1,FALSE),IF('Ref-Data'!$Z$5 = "Weighted",VLOOKUP($A92,'Model Output_TTC'!$A:$CB,AB$2,FALSE),IF('Ref-Data'!$Z$5="Baseline",VLOOKUP('Input PD LGD'!$A92,'Model Output_TTC'!$A:$AU,'Input PD LGD'!AB$4,FALSE),IF('Ref-Data'!$Z$5="90th Percentile",VLOOKUP('Input PD LGD'!$A92,'Model Output_TTC'!$A:$BP,'Input PD LGD'!AB$6,FALSE),IF('Ref-Data'!$Z$5="96th Percentile",VLOOKUP('Input PD LGD'!$A92,'Model Output_TTC'!$A:$Z,'Input PD LGD'!AB$8,FALSE),"")))))</f>
        <v>3.2899999999999999E-2</v>
      </c>
      <c r="I92" s="276">
        <f>IF('Ref-Data'!$Z$2="ON",VLOOKUP($A92,'MacroPD-Cal'!$A:$L,AC$1,FALSE),IF('Ref-Data'!$Z$5 = "Weighted",VLOOKUP($A92,'Model Output_TTC'!$A:$CB,AC$2,FALSE),IF('Ref-Data'!$Z$5="Baseline",VLOOKUP('Input PD LGD'!$A92,'Model Output_TTC'!$A:$AU,'Input PD LGD'!AC$4,FALSE),IF('Ref-Data'!$Z$5="90th Percentile",VLOOKUP('Input PD LGD'!$A92,'Model Output_TTC'!$A:$BP,'Input PD LGD'!AC$6,FALSE),IF('Ref-Data'!$Z$5="96th Percentile",VLOOKUP('Input PD LGD'!$A92,'Model Output_TTC'!$A:$Z,'Input PD LGD'!AC$8,FALSE),"")))))</f>
        <v>3.8300000000000001E-2</v>
      </c>
      <c r="J92" s="276">
        <f>IF('Ref-Data'!$Z$2="ON",VLOOKUP($A92,'MacroPD-Cal'!$A:$L,AD$1,FALSE),IF('Ref-Data'!$Z$5 = "Weighted",VLOOKUP($A92,'Model Output_TTC'!$A:$CB,AD$2,FALSE),IF('Ref-Data'!$Z$5="Baseline",VLOOKUP('Input PD LGD'!$A92,'Model Output_TTC'!$A:$AU,'Input PD LGD'!AD$4,FALSE),IF('Ref-Data'!$Z$5="90th Percentile",VLOOKUP('Input PD LGD'!$A92,'Model Output_TTC'!$A:$BP,'Input PD LGD'!AD$6,FALSE),IF('Ref-Data'!$Z$5="96th Percentile",VLOOKUP('Input PD LGD'!$A92,'Model Output_TTC'!$A:$Z,'Input PD LGD'!AD$8,FALSE),"")))))</f>
        <v>4.9700000000000001E-2</v>
      </c>
      <c r="K92" s="276">
        <f>IF('Ref-Data'!$Z$2="ON",VLOOKUP($A92,'MacroPD-Cal'!$A:$L,AE$1,FALSE),IF('Ref-Data'!$Z$5 = "Weighted",VLOOKUP($A92,'Model Output_TTC'!$A:$CB,AE$2,FALSE),IF('Ref-Data'!$Z$5="Baseline",VLOOKUP('Input PD LGD'!$A92,'Model Output_TTC'!$A:$AU,'Input PD LGD'!AE$4,FALSE),IF('Ref-Data'!$Z$5="90th Percentile",VLOOKUP('Input PD LGD'!$A92,'Model Output_TTC'!$A:$BP,'Input PD LGD'!AE$6,FALSE),IF('Ref-Data'!$Z$5="96th Percentile",VLOOKUP('Input PD LGD'!$A92,'Model Output_TTC'!$A:$Z,'Input PD LGD'!AE$8,FALSE),"")))))</f>
        <v>6.08E-2</v>
      </c>
      <c r="L92" s="274">
        <f>VLOOKUP(A92,'Ref-Data'!$A:$N,14,0)</f>
        <v>0.35859999999999997</v>
      </c>
      <c r="M92" s="354">
        <f>VLOOKUP(A92,'Ref-Data'!A:I,9,0)</f>
        <v>1</v>
      </c>
      <c r="N92" s="354" t="s">
        <v>1156</v>
      </c>
    </row>
    <row r="93" spans="1:14" x14ac:dyDescent="0.25">
      <c r="A93" s="354">
        <v>1100000253</v>
      </c>
      <c r="B93" s="277" t="str">
        <f>INDEX('Loan Book Summary'!B:C,MATCH('Input PD LGD'!A93,'Loan Book Summary'!C:C,0),1)</f>
        <v>Inn Collection Bidco - Business Trading - Facility H1 - Lindum IC Site</v>
      </c>
      <c r="C93" s="400">
        <f>VLOOKUP(A93,Reference_Rate_Repricing_Report!B:P,15,FALSE)</f>
        <v>6.2</v>
      </c>
      <c r="D93" s="276">
        <f>IF('Ref-Data'!$Z$2="ON",VLOOKUP($A93,'MacroPD-Cal'!$A:$L,X$1,FALSE),IF('Ref-Data'!$Z$5 = "Weighted",VLOOKUP($A93,'Model Output_TTC'!$A:$CB,X$2,FALSE),IF('Ref-Data'!$Z$5="Baseline",VLOOKUP('Input PD LGD'!$A93,'Model Output_TTC'!$A:$AU,'Input PD LGD'!X$4,FALSE),IF('Ref-Data'!$Z$5="90th Percentile",VLOOKUP('Input PD LGD'!$A93,'Model Output_TTC'!$A:$BP,'Input PD LGD'!X$6,FALSE),IF('Ref-Data'!$Z$5="96th Percentile",VLOOKUP('Input PD LGD'!$A93,'Model Output_TTC'!$A:$Z,'Input PD LGD'!X$8,FALSE),"")))))</f>
        <v>4.0228091930422216E-3</v>
      </c>
      <c r="E93" s="276">
        <f>IF('Ref-Data'!$Z$2="ON",VLOOKUP($A93,'MacroPD-Cal'!$A:$L,Y$1,FALSE),IF('Ref-Data'!$Z$5 = "Weighted",VLOOKUP($A93,'Model Output_TTC'!$A:$CB,Y$2,FALSE),IF('Ref-Data'!$Z$5="Baseline",VLOOKUP('Input PD LGD'!$A93,'Model Output_TTC'!$A:$AU,'Input PD LGD'!Y$4,FALSE),IF('Ref-Data'!$Z$5="90th Percentile",VLOOKUP('Input PD LGD'!$A93,'Model Output_TTC'!$A:$BP,'Input PD LGD'!Y$6,FALSE),IF('Ref-Data'!$Z$5="96th Percentile",VLOOKUP('Input PD LGD'!$A93,'Model Output_TTC'!$A:$Z,'Input PD LGD'!Y$8,FALSE),"")))))</f>
        <v>9.2938867723136864E-3</v>
      </c>
      <c r="F93" s="276">
        <f>IF('Ref-Data'!$Z$2="ON",VLOOKUP($A93,'MacroPD-Cal'!$A:$L,Z$1,FALSE),IF('Ref-Data'!$Z$5 = "Weighted",VLOOKUP($A93,'Model Output_TTC'!$A:$CB,Z$2,FALSE),IF('Ref-Data'!$Z$5="Baseline",VLOOKUP('Input PD LGD'!$A93,'Model Output_TTC'!$A:$AU,'Input PD LGD'!Z$4,FALSE),IF('Ref-Data'!$Z$5="90th Percentile",VLOOKUP('Input PD LGD'!$A93,'Model Output_TTC'!$A:$BP,'Input PD LGD'!Z$6,FALSE),IF('Ref-Data'!$Z$5="96th Percentile",VLOOKUP('Input PD LGD'!$A93,'Model Output_TTC'!$A:$Z,'Input PD LGD'!Z$8,FALSE),"")))))</f>
        <v>1.5249624684039231E-2</v>
      </c>
      <c r="G93" s="276">
        <f>IF('Ref-Data'!$Z$2="ON",VLOOKUP($A93,'MacroPD-Cal'!$A:$L,AA$1,FALSE),IF('Ref-Data'!$Z$5 = "Weighted",VLOOKUP($A93,'Model Output_TTC'!$A:$CB,AA$2,FALSE),IF('Ref-Data'!$Z$5="Baseline",VLOOKUP('Input PD LGD'!$A93,'Model Output_TTC'!$A:$AU,'Input PD LGD'!AA$4,FALSE),IF('Ref-Data'!$Z$5="90th Percentile",VLOOKUP('Input PD LGD'!$A93,'Model Output_TTC'!$A:$BP,'Input PD LGD'!AA$6,FALSE),IF('Ref-Data'!$Z$5="96th Percentile",VLOOKUP('Input PD LGD'!$A93,'Model Output_TTC'!$A:$Z,'Input PD LGD'!AA$8,FALSE),"")))))</f>
        <v>2.29E-2</v>
      </c>
      <c r="H93" s="276">
        <f>IF('Ref-Data'!$Z$2="ON",VLOOKUP($A93,'MacroPD-Cal'!$A:$L,AB$1,FALSE),IF('Ref-Data'!$Z$5 = "Weighted",VLOOKUP($A93,'Model Output_TTC'!$A:$CB,AB$2,FALSE),IF('Ref-Data'!$Z$5="Baseline",VLOOKUP('Input PD LGD'!$A93,'Model Output_TTC'!$A:$AU,'Input PD LGD'!AB$4,FALSE),IF('Ref-Data'!$Z$5="90th Percentile",VLOOKUP('Input PD LGD'!$A93,'Model Output_TTC'!$A:$BP,'Input PD LGD'!AB$6,FALSE),IF('Ref-Data'!$Z$5="96th Percentile",VLOOKUP('Input PD LGD'!$A93,'Model Output_TTC'!$A:$Z,'Input PD LGD'!AB$8,FALSE),"")))))</f>
        <v>3.2899999999999999E-2</v>
      </c>
      <c r="I93" s="276">
        <f>IF('Ref-Data'!$Z$2="ON",VLOOKUP($A93,'MacroPD-Cal'!$A:$L,AC$1,FALSE),IF('Ref-Data'!$Z$5 = "Weighted",VLOOKUP($A93,'Model Output_TTC'!$A:$CB,AC$2,FALSE),IF('Ref-Data'!$Z$5="Baseline",VLOOKUP('Input PD LGD'!$A93,'Model Output_TTC'!$A:$AU,'Input PD LGD'!AC$4,FALSE),IF('Ref-Data'!$Z$5="90th Percentile",VLOOKUP('Input PD LGD'!$A93,'Model Output_TTC'!$A:$BP,'Input PD LGD'!AC$6,FALSE),IF('Ref-Data'!$Z$5="96th Percentile",VLOOKUP('Input PD LGD'!$A93,'Model Output_TTC'!$A:$Z,'Input PD LGD'!AC$8,FALSE),"")))))</f>
        <v>3.8300000000000001E-2</v>
      </c>
      <c r="J93" s="276">
        <f>IF('Ref-Data'!$Z$2="ON",VLOOKUP($A93,'MacroPD-Cal'!$A:$L,AD$1,FALSE),IF('Ref-Data'!$Z$5 = "Weighted",VLOOKUP($A93,'Model Output_TTC'!$A:$CB,AD$2,FALSE),IF('Ref-Data'!$Z$5="Baseline",VLOOKUP('Input PD LGD'!$A93,'Model Output_TTC'!$A:$AU,'Input PD LGD'!AD$4,FALSE),IF('Ref-Data'!$Z$5="90th Percentile",VLOOKUP('Input PD LGD'!$A93,'Model Output_TTC'!$A:$BP,'Input PD LGD'!AD$6,FALSE),IF('Ref-Data'!$Z$5="96th Percentile",VLOOKUP('Input PD LGD'!$A93,'Model Output_TTC'!$A:$Z,'Input PD LGD'!AD$8,FALSE),"")))))</f>
        <v>4.9700000000000001E-2</v>
      </c>
      <c r="K93" s="276">
        <f>IF('Ref-Data'!$Z$2="ON",VLOOKUP($A93,'MacroPD-Cal'!$A:$L,AE$1,FALSE),IF('Ref-Data'!$Z$5 = "Weighted",VLOOKUP($A93,'Model Output_TTC'!$A:$CB,AE$2,FALSE),IF('Ref-Data'!$Z$5="Baseline",VLOOKUP('Input PD LGD'!$A93,'Model Output_TTC'!$A:$AU,'Input PD LGD'!AE$4,FALSE),IF('Ref-Data'!$Z$5="90th Percentile",VLOOKUP('Input PD LGD'!$A93,'Model Output_TTC'!$A:$BP,'Input PD LGD'!AE$6,FALSE),IF('Ref-Data'!$Z$5="96th Percentile",VLOOKUP('Input PD LGD'!$A93,'Model Output_TTC'!$A:$Z,'Input PD LGD'!AE$8,FALSE),"")))))</f>
        <v>6.08E-2</v>
      </c>
      <c r="L93" s="274">
        <f>VLOOKUP(A93,'Ref-Data'!$A:$N,14,0)</f>
        <v>0.35859999999999997</v>
      </c>
      <c r="M93" s="354">
        <f>VLOOKUP(A93,'Ref-Data'!A:I,9,0)</f>
        <v>1</v>
      </c>
      <c r="N93" s="354" t="s">
        <v>1156</v>
      </c>
    </row>
    <row r="94" spans="1:14" x14ac:dyDescent="0.25">
      <c r="A94" s="354">
        <v>1100000250</v>
      </c>
      <c r="B94" s="277" t="str">
        <f>INDEX('Loan Book Summary'!B:C,MATCH('Input PD LGD'!A94,'Loan Book Summary'!C:C,0),1)</f>
        <v>Inn Collection Bidco - Business Trading - Facility H2 - Cross Butts IC Site</v>
      </c>
      <c r="C94" s="400">
        <f>VLOOKUP(A94,Reference_Rate_Repricing_Report!B:P,15,FALSE)</f>
        <v>6.2</v>
      </c>
      <c r="D94" s="276">
        <f>IF('Ref-Data'!$Z$2="ON",VLOOKUP($A94,'MacroPD-Cal'!$A:$L,X$1,FALSE),IF('Ref-Data'!$Z$5 = "Weighted",VLOOKUP($A94,'Model Output_TTC'!$A:$CB,X$2,FALSE),IF('Ref-Data'!$Z$5="Baseline",VLOOKUP('Input PD LGD'!$A94,'Model Output_TTC'!$A:$AU,'Input PD LGD'!X$4,FALSE),IF('Ref-Data'!$Z$5="90th Percentile",VLOOKUP('Input PD LGD'!$A94,'Model Output_TTC'!$A:$BP,'Input PD LGD'!X$6,FALSE),IF('Ref-Data'!$Z$5="96th Percentile",VLOOKUP('Input PD LGD'!$A94,'Model Output_TTC'!$A:$Z,'Input PD LGD'!X$8,FALSE),"")))))</f>
        <v>4.0228091930422216E-3</v>
      </c>
      <c r="E94" s="276">
        <f>IF('Ref-Data'!$Z$2="ON",VLOOKUP($A94,'MacroPD-Cal'!$A:$L,Y$1,FALSE),IF('Ref-Data'!$Z$5 = "Weighted",VLOOKUP($A94,'Model Output_TTC'!$A:$CB,Y$2,FALSE),IF('Ref-Data'!$Z$5="Baseline",VLOOKUP('Input PD LGD'!$A94,'Model Output_TTC'!$A:$AU,'Input PD LGD'!Y$4,FALSE),IF('Ref-Data'!$Z$5="90th Percentile",VLOOKUP('Input PD LGD'!$A94,'Model Output_TTC'!$A:$BP,'Input PD LGD'!Y$6,FALSE),IF('Ref-Data'!$Z$5="96th Percentile",VLOOKUP('Input PD LGD'!$A94,'Model Output_TTC'!$A:$Z,'Input PD LGD'!Y$8,FALSE),"")))))</f>
        <v>9.2938867723136864E-3</v>
      </c>
      <c r="F94" s="276">
        <f>IF('Ref-Data'!$Z$2="ON",VLOOKUP($A94,'MacroPD-Cal'!$A:$L,Z$1,FALSE),IF('Ref-Data'!$Z$5 = "Weighted",VLOOKUP($A94,'Model Output_TTC'!$A:$CB,Z$2,FALSE),IF('Ref-Data'!$Z$5="Baseline",VLOOKUP('Input PD LGD'!$A94,'Model Output_TTC'!$A:$AU,'Input PD LGD'!Z$4,FALSE),IF('Ref-Data'!$Z$5="90th Percentile",VLOOKUP('Input PD LGD'!$A94,'Model Output_TTC'!$A:$BP,'Input PD LGD'!Z$6,FALSE),IF('Ref-Data'!$Z$5="96th Percentile",VLOOKUP('Input PD LGD'!$A94,'Model Output_TTC'!$A:$Z,'Input PD LGD'!Z$8,FALSE),"")))))</f>
        <v>1.5249624684039231E-2</v>
      </c>
      <c r="G94" s="276">
        <f>IF('Ref-Data'!$Z$2="ON",VLOOKUP($A94,'MacroPD-Cal'!$A:$L,AA$1,FALSE),IF('Ref-Data'!$Z$5 = "Weighted",VLOOKUP($A94,'Model Output_TTC'!$A:$CB,AA$2,FALSE),IF('Ref-Data'!$Z$5="Baseline",VLOOKUP('Input PD LGD'!$A94,'Model Output_TTC'!$A:$AU,'Input PD LGD'!AA$4,FALSE),IF('Ref-Data'!$Z$5="90th Percentile",VLOOKUP('Input PD LGD'!$A94,'Model Output_TTC'!$A:$BP,'Input PD LGD'!AA$6,FALSE),IF('Ref-Data'!$Z$5="96th Percentile",VLOOKUP('Input PD LGD'!$A94,'Model Output_TTC'!$A:$Z,'Input PD LGD'!AA$8,FALSE),"")))))</f>
        <v>2.29E-2</v>
      </c>
      <c r="H94" s="276">
        <f>IF('Ref-Data'!$Z$2="ON",VLOOKUP($A94,'MacroPD-Cal'!$A:$L,AB$1,FALSE),IF('Ref-Data'!$Z$5 = "Weighted",VLOOKUP($A94,'Model Output_TTC'!$A:$CB,AB$2,FALSE),IF('Ref-Data'!$Z$5="Baseline",VLOOKUP('Input PD LGD'!$A94,'Model Output_TTC'!$A:$AU,'Input PD LGD'!AB$4,FALSE),IF('Ref-Data'!$Z$5="90th Percentile",VLOOKUP('Input PD LGD'!$A94,'Model Output_TTC'!$A:$BP,'Input PD LGD'!AB$6,FALSE),IF('Ref-Data'!$Z$5="96th Percentile",VLOOKUP('Input PD LGD'!$A94,'Model Output_TTC'!$A:$Z,'Input PD LGD'!AB$8,FALSE),"")))))</f>
        <v>3.2899999999999999E-2</v>
      </c>
      <c r="I94" s="276">
        <f>IF('Ref-Data'!$Z$2="ON",VLOOKUP($A94,'MacroPD-Cal'!$A:$L,AC$1,FALSE),IF('Ref-Data'!$Z$5 = "Weighted",VLOOKUP($A94,'Model Output_TTC'!$A:$CB,AC$2,FALSE),IF('Ref-Data'!$Z$5="Baseline",VLOOKUP('Input PD LGD'!$A94,'Model Output_TTC'!$A:$AU,'Input PD LGD'!AC$4,FALSE),IF('Ref-Data'!$Z$5="90th Percentile",VLOOKUP('Input PD LGD'!$A94,'Model Output_TTC'!$A:$BP,'Input PD LGD'!AC$6,FALSE),IF('Ref-Data'!$Z$5="96th Percentile",VLOOKUP('Input PD LGD'!$A94,'Model Output_TTC'!$A:$Z,'Input PD LGD'!AC$8,FALSE),"")))))</f>
        <v>3.8300000000000001E-2</v>
      </c>
      <c r="J94" s="276">
        <f>IF('Ref-Data'!$Z$2="ON",VLOOKUP($A94,'MacroPD-Cal'!$A:$L,AD$1,FALSE),IF('Ref-Data'!$Z$5 = "Weighted",VLOOKUP($A94,'Model Output_TTC'!$A:$CB,AD$2,FALSE),IF('Ref-Data'!$Z$5="Baseline",VLOOKUP('Input PD LGD'!$A94,'Model Output_TTC'!$A:$AU,'Input PD LGD'!AD$4,FALSE),IF('Ref-Data'!$Z$5="90th Percentile",VLOOKUP('Input PD LGD'!$A94,'Model Output_TTC'!$A:$BP,'Input PD LGD'!AD$6,FALSE),IF('Ref-Data'!$Z$5="96th Percentile",VLOOKUP('Input PD LGD'!$A94,'Model Output_TTC'!$A:$Z,'Input PD LGD'!AD$8,FALSE),"")))))</f>
        <v>4.9700000000000001E-2</v>
      </c>
      <c r="K94" s="276">
        <f>IF('Ref-Data'!$Z$2="ON",VLOOKUP($A94,'MacroPD-Cal'!$A:$L,AE$1,FALSE),IF('Ref-Data'!$Z$5 = "Weighted",VLOOKUP($A94,'Model Output_TTC'!$A:$CB,AE$2,FALSE),IF('Ref-Data'!$Z$5="Baseline",VLOOKUP('Input PD LGD'!$A94,'Model Output_TTC'!$A:$AU,'Input PD LGD'!AE$4,FALSE),IF('Ref-Data'!$Z$5="90th Percentile",VLOOKUP('Input PD LGD'!$A94,'Model Output_TTC'!$A:$BP,'Input PD LGD'!AE$6,FALSE),IF('Ref-Data'!$Z$5="96th Percentile",VLOOKUP('Input PD LGD'!$A94,'Model Output_TTC'!$A:$Z,'Input PD LGD'!AE$8,FALSE),"")))))</f>
        <v>6.08E-2</v>
      </c>
      <c r="L94" s="274">
        <f>VLOOKUP(A94,'Ref-Data'!$A:$N,14,0)</f>
        <v>0.35859999999999997</v>
      </c>
      <c r="M94" s="354">
        <f>VLOOKUP(A94,'Ref-Data'!A:I,9,0)</f>
        <v>1</v>
      </c>
      <c r="N94" s="354" t="s">
        <v>1156</v>
      </c>
    </row>
    <row r="95" spans="1:14" x14ac:dyDescent="0.25">
      <c r="A95" s="354">
        <v>1100000255</v>
      </c>
      <c r="B95" s="277" t="str">
        <f>INDEX('Loan Book Summary'!B:C,MATCH('Input PD LGD'!A95,'Loan Book Summary'!C:C,0),1)</f>
        <v>Inn Collection Bidco - Business Trading - Facility H4 - Park Hotel IC Site</v>
      </c>
      <c r="C95" s="400">
        <f>VLOOKUP(A95,Reference_Rate_Repricing_Report!B:P,15,FALSE)</f>
        <v>6.2</v>
      </c>
      <c r="D95" s="276">
        <f>IF('Ref-Data'!$Z$2="ON",VLOOKUP($A95,'MacroPD-Cal'!$A:$L,X$1,FALSE),IF('Ref-Data'!$Z$5 = "Weighted",VLOOKUP($A95,'Model Output_TTC'!$A:$CB,X$2,FALSE),IF('Ref-Data'!$Z$5="Baseline",VLOOKUP('Input PD LGD'!$A95,'Model Output_TTC'!$A:$AU,'Input PD LGD'!X$4,FALSE),IF('Ref-Data'!$Z$5="90th Percentile",VLOOKUP('Input PD LGD'!$A95,'Model Output_TTC'!$A:$BP,'Input PD LGD'!X$6,FALSE),IF('Ref-Data'!$Z$5="96th Percentile",VLOOKUP('Input PD LGD'!$A95,'Model Output_TTC'!$A:$Z,'Input PD LGD'!X$8,FALSE),"")))))</f>
        <v>4.0228091930422216E-3</v>
      </c>
      <c r="E95" s="276">
        <f>IF('Ref-Data'!$Z$2="ON",VLOOKUP($A95,'MacroPD-Cal'!$A:$L,Y$1,FALSE),IF('Ref-Data'!$Z$5 = "Weighted",VLOOKUP($A95,'Model Output_TTC'!$A:$CB,Y$2,FALSE),IF('Ref-Data'!$Z$5="Baseline",VLOOKUP('Input PD LGD'!$A95,'Model Output_TTC'!$A:$AU,'Input PD LGD'!Y$4,FALSE),IF('Ref-Data'!$Z$5="90th Percentile",VLOOKUP('Input PD LGD'!$A95,'Model Output_TTC'!$A:$BP,'Input PD LGD'!Y$6,FALSE),IF('Ref-Data'!$Z$5="96th Percentile",VLOOKUP('Input PD LGD'!$A95,'Model Output_TTC'!$A:$Z,'Input PD LGD'!Y$8,FALSE),"")))))</f>
        <v>9.2938867723136864E-3</v>
      </c>
      <c r="F95" s="276">
        <f>IF('Ref-Data'!$Z$2="ON",VLOOKUP($A95,'MacroPD-Cal'!$A:$L,Z$1,FALSE),IF('Ref-Data'!$Z$5 = "Weighted",VLOOKUP($A95,'Model Output_TTC'!$A:$CB,Z$2,FALSE),IF('Ref-Data'!$Z$5="Baseline",VLOOKUP('Input PD LGD'!$A95,'Model Output_TTC'!$A:$AU,'Input PD LGD'!Z$4,FALSE),IF('Ref-Data'!$Z$5="90th Percentile",VLOOKUP('Input PD LGD'!$A95,'Model Output_TTC'!$A:$BP,'Input PD LGD'!Z$6,FALSE),IF('Ref-Data'!$Z$5="96th Percentile",VLOOKUP('Input PD LGD'!$A95,'Model Output_TTC'!$A:$Z,'Input PD LGD'!Z$8,FALSE),"")))))</f>
        <v>1.5249624684039231E-2</v>
      </c>
      <c r="G95" s="276">
        <f>IF('Ref-Data'!$Z$2="ON",VLOOKUP($A95,'MacroPD-Cal'!$A:$L,AA$1,FALSE),IF('Ref-Data'!$Z$5 = "Weighted",VLOOKUP($A95,'Model Output_TTC'!$A:$CB,AA$2,FALSE),IF('Ref-Data'!$Z$5="Baseline",VLOOKUP('Input PD LGD'!$A95,'Model Output_TTC'!$A:$AU,'Input PD LGD'!AA$4,FALSE),IF('Ref-Data'!$Z$5="90th Percentile",VLOOKUP('Input PD LGD'!$A95,'Model Output_TTC'!$A:$BP,'Input PD LGD'!AA$6,FALSE),IF('Ref-Data'!$Z$5="96th Percentile",VLOOKUP('Input PD LGD'!$A95,'Model Output_TTC'!$A:$Z,'Input PD LGD'!AA$8,FALSE),"")))))</f>
        <v>2.29E-2</v>
      </c>
      <c r="H95" s="276">
        <f>IF('Ref-Data'!$Z$2="ON",VLOOKUP($A95,'MacroPD-Cal'!$A:$L,AB$1,FALSE),IF('Ref-Data'!$Z$5 = "Weighted",VLOOKUP($A95,'Model Output_TTC'!$A:$CB,AB$2,FALSE),IF('Ref-Data'!$Z$5="Baseline",VLOOKUP('Input PD LGD'!$A95,'Model Output_TTC'!$A:$AU,'Input PD LGD'!AB$4,FALSE),IF('Ref-Data'!$Z$5="90th Percentile",VLOOKUP('Input PD LGD'!$A95,'Model Output_TTC'!$A:$BP,'Input PD LGD'!AB$6,FALSE),IF('Ref-Data'!$Z$5="96th Percentile",VLOOKUP('Input PD LGD'!$A95,'Model Output_TTC'!$A:$Z,'Input PD LGD'!AB$8,FALSE),"")))))</f>
        <v>3.2899999999999999E-2</v>
      </c>
      <c r="I95" s="276">
        <f>IF('Ref-Data'!$Z$2="ON",VLOOKUP($A95,'MacroPD-Cal'!$A:$L,AC$1,FALSE),IF('Ref-Data'!$Z$5 = "Weighted",VLOOKUP($A95,'Model Output_TTC'!$A:$CB,AC$2,FALSE),IF('Ref-Data'!$Z$5="Baseline",VLOOKUP('Input PD LGD'!$A95,'Model Output_TTC'!$A:$AU,'Input PD LGD'!AC$4,FALSE),IF('Ref-Data'!$Z$5="90th Percentile",VLOOKUP('Input PD LGD'!$A95,'Model Output_TTC'!$A:$BP,'Input PD LGD'!AC$6,FALSE),IF('Ref-Data'!$Z$5="96th Percentile",VLOOKUP('Input PD LGD'!$A95,'Model Output_TTC'!$A:$Z,'Input PD LGD'!AC$8,FALSE),"")))))</f>
        <v>3.8300000000000001E-2</v>
      </c>
      <c r="J95" s="276">
        <f>IF('Ref-Data'!$Z$2="ON",VLOOKUP($A95,'MacroPD-Cal'!$A:$L,AD$1,FALSE),IF('Ref-Data'!$Z$5 = "Weighted",VLOOKUP($A95,'Model Output_TTC'!$A:$CB,AD$2,FALSE),IF('Ref-Data'!$Z$5="Baseline",VLOOKUP('Input PD LGD'!$A95,'Model Output_TTC'!$A:$AU,'Input PD LGD'!AD$4,FALSE),IF('Ref-Data'!$Z$5="90th Percentile",VLOOKUP('Input PD LGD'!$A95,'Model Output_TTC'!$A:$BP,'Input PD LGD'!AD$6,FALSE),IF('Ref-Data'!$Z$5="96th Percentile",VLOOKUP('Input PD LGD'!$A95,'Model Output_TTC'!$A:$Z,'Input PD LGD'!AD$8,FALSE),"")))))</f>
        <v>4.9700000000000001E-2</v>
      </c>
      <c r="K95" s="276">
        <f>IF('Ref-Data'!$Z$2="ON",VLOOKUP($A95,'MacroPD-Cal'!$A:$L,AE$1,FALSE),IF('Ref-Data'!$Z$5 = "Weighted",VLOOKUP($A95,'Model Output_TTC'!$A:$CB,AE$2,FALSE),IF('Ref-Data'!$Z$5="Baseline",VLOOKUP('Input PD LGD'!$A95,'Model Output_TTC'!$A:$AU,'Input PD LGD'!AE$4,FALSE),IF('Ref-Data'!$Z$5="90th Percentile",VLOOKUP('Input PD LGD'!$A95,'Model Output_TTC'!$A:$BP,'Input PD LGD'!AE$6,FALSE),IF('Ref-Data'!$Z$5="96th Percentile",VLOOKUP('Input PD LGD'!$A95,'Model Output_TTC'!$A:$Z,'Input PD LGD'!AE$8,FALSE),"")))))</f>
        <v>6.08E-2</v>
      </c>
      <c r="L95" s="274">
        <f>VLOOKUP(A95,'Ref-Data'!$A:$N,14,0)</f>
        <v>0.35859999999999997</v>
      </c>
      <c r="M95" s="354">
        <f>VLOOKUP(A95,'Ref-Data'!A:I,9,0)</f>
        <v>1</v>
      </c>
      <c r="N95" s="354" t="s">
        <v>1156</v>
      </c>
    </row>
    <row r="96" spans="1:14" x14ac:dyDescent="0.25">
      <c r="A96" s="354">
        <v>1100000252</v>
      </c>
      <c r="B96" s="277" t="str">
        <f>INDEX('Loan Book Summary'!B:C,MATCH('Input PD LGD'!A96,'Loan Book Summary'!C:C,0),1)</f>
        <v>Inn Collection Bidco - Business Trading - Facility H5 - Dower House IC Site</v>
      </c>
      <c r="C96" s="400">
        <f>VLOOKUP(A96,Reference_Rate_Repricing_Report!B:P,15,FALSE)</f>
        <v>6.2</v>
      </c>
      <c r="D96" s="276">
        <f>IF('Ref-Data'!$Z$2="ON",VLOOKUP($A96,'MacroPD-Cal'!$A:$L,X$1,FALSE),IF('Ref-Data'!$Z$5 = "Weighted",VLOOKUP($A96,'Model Output_TTC'!$A:$CB,X$2,FALSE),IF('Ref-Data'!$Z$5="Baseline",VLOOKUP('Input PD LGD'!$A96,'Model Output_TTC'!$A:$AU,'Input PD LGD'!X$4,FALSE),IF('Ref-Data'!$Z$5="90th Percentile",VLOOKUP('Input PD LGD'!$A96,'Model Output_TTC'!$A:$BP,'Input PD LGD'!X$6,FALSE),IF('Ref-Data'!$Z$5="96th Percentile",VLOOKUP('Input PD LGD'!$A96,'Model Output_TTC'!$A:$Z,'Input PD LGD'!X$8,FALSE),"")))))</f>
        <v>4.0228091930422216E-3</v>
      </c>
      <c r="E96" s="276">
        <f>IF('Ref-Data'!$Z$2="ON",VLOOKUP($A96,'MacroPD-Cal'!$A:$L,Y$1,FALSE),IF('Ref-Data'!$Z$5 = "Weighted",VLOOKUP($A96,'Model Output_TTC'!$A:$CB,Y$2,FALSE),IF('Ref-Data'!$Z$5="Baseline",VLOOKUP('Input PD LGD'!$A96,'Model Output_TTC'!$A:$AU,'Input PD LGD'!Y$4,FALSE),IF('Ref-Data'!$Z$5="90th Percentile",VLOOKUP('Input PD LGD'!$A96,'Model Output_TTC'!$A:$BP,'Input PD LGD'!Y$6,FALSE),IF('Ref-Data'!$Z$5="96th Percentile",VLOOKUP('Input PD LGD'!$A96,'Model Output_TTC'!$A:$Z,'Input PD LGD'!Y$8,FALSE),"")))))</f>
        <v>9.2938867723136864E-3</v>
      </c>
      <c r="F96" s="276">
        <f>IF('Ref-Data'!$Z$2="ON",VLOOKUP($A96,'MacroPD-Cal'!$A:$L,Z$1,FALSE),IF('Ref-Data'!$Z$5 = "Weighted",VLOOKUP($A96,'Model Output_TTC'!$A:$CB,Z$2,FALSE),IF('Ref-Data'!$Z$5="Baseline",VLOOKUP('Input PD LGD'!$A96,'Model Output_TTC'!$A:$AU,'Input PD LGD'!Z$4,FALSE),IF('Ref-Data'!$Z$5="90th Percentile",VLOOKUP('Input PD LGD'!$A96,'Model Output_TTC'!$A:$BP,'Input PD LGD'!Z$6,FALSE),IF('Ref-Data'!$Z$5="96th Percentile",VLOOKUP('Input PD LGD'!$A96,'Model Output_TTC'!$A:$Z,'Input PD LGD'!Z$8,FALSE),"")))))</f>
        <v>1.5249624684039231E-2</v>
      </c>
      <c r="G96" s="276">
        <f>IF('Ref-Data'!$Z$2="ON",VLOOKUP($A96,'MacroPD-Cal'!$A:$L,AA$1,FALSE),IF('Ref-Data'!$Z$5 = "Weighted",VLOOKUP($A96,'Model Output_TTC'!$A:$CB,AA$2,FALSE),IF('Ref-Data'!$Z$5="Baseline",VLOOKUP('Input PD LGD'!$A96,'Model Output_TTC'!$A:$AU,'Input PD LGD'!AA$4,FALSE),IF('Ref-Data'!$Z$5="90th Percentile",VLOOKUP('Input PD LGD'!$A96,'Model Output_TTC'!$A:$BP,'Input PD LGD'!AA$6,FALSE),IF('Ref-Data'!$Z$5="96th Percentile",VLOOKUP('Input PD LGD'!$A96,'Model Output_TTC'!$A:$Z,'Input PD LGD'!AA$8,FALSE),"")))))</f>
        <v>2.29E-2</v>
      </c>
      <c r="H96" s="276">
        <f>IF('Ref-Data'!$Z$2="ON",VLOOKUP($A96,'MacroPD-Cal'!$A:$L,AB$1,FALSE),IF('Ref-Data'!$Z$5 = "Weighted",VLOOKUP($A96,'Model Output_TTC'!$A:$CB,AB$2,FALSE),IF('Ref-Data'!$Z$5="Baseline",VLOOKUP('Input PD LGD'!$A96,'Model Output_TTC'!$A:$AU,'Input PD LGD'!AB$4,FALSE),IF('Ref-Data'!$Z$5="90th Percentile",VLOOKUP('Input PD LGD'!$A96,'Model Output_TTC'!$A:$BP,'Input PD LGD'!AB$6,FALSE),IF('Ref-Data'!$Z$5="96th Percentile",VLOOKUP('Input PD LGD'!$A96,'Model Output_TTC'!$A:$Z,'Input PD LGD'!AB$8,FALSE),"")))))</f>
        <v>3.2899999999999999E-2</v>
      </c>
      <c r="I96" s="276">
        <f>IF('Ref-Data'!$Z$2="ON",VLOOKUP($A96,'MacroPD-Cal'!$A:$L,AC$1,FALSE),IF('Ref-Data'!$Z$5 = "Weighted",VLOOKUP($A96,'Model Output_TTC'!$A:$CB,AC$2,FALSE),IF('Ref-Data'!$Z$5="Baseline",VLOOKUP('Input PD LGD'!$A96,'Model Output_TTC'!$A:$AU,'Input PD LGD'!AC$4,FALSE),IF('Ref-Data'!$Z$5="90th Percentile",VLOOKUP('Input PD LGD'!$A96,'Model Output_TTC'!$A:$BP,'Input PD LGD'!AC$6,FALSE),IF('Ref-Data'!$Z$5="96th Percentile",VLOOKUP('Input PD LGD'!$A96,'Model Output_TTC'!$A:$Z,'Input PD LGD'!AC$8,FALSE),"")))))</f>
        <v>3.8300000000000001E-2</v>
      </c>
      <c r="J96" s="276">
        <f>IF('Ref-Data'!$Z$2="ON",VLOOKUP($A96,'MacroPD-Cal'!$A:$L,AD$1,FALSE),IF('Ref-Data'!$Z$5 = "Weighted",VLOOKUP($A96,'Model Output_TTC'!$A:$CB,AD$2,FALSE),IF('Ref-Data'!$Z$5="Baseline",VLOOKUP('Input PD LGD'!$A96,'Model Output_TTC'!$A:$AU,'Input PD LGD'!AD$4,FALSE),IF('Ref-Data'!$Z$5="90th Percentile",VLOOKUP('Input PD LGD'!$A96,'Model Output_TTC'!$A:$BP,'Input PD LGD'!AD$6,FALSE),IF('Ref-Data'!$Z$5="96th Percentile",VLOOKUP('Input PD LGD'!$A96,'Model Output_TTC'!$A:$Z,'Input PD LGD'!AD$8,FALSE),"")))))</f>
        <v>4.9700000000000001E-2</v>
      </c>
      <c r="K96" s="276">
        <f>IF('Ref-Data'!$Z$2="ON",VLOOKUP($A96,'MacroPD-Cal'!$A:$L,AE$1,FALSE),IF('Ref-Data'!$Z$5 = "Weighted",VLOOKUP($A96,'Model Output_TTC'!$A:$CB,AE$2,FALSE),IF('Ref-Data'!$Z$5="Baseline",VLOOKUP('Input PD LGD'!$A96,'Model Output_TTC'!$A:$AU,'Input PD LGD'!AE$4,FALSE),IF('Ref-Data'!$Z$5="90th Percentile",VLOOKUP('Input PD LGD'!$A96,'Model Output_TTC'!$A:$BP,'Input PD LGD'!AE$6,FALSE),IF('Ref-Data'!$Z$5="96th Percentile",VLOOKUP('Input PD LGD'!$A96,'Model Output_TTC'!$A:$Z,'Input PD LGD'!AE$8,FALSE),"")))))</f>
        <v>6.08E-2</v>
      </c>
      <c r="L96" s="274">
        <f>VLOOKUP(A96,'Ref-Data'!$A:$N,14,0)</f>
        <v>0.35859999999999997</v>
      </c>
      <c r="M96" s="354">
        <f>VLOOKUP(A96,'Ref-Data'!A:I,9,0)</f>
        <v>1</v>
      </c>
      <c r="N96" s="354" t="s">
        <v>1156</v>
      </c>
    </row>
    <row r="97" spans="1:14" x14ac:dyDescent="0.25">
      <c r="A97" s="354">
        <v>1100000257</v>
      </c>
      <c r="B97" s="277" t="str">
        <f>INDEX('Loan Book Summary'!B:C,MATCH('Input PD LGD'!A97,'Loan Book Summary'!C:C,0),1)</f>
        <v>Inn Collection Bidco - Business Trading - Facility H6 - Ripon IC Site</v>
      </c>
      <c r="C97" s="400">
        <f>VLOOKUP(A97,Reference_Rate_Repricing_Report!B:P,15,FALSE)</f>
        <v>6.2</v>
      </c>
      <c r="D97" s="276">
        <f>IF('Ref-Data'!$Z$2="ON",VLOOKUP($A97,'MacroPD-Cal'!$A:$L,X$1,FALSE),IF('Ref-Data'!$Z$5 = "Weighted",VLOOKUP($A97,'Model Output_TTC'!$A:$CB,X$2,FALSE),IF('Ref-Data'!$Z$5="Baseline",VLOOKUP('Input PD LGD'!$A97,'Model Output_TTC'!$A:$AU,'Input PD LGD'!X$4,FALSE),IF('Ref-Data'!$Z$5="90th Percentile",VLOOKUP('Input PD LGD'!$A97,'Model Output_TTC'!$A:$BP,'Input PD LGD'!X$6,FALSE),IF('Ref-Data'!$Z$5="96th Percentile",VLOOKUP('Input PD LGD'!$A97,'Model Output_TTC'!$A:$Z,'Input PD LGD'!X$8,FALSE),"")))))</f>
        <v>4.0228091930422216E-3</v>
      </c>
      <c r="E97" s="276">
        <f>IF('Ref-Data'!$Z$2="ON",VLOOKUP($A97,'MacroPD-Cal'!$A:$L,Y$1,FALSE),IF('Ref-Data'!$Z$5 = "Weighted",VLOOKUP($A97,'Model Output_TTC'!$A:$CB,Y$2,FALSE),IF('Ref-Data'!$Z$5="Baseline",VLOOKUP('Input PD LGD'!$A97,'Model Output_TTC'!$A:$AU,'Input PD LGD'!Y$4,FALSE),IF('Ref-Data'!$Z$5="90th Percentile",VLOOKUP('Input PD LGD'!$A97,'Model Output_TTC'!$A:$BP,'Input PD LGD'!Y$6,FALSE),IF('Ref-Data'!$Z$5="96th Percentile",VLOOKUP('Input PD LGD'!$A97,'Model Output_TTC'!$A:$Z,'Input PD LGD'!Y$8,FALSE),"")))))</f>
        <v>9.2938867723136864E-3</v>
      </c>
      <c r="F97" s="276">
        <f>IF('Ref-Data'!$Z$2="ON",VLOOKUP($A97,'MacroPD-Cal'!$A:$L,Z$1,FALSE),IF('Ref-Data'!$Z$5 = "Weighted",VLOOKUP($A97,'Model Output_TTC'!$A:$CB,Z$2,FALSE),IF('Ref-Data'!$Z$5="Baseline",VLOOKUP('Input PD LGD'!$A97,'Model Output_TTC'!$A:$AU,'Input PD LGD'!Z$4,FALSE),IF('Ref-Data'!$Z$5="90th Percentile",VLOOKUP('Input PD LGD'!$A97,'Model Output_TTC'!$A:$BP,'Input PD LGD'!Z$6,FALSE),IF('Ref-Data'!$Z$5="96th Percentile",VLOOKUP('Input PD LGD'!$A97,'Model Output_TTC'!$A:$Z,'Input PD LGD'!Z$8,FALSE),"")))))</f>
        <v>1.5249624684039231E-2</v>
      </c>
      <c r="G97" s="276">
        <f>IF('Ref-Data'!$Z$2="ON",VLOOKUP($A97,'MacroPD-Cal'!$A:$L,AA$1,FALSE),IF('Ref-Data'!$Z$5 = "Weighted",VLOOKUP($A97,'Model Output_TTC'!$A:$CB,AA$2,FALSE),IF('Ref-Data'!$Z$5="Baseline",VLOOKUP('Input PD LGD'!$A97,'Model Output_TTC'!$A:$AU,'Input PD LGD'!AA$4,FALSE),IF('Ref-Data'!$Z$5="90th Percentile",VLOOKUP('Input PD LGD'!$A97,'Model Output_TTC'!$A:$BP,'Input PD LGD'!AA$6,FALSE),IF('Ref-Data'!$Z$5="96th Percentile",VLOOKUP('Input PD LGD'!$A97,'Model Output_TTC'!$A:$Z,'Input PD LGD'!AA$8,FALSE),"")))))</f>
        <v>2.29E-2</v>
      </c>
      <c r="H97" s="276">
        <f>IF('Ref-Data'!$Z$2="ON",VLOOKUP($A97,'MacroPD-Cal'!$A:$L,AB$1,FALSE),IF('Ref-Data'!$Z$5 = "Weighted",VLOOKUP($A97,'Model Output_TTC'!$A:$CB,AB$2,FALSE),IF('Ref-Data'!$Z$5="Baseline",VLOOKUP('Input PD LGD'!$A97,'Model Output_TTC'!$A:$AU,'Input PD LGD'!AB$4,FALSE),IF('Ref-Data'!$Z$5="90th Percentile",VLOOKUP('Input PD LGD'!$A97,'Model Output_TTC'!$A:$BP,'Input PD LGD'!AB$6,FALSE),IF('Ref-Data'!$Z$5="96th Percentile",VLOOKUP('Input PD LGD'!$A97,'Model Output_TTC'!$A:$Z,'Input PD LGD'!AB$8,FALSE),"")))))</f>
        <v>3.2899999999999999E-2</v>
      </c>
      <c r="I97" s="276">
        <f>IF('Ref-Data'!$Z$2="ON",VLOOKUP($A97,'MacroPD-Cal'!$A:$L,AC$1,FALSE),IF('Ref-Data'!$Z$5 = "Weighted",VLOOKUP($A97,'Model Output_TTC'!$A:$CB,AC$2,FALSE),IF('Ref-Data'!$Z$5="Baseline",VLOOKUP('Input PD LGD'!$A97,'Model Output_TTC'!$A:$AU,'Input PD LGD'!AC$4,FALSE),IF('Ref-Data'!$Z$5="90th Percentile",VLOOKUP('Input PD LGD'!$A97,'Model Output_TTC'!$A:$BP,'Input PD LGD'!AC$6,FALSE),IF('Ref-Data'!$Z$5="96th Percentile",VLOOKUP('Input PD LGD'!$A97,'Model Output_TTC'!$A:$Z,'Input PD LGD'!AC$8,FALSE),"")))))</f>
        <v>3.8300000000000001E-2</v>
      </c>
      <c r="J97" s="276">
        <f>IF('Ref-Data'!$Z$2="ON",VLOOKUP($A97,'MacroPD-Cal'!$A:$L,AD$1,FALSE),IF('Ref-Data'!$Z$5 = "Weighted",VLOOKUP($A97,'Model Output_TTC'!$A:$CB,AD$2,FALSE),IF('Ref-Data'!$Z$5="Baseline",VLOOKUP('Input PD LGD'!$A97,'Model Output_TTC'!$A:$AU,'Input PD LGD'!AD$4,FALSE),IF('Ref-Data'!$Z$5="90th Percentile",VLOOKUP('Input PD LGD'!$A97,'Model Output_TTC'!$A:$BP,'Input PD LGD'!AD$6,FALSE),IF('Ref-Data'!$Z$5="96th Percentile",VLOOKUP('Input PD LGD'!$A97,'Model Output_TTC'!$A:$Z,'Input PD LGD'!AD$8,FALSE),"")))))</f>
        <v>4.9700000000000001E-2</v>
      </c>
      <c r="K97" s="276">
        <f>IF('Ref-Data'!$Z$2="ON",VLOOKUP($A97,'MacroPD-Cal'!$A:$L,AE$1,FALSE),IF('Ref-Data'!$Z$5 = "Weighted",VLOOKUP($A97,'Model Output_TTC'!$A:$CB,AE$2,FALSE),IF('Ref-Data'!$Z$5="Baseline",VLOOKUP('Input PD LGD'!$A97,'Model Output_TTC'!$A:$AU,'Input PD LGD'!AE$4,FALSE),IF('Ref-Data'!$Z$5="90th Percentile",VLOOKUP('Input PD LGD'!$A97,'Model Output_TTC'!$A:$BP,'Input PD LGD'!AE$6,FALSE),IF('Ref-Data'!$Z$5="96th Percentile",VLOOKUP('Input PD LGD'!$A97,'Model Output_TTC'!$A:$Z,'Input PD LGD'!AE$8,FALSE),"")))))</f>
        <v>6.08E-2</v>
      </c>
      <c r="L97" s="274">
        <f>VLOOKUP(A97,'Ref-Data'!$A:$N,14,0)</f>
        <v>0.35859999999999997</v>
      </c>
      <c r="M97" s="354">
        <f>VLOOKUP(A97,'Ref-Data'!A:I,9,0)</f>
        <v>1</v>
      </c>
      <c r="N97" s="354" t="s">
        <v>1156</v>
      </c>
    </row>
    <row r="98" spans="1:14" x14ac:dyDescent="0.25">
      <c r="A98" s="354">
        <v>1100000251</v>
      </c>
      <c r="B98" s="277" t="str">
        <f>INDEX('Loan Book Summary'!B:C,MATCH('Input PD LGD'!A98,'Loan Book Summary'!C:C,0),1)</f>
        <v>Inn Collection Bidco - Business Trading - Facility H7 - Dean Court IC Site</v>
      </c>
      <c r="C98" s="400">
        <f>VLOOKUP(A98,Reference_Rate_Repricing_Report!B:P,15,FALSE)</f>
        <v>6.2</v>
      </c>
      <c r="D98" s="276">
        <f>IF('Ref-Data'!$Z$2="ON",VLOOKUP($A98,'MacroPD-Cal'!$A:$L,X$1,FALSE),IF('Ref-Data'!$Z$5 = "Weighted",VLOOKUP($A98,'Model Output_TTC'!$A:$CB,X$2,FALSE),IF('Ref-Data'!$Z$5="Baseline",VLOOKUP('Input PD LGD'!$A98,'Model Output_TTC'!$A:$AU,'Input PD LGD'!X$4,FALSE),IF('Ref-Data'!$Z$5="90th Percentile",VLOOKUP('Input PD LGD'!$A98,'Model Output_TTC'!$A:$BP,'Input PD LGD'!X$6,FALSE),IF('Ref-Data'!$Z$5="96th Percentile",VLOOKUP('Input PD LGD'!$A98,'Model Output_TTC'!$A:$Z,'Input PD LGD'!X$8,FALSE),"")))))</f>
        <v>4.0228091930422216E-3</v>
      </c>
      <c r="E98" s="276">
        <f>IF('Ref-Data'!$Z$2="ON",VLOOKUP($A98,'MacroPD-Cal'!$A:$L,Y$1,FALSE),IF('Ref-Data'!$Z$5 = "Weighted",VLOOKUP($A98,'Model Output_TTC'!$A:$CB,Y$2,FALSE),IF('Ref-Data'!$Z$5="Baseline",VLOOKUP('Input PD LGD'!$A98,'Model Output_TTC'!$A:$AU,'Input PD LGD'!Y$4,FALSE),IF('Ref-Data'!$Z$5="90th Percentile",VLOOKUP('Input PD LGD'!$A98,'Model Output_TTC'!$A:$BP,'Input PD LGD'!Y$6,FALSE),IF('Ref-Data'!$Z$5="96th Percentile",VLOOKUP('Input PD LGD'!$A98,'Model Output_TTC'!$A:$Z,'Input PD LGD'!Y$8,FALSE),"")))))</f>
        <v>9.2938867723136864E-3</v>
      </c>
      <c r="F98" s="276">
        <f>IF('Ref-Data'!$Z$2="ON",VLOOKUP($A98,'MacroPD-Cal'!$A:$L,Z$1,FALSE),IF('Ref-Data'!$Z$5 = "Weighted",VLOOKUP($A98,'Model Output_TTC'!$A:$CB,Z$2,FALSE),IF('Ref-Data'!$Z$5="Baseline",VLOOKUP('Input PD LGD'!$A98,'Model Output_TTC'!$A:$AU,'Input PD LGD'!Z$4,FALSE),IF('Ref-Data'!$Z$5="90th Percentile",VLOOKUP('Input PD LGD'!$A98,'Model Output_TTC'!$A:$BP,'Input PD LGD'!Z$6,FALSE),IF('Ref-Data'!$Z$5="96th Percentile",VLOOKUP('Input PD LGD'!$A98,'Model Output_TTC'!$A:$Z,'Input PD LGD'!Z$8,FALSE),"")))))</f>
        <v>1.5249624684039231E-2</v>
      </c>
      <c r="G98" s="276">
        <f>IF('Ref-Data'!$Z$2="ON",VLOOKUP($A98,'MacroPD-Cal'!$A:$L,AA$1,FALSE),IF('Ref-Data'!$Z$5 = "Weighted",VLOOKUP($A98,'Model Output_TTC'!$A:$CB,AA$2,FALSE),IF('Ref-Data'!$Z$5="Baseline",VLOOKUP('Input PD LGD'!$A98,'Model Output_TTC'!$A:$AU,'Input PD LGD'!AA$4,FALSE),IF('Ref-Data'!$Z$5="90th Percentile",VLOOKUP('Input PD LGD'!$A98,'Model Output_TTC'!$A:$BP,'Input PD LGD'!AA$6,FALSE),IF('Ref-Data'!$Z$5="96th Percentile",VLOOKUP('Input PD LGD'!$A98,'Model Output_TTC'!$A:$Z,'Input PD LGD'!AA$8,FALSE),"")))))</f>
        <v>2.29E-2</v>
      </c>
      <c r="H98" s="276">
        <f>IF('Ref-Data'!$Z$2="ON",VLOOKUP($A98,'MacroPD-Cal'!$A:$L,AB$1,FALSE),IF('Ref-Data'!$Z$5 = "Weighted",VLOOKUP($A98,'Model Output_TTC'!$A:$CB,AB$2,FALSE),IF('Ref-Data'!$Z$5="Baseline",VLOOKUP('Input PD LGD'!$A98,'Model Output_TTC'!$A:$AU,'Input PD LGD'!AB$4,FALSE),IF('Ref-Data'!$Z$5="90th Percentile",VLOOKUP('Input PD LGD'!$A98,'Model Output_TTC'!$A:$BP,'Input PD LGD'!AB$6,FALSE),IF('Ref-Data'!$Z$5="96th Percentile",VLOOKUP('Input PD LGD'!$A98,'Model Output_TTC'!$A:$Z,'Input PD LGD'!AB$8,FALSE),"")))))</f>
        <v>3.2899999999999999E-2</v>
      </c>
      <c r="I98" s="276">
        <f>IF('Ref-Data'!$Z$2="ON",VLOOKUP($A98,'MacroPD-Cal'!$A:$L,AC$1,FALSE),IF('Ref-Data'!$Z$5 = "Weighted",VLOOKUP($A98,'Model Output_TTC'!$A:$CB,AC$2,FALSE),IF('Ref-Data'!$Z$5="Baseline",VLOOKUP('Input PD LGD'!$A98,'Model Output_TTC'!$A:$AU,'Input PD LGD'!AC$4,FALSE),IF('Ref-Data'!$Z$5="90th Percentile",VLOOKUP('Input PD LGD'!$A98,'Model Output_TTC'!$A:$BP,'Input PD LGD'!AC$6,FALSE),IF('Ref-Data'!$Z$5="96th Percentile",VLOOKUP('Input PD LGD'!$A98,'Model Output_TTC'!$A:$Z,'Input PD LGD'!AC$8,FALSE),"")))))</f>
        <v>3.8300000000000001E-2</v>
      </c>
      <c r="J98" s="276">
        <f>IF('Ref-Data'!$Z$2="ON",VLOOKUP($A98,'MacroPD-Cal'!$A:$L,AD$1,FALSE),IF('Ref-Data'!$Z$5 = "Weighted",VLOOKUP($A98,'Model Output_TTC'!$A:$CB,AD$2,FALSE),IF('Ref-Data'!$Z$5="Baseline",VLOOKUP('Input PD LGD'!$A98,'Model Output_TTC'!$A:$AU,'Input PD LGD'!AD$4,FALSE),IF('Ref-Data'!$Z$5="90th Percentile",VLOOKUP('Input PD LGD'!$A98,'Model Output_TTC'!$A:$BP,'Input PD LGD'!AD$6,FALSE),IF('Ref-Data'!$Z$5="96th Percentile",VLOOKUP('Input PD LGD'!$A98,'Model Output_TTC'!$A:$Z,'Input PD LGD'!AD$8,FALSE),"")))))</f>
        <v>4.9700000000000001E-2</v>
      </c>
      <c r="K98" s="276">
        <f>IF('Ref-Data'!$Z$2="ON",VLOOKUP($A98,'MacroPD-Cal'!$A:$L,AE$1,FALSE),IF('Ref-Data'!$Z$5 = "Weighted",VLOOKUP($A98,'Model Output_TTC'!$A:$CB,AE$2,FALSE),IF('Ref-Data'!$Z$5="Baseline",VLOOKUP('Input PD LGD'!$A98,'Model Output_TTC'!$A:$AU,'Input PD LGD'!AE$4,FALSE),IF('Ref-Data'!$Z$5="90th Percentile",VLOOKUP('Input PD LGD'!$A98,'Model Output_TTC'!$A:$BP,'Input PD LGD'!AE$6,FALSE),IF('Ref-Data'!$Z$5="96th Percentile",VLOOKUP('Input PD LGD'!$A98,'Model Output_TTC'!$A:$Z,'Input PD LGD'!AE$8,FALSE),"")))))</f>
        <v>6.08E-2</v>
      </c>
      <c r="L98" s="274">
        <f>VLOOKUP(A98,'Ref-Data'!$A:$N,14,0)</f>
        <v>0.35859999999999997</v>
      </c>
      <c r="M98" s="354">
        <f>VLOOKUP(A98,'Ref-Data'!A:I,9,0)</f>
        <v>1</v>
      </c>
      <c r="N98" s="354" t="s">
        <v>1156</v>
      </c>
    </row>
    <row r="99" spans="1:14" x14ac:dyDescent="0.25">
      <c r="A99" s="354">
        <v>1100000254</v>
      </c>
      <c r="B99" s="277" t="str">
        <f>INDEX('Loan Book Summary'!B:C,MATCH('Input PD LGD'!A99,'Loan Book Summary'!C:C,0),1)</f>
        <v>Inn Collection Bidco - Business Trading - Facility H8 - Northallerton IC Site</v>
      </c>
      <c r="C99" s="400">
        <f>VLOOKUP(A99,Reference_Rate_Repricing_Report!B:P,15,FALSE)</f>
        <v>6.2</v>
      </c>
      <c r="D99" s="276">
        <f>IF('Ref-Data'!$Z$2="ON",VLOOKUP($A99,'MacroPD-Cal'!$A:$L,X$1,FALSE),IF('Ref-Data'!$Z$5 = "Weighted",VLOOKUP($A99,'Model Output_TTC'!$A:$CB,X$2,FALSE),IF('Ref-Data'!$Z$5="Baseline",VLOOKUP('Input PD LGD'!$A99,'Model Output_TTC'!$A:$AU,'Input PD LGD'!X$4,FALSE),IF('Ref-Data'!$Z$5="90th Percentile",VLOOKUP('Input PD LGD'!$A99,'Model Output_TTC'!$A:$BP,'Input PD LGD'!X$6,FALSE),IF('Ref-Data'!$Z$5="96th Percentile",VLOOKUP('Input PD LGD'!$A99,'Model Output_TTC'!$A:$Z,'Input PD LGD'!X$8,FALSE),"")))))</f>
        <v>4.0228091930422216E-3</v>
      </c>
      <c r="E99" s="276">
        <f>IF('Ref-Data'!$Z$2="ON",VLOOKUP($A99,'MacroPD-Cal'!$A:$L,Y$1,FALSE),IF('Ref-Data'!$Z$5 = "Weighted",VLOOKUP($A99,'Model Output_TTC'!$A:$CB,Y$2,FALSE),IF('Ref-Data'!$Z$5="Baseline",VLOOKUP('Input PD LGD'!$A99,'Model Output_TTC'!$A:$AU,'Input PD LGD'!Y$4,FALSE),IF('Ref-Data'!$Z$5="90th Percentile",VLOOKUP('Input PD LGD'!$A99,'Model Output_TTC'!$A:$BP,'Input PD LGD'!Y$6,FALSE),IF('Ref-Data'!$Z$5="96th Percentile",VLOOKUP('Input PD LGD'!$A99,'Model Output_TTC'!$A:$Z,'Input PD LGD'!Y$8,FALSE),"")))))</f>
        <v>9.2938867723136864E-3</v>
      </c>
      <c r="F99" s="276">
        <f>IF('Ref-Data'!$Z$2="ON",VLOOKUP($A99,'MacroPD-Cal'!$A:$L,Z$1,FALSE),IF('Ref-Data'!$Z$5 = "Weighted",VLOOKUP($A99,'Model Output_TTC'!$A:$CB,Z$2,FALSE),IF('Ref-Data'!$Z$5="Baseline",VLOOKUP('Input PD LGD'!$A99,'Model Output_TTC'!$A:$AU,'Input PD LGD'!Z$4,FALSE),IF('Ref-Data'!$Z$5="90th Percentile",VLOOKUP('Input PD LGD'!$A99,'Model Output_TTC'!$A:$BP,'Input PD LGD'!Z$6,FALSE),IF('Ref-Data'!$Z$5="96th Percentile",VLOOKUP('Input PD LGD'!$A99,'Model Output_TTC'!$A:$Z,'Input PD LGD'!Z$8,FALSE),"")))))</f>
        <v>1.5249624684039231E-2</v>
      </c>
      <c r="G99" s="276">
        <f>IF('Ref-Data'!$Z$2="ON",VLOOKUP($A99,'MacroPD-Cal'!$A:$L,AA$1,FALSE),IF('Ref-Data'!$Z$5 = "Weighted",VLOOKUP($A99,'Model Output_TTC'!$A:$CB,AA$2,FALSE),IF('Ref-Data'!$Z$5="Baseline",VLOOKUP('Input PD LGD'!$A99,'Model Output_TTC'!$A:$AU,'Input PD LGD'!AA$4,FALSE),IF('Ref-Data'!$Z$5="90th Percentile",VLOOKUP('Input PD LGD'!$A99,'Model Output_TTC'!$A:$BP,'Input PD LGD'!AA$6,FALSE),IF('Ref-Data'!$Z$5="96th Percentile",VLOOKUP('Input PD LGD'!$A99,'Model Output_TTC'!$A:$Z,'Input PD LGD'!AA$8,FALSE),"")))))</f>
        <v>2.29E-2</v>
      </c>
      <c r="H99" s="276">
        <f>IF('Ref-Data'!$Z$2="ON",VLOOKUP($A99,'MacroPD-Cal'!$A:$L,AB$1,FALSE),IF('Ref-Data'!$Z$5 = "Weighted",VLOOKUP($A99,'Model Output_TTC'!$A:$CB,AB$2,FALSE),IF('Ref-Data'!$Z$5="Baseline",VLOOKUP('Input PD LGD'!$A99,'Model Output_TTC'!$A:$AU,'Input PD LGD'!AB$4,FALSE),IF('Ref-Data'!$Z$5="90th Percentile",VLOOKUP('Input PD LGD'!$A99,'Model Output_TTC'!$A:$BP,'Input PD LGD'!AB$6,FALSE),IF('Ref-Data'!$Z$5="96th Percentile",VLOOKUP('Input PD LGD'!$A99,'Model Output_TTC'!$A:$Z,'Input PD LGD'!AB$8,FALSE),"")))))</f>
        <v>3.2899999999999999E-2</v>
      </c>
      <c r="I99" s="276">
        <f>IF('Ref-Data'!$Z$2="ON",VLOOKUP($A99,'MacroPD-Cal'!$A:$L,AC$1,FALSE),IF('Ref-Data'!$Z$5 = "Weighted",VLOOKUP($A99,'Model Output_TTC'!$A:$CB,AC$2,FALSE),IF('Ref-Data'!$Z$5="Baseline",VLOOKUP('Input PD LGD'!$A99,'Model Output_TTC'!$A:$AU,'Input PD LGD'!AC$4,FALSE),IF('Ref-Data'!$Z$5="90th Percentile",VLOOKUP('Input PD LGD'!$A99,'Model Output_TTC'!$A:$BP,'Input PD LGD'!AC$6,FALSE),IF('Ref-Data'!$Z$5="96th Percentile",VLOOKUP('Input PD LGD'!$A99,'Model Output_TTC'!$A:$Z,'Input PD LGD'!AC$8,FALSE),"")))))</f>
        <v>3.8300000000000001E-2</v>
      </c>
      <c r="J99" s="276">
        <f>IF('Ref-Data'!$Z$2="ON",VLOOKUP($A99,'MacroPD-Cal'!$A:$L,AD$1,FALSE),IF('Ref-Data'!$Z$5 = "Weighted",VLOOKUP($A99,'Model Output_TTC'!$A:$CB,AD$2,FALSE),IF('Ref-Data'!$Z$5="Baseline",VLOOKUP('Input PD LGD'!$A99,'Model Output_TTC'!$A:$AU,'Input PD LGD'!AD$4,FALSE),IF('Ref-Data'!$Z$5="90th Percentile",VLOOKUP('Input PD LGD'!$A99,'Model Output_TTC'!$A:$BP,'Input PD LGD'!AD$6,FALSE),IF('Ref-Data'!$Z$5="96th Percentile",VLOOKUP('Input PD LGD'!$A99,'Model Output_TTC'!$A:$Z,'Input PD LGD'!AD$8,FALSE),"")))))</f>
        <v>4.9700000000000001E-2</v>
      </c>
      <c r="K99" s="276">
        <f>IF('Ref-Data'!$Z$2="ON",VLOOKUP($A99,'MacroPD-Cal'!$A:$L,AE$1,FALSE),IF('Ref-Data'!$Z$5 = "Weighted",VLOOKUP($A99,'Model Output_TTC'!$A:$CB,AE$2,FALSE),IF('Ref-Data'!$Z$5="Baseline",VLOOKUP('Input PD LGD'!$A99,'Model Output_TTC'!$A:$AU,'Input PD LGD'!AE$4,FALSE),IF('Ref-Data'!$Z$5="90th Percentile",VLOOKUP('Input PD LGD'!$A99,'Model Output_TTC'!$A:$BP,'Input PD LGD'!AE$6,FALSE),IF('Ref-Data'!$Z$5="96th Percentile",VLOOKUP('Input PD LGD'!$A99,'Model Output_TTC'!$A:$Z,'Input PD LGD'!AE$8,FALSE),"")))))</f>
        <v>6.08E-2</v>
      </c>
      <c r="L99" s="274">
        <f>VLOOKUP(A99,'Ref-Data'!$A:$N,14,0)</f>
        <v>0.35859999999999997</v>
      </c>
      <c r="M99" s="354">
        <f>VLOOKUP(A99,'Ref-Data'!A:I,9,0)</f>
        <v>1</v>
      </c>
      <c r="N99" s="354" t="s">
        <v>1156</v>
      </c>
    </row>
    <row r="100" spans="1:14" x14ac:dyDescent="0.25">
      <c r="A100" s="354">
        <v>1100000256</v>
      </c>
      <c r="B100" s="277" t="str">
        <f>INDEX('Loan Book Summary'!B:C,MATCH('Input PD LGD'!A100,'Loan Book Summary'!C:C,0),1)</f>
        <v>Inn Collection Bidco - Business Trading - Facility H9 - Pheasant IC Site</v>
      </c>
      <c r="C100" s="400">
        <f>VLOOKUP(A100,Reference_Rate_Repricing_Report!B:P,15,FALSE)</f>
        <v>6.2</v>
      </c>
      <c r="D100" s="276">
        <f>IF('Ref-Data'!$Z$2="ON",VLOOKUP($A100,'MacroPD-Cal'!$A:$L,X$1,FALSE),IF('Ref-Data'!$Z$5 = "Weighted",VLOOKUP($A100,'Model Output_TTC'!$A:$CB,X$2,FALSE),IF('Ref-Data'!$Z$5="Baseline",VLOOKUP('Input PD LGD'!$A100,'Model Output_TTC'!$A:$AU,'Input PD LGD'!X$4,FALSE),IF('Ref-Data'!$Z$5="90th Percentile",VLOOKUP('Input PD LGD'!$A100,'Model Output_TTC'!$A:$BP,'Input PD LGD'!X$6,FALSE),IF('Ref-Data'!$Z$5="96th Percentile",VLOOKUP('Input PD LGD'!$A100,'Model Output_TTC'!$A:$Z,'Input PD LGD'!X$8,FALSE),"")))))</f>
        <v>4.0228091930422216E-3</v>
      </c>
      <c r="E100" s="276">
        <f>IF('Ref-Data'!$Z$2="ON",VLOOKUP($A100,'MacroPD-Cal'!$A:$L,Y$1,FALSE),IF('Ref-Data'!$Z$5 = "Weighted",VLOOKUP($A100,'Model Output_TTC'!$A:$CB,Y$2,FALSE),IF('Ref-Data'!$Z$5="Baseline",VLOOKUP('Input PD LGD'!$A100,'Model Output_TTC'!$A:$AU,'Input PD LGD'!Y$4,FALSE),IF('Ref-Data'!$Z$5="90th Percentile",VLOOKUP('Input PD LGD'!$A100,'Model Output_TTC'!$A:$BP,'Input PD LGD'!Y$6,FALSE),IF('Ref-Data'!$Z$5="96th Percentile",VLOOKUP('Input PD LGD'!$A100,'Model Output_TTC'!$A:$Z,'Input PD LGD'!Y$8,FALSE),"")))))</f>
        <v>9.2938867723136864E-3</v>
      </c>
      <c r="F100" s="276">
        <f>IF('Ref-Data'!$Z$2="ON",VLOOKUP($A100,'MacroPD-Cal'!$A:$L,Z$1,FALSE),IF('Ref-Data'!$Z$5 = "Weighted",VLOOKUP($A100,'Model Output_TTC'!$A:$CB,Z$2,FALSE),IF('Ref-Data'!$Z$5="Baseline",VLOOKUP('Input PD LGD'!$A100,'Model Output_TTC'!$A:$AU,'Input PD LGD'!Z$4,FALSE),IF('Ref-Data'!$Z$5="90th Percentile",VLOOKUP('Input PD LGD'!$A100,'Model Output_TTC'!$A:$BP,'Input PD LGD'!Z$6,FALSE),IF('Ref-Data'!$Z$5="96th Percentile",VLOOKUP('Input PD LGD'!$A100,'Model Output_TTC'!$A:$Z,'Input PD LGD'!Z$8,FALSE),"")))))</f>
        <v>1.5249624684039231E-2</v>
      </c>
      <c r="G100" s="276">
        <f>IF('Ref-Data'!$Z$2="ON",VLOOKUP($A100,'MacroPD-Cal'!$A:$L,AA$1,FALSE),IF('Ref-Data'!$Z$5 = "Weighted",VLOOKUP($A100,'Model Output_TTC'!$A:$CB,AA$2,FALSE),IF('Ref-Data'!$Z$5="Baseline",VLOOKUP('Input PD LGD'!$A100,'Model Output_TTC'!$A:$AU,'Input PD LGD'!AA$4,FALSE),IF('Ref-Data'!$Z$5="90th Percentile",VLOOKUP('Input PD LGD'!$A100,'Model Output_TTC'!$A:$BP,'Input PD LGD'!AA$6,FALSE),IF('Ref-Data'!$Z$5="96th Percentile",VLOOKUP('Input PD LGD'!$A100,'Model Output_TTC'!$A:$Z,'Input PD LGD'!AA$8,FALSE),"")))))</f>
        <v>2.29E-2</v>
      </c>
      <c r="H100" s="276">
        <f>IF('Ref-Data'!$Z$2="ON",VLOOKUP($A100,'MacroPD-Cal'!$A:$L,AB$1,FALSE),IF('Ref-Data'!$Z$5 = "Weighted",VLOOKUP($A100,'Model Output_TTC'!$A:$CB,AB$2,FALSE),IF('Ref-Data'!$Z$5="Baseline",VLOOKUP('Input PD LGD'!$A100,'Model Output_TTC'!$A:$AU,'Input PD LGD'!AB$4,FALSE),IF('Ref-Data'!$Z$5="90th Percentile",VLOOKUP('Input PD LGD'!$A100,'Model Output_TTC'!$A:$BP,'Input PD LGD'!AB$6,FALSE),IF('Ref-Data'!$Z$5="96th Percentile",VLOOKUP('Input PD LGD'!$A100,'Model Output_TTC'!$A:$Z,'Input PD LGD'!AB$8,FALSE),"")))))</f>
        <v>3.2899999999999999E-2</v>
      </c>
      <c r="I100" s="276">
        <f>IF('Ref-Data'!$Z$2="ON",VLOOKUP($A100,'MacroPD-Cal'!$A:$L,AC$1,FALSE),IF('Ref-Data'!$Z$5 = "Weighted",VLOOKUP($A100,'Model Output_TTC'!$A:$CB,AC$2,FALSE),IF('Ref-Data'!$Z$5="Baseline",VLOOKUP('Input PD LGD'!$A100,'Model Output_TTC'!$A:$AU,'Input PD LGD'!AC$4,FALSE),IF('Ref-Data'!$Z$5="90th Percentile",VLOOKUP('Input PD LGD'!$A100,'Model Output_TTC'!$A:$BP,'Input PD LGD'!AC$6,FALSE),IF('Ref-Data'!$Z$5="96th Percentile",VLOOKUP('Input PD LGD'!$A100,'Model Output_TTC'!$A:$Z,'Input PD LGD'!AC$8,FALSE),"")))))</f>
        <v>3.8300000000000001E-2</v>
      </c>
      <c r="J100" s="276">
        <f>IF('Ref-Data'!$Z$2="ON",VLOOKUP($A100,'MacroPD-Cal'!$A:$L,AD$1,FALSE),IF('Ref-Data'!$Z$5 = "Weighted",VLOOKUP($A100,'Model Output_TTC'!$A:$CB,AD$2,FALSE),IF('Ref-Data'!$Z$5="Baseline",VLOOKUP('Input PD LGD'!$A100,'Model Output_TTC'!$A:$AU,'Input PD LGD'!AD$4,FALSE),IF('Ref-Data'!$Z$5="90th Percentile",VLOOKUP('Input PD LGD'!$A100,'Model Output_TTC'!$A:$BP,'Input PD LGD'!AD$6,FALSE),IF('Ref-Data'!$Z$5="96th Percentile",VLOOKUP('Input PD LGD'!$A100,'Model Output_TTC'!$A:$Z,'Input PD LGD'!AD$8,FALSE),"")))))</f>
        <v>4.9700000000000001E-2</v>
      </c>
      <c r="K100" s="276">
        <f>IF('Ref-Data'!$Z$2="ON",VLOOKUP($A100,'MacroPD-Cal'!$A:$L,AE$1,FALSE),IF('Ref-Data'!$Z$5 = "Weighted",VLOOKUP($A100,'Model Output_TTC'!$A:$CB,AE$2,FALSE),IF('Ref-Data'!$Z$5="Baseline",VLOOKUP('Input PD LGD'!$A100,'Model Output_TTC'!$A:$AU,'Input PD LGD'!AE$4,FALSE),IF('Ref-Data'!$Z$5="90th Percentile",VLOOKUP('Input PD LGD'!$A100,'Model Output_TTC'!$A:$BP,'Input PD LGD'!AE$6,FALSE),IF('Ref-Data'!$Z$5="96th Percentile",VLOOKUP('Input PD LGD'!$A100,'Model Output_TTC'!$A:$Z,'Input PD LGD'!AE$8,FALSE),"")))))</f>
        <v>6.08E-2</v>
      </c>
      <c r="L100" s="274">
        <f>VLOOKUP(A100,'Ref-Data'!$A:$N,14,0)</f>
        <v>0.35859999999999997</v>
      </c>
      <c r="M100" s="354">
        <f>VLOOKUP(A100,'Ref-Data'!A:I,9,0)</f>
        <v>1</v>
      </c>
      <c r="N100" s="354" t="s">
        <v>1156</v>
      </c>
    </row>
    <row r="101" spans="1:14" x14ac:dyDescent="0.25">
      <c r="A101" s="354">
        <v>1100000268</v>
      </c>
      <c r="B101" s="277" t="str">
        <f>INDEX('Loan Book Summary'!B:C,MATCH('Input PD LGD'!A101,'Loan Book Summary'!C:C,0),1)</f>
        <v>Apprentify Group Limited - Business Trading Facility - Facility A</v>
      </c>
      <c r="C101" s="400">
        <f>VLOOKUP(A101,Reference_Rate_Repricing_Report!B:P,15,FALSE)</f>
        <v>6</v>
      </c>
      <c r="D101" s="276">
        <f>IF('Ref-Data'!$Z$2="ON",VLOOKUP($A101,'MacroPD-Cal'!$A:$L,X$1,FALSE),IF('Ref-Data'!$Z$5 = "Weighted",VLOOKUP($A101,'Model Output_TTC'!$A:$CB,X$2,FALSE),IF('Ref-Data'!$Z$5="Baseline",VLOOKUP('Input PD LGD'!$A101,'Model Output_TTC'!$A:$AU,'Input PD LGD'!X$4,FALSE),IF('Ref-Data'!$Z$5="90th Percentile",VLOOKUP('Input PD LGD'!$A101,'Model Output_TTC'!$A:$BP,'Input PD LGD'!X$6,FALSE),IF('Ref-Data'!$Z$5="96th Percentile",VLOOKUP('Input PD LGD'!$A101,'Model Output_TTC'!$A:$Z,'Input PD LGD'!X$8,FALSE),"")))))</f>
        <v>5.0253645178750003E-4</v>
      </c>
      <c r="E101" s="276">
        <f>IF('Ref-Data'!$Z$2="ON",VLOOKUP($A101,'MacroPD-Cal'!$A:$L,Y$1,FALSE),IF('Ref-Data'!$Z$5 = "Weighted",VLOOKUP($A101,'Model Output_TTC'!$A:$CB,Y$2,FALSE),IF('Ref-Data'!$Z$5="Baseline",VLOOKUP('Input PD LGD'!$A101,'Model Output_TTC'!$A:$AU,'Input PD LGD'!Y$4,FALSE),IF('Ref-Data'!$Z$5="90th Percentile",VLOOKUP('Input PD LGD'!$A101,'Model Output_TTC'!$A:$BP,'Input PD LGD'!Y$6,FALSE),IF('Ref-Data'!$Z$5="96th Percentile",VLOOKUP('Input PD LGD'!$A101,'Model Output_TTC'!$A:$Z,'Input PD LGD'!Y$8,FALSE),"")))))</f>
        <v>1.2011674264139627E-3</v>
      </c>
      <c r="F101" s="276">
        <f>IF('Ref-Data'!$Z$2="ON",VLOOKUP($A101,'MacroPD-Cal'!$A:$L,Z$1,FALSE),IF('Ref-Data'!$Z$5 = "Weighted",VLOOKUP($A101,'Model Output_TTC'!$A:$CB,Z$2,FALSE),IF('Ref-Data'!$Z$5="Baseline",VLOOKUP('Input PD LGD'!$A101,'Model Output_TTC'!$A:$AU,'Input PD LGD'!Z$4,FALSE),IF('Ref-Data'!$Z$5="90th Percentile",VLOOKUP('Input PD LGD'!$A101,'Model Output_TTC'!$A:$BP,'Input PD LGD'!Z$6,FALSE),IF('Ref-Data'!$Z$5="96th Percentile",VLOOKUP('Input PD LGD'!$A101,'Model Output_TTC'!$A:$Z,'Input PD LGD'!Z$8,FALSE),"")))))</f>
        <v>2.015380069791739E-3</v>
      </c>
      <c r="G101" s="276">
        <f>IF('Ref-Data'!$Z$2="ON",VLOOKUP($A101,'MacroPD-Cal'!$A:$L,AA$1,FALSE),IF('Ref-Data'!$Z$5 = "Weighted",VLOOKUP($A101,'Model Output_TTC'!$A:$CB,AA$2,FALSE),IF('Ref-Data'!$Z$5="Baseline",VLOOKUP('Input PD LGD'!$A101,'Model Output_TTC'!$A:$AU,'Input PD LGD'!AA$4,FALSE),IF('Ref-Data'!$Z$5="90th Percentile",VLOOKUP('Input PD LGD'!$A101,'Model Output_TTC'!$A:$BP,'Input PD LGD'!AA$6,FALSE),IF('Ref-Data'!$Z$5="96th Percentile",VLOOKUP('Input PD LGD'!$A101,'Model Output_TTC'!$A:$Z,'Input PD LGD'!AA$8,FALSE),"")))))</f>
        <v>3.1000000000000003E-3</v>
      </c>
      <c r="H101" s="276">
        <f>IF('Ref-Data'!$Z$2="ON",VLOOKUP($A101,'MacroPD-Cal'!$A:$L,AB$1,FALSE),IF('Ref-Data'!$Z$5 = "Weighted",VLOOKUP($A101,'Model Output_TTC'!$A:$CB,AB$2,FALSE),IF('Ref-Data'!$Z$5="Baseline",VLOOKUP('Input PD LGD'!$A101,'Model Output_TTC'!$A:$AU,'Input PD LGD'!AB$4,FALSE),IF('Ref-Data'!$Z$5="90th Percentile",VLOOKUP('Input PD LGD'!$A101,'Model Output_TTC'!$A:$BP,'Input PD LGD'!AB$6,FALSE),IF('Ref-Data'!$Z$5="96th Percentile",VLOOKUP('Input PD LGD'!$A101,'Model Output_TTC'!$A:$Z,'Input PD LGD'!AB$8,FALSE),"")))))</f>
        <v>5.2000000000000006E-3</v>
      </c>
      <c r="I101" s="276">
        <f>IF('Ref-Data'!$Z$2="ON",VLOOKUP($A101,'MacroPD-Cal'!$A:$L,AC$1,FALSE),IF('Ref-Data'!$Z$5 = "Weighted",VLOOKUP($A101,'Model Output_TTC'!$A:$CB,AC$2,FALSE),IF('Ref-Data'!$Z$5="Baseline",VLOOKUP('Input PD LGD'!$A101,'Model Output_TTC'!$A:$AU,'Input PD LGD'!AC$4,FALSE),IF('Ref-Data'!$Z$5="90th Percentile",VLOOKUP('Input PD LGD'!$A101,'Model Output_TTC'!$A:$BP,'Input PD LGD'!AC$6,FALSE),IF('Ref-Data'!$Z$5="96th Percentile",VLOOKUP('Input PD LGD'!$A101,'Model Output_TTC'!$A:$Z,'Input PD LGD'!AC$8,FALSE),"")))))</f>
        <v>6.7000000000000002E-3</v>
      </c>
      <c r="J101" s="276">
        <f>IF('Ref-Data'!$Z$2="ON",VLOOKUP($A101,'MacroPD-Cal'!$A:$L,AD$1,FALSE),IF('Ref-Data'!$Z$5 = "Weighted",VLOOKUP($A101,'Model Output_TTC'!$A:$CB,AD$2,FALSE),IF('Ref-Data'!$Z$5="Baseline",VLOOKUP('Input PD LGD'!$A101,'Model Output_TTC'!$A:$AU,'Input PD LGD'!AD$4,FALSE),IF('Ref-Data'!$Z$5="90th Percentile",VLOOKUP('Input PD LGD'!$A101,'Model Output_TTC'!$A:$BP,'Input PD LGD'!AD$6,FALSE),IF('Ref-Data'!$Z$5="96th Percentile",VLOOKUP('Input PD LGD'!$A101,'Model Output_TTC'!$A:$Z,'Input PD LGD'!AD$8,FALSE),"")))))</f>
        <v>1.14E-2</v>
      </c>
      <c r="K101" s="276">
        <f>IF('Ref-Data'!$Z$2="ON",VLOOKUP($A101,'MacroPD-Cal'!$A:$L,AE$1,FALSE),IF('Ref-Data'!$Z$5 = "Weighted",VLOOKUP($A101,'Model Output_TTC'!$A:$CB,AE$2,FALSE),IF('Ref-Data'!$Z$5="Baseline",VLOOKUP('Input PD LGD'!$A101,'Model Output_TTC'!$A:$AU,'Input PD LGD'!AE$4,FALSE),IF('Ref-Data'!$Z$5="90th Percentile",VLOOKUP('Input PD LGD'!$A101,'Model Output_TTC'!$A:$BP,'Input PD LGD'!AE$6,FALSE),IF('Ref-Data'!$Z$5="96th Percentile",VLOOKUP('Input PD LGD'!$A101,'Model Output_TTC'!$A:$Z,'Input PD LGD'!AE$8,FALSE),"")))))</f>
        <v>1.6900000000000002E-2</v>
      </c>
      <c r="L101" s="274">
        <f>VLOOKUP(A101,'Ref-Data'!$A:$N,14,0)</f>
        <v>0.41450000000000004</v>
      </c>
      <c r="M101" s="354">
        <f>VLOOKUP(A101,'Ref-Data'!A:I,9,0)</f>
        <v>1</v>
      </c>
      <c r="N101" s="354" t="s">
        <v>1156</v>
      </c>
    </row>
    <row r="102" spans="1:14" x14ac:dyDescent="0.25">
      <c r="A102" s="354">
        <v>1100000269</v>
      </c>
      <c r="B102" s="277" t="str">
        <f>INDEX('Loan Book Summary'!B:C,MATCH('Input PD LGD'!A102,'Loan Book Summary'!C:C,0),1)</f>
        <v>Apprentify Group Limited - Business Trading Facility - Facility B</v>
      </c>
      <c r="C102" s="400">
        <f>VLOOKUP(A102,Reference_Rate_Repricing_Report!B:P,15,FALSE)</f>
        <v>6</v>
      </c>
      <c r="D102" s="276">
        <f>IF('Ref-Data'!$Z$2="ON",VLOOKUP($A102,'MacroPD-Cal'!$A:$L,X$1,FALSE),IF('Ref-Data'!$Z$5 = "Weighted",VLOOKUP($A102,'Model Output_TTC'!$A:$CB,X$2,FALSE),IF('Ref-Data'!$Z$5="Baseline",VLOOKUP('Input PD LGD'!$A102,'Model Output_TTC'!$A:$AU,'Input PD LGD'!X$4,FALSE),IF('Ref-Data'!$Z$5="90th Percentile",VLOOKUP('Input PD LGD'!$A102,'Model Output_TTC'!$A:$BP,'Input PD LGD'!X$6,FALSE),IF('Ref-Data'!$Z$5="96th Percentile",VLOOKUP('Input PD LGD'!$A102,'Model Output_TTC'!$A:$Z,'Input PD LGD'!X$8,FALSE),"")))))</f>
        <v>5.0253645178750003E-4</v>
      </c>
      <c r="E102" s="276">
        <f>IF('Ref-Data'!$Z$2="ON",VLOOKUP($A102,'MacroPD-Cal'!$A:$L,Y$1,FALSE),IF('Ref-Data'!$Z$5 = "Weighted",VLOOKUP($A102,'Model Output_TTC'!$A:$CB,Y$2,FALSE),IF('Ref-Data'!$Z$5="Baseline",VLOOKUP('Input PD LGD'!$A102,'Model Output_TTC'!$A:$AU,'Input PD LGD'!Y$4,FALSE),IF('Ref-Data'!$Z$5="90th Percentile",VLOOKUP('Input PD LGD'!$A102,'Model Output_TTC'!$A:$BP,'Input PD LGD'!Y$6,FALSE),IF('Ref-Data'!$Z$5="96th Percentile",VLOOKUP('Input PD LGD'!$A102,'Model Output_TTC'!$A:$Z,'Input PD LGD'!Y$8,FALSE),"")))))</f>
        <v>1.2011674264139627E-3</v>
      </c>
      <c r="F102" s="276">
        <f>IF('Ref-Data'!$Z$2="ON",VLOOKUP($A102,'MacroPD-Cal'!$A:$L,Z$1,FALSE),IF('Ref-Data'!$Z$5 = "Weighted",VLOOKUP($A102,'Model Output_TTC'!$A:$CB,Z$2,FALSE),IF('Ref-Data'!$Z$5="Baseline",VLOOKUP('Input PD LGD'!$A102,'Model Output_TTC'!$A:$AU,'Input PD LGD'!Z$4,FALSE),IF('Ref-Data'!$Z$5="90th Percentile",VLOOKUP('Input PD LGD'!$A102,'Model Output_TTC'!$A:$BP,'Input PD LGD'!Z$6,FALSE),IF('Ref-Data'!$Z$5="96th Percentile",VLOOKUP('Input PD LGD'!$A102,'Model Output_TTC'!$A:$Z,'Input PD LGD'!Z$8,FALSE),"")))))</f>
        <v>2.015380069791739E-3</v>
      </c>
      <c r="G102" s="276">
        <f>IF('Ref-Data'!$Z$2="ON",VLOOKUP($A102,'MacroPD-Cal'!$A:$L,AA$1,FALSE),IF('Ref-Data'!$Z$5 = "Weighted",VLOOKUP($A102,'Model Output_TTC'!$A:$CB,AA$2,FALSE),IF('Ref-Data'!$Z$5="Baseline",VLOOKUP('Input PD LGD'!$A102,'Model Output_TTC'!$A:$AU,'Input PD LGD'!AA$4,FALSE),IF('Ref-Data'!$Z$5="90th Percentile",VLOOKUP('Input PD LGD'!$A102,'Model Output_TTC'!$A:$BP,'Input PD LGD'!AA$6,FALSE),IF('Ref-Data'!$Z$5="96th Percentile",VLOOKUP('Input PD LGD'!$A102,'Model Output_TTC'!$A:$Z,'Input PD LGD'!AA$8,FALSE),"")))))</f>
        <v>3.1000000000000003E-3</v>
      </c>
      <c r="H102" s="276">
        <f>IF('Ref-Data'!$Z$2="ON",VLOOKUP($A102,'MacroPD-Cal'!$A:$L,AB$1,FALSE),IF('Ref-Data'!$Z$5 = "Weighted",VLOOKUP($A102,'Model Output_TTC'!$A:$CB,AB$2,FALSE),IF('Ref-Data'!$Z$5="Baseline",VLOOKUP('Input PD LGD'!$A102,'Model Output_TTC'!$A:$AU,'Input PD LGD'!AB$4,FALSE),IF('Ref-Data'!$Z$5="90th Percentile",VLOOKUP('Input PD LGD'!$A102,'Model Output_TTC'!$A:$BP,'Input PD LGD'!AB$6,FALSE),IF('Ref-Data'!$Z$5="96th Percentile",VLOOKUP('Input PD LGD'!$A102,'Model Output_TTC'!$A:$Z,'Input PD LGD'!AB$8,FALSE),"")))))</f>
        <v>5.2000000000000006E-3</v>
      </c>
      <c r="I102" s="276">
        <f>IF('Ref-Data'!$Z$2="ON",VLOOKUP($A102,'MacroPD-Cal'!$A:$L,AC$1,FALSE),IF('Ref-Data'!$Z$5 = "Weighted",VLOOKUP($A102,'Model Output_TTC'!$A:$CB,AC$2,FALSE),IF('Ref-Data'!$Z$5="Baseline",VLOOKUP('Input PD LGD'!$A102,'Model Output_TTC'!$A:$AU,'Input PD LGD'!AC$4,FALSE),IF('Ref-Data'!$Z$5="90th Percentile",VLOOKUP('Input PD LGD'!$A102,'Model Output_TTC'!$A:$BP,'Input PD LGD'!AC$6,FALSE),IF('Ref-Data'!$Z$5="96th Percentile",VLOOKUP('Input PD LGD'!$A102,'Model Output_TTC'!$A:$Z,'Input PD LGD'!AC$8,FALSE),"")))))</f>
        <v>6.7000000000000002E-3</v>
      </c>
      <c r="J102" s="276">
        <f>IF('Ref-Data'!$Z$2="ON",VLOOKUP($A102,'MacroPD-Cal'!$A:$L,AD$1,FALSE),IF('Ref-Data'!$Z$5 = "Weighted",VLOOKUP($A102,'Model Output_TTC'!$A:$CB,AD$2,FALSE),IF('Ref-Data'!$Z$5="Baseline",VLOOKUP('Input PD LGD'!$A102,'Model Output_TTC'!$A:$AU,'Input PD LGD'!AD$4,FALSE),IF('Ref-Data'!$Z$5="90th Percentile",VLOOKUP('Input PD LGD'!$A102,'Model Output_TTC'!$A:$BP,'Input PD LGD'!AD$6,FALSE),IF('Ref-Data'!$Z$5="96th Percentile",VLOOKUP('Input PD LGD'!$A102,'Model Output_TTC'!$A:$Z,'Input PD LGD'!AD$8,FALSE),"")))))</f>
        <v>1.14E-2</v>
      </c>
      <c r="K102" s="276">
        <f>IF('Ref-Data'!$Z$2="ON",VLOOKUP($A102,'MacroPD-Cal'!$A:$L,AE$1,FALSE),IF('Ref-Data'!$Z$5 = "Weighted",VLOOKUP($A102,'Model Output_TTC'!$A:$CB,AE$2,FALSE),IF('Ref-Data'!$Z$5="Baseline",VLOOKUP('Input PD LGD'!$A102,'Model Output_TTC'!$A:$AU,'Input PD LGD'!AE$4,FALSE),IF('Ref-Data'!$Z$5="90th Percentile",VLOOKUP('Input PD LGD'!$A102,'Model Output_TTC'!$A:$BP,'Input PD LGD'!AE$6,FALSE),IF('Ref-Data'!$Z$5="96th Percentile",VLOOKUP('Input PD LGD'!$A102,'Model Output_TTC'!$A:$Z,'Input PD LGD'!AE$8,FALSE),"")))))</f>
        <v>1.6900000000000002E-2</v>
      </c>
      <c r="L102" s="274">
        <f>VLOOKUP(A102,'Ref-Data'!$A:$N,14,0)</f>
        <v>0.41450000000000004</v>
      </c>
      <c r="M102" s="354">
        <f>VLOOKUP(A102,'Ref-Data'!A:I,9,0)</f>
        <v>1</v>
      </c>
      <c r="N102" s="354" t="s">
        <v>1156</v>
      </c>
    </row>
    <row r="103" spans="1:14" x14ac:dyDescent="0.25">
      <c r="A103" s="354">
        <v>1100000266</v>
      </c>
      <c r="B103" s="277" t="str">
        <f>INDEX('Loan Book Summary'!B:C,MATCH('Input PD LGD'!A103,'Loan Book Summary'!C:C,0),1)</f>
        <v>Chelsea Bidco Limited - Business Trading Facility A</v>
      </c>
      <c r="C103" s="400">
        <f>VLOOKUP(A103,Reference_Rate_Repricing_Report!B:P,15,FALSE)</f>
        <v>6.1</v>
      </c>
      <c r="D103" s="276">
        <f>IF('Ref-Data'!$Z$2="ON",VLOOKUP($A103,'MacroPD-Cal'!$A:$L,X$1,FALSE),IF('Ref-Data'!$Z$5 = "Weighted",VLOOKUP($A103,'Model Output_TTC'!$A:$CB,X$2,FALSE),IF('Ref-Data'!$Z$5="Baseline",VLOOKUP('Input PD LGD'!$A103,'Model Output_TTC'!$A:$AU,'Input PD LGD'!X$4,FALSE),IF('Ref-Data'!$Z$5="90th Percentile",VLOOKUP('Input PD LGD'!$A103,'Model Output_TTC'!$A:$BP,'Input PD LGD'!X$6,FALSE),IF('Ref-Data'!$Z$5="96th Percentile",VLOOKUP('Input PD LGD'!$A103,'Model Output_TTC'!$A:$Z,'Input PD LGD'!X$8,FALSE),"")))))</f>
        <v>8.071523458491334E-4</v>
      </c>
      <c r="E103" s="276">
        <f>IF('Ref-Data'!$Z$2="ON",VLOOKUP($A103,'MacroPD-Cal'!$A:$L,Y$1,FALSE),IF('Ref-Data'!$Z$5 = "Weighted",VLOOKUP($A103,'Model Output_TTC'!$A:$CB,Y$2,FALSE),IF('Ref-Data'!$Z$5="Baseline",VLOOKUP('Input PD LGD'!$A103,'Model Output_TTC'!$A:$AU,'Input PD LGD'!Y$4,FALSE),IF('Ref-Data'!$Z$5="90th Percentile",VLOOKUP('Input PD LGD'!$A103,'Model Output_TTC'!$A:$BP,'Input PD LGD'!Y$6,FALSE),IF('Ref-Data'!$Z$5="96th Percentile",VLOOKUP('Input PD LGD'!$A103,'Model Output_TTC'!$A:$Z,'Input PD LGD'!Y$8,FALSE),"")))))</f>
        <v>1.9156134593488749E-3</v>
      </c>
      <c r="F103" s="276">
        <f>IF('Ref-Data'!$Z$2="ON",VLOOKUP($A103,'MacroPD-Cal'!$A:$L,Z$1,FALSE),IF('Ref-Data'!$Z$5 = "Weighted",VLOOKUP($A103,'Model Output_TTC'!$A:$CB,Z$2,FALSE),IF('Ref-Data'!$Z$5="Baseline",VLOOKUP('Input PD LGD'!$A103,'Model Output_TTC'!$A:$AU,'Input PD LGD'!Z$4,FALSE),IF('Ref-Data'!$Z$5="90th Percentile",VLOOKUP('Input PD LGD'!$A103,'Model Output_TTC'!$A:$BP,'Input PD LGD'!Z$6,FALSE),IF('Ref-Data'!$Z$5="96th Percentile",VLOOKUP('Input PD LGD'!$A103,'Model Output_TTC'!$A:$Z,'Input PD LGD'!Z$8,FALSE),"")))))</f>
        <v>3.1996459116158116E-3</v>
      </c>
      <c r="G103" s="276">
        <f>IF('Ref-Data'!$Z$2="ON",VLOOKUP($A103,'MacroPD-Cal'!$A:$L,AA$1,FALSE),IF('Ref-Data'!$Z$5 = "Weighted",VLOOKUP($A103,'Model Output_TTC'!$A:$CB,AA$2,FALSE),IF('Ref-Data'!$Z$5="Baseline",VLOOKUP('Input PD LGD'!$A103,'Model Output_TTC'!$A:$AU,'Input PD LGD'!AA$4,FALSE),IF('Ref-Data'!$Z$5="90th Percentile",VLOOKUP('Input PD LGD'!$A103,'Model Output_TTC'!$A:$BP,'Input PD LGD'!AA$6,FALSE),IF('Ref-Data'!$Z$5="96th Percentile",VLOOKUP('Input PD LGD'!$A103,'Model Output_TTC'!$A:$Z,'Input PD LGD'!AA$8,FALSE),"")))))</f>
        <v>4.8999999999999998E-3</v>
      </c>
      <c r="H103" s="276">
        <f>IF('Ref-Data'!$Z$2="ON",VLOOKUP($A103,'MacroPD-Cal'!$A:$L,AB$1,FALSE),IF('Ref-Data'!$Z$5 = "Weighted",VLOOKUP($A103,'Model Output_TTC'!$A:$CB,AB$2,FALSE),IF('Ref-Data'!$Z$5="Baseline",VLOOKUP('Input PD LGD'!$A103,'Model Output_TTC'!$A:$AU,'Input PD LGD'!AB$4,FALSE),IF('Ref-Data'!$Z$5="90th Percentile",VLOOKUP('Input PD LGD'!$A103,'Model Output_TTC'!$A:$BP,'Input PD LGD'!AB$6,FALSE),IF('Ref-Data'!$Z$5="96th Percentile",VLOOKUP('Input PD LGD'!$A103,'Model Output_TTC'!$A:$Z,'Input PD LGD'!AB$8,FALSE),"")))))</f>
        <v>7.7000000000000002E-3</v>
      </c>
      <c r="I103" s="276">
        <f>IF('Ref-Data'!$Z$2="ON",VLOOKUP($A103,'MacroPD-Cal'!$A:$L,AC$1,FALSE),IF('Ref-Data'!$Z$5 = "Weighted",VLOOKUP($A103,'Model Output_TTC'!$A:$CB,AC$2,FALSE),IF('Ref-Data'!$Z$5="Baseline",VLOOKUP('Input PD LGD'!$A103,'Model Output_TTC'!$A:$AU,'Input PD LGD'!AC$4,FALSE),IF('Ref-Data'!$Z$5="90th Percentile",VLOOKUP('Input PD LGD'!$A103,'Model Output_TTC'!$A:$BP,'Input PD LGD'!AC$6,FALSE),IF('Ref-Data'!$Z$5="96th Percentile",VLOOKUP('Input PD LGD'!$A103,'Model Output_TTC'!$A:$Z,'Input PD LGD'!AC$8,FALSE),"")))))</f>
        <v>9.4999999999999998E-3</v>
      </c>
      <c r="J103" s="276">
        <f>IF('Ref-Data'!$Z$2="ON",VLOOKUP($A103,'MacroPD-Cal'!$A:$L,AD$1,FALSE),IF('Ref-Data'!$Z$5 = "Weighted",VLOOKUP($A103,'Model Output_TTC'!$A:$CB,AD$2,FALSE),IF('Ref-Data'!$Z$5="Baseline",VLOOKUP('Input PD LGD'!$A103,'Model Output_TTC'!$A:$AU,'Input PD LGD'!AD$4,FALSE),IF('Ref-Data'!$Z$5="90th Percentile",VLOOKUP('Input PD LGD'!$A103,'Model Output_TTC'!$A:$BP,'Input PD LGD'!AD$6,FALSE),IF('Ref-Data'!$Z$5="96th Percentile",VLOOKUP('Input PD LGD'!$A103,'Model Output_TTC'!$A:$Z,'Input PD LGD'!AD$8,FALSE),"")))))</f>
        <v>1.4400000000000001E-2</v>
      </c>
      <c r="K103" s="276">
        <f>IF('Ref-Data'!$Z$2="ON",VLOOKUP($A103,'MacroPD-Cal'!$A:$L,AE$1,FALSE),IF('Ref-Data'!$Z$5 = "Weighted",VLOOKUP($A103,'Model Output_TTC'!$A:$CB,AE$2,FALSE),IF('Ref-Data'!$Z$5="Baseline",VLOOKUP('Input PD LGD'!$A103,'Model Output_TTC'!$A:$AU,'Input PD LGD'!AE$4,FALSE),IF('Ref-Data'!$Z$5="90th Percentile",VLOOKUP('Input PD LGD'!$A103,'Model Output_TTC'!$A:$BP,'Input PD LGD'!AE$6,FALSE),IF('Ref-Data'!$Z$5="96th Percentile",VLOOKUP('Input PD LGD'!$A103,'Model Output_TTC'!$A:$Z,'Input PD LGD'!AE$8,FALSE),"")))))</f>
        <v>1.9700000000000002E-2</v>
      </c>
      <c r="L103" s="274">
        <f>VLOOKUP(A103,'Ref-Data'!$A:$N,14,0)</f>
        <v>0.39140000000000003</v>
      </c>
      <c r="M103" s="354">
        <f>VLOOKUP(A103,'Ref-Data'!A:I,9,0)</f>
        <v>1</v>
      </c>
      <c r="N103" s="354" t="s">
        <v>1156</v>
      </c>
    </row>
    <row r="104" spans="1:14" x14ac:dyDescent="0.25">
      <c r="A104" s="354">
        <v>1100000267</v>
      </c>
      <c r="B104" s="277" t="str">
        <f>INDEX('Loan Book Summary'!B:C,MATCH('Input PD LGD'!A104,'Loan Book Summary'!C:C,0),1)</f>
        <v>Chelsea Bidco Limited - Business Trading Facility B</v>
      </c>
      <c r="C104" s="400">
        <f>VLOOKUP(A104,Reference_Rate_Repricing_Report!B:P,15,FALSE)</f>
        <v>6.3</v>
      </c>
      <c r="D104" s="276">
        <f>IF('Ref-Data'!$Z$2="ON",VLOOKUP($A104,'MacroPD-Cal'!$A:$L,X$1,FALSE),IF('Ref-Data'!$Z$5 = "Weighted",VLOOKUP($A104,'Model Output_TTC'!$A:$CB,X$2,FALSE),IF('Ref-Data'!$Z$5="Baseline",VLOOKUP('Input PD LGD'!$A104,'Model Output_TTC'!$A:$AU,'Input PD LGD'!X$4,FALSE),IF('Ref-Data'!$Z$5="90th Percentile",VLOOKUP('Input PD LGD'!$A104,'Model Output_TTC'!$A:$BP,'Input PD LGD'!X$6,FALSE),IF('Ref-Data'!$Z$5="96th Percentile",VLOOKUP('Input PD LGD'!$A104,'Model Output_TTC'!$A:$Z,'Input PD LGD'!X$8,FALSE),"")))))</f>
        <v>8.071523458491334E-4</v>
      </c>
      <c r="E104" s="276">
        <f>IF('Ref-Data'!$Z$2="ON",VLOOKUP($A104,'MacroPD-Cal'!$A:$L,Y$1,FALSE),IF('Ref-Data'!$Z$5 = "Weighted",VLOOKUP($A104,'Model Output_TTC'!$A:$CB,Y$2,FALSE),IF('Ref-Data'!$Z$5="Baseline",VLOOKUP('Input PD LGD'!$A104,'Model Output_TTC'!$A:$AU,'Input PD LGD'!Y$4,FALSE),IF('Ref-Data'!$Z$5="90th Percentile",VLOOKUP('Input PD LGD'!$A104,'Model Output_TTC'!$A:$BP,'Input PD LGD'!Y$6,FALSE),IF('Ref-Data'!$Z$5="96th Percentile",VLOOKUP('Input PD LGD'!$A104,'Model Output_TTC'!$A:$Z,'Input PD LGD'!Y$8,FALSE),"")))))</f>
        <v>1.9156134593488749E-3</v>
      </c>
      <c r="F104" s="276">
        <f>IF('Ref-Data'!$Z$2="ON",VLOOKUP($A104,'MacroPD-Cal'!$A:$L,Z$1,FALSE),IF('Ref-Data'!$Z$5 = "Weighted",VLOOKUP($A104,'Model Output_TTC'!$A:$CB,Z$2,FALSE),IF('Ref-Data'!$Z$5="Baseline",VLOOKUP('Input PD LGD'!$A104,'Model Output_TTC'!$A:$AU,'Input PD LGD'!Z$4,FALSE),IF('Ref-Data'!$Z$5="90th Percentile",VLOOKUP('Input PD LGD'!$A104,'Model Output_TTC'!$A:$BP,'Input PD LGD'!Z$6,FALSE),IF('Ref-Data'!$Z$5="96th Percentile",VLOOKUP('Input PD LGD'!$A104,'Model Output_TTC'!$A:$Z,'Input PD LGD'!Z$8,FALSE),"")))))</f>
        <v>3.1996459116158116E-3</v>
      </c>
      <c r="G104" s="276">
        <f>IF('Ref-Data'!$Z$2="ON",VLOOKUP($A104,'MacroPD-Cal'!$A:$L,AA$1,FALSE),IF('Ref-Data'!$Z$5 = "Weighted",VLOOKUP($A104,'Model Output_TTC'!$A:$CB,AA$2,FALSE),IF('Ref-Data'!$Z$5="Baseline",VLOOKUP('Input PD LGD'!$A104,'Model Output_TTC'!$A:$AU,'Input PD LGD'!AA$4,FALSE),IF('Ref-Data'!$Z$5="90th Percentile",VLOOKUP('Input PD LGD'!$A104,'Model Output_TTC'!$A:$BP,'Input PD LGD'!AA$6,FALSE),IF('Ref-Data'!$Z$5="96th Percentile",VLOOKUP('Input PD LGD'!$A104,'Model Output_TTC'!$A:$Z,'Input PD LGD'!AA$8,FALSE),"")))))</f>
        <v>4.8999999999999998E-3</v>
      </c>
      <c r="H104" s="276">
        <f>IF('Ref-Data'!$Z$2="ON",VLOOKUP($A104,'MacroPD-Cal'!$A:$L,AB$1,FALSE),IF('Ref-Data'!$Z$5 = "Weighted",VLOOKUP($A104,'Model Output_TTC'!$A:$CB,AB$2,FALSE),IF('Ref-Data'!$Z$5="Baseline",VLOOKUP('Input PD LGD'!$A104,'Model Output_TTC'!$A:$AU,'Input PD LGD'!AB$4,FALSE),IF('Ref-Data'!$Z$5="90th Percentile",VLOOKUP('Input PD LGD'!$A104,'Model Output_TTC'!$A:$BP,'Input PD LGD'!AB$6,FALSE),IF('Ref-Data'!$Z$5="96th Percentile",VLOOKUP('Input PD LGD'!$A104,'Model Output_TTC'!$A:$Z,'Input PD LGD'!AB$8,FALSE),"")))))</f>
        <v>7.7000000000000002E-3</v>
      </c>
      <c r="I104" s="276">
        <f>IF('Ref-Data'!$Z$2="ON",VLOOKUP($A104,'MacroPD-Cal'!$A:$L,AC$1,FALSE),IF('Ref-Data'!$Z$5 = "Weighted",VLOOKUP($A104,'Model Output_TTC'!$A:$CB,AC$2,FALSE),IF('Ref-Data'!$Z$5="Baseline",VLOOKUP('Input PD LGD'!$A104,'Model Output_TTC'!$A:$AU,'Input PD LGD'!AC$4,FALSE),IF('Ref-Data'!$Z$5="90th Percentile",VLOOKUP('Input PD LGD'!$A104,'Model Output_TTC'!$A:$BP,'Input PD LGD'!AC$6,FALSE),IF('Ref-Data'!$Z$5="96th Percentile",VLOOKUP('Input PD LGD'!$A104,'Model Output_TTC'!$A:$Z,'Input PD LGD'!AC$8,FALSE),"")))))</f>
        <v>9.4999999999999998E-3</v>
      </c>
      <c r="J104" s="276">
        <f>IF('Ref-Data'!$Z$2="ON",VLOOKUP($A104,'MacroPD-Cal'!$A:$L,AD$1,FALSE),IF('Ref-Data'!$Z$5 = "Weighted",VLOOKUP($A104,'Model Output_TTC'!$A:$CB,AD$2,FALSE),IF('Ref-Data'!$Z$5="Baseline",VLOOKUP('Input PD LGD'!$A104,'Model Output_TTC'!$A:$AU,'Input PD LGD'!AD$4,FALSE),IF('Ref-Data'!$Z$5="90th Percentile",VLOOKUP('Input PD LGD'!$A104,'Model Output_TTC'!$A:$BP,'Input PD LGD'!AD$6,FALSE),IF('Ref-Data'!$Z$5="96th Percentile",VLOOKUP('Input PD LGD'!$A104,'Model Output_TTC'!$A:$Z,'Input PD LGD'!AD$8,FALSE),"")))))</f>
        <v>1.4400000000000001E-2</v>
      </c>
      <c r="K104" s="276">
        <f>IF('Ref-Data'!$Z$2="ON",VLOOKUP($A104,'MacroPD-Cal'!$A:$L,AE$1,FALSE),IF('Ref-Data'!$Z$5 = "Weighted",VLOOKUP($A104,'Model Output_TTC'!$A:$CB,AE$2,FALSE),IF('Ref-Data'!$Z$5="Baseline",VLOOKUP('Input PD LGD'!$A104,'Model Output_TTC'!$A:$AU,'Input PD LGD'!AE$4,FALSE),IF('Ref-Data'!$Z$5="90th Percentile",VLOOKUP('Input PD LGD'!$A104,'Model Output_TTC'!$A:$BP,'Input PD LGD'!AE$6,FALSE),IF('Ref-Data'!$Z$5="96th Percentile",VLOOKUP('Input PD LGD'!$A104,'Model Output_TTC'!$A:$Z,'Input PD LGD'!AE$8,FALSE),"")))))</f>
        <v>1.9700000000000002E-2</v>
      </c>
      <c r="L104" s="274">
        <f>VLOOKUP(A104,'Ref-Data'!$A:$N,14,0)</f>
        <v>0.39140000000000003</v>
      </c>
      <c r="M104" s="354">
        <f>VLOOKUP(A104,'Ref-Data'!A:I,9,0)</f>
        <v>1</v>
      </c>
      <c r="N104" s="354" t="s">
        <v>1156</v>
      </c>
    </row>
    <row r="105" spans="1:14" x14ac:dyDescent="0.25">
      <c r="A105" s="354">
        <v>1100000270</v>
      </c>
      <c r="B105" s="277" t="str">
        <f>INDEX('Loan Book Summary'!B:C,MATCH('Input PD LGD'!A105,'Loan Book Summary'!C:C,0),1)</f>
        <v>Chelsea Bidco Limited - Business Trading Facility - RCF</v>
      </c>
      <c r="C105" s="400">
        <f>VLOOKUP(A105,Reference_Rate_Repricing_Report!B:P,15,FALSE)</f>
        <v>6</v>
      </c>
      <c r="D105" s="276">
        <f>IF('Ref-Data'!$Z$2="ON",VLOOKUP($A105,'MacroPD-Cal'!$A:$L,X$1,FALSE),IF('Ref-Data'!$Z$5 = "Weighted",VLOOKUP($A105,'Model Output_TTC'!$A:$CB,X$2,FALSE),IF('Ref-Data'!$Z$5="Baseline",VLOOKUP('Input PD LGD'!$A105,'Model Output_TTC'!$A:$AU,'Input PD LGD'!X$4,FALSE),IF('Ref-Data'!$Z$5="90th Percentile",VLOOKUP('Input PD LGD'!$A105,'Model Output_TTC'!$A:$BP,'Input PD LGD'!X$6,FALSE),IF('Ref-Data'!$Z$5="96th Percentile",VLOOKUP('Input PD LGD'!$A105,'Model Output_TTC'!$A:$Z,'Input PD LGD'!X$8,FALSE),"")))))</f>
        <v>8.071523458491334E-4</v>
      </c>
      <c r="E105" s="276">
        <f>IF('Ref-Data'!$Z$2="ON",VLOOKUP($A105,'MacroPD-Cal'!$A:$L,Y$1,FALSE),IF('Ref-Data'!$Z$5 = "Weighted",VLOOKUP($A105,'Model Output_TTC'!$A:$CB,Y$2,FALSE),IF('Ref-Data'!$Z$5="Baseline",VLOOKUP('Input PD LGD'!$A105,'Model Output_TTC'!$A:$AU,'Input PD LGD'!Y$4,FALSE),IF('Ref-Data'!$Z$5="90th Percentile",VLOOKUP('Input PD LGD'!$A105,'Model Output_TTC'!$A:$BP,'Input PD LGD'!Y$6,FALSE),IF('Ref-Data'!$Z$5="96th Percentile",VLOOKUP('Input PD LGD'!$A105,'Model Output_TTC'!$A:$Z,'Input PD LGD'!Y$8,FALSE),"")))))</f>
        <v>1.9156134593488749E-3</v>
      </c>
      <c r="F105" s="276">
        <f>IF('Ref-Data'!$Z$2="ON",VLOOKUP($A105,'MacroPD-Cal'!$A:$L,Z$1,FALSE),IF('Ref-Data'!$Z$5 = "Weighted",VLOOKUP($A105,'Model Output_TTC'!$A:$CB,Z$2,FALSE),IF('Ref-Data'!$Z$5="Baseline",VLOOKUP('Input PD LGD'!$A105,'Model Output_TTC'!$A:$AU,'Input PD LGD'!Z$4,FALSE),IF('Ref-Data'!$Z$5="90th Percentile",VLOOKUP('Input PD LGD'!$A105,'Model Output_TTC'!$A:$BP,'Input PD LGD'!Z$6,FALSE),IF('Ref-Data'!$Z$5="96th Percentile",VLOOKUP('Input PD LGD'!$A105,'Model Output_TTC'!$A:$Z,'Input PD LGD'!Z$8,FALSE),"")))))</f>
        <v>3.1996459116158116E-3</v>
      </c>
      <c r="G105" s="276">
        <f>IF('Ref-Data'!$Z$2="ON",VLOOKUP($A105,'MacroPD-Cal'!$A:$L,AA$1,FALSE),IF('Ref-Data'!$Z$5 = "Weighted",VLOOKUP($A105,'Model Output_TTC'!$A:$CB,AA$2,FALSE),IF('Ref-Data'!$Z$5="Baseline",VLOOKUP('Input PD LGD'!$A105,'Model Output_TTC'!$A:$AU,'Input PD LGD'!AA$4,FALSE),IF('Ref-Data'!$Z$5="90th Percentile",VLOOKUP('Input PD LGD'!$A105,'Model Output_TTC'!$A:$BP,'Input PD LGD'!AA$6,FALSE),IF('Ref-Data'!$Z$5="96th Percentile",VLOOKUP('Input PD LGD'!$A105,'Model Output_TTC'!$A:$Z,'Input PD LGD'!AA$8,FALSE),"")))))</f>
        <v>4.8999999999999998E-3</v>
      </c>
      <c r="H105" s="276">
        <f>IF('Ref-Data'!$Z$2="ON",VLOOKUP($A105,'MacroPD-Cal'!$A:$L,AB$1,FALSE),IF('Ref-Data'!$Z$5 = "Weighted",VLOOKUP($A105,'Model Output_TTC'!$A:$CB,AB$2,FALSE),IF('Ref-Data'!$Z$5="Baseline",VLOOKUP('Input PD LGD'!$A105,'Model Output_TTC'!$A:$AU,'Input PD LGD'!AB$4,FALSE),IF('Ref-Data'!$Z$5="90th Percentile",VLOOKUP('Input PD LGD'!$A105,'Model Output_TTC'!$A:$BP,'Input PD LGD'!AB$6,FALSE),IF('Ref-Data'!$Z$5="96th Percentile",VLOOKUP('Input PD LGD'!$A105,'Model Output_TTC'!$A:$Z,'Input PD LGD'!AB$8,FALSE),"")))))</f>
        <v>7.7000000000000002E-3</v>
      </c>
      <c r="I105" s="276">
        <f>IF('Ref-Data'!$Z$2="ON",VLOOKUP($A105,'MacroPD-Cal'!$A:$L,AC$1,FALSE),IF('Ref-Data'!$Z$5 = "Weighted",VLOOKUP($A105,'Model Output_TTC'!$A:$CB,AC$2,FALSE),IF('Ref-Data'!$Z$5="Baseline",VLOOKUP('Input PD LGD'!$A105,'Model Output_TTC'!$A:$AU,'Input PD LGD'!AC$4,FALSE),IF('Ref-Data'!$Z$5="90th Percentile",VLOOKUP('Input PD LGD'!$A105,'Model Output_TTC'!$A:$BP,'Input PD LGD'!AC$6,FALSE),IF('Ref-Data'!$Z$5="96th Percentile",VLOOKUP('Input PD LGD'!$A105,'Model Output_TTC'!$A:$Z,'Input PD LGD'!AC$8,FALSE),"")))))</f>
        <v>9.4999999999999998E-3</v>
      </c>
      <c r="J105" s="276">
        <f>IF('Ref-Data'!$Z$2="ON",VLOOKUP($A105,'MacroPD-Cal'!$A:$L,AD$1,FALSE),IF('Ref-Data'!$Z$5 = "Weighted",VLOOKUP($A105,'Model Output_TTC'!$A:$CB,AD$2,FALSE),IF('Ref-Data'!$Z$5="Baseline",VLOOKUP('Input PD LGD'!$A105,'Model Output_TTC'!$A:$AU,'Input PD LGD'!AD$4,FALSE),IF('Ref-Data'!$Z$5="90th Percentile",VLOOKUP('Input PD LGD'!$A105,'Model Output_TTC'!$A:$BP,'Input PD LGD'!AD$6,FALSE),IF('Ref-Data'!$Z$5="96th Percentile",VLOOKUP('Input PD LGD'!$A105,'Model Output_TTC'!$A:$Z,'Input PD LGD'!AD$8,FALSE),"")))))</f>
        <v>1.4400000000000001E-2</v>
      </c>
      <c r="K105" s="276">
        <f>IF('Ref-Data'!$Z$2="ON",VLOOKUP($A105,'MacroPD-Cal'!$A:$L,AE$1,FALSE),IF('Ref-Data'!$Z$5 = "Weighted",VLOOKUP($A105,'Model Output_TTC'!$A:$CB,AE$2,FALSE),IF('Ref-Data'!$Z$5="Baseline",VLOOKUP('Input PD LGD'!$A105,'Model Output_TTC'!$A:$AU,'Input PD LGD'!AE$4,FALSE),IF('Ref-Data'!$Z$5="90th Percentile",VLOOKUP('Input PD LGD'!$A105,'Model Output_TTC'!$A:$BP,'Input PD LGD'!AE$6,FALSE),IF('Ref-Data'!$Z$5="96th Percentile",VLOOKUP('Input PD LGD'!$A105,'Model Output_TTC'!$A:$Z,'Input PD LGD'!AE$8,FALSE),"")))))</f>
        <v>1.9700000000000002E-2</v>
      </c>
      <c r="L105" s="274">
        <f>VLOOKUP(A105,'Ref-Data'!$A:$N,14,0)</f>
        <v>0.39140000000000003</v>
      </c>
      <c r="M105" s="354">
        <f>VLOOKUP(A105,'Ref-Data'!A:I,9,0)</f>
        <v>1</v>
      </c>
      <c r="N105" s="354" t="s">
        <v>1156</v>
      </c>
    </row>
    <row r="106" spans="1:14" x14ac:dyDescent="0.25">
      <c r="A106" s="354">
        <v>1100000271</v>
      </c>
      <c r="B106" s="277" t="str">
        <f>INDEX('Loan Book Summary'!B:C,MATCH('Input PD LGD'!A106,'Loan Book Summary'!C:C,0),1)</f>
        <v>Brasserie Bar Co Ltd - Business Trading - Facility A</v>
      </c>
      <c r="C106" s="400">
        <f>VLOOKUP(A106,Reference_Rate_Repricing_Report!B:P,15,FALSE)</f>
        <v>6.25</v>
      </c>
      <c r="D106" s="276">
        <f>IF('Ref-Data'!$Z$2="ON",VLOOKUP($A106,'MacroPD-Cal'!$A:$L,X$1,FALSE),IF('Ref-Data'!$Z$5 = "Weighted",VLOOKUP($A106,'Model Output_TTC'!$A:$CB,X$2,FALSE),IF('Ref-Data'!$Z$5="Baseline",VLOOKUP('Input PD LGD'!$A106,'Model Output_TTC'!$A:$AU,'Input PD LGD'!X$4,FALSE),IF('Ref-Data'!$Z$5="90th Percentile",VLOOKUP('Input PD LGD'!$A106,'Model Output_TTC'!$A:$BP,'Input PD LGD'!X$6,FALSE),IF('Ref-Data'!$Z$5="96th Percentile",VLOOKUP('Input PD LGD'!$A106,'Model Output_TTC'!$A:$Z,'Input PD LGD'!X$8,FALSE),"")))))</f>
        <v>3.2898990106614697E-3</v>
      </c>
      <c r="E106" s="276">
        <f>IF('Ref-Data'!$Z$2="ON",VLOOKUP($A106,'MacroPD-Cal'!$A:$L,Y$1,FALSE),IF('Ref-Data'!$Z$5 = "Weighted",VLOOKUP($A106,'Model Output_TTC'!$A:$CB,Y$2,FALSE),IF('Ref-Data'!$Z$5="Baseline",VLOOKUP('Input PD LGD'!$A106,'Model Output_TTC'!$A:$AU,'Input PD LGD'!Y$4,FALSE),IF('Ref-Data'!$Z$5="90th Percentile",VLOOKUP('Input PD LGD'!$A106,'Model Output_TTC'!$A:$BP,'Input PD LGD'!Y$6,FALSE),IF('Ref-Data'!$Z$5="96th Percentile",VLOOKUP('Input PD LGD'!$A106,'Model Output_TTC'!$A:$Z,'Input PD LGD'!Y$8,FALSE),"")))))</f>
        <v>7.6288946563898286E-3</v>
      </c>
      <c r="F106" s="276">
        <f>IF('Ref-Data'!$Z$2="ON",VLOOKUP($A106,'MacroPD-Cal'!$A:$L,Z$1,FALSE),IF('Ref-Data'!$Z$5 = "Weighted",VLOOKUP($A106,'Model Output_TTC'!$A:$CB,Z$2,FALSE),IF('Ref-Data'!$Z$5="Baseline",VLOOKUP('Input PD LGD'!$A106,'Model Output_TTC'!$A:$AU,'Input PD LGD'!Z$4,FALSE),IF('Ref-Data'!$Z$5="90th Percentile",VLOOKUP('Input PD LGD'!$A106,'Model Output_TTC'!$A:$BP,'Input PD LGD'!Z$6,FALSE),IF('Ref-Data'!$Z$5="96th Percentile",VLOOKUP('Input PD LGD'!$A106,'Model Output_TTC'!$A:$Z,'Input PD LGD'!Z$8,FALSE),"")))))</f>
        <v>1.2549595589975038E-2</v>
      </c>
      <c r="G106" s="276">
        <f>IF('Ref-Data'!$Z$2="ON",VLOOKUP($A106,'MacroPD-Cal'!$A:$L,AA$1,FALSE),IF('Ref-Data'!$Z$5 = "Weighted",VLOOKUP($A106,'Model Output_TTC'!$A:$CB,AA$2,FALSE),IF('Ref-Data'!$Z$5="Baseline",VLOOKUP('Input PD LGD'!$A106,'Model Output_TTC'!$A:$AU,'Input PD LGD'!AA$4,FALSE),IF('Ref-Data'!$Z$5="90th Percentile",VLOOKUP('Input PD LGD'!$A106,'Model Output_TTC'!$A:$BP,'Input PD LGD'!AA$6,FALSE),IF('Ref-Data'!$Z$5="96th Percentile",VLOOKUP('Input PD LGD'!$A106,'Model Output_TTC'!$A:$Z,'Input PD LGD'!AA$8,FALSE),"")))))</f>
        <v>1.89E-2</v>
      </c>
      <c r="H106" s="276">
        <f>IF('Ref-Data'!$Z$2="ON",VLOOKUP($A106,'MacroPD-Cal'!$A:$L,AB$1,FALSE),IF('Ref-Data'!$Z$5 = "Weighted",VLOOKUP($A106,'Model Output_TTC'!$A:$CB,AB$2,FALSE),IF('Ref-Data'!$Z$5="Baseline",VLOOKUP('Input PD LGD'!$A106,'Model Output_TTC'!$A:$AU,'Input PD LGD'!AB$4,FALSE),IF('Ref-Data'!$Z$5="90th Percentile",VLOOKUP('Input PD LGD'!$A106,'Model Output_TTC'!$A:$BP,'Input PD LGD'!AB$6,FALSE),IF('Ref-Data'!$Z$5="96th Percentile",VLOOKUP('Input PD LGD'!$A106,'Model Output_TTC'!$A:$Z,'Input PD LGD'!AB$8,FALSE),"")))))</f>
        <v>2.7300000000000001E-2</v>
      </c>
      <c r="I106" s="276">
        <f>IF('Ref-Data'!$Z$2="ON",VLOOKUP($A106,'MacroPD-Cal'!$A:$L,AC$1,FALSE),IF('Ref-Data'!$Z$5 = "Weighted",VLOOKUP($A106,'Model Output_TTC'!$A:$CB,AC$2,FALSE),IF('Ref-Data'!$Z$5="Baseline",VLOOKUP('Input PD LGD'!$A106,'Model Output_TTC'!$A:$AU,'Input PD LGD'!AC$4,FALSE),IF('Ref-Data'!$Z$5="90th Percentile",VLOOKUP('Input PD LGD'!$A106,'Model Output_TTC'!$A:$BP,'Input PD LGD'!AC$6,FALSE),IF('Ref-Data'!$Z$5="96th Percentile",VLOOKUP('Input PD LGD'!$A106,'Model Output_TTC'!$A:$Z,'Input PD LGD'!AC$8,FALSE),"")))))</f>
        <v>3.1800000000000002E-2</v>
      </c>
      <c r="J106" s="276">
        <f>IF('Ref-Data'!$Z$2="ON",VLOOKUP($A106,'MacroPD-Cal'!$A:$L,AD$1,FALSE),IF('Ref-Data'!$Z$5 = "Weighted",VLOOKUP($A106,'Model Output_TTC'!$A:$CB,AD$2,FALSE),IF('Ref-Data'!$Z$5="Baseline",VLOOKUP('Input PD LGD'!$A106,'Model Output_TTC'!$A:$AU,'Input PD LGD'!AD$4,FALSE),IF('Ref-Data'!$Z$5="90th Percentile",VLOOKUP('Input PD LGD'!$A106,'Model Output_TTC'!$A:$BP,'Input PD LGD'!AD$6,FALSE),IF('Ref-Data'!$Z$5="96th Percentile",VLOOKUP('Input PD LGD'!$A106,'Model Output_TTC'!$A:$Z,'Input PD LGD'!AD$8,FALSE),"")))))</f>
        <v>4.1800000000000004E-2</v>
      </c>
      <c r="K106" s="276">
        <f>IF('Ref-Data'!$Z$2="ON",VLOOKUP($A106,'MacroPD-Cal'!$A:$L,AE$1,FALSE),IF('Ref-Data'!$Z$5 = "Weighted",VLOOKUP($A106,'Model Output_TTC'!$A:$CB,AE$2,FALSE),IF('Ref-Data'!$Z$5="Baseline",VLOOKUP('Input PD LGD'!$A106,'Model Output_TTC'!$A:$AU,'Input PD LGD'!AE$4,FALSE),IF('Ref-Data'!$Z$5="90th Percentile",VLOOKUP('Input PD LGD'!$A106,'Model Output_TTC'!$A:$BP,'Input PD LGD'!AE$6,FALSE),IF('Ref-Data'!$Z$5="96th Percentile",VLOOKUP('Input PD LGD'!$A106,'Model Output_TTC'!$A:$Z,'Input PD LGD'!AE$8,FALSE),"")))))</f>
        <v>5.16E-2</v>
      </c>
      <c r="L106" s="274">
        <f>VLOOKUP(A106,'Ref-Data'!$A:$N,14,0)</f>
        <v>0.39140000000000003</v>
      </c>
      <c r="M106" s="354">
        <f>VLOOKUP(A106,'Ref-Data'!A:I,9,0)</f>
        <v>1</v>
      </c>
      <c r="N106" s="354" t="s">
        <v>1156</v>
      </c>
    </row>
    <row r="107" spans="1:14" x14ac:dyDescent="0.25">
      <c r="A107" s="354">
        <v>1100000272</v>
      </c>
      <c r="B107" s="277" t="str">
        <f>INDEX('Loan Book Summary'!B:C,MATCH('Input PD LGD'!A107,'Loan Book Summary'!C:C,0),1)</f>
        <v>Brasserie Bar Co Ltd- Business Trading - Facility B</v>
      </c>
      <c r="C107" s="400">
        <f>VLOOKUP(A107,Reference_Rate_Repricing_Report!B:P,15,FALSE)</f>
        <v>6.75</v>
      </c>
      <c r="D107" s="276">
        <f>IF('Ref-Data'!$Z$2="ON",VLOOKUP($A107,'MacroPD-Cal'!$A:$L,X$1,FALSE),IF('Ref-Data'!$Z$5 = "Weighted",VLOOKUP($A107,'Model Output_TTC'!$A:$CB,X$2,FALSE),IF('Ref-Data'!$Z$5="Baseline",VLOOKUP('Input PD LGD'!$A107,'Model Output_TTC'!$A:$AU,'Input PD LGD'!X$4,FALSE),IF('Ref-Data'!$Z$5="90th Percentile",VLOOKUP('Input PD LGD'!$A107,'Model Output_TTC'!$A:$BP,'Input PD LGD'!X$6,FALSE),IF('Ref-Data'!$Z$5="96th Percentile",VLOOKUP('Input PD LGD'!$A107,'Model Output_TTC'!$A:$Z,'Input PD LGD'!X$8,FALSE),"")))))</f>
        <v>3.2898990106614697E-3</v>
      </c>
      <c r="E107" s="276">
        <f>IF('Ref-Data'!$Z$2="ON",VLOOKUP($A107,'MacroPD-Cal'!$A:$L,Y$1,FALSE),IF('Ref-Data'!$Z$5 = "Weighted",VLOOKUP($A107,'Model Output_TTC'!$A:$CB,Y$2,FALSE),IF('Ref-Data'!$Z$5="Baseline",VLOOKUP('Input PD LGD'!$A107,'Model Output_TTC'!$A:$AU,'Input PD LGD'!Y$4,FALSE),IF('Ref-Data'!$Z$5="90th Percentile",VLOOKUP('Input PD LGD'!$A107,'Model Output_TTC'!$A:$BP,'Input PD LGD'!Y$6,FALSE),IF('Ref-Data'!$Z$5="96th Percentile",VLOOKUP('Input PD LGD'!$A107,'Model Output_TTC'!$A:$Z,'Input PD LGD'!Y$8,FALSE),"")))))</f>
        <v>7.6288946563898286E-3</v>
      </c>
      <c r="F107" s="276">
        <f>IF('Ref-Data'!$Z$2="ON",VLOOKUP($A107,'MacroPD-Cal'!$A:$L,Z$1,FALSE),IF('Ref-Data'!$Z$5 = "Weighted",VLOOKUP($A107,'Model Output_TTC'!$A:$CB,Z$2,FALSE),IF('Ref-Data'!$Z$5="Baseline",VLOOKUP('Input PD LGD'!$A107,'Model Output_TTC'!$A:$AU,'Input PD LGD'!Z$4,FALSE),IF('Ref-Data'!$Z$5="90th Percentile",VLOOKUP('Input PD LGD'!$A107,'Model Output_TTC'!$A:$BP,'Input PD LGD'!Z$6,FALSE),IF('Ref-Data'!$Z$5="96th Percentile",VLOOKUP('Input PD LGD'!$A107,'Model Output_TTC'!$A:$Z,'Input PD LGD'!Z$8,FALSE),"")))))</f>
        <v>1.2549595589975038E-2</v>
      </c>
      <c r="G107" s="276">
        <f>IF('Ref-Data'!$Z$2="ON",VLOOKUP($A107,'MacroPD-Cal'!$A:$L,AA$1,FALSE),IF('Ref-Data'!$Z$5 = "Weighted",VLOOKUP($A107,'Model Output_TTC'!$A:$CB,AA$2,FALSE),IF('Ref-Data'!$Z$5="Baseline",VLOOKUP('Input PD LGD'!$A107,'Model Output_TTC'!$A:$AU,'Input PD LGD'!AA$4,FALSE),IF('Ref-Data'!$Z$5="90th Percentile",VLOOKUP('Input PD LGD'!$A107,'Model Output_TTC'!$A:$BP,'Input PD LGD'!AA$6,FALSE),IF('Ref-Data'!$Z$5="96th Percentile",VLOOKUP('Input PD LGD'!$A107,'Model Output_TTC'!$A:$Z,'Input PD LGD'!AA$8,FALSE),"")))))</f>
        <v>1.89E-2</v>
      </c>
      <c r="H107" s="276">
        <f>IF('Ref-Data'!$Z$2="ON",VLOOKUP($A107,'MacroPD-Cal'!$A:$L,AB$1,FALSE),IF('Ref-Data'!$Z$5 = "Weighted",VLOOKUP($A107,'Model Output_TTC'!$A:$CB,AB$2,FALSE),IF('Ref-Data'!$Z$5="Baseline",VLOOKUP('Input PD LGD'!$A107,'Model Output_TTC'!$A:$AU,'Input PD LGD'!AB$4,FALSE),IF('Ref-Data'!$Z$5="90th Percentile",VLOOKUP('Input PD LGD'!$A107,'Model Output_TTC'!$A:$BP,'Input PD LGD'!AB$6,FALSE),IF('Ref-Data'!$Z$5="96th Percentile",VLOOKUP('Input PD LGD'!$A107,'Model Output_TTC'!$A:$Z,'Input PD LGD'!AB$8,FALSE),"")))))</f>
        <v>2.7300000000000001E-2</v>
      </c>
      <c r="I107" s="276">
        <f>IF('Ref-Data'!$Z$2="ON",VLOOKUP($A107,'MacroPD-Cal'!$A:$L,AC$1,FALSE),IF('Ref-Data'!$Z$5 = "Weighted",VLOOKUP($A107,'Model Output_TTC'!$A:$CB,AC$2,FALSE),IF('Ref-Data'!$Z$5="Baseline",VLOOKUP('Input PD LGD'!$A107,'Model Output_TTC'!$A:$AU,'Input PD LGD'!AC$4,FALSE),IF('Ref-Data'!$Z$5="90th Percentile",VLOOKUP('Input PD LGD'!$A107,'Model Output_TTC'!$A:$BP,'Input PD LGD'!AC$6,FALSE),IF('Ref-Data'!$Z$5="96th Percentile",VLOOKUP('Input PD LGD'!$A107,'Model Output_TTC'!$A:$Z,'Input PD LGD'!AC$8,FALSE),"")))))</f>
        <v>3.1800000000000002E-2</v>
      </c>
      <c r="J107" s="276">
        <f>IF('Ref-Data'!$Z$2="ON",VLOOKUP($A107,'MacroPD-Cal'!$A:$L,AD$1,FALSE),IF('Ref-Data'!$Z$5 = "Weighted",VLOOKUP($A107,'Model Output_TTC'!$A:$CB,AD$2,FALSE),IF('Ref-Data'!$Z$5="Baseline",VLOOKUP('Input PD LGD'!$A107,'Model Output_TTC'!$A:$AU,'Input PD LGD'!AD$4,FALSE),IF('Ref-Data'!$Z$5="90th Percentile",VLOOKUP('Input PD LGD'!$A107,'Model Output_TTC'!$A:$BP,'Input PD LGD'!AD$6,FALSE),IF('Ref-Data'!$Z$5="96th Percentile",VLOOKUP('Input PD LGD'!$A107,'Model Output_TTC'!$A:$Z,'Input PD LGD'!AD$8,FALSE),"")))))</f>
        <v>4.1800000000000004E-2</v>
      </c>
      <c r="K107" s="276">
        <f>IF('Ref-Data'!$Z$2="ON",VLOOKUP($A107,'MacroPD-Cal'!$A:$L,AE$1,FALSE),IF('Ref-Data'!$Z$5 = "Weighted",VLOOKUP($A107,'Model Output_TTC'!$A:$CB,AE$2,FALSE),IF('Ref-Data'!$Z$5="Baseline",VLOOKUP('Input PD LGD'!$A107,'Model Output_TTC'!$A:$AU,'Input PD LGD'!AE$4,FALSE),IF('Ref-Data'!$Z$5="90th Percentile",VLOOKUP('Input PD LGD'!$A107,'Model Output_TTC'!$A:$BP,'Input PD LGD'!AE$6,FALSE),IF('Ref-Data'!$Z$5="96th Percentile",VLOOKUP('Input PD LGD'!$A107,'Model Output_TTC'!$A:$Z,'Input PD LGD'!AE$8,FALSE),"")))))</f>
        <v>5.16E-2</v>
      </c>
      <c r="L107" s="274">
        <f>VLOOKUP(A107,'Ref-Data'!$A:$N,14,0)</f>
        <v>0.39140000000000003</v>
      </c>
      <c r="M107" s="354">
        <f>VLOOKUP(A107,'Ref-Data'!A:I,9,0)</f>
        <v>1</v>
      </c>
      <c r="N107" s="354" t="s">
        <v>1156</v>
      </c>
    </row>
    <row r="108" spans="1:14" x14ac:dyDescent="0.25">
      <c r="A108" s="354">
        <v>1100000274</v>
      </c>
      <c r="B108" s="277" t="str">
        <f>INDEX('Loan Book Summary'!B:C,MATCH('Input PD LGD'!A108,'Loan Book Summary'!C:C,0),1)</f>
        <v>Brasserie Bar Co Ltd - Business Trading -  Capex Facility</v>
      </c>
      <c r="C108" s="400">
        <f>VLOOKUP(A108,Reference_Rate_Repricing_Report!B:P,15,FALSE)</f>
        <v>7</v>
      </c>
      <c r="D108" s="276">
        <f>IF('Ref-Data'!$Z$2="ON",VLOOKUP($A108,'MacroPD-Cal'!$A:$L,X$1,FALSE),IF('Ref-Data'!$Z$5 = "Weighted",VLOOKUP($A108,'Model Output_TTC'!$A:$CB,X$2,FALSE),IF('Ref-Data'!$Z$5="Baseline",VLOOKUP('Input PD LGD'!$A108,'Model Output_TTC'!$A:$AU,'Input PD LGD'!X$4,FALSE),IF('Ref-Data'!$Z$5="90th Percentile",VLOOKUP('Input PD LGD'!$A108,'Model Output_TTC'!$A:$BP,'Input PD LGD'!X$6,FALSE),IF('Ref-Data'!$Z$5="96th Percentile",VLOOKUP('Input PD LGD'!$A108,'Model Output_TTC'!$A:$Z,'Input PD LGD'!X$8,FALSE),"")))))</f>
        <v>3.2898990106614697E-3</v>
      </c>
      <c r="E108" s="276">
        <f>IF('Ref-Data'!$Z$2="ON",VLOOKUP($A108,'MacroPD-Cal'!$A:$L,Y$1,FALSE),IF('Ref-Data'!$Z$5 = "Weighted",VLOOKUP($A108,'Model Output_TTC'!$A:$CB,Y$2,FALSE),IF('Ref-Data'!$Z$5="Baseline",VLOOKUP('Input PD LGD'!$A108,'Model Output_TTC'!$A:$AU,'Input PD LGD'!Y$4,FALSE),IF('Ref-Data'!$Z$5="90th Percentile",VLOOKUP('Input PD LGD'!$A108,'Model Output_TTC'!$A:$BP,'Input PD LGD'!Y$6,FALSE),IF('Ref-Data'!$Z$5="96th Percentile",VLOOKUP('Input PD LGD'!$A108,'Model Output_TTC'!$A:$Z,'Input PD LGD'!Y$8,FALSE),"")))))</f>
        <v>7.6288946563898286E-3</v>
      </c>
      <c r="F108" s="276">
        <f>IF('Ref-Data'!$Z$2="ON",VLOOKUP($A108,'MacroPD-Cal'!$A:$L,Z$1,FALSE),IF('Ref-Data'!$Z$5 = "Weighted",VLOOKUP($A108,'Model Output_TTC'!$A:$CB,Z$2,FALSE),IF('Ref-Data'!$Z$5="Baseline",VLOOKUP('Input PD LGD'!$A108,'Model Output_TTC'!$A:$AU,'Input PD LGD'!Z$4,FALSE),IF('Ref-Data'!$Z$5="90th Percentile",VLOOKUP('Input PD LGD'!$A108,'Model Output_TTC'!$A:$BP,'Input PD LGD'!Z$6,FALSE),IF('Ref-Data'!$Z$5="96th Percentile",VLOOKUP('Input PD LGD'!$A108,'Model Output_TTC'!$A:$Z,'Input PD LGD'!Z$8,FALSE),"")))))</f>
        <v>1.2549595589975038E-2</v>
      </c>
      <c r="G108" s="276">
        <f>IF('Ref-Data'!$Z$2="ON",VLOOKUP($A108,'MacroPD-Cal'!$A:$L,AA$1,FALSE),IF('Ref-Data'!$Z$5 = "Weighted",VLOOKUP($A108,'Model Output_TTC'!$A:$CB,AA$2,FALSE),IF('Ref-Data'!$Z$5="Baseline",VLOOKUP('Input PD LGD'!$A108,'Model Output_TTC'!$A:$AU,'Input PD LGD'!AA$4,FALSE),IF('Ref-Data'!$Z$5="90th Percentile",VLOOKUP('Input PD LGD'!$A108,'Model Output_TTC'!$A:$BP,'Input PD LGD'!AA$6,FALSE),IF('Ref-Data'!$Z$5="96th Percentile",VLOOKUP('Input PD LGD'!$A108,'Model Output_TTC'!$A:$Z,'Input PD LGD'!AA$8,FALSE),"")))))</f>
        <v>1.89E-2</v>
      </c>
      <c r="H108" s="276">
        <f>IF('Ref-Data'!$Z$2="ON",VLOOKUP($A108,'MacroPD-Cal'!$A:$L,AB$1,FALSE),IF('Ref-Data'!$Z$5 = "Weighted",VLOOKUP($A108,'Model Output_TTC'!$A:$CB,AB$2,FALSE),IF('Ref-Data'!$Z$5="Baseline",VLOOKUP('Input PD LGD'!$A108,'Model Output_TTC'!$A:$AU,'Input PD LGD'!AB$4,FALSE),IF('Ref-Data'!$Z$5="90th Percentile",VLOOKUP('Input PD LGD'!$A108,'Model Output_TTC'!$A:$BP,'Input PD LGD'!AB$6,FALSE),IF('Ref-Data'!$Z$5="96th Percentile",VLOOKUP('Input PD LGD'!$A108,'Model Output_TTC'!$A:$Z,'Input PD LGD'!AB$8,FALSE),"")))))</f>
        <v>2.7300000000000001E-2</v>
      </c>
      <c r="I108" s="276">
        <f>IF('Ref-Data'!$Z$2="ON",VLOOKUP($A108,'MacroPD-Cal'!$A:$L,AC$1,FALSE),IF('Ref-Data'!$Z$5 = "Weighted",VLOOKUP($A108,'Model Output_TTC'!$A:$CB,AC$2,FALSE),IF('Ref-Data'!$Z$5="Baseline",VLOOKUP('Input PD LGD'!$A108,'Model Output_TTC'!$A:$AU,'Input PD LGD'!AC$4,FALSE),IF('Ref-Data'!$Z$5="90th Percentile",VLOOKUP('Input PD LGD'!$A108,'Model Output_TTC'!$A:$BP,'Input PD LGD'!AC$6,FALSE),IF('Ref-Data'!$Z$5="96th Percentile",VLOOKUP('Input PD LGD'!$A108,'Model Output_TTC'!$A:$Z,'Input PD LGD'!AC$8,FALSE),"")))))</f>
        <v>3.1800000000000002E-2</v>
      </c>
      <c r="J108" s="276">
        <f>IF('Ref-Data'!$Z$2="ON",VLOOKUP($A108,'MacroPD-Cal'!$A:$L,AD$1,FALSE),IF('Ref-Data'!$Z$5 = "Weighted",VLOOKUP($A108,'Model Output_TTC'!$A:$CB,AD$2,FALSE),IF('Ref-Data'!$Z$5="Baseline",VLOOKUP('Input PD LGD'!$A108,'Model Output_TTC'!$A:$AU,'Input PD LGD'!AD$4,FALSE),IF('Ref-Data'!$Z$5="90th Percentile",VLOOKUP('Input PD LGD'!$A108,'Model Output_TTC'!$A:$BP,'Input PD LGD'!AD$6,FALSE),IF('Ref-Data'!$Z$5="96th Percentile",VLOOKUP('Input PD LGD'!$A108,'Model Output_TTC'!$A:$Z,'Input PD LGD'!AD$8,FALSE),"")))))</f>
        <v>4.1800000000000004E-2</v>
      </c>
      <c r="K108" s="276">
        <f>IF('Ref-Data'!$Z$2="ON",VLOOKUP($A108,'MacroPD-Cal'!$A:$L,AE$1,FALSE),IF('Ref-Data'!$Z$5 = "Weighted",VLOOKUP($A108,'Model Output_TTC'!$A:$CB,AE$2,FALSE),IF('Ref-Data'!$Z$5="Baseline",VLOOKUP('Input PD LGD'!$A108,'Model Output_TTC'!$A:$AU,'Input PD LGD'!AE$4,FALSE),IF('Ref-Data'!$Z$5="90th Percentile",VLOOKUP('Input PD LGD'!$A108,'Model Output_TTC'!$A:$BP,'Input PD LGD'!AE$6,FALSE),IF('Ref-Data'!$Z$5="96th Percentile",VLOOKUP('Input PD LGD'!$A108,'Model Output_TTC'!$A:$Z,'Input PD LGD'!AE$8,FALSE),"")))))</f>
        <v>5.16E-2</v>
      </c>
      <c r="L108" s="274">
        <f>VLOOKUP(A108,'Ref-Data'!$A:$N,14,0)</f>
        <v>0.39140000000000003</v>
      </c>
      <c r="M108" s="354">
        <f>VLOOKUP(A108,'Ref-Data'!A:I,9,0)</f>
        <v>1</v>
      </c>
      <c r="N108" s="354" t="s">
        <v>1156</v>
      </c>
    </row>
    <row r="109" spans="1:14" x14ac:dyDescent="0.25">
      <c r="A109" s="354">
        <v>1100000273</v>
      </c>
      <c r="B109" s="277" t="str">
        <f>INDEX('Loan Book Summary'!B:C,MATCH('Input PD LGD'!A109,'Loan Book Summary'!C:C,0),1)</f>
        <v>Brasserie Bar Co Ltd - Business Trading - Revolving Credit Facility</v>
      </c>
      <c r="C109" s="400">
        <f>VLOOKUP(A109,Reference_Rate_Repricing_Report!B:P,15,FALSE)</f>
        <v>7</v>
      </c>
      <c r="D109" s="276">
        <f>IF('Ref-Data'!$Z$2="ON",VLOOKUP($A109,'MacroPD-Cal'!$A:$L,X$1,FALSE),IF('Ref-Data'!$Z$5 = "Weighted",VLOOKUP($A109,'Model Output_TTC'!$A:$CB,X$2,FALSE),IF('Ref-Data'!$Z$5="Baseline",VLOOKUP('Input PD LGD'!$A109,'Model Output_TTC'!$A:$AU,'Input PD LGD'!X$4,FALSE),IF('Ref-Data'!$Z$5="90th Percentile",VLOOKUP('Input PD LGD'!$A109,'Model Output_TTC'!$A:$BP,'Input PD LGD'!X$6,FALSE),IF('Ref-Data'!$Z$5="96th Percentile",VLOOKUP('Input PD LGD'!$A109,'Model Output_TTC'!$A:$Z,'Input PD LGD'!X$8,FALSE),"")))))</f>
        <v>3.2898990106614697E-3</v>
      </c>
      <c r="E109" s="276">
        <f>IF('Ref-Data'!$Z$2="ON",VLOOKUP($A109,'MacroPD-Cal'!$A:$L,Y$1,FALSE),IF('Ref-Data'!$Z$5 = "Weighted",VLOOKUP($A109,'Model Output_TTC'!$A:$CB,Y$2,FALSE),IF('Ref-Data'!$Z$5="Baseline",VLOOKUP('Input PD LGD'!$A109,'Model Output_TTC'!$A:$AU,'Input PD LGD'!Y$4,FALSE),IF('Ref-Data'!$Z$5="90th Percentile",VLOOKUP('Input PD LGD'!$A109,'Model Output_TTC'!$A:$BP,'Input PD LGD'!Y$6,FALSE),IF('Ref-Data'!$Z$5="96th Percentile",VLOOKUP('Input PD LGD'!$A109,'Model Output_TTC'!$A:$Z,'Input PD LGD'!Y$8,FALSE),"")))))</f>
        <v>7.6288946563898286E-3</v>
      </c>
      <c r="F109" s="276">
        <f>IF('Ref-Data'!$Z$2="ON",VLOOKUP($A109,'MacroPD-Cal'!$A:$L,Z$1,FALSE),IF('Ref-Data'!$Z$5 = "Weighted",VLOOKUP($A109,'Model Output_TTC'!$A:$CB,Z$2,FALSE),IF('Ref-Data'!$Z$5="Baseline",VLOOKUP('Input PD LGD'!$A109,'Model Output_TTC'!$A:$AU,'Input PD LGD'!Z$4,FALSE),IF('Ref-Data'!$Z$5="90th Percentile",VLOOKUP('Input PD LGD'!$A109,'Model Output_TTC'!$A:$BP,'Input PD LGD'!Z$6,FALSE),IF('Ref-Data'!$Z$5="96th Percentile",VLOOKUP('Input PD LGD'!$A109,'Model Output_TTC'!$A:$Z,'Input PD LGD'!Z$8,FALSE),"")))))</f>
        <v>1.2549595589975038E-2</v>
      </c>
      <c r="G109" s="276">
        <f>IF('Ref-Data'!$Z$2="ON",VLOOKUP($A109,'MacroPD-Cal'!$A:$L,AA$1,FALSE),IF('Ref-Data'!$Z$5 = "Weighted",VLOOKUP($A109,'Model Output_TTC'!$A:$CB,AA$2,FALSE),IF('Ref-Data'!$Z$5="Baseline",VLOOKUP('Input PD LGD'!$A109,'Model Output_TTC'!$A:$AU,'Input PD LGD'!AA$4,FALSE),IF('Ref-Data'!$Z$5="90th Percentile",VLOOKUP('Input PD LGD'!$A109,'Model Output_TTC'!$A:$BP,'Input PD LGD'!AA$6,FALSE),IF('Ref-Data'!$Z$5="96th Percentile",VLOOKUP('Input PD LGD'!$A109,'Model Output_TTC'!$A:$Z,'Input PD LGD'!AA$8,FALSE),"")))))</f>
        <v>1.89E-2</v>
      </c>
      <c r="H109" s="276">
        <f>IF('Ref-Data'!$Z$2="ON",VLOOKUP($A109,'MacroPD-Cal'!$A:$L,AB$1,FALSE),IF('Ref-Data'!$Z$5 = "Weighted",VLOOKUP($A109,'Model Output_TTC'!$A:$CB,AB$2,FALSE),IF('Ref-Data'!$Z$5="Baseline",VLOOKUP('Input PD LGD'!$A109,'Model Output_TTC'!$A:$AU,'Input PD LGD'!AB$4,FALSE),IF('Ref-Data'!$Z$5="90th Percentile",VLOOKUP('Input PD LGD'!$A109,'Model Output_TTC'!$A:$BP,'Input PD LGD'!AB$6,FALSE),IF('Ref-Data'!$Z$5="96th Percentile",VLOOKUP('Input PD LGD'!$A109,'Model Output_TTC'!$A:$Z,'Input PD LGD'!AB$8,FALSE),"")))))</f>
        <v>2.7300000000000001E-2</v>
      </c>
      <c r="I109" s="276">
        <f>IF('Ref-Data'!$Z$2="ON",VLOOKUP($A109,'MacroPD-Cal'!$A:$L,AC$1,FALSE),IF('Ref-Data'!$Z$5 = "Weighted",VLOOKUP($A109,'Model Output_TTC'!$A:$CB,AC$2,FALSE),IF('Ref-Data'!$Z$5="Baseline",VLOOKUP('Input PD LGD'!$A109,'Model Output_TTC'!$A:$AU,'Input PD LGD'!AC$4,FALSE),IF('Ref-Data'!$Z$5="90th Percentile",VLOOKUP('Input PD LGD'!$A109,'Model Output_TTC'!$A:$BP,'Input PD LGD'!AC$6,FALSE),IF('Ref-Data'!$Z$5="96th Percentile",VLOOKUP('Input PD LGD'!$A109,'Model Output_TTC'!$A:$Z,'Input PD LGD'!AC$8,FALSE),"")))))</f>
        <v>3.1800000000000002E-2</v>
      </c>
      <c r="J109" s="276">
        <f>IF('Ref-Data'!$Z$2="ON",VLOOKUP($A109,'MacroPD-Cal'!$A:$L,AD$1,FALSE),IF('Ref-Data'!$Z$5 = "Weighted",VLOOKUP($A109,'Model Output_TTC'!$A:$CB,AD$2,FALSE),IF('Ref-Data'!$Z$5="Baseline",VLOOKUP('Input PD LGD'!$A109,'Model Output_TTC'!$A:$AU,'Input PD LGD'!AD$4,FALSE),IF('Ref-Data'!$Z$5="90th Percentile",VLOOKUP('Input PD LGD'!$A109,'Model Output_TTC'!$A:$BP,'Input PD LGD'!AD$6,FALSE),IF('Ref-Data'!$Z$5="96th Percentile",VLOOKUP('Input PD LGD'!$A109,'Model Output_TTC'!$A:$Z,'Input PD LGD'!AD$8,FALSE),"")))))</f>
        <v>4.1800000000000004E-2</v>
      </c>
      <c r="K109" s="276">
        <f>IF('Ref-Data'!$Z$2="ON",VLOOKUP($A109,'MacroPD-Cal'!$A:$L,AE$1,FALSE),IF('Ref-Data'!$Z$5 = "Weighted",VLOOKUP($A109,'Model Output_TTC'!$A:$CB,AE$2,FALSE),IF('Ref-Data'!$Z$5="Baseline",VLOOKUP('Input PD LGD'!$A109,'Model Output_TTC'!$A:$AU,'Input PD LGD'!AE$4,FALSE),IF('Ref-Data'!$Z$5="90th Percentile",VLOOKUP('Input PD LGD'!$A109,'Model Output_TTC'!$A:$BP,'Input PD LGD'!AE$6,FALSE),IF('Ref-Data'!$Z$5="96th Percentile",VLOOKUP('Input PD LGD'!$A109,'Model Output_TTC'!$A:$Z,'Input PD LGD'!AE$8,FALSE),"")))))</f>
        <v>5.16E-2</v>
      </c>
      <c r="L109" s="274">
        <f>VLOOKUP(A109,'Ref-Data'!$A:$N,14,0)</f>
        <v>0.39140000000000003</v>
      </c>
      <c r="M109" s="354">
        <f>VLOOKUP(A109,'Ref-Data'!A:I,9,0)</f>
        <v>1</v>
      </c>
      <c r="N109" s="354" t="s">
        <v>1156</v>
      </c>
    </row>
    <row r="110" spans="1:14" x14ac:dyDescent="0.25">
      <c r="A110" s="354">
        <v>1100000275</v>
      </c>
      <c r="B110" s="277" t="str">
        <f>INDEX('Loan Book Summary'!B:C,MATCH('Input PD LGD'!A110,'Loan Book Summary'!C:C,0),1)</f>
        <v>Brasserie Bar Co Ltd - Business Trading - Propco Facility</v>
      </c>
      <c r="C110" s="400">
        <f>VLOOKUP(A110,Reference_Rate_Repricing_Report!B:P,15,FALSE)</f>
        <v>7</v>
      </c>
      <c r="D110" s="276">
        <f>IF('Ref-Data'!$Z$2="ON",VLOOKUP($A110,'MacroPD-Cal'!$A:$L,X$1,FALSE),IF('Ref-Data'!$Z$5 = "Weighted",VLOOKUP($A110,'Model Output_TTC'!$A:$CB,X$2,FALSE),IF('Ref-Data'!$Z$5="Baseline",VLOOKUP('Input PD LGD'!$A110,'Model Output_TTC'!$A:$AU,'Input PD LGD'!X$4,FALSE),IF('Ref-Data'!$Z$5="90th Percentile",VLOOKUP('Input PD LGD'!$A110,'Model Output_TTC'!$A:$BP,'Input PD LGD'!X$6,FALSE),IF('Ref-Data'!$Z$5="96th Percentile",VLOOKUP('Input PD LGD'!$A110,'Model Output_TTC'!$A:$Z,'Input PD LGD'!X$8,FALSE),"")))))</f>
        <v>3.2898990106614697E-3</v>
      </c>
      <c r="E110" s="276">
        <f>IF('Ref-Data'!$Z$2="ON",VLOOKUP($A110,'MacroPD-Cal'!$A:$L,Y$1,FALSE),IF('Ref-Data'!$Z$5 = "Weighted",VLOOKUP($A110,'Model Output_TTC'!$A:$CB,Y$2,FALSE),IF('Ref-Data'!$Z$5="Baseline",VLOOKUP('Input PD LGD'!$A110,'Model Output_TTC'!$A:$AU,'Input PD LGD'!Y$4,FALSE),IF('Ref-Data'!$Z$5="90th Percentile",VLOOKUP('Input PD LGD'!$A110,'Model Output_TTC'!$A:$BP,'Input PD LGD'!Y$6,FALSE),IF('Ref-Data'!$Z$5="96th Percentile",VLOOKUP('Input PD LGD'!$A110,'Model Output_TTC'!$A:$Z,'Input PD LGD'!Y$8,FALSE),"")))))</f>
        <v>7.6288946563898286E-3</v>
      </c>
      <c r="F110" s="276">
        <f>IF('Ref-Data'!$Z$2="ON",VLOOKUP($A110,'MacroPD-Cal'!$A:$L,Z$1,FALSE),IF('Ref-Data'!$Z$5 = "Weighted",VLOOKUP($A110,'Model Output_TTC'!$A:$CB,Z$2,FALSE),IF('Ref-Data'!$Z$5="Baseline",VLOOKUP('Input PD LGD'!$A110,'Model Output_TTC'!$A:$AU,'Input PD LGD'!Z$4,FALSE),IF('Ref-Data'!$Z$5="90th Percentile",VLOOKUP('Input PD LGD'!$A110,'Model Output_TTC'!$A:$BP,'Input PD LGD'!Z$6,FALSE),IF('Ref-Data'!$Z$5="96th Percentile",VLOOKUP('Input PD LGD'!$A110,'Model Output_TTC'!$A:$Z,'Input PD LGD'!Z$8,FALSE),"")))))</f>
        <v>1.2549595589975038E-2</v>
      </c>
      <c r="G110" s="276">
        <f>IF('Ref-Data'!$Z$2="ON",VLOOKUP($A110,'MacroPD-Cal'!$A:$L,AA$1,FALSE),IF('Ref-Data'!$Z$5 = "Weighted",VLOOKUP($A110,'Model Output_TTC'!$A:$CB,AA$2,FALSE),IF('Ref-Data'!$Z$5="Baseline",VLOOKUP('Input PD LGD'!$A110,'Model Output_TTC'!$A:$AU,'Input PD LGD'!AA$4,FALSE),IF('Ref-Data'!$Z$5="90th Percentile",VLOOKUP('Input PD LGD'!$A110,'Model Output_TTC'!$A:$BP,'Input PD LGD'!AA$6,FALSE),IF('Ref-Data'!$Z$5="96th Percentile",VLOOKUP('Input PD LGD'!$A110,'Model Output_TTC'!$A:$Z,'Input PD LGD'!AA$8,FALSE),"")))))</f>
        <v>1.89E-2</v>
      </c>
      <c r="H110" s="276">
        <f>IF('Ref-Data'!$Z$2="ON",VLOOKUP($A110,'MacroPD-Cal'!$A:$L,AB$1,FALSE),IF('Ref-Data'!$Z$5 = "Weighted",VLOOKUP($A110,'Model Output_TTC'!$A:$CB,AB$2,FALSE),IF('Ref-Data'!$Z$5="Baseline",VLOOKUP('Input PD LGD'!$A110,'Model Output_TTC'!$A:$AU,'Input PD LGD'!AB$4,FALSE),IF('Ref-Data'!$Z$5="90th Percentile",VLOOKUP('Input PD LGD'!$A110,'Model Output_TTC'!$A:$BP,'Input PD LGD'!AB$6,FALSE),IF('Ref-Data'!$Z$5="96th Percentile",VLOOKUP('Input PD LGD'!$A110,'Model Output_TTC'!$A:$Z,'Input PD LGD'!AB$8,FALSE),"")))))</f>
        <v>2.7300000000000001E-2</v>
      </c>
      <c r="I110" s="276">
        <f>IF('Ref-Data'!$Z$2="ON",VLOOKUP($A110,'MacroPD-Cal'!$A:$L,AC$1,FALSE),IF('Ref-Data'!$Z$5 = "Weighted",VLOOKUP($A110,'Model Output_TTC'!$A:$CB,AC$2,FALSE),IF('Ref-Data'!$Z$5="Baseline",VLOOKUP('Input PD LGD'!$A110,'Model Output_TTC'!$A:$AU,'Input PD LGD'!AC$4,FALSE),IF('Ref-Data'!$Z$5="90th Percentile",VLOOKUP('Input PD LGD'!$A110,'Model Output_TTC'!$A:$BP,'Input PD LGD'!AC$6,FALSE),IF('Ref-Data'!$Z$5="96th Percentile",VLOOKUP('Input PD LGD'!$A110,'Model Output_TTC'!$A:$Z,'Input PD LGD'!AC$8,FALSE),"")))))</f>
        <v>3.1800000000000002E-2</v>
      </c>
      <c r="J110" s="276">
        <f>IF('Ref-Data'!$Z$2="ON",VLOOKUP($A110,'MacroPD-Cal'!$A:$L,AD$1,FALSE),IF('Ref-Data'!$Z$5 = "Weighted",VLOOKUP($A110,'Model Output_TTC'!$A:$CB,AD$2,FALSE),IF('Ref-Data'!$Z$5="Baseline",VLOOKUP('Input PD LGD'!$A110,'Model Output_TTC'!$A:$AU,'Input PD LGD'!AD$4,FALSE),IF('Ref-Data'!$Z$5="90th Percentile",VLOOKUP('Input PD LGD'!$A110,'Model Output_TTC'!$A:$BP,'Input PD LGD'!AD$6,FALSE),IF('Ref-Data'!$Z$5="96th Percentile",VLOOKUP('Input PD LGD'!$A110,'Model Output_TTC'!$A:$Z,'Input PD LGD'!AD$8,FALSE),"")))))</f>
        <v>4.1800000000000004E-2</v>
      </c>
      <c r="K110" s="276">
        <f>IF('Ref-Data'!$Z$2="ON",VLOOKUP($A110,'MacroPD-Cal'!$A:$L,AE$1,FALSE),IF('Ref-Data'!$Z$5 = "Weighted",VLOOKUP($A110,'Model Output_TTC'!$A:$CB,AE$2,FALSE),IF('Ref-Data'!$Z$5="Baseline",VLOOKUP('Input PD LGD'!$A110,'Model Output_TTC'!$A:$AU,'Input PD LGD'!AE$4,FALSE),IF('Ref-Data'!$Z$5="90th Percentile",VLOOKUP('Input PD LGD'!$A110,'Model Output_TTC'!$A:$BP,'Input PD LGD'!AE$6,FALSE),IF('Ref-Data'!$Z$5="96th Percentile",VLOOKUP('Input PD LGD'!$A110,'Model Output_TTC'!$A:$Z,'Input PD LGD'!AE$8,FALSE),"")))))</f>
        <v>5.16E-2</v>
      </c>
      <c r="L110" s="274">
        <f>VLOOKUP(A110,'Ref-Data'!$A:$N,14,0)</f>
        <v>0.39140000000000003</v>
      </c>
      <c r="M110" s="354">
        <f>VLOOKUP(A110,'Ref-Data'!A:I,9,0)</f>
        <v>1</v>
      </c>
      <c r="N110" s="354" t="s">
        <v>1156</v>
      </c>
    </row>
    <row r="111" spans="1:14" x14ac:dyDescent="0.25">
      <c r="A111" s="354">
        <v>1100000276</v>
      </c>
      <c r="B111" s="277" t="str">
        <f>INDEX('Loan Book Summary'!B:C,MATCH('Input PD LGD'!A111,'Loan Book Summary'!C:C,0),1)</f>
        <v>Lincoln Plaza Hotel - Business Trading - Facility C Non-CBILS</v>
      </c>
      <c r="C111" s="400">
        <f>VLOOKUP(A111,Reference_Rate_Repricing_Report!B:P,15,FALSE)</f>
        <v>12.75</v>
      </c>
      <c r="D111" s="276">
        <f>IF('Ref-Data'!$Z$2="ON",VLOOKUP($A111,'MacroPD-Cal'!$A:$L,X$1,FALSE),IF('Ref-Data'!$Z$5 = "Weighted",VLOOKUP($A111,'Model Output_TTC'!$A:$CB,X$2,FALSE),IF('Ref-Data'!$Z$5="Baseline",VLOOKUP('Input PD LGD'!$A111,'Model Output_TTC'!$A:$AU,'Input PD LGD'!X$4,FALSE),IF('Ref-Data'!$Z$5="90th Percentile",VLOOKUP('Input PD LGD'!$A111,'Model Output_TTC'!$A:$BP,'Input PD LGD'!X$6,FALSE),IF('Ref-Data'!$Z$5="96th Percentile",VLOOKUP('Input PD LGD'!$A111,'Model Output_TTC'!$A:$Z,'Input PD LGD'!X$8,FALSE),"")))))</f>
        <v>2.8366842468132019E-2</v>
      </c>
      <c r="E111" s="276">
        <f>IF('Ref-Data'!$Z$2="ON",VLOOKUP($A111,'MacroPD-Cal'!$A:$L,Y$1,FALSE),IF('Ref-Data'!$Z$5 = "Weighted",VLOOKUP($A111,'Model Output_TTC'!$A:$CB,Y$2,FALSE),IF('Ref-Data'!$Z$5="Baseline",VLOOKUP('Input PD LGD'!$A111,'Model Output_TTC'!$A:$AU,'Input PD LGD'!Y$4,FALSE),IF('Ref-Data'!$Z$5="90th Percentile",VLOOKUP('Input PD LGD'!$A111,'Model Output_TTC'!$A:$BP,'Input PD LGD'!Y$6,FALSE),IF('Ref-Data'!$Z$5="96th Percentile",VLOOKUP('Input PD LGD'!$A111,'Model Output_TTC'!$A:$Z,'Input PD LGD'!Y$8,FALSE),"")))))</f>
        <v>6.2417988886168341E-2</v>
      </c>
      <c r="F111" s="276">
        <f>IF('Ref-Data'!$Z$2="ON",VLOOKUP($A111,'MacroPD-Cal'!$A:$L,Z$1,FALSE),IF('Ref-Data'!$Z$5 = "Weighted",VLOOKUP($A111,'Model Output_TTC'!$A:$CB,Z$2,FALSE),IF('Ref-Data'!$Z$5="Baseline",VLOOKUP('Input PD LGD'!$A111,'Model Output_TTC'!$A:$AU,'Input PD LGD'!Z$4,FALSE),IF('Ref-Data'!$Z$5="90th Percentile",VLOOKUP('Input PD LGD'!$A111,'Model Output_TTC'!$A:$BP,'Input PD LGD'!Z$6,FALSE),IF('Ref-Data'!$Z$5="96th Percentile",VLOOKUP('Input PD LGD'!$A111,'Model Output_TTC'!$A:$Z,'Input PD LGD'!Z$8,FALSE),"")))))</f>
        <v>9.8647826604583044E-2</v>
      </c>
      <c r="G111" s="276">
        <f>IF('Ref-Data'!$Z$2="ON",VLOOKUP($A111,'MacroPD-Cal'!$A:$L,AA$1,FALSE),IF('Ref-Data'!$Z$5 = "Weighted",VLOOKUP($A111,'Model Output_TTC'!$A:$CB,AA$2,FALSE),IF('Ref-Data'!$Z$5="Baseline",VLOOKUP('Input PD LGD'!$A111,'Model Output_TTC'!$A:$AU,'Input PD LGD'!AA$4,FALSE),IF('Ref-Data'!$Z$5="90th Percentile",VLOOKUP('Input PD LGD'!$A111,'Model Output_TTC'!$A:$BP,'Input PD LGD'!AA$6,FALSE),IF('Ref-Data'!$Z$5="96th Percentile",VLOOKUP('Input PD LGD'!$A111,'Model Output_TTC'!$A:$Z,'Input PD LGD'!AA$8,FALSE),"")))))</f>
        <v>0.1411</v>
      </c>
      <c r="H111" s="276">
        <f>IF('Ref-Data'!$Z$2="ON",VLOOKUP($A111,'MacroPD-Cal'!$A:$L,AB$1,FALSE),IF('Ref-Data'!$Z$5 = "Weighted",VLOOKUP($A111,'Model Output_TTC'!$A:$CB,AB$2,FALSE),IF('Ref-Data'!$Z$5="Baseline",VLOOKUP('Input PD LGD'!$A111,'Model Output_TTC'!$A:$AU,'Input PD LGD'!AB$4,FALSE),IF('Ref-Data'!$Z$5="90th Percentile",VLOOKUP('Input PD LGD'!$A111,'Model Output_TTC'!$A:$BP,'Input PD LGD'!AB$6,FALSE),IF('Ref-Data'!$Z$5="96th Percentile",VLOOKUP('Input PD LGD'!$A111,'Model Output_TTC'!$A:$Z,'Input PD LGD'!AB$8,FALSE),"")))))</f>
        <v>0.20270000000000002</v>
      </c>
      <c r="I111" s="276">
        <f>IF('Ref-Data'!$Z$2="ON",VLOOKUP($A111,'MacroPD-Cal'!$A:$L,AC$1,FALSE),IF('Ref-Data'!$Z$5 = "Weighted",VLOOKUP($A111,'Model Output_TTC'!$A:$CB,AC$2,FALSE),IF('Ref-Data'!$Z$5="Baseline",VLOOKUP('Input PD LGD'!$A111,'Model Output_TTC'!$A:$AU,'Input PD LGD'!AC$4,FALSE),IF('Ref-Data'!$Z$5="90th Percentile",VLOOKUP('Input PD LGD'!$A111,'Model Output_TTC'!$A:$BP,'Input PD LGD'!AC$6,FALSE),IF('Ref-Data'!$Z$5="96th Percentile",VLOOKUP('Input PD LGD'!$A111,'Model Output_TTC'!$A:$Z,'Input PD LGD'!AC$8,FALSE),"")))))</f>
        <v>0.23670000000000002</v>
      </c>
      <c r="J111" s="276">
        <f>IF('Ref-Data'!$Z$2="ON",VLOOKUP($A111,'MacroPD-Cal'!$A:$L,AD$1,FALSE),IF('Ref-Data'!$Z$5 = "Weighted",VLOOKUP($A111,'Model Output_TTC'!$A:$CB,AD$2,FALSE),IF('Ref-Data'!$Z$5="Baseline",VLOOKUP('Input PD LGD'!$A111,'Model Output_TTC'!$A:$AU,'Input PD LGD'!AD$4,FALSE),IF('Ref-Data'!$Z$5="90th Percentile",VLOOKUP('Input PD LGD'!$A111,'Model Output_TTC'!$A:$BP,'Input PD LGD'!AD$6,FALSE),IF('Ref-Data'!$Z$5="96th Percentile",VLOOKUP('Input PD LGD'!$A111,'Model Output_TTC'!$A:$Z,'Input PD LGD'!AD$8,FALSE),"")))))</f>
        <v>0.29139999999999999</v>
      </c>
      <c r="K111" s="276">
        <f>IF('Ref-Data'!$Z$2="ON",VLOOKUP($A111,'MacroPD-Cal'!$A:$L,AE$1,FALSE),IF('Ref-Data'!$Z$5 = "Weighted",VLOOKUP($A111,'Model Output_TTC'!$A:$CB,AE$2,FALSE),IF('Ref-Data'!$Z$5="Baseline",VLOOKUP('Input PD LGD'!$A111,'Model Output_TTC'!$A:$AU,'Input PD LGD'!AE$4,FALSE),IF('Ref-Data'!$Z$5="90th Percentile",VLOOKUP('Input PD LGD'!$A111,'Model Output_TTC'!$A:$BP,'Input PD LGD'!AE$6,FALSE),IF('Ref-Data'!$Z$5="96th Percentile",VLOOKUP('Input PD LGD'!$A111,'Model Output_TTC'!$A:$Z,'Input PD LGD'!AE$8,FALSE),"")))))</f>
        <v>0.33979999999999999</v>
      </c>
      <c r="L111" s="274">
        <f>VLOOKUP(A111,'Ref-Data'!$A:$N,14,0)</f>
        <v>0.33850601215969001</v>
      </c>
      <c r="M111" s="354">
        <f>VLOOKUP(A111,'Ref-Data'!A:I,9,0)</f>
        <v>2</v>
      </c>
      <c r="N111" s="354" t="s">
        <v>1156</v>
      </c>
    </row>
    <row r="112" spans="1:14" x14ac:dyDescent="0.25">
      <c r="A112" s="354">
        <v>1300000002</v>
      </c>
      <c r="B112" s="277" t="str">
        <f>INDEX('Loan Book Summary'!B:C,MATCH('Input PD LGD'!A112,'Loan Book Summary'!C:C,0),1)</f>
        <v>Strawberry Fields Nursery &amp; Preschool Limited - Business Trading - RLS</v>
      </c>
      <c r="C112" s="400">
        <f>VLOOKUP(A112,Reference_Rate_Repricing_Report!B:P,15,FALSE)</f>
        <v>7.25</v>
      </c>
      <c r="D112" s="276">
        <f>IF('Ref-Data'!$Z$2="ON",VLOOKUP($A112,'MacroPD-Cal'!$A:$L,X$1,FALSE),IF('Ref-Data'!$Z$5 = "Weighted",VLOOKUP($A112,'Model Output_TTC'!$A:$CB,X$2,FALSE),IF('Ref-Data'!$Z$5="Baseline",VLOOKUP('Input PD LGD'!$A112,'Model Output_TTC'!$A:$AU,'Input PD LGD'!X$4,FALSE),IF('Ref-Data'!$Z$5="90th Percentile",VLOOKUP('Input PD LGD'!$A112,'Model Output_TTC'!$A:$BP,'Input PD LGD'!X$6,FALSE),IF('Ref-Data'!$Z$5="96th Percentile",VLOOKUP('Input PD LGD'!$A112,'Model Output_TTC'!$A:$Z,'Input PD LGD'!X$8,FALSE),"")))))</f>
        <v>3.5094030979316384E-3</v>
      </c>
      <c r="E112" s="276">
        <f>IF('Ref-Data'!$Z$2="ON",VLOOKUP($A112,'MacroPD-Cal'!$A:$L,Y$1,FALSE),IF('Ref-Data'!$Z$5 = "Weighted",VLOOKUP($A112,'Model Output_TTC'!$A:$CB,Y$2,FALSE),IF('Ref-Data'!$Z$5="Baseline",VLOOKUP('Input PD LGD'!$A112,'Model Output_TTC'!$A:$AU,'Input PD LGD'!Y$4,FALSE),IF('Ref-Data'!$Z$5="90th Percentile",VLOOKUP('Input PD LGD'!$A112,'Model Output_TTC'!$A:$BP,'Input PD LGD'!Y$6,FALSE),IF('Ref-Data'!$Z$5="96th Percentile",VLOOKUP('Input PD LGD'!$A112,'Model Output_TTC'!$A:$Z,'Input PD LGD'!Y$8,FALSE),"")))))</f>
        <v>8.1283261609039759E-3</v>
      </c>
      <c r="F112" s="276">
        <f>IF('Ref-Data'!$Z$2="ON",VLOOKUP($A112,'MacroPD-Cal'!$A:$L,Z$1,FALSE),IF('Ref-Data'!$Z$5 = "Weighted",VLOOKUP($A112,'Model Output_TTC'!$A:$CB,Z$2,FALSE),IF('Ref-Data'!$Z$5="Baseline",VLOOKUP('Input PD LGD'!$A112,'Model Output_TTC'!$A:$AU,'Input PD LGD'!Z$4,FALSE),IF('Ref-Data'!$Z$5="90th Percentile",VLOOKUP('Input PD LGD'!$A112,'Model Output_TTC'!$A:$BP,'Input PD LGD'!Z$6,FALSE),IF('Ref-Data'!$Z$5="96th Percentile",VLOOKUP('Input PD LGD'!$A112,'Model Output_TTC'!$A:$Z,'Input PD LGD'!Z$8,FALSE),"")))))</f>
        <v>1.3360414495021677E-2</v>
      </c>
      <c r="G112" s="276">
        <f>IF('Ref-Data'!$Z$2="ON",VLOOKUP($A112,'MacroPD-Cal'!$A:$L,AA$1,FALSE),IF('Ref-Data'!$Z$5 = "Weighted",VLOOKUP($A112,'Model Output_TTC'!$A:$CB,AA$2,FALSE),IF('Ref-Data'!$Z$5="Baseline",VLOOKUP('Input PD LGD'!$A112,'Model Output_TTC'!$A:$AU,'Input PD LGD'!AA$4,FALSE),IF('Ref-Data'!$Z$5="90th Percentile",VLOOKUP('Input PD LGD'!$A112,'Model Output_TTC'!$A:$BP,'Input PD LGD'!AA$6,FALSE),IF('Ref-Data'!$Z$5="96th Percentile",VLOOKUP('Input PD LGD'!$A112,'Model Output_TTC'!$A:$Z,'Input PD LGD'!AA$8,FALSE),"")))))</f>
        <v>2.01E-2</v>
      </c>
      <c r="H112" s="276">
        <f>IF('Ref-Data'!$Z$2="ON",VLOOKUP($A112,'MacroPD-Cal'!$A:$L,AB$1,FALSE),IF('Ref-Data'!$Z$5 = "Weighted",VLOOKUP($A112,'Model Output_TTC'!$A:$CB,AB$2,FALSE),IF('Ref-Data'!$Z$5="Baseline",VLOOKUP('Input PD LGD'!$A112,'Model Output_TTC'!$A:$AU,'Input PD LGD'!AB$4,FALSE),IF('Ref-Data'!$Z$5="90th Percentile",VLOOKUP('Input PD LGD'!$A112,'Model Output_TTC'!$A:$BP,'Input PD LGD'!AB$6,FALSE),IF('Ref-Data'!$Z$5="96th Percentile",VLOOKUP('Input PD LGD'!$A112,'Model Output_TTC'!$A:$Z,'Input PD LGD'!AB$8,FALSE),"")))))</f>
        <v>3.2100000000000004E-2</v>
      </c>
      <c r="I112" s="276">
        <f>IF('Ref-Data'!$Z$2="ON",VLOOKUP($A112,'MacroPD-Cal'!$A:$L,AC$1,FALSE),IF('Ref-Data'!$Z$5 = "Weighted",VLOOKUP($A112,'Model Output_TTC'!$A:$CB,AC$2,FALSE),IF('Ref-Data'!$Z$5="Baseline",VLOOKUP('Input PD LGD'!$A112,'Model Output_TTC'!$A:$AU,'Input PD LGD'!AC$4,FALSE),IF('Ref-Data'!$Z$5="90th Percentile",VLOOKUP('Input PD LGD'!$A112,'Model Output_TTC'!$A:$BP,'Input PD LGD'!AC$6,FALSE),IF('Ref-Data'!$Z$5="96th Percentile",VLOOKUP('Input PD LGD'!$A112,'Model Output_TTC'!$A:$Z,'Input PD LGD'!AC$8,FALSE),"")))))</f>
        <v>4.0100000000000004E-2</v>
      </c>
      <c r="J112" s="276">
        <f>IF('Ref-Data'!$Z$2="ON",VLOOKUP($A112,'MacroPD-Cal'!$A:$L,AD$1,FALSE),IF('Ref-Data'!$Z$5 = "Weighted",VLOOKUP($A112,'Model Output_TTC'!$A:$CB,AD$2,FALSE),IF('Ref-Data'!$Z$5="Baseline",VLOOKUP('Input PD LGD'!$A112,'Model Output_TTC'!$A:$AU,'Input PD LGD'!AD$4,FALSE),IF('Ref-Data'!$Z$5="90th Percentile",VLOOKUP('Input PD LGD'!$A112,'Model Output_TTC'!$A:$BP,'Input PD LGD'!AD$6,FALSE),IF('Ref-Data'!$Z$5="96th Percentile",VLOOKUP('Input PD LGD'!$A112,'Model Output_TTC'!$A:$Z,'Input PD LGD'!AD$8,FALSE),"")))))</f>
        <v>5.8500000000000003E-2</v>
      </c>
      <c r="K112" s="276">
        <f>IF('Ref-Data'!$Z$2="ON",VLOOKUP($A112,'MacroPD-Cal'!$A:$L,AE$1,FALSE),IF('Ref-Data'!$Z$5 = "Weighted",VLOOKUP($A112,'Model Output_TTC'!$A:$CB,AE$2,FALSE),IF('Ref-Data'!$Z$5="Baseline",VLOOKUP('Input PD LGD'!$A112,'Model Output_TTC'!$A:$AU,'Input PD LGD'!AE$4,FALSE),IF('Ref-Data'!$Z$5="90th Percentile",VLOOKUP('Input PD LGD'!$A112,'Model Output_TTC'!$A:$BP,'Input PD LGD'!AE$6,FALSE),IF('Ref-Data'!$Z$5="96th Percentile",VLOOKUP('Input PD LGD'!$A112,'Model Output_TTC'!$A:$Z,'Input PD LGD'!AE$8,FALSE),"")))))</f>
        <v>7.8100000000000003E-2</v>
      </c>
      <c r="L112" s="274">
        <f>VLOOKUP(A112,'Ref-Data'!$A:$N,14,0)</f>
        <v>0.1</v>
      </c>
      <c r="M112" s="354">
        <f>VLOOKUP(A112,'Ref-Data'!A:I,9,0)</f>
        <v>1</v>
      </c>
      <c r="N112" s="354" t="s">
        <v>1156</v>
      </c>
    </row>
    <row r="113" spans="1:14" x14ac:dyDescent="0.25">
      <c r="A113" s="354">
        <v>1100000277</v>
      </c>
      <c r="B113" s="277" t="str">
        <f>INDEX('Loan Book Summary'!B:C,MATCH('Input PD LGD'!A113,'Loan Book Summary'!C:C,0),1)</f>
        <v>Portobello Starboard Limited - Business Trading Facility A</v>
      </c>
      <c r="C113" s="400">
        <f>VLOOKUP(A113,Reference_Rate_Repricing_Report!B:P,15,FALSE)</f>
        <v>6.7</v>
      </c>
      <c r="D113" s="276">
        <f>IF('Ref-Data'!$Z$2="ON",VLOOKUP($A113,'MacroPD-Cal'!$A:$L,X$1,FALSE),IF('Ref-Data'!$Z$5 = "Weighted",VLOOKUP($A113,'Model Output_TTC'!$A:$CB,X$2,FALSE),IF('Ref-Data'!$Z$5="Baseline",VLOOKUP('Input PD LGD'!$A113,'Model Output_TTC'!$A:$AU,'Input PD LGD'!X$4,FALSE),IF('Ref-Data'!$Z$5="90th Percentile",VLOOKUP('Input PD LGD'!$A113,'Model Output_TTC'!$A:$BP,'Input PD LGD'!X$6,FALSE),IF('Ref-Data'!$Z$5="96th Percentile",VLOOKUP('Input PD LGD'!$A113,'Model Output_TTC'!$A:$Z,'Input PD LGD'!X$8,FALSE),"")))))</f>
        <v>6.6377967303919349E-3</v>
      </c>
      <c r="E113" s="276">
        <f>IF('Ref-Data'!$Z$2="ON",VLOOKUP($A113,'MacroPD-Cal'!$A:$L,Y$1,FALSE),IF('Ref-Data'!$Z$5 = "Weighted",VLOOKUP($A113,'Model Output_TTC'!$A:$CB,Y$2,FALSE),IF('Ref-Data'!$Z$5="Baseline",VLOOKUP('Input PD LGD'!$A113,'Model Output_TTC'!$A:$AU,'Input PD LGD'!Y$4,FALSE),IF('Ref-Data'!$Z$5="90th Percentile",VLOOKUP('Input PD LGD'!$A113,'Model Output_TTC'!$A:$BP,'Input PD LGD'!Y$6,FALSE),IF('Ref-Data'!$Z$5="96th Percentile",VLOOKUP('Input PD LGD'!$A113,'Model Output_TTC'!$A:$Z,'Input PD LGD'!Y$8,FALSE),"")))))</f>
        <v>1.5184119062285006E-2</v>
      </c>
      <c r="F113" s="276">
        <f>IF('Ref-Data'!$Z$2="ON",VLOOKUP($A113,'MacroPD-Cal'!$A:$L,Z$1,FALSE),IF('Ref-Data'!$Z$5 = "Weighted",VLOOKUP($A113,'Model Output_TTC'!$A:$CB,Z$2,FALSE),IF('Ref-Data'!$Z$5="Baseline",VLOOKUP('Input PD LGD'!$A113,'Model Output_TTC'!$A:$AU,'Input PD LGD'!Z$4,FALSE),IF('Ref-Data'!$Z$5="90th Percentile",VLOOKUP('Input PD LGD'!$A113,'Model Output_TTC'!$A:$BP,'Input PD LGD'!Z$6,FALSE),IF('Ref-Data'!$Z$5="96th Percentile",VLOOKUP('Input PD LGD'!$A113,'Model Output_TTC'!$A:$Z,'Input PD LGD'!Z$8,FALSE),"")))))</f>
        <v>2.4740722616892752E-2</v>
      </c>
      <c r="G113" s="276">
        <f>IF('Ref-Data'!$Z$2="ON",VLOOKUP($A113,'MacroPD-Cal'!$A:$L,AA$1,FALSE),IF('Ref-Data'!$Z$5 = "Weighted",VLOOKUP($A113,'Model Output_TTC'!$A:$CB,AA$2,FALSE),IF('Ref-Data'!$Z$5="Baseline",VLOOKUP('Input PD LGD'!$A113,'Model Output_TTC'!$A:$AU,'Input PD LGD'!AA$4,FALSE),IF('Ref-Data'!$Z$5="90th Percentile",VLOOKUP('Input PD LGD'!$A113,'Model Output_TTC'!$A:$BP,'Input PD LGD'!AA$6,FALSE),IF('Ref-Data'!$Z$5="96th Percentile",VLOOKUP('Input PD LGD'!$A113,'Model Output_TTC'!$A:$Z,'Input PD LGD'!AA$8,FALSE),"")))))</f>
        <v>3.6799999999999999E-2</v>
      </c>
      <c r="H113" s="276">
        <f>IF('Ref-Data'!$Z$2="ON",VLOOKUP($A113,'MacroPD-Cal'!$A:$L,AB$1,FALSE),IF('Ref-Data'!$Z$5 = "Weighted",VLOOKUP($A113,'Model Output_TTC'!$A:$CB,AB$2,FALSE),IF('Ref-Data'!$Z$5="Baseline",VLOOKUP('Input PD LGD'!$A113,'Model Output_TTC'!$A:$AU,'Input PD LGD'!AB$4,FALSE),IF('Ref-Data'!$Z$5="90th Percentile",VLOOKUP('Input PD LGD'!$A113,'Model Output_TTC'!$A:$BP,'Input PD LGD'!AB$6,FALSE),IF('Ref-Data'!$Z$5="96th Percentile",VLOOKUP('Input PD LGD'!$A113,'Model Output_TTC'!$A:$Z,'Input PD LGD'!AB$8,FALSE),"")))))</f>
        <v>5.4600000000000003E-2</v>
      </c>
      <c r="I113" s="276">
        <f>IF('Ref-Data'!$Z$2="ON",VLOOKUP($A113,'MacroPD-Cal'!$A:$L,AC$1,FALSE),IF('Ref-Data'!$Z$5 = "Weighted",VLOOKUP($A113,'Model Output_TTC'!$A:$CB,AC$2,FALSE),IF('Ref-Data'!$Z$5="Baseline",VLOOKUP('Input PD LGD'!$A113,'Model Output_TTC'!$A:$AU,'Input PD LGD'!AC$4,FALSE),IF('Ref-Data'!$Z$5="90th Percentile",VLOOKUP('Input PD LGD'!$A113,'Model Output_TTC'!$A:$BP,'Input PD LGD'!AC$6,FALSE),IF('Ref-Data'!$Z$5="96th Percentile",VLOOKUP('Input PD LGD'!$A113,'Model Output_TTC'!$A:$Z,'Input PD LGD'!AC$8,FALSE),"")))))</f>
        <v>6.4700000000000008E-2</v>
      </c>
      <c r="J113" s="276">
        <f>IF('Ref-Data'!$Z$2="ON",VLOOKUP($A113,'MacroPD-Cal'!$A:$L,AD$1,FALSE),IF('Ref-Data'!$Z$5 = "Weighted",VLOOKUP($A113,'Model Output_TTC'!$A:$CB,AD$2,FALSE),IF('Ref-Data'!$Z$5="Baseline",VLOOKUP('Input PD LGD'!$A113,'Model Output_TTC'!$A:$AU,'Input PD LGD'!AD$4,FALSE),IF('Ref-Data'!$Z$5="90th Percentile",VLOOKUP('Input PD LGD'!$A113,'Model Output_TTC'!$A:$BP,'Input PD LGD'!AD$6,FALSE),IF('Ref-Data'!$Z$5="96th Percentile",VLOOKUP('Input PD LGD'!$A113,'Model Output_TTC'!$A:$Z,'Input PD LGD'!AD$8,FALSE),"")))))</f>
        <v>8.5400000000000004E-2</v>
      </c>
      <c r="K113" s="276">
        <f>IF('Ref-Data'!$Z$2="ON",VLOOKUP($A113,'MacroPD-Cal'!$A:$L,AE$1,FALSE),IF('Ref-Data'!$Z$5 = "Weighted",VLOOKUP($A113,'Model Output_TTC'!$A:$CB,AE$2,FALSE),IF('Ref-Data'!$Z$5="Baseline",VLOOKUP('Input PD LGD'!$A113,'Model Output_TTC'!$A:$AU,'Input PD LGD'!AE$4,FALSE),IF('Ref-Data'!$Z$5="90th Percentile",VLOOKUP('Input PD LGD'!$A113,'Model Output_TTC'!$A:$BP,'Input PD LGD'!AE$6,FALSE),IF('Ref-Data'!$Z$5="96th Percentile",VLOOKUP('Input PD LGD'!$A113,'Model Output_TTC'!$A:$Z,'Input PD LGD'!AE$8,FALSE),"")))))</f>
        <v>0.10550000000000001</v>
      </c>
      <c r="L113" s="274">
        <f>VLOOKUP(A113,'Ref-Data'!$A:$N,14,0)</f>
        <v>0.12740000000000001</v>
      </c>
      <c r="M113" s="354">
        <f>VLOOKUP(A113,'Ref-Data'!A:I,9,0)</f>
        <v>1</v>
      </c>
      <c r="N113" s="354" t="s">
        <v>1156</v>
      </c>
    </row>
    <row r="114" spans="1:14" x14ac:dyDescent="0.25">
      <c r="A114" s="354">
        <v>1100000281</v>
      </c>
      <c r="B114" s="277" t="str">
        <f>INDEX('Loan Book Summary'!B:C,MATCH('Input PD LGD'!A114,'Loan Book Summary'!C:C,0),1)</f>
        <v>Portobello Starboard Limited - Business Trading Facility B</v>
      </c>
      <c r="C114" s="400">
        <f>VLOOKUP(A114,Reference_Rate_Repricing_Report!B:P,15,FALSE)</f>
        <v>6</v>
      </c>
      <c r="D114" s="276">
        <f>IF('Ref-Data'!$Z$2="ON",VLOOKUP($A114,'MacroPD-Cal'!$A:$L,X$1,FALSE),IF('Ref-Data'!$Z$5 = "Weighted",VLOOKUP($A114,'Model Output_TTC'!$A:$CB,X$2,FALSE),IF('Ref-Data'!$Z$5="Baseline",VLOOKUP('Input PD LGD'!$A114,'Model Output_TTC'!$A:$AU,'Input PD LGD'!X$4,FALSE),IF('Ref-Data'!$Z$5="90th Percentile",VLOOKUP('Input PD LGD'!$A114,'Model Output_TTC'!$A:$BP,'Input PD LGD'!X$6,FALSE),IF('Ref-Data'!$Z$5="96th Percentile",VLOOKUP('Input PD LGD'!$A114,'Model Output_TTC'!$A:$Z,'Input PD LGD'!X$8,FALSE),"")))))</f>
        <v>6.6377967303919349E-3</v>
      </c>
      <c r="E114" s="276">
        <f>IF('Ref-Data'!$Z$2="ON",VLOOKUP($A114,'MacroPD-Cal'!$A:$L,Y$1,FALSE),IF('Ref-Data'!$Z$5 = "Weighted",VLOOKUP($A114,'Model Output_TTC'!$A:$CB,Y$2,FALSE),IF('Ref-Data'!$Z$5="Baseline",VLOOKUP('Input PD LGD'!$A114,'Model Output_TTC'!$A:$AU,'Input PD LGD'!Y$4,FALSE),IF('Ref-Data'!$Z$5="90th Percentile",VLOOKUP('Input PD LGD'!$A114,'Model Output_TTC'!$A:$BP,'Input PD LGD'!Y$6,FALSE),IF('Ref-Data'!$Z$5="96th Percentile",VLOOKUP('Input PD LGD'!$A114,'Model Output_TTC'!$A:$Z,'Input PD LGD'!Y$8,FALSE),"")))))</f>
        <v>1.5184119062285006E-2</v>
      </c>
      <c r="F114" s="276">
        <f>IF('Ref-Data'!$Z$2="ON",VLOOKUP($A114,'MacroPD-Cal'!$A:$L,Z$1,FALSE),IF('Ref-Data'!$Z$5 = "Weighted",VLOOKUP($A114,'Model Output_TTC'!$A:$CB,Z$2,FALSE),IF('Ref-Data'!$Z$5="Baseline",VLOOKUP('Input PD LGD'!$A114,'Model Output_TTC'!$A:$AU,'Input PD LGD'!Z$4,FALSE),IF('Ref-Data'!$Z$5="90th Percentile",VLOOKUP('Input PD LGD'!$A114,'Model Output_TTC'!$A:$BP,'Input PD LGD'!Z$6,FALSE),IF('Ref-Data'!$Z$5="96th Percentile",VLOOKUP('Input PD LGD'!$A114,'Model Output_TTC'!$A:$Z,'Input PD LGD'!Z$8,FALSE),"")))))</f>
        <v>2.4740722616892752E-2</v>
      </c>
      <c r="G114" s="276">
        <f>IF('Ref-Data'!$Z$2="ON",VLOOKUP($A114,'MacroPD-Cal'!$A:$L,AA$1,FALSE),IF('Ref-Data'!$Z$5 = "Weighted",VLOOKUP($A114,'Model Output_TTC'!$A:$CB,AA$2,FALSE),IF('Ref-Data'!$Z$5="Baseline",VLOOKUP('Input PD LGD'!$A114,'Model Output_TTC'!$A:$AU,'Input PD LGD'!AA$4,FALSE),IF('Ref-Data'!$Z$5="90th Percentile",VLOOKUP('Input PD LGD'!$A114,'Model Output_TTC'!$A:$BP,'Input PD LGD'!AA$6,FALSE),IF('Ref-Data'!$Z$5="96th Percentile",VLOOKUP('Input PD LGD'!$A114,'Model Output_TTC'!$A:$Z,'Input PD LGD'!AA$8,FALSE),"")))))</f>
        <v>3.6799999999999999E-2</v>
      </c>
      <c r="H114" s="276">
        <f>IF('Ref-Data'!$Z$2="ON",VLOOKUP($A114,'MacroPD-Cal'!$A:$L,AB$1,FALSE),IF('Ref-Data'!$Z$5 = "Weighted",VLOOKUP($A114,'Model Output_TTC'!$A:$CB,AB$2,FALSE),IF('Ref-Data'!$Z$5="Baseline",VLOOKUP('Input PD LGD'!$A114,'Model Output_TTC'!$A:$AU,'Input PD LGD'!AB$4,FALSE),IF('Ref-Data'!$Z$5="90th Percentile",VLOOKUP('Input PD LGD'!$A114,'Model Output_TTC'!$A:$BP,'Input PD LGD'!AB$6,FALSE),IF('Ref-Data'!$Z$5="96th Percentile",VLOOKUP('Input PD LGD'!$A114,'Model Output_TTC'!$A:$Z,'Input PD LGD'!AB$8,FALSE),"")))))</f>
        <v>5.4600000000000003E-2</v>
      </c>
      <c r="I114" s="276">
        <f>IF('Ref-Data'!$Z$2="ON",VLOOKUP($A114,'MacroPD-Cal'!$A:$L,AC$1,FALSE),IF('Ref-Data'!$Z$5 = "Weighted",VLOOKUP($A114,'Model Output_TTC'!$A:$CB,AC$2,FALSE),IF('Ref-Data'!$Z$5="Baseline",VLOOKUP('Input PD LGD'!$A114,'Model Output_TTC'!$A:$AU,'Input PD LGD'!AC$4,FALSE),IF('Ref-Data'!$Z$5="90th Percentile",VLOOKUP('Input PD LGD'!$A114,'Model Output_TTC'!$A:$BP,'Input PD LGD'!AC$6,FALSE),IF('Ref-Data'!$Z$5="96th Percentile",VLOOKUP('Input PD LGD'!$A114,'Model Output_TTC'!$A:$Z,'Input PD LGD'!AC$8,FALSE),"")))))</f>
        <v>6.4700000000000008E-2</v>
      </c>
      <c r="J114" s="276">
        <f>IF('Ref-Data'!$Z$2="ON",VLOOKUP($A114,'MacroPD-Cal'!$A:$L,AD$1,FALSE),IF('Ref-Data'!$Z$5 = "Weighted",VLOOKUP($A114,'Model Output_TTC'!$A:$CB,AD$2,FALSE),IF('Ref-Data'!$Z$5="Baseline",VLOOKUP('Input PD LGD'!$A114,'Model Output_TTC'!$A:$AU,'Input PD LGD'!AD$4,FALSE),IF('Ref-Data'!$Z$5="90th Percentile",VLOOKUP('Input PD LGD'!$A114,'Model Output_TTC'!$A:$BP,'Input PD LGD'!AD$6,FALSE),IF('Ref-Data'!$Z$5="96th Percentile",VLOOKUP('Input PD LGD'!$A114,'Model Output_TTC'!$A:$Z,'Input PD LGD'!AD$8,FALSE),"")))))</f>
        <v>8.5400000000000004E-2</v>
      </c>
      <c r="K114" s="276">
        <f>IF('Ref-Data'!$Z$2="ON",VLOOKUP($A114,'MacroPD-Cal'!$A:$L,AE$1,FALSE),IF('Ref-Data'!$Z$5 = "Weighted",VLOOKUP($A114,'Model Output_TTC'!$A:$CB,AE$2,FALSE),IF('Ref-Data'!$Z$5="Baseline",VLOOKUP('Input PD LGD'!$A114,'Model Output_TTC'!$A:$AU,'Input PD LGD'!AE$4,FALSE),IF('Ref-Data'!$Z$5="90th Percentile",VLOOKUP('Input PD LGD'!$A114,'Model Output_TTC'!$A:$BP,'Input PD LGD'!AE$6,FALSE),IF('Ref-Data'!$Z$5="96th Percentile",VLOOKUP('Input PD LGD'!$A114,'Model Output_TTC'!$A:$Z,'Input PD LGD'!AE$8,FALSE),"")))))</f>
        <v>0.10550000000000001</v>
      </c>
      <c r="L114" s="274">
        <f>VLOOKUP(A114,'Ref-Data'!$A:$N,14,0)</f>
        <v>0.12740000000000001</v>
      </c>
      <c r="M114" s="354">
        <f>VLOOKUP(A114,'Ref-Data'!A:I,9,0)</f>
        <v>1</v>
      </c>
      <c r="N114" s="354" t="s">
        <v>1156</v>
      </c>
    </row>
    <row r="115" spans="1:14" x14ac:dyDescent="0.25">
      <c r="A115" s="354">
        <v>1100000279</v>
      </c>
      <c r="B115" s="277" t="str">
        <f>INDEX('Loan Book Summary'!B:C,MATCH('Input PD LGD'!A115,'Loan Book Summary'!C:C,0),1)</f>
        <v>Chart Forte (KHS) Ltd &amp; Chart Forte (Hammersmith) Ltd - Business Trading</v>
      </c>
      <c r="C115" s="400">
        <f>VLOOKUP(A115,Reference_Rate_Repricing_Report!B:P,15,FALSE)</f>
        <v>5.23</v>
      </c>
      <c r="D115" s="276">
        <f>IF('Ref-Data'!$Z$2="ON",VLOOKUP($A115,'MacroPD-Cal'!$A:$L,X$1,FALSE),IF('Ref-Data'!$Z$5 = "Weighted",VLOOKUP($A115,'Model Output_TTC'!$A:$CB,X$2,FALSE),IF('Ref-Data'!$Z$5="Baseline",VLOOKUP('Input PD LGD'!$A115,'Model Output_TTC'!$A:$AU,'Input PD LGD'!X$4,FALSE),IF('Ref-Data'!$Z$5="90th Percentile",VLOOKUP('Input PD LGD'!$A115,'Model Output_TTC'!$A:$BP,'Input PD LGD'!X$6,FALSE),IF('Ref-Data'!$Z$5="96th Percentile",VLOOKUP('Input PD LGD'!$A115,'Model Output_TTC'!$A:$Z,'Input PD LGD'!X$8,FALSE),"")))))</f>
        <v>6.1245559345157019E-2</v>
      </c>
      <c r="E115" s="276">
        <f>IF('Ref-Data'!$Z$2="ON",VLOOKUP($A115,'MacroPD-Cal'!$A:$L,Y$1,FALSE),IF('Ref-Data'!$Z$5 = "Weighted",VLOOKUP($A115,'Model Output_TTC'!$A:$CB,Y$2,FALSE),IF('Ref-Data'!$Z$5="Baseline",VLOOKUP('Input PD LGD'!$A115,'Model Output_TTC'!$A:$AU,'Input PD LGD'!Y$4,FALSE),IF('Ref-Data'!$Z$5="90th Percentile",VLOOKUP('Input PD LGD'!$A115,'Model Output_TTC'!$A:$BP,'Input PD LGD'!Y$6,FALSE),IF('Ref-Data'!$Z$5="96th Percentile",VLOOKUP('Input PD LGD'!$A115,'Model Output_TTC'!$A:$Z,'Input PD LGD'!Y$8,FALSE),"")))))</f>
        <v>0.13022311947092646</v>
      </c>
      <c r="F115" s="276">
        <f>IF('Ref-Data'!$Z$2="ON",VLOOKUP($A115,'MacroPD-Cal'!$A:$L,Z$1,FALSE),IF('Ref-Data'!$Z$5 = "Weighted",VLOOKUP($A115,'Model Output_TTC'!$A:$CB,Z$2,FALSE),IF('Ref-Data'!$Z$5="Baseline",VLOOKUP('Input PD LGD'!$A115,'Model Output_TTC'!$A:$AU,'Input PD LGD'!Z$4,FALSE),IF('Ref-Data'!$Z$5="90th Percentile",VLOOKUP('Input PD LGD'!$A115,'Model Output_TTC'!$A:$BP,'Input PD LGD'!Z$6,FALSE),IF('Ref-Data'!$Z$5="96th Percentile",VLOOKUP('Input PD LGD'!$A115,'Model Output_TTC'!$A:$Z,'Input PD LGD'!Z$8,FALSE),"")))))</f>
        <v>0.19972221679444224</v>
      </c>
      <c r="G115" s="276">
        <f>IF('Ref-Data'!$Z$2="ON",VLOOKUP($A115,'MacroPD-Cal'!$A:$L,AA$1,FALSE),IF('Ref-Data'!$Z$5 = "Weighted",VLOOKUP($A115,'Model Output_TTC'!$A:$CB,AA$2,FALSE),IF('Ref-Data'!$Z$5="Baseline",VLOOKUP('Input PD LGD'!$A115,'Model Output_TTC'!$A:$AU,'Input PD LGD'!AA$4,FALSE),IF('Ref-Data'!$Z$5="90th Percentile",VLOOKUP('Input PD LGD'!$A115,'Model Output_TTC'!$A:$BP,'Input PD LGD'!AA$6,FALSE),IF('Ref-Data'!$Z$5="96th Percentile",VLOOKUP('Input PD LGD'!$A115,'Model Output_TTC'!$A:$Z,'Input PD LGD'!AA$8,FALSE),"")))))</f>
        <v>0.27540000000000003</v>
      </c>
      <c r="H115" s="276">
        <f>IF('Ref-Data'!$Z$2="ON",VLOOKUP($A115,'MacroPD-Cal'!$A:$L,AB$1,FALSE),IF('Ref-Data'!$Z$5 = "Weighted",VLOOKUP($A115,'Model Output_TTC'!$A:$CB,AB$2,FALSE),IF('Ref-Data'!$Z$5="Baseline",VLOOKUP('Input PD LGD'!$A115,'Model Output_TTC'!$A:$AU,'Input PD LGD'!AB$4,FALSE),IF('Ref-Data'!$Z$5="90th Percentile",VLOOKUP('Input PD LGD'!$A115,'Model Output_TTC'!$A:$BP,'Input PD LGD'!AB$6,FALSE),IF('Ref-Data'!$Z$5="96th Percentile",VLOOKUP('Input PD LGD'!$A115,'Model Output_TTC'!$A:$Z,'Input PD LGD'!AB$8,FALSE),"")))))</f>
        <v>0.4052</v>
      </c>
      <c r="I115" s="276">
        <f>IF('Ref-Data'!$Z$2="ON",VLOOKUP($A115,'MacroPD-Cal'!$A:$L,AC$1,FALSE),IF('Ref-Data'!$Z$5 = "Weighted",VLOOKUP($A115,'Model Output_TTC'!$A:$CB,AC$2,FALSE),IF('Ref-Data'!$Z$5="Baseline",VLOOKUP('Input PD LGD'!$A115,'Model Output_TTC'!$A:$AU,'Input PD LGD'!AC$4,FALSE),IF('Ref-Data'!$Z$5="90th Percentile",VLOOKUP('Input PD LGD'!$A115,'Model Output_TTC'!$A:$BP,'Input PD LGD'!AC$6,FALSE),IF('Ref-Data'!$Z$5="96th Percentile",VLOOKUP('Input PD LGD'!$A115,'Model Output_TTC'!$A:$Z,'Input PD LGD'!AC$8,FALSE),"")))))</f>
        <v>0.47950000000000004</v>
      </c>
      <c r="J115" s="276">
        <f>IF('Ref-Data'!$Z$2="ON",VLOOKUP($A115,'MacroPD-Cal'!$A:$L,AD$1,FALSE),IF('Ref-Data'!$Z$5 = "Weighted",VLOOKUP($A115,'Model Output_TTC'!$A:$CB,AD$2,FALSE),IF('Ref-Data'!$Z$5="Baseline",VLOOKUP('Input PD LGD'!$A115,'Model Output_TTC'!$A:$AU,'Input PD LGD'!AD$4,FALSE),IF('Ref-Data'!$Z$5="90th Percentile",VLOOKUP('Input PD LGD'!$A115,'Model Output_TTC'!$A:$BP,'Input PD LGD'!AD$6,FALSE),IF('Ref-Data'!$Z$5="96th Percentile",VLOOKUP('Input PD LGD'!$A115,'Model Output_TTC'!$A:$Z,'Input PD LGD'!AD$8,FALSE),"")))))</f>
        <v>0.57910000000000006</v>
      </c>
      <c r="K115" s="276">
        <f>IF('Ref-Data'!$Z$2="ON",VLOOKUP($A115,'MacroPD-Cal'!$A:$L,AE$1,FALSE),IF('Ref-Data'!$Z$5 = "Weighted",VLOOKUP($A115,'Model Output_TTC'!$A:$CB,AE$2,FALSE),IF('Ref-Data'!$Z$5="Baseline",VLOOKUP('Input PD LGD'!$A115,'Model Output_TTC'!$A:$AU,'Input PD LGD'!AE$4,FALSE),IF('Ref-Data'!$Z$5="90th Percentile",VLOOKUP('Input PD LGD'!$A115,'Model Output_TTC'!$A:$BP,'Input PD LGD'!AE$6,FALSE),IF('Ref-Data'!$Z$5="96th Percentile",VLOOKUP('Input PD LGD'!$A115,'Model Output_TTC'!$A:$Z,'Input PD LGD'!AE$8,FALSE),"")))))</f>
        <v>0.65820000000000001</v>
      </c>
      <c r="L115" s="274">
        <f>VLOOKUP(A115,'Ref-Data'!$A:$N,14,0)</f>
        <v>0.1</v>
      </c>
      <c r="M115" s="354">
        <f>VLOOKUP(A115,'Ref-Data'!A:I,9,0)</f>
        <v>1</v>
      </c>
      <c r="N115" s="354" t="s">
        <v>1156</v>
      </c>
    </row>
    <row r="116" spans="1:14" x14ac:dyDescent="0.25">
      <c r="A116" s="354">
        <v>1100000283</v>
      </c>
      <c r="B116" s="277" t="str">
        <f>INDEX('Loan Book Summary'!B:C,MATCH('Input PD LGD'!A116,'Loan Book Summary'!C:C,0),1)</f>
        <v>AFM Wealth Ltd - Business Trading Facility</v>
      </c>
      <c r="C116" s="400">
        <f>VLOOKUP(A116,Reference_Rate_Repricing_Report!B:P,15,FALSE)</f>
        <v>6.4</v>
      </c>
      <c r="D116" s="276">
        <f>IF('Ref-Data'!$Z$2="ON",VLOOKUP($A116,'MacroPD-Cal'!$A:$L,X$1,FALSE),IF('Ref-Data'!$Z$5 = "Weighted",VLOOKUP($A116,'Model Output_TTC'!$A:$CB,X$2,FALSE),IF('Ref-Data'!$Z$5="Baseline",VLOOKUP('Input PD LGD'!$A116,'Model Output_TTC'!$A:$AU,'Input PD LGD'!X$4,FALSE),IF('Ref-Data'!$Z$5="90th Percentile",VLOOKUP('Input PD LGD'!$A116,'Model Output_TTC'!$A:$BP,'Input PD LGD'!X$6,FALSE),IF('Ref-Data'!$Z$5="96th Percentile",VLOOKUP('Input PD LGD'!$A116,'Model Output_TTC'!$A:$Z,'Input PD LGD'!X$8,FALSE),"")))))</f>
        <v>2.3975034642778051E-3</v>
      </c>
      <c r="E116" s="276">
        <f>IF('Ref-Data'!$Z$2="ON",VLOOKUP($A116,'MacroPD-Cal'!$A:$L,Y$1,FALSE),IF('Ref-Data'!$Z$5 = "Weighted",VLOOKUP($A116,'Model Output_TTC'!$A:$CB,Y$2,FALSE),IF('Ref-Data'!$Z$5="Baseline",VLOOKUP('Input PD LGD'!$A116,'Model Output_TTC'!$A:$AU,'Input PD LGD'!Y$4,FALSE),IF('Ref-Data'!$Z$5="90th Percentile",VLOOKUP('Input PD LGD'!$A116,'Model Output_TTC'!$A:$BP,'Input PD LGD'!Y$6,FALSE),IF('Ref-Data'!$Z$5="96th Percentile",VLOOKUP('Input PD LGD'!$A116,'Model Output_TTC'!$A:$Z,'Input PD LGD'!Y$8,FALSE),"")))))</f>
        <v>5.5834193307171204E-3</v>
      </c>
      <c r="F116" s="276">
        <f>IF('Ref-Data'!$Z$2="ON",VLOOKUP($A116,'MacroPD-Cal'!$A:$L,Z$1,FALSE),IF('Ref-Data'!$Z$5 = "Weighted",VLOOKUP($A116,'Model Output_TTC'!$A:$CB,Z$2,FALSE),IF('Ref-Data'!$Z$5="Baseline",VLOOKUP('Input PD LGD'!$A116,'Model Output_TTC'!$A:$AU,'Input PD LGD'!Z$4,FALSE),IF('Ref-Data'!$Z$5="90th Percentile",VLOOKUP('Input PD LGD'!$A116,'Model Output_TTC'!$A:$BP,'Input PD LGD'!Z$6,FALSE),IF('Ref-Data'!$Z$5="96th Percentile",VLOOKUP('Input PD LGD'!$A116,'Model Output_TTC'!$A:$Z,'Input PD LGD'!Z$8,FALSE),"")))))</f>
        <v>9.209555416014599E-3</v>
      </c>
      <c r="G116" s="276">
        <f>IF('Ref-Data'!$Z$2="ON",VLOOKUP($A116,'MacroPD-Cal'!$A:$L,AA$1,FALSE),IF('Ref-Data'!$Z$5 = "Weighted",VLOOKUP($A116,'Model Output_TTC'!$A:$CB,AA$2,FALSE),IF('Ref-Data'!$Z$5="Baseline",VLOOKUP('Input PD LGD'!$A116,'Model Output_TTC'!$A:$AU,'Input PD LGD'!AA$4,FALSE),IF('Ref-Data'!$Z$5="90th Percentile",VLOOKUP('Input PD LGD'!$A116,'Model Output_TTC'!$A:$BP,'Input PD LGD'!AA$6,FALSE),IF('Ref-Data'!$Z$5="96th Percentile",VLOOKUP('Input PD LGD'!$A116,'Model Output_TTC'!$A:$Z,'Input PD LGD'!AA$8,FALSE),"")))))</f>
        <v>1.3899999999999999E-2</v>
      </c>
      <c r="H116" s="276" t="str">
        <f>IF('Ref-Data'!$Z$2="ON",VLOOKUP($A116,'MacroPD-Cal'!$A:$L,AB$1,FALSE),IF('Ref-Data'!$Z$5 = "Weighted",VLOOKUP($A116,'Model Output_TTC'!$A:$CB,AB$2,FALSE),IF('Ref-Data'!$Z$5="Baseline",VLOOKUP('Input PD LGD'!$A116,'Model Output_TTC'!$A:$AU,'Input PD LGD'!AB$4,FALSE),IF('Ref-Data'!$Z$5="90th Percentile",VLOOKUP('Input PD LGD'!$A116,'Model Output_TTC'!$A:$BP,'Input PD LGD'!AB$6,FALSE),IF('Ref-Data'!$Z$5="96th Percentile",VLOOKUP('Input PD LGD'!$A116,'Model Output_TTC'!$A:$Z,'Input PD LGD'!AB$8,FALSE),"")))))</f>
        <v/>
      </c>
      <c r="I116" s="276" t="str">
        <f>IF('Ref-Data'!$Z$2="ON",VLOOKUP($A116,'MacroPD-Cal'!$A:$L,AC$1,FALSE),IF('Ref-Data'!$Z$5 = "Weighted",VLOOKUP($A116,'Model Output_TTC'!$A:$CB,AC$2,FALSE),IF('Ref-Data'!$Z$5="Baseline",VLOOKUP('Input PD LGD'!$A116,'Model Output_TTC'!$A:$AU,'Input PD LGD'!AC$4,FALSE),IF('Ref-Data'!$Z$5="90th Percentile",VLOOKUP('Input PD LGD'!$A116,'Model Output_TTC'!$A:$BP,'Input PD LGD'!AC$6,FALSE),IF('Ref-Data'!$Z$5="96th Percentile",VLOOKUP('Input PD LGD'!$A116,'Model Output_TTC'!$A:$Z,'Input PD LGD'!AC$8,FALSE),"")))))</f>
        <v/>
      </c>
      <c r="J116" s="276" t="str">
        <f>IF('Ref-Data'!$Z$2="ON",VLOOKUP($A116,'MacroPD-Cal'!$A:$L,AD$1,FALSE),IF('Ref-Data'!$Z$5 = "Weighted",VLOOKUP($A116,'Model Output_TTC'!$A:$CB,AD$2,FALSE),IF('Ref-Data'!$Z$5="Baseline",VLOOKUP('Input PD LGD'!$A116,'Model Output_TTC'!$A:$AU,'Input PD LGD'!AD$4,FALSE),IF('Ref-Data'!$Z$5="90th Percentile",VLOOKUP('Input PD LGD'!$A116,'Model Output_TTC'!$A:$BP,'Input PD LGD'!AD$6,FALSE),IF('Ref-Data'!$Z$5="96th Percentile",VLOOKUP('Input PD LGD'!$A116,'Model Output_TTC'!$A:$Z,'Input PD LGD'!AD$8,FALSE),"")))))</f>
        <v/>
      </c>
      <c r="K116" s="276" t="str">
        <f>IF('Ref-Data'!$Z$2="ON",VLOOKUP($A116,'MacroPD-Cal'!$A:$L,AE$1,FALSE),IF('Ref-Data'!$Z$5 = "Weighted",VLOOKUP($A116,'Model Output_TTC'!$A:$CB,AE$2,FALSE),IF('Ref-Data'!$Z$5="Baseline",VLOOKUP('Input PD LGD'!$A116,'Model Output_TTC'!$A:$AU,'Input PD LGD'!AE$4,FALSE),IF('Ref-Data'!$Z$5="90th Percentile",VLOOKUP('Input PD LGD'!$A116,'Model Output_TTC'!$A:$BP,'Input PD LGD'!AE$6,FALSE),IF('Ref-Data'!$Z$5="96th Percentile",VLOOKUP('Input PD LGD'!$A116,'Model Output_TTC'!$A:$Z,'Input PD LGD'!AE$8,FALSE),"")))))</f>
        <v/>
      </c>
      <c r="L116" s="274">
        <f>VLOOKUP(A116,'Ref-Data'!$A:$N,14,0)</f>
        <v>0.39649999999999996</v>
      </c>
      <c r="M116" s="354">
        <f>VLOOKUP(A116,'Ref-Data'!A:I,9,0)</f>
        <v>1</v>
      </c>
      <c r="N116" s="354" t="s">
        <v>1156</v>
      </c>
    </row>
    <row r="117" spans="1:14" x14ac:dyDescent="0.25">
      <c r="A117" s="354">
        <v>1100000284</v>
      </c>
      <c r="B117" s="277" t="str">
        <f>INDEX('Loan Book Summary'!B:C,MATCH('Input PD LGD'!A117,'Loan Book Summary'!C:C,0),1)</f>
        <v>Clavis IDS Limited - Business Trading - Facility A</v>
      </c>
      <c r="C117" s="400">
        <f>VLOOKUP(A117,Reference_Rate_Repricing_Report!B:P,15,FALSE)</f>
        <v>7.24</v>
      </c>
      <c r="D117" s="276">
        <f>IF('Ref-Data'!$Z$2="ON",VLOOKUP($A117,'MacroPD-Cal'!$A:$L,X$1,FALSE),IF('Ref-Data'!$Z$5 = "Weighted",VLOOKUP($A117,'Model Output_TTC'!$A:$CB,X$2,FALSE),IF('Ref-Data'!$Z$5="Baseline",VLOOKUP('Input PD LGD'!$A117,'Model Output_TTC'!$A:$AU,'Input PD LGD'!X$4,FALSE),IF('Ref-Data'!$Z$5="90th Percentile",VLOOKUP('Input PD LGD'!$A117,'Model Output_TTC'!$A:$BP,'Input PD LGD'!X$6,FALSE),IF('Ref-Data'!$Z$5="96th Percentile",VLOOKUP('Input PD LGD'!$A117,'Model Output_TTC'!$A:$Z,'Input PD LGD'!X$8,FALSE),"")))))</f>
        <v>8.6241131808554141E-4</v>
      </c>
      <c r="E117" s="276">
        <f>IF('Ref-Data'!$Z$2="ON",VLOOKUP($A117,'MacroPD-Cal'!$A:$L,Y$1,FALSE),IF('Ref-Data'!$Z$5 = "Weighted",VLOOKUP($A117,'Model Output_TTC'!$A:$CB,Y$2,FALSE),IF('Ref-Data'!$Z$5="Baseline",VLOOKUP('Input PD LGD'!$A117,'Model Output_TTC'!$A:$AU,'Input PD LGD'!Y$4,FALSE),IF('Ref-Data'!$Z$5="90th Percentile",VLOOKUP('Input PD LGD'!$A117,'Model Output_TTC'!$A:$BP,'Input PD LGD'!Y$6,FALSE),IF('Ref-Data'!$Z$5="96th Percentile",VLOOKUP('Input PD LGD'!$A117,'Model Output_TTC'!$A:$Z,'Input PD LGD'!Y$8,FALSE),"")))))</f>
        <v>2.0084242196824176E-3</v>
      </c>
      <c r="F117" s="276">
        <f>IF('Ref-Data'!$Z$2="ON",VLOOKUP($A117,'MacroPD-Cal'!$A:$L,Z$1,FALSE),IF('Ref-Data'!$Z$5 = "Weighted",VLOOKUP($A117,'Model Output_TTC'!$A:$CB,Z$2,FALSE),IF('Ref-Data'!$Z$5="Baseline",VLOOKUP('Input PD LGD'!$A117,'Model Output_TTC'!$A:$AU,'Input PD LGD'!Z$4,FALSE),IF('Ref-Data'!$Z$5="90th Percentile",VLOOKUP('Input PD LGD'!$A117,'Model Output_TTC'!$A:$BP,'Input PD LGD'!Z$6,FALSE),IF('Ref-Data'!$Z$5="96th Percentile",VLOOKUP('Input PD LGD'!$A117,'Model Output_TTC'!$A:$Z,'Input PD LGD'!Z$8,FALSE),"")))))</f>
        <v>3.3127897179908634E-3</v>
      </c>
      <c r="G117" s="276">
        <f>IF('Ref-Data'!$Z$2="ON",VLOOKUP($A117,'MacroPD-Cal'!$A:$L,AA$1,FALSE),IF('Ref-Data'!$Z$5 = "Weighted",VLOOKUP($A117,'Model Output_TTC'!$A:$CB,AA$2,FALSE),IF('Ref-Data'!$Z$5="Baseline",VLOOKUP('Input PD LGD'!$A117,'Model Output_TTC'!$A:$AU,'Input PD LGD'!AA$4,FALSE),IF('Ref-Data'!$Z$5="90th Percentile",VLOOKUP('Input PD LGD'!$A117,'Model Output_TTC'!$A:$BP,'Input PD LGD'!AA$6,FALSE),IF('Ref-Data'!$Z$5="96th Percentile",VLOOKUP('Input PD LGD'!$A117,'Model Output_TTC'!$A:$Z,'Input PD LGD'!AA$8,FALSE),"")))))</f>
        <v>5.0000000000000001E-3</v>
      </c>
      <c r="H117" s="276" t="str">
        <f>IF('Ref-Data'!$Z$2="ON",VLOOKUP($A117,'MacroPD-Cal'!$A:$L,AB$1,FALSE),IF('Ref-Data'!$Z$5 = "Weighted",VLOOKUP($A117,'Model Output_TTC'!$A:$CB,AB$2,FALSE),IF('Ref-Data'!$Z$5="Baseline",VLOOKUP('Input PD LGD'!$A117,'Model Output_TTC'!$A:$AU,'Input PD LGD'!AB$4,FALSE),IF('Ref-Data'!$Z$5="90th Percentile",VLOOKUP('Input PD LGD'!$A117,'Model Output_TTC'!$A:$BP,'Input PD LGD'!AB$6,FALSE),IF('Ref-Data'!$Z$5="96th Percentile",VLOOKUP('Input PD LGD'!$A117,'Model Output_TTC'!$A:$Z,'Input PD LGD'!AB$8,FALSE),"")))))</f>
        <v/>
      </c>
      <c r="I117" s="276" t="str">
        <f>IF('Ref-Data'!$Z$2="ON",VLOOKUP($A117,'MacroPD-Cal'!$A:$L,AC$1,FALSE),IF('Ref-Data'!$Z$5 = "Weighted",VLOOKUP($A117,'Model Output_TTC'!$A:$CB,AC$2,FALSE),IF('Ref-Data'!$Z$5="Baseline",VLOOKUP('Input PD LGD'!$A117,'Model Output_TTC'!$A:$AU,'Input PD LGD'!AC$4,FALSE),IF('Ref-Data'!$Z$5="90th Percentile",VLOOKUP('Input PD LGD'!$A117,'Model Output_TTC'!$A:$BP,'Input PD LGD'!AC$6,FALSE),IF('Ref-Data'!$Z$5="96th Percentile",VLOOKUP('Input PD LGD'!$A117,'Model Output_TTC'!$A:$Z,'Input PD LGD'!AC$8,FALSE),"")))))</f>
        <v/>
      </c>
      <c r="J117" s="276" t="str">
        <f>IF('Ref-Data'!$Z$2="ON",VLOOKUP($A117,'MacroPD-Cal'!$A:$L,AD$1,FALSE),IF('Ref-Data'!$Z$5 = "Weighted",VLOOKUP($A117,'Model Output_TTC'!$A:$CB,AD$2,FALSE),IF('Ref-Data'!$Z$5="Baseline",VLOOKUP('Input PD LGD'!$A117,'Model Output_TTC'!$A:$AU,'Input PD LGD'!AD$4,FALSE),IF('Ref-Data'!$Z$5="90th Percentile",VLOOKUP('Input PD LGD'!$A117,'Model Output_TTC'!$A:$BP,'Input PD LGD'!AD$6,FALSE),IF('Ref-Data'!$Z$5="96th Percentile",VLOOKUP('Input PD LGD'!$A117,'Model Output_TTC'!$A:$Z,'Input PD LGD'!AD$8,FALSE),"")))))</f>
        <v/>
      </c>
      <c r="K117" s="276" t="str">
        <f>IF('Ref-Data'!$Z$2="ON",VLOOKUP($A117,'MacroPD-Cal'!$A:$L,AE$1,FALSE),IF('Ref-Data'!$Z$5 = "Weighted",VLOOKUP($A117,'Model Output_TTC'!$A:$CB,AE$2,FALSE),IF('Ref-Data'!$Z$5="Baseline",VLOOKUP('Input PD LGD'!$A117,'Model Output_TTC'!$A:$AU,'Input PD LGD'!AE$4,FALSE),IF('Ref-Data'!$Z$5="90th Percentile",VLOOKUP('Input PD LGD'!$A117,'Model Output_TTC'!$A:$BP,'Input PD LGD'!AE$6,FALSE),IF('Ref-Data'!$Z$5="96th Percentile",VLOOKUP('Input PD LGD'!$A117,'Model Output_TTC'!$A:$Z,'Input PD LGD'!AE$8,FALSE),"")))))</f>
        <v/>
      </c>
      <c r="L117" s="274">
        <f>VLOOKUP(A117,'Ref-Data'!$A:$N,14,0)</f>
        <v>0.3911</v>
      </c>
      <c r="M117" s="354">
        <f>VLOOKUP(A117,'Ref-Data'!A:I,9,0)</f>
        <v>1</v>
      </c>
      <c r="N117" s="354" t="s">
        <v>1156</v>
      </c>
    </row>
    <row r="118" spans="1:14" x14ac:dyDescent="0.25">
      <c r="A118" s="354">
        <v>1300000003</v>
      </c>
      <c r="B118" s="277" t="str">
        <f>INDEX('Loan Book Summary'!B:C,MATCH('Input PD LGD'!A118,'Loan Book Summary'!C:C,0),1)</f>
        <v>Clavis IDS Limited - Business Trading- Facility B- RLS</v>
      </c>
      <c r="C118" s="400">
        <f>VLOOKUP(A118,Reference_Rate_Repricing_Report!B:P,15,FALSE)</f>
        <v>7.12</v>
      </c>
      <c r="D118" s="276">
        <f>IF('Ref-Data'!$Z$2="ON",VLOOKUP($A118,'MacroPD-Cal'!$A:$L,X$1,FALSE),IF('Ref-Data'!$Z$5 = "Weighted",VLOOKUP($A118,'Model Output_TTC'!$A:$CB,X$2,FALSE),IF('Ref-Data'!$Z$5="Baseline",VLOOKUP('Input PD LGD'!$A118,'Model Output_TTC'!$A:$AU,'Input PD LGD'!X$4,FALSE),IF('Ref-Data'!$Z$5="90th Percentile",VLOOKUP('Input PD LGD'!$A118,'Model Output_TTC'!$A:$BP,'Input PD LGD'!X$6,FALSE),IF('Ref-Data'!$Z$5="96th Percentile",VLOOKUP('Input PD LGD'!$A118,'Model Output_TTC'!$A:$Z,'Input PD LGD'!X$8,FALSE),"")))))</f>
        <v>8.6241131808554141E-4</v>
      </c>
      <c r="E118" s="276">
        <f>IF('Ref-Data'!$Z$2="ON",VLOOKUP($A118,'MacroPD-Cal'!$A:$L,Y$1,FALSE),IF('Ref-Data'!$Z$5 = "Weighted",VLOOKUP($A118,'Model Output_TTC'!$A:$CB,Y$2,FALSE),IF('Ref-Data'!$Z$5="Baseline",VLOOKUP('Input PD LGD'!$A118,'Model Output_TTC'!$A:$AU,'Input PD LGD'!Y$4,FALSE),IF('Ref-Data'!$Z$5="90th Percentile",VLOOKUP('Input PD LGD'!$A118,'Model Output_TTC'!$A:$BP,'Input PD LGD'!Y$6,FALSE),IF('Ref-Data'!$Z$5="96th Percentile",VLOOKUP('Input PD LGD'!$A118,'Model Output_TTC'!$A:$Z,'Input PD LGD'!Y$8,FALSE),"")))))</f>
        <v>2.0084242196824176E-3</v>
      </c>
      <c r="F118" s="276">
        <f>IF('Ref-Data'!$Z$2="ON",VLOOKUP($A118,'MacroPD-Cal'!$A:$L,Z$1,FALSE),IF('Ref-Data'!$Z$5 = "Weighted",VLOOKUP($A118,'Model Output_TTC'!$A:$CB,Z$2,FALSE),IF('Ref-Data'!$Z$5="Baseline",VLOOKUP('Input PD LGD'!$A118,'Model Output_TTC'!$A:$AU,'Input PD LGD'!Z$4,FALSE),IF('Ref-Data'!$Z$5="90th Percentile",VLOOKUP('Input PD LGD'!$A118,'Model Output_TTC'!$A:$BP,'Input PD LGD'!Z$6,FALSE),IF('Ref-Data'!$Z$5="96th Percentile",VLOOKUP('Input PD LGD'!$A118,'Model Output_TTC'!$A:$Z,'Input PD LGD'!Z$8,FALSE),"")))))</f>
        <v>3.3127897179908634E-3</v>
      </c>
      <c r="G118" s="276">
        <f>IF('Ref-Data'!$Z$2="ON",VLOOKUP($A118,'MacroPD-Cal'!$A:$L,AA$1,FALSE),IF('Ref-Data'!$Z$5 = "Weighted",VLOOKUP($A118,'Model Output_TTC'!$A:$CB,AA$2,FALSE),IF('Ref-Data'!$Z$5="Baseline",VLOOKUP('Input PD LGD'!$A118,'Model Output_TTC'!$A:$AU,'Input PD LGD'!AA$4,FALSE),IF('Ref-Data'!$Z$5="90th Percentile",VLOOKUP('Input PD LGD'!$A118,'Model Output_TTC'!$A:$BP,'Input PD LGD'!AA$6,FALSE),IF('Ref-Data'!$Z$5="96th Percentile",VLOOKUP('Input PD LGD'!$A118,'Model Output_TTC'!$A:$Z,'Input PD LGD'!AA$8,FALSE),"")))))</f>
        <v>5.0000000000000001E-3</v>
      </c>
      <c r="H118" s="276" t="str">
        <f>IF('Ref-Data'!$Z$2="ON",VLOOKUP($A118,'MacroPD-Cal'!$A:$L,AB$1,FALSE),IF('Ref-Data'!$Z$5 = "Weighted",VLOOKUP($A118,'Model Output_TTC'!$A:$CB,AB$2,FALSE),IF('Ref-Data'!$Z$5="Baseline",VLOOKUP('Input PD LGD'!$A118,'Model Output_TTC'!$A:$AU,'Input PD LGD'!AB$4,FALSE),IF('Ref-Data'!$Z$5="90th Percentile",VLOOKUP('Input PD LGD'!$A118,'Model Output_TTC'!$A:$BP,'Input PD LGD'!AB$6,FALSE),IF('Ref-Data'!$Z$5="96th Percentile",VLOOKUP('Input PD LGD'!$A118,'Model Output_TTC'!$A:$Z,'Input PD LGD'!AB$8,FALSE),"")))))</f>
        <v/>
      </c>
      <c r="I118" s="276" t="str">
        <f>IF('Ref-Data'!$Z$2="ON",VLOOKUP($A118,'MacroPD-Cal'!$A:$L,AC$1,FALSE),IF('Ref-Data'!$Z$5 = "Weighted",VLOOKUP($A118,'Model Output_TTC'!$A:$CB,AC$2,FALSE),IF('Ref-Data'!$Z$5="Baseline",VLOOKUP('Input PD LGD'!$A118,'Model Output_TTC'!$A:$AU,'Input PD LGD'!AC$4,FALSE),IF('Ref-Data'!$Z$5="90th Percentile",VLOOKUP('Input PD LGD'!$A118,'Model Output_TTC'!$A:$BP,'Input PD LGD'!AC$6,FALSE),IF('Ref-Data'!$Z$5="96th Percentile",VLOOKUP('Input PD LGD'!$A118,'Model Output_TTC'!$A:$Z,'Input PD LGD'!AC$8,FALSE),"")))))</f>
        <v/>
      </c>
      <c r="J118" s="276" t="str">
        <f>IF('Ref-Data'!$Z$2="ON",VLOOKUP($A118,'MacroPD-Cal'!$A:$L,AD$1,FALSE),IF('Ref-Data'!$Z$5 = "Weighted",VLOOKUP($A118,'Model Output_TTC'!$A:$CB,AD$2,FALSE),IF('Ref-Data'!$Z$5="Baseline",VLOOKUP('Input PD LGD'!$A118,'Model Output_TTC'!$A:$AU,'Input PD LGD'!AD$4,FALSE),IF('Ref-Data'!$Z$5="90th Percentile",VLOOKUP('Input PD LGD'!$A118,'Model Output_TTC'!$A:$BP,'Input PD LGD'!AD$6,FALSE),IF('Ref-Data'!$Z$5="96th Percentile",VLOOKUP('Input PD LGD'!$A118,'Model Output_TTC'!$A:$Z,'Input PD LGD'!AD$8,FALSE),"")))))</f>
        <v/>
      </c>
      <c r="K118" s="276" t="str">
        <f>IF('Ref-Data'!$Z$2="ON",VLOOKUP($A118,'MacroPD-Cal'!$A:$L,AE$1,FALSE),IF('Ref-Data'!$Z$5 = "Weighted",VLOOKUP($A118,'Model Output_TTC'!$A:$CB,AE$2,FALSE),IF('Ref-Data'!$Z$5="Baseline",VLOOKUP('Input PD LGD'!$A118,'Model Output_TTC'!$A:$AU,'Input PD LGD'!AE$4,FALSE),IF('Ref-Data'!$Z$5="90th Percentile",VLOOKUP('Input PD LGD'!$A118,'Model Output_TTC'!$A:$BP,'Input PD LGD'!AE$6,FALSE),IF('Ref-Data'!$Z$5="96th Percentile",VLOOKUP('Input PD LGD'!$A118,'Model Output_TTC'!$A:$Z,'Input PD LGD'!AE$8,FALSE),"")))))</f>
        <v/>
      </c>
      <c r="L118" s="274">
        <f>VLOOKUP(A118,'Ref-Data'!$A:$N,14,0)</f>
        <v>0.3911</v>
      </c>
      <c r="M118" s="354">
        <f>VLOOKUP(A118,'Ref-Data'!A:I,9,0)</f>
        <v>1</v>
      </c>
      <c r="N118" s="354" t="s">
        <v>1156</v>
      </c>
    </row>
    <row r="119" spans="1:14" x14ac:dyDescent="0.25">
      <c r="A119" s="354">
        <v>1100000289</v>
      </c>
      <c r="B119" s="277" t="str">
        <f>INDEX('Loan Book Summary'!B:C,MATCH('Input PD LGD'!A119,'Loan Book Summary'!C:C,0),1)</f>
        <v>FDBC Holdings Limited</v>
      </c>
      <c r="C119" s="400">
        <f>VLOOKUP(A119,Reference_Rate_Repricing_Report!B:P,15,FALSE)</f>
        <v>6.48</v>
      </c>
      <c r="D119" s="276">
        <f>IF('Ref-Data'!$Z$2="ON",VLOOKUP($A119,'MacroPD-Cal'!$A:$L,X$1,FALSE),IF('Ref-Data'!$Z$5 = "Weighted",VLOOKUP($A119,'Model Output_TTC'!$A:$CB,X$2,FALSE),IF('Ref-Data'!$Z$5="Baseline",VLOOKUP('Input PD LGD'!$A119,'Model Output_TTC'!$A:$AU,'Input PD LGD'!X$4,FALSE),IF('Ref-Data'!$Z$5="90th Percentile",VLOOKUP('Input PD LGD'!$A119,'Model Output_TTC'!$A:$BP,'Input PD LGD'!X$6,FALSE),IF('Ref-Data'!$Z$5="96th Percentile",VLOOKUP('Input PD LGD'!$A119,'Model Output_TTC'!$A:$Z,'Input PD LGD'!X$8,FALSE),"")))))</f>
        <v>6.3645955274712956E-3</v>
      </c>
      <c r="E119" s="276">
        <f>IF('Ref-Data'!$Z$2="ON",VLOOKUP($A119,'MacroPD-Cal'!$A:$L,Y$1,FALSE),IF('Ref-Data'!$Z$5 = "Weighted",VLOOKUP($A119,'Model Output_TTC'!$A:$CB,Y$2,FALSE),IF('Ref-Data'!$Z$5="Baseline",VLOOKUP('Input PD LGD'!$A119,'Model Output_TTC'!$A:$AU,'Input PD LGD'!Y$4,FALSE),IF('Ref-Data'!$Z$5="90th Percentile",VLOOKUP('Input PD LGD'!$A119,'Model Output_TTC'!$A:$BP,'Input PD LGD'!Y$6,FALSE),IF('Ref-Data'!$Z$5="96th Percentile",VLOOKUP('Input PD LGD'!$A119,'Model Output_TTC'!$A:$Z,'Input PD LGD'!Y$8,FALSE),"")))))</f>
        <v>1.4822170741256243E-2</v>
      </c>
      <c r="F119" s="276">
        <f>IF('Ref-Data'!$Z$2="ON",VLOOKUP($A119,'MacroPD-Cal'!$A:$L,Z$1,FALSE),IF('Ref-Data'!$Z$5 = "Weighted",VLOOKUP($A119,'Model Output_TTC'!$A:$CB,Z$2,FALSE),IF('Ref-Data'!$Z$5="Baseline",VLOOKUP('Input PD LGD'!$A119,'Model Output_TTC'!$A:$AU,'Input PD LGD'!Z$4,FALSE),IF('Ref-Data'!$Z$5="90th Percentile",VLOOKUP('Input PD LGD'!$A119,'Model Output_TTC'!$A:$BP,'Input PD LGD'!Z$6,FALSE),IF('Ref-Data'!$Z$5="96th Percentile",VLOOKUP('Input PD LGD'!$A119,'Model Output_TTC'!$A:$Z,'Input PD LGD'!Z$8,FALSE),"")))))</f>
        <v>2.4448388118772573E-2</v>
      </c>
      <c r="G119" s="276">
        <f>IF('Ref-Data'!$Z$2="ON",VLOOKUP($A119,'MacroPD-Cal'!$A:$L,AA$1,FALSE),IF('Ref-Data'!$Z$5 = "Weighted",VLOOKUP($A119,'Model Output_TTC'!$A:$CB,AA$2,FALSE),IF('Ref-Data'!$Z$5="Baseline",VLOOKUP('Input PD LGD'!$A119,'Model Output_TTC'!$A:$AU,'Input PD LGD'!AA$4,FALSE),IF('Ref-Data'!$Z$5="90th Percentile",VLOOKUP('Input PD LGD'!$A119,'Model Output_TTC'!$A:$BP,'Input PD LGD'!AA$6,FALSE),IF('Ref-Data'!$Z$5="96th Percentile",VLOOKUP('Input PD LGD'!$A119,'Model Output_TTC'!$A:$Z,'Input PD LGD'!AA$8,FALSE),"")))))</f>
        <v>3.6900000000000002E-2</v>
      </c>
      <c r="H119" s="276" t="str">
        <f>IF('Ref-Data'!$Z$2="ON",VLOOKUP($A119,'MacroPD-Cal'!$A:$L,AB$1,FALSE),IF('Ref-Data'!$Z$5 = "Weighted",VLOOKUP($A119,'Model Output_TTC'!$A:$CB,AB$2,FALSE),IF('Ref-Data'!$Z$5="Baseline",VLOOKUP('Input PD LGD'!$A119,'Model Output_TTC'!$A:$AU,'Input PD LGD'!AB$4,FALSE),IF('Ref-Data'!$Z$5="90th Percentile",VLOOKUP('Input PD LGD'!$A119,'Model Output_TTC'!$A:$BP,'Input PD LGD'!AB$6,FALSE),IF('Ref-Data'!$Z$5="96th Percentile",VLOOKUP('Input PD LGD'!$A119,'Model Output_TTC'!$A:$Z,'Input PD LGD'!AB$8,FALSE),"")))))</f>
        <v/>
      </c>
      <c r="I119" s="276" t="str">
        <f>IF('Ref-Data'!$Z$2="ON",VLOOKUP($A119,'MacroPD-Cal'!$A:$L,AC$1,FALSE),IF('Ref-Data'!$Z$5 = "Weighted",VLOOKUP($A119,'Model Output_TTC'!$A:$CB,AC$2,FALSE),IF('Ref-Data'!$Z$5="Baseline",VLOOKUP('Input PD LGD'!$A119,'Model Output_TTC'!$A:$AU,'Input PD LGD'!AC$4,FALSE),IF('Ref-Data'!$Z$5="90th Percentile",VLOOKUP('Input PD LGD'!$A119,'Model Output_TTC'!$A:$BP,'Input PD LGD'!AC$6,FALSE),IF('Ref-Data'!$Z$5="96th Percentile",VLOOKUP('Input PD LGD'!$A119,'Model Output_TTC'!$A:$Z,'Input PD LGD'!AC$8,FALSE),"")))))</f>
        <v/>
      </c>
      <c r="J119" s="276" t="str">
        <f>IF('Ref-Data'!$Z$2="ON",VLOOKUP($A119,'MacroPD-Cal'!$A:$L,AD$1,FALSE),IF('Ref-Data'!$Z$5 = "Weighted",VLOOKUP($A119,'Model Output_TTC'!$A:$CB,AD$2,FALSE),IF('Ref-Data'!$Z$5="Baseline",VLOOKUP('Input PD LGD'!$A119,'Model Output_TTC'!$A:$AU,'Input PD LGD'!AD$4,FALSE),IF('Ref-Data'!$Z$5="90th Percentile",VLOOKUP('Input PD LGD'!$A119,'Model Output_TTC'!$A:$BP,'Input PD LGD'!AD$6,FALSE),IF('Ref-Data'!$Z$5="96th Percentile",VLOOKUP('Input PD LGD'!$A119,'Model Output_TTC'!$A:$Z,'Input PD LGD'!AD$8,FALSE),"")))))</f>
        <v/>
      </c>
      <c r="K119" s="276" t="str">
        <f>IF('Ref-Data'!$Z$2="ON",VLOOKUP($A119,'MacroPD-Cal'!$A:$L,AE$1,FALSE),IF('Ref-Data'!$Z$5 = "Weighted",VLOOKUP($A119,'Model Output_TTC'!$A:$CB,AE$2,FALSE),IF('Ref-Data'!$Z$5="Baseline",VLOOKUP('Input PD LGD'!$A119,'Model Output_TTC'!$A:$AU,'Input PD LGD'!AE$4,FALSE),IF('Ref-Data'!$Z$5="90th Percentile",VLOOKUP('Input PD LGD'!$A119,'Model Output_TTC'!$A:$BP,'Input PD LGD'!AE$6,FALSE),IF('Ref-Data'!$Z$5="96th Percentile",VLOOKUP('Input PD LGD'!$A119,'Model Output_TTC'!$A:$Z,'Input PD LGD'!AE$8,FALSE),"")))))</f>
        <v/>
      </c>
      <c r="L119" s="274">
        <f>VLOOKUP(A119,'Ref-Data'!$A:$N,14,0)</f>
        <v>0.41700000000000004</v>
      </c>
      <c r="M119" s="354">
        <f>VLOOKUP(A119,'Ref-Data'!A:I,9,0)</f>
        <v>1</v>
      </c>
      <c r="N119" s="354" t="s">
        <v>1156</v>
      </c>
    </row>
    <row r="120" spans="1:14" x14ac:dyDescent="0.25">
      <c r="A120" s="354">
        <v>1300000004</v>
      </c>
      <c r="B120" s="277" t="str">
        <f>INDEX('Loan Book Summary'!B:C,MATCH('Input PD LGD'!A120,'Loan Book Summary'!C:C,0),1)</f>
        <v>Lyons Davidson Limited - Business Trading - RLS RCF</v>
      </c>
      <c r="C120" s="400">
        <f>VLOOKUP(A120,Reference_Rate_Repricing_Report!B:P,15,FALSE)</f>
        <v>7.84</v>
      </c>
      <c r="D120" s="276">
        <f>IF('Ref-Data'!$Z$2="ON",VLOOKUP($A120,'MacroPD-Cal'!$A:$L,X$1,FALSE),IF('Ref-Data'!$Z$5 = "Weighted",VLOOKUP($A120,'Model Output_TTC'!$A:$CB,X$2,FALSE),IF('Ref-Data'!$Z$5="Baseline",VLOOKUP('Input PD LGD'!$A120,'Model Output_TTC'!$A:$AU,'Input PD LGD'!X$4,FALSE),IF('Ref-Data'!$Z$5="90th Percentile",VLOOKUP('Input PD LGD'!$A120,'Model Output_TTC'!$A:$BP,'Input PD LGD'!X$6,FALSE),IF('Ref-Data'!$Z$5="96th Percentile",VLOOKUP('Input PD LGD'!$A120,'Model Output_TTC'!$A:$Z,'Input PD LGD'!X$8,FALSE),"")))))</f>
        <v>2.5182410488097809E-3</v>
      </c>
      <c r="E120" s="276">
        <f>IF('Ref-Data'!$Z$2="ON",VLOOKUP($A120,'MacroPD-Cal'!$A:$L,Y$1,FALSE),IF('Ref-Data'!$Z$5 = "Weighted",VLOOKUP($A120,'Model Output_TTC'!$A:$CB,Y$2,FALSE),IF('Ref-Data'!$Z$5="Baseline",VLOOKUP('Input PD LGD'!$A120,'Model Output_TTC'!$A:$AU,'Input PD LGD'!Y$4,FALSE),IF('Ref-Data'!$Z$5="90th Percentile",VLOOKUP('Input PD LGD'!$A120,'Model Output_TTC'!$A:$BP,'Input PD LGD'!Y$6,FALSE),IF('Ref-Data'!$Z$5="96th Percentile",VLOOKUP('Input PD LGD'!$A120,'Model Output_TTC'!$A:$Z,'Input PD LGD'!Y$8,FALSE),"")))))</f>
        <v>5.8645987214726598E-3</v>
      </c>
      <c r="F120" s="276">
        <f>IF('Ref-Data'!$Z$2="ON",VLOOKUP($A120,'MacroPD-Cal'!$A:$L,Z$1,FALSE),IF('Ref-Data'!$Z$5 = "Weighted",VLOOKUP($A120,'Model Output_TTC'!$A:$CB,Z$2,FALSE),IF('Ref-Data'!$Z$5="Baseline",VLOOKUP('Input PD LGD'!$A120,'Model Output_TTC'!$A:$AU,'Input PD LGD'!Z$4,FALSE),IF('Ref-Data'!$Z$5="90th Percentile",VLOOKUP('Input PD LGD'!$A120,'Model Output_TTC'!$A:$BP,'Input PD LGD'!Z$6,FALSE),IF('Ref-Data'!$Z$5="96th Percentile",VLOOKUP('Input PD LGD'!$A120,'Model Output_TTC'!$A:$Z,'Input PD LGD'!Z$8,FALSE),"")))))</f>
        <v>9.6733459765333211E-3</v>
      </c>
      <c r="G120" s="276">
        <f>IF('Ref-Data'!$Z$2="ON",VLOOKUP($A120,'MacroPD-Cal'!$A:$L,AA$1,FALSE),IF('Ref-Data'!$Z$5 = "Weighted",VLOOKUP($A120,'Model Output_TTC'!$A:$CB,AA$2,FALSE),IF('Ref-Data'!$Z$5="Baseline",VLOOKUP('Input PD LGD'!$A120,'Model Output_TTC'!$A:$AU,'Input PD LGD'!AA$4,FALSE),IF('Ref-Data'!$Z$5="90th Percentile",VLOOKUP('Input PD LGD'!$A120,'Model Output_TTC'!$A:$BP,'Input PD LGD'!AA$6,FALSE),IF('Ref-Data'!$Z$5="96th Percentile",VLOOKUP('Input PD LGD'!$A120,'Model Output_TTC'!$A:$Z,'Input PD LGD'!AA$8,FALSE),"")))))</f>
        <v>1.46E-2</v>
      </c>
      <c r="H120" s="276" t="str">
        <f>IF('Ref-Data'!$Z$2="ON",VLOOKUP($A120,'MacroPD-Cal'!$A:$L,AB$1,FALSE),IF('Ref-Data'!$Z$5 = "Weighted",VLOOKUP($A120,'Model Output_TTC'!$A:$CB,AB$2,FALSE),IF('Ref-Data'!$Z$5="Baseline",VLOOKUP('Input PD LGD'!$A120,'Model Output_TTC'!$A:$AU,'Input PD LGD'!AB$4,FALSE),IF('Ref-Data'!$Z$5="90th Percentile",VLOOKUP('Input PD LGD'!$A120,'Model Output_TTC'!$A:$BP,'Input PD LGD'!AB$6,FALSE),IF('Ref-Data'!$Z$5="96th Percentile",VLOOKUP('Input PD LGD'!$A120,'Model Output_TTC'!$A:$Z,'Input PD LGD'!AB$8,FALSE),"")))))</f>
        <v/>
      </c>
      <c r="I120" s="276" t="str">
        <f>IF('Ref-Data'!$Z$2="ON",VLOOKUP($A120,'MacroPD-Cal'!$A:$L,AC$1,FALSE),IF('Ref-Data'!$Z$5 = "Weighted",VLOOKUP($A120,'Model Output_TTC'!$A:$CB,AC$2,FALSE),IF('Ref-Data'!$Z$5="Baseline",VLOOKUP('Input PD LGD'!$A120,'Model Output_TTC'!$A:$AU,'Input PD LGD'!AC$4,FALSE),IF('Ref-Data'!$Z$5="90th Percentile",VLOOKUP('Input PD LGD'!$A120,'Model Output_TTC'!$A:$BP,'Input PD LGD'!AC$6,FALSE),IF('Ref-Data'!$Z$5="96th Percentile",VLOOKUP('Input PD LGD'!$A120,'Model Output_TTC'!$A:$Z,'Input PD LGD'!AC$8,FALSE),"")))))</f>
        <v/>
      </c>
      <c r="J120" s="276" t="str">
        <f>IF('Ref-Data'!$Z$2="ON",VLOOKUP($A120,'MacroPD-Cal'!$A:$L,AD$1,FALSE),IF('Ref-Data'!$Z$5 = "Weighted",VLOOKUP($A120,'Model Output_TTC'!$A:$CB,AD$2,FALSE),IF('Ref-Data'!$Z$5="Baseline",VLOOKUP('Input PD LGD'!$A120,'Model Output_TTC'!$A:$AU,'Input PD LGD'!AD$4,FALSE),IF('Ref-Data'!$Z$5="90th Percentile",VLOOKUP('Input PD LGD'!$A120,'Model Output_TTC'!$A:$BP,'Input PD LGD'!AD$6,FALSE),IF('Ref-Data'!$Z$5="96th Percentile",VLOOKUP('Input PD LGD'!$A120,'Model Output_TTC'!$A:$Z,'Input PD LGD'!AD$8,FALSE),"")))))</f>
        <v/>
      </c>
      <c r="K120" s="276" t="str">
        <f>IF('Ref-Data'!$Z$2="ON",VLOOKUP($A120,'MacroPD-Cal'!$A:$L,AE$1,FALSE),IF('Ref-Data'!$Z$5 = "Weighted",VLOOKUP($A120,'Model Output_TTC'!$A:$CB,AE$2,FALSE),IF('Ref-Data'!$Z$5="Baseline",VLOOKUP('Input PD LGD'!$A120,'Model Output_TTC'!$A:$AU,'Input PD LGD'!AE$4,FALSE),IF('Ref-Data'!$Z$5="90th Percentile",VLOOKUP('Input PD LGD'!$A120,'Model Output_TTC'!$A:$BP,'Input PD LGD'!AE$6,FALSE),IF('Ref-Data'!$Z$5="96th Percentile",VLOOKUP('Input PD LGD'!$A120,'Model Output_TTC'!$A:$Z,'Input PD LGD'!AE$8,FALSE),"")))))</f>
        <v/>
      </c>
      <c r="L120" s="274">
        <f>VLOOKUP(A120,'Ref-Data'!$A:$N,14,0)</f>
        <v>0.1</v>
      </c>
      <c r="M120" s="354">
        <f>VLOOKUP(A120,'Ref-Data'!A:I,9,0)</f>
        <v>1</v>
      </c>
      <c r="N120" s="354" t="s">
        <v>1156</v>
      </c>
    </row>
  </sheetData>
  <pageMargins left="0.7" right="0.7" top="0.75" bottom="0.75" header="0.3" footer="0.3"/>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9A3C80-C0E6-4ECE-ABBD-12042682CEA8}">
  <sheetPr codeName="Sheet20"/>
  <dimension ref="A1:G120"/>
  <sheetViews>
    <sheetView showGridLines="0" zoomScale="80" zoomScaleNormal="80" workbookViewId="0"/>
  </sheetViews>
  <sheetFormatPr defaultColWidth="8.7109375" defaultRowHeight="15" x14ac:dyDescent="0.25"/>
  <cols>
    <col min="1" max="1" width="23" customWidth="1"/>
    <col min="2" max="2" width="17.7109375" customWidth="1"/>
    <col min="3" max="3" width="15.5703125" customWidth="1"/>
    <col min="4" max="4" width="6.28515625" bestFit="1" customWidth="1"/>
    <col min="5" max="5" width="24.85546875" bestFit="1" customWidth="1"/>
    <col min="6" max="6" width="20.5703125" customWidth="1"/>
    <col min="7" max="7" width="13" bestFit="1" customWidth="1"/>
    <col min="8" max="16384" width="8.7109375" style="166"/>
  </cols>
  <sheetData>
    <row r="1" spans="1:7" x14ac:dyDescent="0.25">
      <c r="A1" s="429" t="s">
        <v>1721</v>
      </c>
      <c r="B1" s="429" t="s">
        <v>1221</v>
      </c>
      <c r="C1" s="430" t="s">
        <v>1172</v>
      </c>
      <c r="D1" s="429" t="s">
        <v>174</v>
      </c>
      <c r="E1" s="429" t="s">
        <v>2734</v>
      </c>
      <c r="F1" s="429" t="s">
        <v>2732</v>
      </c>
      <c r="G1" s="429" t="s">
        <v>2733</v>
      </c>
    </row>
    <row r="2" spans="1:7" x14ac:dyDescent="0.25">
      <c r="A2" s="354">
        <v>1100000141</v>
      </c>
      <c r="B2" s="387">
        <f>IF(D2=1,SUMIF('Prov Code output'!B:B,'Code Results'!A2,'Prov Code output'!AK:AK),SUMIF('Prov Code output'!B:B,'Code Results'!A2,'Prov Code output'!AL:AL))</f>
        <v>212.613136358872</v>
      </c>
      <c r="C2" s="354" t="str">
        <f>VLOOKUP(A2,'Data Summary'!A:B,2,FALSE)</f>
        <v>NOTES: MUSIC &amp; COFFEE LIMITED</v>
      </c>
      <c r="D2" s="354">
        <f>VLOOKUP(A2,'Ref-Data'!A:I,9,FALSE)</f>
        <v>1</v>
      </c>
      <c r="E2" s="431">
        <f>SUMIF('Prov Code output'!B:B,'Code Results'!A2,'Prov Code output'!AM:AM)</f>
        <v>70000</v>
      </c>
      <c r="F2" s="431">
        <f>VLOOKUP(A2,'Ref-Data'!$A:$C,3,FALSE)</f>
        <v>70000</v>
      </c>
      <c r="G2" s="431">
        <f>E2-F2</f>
        <v>0</v>
      </c>
    </row>
    <row r="3" spans="1:7" x14ac:dyDescent="0.25">
      <c r="A3" s="354">
        <v>1100000145</v>
      </c>
      <c r="B3" s="387">
        <f>IF(D3=1,SUMIF('Prov Code output'!B:B,'Code Results'!A3,'Prov Code output'!AK:AK),SUMIF('Prov Code output'!B:B,'Code Results'!A3,'Prov Code output'!AL:AL))</f>
        <v>280305.099355946</v>
      </c>
      <c r="C3" s="354" t="str">
        <f>VLOOKUP(A3,'Data Summary'!A:B,2,FALSE)</f>
        <v>Z HOTELS HOLBORN LIMITED</v>
      </c>
      <c r="D3" s="354">
        <f>VLOOKUP(A3,'Ref-Data'!A:I,9,FALSE)</f>
        <v>1</v>
      </c>
      <c r="E3" s="431">
        <f>SUMIF('Prov Code output'!B:B,'Code Results'!A3,'Prov Code output'!AM:AM)</f>
        <v>9722974.0099999998</v>
      </c>
      <c r="F3" s="431">
        <f>VLOOKUP(A3,'Ref-Data'!$A:$C,3,FALSE)</f>
        <v>9722974.0099999998</v>
      </c>
      <c r="G3" s="431">
        <f t="shared" ref="G3:G66" si="0">E3-F3</f>
        <v>0</v>
      </c>
    </row>
    <row r="4" spans="1:7" x14ac:dyDescent="0.25">
      <c r="A4" s="354">
        <v>1100000199</v>
      </c>
      <c r="B4" s="387">
        <f>IF(D4=1,SUMIF('Prov Code output'!B:B,'Code Results'!A4,'Prov Code output'!AK:AK),SUMIF('Prov Code output'!B:B,'Code Results'!A4,'Prov Code output'!AL:AL))</f>
        <v>692.95375878442201</v>
      </c>
      <c r="C4" s="354" t="str">
        <f>VLOOKUP(A4,'Data Summary'!A:B,2,FALSE)</f>
        <v>WHISKEY (BIDCO) LIMITED</v>
      </c>
      <c r="D4" s="354">
        <f>VLOOKUP(A4,'Ref-Data'!A:I,9,FALSE)</f>
        <v>1</v>
      </c>
      <c r="E4" s="431">
        <f>SUMIF('Prov Code output'!B:B,'Code Results'!A4,'Prov Code output'!AM:AM)</f>
        <v>552635</v>
      </c>
      <c r="F4" s="431">
        <f>VLOOKUP(A4,'Ref-Data'!$A:$C,3,FALSE)</f>
        <v>552635</v>
      </c>
      <c r="G4" s="431">
        <f t="shared" si="0"/>
        <v>0</v>
      </c>
    </row>
    <row r="5" spans="1:7" x14ac:dyDescent="0.25">
      <c r="A5" s="354">
        <v>1100000198</v>
      </c>
      <c r="B5" s="387">
        <f>IF(D5=1,SUMIF('Prov Code output'!B:B,'Code Results'!A5,'Prov Code output'!AK:AK),SUMIF('Prov Code output'!B:B,'Code Results'!A5,'Prov Code output'!AL:AL))</f>
        <v>1317.83155371716</v>
      </c>
      <c r="C5" s="354" t="str">
        <f>VLOOKUP(A5,'Data Summary'!A:B,2,FALSE)</f>
        <v>WHISKEY (BIDCO) LIMITED</v>
      </c>
      <c r="D5" s="354">
        <f>VLOOKUP(A5,'Ref-Data'!A:I,9,FALSE)</f>
        <v>1</v>
      </c>
      <c r="E5" s="431">
        <f>SUMIF('Prov Code output'!B:B,'Code Results'!A5,'Prov Code output'!AM:AM)</f>
        <v>750000</v>
      </c>
      <c r="F5" s="431">
        <f>VLOOKUP(A5,'Ref-Data'!$A:$C,3,FALSE)</f>
        <v>750000</v>
      </c>
      <c r="G5" s="431">
        <f t="shared" si="0"/>
        <v>0</v>
      </c>
    </row>
    <row r="6" spans="1:7" x14ac:dyDescent="0.25">
      <c r="A6" s="354">
        <v>1100000205</v>
      </c>
      <c r="B6" s="387">
        <f>IF(D6=1,SUMIF('Prov Code output'!B:B,'Code Results'!A6,'Prov Code output'!AK:AK),SUMIF('Prov Code output'!B:B,'Code Results'!A6,'Prov Code output'!AL:AL))</f>
        <v>3475.7134008901198</v>
      </c>
      <c r="C6" s="354" t="str">
        <f>VLOOKUP(A6,'Data Summary'!A:B,2,FALSE)</f>
        <v>INCEPTION VENTURES GROUP LIMITED &amp; BEDFORD STREET BAR TRADING LIMITED &amp; NEWMAN STREET BAR TRADING LIMITED &amp; BROADGATE CIRCLE  BAR TRADING LIMITED</v>
      </c>
      <c r="D6" s="354">
        <f>VLOOKUP(A6,'Ref-Data'!A:I,9,FALSE)</f>
        <v>1</v>
      </c>
      <c r="E6" s="431">
        <f>SUMIF('Prov Code output'!B:B,'Code Results'!A6,'Prov Code output'!AM:AM)</f>
        <v>2016664.01</v>
      </c>
      <c r="F6" s="431">
        <f>VLOOKUP(A6,'Ref-Data'!$A:$C,3,FALSE)</f>
        <v>2016664.01</v>
      </c>
      <c r="G6" s="431">
        <f t="shared" si="0"/>
        <v>0</v>
      </c>
    </row>
    <row r="7" spans="1:7" x14ac:dyDescent="0.25">
      <c r="A7" s="354">
        <v>1100000168</v>
      </c>
      <c r="B7" s="387">
        <f>IF(D7=1,SUMIF('Prov Code output'!B:B,'Code Results'!A7,'Prov Code output'!AK:AK),SUMIF('Prov Code output'!B:B,'Code Results'!A7,'Prov Code output'!AL:AL))</f>
        <v>67092.271685727494</v>
      </c>
      <c r="C7" s="354" t="str">
        <f>VLOOKUP(A7,'Data Summary'!A:B,2,FALSE)</f>
        <v>Z HOTELS ZHT LTD</v>
      </c>
      <c r="D7" s="354">
        <f>VLOOKUP(A7,'Ref-Data'!A:I,9,FALSE)</f>
        <v>1</v>
      </c>
      <c r="E7" s="431">
        <f>SUMIF('Prov Code output'!B:B,'Code Results'!A7,'Prov Code output'!AM:AM)</f>
        <v>6474308</v>
      </c>
      <c r="F7" s="431">
        <f>VLOOKUP(A7,'Ref-Data'!$A:$C,3,FALSE)</f>
        <v>6474308</v>
      </c>
      <c r="G7" s="431">
        <f t="shared" si="0"/>
        <v>0</v>
      </c>
    </row>
    <row r="8" spans="1:7" x14ac:dyDescent="0.25">
      <c r="A8" s="354">
        <v>1100000209</v>
      </c>
      <c r="B8" s="387">
        <f>IF(D8=1,SUMIF('Prov Code output'!B:B,'Code Results'!A8,'Prov Code output'!AK:AK),SUMIF('Prov Code output'!B:B,'Code Results'!A8,'Prov Code output'!AL:AL))</f>
        <v>0</v>
      </c>
      <c r="C8" s="354" t="str">
        <f>VLOOKUP(A8,'Data Summary'!A:B,2,FALSE)</f>
        <v>INN COLLECTION BIDCO LIMITED</v>
      </c>
      <c r="D8" s="354">
        <f>VLOOKUP(A8,'Ref-Data'!A:I,9,FALSE)</f>
        <v>1</v>
      </c>
      <c r="E8" s="431">
        <f>SUMIF('Prov Code output'!B:B,'Code Results'!A8,'Prov Code output'!AM:AM)</f>
        <v>0</v>
      </c>
      <c r="F8" s="431">
        <f>VLOOKUP(A8,'Ref-Data'!$A:$C,3,FALSE)</f>
        <v>0</v>
      </c>
      <c r="G8" s="431">
        <f t="shared" si="0"/>
        <v>0</v>
      </c>
    </row>
    <row r="9" spans="1:7" x14ac:dyDescent="0.25">
      <c r="A9" s="354">
        <v>1100000175</v>
      </c>
      <c r="B9" s="387">
        <f>IF(D9=1,SUMIF('Prov Code output'!B:B,'Code Results'!A9,'Prov Code output'!AK:AK),SUMIF('Prov Code output'!B:B,'Code Results'!A9,'Prov Code output'!AL:AL))</f>
        <v>558148.25873491704</v>
      </c>
      <c r="C9" s="354" t="str">
        <f>VLOOKUP(A9,'Data Summary'!A:B,2,FALSE)</f>
        <v>SBH PARK HOLDING LIMITED</v>
      </c>
      <c r="D9" s="354">
        <f>VLOOKUP(A9,'Ref-Data'!A:I,9,FALSE)</f>
        <v>1</v>
      </c>
      <c r="E9" s="431">
        <f>SUMIF('Prov Code output'!B:B,'Code Results'!A9,'Prov Code output'!AM:AM)</f>
        <v>20011058.510000002</v>
      </c>
      <c r="F9" s="431">
        <f>VLOOKUP(A9,'Ref-Data'!$A:$C,3,FALSE)</f>
        <v>20011058.510000002</v>
      </c>
      <c r="G9" s="431">
        <f t="shared" si="0"/>
        <v>0</v>
      </c>
    </row>
    <row r="10" spans="1:7" x14ac:dyDescent="0.25">
      <c r="A10" s="354">
        <v>1100000144</v>
      </c>
      <c r="B10" s="387">
        <f>IF(D10=1,SUMIF('Prov Code output'!B:B,'Code Results'!A10,'Prov Code output'!AK:AK),SUMIF('Prov Code output'!B:B,'Code Results'!A10,'Prov Code output'!AL:AL))</f>
        <v>6111.0905959493502</v>
      </c>
      <c r="C10" s="354" t="str">
        <f>VLOOKUP(A10,'Data Summary'!A:B,2,FALSE)</f>
        <v>GRANITE BIDCO LIMITED</v>
      </c>
      <c r="D10" s="354">
        <f>VLOOKUP(A10,'Ref-Data'!A:I,9,FALSE)</f>
        <v>1</v>
      </c>
      <c r="E10" s="431">
        <f>SUMIF('Prov Code output'!B:B,'Code Results'!A10,'Prov Code output'!AM:AM)</f>
        <v>4468749.95</v>
      </c>
      <c r="F10" s="431">
        <f>VLOOKUP(A10,'Ref-Data'!$A:$C,3,FALSE)</f>
        <v>4468749.95</v>
      </c>
      <c r="G10" s="431">
        <f t="shared" si="0"/>
        <v>0</v>
      </c>
    </row>
    <row r="11" spans="1:7" x14ac:dyDescent="0.25">
      <c r="A11" s="354">
        <v>1100000143</v>
      </c>
      <c r="B11" s="387">
        <f>IF(D11=1,SUMIF('Prov Code output'!B:B,'Code Results'!A11,'Prov Code output'!AK:AK),SUMIF('Prov Code output'!B:B,'Code Results'!A11,'Prov Code output'!AL:AL))</f>
        <v>1772.7806343855</v>
      </c>
      <c r="C11" s="354" t="str">
        <f>VLOOKUP(A11,'Data Summary'!A:B,2,FALSE)</f>
        <v>THORNROSE LIMITED</v>
      </c>
      <c r="D11" s="354">
        <f>VLOOKUP(A11,'Ref-Data'!A:I,9,FALSE)</f>
        <v>1</v>
      </c>
      <c r="E11" s="431">
        <f>SUMIF('Prov Code output'!B:B,'Code Results'!A11,'Prov Code output'!AM:AM)</f>
        <v>206110.05</v>
      </c>
      <c r="F11" s="431">
        <f>VLOOKUP(A11,'Ref-Data'!$A:$C,3,FALSE)</f>
        <v>206110.05</v>
      </c>
      <c r="G11" s="431">
        <f t="shared" si="0"/>
        <v>0</v>
      </c>
    </row>
    <row r="12" spans="1:7" x14ac:dyDescent="0.25">
      <c r="A12" s="354">
        <v>1100000153</v>
      </c>
      <c r="B12" s="387">
        <f>IF(D12=1,SUMIF('Prov Code output'!B:B,'Code Results'!A12,'Prov Code output'!AK:AK),SUMIF('Prov Code output'!B:B,'Code Results'!A12,'Prov Code output'!AL:AL))</f>
        <v>55160.471376536698</v>
      </c>
      <c r="C12" s="354" t="str">
        <f>VLOOKUP(A12,'Data Summary'!A:B,2,FALSE)</f>
        <v>Z CHA HOLDCO LTD</v>
      </c>
      <c r="D12" s="354">
        <f>VLOOKUP(A12,'Ref-Data'!A:I,9,FALSE)</f>
        <v>1</v>
      </c>
      <c r="E12" s="431">
        <f>SUMIF('Prov Code output'!B:B,'Code Results'!A12,'Prov Code output'!AM:AM)</f>
        <v>40245859.899999999</v>
      </c>
      <c r="F12" s="431">
        <f>VLOOKUP(A12,'Ref-Data'!$A:$C,3,FALSE)</f>
        <v>40245859.899999999</v>
      </c>
      <c r="G12" s="431">
        <f t="shared" si="0"/>
        <v>0</v>
      </c>
    </row>
    <row r="13" spans="1:7" x14ac:dyDescent="0.25">
      <c r="A13" s="354">
        <v>1100000151</v>
      </c>
      <c r="B13" s="387">
        <f>IF(D13=1,SUMIF('Prov Code output'!B:B,'Code Results'!A13,'Prov Code output'!AK:AK),SUMIF('Prov Code output'!B:B,'Code Results'!A13,'Prov Code output'!AL:AL))</f>
        <v>4559.4190816851296</v>
      </c>
      <c r="C13" s="354" t="str">
        <f>VLOOKUP(A13,'Data Summary'!A:B,2,FALSE)</f>
        <v>CARE CONCERN MANAGEMENT OA LIMITED (f.k.a. CARE CONCERN (LEEDS) LIMITED)</v>
      </c>
      <c r="D13" s="354">
        <f>VLOOKUP(A13,'Ref-Data'!A:I,9,FALSE)</f>
        <v>1</v>
      </c>
      <c r="E13" s="431">
        <f>SUMIF('Prov Code output'!B:B,'Code Results'!A13,'Prov Code output'!AM:AM)</f>
        <v>16818750</v>
      </c>
      <c r="F13" s="431">
        <f>VLOOKUP(A13,'Ref-Data'!$A:$C,3,FALSE)</f>
        <v>16818750</v>
      </c>
      <c r="G13" s="431">
        <f t="shared" si="0"/>
        <v>0</v>
      </c>
    </row>
    <row r="14" spans="1:7" x14ac:dyDescent="0.25">
      <c r="A14" s="354">
        <v>1100000186</v>
      </c>
      <c r="B14" s="387">
        <f>IF(D14=1,SUMIF('Prov Code output'!B:B,'Code Results'!A14,'Prov Code output'!AK:AK),SUMIF('Prov Code output'!B:B,'Code Results'!A14,'Prov Code output'!AL:AL))</f>
        <v>65.846125401003306</v>
      </c>
      <c r="C14" s="354" t="str">
        <f>VLOOKUP(A14,'Data Summary'!A:B,2,FALSE)</f>
        <v>ONCOREIT LIMITED</v>
      </c>
      <c r="D14" s="354">
        <f>VLOOKUP(A14,'Ref-Data'!A:I,9,FALSE)</f>
        <v>1</v>
      </c>
      <c r="E14" s="431">
        <f>SUMIF('Prov Code output'!B:B,'Code Results'!A14,'Prov Code output'!AM:AM)</f>
        <v>172500</v>
      </c>
      <c r="F14" s="431">
        <f>VLOOKUP(A14,'Ref-Data'!$A:$C,3,FALSE)</f>
        <v>172500</v>
      </c>
      <c r="G14" s="431">
        <f t="shared" si="0"/>
        <v>0</v>
      </c>
    </row>
    <row r="15" spans="1:7" x14ac:dyDescent="0.25">
      <c r="A15" s="354">
        <v>1100000187</v>
      </c>
      <c r="B15" s="387">
        <f>IF(D15=1,SUMIF('Prov Code output'!B:B,'Code Results'!A15,'Prov Code output'!AK:AK),SUMIF('Prov Code output'!B:B,'Code Results'!A15,'Prov Code output'!AL:AL))</f>
        <v>0</v>
      </c>
      <c r="C15" s="354" t="str">
        <f>VLOOKUP(A15,'Data Summary'!A:B,2,FALSE)</f>
        <v>ONCOREIT LIMITED</v>
      </c>
      <c r="D15" s="354">
        <f>VLOOKUP(A15,'Ref-Data'!A:I,9,FALSE)</f>
        <v>1</v>
      </c>
      <c r="E15" s="431">
        <f>SUMIF('Prov Code output'!B:B,'Code Results'!A15,'Prov Code output'!AM:AM)</f>
        <v>0</v>
      </c>
      <c r="F15" s="431">
        <f>VLOOKUP(A15,'Ref-Data'!$A:$C,3,FALSE)</f>
        <v>0</v>
      </c>
      <c r="G15" s="431">
        <f t="shared" si="0"/>
        <v>0</v>
      </c>
    </row>
    <row r="16" spans="1:7" x14ac:dyDescent="0.25">
      <c r="A16" s="354">
        <v>1100000171</v>
      </c>
      <c r="B16" s="387">
        <f>IF(D16=1,SUMIF('Prov Code output'!B:B,'Code Results'!A16,'Prov Code output'!AK:AK),SUMIF('Prov Code output'!B:B,'Code Results'!A16,'Prov Code output'!AL:AL))</f>
        <v>2731.0592433920601</v>
      </c>
      <c r="C16" s="354" t="str">
        <f>VLOOKUP(A16,'Data Summary'!A:B,2,FALSE)</f>
        <v>NINE GATWICK HOTEL LIMITED</v>
      </c>
      <c r="D16" s="354">
        <f>VLOOKUP(A16,'Ref-Data'!A:I,9,FALSE)</f>
        <v>1</v>
      </c>
      <c r="E16" s="431">
        <f>SUMIF('Prov Code output'!B:B,'Code Results'!A16,'Prov Code output'!AM:AM)</f>
        <v>4965593</v>
      </c>
      <c r="F16" s="431">
        <f>VLOOKUP(A16,'Ref-Data'!$A:$C,3,FALSE)</f>
        <v>4965593</v>
      </c>
      <c r="G16" s="431">
        <f t="shared" si="0"/>
        <v>0</v>
      </c>
    </row>
    <row r="17" spans="1:7" x14ac:dyDescent="0.25">
      <c r="A17" s="354">
        <v>1100000223</v>
      </c>
      <c r="B17" s="387">
        <f>IF(D17=1,SUMIF('Prov Code output'!B:B,'Code Results'!A17,'Prov Code output'!AK:AK),SUMIF('Prov Code output'!B:B,'Code Results'!A17,'Prov Code output'!AL:AL))</f>
        <v>4066.3503594537701</v>
      </c>
      <c r="C17" s="354" t="str">
        <f>VLOOKUP(A17,'Data Summary'!A:B,2,FALSE)</f>
        <v>HEATHCOCK COURT PROPERTY LIMITED</v>
      </c>
      <c r="D17" s="354">
        <f>VLOOKUP(A17,'Ref-Data'!A:I,9,FALSE)</f>
        <v>1</v>
      </c>
      <c r="E17" s="431">
        <f>SUMIF('Prov Code output'!B:B,'Code Results'!A17,'Prov Code output'!AM:AM)</f>
        <v>25500000</v>
      </c>
      <c r="F17" s="431">
        <f>VLOOKUP(A17,'Ref-Data'!$A:$C,3,FALSE)</f>
        <v>25500000</v>
      </c>
      <c r="G17" s="431">
        <f t="shared" si="0"/>
        <v>0</v>
      </c>
    </row>
    <row r="18" spans="1:7" x14ac:dyDescent="0.25">
      <c r="A18" s="354">
        <v>1100000185</v>
      </c>
      <c r="B18" s="387">
        <f>IF(D18=1,SUMIF('Prov Code output'!B:B,'Code Results'!A18,'Prov Code output'!AK:AK),SUMIF('Prov Code output'!B:B,'Code Results'!A18,'Prov Code output'!AL:AL))</f>
        <v>228818.11875088501</v>
      </c>
      <c r="C18" s="354" t="str">
        <f>VLOOKUP(A18,'Data Summary'!A:B,2,FALSE)</f>
        <v>LINCOLN PLAZA HOTEL CO LIMITED</v>
      </c>
      <c r="D18" s="354">
        <f>VLOOKUP(A18,'Ref-Data'!A:I,9,FALSE)</f>
        <v>2</v>
      </c>
      <c r="E18" s="431">
        <f>SUMIF('Prov Code output'!B:B,'Code Results'!A18,'Prov Code output'!AM:AM)</f>
        <v>17000000</v>
      </c>
      <c r="F18" s="431">
        <f>VLOOKUP(A18,'Ref-Data'!$A:$C,3,FALSE)</f>
        <v>17000000</v>
      </c>
      <c r="G18" s="431">
        <f t="shared" si="0"/>
        <v>0</v>
      </c>
    </row>
    <row r="19" spans="1:7" x14ac:dyDescent="0.25">
      <c r="A19" s="354">
        <v>1100000152</v>
      </c>
      <c r="B19" s="387">
        <f>IF(D19=1,SUMIF('Prov Code output'!B:B,'Code Results'!A19,'Prov Code output'!AK:AK),SUMIF('Prov Code output'!B:B,'Code Results'!A19,'Prov Code output'!AL:AL))</f>
        <v>44.109440236315002</v>
      </c>
      <c r="C19" s="354" t="str">
        <f>VLOOKUP(A19,'Data Summary'!A:B,2,FALSE)</f>
        <v>CARE CONCERN MANAGEMENT OA LIMITED (f.k.a. CARE CONCERN (LEEDS) LIMITED)</v>
      </c>
      <c r="D19" s="354">
        <f>VLOOKUP(A19,'Ref-Data'!A:I,9,FALSE)</f>
        <v>1</v>
      </c>
      <c r="E19" s="431">
        <f>SUMIF('Prov Code output'!B:B,'Code Results'!A19,'Prov Code output'!AM:AM)</f>
        <v>8561038</v>
      </c>
      <c r="F19" s="431">
        <f>VLOOKUP(A19,'Ref-Data'!$A:$C,3,FALSE)</f>
        <v>8561038</v>
      </c>
      <c r="G19" s="431">
        <f t="shared" si="0"/>
        <v>0</v>
      </c>
    </row>
    <row r="20" spans="1:7" x14ac:dyDescent="0.25">
      <c r="A20" s="354">
        <v>1100000002</v>
      </c>
      <c r="B20" s="387">
        <f>IF(D20=1,SUMIF('Prov Code output'!B:B,'Code Results'!A20,'Prov Code output'!AK:AK),SUMIF('Prov Code output'!B:B,'Code Results'!A20,'Prov Code output'!AL:AL))</f>
        <v>147.60346993450801</v>
      </c>
      <c r="C20" s="354" t="str">
        <f>VLOOKUP(A20,'Data Summary'!A:B,2,FALSE)</f>
        <v>SLATTERS DEVELOPMENT LIMITED</v>
      </c>
      <c r="D20" s="354">
        <f>VLOOKUP(A20,'Ref-Data'!A:I,9,FALSE)</f>
        <v>1</v>
      </c>
      <c r="E20" s="431">
        <f>SUMIF('Prov Code output'!B:B,'Code Results'!A20,'Prov Code output'!AM:AM)</f>
        <v>1713309.8</v>
      </c>
      <c r="F20" s="431">
        <f>VLOOKUP(A20,'Ref-Data'!$A:$C,3,FALSE)</f>
        <v>1713309.8</v>
      </c>
      <c r="G20" s="431">
        <f t="shared" si="0"/>
        <v>0</v>
      </c>
    </row>
    <row r="21" spans="1:7" x14ac:dyDescent="0.25">
      <c r="A21" s="354">
        <v>1100000202</v>
      </c>
      <c r="B21" s="387">
        <f>IF(D21=1,SUMIF('Prov Code output'!B:B,'Code Results'!A21,'Prov Code output'!AK:AK),SUMIF('Prov Code output'!B:B,'Code Results'!A21,'Prov Code output'!AL:AL))</f>
        <v>4724.2455285310598</v>
      </c>
      <c r="C21" s="354" t="str">
        <f>VLOOKUP(A21,'Data Summary'!A:B,2,FALSE)</f>
        <v>ZEAL HOTEL (BRIDGWATER J23) LIMITED</v>
      </c>
      <c r="D21" s="354">
        <f>VLOOKUP(A21,'Ref-Data'!A:I,9,FALSE)</f>
        <v>1</v>
      </c>
      <c r="E21" s="431">
        <f>SUMIF('Prov Code output'!B:B,'Code Results'!A21,'Prov Code output'!AM:AM)</f>
        <v>1875502.42</v>
      </c>
      <c r="F21" s="431">
        <f>VLOOKUP(A21,'Ref-Data'!$A:$C,3,FALSE)</f>
        <v>1875502.42</v>
      </c>
      <c r="G21" s="431">
        <f t="shared" si="0"/>
        <v>0</v>
      </c>
    </row>
    <row r="22" spans="1:7" x14ac:dyDescent="0.25">
      <c r="A22" s="354">
        <v>1100000203</v>
      </c>
      <c r="B22" s="387">
        <f>IF(D22=1,SUMIF('Prov Code output'!B:B,'Code Results'!A22,'Prov Code output'!AK:AK),SUMIF('Prov Code output'!B:B,'Code Results'!A22,'Prov Code output'!AL:AL))</f>
        <v>371.08705849217603</v>
      </c>
      <c r="C22" s="354" t="str">
        <f>VLOOKUP(A22,'Data Summary'!A:B,2,FALSE)</f>
        <v>CASA ITALIAN RESTAURANTS LTD</v>
      </c>
      <c r="D22" s="354">
        <f>VLOOKUP(A22,'Ref-Data'!A:I,9,FALSE)</f>
        <v>1</v>
      </c>
      <c r="E22" s="431">
        <f>SUMIF('Prov Code output'!B:B,'Code Results'!A22,'Prov Code output'!AM:AM)</f>
        <v>420249.57</v>
      </c>
      <c r="F22" s="431">
        <f>VLOOKUP(A22,'Ref-Data'!$A:$C,3,FALSE)</f>
        <v>420249.57</v>
      </c>
      <c r="G22" s="431">
        <f t="shared" si="0"/>
        <v>0</v>
      </c>
    </row>
    <row r="23" spans="1:7" x14ac:dyDescent="0.25">
      <c r="A23" s="354">
        <v>1100000184</v>
      </c>
      <c r="B23" s="387">
        <f>IF(D23=1,SUMIF('Prov Code output'!B:B,'Code Results'!A23,'Prov Code output'!AK:AK),SUMIF('Prov Code output'!B:B,'Code Results'!A23,'Prov Code output'!AL:AL))</f>
        <v>74519.260374617807</v>
      </c>
      <c r="C23" s="354" t="str">
        <f>VLOOKUP(A23,'Data Summary'!A:B,2,FALSE)</f>
        <v>NEPTUNE 789 LIMITED</v>
      </c>
      <c r="D23" s="354">
        <f>VLOOKUP(A23,'Ref-Data'!A:I,9,FALSE)</f>
        <v>1</v>
      </c>
      <c r="E23" s="431">
        <f>SUMIF('Prov Code output'!B:B,'Code Results'!A23,'Prov Code output'!AM:AM)</f>
        <v>5250000</v>
      </c>
      <c r="F23" s="431">
        <f>VLOOKUP(A23,'Ref-Data'!$A:$C,3,FALSE)</f>
        <v>5250000</v>
      </c>
      <c r="G23" s="431">
        <f t="shared" si="0"/>
        <v>0</v>
      </c>
    </row>
    <row r="24" spans="1:7" x14ac:dyDescent="0.25">
      <c r="A24" s="354">
        <v>1100000182</v>
      </c>
      <c r="B24" s="387">
        <f>IF(D24=1,SUMIF('Prov Code output'!B:B,'Code Results'!A24,'Prov Code output'!AK:AK),SUMIF('Prov Code output'!B:B,'Code Results'!A24,'Prov Code output'!AL:AL))</f>
        <v>0</v>
      </c>
      <c r="C24" s="354" t="str">
        <f>VLOOKUP(A24,'Data Summary'!A:B,2,FALSE)</f>
        <v>NEPTUNE 789 LIMITED</v>
      </c>
      <c r="D24" s="354">
        <f>VLOOKUP(A24,'Ref-Data'!A:I,9,FALSE)</f>
        <v>1</v>
      </c>
      <c r="E24" s="431">
        <f>SUMIF('Prov Code output'!B:B,'Code Results'!A24,'Prov Code output'!AM:AM)</f>
        <v>0</v>
      </c>
      <c r="F24" s="431">
        <f>VLOOKUP(A24,'Ref-Data'!$A:$C,3,FALSE)</f>
        <v>0</v>
      </c>
      <c r="G24" s="431">
        <f t="shared" si="0"/>
        <v>0</v>
      </c>
    </row>
    <row r="25" spans="1:7" x14ac:dyDescent="0.25">
      <c r="A25" s="354">
        <v>1100000130</v>
      </c>
      <c r="B25" s="387">
        <f>IF(D25=1,SUMIF('Prov Code output'!B:B,'Code Results'!A25,'Prov Code output'!AK:AK),SUMIF('Prov Code output'!B:B,'Code Results'!A25,'Prov Code output'!AL:AL))</f>
        <v>1977.14345624367</v>
      </c>
      <c r="C25" s="354" t="str">
        <f>VLOOKUP(A25,'Data Summary'!A:B,2,FALSE)</f>
        <v>MOORLANDS HEALTHCARE LIMITED</v>
      </c>
      <c r="D25" s="354">
        <f>VLOOKUP(A25,'Ref-Data'!A:I,9,FALSE)</f>
        <v>1</v>
      </c>
      <c r="E25" s="431">
        <f>SUMIF('Prov Code output'!B:B,'Code Results'!A25,'Prov Code output'!AM:AM)</f>
        <v>2306250</v>
      </c>
      <c r="F25" s="431">
        <f>VLOOKUP(A25,'Ref-Data'!$A:$C,3,FALSE)</f>
        <v>2306250</v>
      </c>
      <c r="G25" s="431">
        <f t="shared" si="0"/>
        <v>0</v>
      </c>
    </row>
    <row r="26" spans="1:7" x14ac:dyDescent="0.25">
      <c r="A26" s="354">
        <v>1100000190</v>
      </c>
      <c r="B26" s="387">
        <f>IF(D26=1,SUMIF('Prov Code output'!B:B,'Code Results'!A26,'Prov Code output'!AK:AK),SUMIF('Prov Code output'!B:B,'Code Results'!A26,'Prov Code output'!AL:AL))</f>
        <v>23272.796752348499</v>
      </c>
      <c r="C26" s="354" t="str">
        <f>VLOOKUP(A26,'Data Summary'!A:B,2,FALSE)</f>
        <v>AP BRISTOL NUMBER 3 LIMITED</v>
      </c>
      <c r="D26" s="354">
        <f>VLOOKUP(A26,'Ref-Data'!A:I,9,FALSE)</f>
        <v>1</v>
      </c>
      <c r="E26" s="431">
        <f>SUMIF('Prov Code output'!B:B,'Code Results'!A26,'Prov Code output'!AM:AM)</f>
        <v>16000000</v>
      </c>
      <c r="F26" s="431">
        <f>VLOOKUP(A26,'Ref-Data'!$A:$C,3,FALSE)</f>
        <v>16000000</v>
      </c>
      <c r="G26" s="431">
        <f t="shared" si="0"/>
        <v>0</v>
      </c>
    </row>
    <row r="27" spans="1:7" x14ac:dyDescent="0.25">
      <c r="A27" s="354">
        <v>1100000191</v>
      </c>
      <c r="B27" s="387">
        <f>IF(D27=1,SUMIF('Prov Code output'!B:B,'Code Results'!A27,'Prov Code output'!AK:AK),SUMIF('Prov Code output'!B:B,'Code Results'!A27,'Prov Code output'!AL:AL))</f>
        <v>0</v>
      </c>
      <c r="C27" s="354" t="str">
        <f>VLOOKUP(A27,'Data Summary'!A:B,2,FALSE)</f>
        <v>AP BRISTOL NUMBER 3 LIMITED</v>
      </c>
      <c r="D27" s="354">
        <f>VLOOKUP(A27,'Ref-Data'!A:I,9,FALSE)</f>
        <v>1</v>
      </c>
      <c r="E27" s="431">
        <f>SUMIF('Prov Code output'!B:B,'Code Results'!A27,'Prov Code output'!AM:AM)</f>
        <v>0</v>
      </c>
      <c r="F27" s="431">
        <f>VLOOKUP(A27,'Ref-Data'!$A:$C,3,FALSE)</f>
        <v>0</v>
      </c>
      <c r="G27" s="431">
        <f t="shared" si="0"/>
        <v>0</v>
      </c>
    </row>
    <row r="28" spans="1:7" x14ac:dyDescent="0.25">
      <c r="A28" s="354">
        <v>1100000004</v>
      </c>
      <c r="B28" s="387">
        <f>IF(D28=1,SUMIF('Prov Code output'!B:B,'Code Results'!A28,'Prov Code output'!AK:AK),SUMIF('Prov Code output'!B:B,'Code Results'!A28,'Prov Code output'!AL:AL))</f>
        <v>1178.16972326166</v>
      </c>
      <c r="C28" s="354" t="str">
        <f>VLOOKUP(A28,'Data Summary'!A:B,2,FALSE)</f>
        <v>BASIL JAMES DEMEROUTIS</v>
      </c>
      <c r="D28" s="354">
        <f>VLOOKUP(A28,'Ref-Data'!A:I,9,FALSE)</f>
        <v>1</v>
      </c>
      <c r="E28" s="431">
        <f>SUMIF('Prov Code output'!B:B,'Code Results'!A28,'Prov Code output'!AM:AM)</f>
        <v>1254060</v>
      </c>
      <c r="F28" s="431">
        <f>VLOOKUP(A28,'Ref-Data'!$A:$C,3,FALSE)</f>
        <v>1254060</v>
      </c>
      <c r="G28" s="431">
        <f t="shared" si="0"/>
        <v>0</v>
      </c>
    </row>
    <row r="29" spans="1:7" x14ac:dyDescent="0.25">
      <c r="A29" s="354">
        <v>1100000005</v>
      </c>
      <c r="B29" s="387">
        <f>IF(D29=1,SUMIF('Prov Code output'!B:B,'Code Results'!A29,'Prov Code output'!AK:AK),SUMIF('Prov Code output'!B:B,'Code Results'!A29,'Prov Code output'!AL:AL))</f>
        <v>1708.3050829987801</v>
      </c>
      <c r="C29" s="354" t="str">
        <f>VLOOKUP(A29,'Data Summary'!A:B,2,FALSE)</f>
        <v>KHALIDA KHALID</v>
      </c>
      <c r="D29" s="354">
        <f>VLOOKUP(A29,'Ref-Data'!A:I,9,FALSE)</f>
        <v>1</v>
      </c>
      <c r="E29" s="431">
        <f>SUMIF('Prov Code output'!B:B,'Code Results'!A29,'Prov Code output'!AM:AM)</f>
        <v>1865639.33</v>
      </c>
      <c r="F29" s="431">
        <f>VLOOKUP(A29,'Ref-Data'!$A:$C,3,FALSE)</f>
        <v>1865639.33</v>
      </c>
      <c r="G29" s="431">
        <f t="shared" si="0"/>
        <v>0</v>
      </c>
    </row>
    <row r="30" spans="1:7" x14ac:dyDescent="0.25">
      <c r="A30" s="354">
        <v>1200000152</v>
      </c>
      <c r="B30" s="387">
        <f>IF(D30=1,SUMIF('Prov Code output'!B:B,'Code Results'!A30,'Prov Code output'!AK:AK),SUMIF('Prov Code output'!B:B,'Code Results'!A30,'Prov Code output'!AL:AL))</f>
        <v>7749.0201959825899</v>
      </c>
      <c r="C30" s="354" t="str">
        <f>VLOOKUP(A30,'Data Summary'!A:B,2,FALSE)</f>
        <v>INN COLLECTION BIDCO LIMITED</v>
      </c>
      <c r="D30" s="354">
        <f>VLOOKUP(A30,'Ref-Data'!A:I,9,FALSE)</f>
        <v>1</v>
      </c>
      <c r="E30" s="431">
        <f>SUMIF('Prov Code output'!B:B,'Code Results'!A30,'Prov Code output'!AM:AM)</f>
        <v>3500000</v>
      </c>
      <c r="F30" s="431">
        <f>VLOOKUP(A30,'Ref-Data'!$A:$C,3,FALSE)</f>
        <v>3500000</v>
      </c>
      <c r="G30" s="431">
        <f t="shared" si="0"/>
        <v>0</v>
      </c>
    </row>
    <row r="31" spans="1:7" x14ac:dyDescent="0.25">
      <c r="A31" s="354">
        <v>1200000128</v>
      </c>
      <c r="B31" s="387">
        <f>IF(D31=1,SUMIF('Prov Code output'!B:B,'Code Results'!A31,'Prov Code output'!AK:AK),SUMIF('Prov Code output'!B:B,'Code Results'!A31,'Prov Code output'!AL:AL))</f>
        <v>3472.5729620879802</v>
      </c>
      <c r="C31" s="354" t="str">
        <f>VLOOKUP(A31,'Data Summary'!A:B,2,FALSE)</f>
        <v>+VENTURE BATTERSEA LIMITED</v>
      </c>
      <c r="D31" s="354">
        <f>VLOOKUP(A31,'Ref-Data'!A:I,9,FALSE)</f>
        <v>1</v>
      </c>
      <c r="E31" s="431">
        <f>SUMIF('Prov Code output'!B:B,'Code Results'!A31,'Prov Code output'!AM:AM)</f>
        <v>1027839.57</v>
      </c>
      <c r="F31" s="431">
        <f>VLOOKUP(A31,'Ref-Data'!$A:$C,3,FALSE)</f>
        <v>1027839.57</v>
      </c>
      <c r="G31" s="431">
        <f t="shared" si="0"/>
        <v>0</v>
      </c>
    </row>
    <row r="32" spans="1:7" x14ac:dyDescent="0.25">
      <c r="A32" s="354">
        <v>1200000130</v>
      </c>
      <c r="B32" s="387">
        <f>IF(D32=1,SUMIF('Prov Code output'!B:B,'Code Results'!A32,'Prov Code output'!AK:AK),SUMIF('Prov Code output'!B:B,'Code Results'!A32,'Prov Code output'!AL:AL))</f>
        <v>6662.3021213001703</v>
      </c>
      <c r="C32" s="354" t="str">
        <f>VLOOKUP(A32,'Data Summary'!A:B,2,FALSE)</f>
        <v>+VENTURE BATTERSEA LIMITED</v>
      </c>
      <c r="D32" s="354">
        <f>VLOOKUP(A32,'Ref-Data'!A:I,9,FALSE)</f>
        <v>1</v>
      </c>
      <c r="E32" s="431">
        <f>SUMIF('Prov Code output'!B:B,'Code Results'!A32,'Prov Code output'!AM:AM)</f>
        <v>1974999.96</v>
      </c>
      <c r="F32" s="431">
        <f>VLOOKUP(A32,'Ref-Data'!$A:$C,3,FALSE)</f>
        <v>1974999.96</v>
      </c>
      <c r="G32" s="431">
        <f t="shared" si="0"/>
        <v>0</v>
      </c>
    </row>
    <row r="33" spans="1:7" x14ac:dyDescent="0.25">
      <c r="A33" s="354">
        <v>1200000001</v>
      </c>
      <c r="B33" s="387">
        <f>IF(D33=1,SUMIF('Prov Code output'!B:B,'Code Results'!A33,'Prov Code output'!AK:AK),SUMIF('Prov Code output'!B:B,'Code Results'!A33,'Prov Code output'!AL:AL))</f>
        <v>361.50206447696399</v>
      </c>
      <c r="C33" s="354" t="str">
        <f>VLOOKUP(A33,'Data Summary'!A:B,2,FALSE)</f>
        <v>CASA ITALIAN RESTAURANTS LTD</v>
      </c>
      <c r="D33" s="354">
        <f>VLOOKUP(A33,'Ref-Data'!A:I,9,FALSE)</f>
        <v>1</v>
      </c>
      <c r="E33" s="431">
        <f>SUMIF('Prov Code output'!B:B,'Code Results'!A33,'Prov Code output'!AM:AM)</f>
        <v>529567.98</v>
      </c>
      <c r="F33" s="431">
        <f>VLOOKUP(A33,'Ref-Data'!$A:$C,3,FALSE)</f>
        <v>529567.98</v>
      </c>
      <c r="G33" s="431">
        <f t="shared" si="0"/>
        <v>0</v>
      </c>
    </row>
    <row r="34" spans="1:7" x14ac:dyDescent="0.25">
      <c r="A34" s="354">
        <v>1200000131</v>
      </c>
      <c r="B34" s="387">
        <f>IF(D34=1,SUMIF('Prov Code output'!B:B,'Code Results'!A34,'Prov Code output'!AK:AK),SUMIF('Prov Code output'!B:B,'Code Results'!A34,'Prov Code output'!AL:AL))</f>
        <v>8992.3257085140995</v>
      </c>
      <c r="C34" s="354" t="str">
        <f>VLOOKUP(A34,'Data Summary'!A:B,2,FALSE)</f>
        <v>NINE GATWICK HOTEL LIMITED</v>
      </c>
      <c r="D34" s="354">
        <f>VLOOKUP(A34,'Ref-Data'!A:I,9,FALSE)</f>
        <v>1</v>
      </c>
      <c r="E34" s="431">
        <f>SUMIF('Prov Code output'!B:B,'Code Results'!A34,'Prov Code output'!AM:AM)</f>
        <v>4262424.9000000004</v>
      </c>
      <c r="F34" s="431">
        <f>VLOOKUP(A34,'Ref-Data'!$A:$C,3,FALSE)</f>
        <v>4262424.9000000004</v>
      </c>
      <c r="G34" s="431">
        <f t="shared" si="0"/>
        <v>0</v>
      </c>
    </row>
    <row r="35" spans="1:7" x14ac:dyDescent="0.25">
      <c r="A35" s="354">
        <v>1200000149</v>
      </c>
      <c r="B35" s="387">
        <f>IF(D35=1,SUMIF('Prov Code output'!B:B,'Code Results'!A35,'Prov Code output'!AK:AK),SUMIF('Prov Code output'!B:B,'Code Results'!A35,'Prov Code output'!AL:AL))</f>
        <v>1918.52249801779</v>
      </c>
      <c r="C35" s="354" t="str">
        <f>VLOOKUP(A35,'Data Summary'!A:B,2,FALSE)</f>
        <v>INCEPTION VENTURES GROUP LIMITED &amp; BEDFORD STREET BAR TRADING LIMITED &amp; NEWMAN STREET BAR TRADING LIMITED &amp; BROADGATE CIRCLE  BAR TRADING LIMITED</v>
      </c>
      <c r="D35" s="354">
        <f>VLOOKUP(A35,'Ref-Data'!A:I,9,FALSE)</f>
        <v>1</v>
      </c>
      <c r="E35" s="431">
        <f>SUMIF('Prov Code output'!B:B,'Code Results'!A35,'Prov Code output'!AM:AM)</f>
        <v>998648</v>
      </c>
      <c r="F35" s="431">
        <f>VLOOKUP(A35,'Ref-Data'!$A:$C,3,FALSE)</f>
        <v>998648</v>
      </c>
      <c r="G35" s="431">
        <f t="shared" si="0"/>
        <v>0</v>
      </c>
    </row>
    <row r="36" spans="1:7" x14ac:dyDescent="0.25">
      <c r="A36" s="354">
        <v>1200000148</v>
      </c>
      <c r="B36" s="387">
        <f>IF(D36=1,SUMIF('Prov Code output'!B:B,'Code Results'!A36,'Prov Code output'!AK:AK),SUMIF('Prov Code output'!B:B,'Code Results'!A36,'Prov Code output'!AL:AL))</f>
        <v>3970.4825386981902</v>
      </c>
      <c r="C36" s="354" t="str">
        <f>VLOOKUP(A36,'Data Summary'!A:B,2,FALSE)</f>
        <v>INCEPTION VENTURES GROUP LIMITED &amp; BEDFORD STREET BAR TRADING LIMITED &amp; NEWMAN STREET BAR TRADING LIMITED &amp; BROADGATE CIRCLE  BAR TRADING LIMITED</v>
      </c>
      <c r="D36" s="354">
        <f>VLOOKUP(A36,'Ref-Data'!A:I,9,FALSE)</f>
        <v>1</v>
      </c>
      <c r="E36" s="431">
        <f>SUMIF('Prov Code output'!B:B,'Code Results'!A36,'Prov Code output'!AM:AM)</f>
        <v>2000000</v>
      </c>
      <c r="F36" s="431">
        <f>VLOOKUP(A36,'Ref-Data'!$A:$C,3,FALSE)</f>
        <v>2000000</v>
      </c>
      <c r="G36" s="431">
        <f t="shared" si="0"/>
        <v>0</v>
      </c>
    </row>
    <row r="37" spans="1:7" x14ac:dyDescent="0.25">
      <c r="A37" s="354">
        <v>1200000125</v>
      </c>
      <c r="B37" s="387">
        <f>IF(D37=1,SUMIF('Prov Code output'!B:B,'Code Results'!A37,'Prov Code output'!AK:AK),SUMIF('Prov Code output'!B:B,'Code Results'!A37,'Prov Code output'!AL:AL))</f>
        <v>8250.3718681712107</v>
      </c>
      <c r="C37" s="354" t="str">
        <f>VLOOKUP(A37,'Data Summary'!A:B,2,FALSE)</f>
        <v>DAISY GREEN FOOD LIMITED</v>
      </c>
      <c r="D37" s="354">
        <f>VLOOKUP(A37,'Ref-Data'!A:I,9,FALSE)</f>
        <v>1</v>
      </c>
      <c r="E37" s="431">
        <f>SUMIF('Prov Code output'!B:B,'Code Results'!A37,'Prov Code output'!AM:AM)</f>
        <v>980000</v>
      </c>
      <c r="F37" s="431">
        <f>VLOOKUP(A37,'Ref-Data'!$A:$C,3,FALSE)</f>
        <v>980000</v>
      </c>
      <c r="G37" s="431">
        <f t="shared" si="0"/>
        <v>0</v>
      </c>
    </row>
    <row r="38" spans="1:7" x14ac:dyDescent="0.25">
      <c r="A38" s="354">
        <v>1200000124</v>
      </c>
      <c r="B38" s="387">
        <f>IF(D38=1,SUMIF('Prov Code output'!B:B,'Code Results'!A38,'Prov Code output'!AK:AK),SUMIF('Prov Code output'!B:B,'Code Results'!A38,'Prov Code output'!AL:AL))</f>
        <v>6323.8966273768501</v>
      </c>
      <c r="C38" s="354" t="str">
        <f>VLOOKUP(A38,'Data Summary'!A:B,2,FALSE)</f>
        <v>DAISY GREEN FOOD LIMITED</v>
      </c>
      <c r="D38" s="354">
        <f>VLOOKUP(A38,'Ref-Data'!A:I,9,FALSE)</f>
        <v>1</v>
      </c>
      <c r="E38" s="431">
        <f>SUMIF('Prov Code output'!B:B,'Code Results'!A38,'Prov Code output'!AM:AM)</f>
        <v>750000</v>
      </c>
      <c r="F38" s="431">
        <f>VLOOKUP(A38,'Ref-Data'!$A:$C,3,FALSE)</f>
        <v>750000</v>
      </c>
      <c r="G38" s="431">
        <f t="shared" si="0"/>
        <v>0</v>
      </c>
    </row>
    <row r="39" spans="1:7" x14ac:dyDescent="0.25">
      <c r="A39" s="354">
        <v>1200000127</v>
      </c>
      <c r="B39" s="387">
        <f>IF(D39=1,SUMIF('Prov Code output'!B:B,'Code Results'!A39,'Prov Code output'!AK:AK),SUMIF('Prov Code output'!B:B,'Code Results'!A39,'Prov Code output'!AL:AL))</f>
        <v>7602.6150420724698</v>
      </c>
      <c r="C39" s="354" t="str">
        <f>VLOOKUP(A39,'Data Summary'!A:B,2,FALSE)</f>
        <v>DAISY GREEN FOOD LIMITED</v>
      </c>
      <c r="D39" s="354">
        <f>VLOOKUP(A39,'Ref-Data'!A:I,9,FALSE)</f>
        <v>1</v>
      </c>
      <c r="E39" s="431">
        <f>SUMIF('Prov Code output'!B:B,'Code Results'!A39,'Prov Code output'!AM:AM)</f>
        <v>902500</v>
      </c>
      <c r="F39" s="431">
        <f>VLOOKUP(A39,'Ref-Data'!$A:$C,3,FALSE)</f>
        <v>902500</v>
      </c>
      <c r="G39" s="431">
        <f t="shared" si="0"/>
        <v>0</v>
      </c>
    </row>
    <row r="40" spans="1:7" x14ac:dyDescent="0.25">
      <c r="A40" s="354">
        <v>1200000132</v>
      </c>
      <c r="B40" s="387">
        <f>IF(D40=1,SUMIF('Prov Code output'!B:B,'Code Results'!A40,'Prov Code output'!AK:AK),SUMIF('Prov Code output'!B:B,'Code Results'!A40,'Prov Code output'!AL:AL))</f>
        <v>103290.94019281599</v>
      </c>
      <c r="C40" s="354" t="str">
        <f>VLOOKUP(A40,'Data Summary'!A:B,2,FALSE)</f>
        <v>SBH PARK HOLDING LIMITED</v>
      </c>
      <c r="D40" s="354">
        <f>VLOOKUP(A40,'Ref-Data'!A:I,9,FALSE)</f>
        <v>1</v>
      </c>
      <c r="E40" s="431">
        <f>SUMIF('Prov Code output'!B:B,'Code Results'!A40,'Prov Code output'!AM:AM)</f>
        <v>3634267.09</v>
      </c>
      <c r="F40" s="431">
        <f>VLOOKUP(A40,'Ref-Data'!$A:$C,3,FALSE)</f>
        <v>3634267.09</v>
      </c>
      <c r="G40" s="431">
        <f t="shared" si="0"/>
        <v>0</v>
      </c>
    </row>
    <row r="41" spans="1:7" x14ac:dyDescent="0.25">
      <c r="A41" s="354">
        <v>1200000133</v>
      </c>
      <c r="B41" s="387">
        <f>IF(D41=1,SUMIF('Prov Code output'!B:B,'Code Results'!A41,'Prov Code output'!AK:AK),SUMIF('Prov Code output'!B:B,'Code Results'!A41,'Prov Code output'!AL:AL))</f>
        <v>635.46841712867695</v>
      </c>
      <c r="C41" s="354" t="str">
        <f>VLOOKUP(A41,'Data Summary'!A:B,2,FALSE)</f>
        <v>LEISURE AND HOTEL INVESTMENTS LIMITED AND BIKE AND BOOT INNS LIMITED</v>
      </c>
      <c r="D41" s="354">
        <f>VLOOKUP(A41,'Ref-Data'!A:I,9,FALSE)</f>
        <v>1</v>
      </c>
      <c r="E41" s="431">
        <f>SUMIF('Prov Code output'!B:B,'Code Results'!A41,'Prov Code output'!AM:AM)</f>
        <v>500000</v>
      </c>
      <c r="F41" s="431">
        <f>VLOOKUP(A41,'Ref-Data'!$A:$C,3,FALSE)</f>
        <v>500000</v>
      </c>
      <c r="G41" s="431">
        <f t="shared" si="0"/>
        <v>0</v>
      </c>
    </row>
    <row r="42" spans="1:7" x14ac:dyDescent="0.25">
      <c r="A42" s="354">
        <v>1200000134</v>
      </c>
      <c r="B42" s="387">
        <f>IF(D42=1,SUMIF('Prov Code output'!B:B,'Code Results'!A42,'Prov Code output'!AK:AK),SUMIF('Prov Code output'!B:B,'Code Results'!A42,'Prov Code output'!AL:AL))</f>
        <v>620.21529407904598</v>
      </c>
      <c r="C42" s="354" t="str">
        <f>VLOOKUP(A42,'Data Summary'!A:B,2,FALSE)</f>
        <v>LEISURE AND HOTEL INVESTMENTS LIMITED AND BIKE AND BOOT INNS LIMITED</v>
      </c>
      <c r="D42" s="354">
        <f>VLOOKUP(A42,'Ref-Data'!A:I,9,FALSE)</f>
        <v>1</v>
      </c>
      <c r="E42" s="431">
        <f>SUMIF('Prov Code output'!B:B,'Code Results'!A42,'Prov Code output'!AM:AM)</f>
        <v>487998.51</v>
      </c>
      <c r="F42" s="431">
        <f>VLOOKUP(A42,'Ref-Data'!$A:$C,3,FALSE)</f>
        <v>487998.51</v>
      </c>
      <c r="G42" s="431">
        <f t="shared" si="0"/>
        <v>0</v>
      </c>
    </row>
    <row r="43" spans="1:7" x14ac:dyDescent="0.25">
      <c r="A43" s="354">
        <v>1200000157</v>
      </c>
      <c r="B43" s="387">
        <f>IF(D43=1,SUMIF('Prov Code output'!B:B,'Code Results'!A43,'Prov Code output'!AK:AK),SUMIF('Prov Code output'!B:B,'Code Results'!A43,'Prov Code output'!AL:AL))</f>
        <v>8046.0539684198202</v>
      </c>
      <c r="C43" s="354" t="str">
        <f>VLOOKUP(A43,'Data Summary'!A:B,2,FALSE)</f>
        <v>OTTOLENGHI LIMITED</v>
      </c>
      <c r="D43" s="354">
        <f>VLOOKUP(A43,'Ref-Data'!A:I,9,FALSE)</f>
        <v>1</v>
      </c>
      <c r="E43" s="431">
        <f>SUMIF('Prov Code output'!B:B,'Code Results'!A43,'Prov Code output'!AM:AM)</f>
        <v>1882882.88</v>
      </c>
      <c r="F43" s="431">
        <f>VLOOKUP(A43,'Ref-Data'!$A:$C,3,FALSE)</f>
        <v>1882882.88</v>
      </c>
      <c r="G43" s="431">
        <f t="shared" si="0"/>
        <v>0</v>
      </c>
    </row>
    <row r="44" spans="1:7" x14ac:dyDescent="0.25">
      <c r="A44" s="354">
        <v>1200000002</v>
      </c>
      <c r="B44" s="387">
        <f>IF(D44=1,SUMIF('Prov Code output'!B:B,'Code Results'!A44,'Prov Code output'!AK:AK),SUMIF('Prov Code output'!B:B,'Code Results'!A44,'Prov Code output'!AL:AL))</f>
        <v>13842.822902845201</v>
      </c>
      <c r="C44" s="354" t="str">
        <f>VLOOKUP(A44,'Data Summary'!A:B,2,FALSE)</f>
        <v>STAYCITY INVESTMENTS LIMITED</v>
      </c>
      <c r="D44" s="354">
        <f>VLOOKUP(A44,'Ref-Data'!A:I,9,FALSE)</f>
        <v>1</v>
      </c>
      <c r="E44" s="431">
        <f>SUMIF('Prov Code output'!B:B,'Code Results'!A44,'Prov Code output'!AM:AM)</f>
        <v>15000000</v>
      </c>
      <c r="F44" s="431">
        <f>VLOOKUP(A44,'Ref-Data'!$A:$C,3,FALSE)</f>
        <v>15000000</v>
      </c>
      <c r="G44" s="431">
        <f t="shared" si="0"/>
        <v>0</v>
      </c>
    </row>
    <row r="45" spans="1:7" x14ac:dyDescent="0.25">
      <c r="A45" s="354">
        <v>1100000225</v>
      </c>
      <c r="B45" s="387">
        <f>IF(D45=1,SUMIF('Prov Code output'!B:B,'Code Results'!A45,'Prov Code output'!AK:AK),SUMIF('Prov Code output'!B:B,'Code Results'!A45,'Prov Code output'!AL:AL))</f>
        <v>13842.8228951705</v>
      </c>
      <c r="C45" s="354" t="str">
        <f>VLOOKUP(A45,'Data Summary'!A:B,2,FALSE)</f>
        <v>STAYCITY INVESTMENTS LIMITED</v>
      </c>
      <c r="D45" s="354">
        <f>VLOOKUP(A45,'Ref-Data'!A:I,9,FALSE)</f>
        <v>1</v>
      </c>
      <c r="E45" s="431">
        <f>SUMIF('Prov Code output'!B:B,'Code Results'!A45,'Prov Code output'!AM:AM)</f>
        <v>15000000</v>
      </c>
      <c r="F45" s="431">
        <f>VLOOKUP(A45,'Ref-Data'!$A:$C,3,FALSE)</f>
        <v>15000000</v>
      </c>
      <c r="G45" s="431">
        <f t="shared" si="0"/>
        <v>0</v>
      </c>
    </row>
    <row r="46" spans="1:7" x14ac:dyDescent="0.25">
      <c r="A46" s="354">
        <v>1100000111</v>
      </c>
      <c r="B46" s="387">
        <f>IF(D46=1,SUMIF('Prov Code output'!B:B,'Code Results'!A46,'Prov Code output'!AK:AK),SUMIF('Prov Code output'!B:B,'Code Results'!A46,'Prov Code output'!AL:AL))</f>
        <v>1339.74332675553</v>
      </c>
      <c r="C46" s="354" t="str">
        <f>VLOOKUP(A46,'Data Summary'!A:B,2,FALSE)</f>
        <v>REMSONS HOLDINGS LTD</v>
      </c>
      <c r="D46" s="354">
        <f>VLOOKUP(A46,'Ref-Data'!A:I,9,FALSE)</f>
        <v>1</v>
      </c>
      <c r="E46" s="431">
        <f>SUMIF('Prov Code output'!B:B,'Code Results'!A46,'Prov Code output'!AM:AM)</f>
        <v>1000000</v>
      </c>
      <c r="F46" s="431">
        <f>VLOOKUP(A46,'Ref-Data'!$A:$C,3,FALSE)</f>
        <v>1000000</v>
      </c>
      <c r="G46" s="431">
        <f t="shared" si="0"/>
        <v>0</v>
      </c>
    </row>
    <row r="47" spans="1:7" x14ac:dyDescent="0.25">
      <c r="A47" s="354">
        <v>1100000110</v>
      </c>
      <c r="B47" s="387">
        <f>IF(D47=1,SUMIF('Prov Code output'!B:B,'Code Results'!A47,'Prov Code output'!AK:AK),SUMIF('Prov Code output'!B:B,'Code Results'!A47,'Prov Code output'!AL:AL))</f>
        <v>276.71920815177901</v>
      </c>
      <c r="C47" s="354" t="str">
        <f>VLOOKUP(A47,'Data Summary'!A:B,2,FALSE)</f>
        <v>REMSONS HOLDINGS LTD</v>
      </c>
      <c r="D47" s="354">
        <f>VLOOKUP(A47,'Ref-Data'!A:I,9,FALSE)</f>
        <v>1</v>
      </c>
      <c r="E47" s="431">
        <f>SUMIF('Prov Code output'!B:B,'Code Results'!A47,'Prov Code output'!AM:AM)</f>
        <v>340000</v>
      </c>
      <c r="F47" s="431">
        <f>VLOOKUP(A47,'Ref-Data'!$A:$C,3,FALSE)</f>
        <v>340000</v>
      </c>
      <c r="G47" s="431">
        <f t="shared" si="0"/>
        <v>0</v>
      </c>
    </row>
    <row r="48" spans="1:7" x14ac:dyDescent="0.25">
      <c r="A48" s="354">
        <v>1200000147</v>
      </c>
      <c r="B48" s="387">
        <f>IF(D48=1,SUMIF('Prov Code output'!B:B,'Code Results'!A48,'Prov Code output'!AK:AK),SUMIF('Prov Code output'!B:B,'Code Results'!A48,'Prov Code output'!AL:AL))</f>
        <v>12307.9629461887</v>
      </c>
      <c r="C48" s="354" t="str">
        <f>VLOOKUP(A48,'Data Summary'!A:B,2,FALSE)</f>
        <v>ZEAL HOTEL (BRIDGWATER J23) LIMITED</v>
      </c>
      <c r="D48" s="354">
        <f>VLOOKUP(A48,'Ref-Data'!A:I,9,FALSE)</f>
        <v>1</v>
      </c>
      <c r="E48" s="431">
        <f>SUMIF('Prov Code output'!B:B,'Code Results'!A48,'Prov Code output'!AM:AM)</f>
        <v>4762825.24</v>
      </c>
      <c r="F48" s="431">
        <f>VLOOKUP(A48,'Ref-Data'!$A:$C,3,FALSE)</f>
        <v>4762825.24</v>
      </c>
      <c r="G48" s="431">
        <f t="shared" si="0"/>
        <v>0</v>
      </c>
    </row>
    <row r="49" spans="1:7" x14ac:dyDescent="0.25">
      <c r="A49" s="354">
        <v>1200000146</v>
      </c>
      <c r="B49" s="387">
        <f>IF(D49=1,SUMIF('Prov Code output'!B:B,'Code Results'!A49,'Prov Code output'!AK:AK),SUMIF('Prov Code output'!B:B,'Code Results'!A49,'Prov Code output'!AL:AL))</f>
        <v>3754.0356238977602</v>
      </c>
      <c r="C49" s="354" t="str">
        <f>VLOOKUP(A49,'Data Summary'!A:B,2,FALSE)</f>
        <v>WHISKEY (BIDCO) LIMITED</v>
      </c>
      <c r="D49" s="354">
        <f>VLOOKUP(A49,'Ref-Data'!A:I,9,FALSE)</f>
        <v>1</v>
      </c>
      <c r="E49" s="431">
        <f>SUMIF('Prov Code output'!B:B,'Code Results'!A49,'Prov Code output'!AM:AM)</f>
        <v>2100000</v>
      </c>
      <c r="F49" s="431">
        <f>VLOOKUP(A49,'Ref-Data'!$A:$C,3,FALSE)</f>
        <v>2100000</v>
      </c>
      <c r="G49" s="431">
        <f t="shared" si="0"/>
        <v>0</v>
      </c>
    </row>
    <row r="50" spans="1:7" x14ac:dyDescent="0.25">
      <c r="A50" s="354">
        <v>1200000116</v>
      </c>
      <c r="B50" s="387">
        <f>IF(D50=1,SUMIF('Prov Code output'!B:B,'Code Results'!A50,'Prov Code output'!AK:AK),SUMIF('Prov Code output'!B:B,'Code Results'!A50,'Prov Code output'!AL:AL))</f>
        <v>175.30353617594801</v>
      </c>
      <c r="C50" s="354" t="str">
        <f>VLOOKUP(A50,'Data Summary'!A:B,2,FALSE)</f>
        <v>CONSTANT EQUITY ALPHA LIMITED</v>
      </c>
      <c r="D50" s="354">
        <f>VLOOKUP(A50,'Ref-Data'!A:I,9,FALSE)</f>
        <v>1</v>
      </c>
      <c r="E50" s="431">
        <f>SUMIF('Prov Code output'!B:B,'Code Results'!A50,'Prov Code output'!AM:AM)</f>
        <v>405001</v>
      </c>
      <c r="F50" s="431">
        <f>VLOOKUP(A50,'Ref-Data'!$A:$C,3,FALSE)</f>
        <v>405001</v>
      </c>
      <c r="G50" s="431">
        <f t="shared" si="0"/>
        <v>0</v>
      </c>
    </row>
    <row r="51" spans="1:7" x14ac:dyDescent="0.25">
      <c r="A51" s="354">
        <v>1200000105</v>
      </c>
      <c r="B51" s="387">
        <f>IF(D51=1,SUMIF('Prov Code output'!B:B,'Code Results'!A51,'Prov Code output'!AK:AK),SUMIF('Prov Code output'!B:B,'Code Results'!A51,'Prov Code output'!AL:AL))</f>
        <v>121.79743352539199</v>
      </c>
      <c r="C51" s="354" t="str">
        <f>VLOOKUP(A51,'Data Summary'!A:B,2,FALSE)</f>
        <v>ASHTON YATES LTD</v>
      </c>
      <c r="D51" s="354">
        <f>VLOOKUP(A51,'Ref-Data'!A:I,9,FALSE)</f>
        <v>1</v>
      </c>
      <c r="E51" s="431">
        <f>SUMIF('Prov Code output'!B:B,'Code Results'!A51,'Prov Code output'!AM:AM)</f>
        <v>1713000.72</v>
      </c>
      <c r="F51" s="431">
        <f>VLOOKUP(A51,'Ref-Data'!$A:$C,3,FALSE)</f>
        <v>1713000.72</v>
      </c>
      <c r="G51" s="431">
        <f t="shared" si="0"/>
        <v>0</v>
      </c>
    </row>
    <row r="52" spans="1:7" x14ac:dyDescent="0.25">
      <c r="A52" s="354">
        <v>1200000106</v>
      </c>
      <c r="B52" s="387">
        <f>IF(D52=1,SUMIF('Prov Code output'!B:B,'Code Results'!A52,'Prov Code output'!AK:AK),SUMIF('Prov Code output'!B:B,'Code Results'!A52,'Prov Code output'!AL:AL))</f>
        <v>167651.19285157701</v>
      </c>
      <c r="C52" s="354" t="str">
        <f>VLOOKUP(A52,'Data Summary'!A:B,2,FALSE)</f>
        <v>VISTA BIDCO LIMITED</v>
      </c>
      <c r="D52" s="354">
        <f>VLOOKUP(A52,'Ref-Data'!A:I,9,FALSE)</f>
        <v>1</v>
      </c>
      <c r="E52" s="431">
        <f>SUMIF('Prov Code output'!B:B,'Code Results'!A52,'Prov Code output'!AM:AM)</f>
        <v>4156853.67</v>
      </c>
      <c r="F52" s="431">
        <f>VLOOKUP(A52,'Ref-Data'!$A:$C,3,FALSE)</f>
        <v>4156853.67</v>
      </c>
      <c r="G52" s="431">
        <f t="shared" si="0"/>
        <v>0</v>
      </c>
    </row>
    <row r="53" spans="1:7" x14ac:dyDescent="0.25">
      <c r="A53" s="354">
        <v>1200000135</v>
      </c>
      <c r="B53" s="387">
        <f>IF(D53=1,SUMIF('Prov Code output'!B:B,'Code Results'!A53,'Prov Code output'!AK:AK),SUMIF('Prov Code output'!B:B,'Code Results'!A53,'Prov Code output'!AL:AL))</f>
        <v>56219.225871376402</v>
      </c>
      <c r="C53" s="354" t="str">
        <f>VLOOKUP(A53,'Data Summary'!A:B,2,FALSE)</f>
        <v>LINCOLN PLAZA HOTEL CO LIMITED</v>
      </c>
      <c r="D53" s="354">
        <f>VLOOKUP(A53,'Ref-Data'!A:I,9,FALSE)</f>
        <v>2</v>
      </c>
      <c r="E53" s="431">
        <f>SUMIF('Prov Code output'!B:B,'Code Results'!A53,'Prov Code output'!AM:AM)</f>
        <v>4178175.14</v>
      </c>
      <c r="F53" s="431">
        <f>VLOOKUP(A53,'Ref-Data'!$A:$C,3,FALSE)</f>
        <v>4178175.14</v>
      </c>
      <c r="G53" s="431">
        <f t="shared" si="0"/>
        <v>0</v>
      </c>
    </row>
    <row r="54" spans="1:7" x14ac:dyDescent="0.25">
      <c r="A54" s="354">
        <v>1100000119</v>
      </c>
      <c r="B54" s="387">
        <f>IF(D54=1,SUMIF('Prov Code output'!B:B,'Code Results'!A54,'Prov Code output'!AK:AK),SUMIF('Prov Code output'!B:B,'Code Results'!A54,'Prov Code output'!AL:AL))</f>
        <v>35985.9010556219</v>
      </c>
      <c r="C54" s="354" t="str">
        <f>VLOOKUP(A54,'Data Summary'!A:B,2,FALSE)</f>
        <v>CULLEN WEALTH HOLDINGS LIMITED</v>
      </c>
      <c r="D54" s="354">
        <f>VLOOKUP(A54,'Ref-Data'!A:I,9,FALSE)</f>
        <v>1</v>
      </c>
      <c r="E54" s="431">
        <f>SUMIF('Prov Code output'!B:B,'Code Results'!A54,'Prov Code output'!AM:AM)</f>
        <v>2999999.95</v>
      </c>
      <c r="F54" s="431">
        <f>VLOOKUP(A54,'Ref-Data'!$A:$C,3,FALSE)</f>
        <v>2999999.95</v>
      </c>
      <c r="G54" s="431">
        <f t="shared" si="0"/>
        <v>0</v>
      </c>
    </row>
    <row r="55" spans="1:7" x14ac:dyDescent="0.25">
      <c r="A55" s="354">
        <v>1200000111</v>
      </c>
      <c r="B55" s="387">
        <f>IF(D55=1,SUMIF('Prov Code output'!B:B,'Code Results'!A55,'Prov Code output'!AK:AK),SUMIF('Prov Code output'!B:B,'Code Results'!A55,'Prov Code output'!AL:AL))</f>
        <v>71.573706280938595</v>
      </c>
      <c r="C55" s="354" t="str">
        <f>VLOOKUP(A55,'Data Summary'!A:B,2,FALSE)</f>
        <v>LAR GROUP LIMITED</v>
      </c>
      <c r="D55" s="354">
        <f>VLOOKUP(A55,'Ref-Data'!A:I,9,FALSE)</f>
        <v>1</v>
      </c>
      <c r="E55" s="431">
        <f>SUMIF('Prov Code output'!B:B,'Code Results'!A55,'Prov Code output'!AM:AM)</f>
        <v>266666.56</v>
      </c>
      <c r="F55" s="431">
        <f>VLOOKUP(A55,'Ref-Data'!$A:$C,3,FALSE)</f>
        <v>266666.56</v>
      </c>
      <c r="G55" s="431">
        <f t="shared" si="0"/>
        <v>0</v>
      </c>
    </row>
    <row r="56" spans="1:7" x14ac:dyDescent="0.25">
      <c r="A56" s="354">
        <v>1200000112</v>
      </c>
      <c r="B56" s="387">
        <f>IF(D56=1,SUMIF('Prov Code output'!B:B,'Code Results'!A56,'Prov Code output'!AK:AK),SUMIF('Prov Code output'!B:B,'Code Results'!A56,'Prov Code output'!AL:AL))</f>
        <v>6.5214962184534903E-2</v>
      </c>
      <c r="C56" s="354" t="str">
        <f>VLOOKUP(A56,'Data Summary'!A:B,2,FALSE)</f>
        <v>LAR GROUP LIMITED</v>
      </c>
      <c r="D56" s="354">
        <f>VLOOKUP(A56,'Ref-Data'!A:I,9,FALSE)</f>
        <v>1</v>
      </c>
      <c r="E56" s="431">
        <f>SUMIF('Prov Code output'!B:B,'Code Results'!A56,'Prov Code output'!AM:AM)</f>
        <v>100</v>
      </c>
      <c r="F56" s="431">
        <f>VLOOKUP(A56,'Ref-Data'!$A:$C,3,FALSE)</f>
        <v>100</v>
      </c>
      <c r="G56" s="431">
        <f t="shared" si="0"/>
        <v>0</v>
      </c>
    </row>
    <row r="57" spans="1:7" x14ac:dyDescent="0.25">
      <c r="A57" s="354">
        <v>1200000108</v>
      </c>
      <c r="B57" s="387">
        <f>IF(D57=1,SUMIF('Prov Code output'!B:B,'Code Results'!A57,'Prov Code output'!AK:AK),SUMIF('Prov Code output'!B:B,'Code Results'!A57,'Prov Code output'!AL:AL))</f>
        <v>5525.86429624629</v>
      </c>
      <c r="C57" s="354" t="str">
        <f>VLOOKUP(A57,'Data Summary'!A:B,2,FALSE)</f>
        <v>BXTR LTD, BXTR MCH LTD, BXTR 3 LTD</v>
      </c>
      <c r="D57" s="354">
        <f>VLOOKUP(A57,'Ref-Data'!A:I,9,FALSE)</f>
        <v>1</v>
      </c>
      <c r="E57" s="431">
        <f>SUMIF('Prov Code output'!B:B,'Code Results'!A57,'Prov Code output'!AM:AM)</f>
        <v>992000</v>
      </c>
      <c r="F57" s="431">
        <f>VLOOKUP(A57,'Ref-Data'!$A:$C,3,FALSE)</f>
        <v>992000</v>
      </c>
      <c r="G57" s="431">
        <f t="shared" si="0"/>
        <v>0</v>
      </c>
    </row>
    <row r="58" spans="1:7" x14ac:dyDescent="0.25">
      <c r="A58" s="354">
        <v>1100000126</v>
      </c>
      <c r="B58" s="387">
        <f>IF(D58=1,SUMIF('Prov Code output'!B:B,'Code Results'!A58,'Prov Code output'!AK:AK),SUMIF('Prov Code output'!B:B,'Code Results'!A58,'Prov Code output'!AL:AL))</f>
        <v>804.26800890910499</v>
      </c>
      <c r="C58" s="354" t="str">
        <f>VLOOKUP(A58,'Data Summary'!A:B,2,FALSE)</f>
        <v>FARRELLY ENERGY SOLUTIONS LIMITED AND FBS INTELLIGENT ENGINEERING (IE) LIMITED</v>
      </c>
      <c r="D58" s="354">
        <f>VLOOKUP(A58,'Ref-Data'!A:I,9,FALSE)</f>
        <v>1</v>
      </c>
      <c r="E58" s="431">
        <f>SUMIF('Prov Code output'!B:B,'Code Results'!A58,'Prov Code output'!AM:AM)</f>
        <v>833332</v>
      </c>
      <c r="F58" s="431">
        <f>VLOOKUP(A58,'Ref-Data'!$A:$C,3,FALSE)</f>
        <v>833332</v>
      </c>
      <c r="G58" s="431">
        <f t="shared" si="0"/>
        <v>0</v>
      </c>
    </row>
    <row r="59" spans="1:7" x14ac:dyDescent="0.25">
      <c r="A59" s="354">
        <v>1100000128</v>
      </c>
      <c r="B59" s="387">
        <f>IF(D59=1,SUMIF('Prov Code output'!B:B,'Code Results'!A59,'Prov Code output'!AK:AK),SUMIF('Prov Code output'!B:B,'Code Results'!A59,'Prov Code output'!AL:AL))</f>
        <v>0</v>
      </c>
      <c r="C59" s="354" t="str">
        <f>VLOOKUP(A59,'Data Summary'!A:B,2,FALSE)</f>
        <v>LEARNING CURVE GROUP LIMITED / GENIUS BIDCO LIMITED / BOYD BIDCO LIMITED</v>
      </c>
      <c r="D59" s="354">
        <f>VLOOKUP(A59,'Ref-Data'!A:I,9,FALSE)</f>
        <v>1</v>
      </c>
      <c r="E59" s="431">
        <f>SUMIF('Prov Code output'!B:B,'Code Results'!A59,'Prov Code output'!AM:AM)</f>
        <v>0</v>
      </c>
      <c r="F59" s="431">
        <f>VLOOKUP(A59,'Ref-Data'!$A:$C,3,FALSE)</f>
        <v>0</v>
      </c>
      <c r="G59" s="431">
        <f t="shared" si="0"/>
        <v>0</v>
      </c>
    </row>
    <row r="60" spans="1:7" x14ac:dyDescent="0.25">
      <c r="A60" s="354">
        <v>1100000136</v>
      </c>
      <c r="B60" s="387">
        <f>IF(D60=1,SUMIF('Prov Code output'!B:B,'Code Results'!A60,'Prov Code output'!AK:AK),SUMIF('Prov Code output'!B:B,'Code Results'!A60,'Prov Code output'!AL:AL))</f>
        <v>4322.9861230527504</v>
      </c>
      <c r="C60" s="354" t="str">
        <f>VLOOKUP(A60,'Data Summary'!A:B,2,FALSE)</f>
        <v>DUMBLETON HALL HOTEL PROPERTY COMPANY LIMITED</v>
      </c>
      <c r="D60" s="354">
        <f>VLOOKUP(A60,'Ref-Data'!A:I,9,FALSE)</f>
        <v>1</v>
      </c>
      <c r="E60" s="431">
        <f>SUMIF('Prov Code output'!B:B,'Code Results'!A60,'Prov Code output'!AM:AM)</f>
        <v>2312500</v>
      </c>
      <c r="F60" s="431">
        <f>VLOOKUP(A60,'Ref-Data'!$A:$C,3,FALSE)</f>
        <v>2312500</v>
      </c>
      <c r="G60" s="431">
        <f t="shared" si="0"/>
        <v>0</v>
      </c>
    </row>
    <row r="61" spans="1:7" x14ac:dyDescent="0.25">
      <c r="A61" s="354">
        <v>1200000117</v>
      </c>
      <c r="B61" s="387">
        <f>IF(D61=1,SUMIF('Prov Code output'!B:B,'Code Results'!A61,'Prov Code output'!AK:AK),SUMIF('Prov Code output'!B:B,'Code Results'!A61,'Prov Code output'!AL:AL))</f>
        <v>5360.7233824511204</v>
      </c>
      <c r="C61" s="354" t="str">
        <f>VLOOKUP(A61,'Data Summary'!A:B,2,FALSE)</f>
        <v>SIGNET HOTELS (HAMPTON COURT - PROPERTY) LTD</v>
      </c>
      <c r="D61" s="354">
        <f>VLOOKUP(A61,'Ref-Data'!A:I,9,FALSE)</f>
        <v>1</v>
      </c>
      <c r="E61" s="431">
        <f>SUMIF('Prov Code output'!B:B,'Code Results'!A61,'Prov Code output'!AM:AM)</f>
        <v>3000000</v>
      </c>
      <c r="F61" s="431">
        <f>VLOOKUP(A61,'Ref-Data'!$A:$C,3,FALSE)</f>
        <v>3000000</v>
      </c>
      <c r="G61" s="431">
        <f t="shared" si="0"/>
        <v>0</v>
      </c>
    </row>
    <row r="62" spans="1:7" x14ac:dyDescent="0.25">
      <c r="A62" s="354">
        <v>1100000150</v>
      </c>
      <c r="B62" s="387">
        <f>IF(D62=1,SUMIF('Prov Code output'!B:B,'Code Results'!A62,'Prov Code output'!AK:AK),SUMIF('Prov Code output'!B:B,'Code Results'!A62,'Prov Code output'!AL:AL))</f>
        <v>5840.7406248402904</v>
      </c>
      <c r="C62" s="354" t="str">
        <f>VLOOKUP(A62,'Data Summary'!A:B,2,FALSE)</f>
        <v>SIGNET HOTELS (HAMPTON COURT - PROPERTY) LTD</v>
      </c>
      <c r="D62" s="354">
        <f>VLOOKUP(A62,'Ref-Data'!A:I,9,FALSE)</f>
        <v>1</v>
      </c>
      <c r="E62" s="431">
        <f>SUMIF('Prov Code output'!B:B,'Code Results'!A62,'Prov Code output'!AM:AM)</f>
        <v>3300873.9</v>
      </c>
      <c r="F62" s="431">
        <f>VLOOKUP(A62,'Ref-Data'!$A:$C,3,FALSE)</f>
        <v>3300873.9</v>
      </c>
      <c r="G62" s="431">
        <f t="shared" si="0"/>
        <v>0</v>
      </c>
    </row>
    <row r="63" spans="1:7" x14ac:dyDescent="0.25">
      <c r="A63" s="354">
        <v>1200000118</v>
      </c>
      <c r="B63" s="387">
        <f>IF(D63=1,SUMIF('Prov Code output'!B:B,'Code Results'!A63,'Prov Code output'!AK:AK),SUMIF('Prov Code output'!B:B,'Code Results'!A63,'Prov Code output'!AL:AL))</f>
        <v>16236.4226208484</v>
      </c>
      <c r="C63" s="354" t="str">
        <f>VLOOKUP(A63,'Data Summary'!A:B,2,FALSE)</f>
        <v>LYONS DAVIDSON LIMITED</v>
      </c>
      <c r="D63" s="354">
        <f>VLOOKUP(A63,'Ref-Data'!A:I,9,FALSE)</f>
        <v>1</v>
      </c>
      <c r="E63" s="431">
        <f>SUMIF('Prov Code output'!B:B,'Code Results'!A63,'Prov Code output'!AM:AM)</f>
        <v>5000000</v>
      </c>
      <c r="F63" s="431">
        <f>VLOOKUP(A63,'Ref-Data'!$A:$C,3,FALSE)</f>
        <v>5000000</v>
      </c>
      <c r="G63" s="431">
        <f t="shared" si="0"/>
        <v>0</v>
      </c>
    </row>
    <row r="64" spans="1:7" x14ac:dyDescent="0.25">
      <c r="A64" s="354">
        <v>1100000157</v>
      </c>
      <c r="B64" s="387">
        <f>IF(D64=1,SUMIF('Prov Code output'!B:B,'Code Results'!A64,'Prov Code output'!AK:AK),SUMIF('Prov Code output'!B:B,'Code Results'!A64,'Prov Code output'!AL:AL))</f>
        <v>3323.4443446902101</v>
      </c>
      <c r="C64" s="354" t="str">
        <f>VLOOKUP(A64,'Data Summary'!A:B,2,FALSE)</f>
        <v>LYONS DAVIDSON LIMITED</v>
      </c>
      <c r="D64" s="354">
        <f>VLOOKUP(A64,'Ref-Data'!A:I,9,FALSE)</f>
        <v>1</v>
      </c>
      <c r="E64" s="431">
        <f>SUMIF('Prov Code output'!B:B,'Code Results'!A64,'Prov Code output'!AM:AM)</f>
        <v>1500000</v>
      </c>
      <c r="F64" s="431">
        <f>VLOOKUP(A64,'Ref-Data'!$A:$C,3,FALSE)</f>
        <v>1500000</v>
      </c>
      <c r="G64" s="431">
        <f t="shared" si="0"/>
        <v>0</v>
      </c>
    </row>
    <row r="65" spans="1:7" x14ac:dyDescent="0.25">
      <c r="A65" s="354">
        <v>1200000119</v>
      </c>
      <c r="B65" s="387">
        <f>IF(D65=1,SUMIF('Prov Code output'!B:B,'Code Results'!A65,'Prov Code output'!AK:AK),SUMIF('Prov Code output'!B:B,'Code Results'!A65,'Prov Code output'!AL:AL))</f>
        <v>279.69540239675899</v>
      </c>
      <c r="C65" s="354" t="str">
        <f>VLOOKUP(A65,'Data Summary'!A:B,2,FALSE)</f>
        <v>SLATTERS DEVELOPMENT LIMITED</v>
      </c>
      <c r="D65" s="354">
        <f>VLOOKUP(A65,'Ref-Data'!A:I,9,FALSE)</f>
        <v>1</v>
      </c>
      <c r="E65" s="431">
        <f>SUMIF('Prov Code output'!B:B,'Code Results'!A65,'Prov Code output'!AM:AM)</f>
        <v>3260403</v>
      </c>
      <c r="F65" s="431">
        <f>VLOOKUP(A65,'Ref-Data'!$A:$C,3,FALSE)</f>
        <v>3260403</v>
      </c>
      <c r="G65" s="431">
        <f t="shared" si="0"/>
        <v>0</v>
      </c>
    </row>
    <row r="66" spans="1:7" x14ac:dyDescent="0.25">
      <c r="A66" s="354">
        <v>1200000120</v>
      </c>
      <c r="B66" s="387">
        <f>IF(D66=1,SUMIF('Prov Code output'!B:B,'Code Results'!A66,'Prov Code output'!AK:AK),SUMIF('Prov Code output'!B:B,'Code Results'!A66,'Prov Code output'!AL:AL))</f>
        <v>149.23225224709799</v>
      </c>
      <c r="C66" s="354" t="str">
        <f>VLOOKUP(A66,'Data Summary'!A:B,2,FALSE)</f>
        <v>SLATTERS DEVELOPMENT LIMITED</v>
      </c>
      <c r="D66" s="354">
        <f>VLOOKUP(A66,'Ref-Data'!A:I,9,FALSE)</f>
        <v>1</v>
      </c>
      <c r="E66" s="431">
        <f>SUMIF('Prov Code output'!B:B,'Code Results'!A66,'Prov Code output'!AM:AM)</f>
        <v>1739597</v>
      </c>
      <c r="F66" s="431">
        <f>VLOOKUP(A66,'Ref-Data'!$A:$C,3,FALSE)</f>
        <v>1739597</v>
      </c>
      <c r="G66" s="431">
        <f t="shared" si="0"/>
        <v>0</v>
      </c>
    </row>
    <row r="67" spans="1:7" x14ac:dyDescent="0.25">
      <c r="A67" s="354">
        <v>1200000121</v>
      </c>
      <c r="B67" s="387">
        <f>IF(D67=1,SUMIF('Prov Code output'!B:B,'Code Results'!A67,'Prov Code output'!AK:AK),SUMIF('Prov Code output'!B:B,'Code Results'!A67,'Prov Code output'!AL:AL))</f>
        <v>2743.27588020025</v>
      </c>
      <c r="C67" s="354" t="str">
        <f>VLOOKUP(A67,'Data Summary'!A:B,2,FALSE)</f>
        <v>LHH INVESTMENTS LIMITED</v>
      </c>
      <c r="D67" s="354">
        <f>VLOOKUP(A67,'Ref-Data'!A:I,9,FALSE)</f>
        <v>1</v>
      </c>
      <c r="E67" s="431">
        <f>SUMIF('Prov Code output'!B:B,'Code Results'!A67,'Prov Code output'!AM:AM)</f>
        <v>2300000</v>
      </c>
      <c r="F67" s="431">
        <f>VLOOKUP(A67,'Ref-Data'!$A:$C,3,FALSE)</f>
        <v>2300000</v>
      </c>
      <c r="G67" s="431">
        <f t="shared" ref="G67:G71" si="1">E67-F67</f>
        <v>0</v>
      </c>
    </row>
    <row r="68" spans="1:7" x14ac:dyDescent="0.25">
      <c r="A68" s="354">
        <v>1200000137</v>
      </c>
      <c r="B68" s="387">
        <f>IF(D68=1,SUMIF('Prov Code output'!B:B,'Code Results'!A68,'Prov Code output'!AK:AK),SUMIF('Prov Code output'!B:B,'Code Results'!A68,'Prov Code output'!AL:AL))</f>
        <v>7460.5116800518999</v>
      </c>
      <c r="C68" s="354" t="str">
        <f>VLOOKUP(A68,'Data Summary'!A:B,2,FALSE)</f>
        <v>DAISY GREEN FOOD LIMITED</v>
      </c>
      <c r="D68" s="354">
        <f>VLOOKUP(A68,'Ref-Data'!A:I,9,FALSE)</f>
        <v>1</v>
      </c>
      <c r="E68" s="431">
        <f>SUMIF('Prov Code output'!B:B,'Code Results'!A68,'Prov Code output'!AM:AM)</f>
        <v>1141302.73</v>
      </c>
      <c r="F68" s="431">
        <f>VLOOKUP(A68,'Ref-Data'!$A:$C,3,FALSE)</f>
        <v>1141302.73</v>
      </c>
      <c r="G68" s="431">
        <f t="shared" si="1"/>
        <v>0</v>
      </c>
    </row>
    <row r="69" spans="1:7" x14ac:dyDescent="0.25">
      <c r="A69" s="354">
        <v>1200000138</v>
      </c>
      <c r="B69" s="387">
        <f>IF(D69=1,SUMIF('Prov Code output'!B:B,'Code Results'!A69,'Prov Code output'!AK:AK),SUMIF('Prov Code output'!B:B,'Code Results'!A69,'Prov Code output'!AL:AL))</f>
        <v>425.74047391365002</v>
      </c>
      <c r="C69" s="354" t="str">
        <f>VLOOKUP(A69,'Data Summary'!A:B,2,FALSE)</f>
        <v>DAISY GREEN FOOD LIMITED</v>
      </c>
      <c r="D69" s="354">
        <f>VLOOKUP(A69,'Ref-Data'!A:I,9,FALSE)</f>
        <v>1</v>
      </c>
      <c r="E69" s="431">
        <f>SUMIF('Prov Code output'!B:B,'Code Results'!A69,'Prov Code output'!AM:AM)</f>
        <v>50000</v>
      </c>
      <c r="F69" s="431">
        <f>VLOOKUP(A69,'Ref-Data'!$A:$C,3,FALSE)</f>
        <v>50000</v>
      </c>
      <c r="G69" s="431">
        <f t="shared" si="1"/>
        <v>0</v>
      </c>
    </row>
    <row r="70" spans="1:7" x14ac:dyDescent="0.25">
      <c r="A70" s="354">
        <v>1200000142</v>
      </c>
      <c r="B70" s="387">
        <f>IF(D70=1,SUMIF('Prov Code output'!B:B,'Code Results'!A70,'Prov Code output'!AK:AK),SUMIF('Prov Code output'!B:B,'Code Results'!A70,'Prov Code output'!AL:AL))</f>
        <v>24798.370622460301</v>
      </c>
      <c r="C70" s="354" t="str">
        <f>VLOOKUP(A70,'Data Summary'!A:B,2,FALSE)</f>
        <v>SBH PARK HOLDING LIMITED</v>
      </c>
      <c r="D70" s="354">
        <f>VLOOKUP(A70,'Ref-Data'!A:I,9,FALSE)</f>
        <v>1</v>
      </c>
      <c r="E70" s="431">
        <f>SUMIF('Prov Code output'!B:B,'Code Results'!A70,'Prov Code output'!AM:AM)</f>
        <v>867000</v>
      </c>
      <c r="F70" s="431">
        <f>VLOOKUP(A70,'Ref-Data'!$A:$C,3,FALSE)</f>
        <v>867000</v>
      </c>
      <c r="G70" s="431">
        <f t="shared" si="1"/>
        <v>0</v>
      </c>
    </row>
    <row r="71" spans="1:7" x14ac:dyDescent="0.25">
      <c r="A71" s="354">
        <v>1200000143</v>
      </c>
      <c r="B71" s="387">
        <f>IF(D71=1,SUMIF('Prov Code output'!B:B,'Code Results'!A71,'Prov Code output'!AK:AK),SUMIF('Prov Code output'!B:B,'Code Results'!A71,'Prov Code output'!AL:AL))</f>
        <v>3058.9700098019398</v>
      </c>
      <c r="C71" s="354" t="str">
        <f>VLOOKUP(A71,'Data Summary'!A:B,2,FALSE)</f>
        <v>LEISURE AND HOTEL INVESTMENTS LIMITED AND BIKE AND BOOT INNS LIMITED</v>
      </c>
      <c r="D71" s="354">
        <f>VLOOKUP(A71,'Ref-Data'!A:I,9,FALSE)</f>
        <v>1</v>
      </c>
      <c r="E71" s="431">
        <f>SUMIF('Prov Code output'!B:B,'Code Results'!A71,'Prov Code output'!AM:AM)</f>
        <v>2462727.33</v>
      </c>
      <c r="F71" s="431">
        <f>VLOOKUP(A71,'Ref-Data'!$A:$C,3,FALSE)</f>
        <v>2462727.33</v>
      </c>
      <c r="G71" s="431">
        <f t="shared" si="1"/>
        <v>0</v>
      </c>
    </row>
    <row r="72" spans="1:7" x14ac:dyDescent="0.25">
      <c r="A72" s="354">
        <v>1200000144</v>
      </c>
      <c r="B72" s="387">
        <f>IF(D72=1,SUMIF('Prov Code output'!B:B,'Code Results'!A72,'Prov Code output'!AK:AK),SUMIF('Prov Code output'!B:B,'Code Results'!A72,'Prov Code output'!AL:AL))</f>
        <v>1216.33927014856</v>
      </c>
      <c r="C72" s="354" t="str">
        <f>VLOOKUP(A72,'Data Summary'!A:B,2,FALSE)</f>
        <v>BXTR LTD, BXTR MCH LTD, BXTR 3 LTD</v>
      </c>
      <c r="D72" s="354">
        <f>VLOOKUP(A72,'Ref-Data'!A:I,9,FALSE)</f>
        <v>1</v>
      </c>
      <c r="E72" s="431">
        <f>SUMIF('Prov Code output'!B:B,'Code Results'!A72,'Prov Code output'!AM:AM)</f>
        <v>203978</v>
      </c>
      <c r="F72" s="431">
        <f>VLOOKUP(A72,'Ref-Data'!$A:$C,3,FALSE)</f>
        <v>203978</v>
      </c>
      <c r="G72" s="431">
        <f t="shared" ref="G72:G115" si="2">E72-F72</f>
        <v>0</v>
      </c>
    </row>
    <row r="73" spans="1:7" x14ac:dyDescent="0.25">
      <c r="A73" s="354">
        <v>1200000139</v>
      </c>
      <c r="B73" s="387">
        <f>IF(D73=1,SUMIF('Prov Code output'!B:B,'Code Results'!A73,'Prov Code output'!AK:AK),SUMIF('Prov Code output'!B:B,'Code Results'!A73,'Prov Code output'!AL:AL))</f>
        <v>19475.546412752999</v>
      </c>
      <c r="C73" s="354" t="str">
        <f>VLOOKUP(A73,'Data Summary'!A:B,2,FALSE)</f>
        <v>NICOL'S WORSTEDS LIMITED</v>
      </c>
      <c r="D73" s="354">
        <f>VLOOKUP(A73,'Ref-Data'!A:I,9,FALSE)</f>
        <v>1</v>
      </c>
      <c r="E73" s="431">
        <f>SUMIF('Prov Code output'!B:B,'Code Results'!A73,'Prov Code output'!AM:AM)</f>
        <v>5000000</v>
      </c>
      <c r="F73" s="431">
        <f>VLOOKUP(A73,'Ref-Data'!$A:$C,3,FALSE)</f>
        <v>5000000</v>
      </c>
      <c r="G73" s="431">
        <f t="shared" si="2"/>
        <v>0</v>
      </c>
    </row>
    <row r="74" spans="1:7" x14ac:dyDescent="0.25">
      <c r="A74" s="354">
        <v>1100000195</v>
      </c>
      <c r="B74" s="387">
        <f>IF(D74=1,SUMIF('Prov Code output'!B:B,'Code Results'!A74,'Prov Code output'!AK:AK),SUMIF('Prov Code output'!B:B,'Code Results'!A74,'Prov Code output'!AL:AL))</f>
        <v>55570.973338045798</v>
      </c>
      <c r="C74" s="354" t="str">
        <f>VLOOKUP(A74,'Data Summary'!A:B,2,FALSE)</f>
        <v>KANSAS BIDCO LIMITED</v>
      </c>
      <c r="D74" s="354">
        <f>VLOOKUP(A74,'Ref-Data'!A:I,9,FALSE)</f>
        <v>1</v>
      </c>
      <c r="E74" s="431">
        <f>SUMIF('Prov Code output'!B:B,'Code Results'!A74,'Prov Code output'!AM:AM)</f>
        <v>3000000</v>
      </c>
      <c r="F74" s="431">
        <f>VLOOKUP(A74,'Ref-Data'!$A:$C,3,FALSE)</f>
        <v>3000000</v>
      </c>
      <c r="G74" s="431">
        <f t="shared" si="2"/>
        <v>0</v>
      </c>
    </row>
    <row r="75" spans="1:7" x14ac:dyDescent="0.25">
      <c r="A75" s="354">
        <v>1100000224</v>
      </c>
      <c r="B75" s="387">
        <f>IF(D75=1,SUMIF('Prov Code output'!B:B,'Code Results'!A75,'Prov Code output'!AK:AK),SUMIF('Prov Code output'!B:B,'Code Results'!A75,'Prov Code output'!AL:AL))</f>
        <v>13163.2768280362</v>
      </c>
      <c r="C75" s="354" t="str">
        <f>VLOOKUP(A75,'Data Summary'!A:B,2,FALSE)</f>
        <v>OCEAN HOUSE DEVELOPMENT LIMITED AND PINBOARD LIMITED PARTNERSHIP</v>
      </c>
      <c r="D75" s="354">
        <f>VLOOKUP(A75,'Ref-Data'!A:I,9,FALSE)</f>
        <v>1</v>
      </c>
      <c r="E75" s="431">
        <f>SUMIF('Prov Code output'!B:B,'Code Results'!A75,'Prov Code output'!AM:AM)</f>
        <v>32000000</v>
      </c>
      <c r="F75" s="431">
        <f>VLOOKUP(A75,'Ref-Data'!$A:$C,3,FALSE)</f>
        <v>32000000</v>
      </c>
      <c r="G75" s="431">
        <f t="shared" si="2"/>
        <v>0</v>
      </c>
    </row>
    <row r="76" spans="1:7" x14ac:dyDescent="0.25">
      <c r="A76" s="354">
        <v>1100000226</v>
      </c>
      <c r="B76" s="387">
        <f>IF(D76=1,SUMIF('Prov Code output'!B:B,'Code Results'!A76,'Prov Code output'!AK:AK),SUMIF('Prov Code output'!B:B,'Code Results'!A76,'Prov Code output'!AL:AL))</f>
        <v>50405.363704707597</v>
      </c>
      <c r="C76" s="354" t="str">
        <f>VLOOKUP(A76,'Data Summary'!A:B,2,FALSE)</f>
        <v>T14H  GUERNSEY LIMITED</v>
      </c>
      <c r="D76" s="354">
        <f>VLOOKUP(A76,'Ref-Data'!A:I,9,FALSE)</f>
        <v>1</v>
      </c>
      <c r="E76" s="431">
        <f>SUMIF('Prov Code output'!B:B,'Code Results'!A76,'Prov Code output'!AM:AM)</f>
        <v>41800000</v>
      </c>
      <c r="F76" s="431">
        <f>VLOOKUP(A76,'Ref-Data'!$A:$C,3,FALSE)</f>
        <v>41800000</v>
      </c>
      <c r="G76" s="431">
        <f t="shared" si="2"/>
        <v>0</v>
      </c>
    </row>
    <row r="77" spans="1:7" x14ac:dyDescent="0.25">
      <c r="A77" s="354">
        <v>1300000001</v>
      </c>
      <c r="B77" s="387">
        <f>IF(D77=1,SUMIF('Prov Code output'!B:B,'Code Results'!A77,'Prov Code output'!AK:AK),SUMIF('Prov Code output'!B:B,'Code Results'!A77,'Prov Code output'!AL:AL))</f>
        <v>6644.6767536376001</v>
      </c>
      <c r="C77" s="354" t="str">
        <f>VLOOKUP(A77,'Data Summary'!A:B,2,FALSE)</f>
        <v>Z CHA HOLDCO LTD</v>
      </c>
      <c r="D77" s="354">
        <f>VLOOKUP(A77,'Ref-Data'!A:I,9,FALSE)</f>
        <v>1</v>
      </c>
      <c r="E77" s="431">
        <f>SUMIF('Prov Code output'!B:B,'Code Results'!A77,'Prov Code output'!AM:AM)</f>
        <v>2822433</v>
      </c>
      <c r="F77" s="431">
        <f>VLOOKUP(A77,'Ref-Data'!$A:$C,3,FALSE)</f>
        <v>2822433</v>
      </c>
      <c r="G77" s="431">
        <f t="shared" si="2"/>
        <v>0</v>
      </c>
    </row>
    <row r="78" spans="1:7" x14ac:dyDescent="0.25">
      <c r="A78" s="354">
        <v>1100000234</v>
      </c>
      <c r="B78" s="387">
        <f>IF(D78=1,SUMIF('Prov Code output'!B:B,'Code Results'!A78,'Prov Code output'!AK:AK),SUMIF('Prov Code output'!B:B,'Code Results'!A78,'Prov Code output'!AL:AL))</f>
        <v>8439.0775470425706</v>
      </c>
      <c r="C78" s="354" t="str">
        <f>VLOOKUP(A78,'Data Summary'!A:B,2,FALSE)</f>
        <v>M&amp;E MILLS LIMITED</v>
      </c>
      <c r="D78" s="354">
        <f>VLOOKUP(A78,'Ref-Data'!A:I,9,FALSE)</f>
        <v>1</v>
      </c>
      <c r="E78" s="431">
        <f>SUMIF('Prov Code output'!B:B,'Code Results'!A78,'Prov Code output'!AM:AM)</f>
        <v>4500000</v>
      </c>
      <c r="F78" s="431">
        <f>VLOOKUP(A78,'Ref-Data'!$A:$C,3,FALSE)</f>
        <v>4500000</v>
      </c>
      <c r="G78" s="431">
        <f t="shared" si="2"/>
        <v>0</v>
      </c>
    </row>
    <row r="79" spans="1:7" x14ac:dyDescent="0.25">
      <c r="A79" s="354">
        <v>1100000233</v>
      </c>
      <c r="B79" s="387">
        <f>IF(D79=1,SUMIF('Prov Code output'!B:B,'Code Results'!A79,'Prov Code output'!AK:AK),SUMIF('Prov Code output'!B:B,'Code Results'!A79,'Prov Code output'!AL:AL))</f>
        <v>0</v>
      </c>
      <c r="C79" s="354" t="str">
        <f>VLOOKUP(A79,'Data Summary'!A:B,2,FALSE)</f>
        <v>M&amp;E MILLS LIMITED</v>
      </c>
      <c r="D79" s="354">
        <f>VLOOKUP(A79,'Ref-Data'!A:I,9,FALSE)</f>
        <v>1</v>
      </c>
      <c r="E79" s="431">
        <f>SUMIF('Prov Code output'!B:B,'Code Results'!A79,'Prov Code output'!AM:AM)</f>
        <v>0</v>
      </c>
      <c r="F79" s="431">
        <f>VLOOKUP(A79,'Ref-Data'!$A:$C,3,FALSE)</f>
        <v>0</v>
      </c>
      <c r="G79" s="431">
        <f t="shared" si="2"/>
        <v>0</v>
      </c>
    </row>
    <row r="80" spans="1:7" x14ac:dyDescent="0.25">
      <c r="A80" s="354">
        <v>1100000235</v>
      </c>
      <c r="B80" s="387">
        <f>IF(D80=1,SUMIF('Prov Code output'!B:B,'Code Results'!A80,'Prov Code output'!AK:AK),SUMIF('Prov Code output'!B:B,'Code Results'!A80,'Prov Code output'!AL:AL))</f>
        <v>58808.682109343499</v>
      </c>
      <c r="C80" s="354" t="str">
        <f>VLOOKUP(A80,'Data Summary'!A:B,2,FALSE)</f>
        <v>MELROSE EDUCATION LIMITED</v>
      </c>
      <c r="D80" s="354">
        <f>VLOOKUP(A80,'Ref-Data'!A:I,9,FALSE)</f>
        <v>1</v>
      </c>
      <c r="E80" s="431">
        <f>SUMIF('Prov Code output'!B:B,'Code Results'!A80,'Prov Code output'!AM:AM)</f>
        <v>5750500</v>
      </c>
      <c r="F80" s="431">
        <f>VLOOKUP(A80,'Ref-Data'!$A:$C,3,FALSE)</f>
        <v>5750500</v>
      </c>
      <c r="G80" s="431">
        <f t="shared" si="2"/>
        <v>0</v>
      </c>
    </row>
    <row r="81" spans="1:7" x14ac:dyDescent="0.25">
      <c r="A81" s="354">
        <v>1100000238</v>
      </c>
      <c r="B81" s="387">
        <f>IF(D81=1,SUMIF('Prov Code output'!B:B,'Code Results'!A81,'Prov Code output'!AK:AK),SUMIF('Prov Code output'!B:B,'Code Results'!A81,'Prov Code output'!AL:AL))</f>
        <v>0</v>
      </c>
      <c r="C81" s="354" t="str">
        <f>VLOOKUP(A81,'Data Summary'!A:B,2,FALSE)</f>
        <v>TOPHAM BIDCO LIMITED</v>
      </c>
      <c r="D81" s="354">
        <f>VLOOKUP(A81,'Ref-Data'!A:I,9,FALSE)</f>
        <v>1</v>
      </c>
      <c r="E81" s="431">
        <f>SUMIF('Prov Code output'!B:B,'Code Results'!A81,'Prov Code output'!AM:AM)</f>
        <v>0</v>
      </c>
      <c r="F81" s="431">
        <f>VLOOKUP(A81,'Ref-Data'!$A:$C,3,FALSE)</f>
        <v>0</v>
      </c>
      <c r="G81" s="431">
        <f t="shared" si="2"/>
        <v>0</v>
      </c>
    </row>
    <row r="82" spans="1:7" x14ac:dyDescent="0.25">
      <c r="A82" s="354">
        <v>1100000236</v>
      </c>
      <c r="B82" s="387">
        <f>IF(D82=1,SUMIF('Prov Code output'!B:B,'Code Results'!A82,'Prov Code output'!AK:AK),SUMIF('Prov Code output'!B:B,'Code Results'!A82,'Prov Code output'!AL:AL))</f>
        <v>191724.099162964</v>
      </c>
      <c r="C82" s="354" t="str">
        <f>VLOOKUP(A82,'Data Summary'!A:B,2,FALSE)</f>
        <v>TOPHAM BIDCO LIMITED</v>
      </c>
      <c r="D82" s="354">
        <f>VLOOKUP(A82,'Ref-Data'!A:I,9,FALSE)</f>
        <v>1</v>
      </c>
      <c r="E82" s="431">
        <f>SUMIF('Prov Code output'!B:B,'Code Results'!A82,'Prov Code output'!AM:AM)</f>
        <v>6750000</v>
      </c>
      <c r="F82" s="431">
        <f>VLOOKUP(A82,'Ref-Data'!$A:$C,3,FALSE)</f>
        <v>6750000</v>
      </c>
      <c r="G82" s="431">
        <f t="shared" si="2"/>
        <v>0</v>
      </c>
    </row>
    <row r="83" spans="1:7" x14ac:dyDescent="0.25">
      <c r="A83" s="354">
        <v>1100000237</v>
      </c>
      <c r="B83" s="387">
        <f>IF(D83=1,SUMIF('Prov Code output'!B:B,'Code Results'!A83,'Prov Code output'!AK:AK),SUMIF('Prov Code output'!B:B,'Code Results'!A83,'Prov Code output'!AL:AL))</f>
        <v>246143.31023958101</v>
      </c>
      <c r="C83" s="354" t="str">
        <f>VLOOKUP(A83,'Data Summary'!A:B,2,FALSE)</f>
        <v>TOPHAM BIDCO LIMITED</v>
      </c>
      <c r="D83" s="354">
        <f>VLOOKUP(A83,'Ref-Data'!A:I,9,FALSE)</f>
        <v>1</v>
      </c>
      <c r="E83" s="431">
        <f>SUMIF('Prov Code output'!B:B,'Code Results'!A83,'Prov Code output'!AM:AM)</f>
        <v>7500000</v>
      </c>
      <c r="F83" s="431">
        <f>VLOOKUP(A83,'Ref-Data'!$A:$C,3,FALSE)</f>
        <v>7500000</v>
      </c>
      <c r="G83" s="431">
        <f t="shared" si="2"/>
        <v>0</v>
      </c>
    </row>
    <row r="84" spans="1:7" x14ac:dyDescent="0.25">
      <c r="A84" s="354">
        <v>1100000241</v>
      </c>
      <c r="B84" s="387">
        <f>IF(D84=1,SUMIF('Prov Code output'!B:B,'Code Results'!A84,'Prov Code output'!AK:AK),SUMIF('Prov Code output'!B:B,'Code Results'!A84,'Prov Code output'!AL:AL))</f>
        <v>2594.3562068207898</v>
      </c>
      <c r="C84" s="354" t="str">
        <f>VLOOKUP(A84,'Data Summary'!A:B,2,FALSE)</f>
        <v>PARK LANE HEALTHCARE (MAGNOLIA HOUSE) LIMITED &amp; PARK LANE HEALTHCARE (THE MANOR HOUSE) LIMITED &amp; PARK LANE HEALTHCARE (CROSTON PARK) LIMITED &amp; YORK HERITAGE (THE HALL THORNTON LE DALE ) LIMITED &amp; PLH MOORGATE HOLDCO LIMITED</v>
      </c>
      <c r="D84" s="354">
        <f>VLOOKUP(A84,'Ref-Data'!A:I,9,FALSE)</f>
        <v>1</v>
      </c>
      <c r="E84" s="431">
        <f>SUMIF('Prov Code output'!B:B,'Code Results'!A84,'Prov Code output'!AM:AM)</f>
        <v>4953225</v>
      </c>
      <c r="F84" s="431">
        <f>VLOOKUP(A84,'Ref-Data'!$A:$C,3,FALSE)</f>
        <v>4953225</v>
      </c>
      <c r="G84" s="431">
        <f t="shared" si="2"/>
        <v>0</v>
      </c>
    </row>
    <row r="85" spans="1:7" x14ac:dyDescent="0.25">
      <c r="A85" s="354">
        <v>1100000242</v>
      </c>
      <c r="B85" s="387">
        <f>IF(D85=1,SUMIF('Prov Code output'!B:B,'Code Results'!A85,'Prov Code output'!AK:AK),SUMIF('Prov Code output'!B:B,'Code Results'!A85,'Prov Code output'!AL:AL))</f>
        <v>885.74084216103404</v>
      </c>
      <c r="C85" s="354" t="str">
        <f>VLOOKUP(A85,'Data Summary'!A:B,2,FALSE)</f>
        <v>PARK LANE HEALTHCARE (MAGNOLIA HOUSE) LIMITED &amp; PARK LANE HEALTHCARE (THE MANOR HOUSE) LIMITED &amp; PARK LANE HEALTHCARE (CROSTON PARK) LIMITED &amp; YORK HERITAGE (THE HALL THORNTON LE DALE ) LIMITED &amp; PLH MOORGATE HOLDCO LIMITED</v>
      </c>
      <c r="D85" s="354">
        <f>VLOOKUP(A85,'Ref-Data'!A:I,9,FALSE)</f>
        <v>1</v>
      </c>
      <c r="E85" s="431">
        <f>SUMIF('Prov Code output'!B:B,'Code Results'!A85,'Prov Code output'!AM:AM)</f>
        <v>1691086</v>
      </c>
      <c r="F85" s="431">
        <f>VLOOKUP(A85,'Ref-Data'!$A:$C,3,FALSE)</f>
        <v>1691086</v>
      </c>
      <c r="G85" s="431">
        <f t="shared" si="2"/>
        <v>0</v>
      </c>
    </row>
    <row r="86" spans="1:7" x14ac:dyDescent="0.25">
      <c r="A86" s="354">
        <v>1100000243</v>
      </c>
      <c r="B86" s="387">
        <f>IF(D86=1,SUMIF('Prov Code output'!B:B,'Code Results'!A86,'Prov Code output'!AK:AK),SUMIF('Prov Code output'!B:B,'Code Results'!A86,'Prov Code output'!AL:AL))</f>
        <v>1935.46182893428</v>
      </c>
      <c r="C86" s="354" t="str">
        <f>VLOOKUP(A86,'Data Summary'!A:B,2,FALSE)</f>
        <v>PARK LANE HEALTHCARE (MAGNOLIA HOUSE) LIMITED &amp; PARK LANE HEALTHCARE (THE MANOR HOUSE) LIMITED &amp; PARK LANE HEALTHCARE (CROSTON PARK) LIMITED &amp; YORK HERITAGE (THE HALL THORNTON LE DALE ) LIMITED &amp; PLH MOORGATE HOLDCO LIMITED</v>
      </c>
      <c r="D86" s="354">
        <f>VLOOKUP(A86,'Ref-Data'!A:I,9,FALSE)</f>
        <v>1</v>
      </c>
      <c r="E86" s="431">
        <f>SUMIF('Prov Code output'!B:B,'Code Results'!A86,'Prov Code output'!AM:AM)</f>
        <v>3695245</v>
      </c>
      <c r="F86" s="431">
        <f>VLOOKUP(A86,'Ref-Data'!$A:$C,3,FALSE)</f>
        <v>3695245</v>
      </c>
      <c r="G86" s="431">
        <f t="shared" si="2"/>
        <v>0</v>
      </c>
    </row>
    <row r="87" spans="1:7" x14ac:dyDescent="0.25">
      <c r="A87" s="354">
        <v>1100000245</v>
      </c>
      <c r="B87" s="387">
        <f>IF(D87=1,SUMIF('Prov Code output'!B:B,'Code Results'!A87,'Prov Code output'!AK:AK),SUMIF('Prov Code output'!B:B,'Code Results'!A87,'Prov Code output'!AL:AL))</f>
        <v>1245.6383840685801</v>
      </c>
      <c r="C87" s="354" t="str">
        <f>VLOOKUP(A87,'Data Summary'!A:B,2,FALSE)</f>
        <v>PARK LANE HEALTHCARE (MAGNOLIA HOUSE) LIMITED &amp; PARK LANE HEALTHCARE (THE MANOR HOUSE) LIMITED &amp; PARK LANE HEALTHCARE (CROSTON PARK) LIMITED &amp; YORK HERITAGE (THE HALL THORNTON LE DALE ) LIMITED &amp; PLH MOORGATE HOLDCO LIMITED</v>
      </c>
      <c r="D87" s="354">
        <f>VLOOKUP(A87,'Ref-Data'!A:I,9,FALSE)</f>
        <v>1</v>
      </c>
      <c r="E87" s="431">
        <f>SUMIF('Prov Code output'!B:B,'Code Results'!A87,'Prov Code output'!AM:AM)</f>
        <v>2378209</v>
      </c>
      <c r="F87" s="431">
        <f>VLOOKUP(A87,'Ref-Data'!$A:$C,3,FALSE)</f>
        <v>2378209</v>
      </c>
      <c r="G87" s="431">
        <f t="shared" si="2"/>
        <v>0</v>
      </c>
    </row>
    <row r="88" spans="1:7" x14ac:dyDescent="0.25">
      <c r="A88" s="354">
        <v>1100000244</v>
      </c>
      <c r="B88" s="387">
        <f>IF(D88=1,SUMIF('Prov Code output'!B:B,'Code Results'!A88,'Prov Code output'!AK:AK),SUMIF('Prov Code output'!B:B,'Code Results'!A88,'Prov Code output'!AL:AL))</f>
        <v>1508.3128553332101</v>
      </c>
      <c r="C88" s="354" t="str">
        <f>VLOOKUP(A88,'Data Summary'!A:B,2,FALSE)</f>
        <v>PARK LANE HEALTHCARE (MAGNOLIA HOUSE) LIMITED &amp; PARK LANE HEALTHCARE (THE MANOR HOUSE) LIMITED &amp; PARK LANE HEALTHCARE (CROSTON PARK) LIMITED &amp; YORK HERITAGE (THE HALL THORNTON LE DALE ) LIMITED &amp; PLH MOORGATE HOLDCO LIMITED</v>
      </c>
      <c r="D88" s="354">
        <f>VLOOKUP(A88,'Ref-Data'!A:I,9,FALSE)</f>
        <v>1</v>
      </c>
      <c r="E88" s="431">
        <f>SUMIF('Prov Code output'!B:B,'Code Results'!A88,'Prov Code output'!AM:AM)</f>
        <v>2879716</v>
      </c>
      <c r="F88" s="431">
        <f>VLOOKUP(A88,'Ref-Data'!$A:$C,3,FALSE)</f>
        <v>2879716</v>
      </c>
      <c r="G88" s="431">
        <f t="shared" si="2"/>
        <v>0</v>
      </c>
    </row>
    <row r="89" spans="1:7" x14ac:dyDescent="0.25">
      <c r="A89" s="354">
        <v>1100000248</v>
      </c>
      <c r="B89" s="387">
        <f>IF(D89=1,SUMIF('Prov Code output'!B:B,'Code Results'!A89,'Prov Code output'!AK:AK),SUMIF('Prov Code output'!B:B,'Code Results'!A89,'Prov Code output'!AL:AL))</f>
        <v>145601.27701193499</v>
      </c>
      <c r="C89" s="354" t="str">
        <f>VLOOKUP(A89,'Data Summary'!A:B,2,FALSE)</f>
        <v>INN COLLECTION BIDCO LIMITED</v>
      </c>
      <c r="D89" s="354">
        <f>VLOOKUP(A89,'Ref-Data'!A:I,9,FALSE)</f>
        <v>1</v>
      </c>
      <c r="E89" s="431">
        <f>SUMIF('Prov Code output'!B:B,'Code Results'!A89,'Prov Code output'!AM:AM)</f>
        <v>17992725.920000002</v>
      </c>
      <c r="F89" s="431">
        <f>VLOOKUP(A89,'Ref-Data'!$A:$C,3,FALSE)</f>
        <v>17992725.920000002</v>
      </c>
      <c r="G89" s="431">
        <f t="shared" si="2"/>
        <v>0</v>
      </c>
    </row>
    <row r="90" spans="1:7" x14ac:dyDescent="0.25">
      <c r="A90" s="354">
        <v>1100000249</v>
      </c>
      <c r="B90" s="387">
        <f>IF(D90=1,SUMIF('Prov Code output'!B:B,'Code Results'!A90,'Prov Code output'!AK:AK),SUMIF('Prov Code output'!B:B,'Code Results'!A90,'Prov Code output'!AL:AL))</f>
        <v>22623.630290308702</v>
      </c>
      <c r="C90" s="354" t="str">
        <f>VLOOKUP(A90,'Data Summary'!A:B,2,FALSE)</f>
        <v>INN COLLECTION BIDCO LIMITED</v>
      </c>
      <c r="D90" s="354">
        <f>VLOOKUP(A90,'Ref-Data'!A:I,9,FALSE)</f>
        <v>1</v>
      </c>
      <c r="E90" s="431">
        <f>SUMIF('Prov Code output'!B:B,'Code Results'!A90,'Prov Code output'!AM:AM)</f>
        <v>2800000</v>
      </c>
      <c r="F90" s="431">
        <f>VLOOKUP(A90,'Ref-Data'!$A:$C,3,FALSE)</f>
        <v>2800000</v>
      </c>
      <c r="G90" s="431">
        <f t="shared" si="2"/>
        <v>0</v>
      </c>
    </row>
    <row r="91" spans="1:7" x14ac:dyDescent="0.25">
      <c r="A91" s="354">
        <v>1100000258</v>
      </c>
      <c r="B91" s="387">
        <f>IF(D91=1,SUMIF('Prov Code output'!B:B,'Code Results'!A91,'Prov Code output'!AK:AK),SUMIF('Prov Code output'!B:B,'Code Results'!A91,'Prov Code output'!AL:AL))</f>
        <v>0</v>
      </c>
      <c r="C91" s="354" t="str">
        <f>VLOOKUP(A91,'Data Summary'!A:B,2,FALSE)</f>
        <v>INN COLLECTION BIDCO LIMITED</v>
      </c>
      <c r="D91" s="354">
        <f>VLOOKUP(A91,'Ref-Data'!A:I,9,FALSE)</f>
        <v>1</v>
      </c>
      <c r="E91" s="431">
        <f>SUMIF('Prov Code output'!B:B,'Code Results'!A91,'Prov Code output'!AM:AM)</f>
        <v>0</v>
      </c>
      <c r="F91" s="431">
        <f>VLOOKUP(A91,'Ref-Data'!$A:$C,3,FALSE)</f>
        <v>0</v>
      </c>
      <c r="G91" s="431">
        <f t="shared" si="2"/>
        <v>0</v>
      </c>
    </row>
    <row r="92" spans="1:7" x14ac:dyDescent="0.25">
      <c r="A92" s="354">
        <v>1100000259</v>
      </c>
      <c r="B92" s="387">
        <f>IF(D92=1,SUMIF('Prov Code output'!B:B,'Code Results'!A92,'Prov Code output'!AK:AK),SUMIF('Prov Code output'!B:B,'Code Results'!A92,'Prov Code output'!AL:AL))</f>
        <v>19795.6764320355</v>
      </c>
      <c r="C92" s="354" t="str">
        <f>VLOOKUP(A92,'Data Summary'!A:B,2,FALSE)</f>
        <v>INN COLLECTION BIDCO LIMITED</v>
      </c>
      <c r="D92" s="354">
        <f>VLOOKUP(A92,'Ref-Data'!A:I,9,FALSE)</f>
        <v>1</v>
      </c>
      <c r="E92" s="431">
        <f>SUMIF('Prov Code output'!B:B,'Code Results'!A92,'Prov Code output'!AM:AM)</f>
        <v>2450000</v>
      </c>
      <c r="F92" s="431">
        <f>VLOOKUP(A92,'Ref-Data'!$A:$C,3,FALSE)</f>
        <v>2450000</v>
      </c>
      <c r="G92" s="431">
        <f t="shared" si="2"/>
        <v>0</v>
      </c>
    </row>
    <row r="93" spans="1:7" x14ac:dyDescent="0.25">
      <c r="A93" s="354">
        <v>1100000253</v>
      </c>
      <c r="B93" s="387">
        <f>IF(D93=1,SUMIF('Prov Code output'!B:B,'Code Results'!A93,'Prov Code output'!AK:AK),SUMIF('Prov Code output'!B:B,'Code Results'!A93,'Prov Code output'!AL:AL))</f>
        <v>0</v>
      </c>
      <c r="C93" s="354" t="str">
        <f>VLOOKUP(A93,'Data Summary'!A:B,2,FALSE)</f>
        <v>INN COLLECTION BIDCO LIMITED</v>
      </c>
      <c r="D93" s="354">
        <f>VLOOKUP(A93,'Ref-Data'!A:I,9,FALSE)</f>
        <v>1</v>
      </c>
      <c r="E93" s="431">
        <f>SUMIF('Prov Code output'!B:B,'Code Results'!A93,'Prov Code output'!AM:AM)</f>
        <v>0</v>
      </c>
      <c r="F93" s="431">
        <f>VLOOKUP(A93,'Ref-Data'!$A:$C,3,FALSE)</f>
        <v>0</v>
      </c>
      <c r="G93" s="431">
        <f t="shared" si="2"/>
        <v>0</v>
      </c>
    </row>
    <row r="94" spans="1:7" x14ac:dyDescent="0.25">
      <c r="A94" s="354">
        <v>1100000250</v>
      </c>
      <c r="B94" s="387">
        <f>IF(D94=1,SUMIF('Prov Code output'!B:B,'Code Results'!A94,'Prov Code output'!AK:AK),SUMIF('Prov Code output'!B:B,'Code Results'!A94,'Prov Code output'!AL:AL))</f>
        <v>0</v>
      </c>
      <c r="C94" s="354" t="str">
        <f>VLOOKUP(A94,'Data Summary'!A:B,2,FALSE)</f>
        <v>INN COLLECTION BIDCO LIMITED</v>
      </c>
      <c r="D94" s="354">
        <f>VLOOKUP(A94,'Ref-Data'!A:I,9,FALSE)</f>
        <v>1</v>
      </c>
      <c r="E94" s="431">
        <f>SUMIF('Prov Code output'!B:B,'Code Results'!A94,'Prov Code output'!AM:AM)</f>
        <v>0</v>
      </c>
      <c r="F94" s="431">
        <f>VLOOKUP(A94,'Ref-Data'!$A:$C,3,FALSE)</f>
        <v>0</v>
      </c>
      <c r="G94" s="431">
        <f t="shared" si="2"/>
        <v>0</v>
      </c>
    </row>
    <row r="95" spans="1:7" x14ac:dyDescent="0.25">
      <c r="A95" s="354">
        <v>1100000255</v>
      </c>
      <c r="B95" s="387">
        <f>IF(D95=1,SUMIF('Prov Code output'!B:B,'Code Results'!A95,'Prov Code output'!AK:AK),SUMIF('Prov Code output'!B:B,'Code Results'!A95,'Prov Code output'!AL:AL))</f>
        <v>0</v>
      </c>
      <c r="C95" s="354" t="str">
        <f>VLOOKUP(A95,'Data Summary'!A:B,2,FALSE)</f>
        <v>INN COLLECTION BIDCO LIMITED</v>
      </c>
      <c r="D95" s="354">
        <f>VLOOKUP(A95,'Ref-Data'!A:I,9,FALSE)</f>
        <v>1</v>
      </c>
      <c r="E95" s="431">
        <f>SUMIF('Prov Code output'!B:B,'Code Results'!A95,'Prov Code output'!AM:AM)</f>
        <v>0</v>
      </c>
      <c r="F95" s="431">
        <f>VLOOKUP(A95,'Ref-Data'!$A:$C,3,FALSE)</f>
        <v>0</v>
      </c>
      <c r="G95" s="431">
        <f t="shared" si="2"/>
        <v>0</v>
      </c>
    </row>
    <row r="96" spans="1:7" x14ac:dyDescent="0.25">
      <c r="A96" s="354">
        <v>1100000252</v>
      </c>
      <c r="B96" s="387">
        <f>IF(D96=1,SUMIF('Prov Code output'!B:B,'Code Results'!A96,'Prov Code output'!AK:AK),SUMIF('Prov Code output'!B:B,'Code Results'!A96,'Prov Code output'!AL:AL))</f>
        <v>0</v>
      </c>
      <c r="C96" s="354" t="str">
        <f>VLOOKUP(A96,'Data Summary'!A:B,2,FALSE)</f>
        <v>INN COLLECTION BIDCO LIMITED</v>
      </c>
      <c r="D96" s="354">
        <f>VLOOKUP(A96,'Ref-Data'!A:I,9,FALSE)</f>
        <v>1</v>
      </c>
      <c r="E96" s="431">
        <f>SUMIF('Prov Code output'!B:B,'Code Results'!A96,'Prov Code output'!AM:AM)</f>
        <v>0</v>
      </c>
      <c r="F96" s="431">
        <f>VLOOKUP(A96,'Ref-Data'!$A:$C,3,FALSE)</f>
        <v>0</v>
      </c>
      <c r="G96" s="431">
        <f t="shared" si="2"/>
        <v>0</v>
      </c>
    </row>
    <row r="97" spans="1:7" x14ac:dyDescent="0.25">
      <c r="A97" s="354">
        <v>1100000257</v>
      </c>
      <c r="B97" s="387">
        <f>IF(D97=1,SUMIF('Prov Code output'!B:B,'Code Results'!A97,'Prov Code output'!AK:AK),SUMIF('Prov Code output'!B:B,'Code Results'!A97,'Prov Code output'!AL:AL))</f>
        <v>0</v>
      </c>
      <c r="C97" s="354" t="str">
        <f>VLOOKUP(A97,'Data Summary'!A:B,2,FALSE)</f>
        <v>INN COLLECTION BIDCO LIMITED</v>
      </c>
      <c r="D97" s="354">
        <f>VLOOKUP(A97,'Ref-Data'!A:I,9,FALSE)</f>
        <v>1</v>
      </c>
      <c r="E97" s="431">
        <f>SUMIF('Prov Code output'!B:B,'Code Results'!A97,'Prov Code output'!AM:AM)</f>
        <v>0</v>
      </c>
      <c r="F97" s="431">
        <f>VLOOKUP(A97,'Ref-Data'!$A:$C,3,FALSE)</f>
        <v>0</v>
      </c>
      <c r="G97" s="431">
        <f t="shared" si="2"/>
        <v>0</v>
      </c>
    </row>
    <row r="98" spans="1:7" x14ac:dyDescent="0.25">
      <c r="A98" s="354">
        <v>1100000251</v>
      </c>
      <c r="B98" s="387">
        <f>IF(D98=1,SUMIF('Prov Code output'!B:B,'Code Results'!A98,'Prov Code output'!AK:AK),SUMIF('Prov Code output'!B:B,'Code Results'!A98,'Prov Code output'!AL:AL))</f>
        <v>0</v>
      </c>
      <c r="C98" s="354" t="str">
        <f>VLOOKUP(A98,'Data Summary'!A:B,2,FALSE)</f>
        <v>INN COLLECTION BIDCO LIMITED</v>
      </c>
      <c r="D98" s="354">
        <f>VLOOKUP(A98,'Ref-Data'!A:I,9,FALSE)</f>
        <v>1</v>
      </c>
      <c r="E98" s="431">
        <f>SUMIF('Prov Code output'!B:B,'Code Results'!A98,'Prov Code output'!AM:AM)</f>
        <v>0</v>
      </c>
      <c r="F98" s="431">
        <f>VLOOKUP(A98,'Ref-Data'!$A:$C,3,FALSE)</f>
        <v>0</v>
      </c>
      <c r="G98" s="431">
        <f t="shared" si="2"/>
        <v>0</v>
      </c>
    </row>
    <row r="99" spans="1:7" x14ac:dyDescent="0.25">
      <c r="A99" s="354">
        <v>1100000254</v>
      </c>
      <c r="B99" s="387">
        <f>IF(D99=1,SUMIF('Prov Code output'!B:B,'Code Results'!A99,'Prov Code output'!AK:AK),SUMIF('Prov Code output'!B:B,'Code Results'!A99,'Prov Code output'!AL:AL))</f>
        <v>16159.735886759599</v>
      </c>
      <c r="C99" s="354" t="str">
        <f>VLOOKUP(A99,'Data Summary'!A:B,2,FALSE)</f>
        <v>INN COLLECTION BIDCO LIMITED</v>
      </c>
      <c r="D99" s="354">
        <f>VLOOKUP(A99,'Ref-Data'!A:I,9,FALSE)</f>
        <v>1</v>
      </c>
      <c r="E99" s="431">
        <f>SUMIF('Prov Code output'!B:B,'Code Results'!A99,'Prov Code output'!AM:AM)</f>
        <v>2000000</v>
      </c>
      <c r="F99" s="431">
        <f>VLOOKUP(A99,'Ref-Data'!$A:$C,3,FALSE)</f>
        <v>2000000</v>
      </c>
      <c r="G99" s="431">
        <f t="shared" si="2"/>
        <v>0</v>
      </c>
    </row>
    <row r="100" spans="1:7" x14ac:dyDescent="0.25">
      <c r="A100" s="354">
        <v>1100000256</v>
      </c>
      <c r="B100" s="387">
        <f>IF(D100=1,SUMIF('Prov Code output'!B:B,'Code Results'!A100,'Prov Code output'!AK:AK),SUMIF('Prov Code output'!B:B,'Code Results'!A100,'Prov Code output'!AL:AL))</f>
        <v>8079.8679382537503</v>
      </c>
      <c r="C100" s="354" t="str">
        <f>VLOOKUP(A100,'Data Summary'!A:B,2,FALSE)</f>
        <v>INN COLLECTION BIDCO LIMITED</v>
      </c>
      <c r="D100" s="354">
        <f>VLOOKUP(A100,'Ref-Data'!A:I,9,FALSE)</f>
        <v>1</v>
      </c>
      <c r="E100" s="431">
        <f>SUMIF('Prov Code output'!B:B,'Code Results'!A100,'Prov Code output'!AM:AM)</f>
        <v>1000000</v>
      </c>
      <c r="F100" s="431">
        <f>VLOOKUP(A100,'Ref-Data'!$A:$C,3,FALSE)</f>
        <v>1000000</v>
      </c>
      <c r="G100" s="431">
        <f t="shared" si="2"/>
        <v>0</v>
      </c>
    </row>
    <row r="101" spans="1:7" x14ac:dyDescent="0.25">
      <c r="A101" s="354">
        <v>1100000268</v>
      </c>
      <c r="B101" s="387">
        <f>IF(D101=1,SUMIF('Prov Code output'!B:B,'Code Results'!A101,'Prov Code output'!AK:AK),SUMIF('Prov Code output'!B:B,'Code Results'!A101,'Prov Code output'!AL:AL))</f>
        <v>5844.5795948896402</v>
      </c>
      <c r="C101" s="354" t="str">
        <f>VLOOKUP(A101,'Data Summary'!A:B,2,FALSE)</f>
        <v>APPRENTIFY GROUP LIMITED</v>
      </c>
      <c r="D101" s="354">
        <f>VLOOKUP(A101,'Ref-Data'!A:I,9,FALSE)</f>
        <v>1</v>
      </c>
      <c r="E101" s="431">
        <f>SUMIF('Prov Code output'!B:B,'Code Results'!A101,'Prov Code output'!AM:AM)</f>
        <v>4956140</v>
      </c>
      <c r="F101" s="431">
        <f>VLOOKUP(A101,'Ref-Data'!$A:$C,3,FALSE)</f>
        <v>4956140</v>
      </c>
      <c r="G101" s="431">
        <f t="shared" si="2"/>
        <v>0</v>
      </c>
    </row>
    <row r="102" spans="1:7" x14ac:dyDescent="0.25">
      <c r="A102" s="354">
        <v>1100000269</v>
      </c>
      <c r="B102" s="387">
        <f>IF(D102=1,SUMIF('Prov Code output'!B:B,'Code Results'!A102,'Prov Code output'!AK:AK),SUMIF('Prov Code output'!B:B,'Code Results'!A102,'Prov Code output'!AL:AL))</f>
        <v>0</v>
      </c>
      <c r="C102" s="354" t="str">
        <f>VLOOKUP(A102,'Data Summary'!A:B,2,FALSE)</f>
        <v>APPRENTIFY GROUP LIMITED</v>
      </c>
      <c r="D102" s="354">
        <f>VLOOKUP(A102,'Ref-Data'!A:I,9,FALSE)</f>
        <v>1</v>
      </c>
      <c r="E102" s="431">
        <f>SUMIF('Prov Code output'!B:B,'Code Results'!A102,'Prov Code output'!AM:AM)</f>
        <v>0</v>
      </c>
      <c r="F102" s="431">
        <f>VLOOKUP(A102,'Ref-Data'!$A:$C,3,FALSE)</f>
        <v>0</v>
      </c>
      <c r="G102" s="431">
        <f t="shared" si="2"/>
        <v>0</v>
      </c>
    </row>
    <row r="103" spans="1:7" x14ac:dyDescent="0.25">
      <c r="A103" s="354">
        <v>1100000266</v>
      </c>
      <c r="B103" s="387">
        <f>IF(D103=1,SUMIF('Prov Code output'!B:B,'Code Results'!A103,'Prov Code output'!AK:AK),SUMIF('Prov Code output'!B:B,'Code Results'!A103,'Prov Code output'!AL:AL))</f>
        <v>9857.3928416451799</v>
      </c>
      <c r="C103" s="354" t="str">
        <f>VLOOKUP(A103,'Data Summary'!A:B,2,FALSE)</f>
        <v>CHELSEA BIDCO LIMITED</v>
      </c>
      <c r="D103" s="354">
        <f>VLOOKUP(A103,'Ref-Data'!A:I,9,FALSE)</f>
        <v>1</v>
      </c>
      <c r="E103" s="431">
        <f>SUMIF('Prov Code output'!B:B,'Code Results'!A103,'Prov Code output'!AM:AM)</f>
        <v>5600000</v>
      </c>
      <c r="F103" s="431">
        <f>VLOOKUP(A103,'Ref-Data'!$A:$C,3,FALSE)</f>
        <v>5600000</v>
      </c>
      <c r="G103" s="431">
        <f t="shared" si="2"/>
        <v>0</v>
      </c>
    </row>
    <row r="104" spans="1:7" x14ac:dyDescent="0.25">
      <c r="A104" s="354">
        <v>1100000267</v>
      </c>
      <c r="B104" s="387">
        <f>IF(D104=1,SUMIF('Prov Code output'!B:B,'Code Results'!A104,'Prov Code output'!AK:AK),SUMIF('Prov Code output'!B:B,'Code Results'!A104,'Prov Code output'!AL:AL))</f>
        <v>17029.561159193701</v>
      </c>
      <c r="C104" s="354" t="str">
        <f>VLOOKUP(A104,'Data Summary'!A:B,2,FALSE)</f>
        <v>CHELSEA BIDCO LIMITED</v>
      </c>
      <c r="D104" s="354">
        <f>VLOOKUP(A104,'Ref-Data'!A:I,9,FALSE)</f>
        <v>1</v>
      </c>
      <c r="E104" s="431">
        <f>SUMIF('Prov Code output'!B:B,'Code Results'!A104,'Prov Code output'!AM:AM)</f>
        <v>9000000</v>
      </c>
      <c r="F104" s="431">
        <f>VLOOKUP(A104,'Ref-Data'!$A:$C,3,FALSE)</f>
        <v>9000000</v>
      </c>
      <c r="G104" s="431">
        <f t="shared" si="2"/>
        <v>0</v>
      </c>
    </row>
    <row r="105" spans="1:7" x14ac:dyDescent="0.25">
      <c r="A105" s="354">
        <v>1100000270</v>
      </c>
      <c r="B105" s="387">
        <f>IF(D105=1,SUMIF('Prov Code output'!B:B,'Code Results'!A105,'Prov Code output'!AK:AK),SUMIF('Prov Code output'!B:B,'Code Results'!A105,'Prov Code output'!AL:AL))</f>
        <v>0</v>
      </c>
      <c r="C105" s="354" t="str">
        <f>VLOOKUP(A105,'Data Summary'!A:B,2,FALSE)</f>
        <v>CHELSEA BIDCO LIMITED</v>
      </c>
      <c r="D105" s="354">
        <f>VLOOKUP(A105,'Ref-Data'!A:I,9,FALSE)</f>
        <v>1</v>
      </c>
      <c r="E105" s="431">
        <f>SUMIF('Prov Code output'!B:B,'Code Results'!A105,'Prov Code output'!AM:AM)</f>
        <v>0</v>
      </c>
      <c r="F105" s="431">
        <f>VLOOKUP(A105,'Ref-Data'!$A:$C,3,FALSE)</f>
        <v>0</v>
      </c>
      <c r="G105" s="431">
        <f t="shared" si="2"/>
        <v>0</v>
      </c>
    </row>
    <row r="106" spans="1:7" x14ac:dyDescent="0.25">
      <c r="A106" s="354">
        <v>1100000271</v>
      </c>
      <c r="B106" s="387">
        <f>IF(D106=1,SUMIF('Prov Code output'!B:B,'Code Results'!A106,'Prov Code output'!AK:AK),SUMIF('Prov Code output'!B:B,'Code Results'!A106,'Prov Code output'!AL:AL))</f>
        <v>72791.5843699244</v>
      </c>
      <c r="C106" s="354" t="str">
        <f>VLOOKUP(A106,'Data Summary'!A:B,2,FALSE)</f>
        <v>BRASSERIE BAR CO LIMITED &amp; ABRIAND PROPCO LIMITED</v>
      </c>
      <c r="D106" s="354">
        <f>VLOOKUP(A106,'Ref-Data'!A:I,9,FALSE)</f>
        <v>1</v>
      </c>
      <c r="E106" s="431">
        <f>SUMIF('Prov Code output'!B:B,'Code Results'!A106,'Prov Code output'!AM:AM)</f>
        <v>10000000</v>
      </c>
      <c r="F106" s="431">
        <f>VLOOKUP(A106,'Ref-Data'!$A:$C,3,FALSE)</f>
        <v>10000000</v>
      </c>
      <c r="G106" s="431">
        <f t="shared" si="2"/>
        <v>0</v>
      </c>
    </row>
    <row r="107" spans="1:7" x14ac:dyDescent="0.25">
      <c r="A107" s="354">
        <v>1100000272</v>
      </c>
      <c r="B107" s="387">
        <f>IF(D107=1,SUMIF('Prov Code output'!B:B,'Code Results'!A107,'Prov Code output'!AK:AK),SUMIF('Prov Code output'!B:B,'Code Results'!A107,'Prov Code output'!AL:AL))</f>
        <v>36507.732996003302</v>
      </c>
      <c r="C107" s="354" t="str">
        <f>VLOOKUP(A107,'Data Summary'!A:B,2,FALSE)</f>
        <v>BRASSERIE BAR CO LIMITED &amp; ABRIAND PROPCO LIMITED</v>
      </c>
      <c r="D107" s="354">
        <f>VLOOKUP(A107,'Ref-Data'!A:I,9,FALSE)</f>
        <v>1</v>
      </c>
      <c r="E107" s="431">
        <f>SUMIF('Prov Code output'!B:B,'Code Results'!A107,'Prov Code output'!AM:AM)</f>
        <v>5000000</v>
      </c>
      <c r="F107" s="431">
        <f>VLOOKUP(A107,'Ref-Data'!$A:$C,3,FALSE)</f>
        <v>5000000</v>
      </c>
      <c r="G107" s="431">
        <f t="shared" si="2"/>
        <v>0</v>
      </c>
    </row>
    <row r="108" spans="1:7" x14ac:dyDescent="0.25">
      <c r="A108" s="354">
        <v>1100000274</v>
      </c>
      <c r="B108" s="387">
        <f>IF(D108=1,SUMIF('Prov Code output'!B:B,'Code Results'!A108,'Prov Code output'!AK:AK),SUMIF('Prov Code output'!B:B,'Code Results'!A108,'Prov Code output'!AL:AL))</f>
        <v>0</v>
      </c>
      <c r="C108" s="354" t="str">
        <f>VLOOKUP(A108,'Data Summary'!A:B,2,FALSE)</f>
        <v>BRASSERIE BAR CO LIMITED &amp; ABRIAND PROPCO LIMITED</v>
      </c>
      <c r="D108" s="354">
        <f>VLOOKUP(A108,'Ref-Data'!A:I,9,FALSE)</f>
        <v>1</v>
      </c>
      <c r="E108" s="431">
        <f>SUMIF('Prov Code output'!B:B,'Code Results'!A108,'Prov Code output'!AM:AM)</f>
        <v>0</v>
      </c>
      <c r="F108" s="431">
        <f>VLOOKUP(A108,'Ref-Data'!$A:$C,3,FALSE)</f>
        <v>0</v>
      </c>
      <c r="G108" s="431">
        <f t="shared" si="2"/>
        <v>0</v>
      </c>
    </row>
    <row r="109" spans="1:7" x14ac:dyDescent="0.25">
      <c r="A109" s="354">
        <v>1100000273</v>
      </c>
      <c r="B109" s="387">
        <f>IF(D109=1,SUMIF('Prov Code output'!B:B,'Code Results'!A109,'Prov Code output'!AK:AK),SUMIF('Prov Code output'!B:B,'Code Results'!A109,'Prov Code output'!AL:AL))</f>
        <v>0</v>
      </c>
      <c r="C109" s="354" t="str">
        <f>VLOOKUP(A109,'Data Summary'!A:B,2,FALSE)</f>
        <v>BRASSERIE BAR CO LIMITED &amp; ABRIAND PROPCO LIMITED</v>
      </c>
      <c r="D109" s="354">
        <f>VLOOKUP(A109,'Ref-Data'!A:I,9,FALSE)</f>
        <v>1</v>
      </c>
      <c r="E109" s="431">
        <f>SUMIF('Prov Code output'!B:B,'Code Results'!A109,'Prov Code output'!AM:AM)</f>
        <v>0</v>
      </c>
      <c r="F109" s="431">
        <f>VLOOKUP(A109,'Ref-Data'!$A:$C,3,FALSE)</f>
        <v>0</v>
      </c>
      <c r="G109" s="431">
        <f t="shared" si="2"/>
        <v>0</v>
      </c>
    </row>
    <row r="110" spans="1:7" x14ac:dyDescent="0.25">
      <c r="A110" s="354">
        <v>1100000275</v>
      </c>
      <c r="B110" s="387">
        <f>IF(D110=1,SUMIF('Prov Code output'!B:B,'Code Results'!A110,'Prov Code output'!AK:AK),SUMIF('Prov Code output'!B:B,'Code Results'!A110,'Prov Code output'!AL:AL))</f>
        <v>0</v>
      </c>
      <c r="C110" s="354" t="str">
        <f>VLOOKUP(A110,'Data Summary'!A:B,2,FALSE)</f>
        <v>BRASSERIE BAR CO LIMITED &amp; ABRIAND PROPCO LIMITED</v>
      </c>
      <c r="D110" s="354">
        <f>VLOOKUP(A110,'Ref-Data'!A:I,9,FALSE)</f>
        <v>1</v>
      </c>
      <c r="E110" s="431">
        <f>SUMIF('Prov Code output'!B:B,'Code Results'!A110,'Prov Code output'!AM:AM)</f>
        <v>0</v>
      </c>
      <c r="F110" s="431">
        <f>VLOOKUP(A110,'Ref-Data'!$A:$C,3,FALSE)</f>
        <v>0</v>
      </c>
      <c r="G110" s="431">
        <f t="shared" si="2"/>
        <v>0</v>
      </c>
    </row>
    <row r="111" spans="1:7" x14ac:dyDescent="0.25">
      <c r="A111" s="354">
        <v>1100000276</v>
      </c>
      <c r="B111" s="387">
        <f>IF(D111=1,SUMIF('Prov Code output'!B:B,'Code Results'!A111,'Prov Code output'!AK:AK),SUMIF('Prov Code output'!B:B,'Code Results'!A111,'Prov Code output'!AL:AL))</f>
        <v>481.920854359234</v>
      </c>
      <c r="C111" s="354" t="str">
        <f>VLOOKUP(A111,'Data Summary'!A:B,2,FALSE)</f>
        <v>LINCOLN PLAZA HOTEL CO LIMITED</v>
      </c>
      <c r="D111" s="354">
        <f>VLOOKUP(A111,'Ref-Data'!A:I,9,FALSE)</f>
        <v>2</v>
      </c>
      <c r="E111" s="431">
        <f>SUMIF('Prov Code output'!B:B,'Code Results'!A111,'Prov Code output'!AM:AM)</f>
        <v>35846</v>
      </c>
      <c r="F111" s="431">
        <f>VLOOKUP(A111,'Ref-Data'!$A:$C,3,FALSE)</f>
        <v>35846</v>
      </c>
      <c r="G111" s="431">
        <f t="shared" si="2"/>
        <v>0</v>
      </c>
    </row>
    <row r="112" spans="1:7" x14ac:dyDescent="0.25">
      <c r="A112" s="354">
        <v>1300000002</v>
      </c>
      <c r="B112" s="387">
        <f>IF(D112=1,SUMIF('Prov Code output'!B:B,'Code Results'!A112,'Prov Code output'!AK:AK),SUMIF('Prov Code output'!B:B,'Code Results'!A112,'Prov Code output'!AL:AL))</f>
        <v>1453.79498571303</v>
      </c>
      <c r="C112" s="354" t="str">
        <f>VLOOKUP(A112,'Data Summary'!A:B,2,FALSE)</f>
        <v>STRAWBERRY FIELDS NURSERY &amp; PRESCHOOL LIMITED</v>
      </c>
      <c r="D112" s="354">
        <f>VLOOKUP(A112,'Ref-Data'!A:I,9,FALSE)</f>
        <v>1</v>
      </c>
      <c r="E112" s="431">
        <f>SUMIF('Prov Code output'!B:B,'Code Results'!A112,'Prov Code output'!AM:AM)</f>
        <v>750000</v>
      </c>
      <c r="F112" s="431">
        <f>VLOOKUP(A112,'Ref-Data'!$A:$C,3,FALSE)</f>
        <v>750000</v>
      </c>
      <c r="G112" s="431">
        <f t="shared" si="2"/>
        <v>0</v>
      </c>
    </row>
    <row r="113" spans="1:7" x14ac:dyDescent="0.25">
      <c r="A113" s="354">
        <v>1100000277</v>
      </c>
      <c r="B113" s="387">
        <f>IF(D113=1,SUMIF('Prov Code output'!B:B,'Code Results'!A113,'Prov Code output'!AK:AK),SUMIF('Prov Code output'!B:B,'Code Results'!A113,'Prov Code output'!AL:AL))</f>
        <v>67116.490100086696</v>
      </c>
      <c r="C113" s="354" t="str">
        <f>VLOOKUP(A113,'Data Summary'!A:B,2,FALSE)</f>
        <v>PORTOBELLO STARBOARD LIMITED</v>
      </c>
      <c r="D113" s="354">
        <f>VLOOKUP(A113,'Ref-Data'!A:I,9,FALSE)</f>
        <v>1</v>
      </c>
      <c r="E113" s="431">
        <f>SUMIF('Prov Code output'!B:B,'Code Results'!A113,'Prov Code output'!AM:AM)</f>
        <v>14500000</v>
      </c>
      <c r="F113" s="431">
        <f>VLOOKUP(A113,'Ref-Data'!$A:$C,3,FALSE)</f>
        <v>14500000</v>
      </c>
      <c r="G113" s="431">
        <f t="shared" si="2"/>
        <v>0</v>
      </c>
    </row>
    <row r="114" spans="1:7" x14ac:dyDescent="0.25">
      <c r="A114" s="354">
        <v>1100000281</v>
      </c>
      <c r="B114" s="387">
        <f>IF(D114=1,SUMIF('Prov Code output'!B:B,'Code Results'!A114,'Prov Code output'!AK:AK),SUMIF('Prov Code output'!B:B,'Code Results'!A114,'Prov Code output'!AL:AL))</f>
        <v>45197.496469831698</v>
      </c>
      <c r="C114" s="354" t="str">
        <f>VLOOKUP(A114,'Data Summary'!A:B,2,FALSE)</f>
        <v>PORTOBELLO STARBOARD LIMITED</v>
      </c>
      <c r="D114" s="354">
        <f>VLOOKUP(A114,'Ref-Data'!A:I,9,FALSE)</f>
        <v>1</v>
      </c>
      <c r="E114" s="431">
        <f>SUMIF('Prov Code output'!B:B,'Code Results'!A114,'Prov Code output'!AM:AM)</f>
        <v>9750000</v>
      </c>
      <c r="F114" s="431">
        <f>VLOOKUP(A114,'Ref-Data'!$A:$C,3,FALSE)</f>
        <v>9750000</v>
      </c>
      <c r="G114" s="431">
        <f t="shared" si="2"/>
        <v>0</v>
      </c>
    </row>
    <row r="115" spans="1:7" x14ac:dyDescent="0.25">
      <c r="A115" s="354">
        <v>1100000279</v>
      </c>
      <c r="B115" s="387">
        <f>IF(D115=1,SUMIF('Prov Code output'!B:B,'Code Results'!A115,'Prov Code output'!AK:AK),SUMIF('Prov Code output'!B:B,'Code Results'!A115,'Prov Code output'!AL:AL))</f>
        <v>0</v>
      </c>
      <c r="C115" s="354" t="str">
        <f>VLOOKUP(A115,'Data Summary'!A:B,2,FALSE)</f>
        <v>CHART FORTE (HAMMERSMITH) LIMITED AND CHART FORTE (KHS) LIMITED</v>
      </c>
      <c r="D115" s="354">
        <f>VLOOKUP(A115,'Ref-Data'!A:I,9,FALSE)</f>
        <v>1</v>
      </c>
      <c r="E115" s="431">
        <f>SUMIF('Prov Code output'!B:B,'Code Results'!A115,'Prov Code output'!AM:AM)</f>
        <v>0</v>
      </c>
      <c r="F115" s="431">
        <f>VLOOKUP(A115,'Ref-Data'!$A:$C,3,FALSE)</f>
        <v>0</v>
      </c>
      <c r="G115" s="431">
        <f t="shared" si="2"/>
        <v>0</v>
      </c>
    </row>
    <row r="116" spans="1:7" x14ac:dyDescent="0.25">
      <c r="A116" s="354">
        <v>1100000283</v>
      </c>
      <c r="B116" s="387">
        <f>IF(D116=1,SUMIF('Prov Code output'!B:B,'Code Results'!A116,'Prov Code output'!AK:AK),SUMIF('Prov Code output'!B:B,'Code Results'!A116,'Prov Code output'!AL:AL))</f>
        <v>12124.330296184</v>
      </c>
      <c r="C116" s="354" t="str">
        <f>VLOOKUP(A116,'Data Summary'!A:B,2,FALSE)</f>
        <v>AFM WEALTH LIMITED</v>
      </c>
      <c r="D116" s="354">
        <f>VLOOKUP(A116,'Ref-Data'!A:I,9,FALSE)</f>
        <v>1</v>
      </c>
      <c r="E116" s="431">
        <f>SUMIF('Prov Code output'!B:B,'Code Results'!A116,'Prov Code output'!AM:AM)</f>
        <v>2408335</v>
      </c>
      <c r="F116" s="431">
        <f>VLOOKUP(A116,'Ref-Data'!$A:$C,3,FALSE)</f>
        <v>2408335</v>
      </c>
      <c r="G116" s="431">
        <f t="shared" ref="G116:G120" si="3">E116-F116</f>
        <v>0</v>
      </c>
    </row>
    <row r="117" spans="1:7" x14ac:dyDescent="0.25">
      <c r="A117" s="354">
        <v>1100000284</v>
      </c>
      <c r="B117" s="387">
        <f>IF(D117=1,SUMIF('Prov Code output'!B:B,'Code Results'!A117,'Prov Code output'!AK:AK),SUMIF('Prov Code output'!B:B,'Code Results'!A117,'Prov Code output'!AL:AL))</f>
        <v>0</v>
      </c>
      <c r="C117" s="354" t="str">
        <f>VLOOKUP(A117,'Data Summary'!A:B,2,FALSE)</f>
        <v>CLAVIS IDS LIMITED</v>
      </c>
      <c r="D117" s="354">
        <f>VLOOKUP(A117,'Ref-Data'!A:I,9,FALSE)</f>
        <v>1</v>
      </c>
      <c r="E117" s="431">
        <f>SUMIF('Prov Code output'!B:B,'Code Results'!A117,'Prov Code output'!AM:AM)</f>
        <v>0</v>
      </c>
      <c r="F117" s="431">
        <f>VLOOKUP(A117,'Ref-Data'!$A:$C,3,FALSE)</f>
        <v>0</v>
      </c>
      <c r="G117" s="431">
        <f t="shared" si="3"/>
        <v>0</v>
      </c>
    </row>
    <row r="118" spans="1:7" x14ac:dyDescent="0.25">
      <c r="A118" s="354">
        <v>1300000003</v>
      </c>
      <c r="B118" s="387">
        <f>IF(D118=1,SUMIF('Prov Code output'!B:B,'Code Results'!A118,'Prov Code output'!AK:AK),SUMIF('Prov Code output'!B:B,'Code Results'!A118,'Prov Code output'!AL:AL))</f>
        <v>0</v>
      </c>
      <c r="C118" s="354" t="str">
        <f>VLOOKUP(A118,'Data Summary'!A:B,2,FALSE)</f>
        <v>CLAVIS IDS LIMITED</v>
      </c>
      <c r="D118" s="354">
        <f>VLOOKUP(A118,'Ref-Data'!A:I,9,FALSE)</f>
        <v>1</v>
      </c>
      <c r="E118" s="431">
        <f>SUMIF('Prov Code output'!B:B,'Code Results'!A118,'Prov Code output'!AM:AM)</f>
        <v>0</v>
      </c>
      <c r="F118" s="431">
        <f>VLOOKUP(A118,'Ref-Data'!$A:$C,3,FALSE)</f>
        <v>0</v>
      </c>
      <c r="G118" s="431">
        <f t="shared" si="3"/>
        <v>0</v>
      </c>
    </row>
    <row r="119" spans="1:7" x14ac:dyDescent="0.25">
      <c r="A119" s="354">
        <v>1100000289</v>
      </c>
      <c r="B119" s="387">
        <f>IF(D119=1,SUMIF('Prov Code output'!B:B,'Code Results'!A119,'Prov Code output'!AK:AK),SUMIF('Prov Code output'!B:B,'Code Results'!A119,'Prov Code output'!AL:AL))</f>
        <v>0</v>
      </c>
      <c r="C119" s="354" t="str">
        <f>VLOOKUP(A119,'Data Summary'!A:B,2,FALSE)</f>
        <v>FDBC HOLDINGS LIMITED</v>
      </c>
      <c r="D119" s="354">
        <f>VLOOKUP(A119,'Ref-Data'!A:I,9,FALSE)</f>
        <v>1</v>
      </c>
      <c r="E119" s="431">
        <f>SUMIF('Prov Code output'!B:B,'Code Results'!A119,'Prov Code output'!AM:AM)</f>
        <v>0</v>
      </c>
      <c r="F119" s="431">
        <f>VLOOKUP(A119,'Ref-Data'!$A:$C,3,FALSE)</f>
        <v>0</v>
      </c>
      <c r="G119" s="431">
        <f t="shared" si="3"/>
        <v>0</v>
      </c>
    </row>
    <row r="120" spans="1:7" x14ac:dyDescent="0.25">
      <c r="A120" s="354">
        <v>1300000004</v>
      </c>
      <c r="B120" s="387">
        <f>IF(D120=1,SUMIF('Prov Code output'!B:B,'Code Results'!A120,'Prov Code output'!AK:AK),SUMIF('Prov Code output'!B:B,'Code Results'!A120,'Prov Code output'!AL:AL))</f>
        <v>1344.1425353341599</v>
      </c>
      <c r="C120" s="354" t="str">
        <f>VLOOKUP(A120,'Data Summary'!A:B,2,FALSE)</f>
        <v>LYONS DAVIDSON LIMITED</v>
      </c>
      <c r="D120" s="354">
        <f>VLOOKUP(A120,'Ref-Data'!A:I,9,FALSE)</f>
        <v>1</v>
      </c>
      <c r="E120" s="431">
        <f>SUMIF('Prov Code output'!B:B,'Code Results'!A120,'Prov Code output'!AM:AM)</f>
        <v>975326</v>
      </c>
      <c r="F120" s="431">
        <f>VLOOKUP(A120,'Ref-Data'!$A:$C,3,FALSE)</f>
        <v>975326</v>
      </c>
      <c r="G120" s="431">
        <f t="shared" si="3"/>
        <v>0</v>
      </c>
    </row>
  </sheetData>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C9D37C-45AE-41B7-836B-DC3EE5E3330A}">
  <sheetPr codeName="Sheet19"/>
  <dimension ref="A1:AM120"/>
  <sheetViews>
    <sheetView topLeftCell="O95" zoomScale="80" zoomScaleNormal="80" workbookViewId="0">
      <selection activeCell="AK1" sqref="AK1:AK120"/>
    </sheetView>
  </sheetViews>
  <sheetFormatPr defaultRowHeight="15" x14ac:dyDescent="0.25"/>
  <cols>
    <col min="2" max="2" width="12" bestFit="1" customWidth="1"/>
    <col min="3" max="3" width="10.5703125" bestFit="1" customWidth="1"/>
    <col min="6" max="6" width="13.42578125" bestFit="1" customWidth="1"/>
  </cols>
  <sheetData>
    <row r="1" spans="1:39" x14ac:dyDescent="0.25">
      <c r="A1" s="354"/>
      <c r="B1" s="432" t="s">
        <v>1721</v>
      </c>
      <c r="C1" s="354" t="s">
        <v>347</v>
      </c>
      <c r="D1" s="354" t="s">
        <v>2714</v>
      </c>
      <c r="E1" s="354" t="s">
        <v>2715</v>
      </c>
      <c r="F1" s="463" t="s">
        <v>239</v>
      </c>
      <c r="G1" s="354" t="s">
        <v>352</v>
      </c>
      <c r="H1" s="354" t="s">
        <v>1006</v>
      </c>
      <c r="I1" s="354" t="s">
        <v>1007</v>
      </c>
      <c r="J1" s="354" t="s">
        <v>1008</v>
      </c>
      <c r="K1" s="354" t="s">
        <v>1009</v>
      </c>
      <c r="L1" s="354" t="s">
        <v>754</v>
      </c>
      <c r="M1" s="354" t="s">
        <v>755</v>
      </c>
      <c r="N1" s="354" t="s">
        <v>756</v>
      </c>
      <c r="O1" s="354" t="s">
        <v>757</v>
      </c>
      <c r="P1" s="354" t="s">
        <v>461</v>
      </c>
      <c r="Q1" s="354" t="s">
        <v>249</v>
      </c>
      <c r="R1" s="354" t="s">
        <v>465</v>
      </c>
      <c r="S1" s="354" t="s">
        <v>2716</v>
      </c>
      <c r="T1" s="354" t="s">
        <v>2717</v>
      </c>
      <c r="U1" s="354" t="s">
        <v>2718</v>
      </c>
      <c r="V1" s="354" t="s">
        <v>2719</v>
      </c>
      <c r="W1" s="354" t="s">
        <v>2720</v>
      </c>
      <c r="X1" s="354" t="s">
        <v>2721</v>
      </c>
      <c r="Y1" s="354" t="s">
        <v>2722</v>
      </c>
      <c r="Z1" s="354" t="s">
        <v>2723</v>
      </c>
      <c r="AA1" s="354" t="s">
        <v>2724</v>
      </c>
      <c r="AB1" s="354" t="s">
        <v>2725</v>
      </c>
      <c r="AC1" s="354" t="s">
        <v>2726</v>
      </c>
      <c r="AD1" s="354" t="s">
        <v>2727</v>
      </c>
      <c r="AE1" s="354" t="s">
        <v>2728</v>
      </c>
      <c r="AF1" s="354" t="s">
        <v>2729</v>
      </c>
      <c r="AG1" s="354" t="s">
        <v>2730</v>
      </c>
      <c r="AH1" s="354" t="s">
        <v>364</v>
      </c>
      <c r="AI1" s="354" t="s">
        <v>358</v>
      </c>
      <c r="AJ1" s="354" t="s">
        <v>360</v>
      </c>
      <c r="AK1" s="432" t="s">
        <v>5370</v>
      </c>
      <c r="AL1" s="432" t="s">
        <v>2731</v>
      </c>
      <c r="AM1" s="432" t="s">
        <v>2735</v>
      </c>
    </row>
    <row r="2" spans="1:39" x14ac:dyDescent="0.25">
      <c r="A2" s="354">
        <v>1</v>
      </c>
      <c r="B2" s="354">
        <v>1100000002</v>
      </c>
      <c r="C2" s="398">
        <v>44736</v>
      </c>
      <c r="D2" s="354">
        <v>7290.68</v>
      </c>
      <c r="E2" s="354">
        <v>9822.2000000000007</v>
      </c>
      <c r="F2" s="354" t="s">
        <v>3190</v>
      </c>
      <c r="G2" s="354">
        <v>6.52</v>
      </c>
      <c r="H2" s="354">
        <v>1.7496582002651201E-3</v>
      </c>
      <c r="I2" s="354">
        <v>4.1017797156421799E-3</v>
      </c>
      <c r="J2" s="354">
        <v>6.7969165063573901E-3</v>
      </c>
      <c r="K2" s="354">
        <v>1.03E-2</v>
      </c>
      <c r="L2" s="354">
        <v>1.55E-2</v>
      </c>
      <c r="M2" s="354">
        <v>1.8599999999999998E-2</v>
      </c>
      <c r="N2" s="354">
        <v>2.6100000000000002E-2</v>
      </c>
      <c r="O2" s="354">
        <v>3.3799999999999997E-2</v>
      </c>
      <c r="P2" s="354">
        <v>0.15</v>
      </c>
      <c r="Q2" s="354">
        <v>1</v>
      </c>
      <c r="R2" s="354" t="s">
        <v>1156</v>
      </c>
      <c r="S2" s="354">
        <v>24</v>
      </c>
      <c r="T2" s="354">
        <v>17112.88</v>
      </c>
      <c r="U2" s="354">
        <v>6.5708418891170406E-2</v>
      </c>
      <c r="V2" s="354">
        <v>0.99585828771259</v>
      </c>
      <c r="W2" s="354">
        <v>17042.003374631</v>
      </c>
      <c r="X2" s="354">
        <v>2</v>
      </c>
      <c r="Y2" s="354">
        <v>4.6016596365905399E-4</v>
      </c>
      <c r="Z2" s="433">
        <v>1.5753428149386001E-5</v>
      </c>
      <c r="AA2" s="354">
        <v>-5.8012115693494395E-4</v>
      </c>
      <c r="AB2" s="354">
        <v>-2.7916056641264001E-3</v>
      </c>
      <c r="AC2" s="354">
        <v>5.4168687271681799E-3</v>
      </c>
      <c r="AD2" s="354">
        <v>9.4758797868291795E-3</v>
      </c>
      <c r="AE2" s="354">
        <v>-3.7422316818462899E-3</v>
      </c>
      <c r="AF2" s="354">
        <v>-4.7943348274590604E-3</v>
      </c>
      <c r="AG2" s="354">
        <v>4.6016596365905399E-4</v>
      </c>
      <c r="AH2" s="354">
        <v>4.6016596365905399E-4</v>
      </c>
      <c r="AI2" s="354">
        <v>1714233.4002839201</v>
      </c>
      <c r="AJ2" s="354">
        <v>118.32477968672799</v>
      </c>
      <c r="AK2" s="354">
        <v>147.60346993450801</v>
      </c>
      <c r="AL2" s="354">
        <v>147.60346993450801</v>
      </c>
      <c r="AM2" s="354">
        <v>1713309.8</v>
      </c>
    </row>
    <row r="3" spans="1:39" x14ac:dyDescent="0.25">
      <c r="A3" s="354">
        <v>2</v>
      </c>
      <c r="B3" s="354">
        <v>1100000004</v>
      </c>
      <c r="C3" s="398">
        <v>44742</v>
      </c>
      <c r="D3" s="354">
        <v>43916</v>
      </c>
      <c r="E3" s="354">
        <v>23086.04</v>
      </c>
      <c r="F3" s="354" t="s">
        <v>3408</v>
      </c>
      <c r="G3" s="354">
        <v>7.23</v>
      </c>
      <c r="H3" s="354">
        <v>4.2347194781534501E-4</v>
      </c>
      <c r="I3" s="354">
        <v>1.0147225220171799E-3</v>
      </c>
      <c r="J3" s="354">
        <v>1.70524319322318E-3</v>
      </c>
      <c r="K3" s="354">
        <v>2.5999999999999999E-3</v>
      </c>
      <c r="L3" s="354">
        <v>4.1000000000000003E-3</v>
      </c>
      <c r="M3" s="354">
        <v>5.1000000000000004E-3</v>
      </c>
      <c r="N3" s="354">
        <v>8.0999999999999996E-3</v>
      </c>
      <c r="O3" s="354">
        <v>1.15E-2</v>
      </c>
      <c r="P3" s="354">
        <v>0.40369925783208199</v>
      </c>
      <c r="Q3" s="354">
        <v>1</v>
      </c>
      <c r="R3" s="354" t="s">
        <v>1156</v>
      </c>
      <c r="S3" s="354">
        <v>30</v>
      </c>
      <c r="T3" s="354">
        <v>67002.039999999994</v>
      </c>
      <c r="U3" s="354">
        <v>8.2135523613962994E-2</v>
      </c>
      <c r="V3" s="354">
        <v>0.99428286335113303</v>
      </c>
      <c r="W3" s="354">
        <v>66618.980181567196</v>
      </c>
      <c r="X3" s="354">
        <v>14</v>
      </c>
      <c r="Y3" s="433">
        <v>1.3914814547533199E-4</v>
      </c>
      <c r="Z3" s="433">
        <v>2.6472075610009E-5</v>
      </c>
      <c r="AA3" s="433">
        <v>-1.3945371281175699E-4</v>
      </c>
      <c r="AB3" s="354">
        <v>-6.8506195178018401E-4</v>
      </c>
      <c r="AC3" s="354">
        <v>1.2212148322620099E-3</v>
      </c>
      <c r="AD3" s="354">
        <v>2.17932228132234E-3</v>
      </c>
      <c r="AE3" s="354">
        <v>-3.7055569584312198E-3</v>
      </c>
      <c r="AF3" s="354">
        <v>-5.3337786545273299E-3</v>
      </c>
      <c r="AG3" s="433">
        <v>1.3914814547533199E-4</v>
      </c>
      <c r="AH3" s="433">
        <v>1.3914814547533199E-4</v>
      </c>
      <c r="AI3" s="354">
        <v>1282115.59486434</v>
      </c>
      <c r="AJ3" s="354">
        <v>72.021565345467707</v>
      </c>
      <c r="AK3" s="354">
        <v>1178.16972326166</v>
      </c>
      <c r="AL3" s="354">
        <v>2185.65806304327</v>
      </c>
      <c r="AM3" s="354">
        <v>1254060</v>
      </c>
    </row>
    <row r="4" spans="1:39" x14ac:dyDescent="0.25">
      <c r="A4" s="354">
        <v>3</v>
      </c>
      <c r="B4" s="354">
        <v>1100000005</v>
      </c>
      <c r="C4" s="398">
        <v>44732</v>
      </c>
      <c r="D4" s="354">
        <v>0</v>
      </c>
      <c r="E4" s="354">
        <v>9895.56</v>
      </c>
      <c r="F4" s="354" t="s">
        <v>3422</v>
      </c>
      <c r="G4" s="354">
        <v>5.8</v>
      </c>
      <c r="H4" s="354">
        <v>1.56685943203573E-3</v>
      </c>
      <c r="I4" s="354">
        <v>3.6799099708146898E-3</v>
      </c>
      <c r="J4" s="354">
        <v>6.1051135059940797E-3</v>
      </c>
      <c r="K4" s="354">
        <v>9.2999999999999992E-3</v>
      </c>
      <c r="L4" s="354">
        <v>1.4200000000000001E-2</v>
      </c>
      <c r="M4" s="354">
        <v>1.7000000000000001E-2</v>
      </c>
      <c r="N4" s="354">
        <v>2.4299999999999999E-2</v>
      </c>
      <c r="O4" s="354">
        <v>3.1899999999999998E-2</v>
      </c>
      <c r="P4" s="354">
        <v>0.1</v>
      </c>
      <c r="Q4" s="354">
        <v>1</v>
      </c>
      <c r="R4" s="354" t="s">
        <v>1156</v>
      </c>
      <c r="S4" s="354">
        <v>20</v>
      </c>
      <c r="T4" s="354">
        <v>9895.56</v>
      </c>
      <c r="U4" s="354">
        <v>5.4757015742642003E-2</v>
      </c>
      <c r="V4" s="354">
        <v>0.99691754175421698</v>
      </c>
      <c r="W4" s="354">
        <v>9865.0573494813598</v>
      </c>
      <c r="X4" s="354">
        <v>54</v>
      </c>
      <c r="Y4" s="354">
        <v>3.4339635574920401E-4</v>
      </c>
      <c r="Z4" s="433">
        <v>-8.3373740275549495E-5</v>
      </c>
      <c r="AA4" s="354">
        <v>-6.3930946692437299E-4</v>
      </c>
      <c r="AB4" s="354">
        <v>-2.77977617583075E-3</v>
      </c>
      <c r="AC4" s="354">
        <v>4.6459195201623603E-3</v>
      </c>
      <c r="AD4" s="354">
        <v>8.7304522266615798E-3</v>
      </c>
      <c r="AE4" s="354">
        <v>-4.81913361958886E-3</v>
      </c>
      <c r="AF4" s="354">
        <v>-6.2703701509609902E-3</v>
      </c>
      <c r="AG4" s="354">
        <v>3.4339635574920401E-4</v>
      </c>
      <c r="AH4" s="354">
        <v>3.4339635574920401E-4</v>
      </c>
      <c r="AI4" s="354">
        <v>1898999.2008280701</v>
      </c>
      <c r="AJ4" s="354">
        <v>65.210940513501001</v>
      </c>
      <c r="AK4" s="354">
        <v>1708.3050829987801</v>
      </c>
      <c r="AL4" s="354">
        <v>4672.0901460135001</v>
      </c>
      <c r="AM4" s="354">
        <v>1865639.33</v>
      </c>
    </row>
    <row r="5" spans="1:39" x14ac:dyDescent="0.25">
      <c r="A5" s="354">
        <v>4</v>
      </c>
      <c r="B5" s="354">
        <v>1100000110</v>
      </c>
      <c r="C5" s="398">
        <v>44733</v>
      </c>
      <c r="D5" s="354">
        <v>20000</v>
      </c>
      <c r="E5" s="354">
        <v>1936.88</v>
      </c>
      <c r="F5" s="354" t="s">
        <v>3565</v>
      </c>
      <c r="G5" s="354">
        <v>6.92</v>
      </c>
      <c r="H5" s="354">
        <v>5.6732262999201796E-4</v>
      </c>
      <c r="I5" s="354">
        <v>1.3535926031476E-3</v>
      </c>
      <c r="J5" s="354">
        <v>2.2685534083560798E-3</v>
      </c>
      <c r="K5" s="354">
        <v>3.5000000000000001E-3</v>
      </c>
      <c r="L5" s="354">
        <v>5.7000000000000002E-3</v>
      </c>
      <c r="M5" s="354">
        <v>7.1999999999999998E-3</v>
      </c>
      <c r="N5" s="354">
        <v>1.1599999999999999E-2</v>
      </c>
      <c r="O5" s="354">
        <v>1.6500000000000001E-2</v>
      </c>
      <c r="P5" s="354">
        <v>0.39429999999999998</v>
      </c>
      <c r="Q5" s="354">
        <v>1</v>
      </c>
      <c r="R5" s="354" t="s">
        <v>1156</v>
      </c>
      <c r="S5" s="354">
        <v>21</v>
      </c>
      <c r="T5" s="354">
        <v>21936.880000000001</v>
      </c>
      <c r="U5" s="354">
        <v>5.7494866529774098E-2</v>
      </c>
      <c r="V5" s="354">
        <v>0.99616036823983301</v>
      </c>
      <c r="W5" s="354">
        <v>21852.650458832999</v>
      </c>
      <c r="X5" s="354">
        <v>17</v>
      </c>
      <c r="Y5" s="433">
        <v>1.3050106357848101E-4</v>
      </c>
      <c r="Z5" s="433">
        <v>-3.8121394511768302E-5</v>
      </c>
      <c r="AA5" s="354">
        <v>-2.6590680976760502E-4</v>
      </c>
      <c r="AB5" s="354">
        <v>-1.1425789368752399E-3</v>
      </c>
      <c r="AC5" s="354">
        <v>1.42203290912313E-3</v>
      </c>
      <c r="AD5" s="354">
        <v>2.7797622812076898E-3</v>
      </c>
      <c r="AE5" s="354">
        <v>-5.8609644867790899E-3</v>
      </c>
      <c r="AF5" s="354">
        <v>-7.9572924997632893E-3</v>
      </c>
      <c r="AG5" s="433">
        <v>1.3050106357848101E-4</v>
      </c>
      <c r="AH5" s="433">
        <v>1.3050106357848101E-4</v>
      </c>
      <c r="AI5" s="354">
        <v>341714.66401301802</v>
      </c>
      <c r="AJ5" s="354">
        <v>17.583464313188699</v>
      </c>
      <c r="AK5" s="354">
        <v>276.71920815177901</v>
      </c>
      <c r="AL5" s="354">
        <v>293.92998722152703</v>
      </c>
      <c r="AM5" s="354">
        <v>340000</v>
      </c>
    </row>
    <row r="6" spans="1:39" x14ac:dyDescent="0.25">
      <c r="A6" s="354">
        <v>5</v>
      </c>
      <c r="B6" s="354">
        <v>1100000111</v>
      </c>
      <c r="C6" s="398">
        <v>44733</v>
      </c>
      <c r="D6" s="354">
        <v>0</v>
      </c>
      <c r="E6" s="354">
        <v>5339.17</v>
      </c>
      <c r="F6" s="354" t="s">
        <v>3564</v>
      </c>
      <c r="G6" s="354">
        <v>6.47</v>
      </c>
      <c r="H6" s="354">
        <v>5.6732262999201796E-4</v>
      </c>
      <c r="I6" s="354">
        <v>1.3535926031476E-3</v>
      </c>
      <c r="J6" s="354">
        <v>2.2685534083560798E-3</v>
      </c>
      <c r="K6" s="354">
        <v>3.5000000000000001E-3</v>
      </c>
      <c r="L6" s="354">
        <v>5.7000000000000002E-3</v>
      </c>
      <c r="M6" s="354">
        <v>7.1999999999999998E-3</v>
      </c>
      <c r="N6" s="354">
        <v>1.1599999999999999E-2</v>
      </c>
      <c r="O6" s="354">
        <v>1.6500000000000001E-2</v>
      </c>
      <c r="P6" s="354">
        <v>0.39429999999999998</v>
      </c>
      <c r="Q6" s="354">
        <v>1</v>
      </c>
      <c r="R6" s="354" t="s">
        <v>1156</v>
      </c>
      <c r="S6" s="354">
        <v>21</v>
      </c>
      <c r="T6" s="354">
        <v>5339.17</v>
      </c>
      <c r="U6" s="354">
        <v>5.7494866529774098E-2</v>
      </c>
      <c r="V6" s="354">
        <v>0.99640195886469796</v>
      </c>
      <c r="W6" s="354">
        <v>5319.9594467116303</v>
      </c>
      <c r="X6" s="354">
        <v>17</v>
      </c>
      <c r="Y6" s="433">
        <v>1.3050106357848101E-4</v>
      </c>
      <c r="Z6" s="433">
        <v>-3.8121394511768302E-5</v>
      </c>
      <c r="AA6" s="354">
        <v>-2.6590680976760502E-4</v>
      </c>
      <c r="AB6" s="354">
        <v>-1.1425789368752399E-3</v>
      </c>
      <c r="AC6" s="354">
        <v>1.42203290912313E-3</v>
      </c>
      <c r="AD6" s="354">
        <v>2.7797622812076898E-3</v>
      </c>
      <c r="AE6" s="354">
        <v>-5.8609644867790899E-3</v>
      </c>
      <c r="AF6" s="354">
        <v>-7.9572924997632893E-3</v>
      </c>
      <c r="AG6" s="433">
        <v>1.3050106357848101E-4</v>
      </c>
      <c r="AH6" s="433">
        <v>1.3050106357848101E-4</v>
      </c>
      <c r="AI6" s="354">
        <v>1007340.2750917</v>
      </c>
      <c r="AJ6" s="354">
        <v>51.834274743438698</v>
      </c>
      <c r="AK6" s="354">
        <v>1339.74332675553</v>
      </c>
      <c r="AL6" s="354">
        <v>1659.8304529196701</v>
      </c>
      <c r="AM6" s="354">
        <v>1000000</v>
      </c>
    </row>
    <row r="7" spans="1:39" x14ac:dyDescent="0.25">
      <c r="A7" s="354">
        <v>6</v>
      </c>
      <c r="B7" s="354">
        <v>1100000119</v>
      </c>
      <c r="C7" s="398">
        <v>44732</v>
      </c>
      <c r="D7" s="354">
        <v>66666.67</v>
      </c>
      <c r="E7" s="354">
        <v>17630.14</v>
      </c>
      <c r="F7" s="354" t="s">
        <v>3724</v>
      </c>
      <c r="G7" s="354">
        <v>6.25</v>
      </c>
      <c r="H7" s="354">
        <v>5.7310757425068698E-3</v>
      </c>
      <c r="I7" s="354">
        <v>1.3149607536908201E-2</v>
      </c>
      <c r="J7" s="354">
        <v>2.1472146399617802E-2</v>
      </c>
      <c r="K7" s="354">
        <v>3.2000000000000001E-2</v>
      </c>
      <c r="L7" s="354">
        <v>4.8300000000000003E-2</v>
      </c>
      <c r="M7" s="354">
        <v>5.8000000000000003E-2</v>
      </c>
      <c r="N7" s="354">
        <v>7.8399999999999997E-2</v>
      </c>
      <c r="O7" s="354">
        <v>9.8599999999999993E-2</v>
      </c>
      <c r="P7" s="354">
        <v>0.44950000000000001</v>
      </c>
      <c r="Q7" s="354">
        <v>1</v>
      </c>
      <c r="R7" s="354" t="s">
        <v>1156</v>
      </c>
      <c r="S7" s="354">
        <v>20</v>
      </c>
      <c r="T7" s="354">
        <v>84296.81</v>
      </c>
      <c r="U7" s="354">
        <v>5.4757015742642003E-2</v>
      </c>
      <c r="V7" s="354">
        <v>0.99668588048654005</v>
      </c>
      <c r="W7" s="354">
        <v>84017.440297056499</v>
      </c>
      <c r="X7" s="354">
        <v>45</v>
      </c>
      <c r="Y7" s="354">
        <v>1.25808518105053E-3</v>
      </c>
      <c r="Z7" s="433">
        <v>-6.2589402881150404E-5</v>
      </c>
      <c r="AA7" s="354">
        <v>-1.67260062241448E-3</v>
      </c>
      <c r="AB7" s="354">
        <v>-7.8055190201993399E-3</v>
      </c>
      <c r="AC7" s="354">
        <v>1.6335956706639801E-2</v>
      </c>
      <c r="AD7" s="354">
        <v>2.9144088702702499E-2</v>
      </c>
      <c r="AE7" s="354">
        <v>-4.74431904898531E-3</v>
      </c>
      <c r="AF7" s="354">
        <v>-5.8079962646651103E-3</v>
      </c>
      <c r="AG7" s="354">
        <v>1.25808518105053E-3</v>
      </c>
      <c r="AH7" s="354">
        <v>1.25808518105053E-3</v>
      </c>
      <c r="AI7" s="354">
        <v>3029502.32273721</v>
      </c>
      <c r="AJ7" s="354">
        <v>1713.2117041981301</v>
      </c>
      <c r="AK7" s="354">
        <v>35985.9010556219</v>
      </c>
      <c r="AL7" s="354">
        <v>53756.060590856599</v>
      </c>
      <c r="AM7" s="354">
        <v>2999999.95</v>
      </c>
    </row>
    <row r="8" spans="1:39" x14ac:dyDescent="0.25">
      <c r="A8" s="354">
        <v>7</v>
      </c>
      <c r="B8" s="354">
        <v>1100000126</v>
      </c>
      <c r="C8" s="398">
        <v>44713</v>
      </c>
      <c r="D8" s="354">
        <v>104167</v>
      </c>
      <c r="E8" s="354">
        <v>4457.76</v>
      </c>
      <c r="F8" s="354" t="s">
        <v>3761</v>
      </c>
      <c r="G8" s="354">
        <v>6.5</v>
      </c>
      <c r="H8" s="354">
        <v>5.6309620499244404E-4</v>
      </c>
      <c r="I8" s="354">
        <v>1.34365773500811E-3</v>
      </c>
      <c r="J8" s="354">
        <v>2.2520613860200801E-3</v>
      </c>
      <c r="K8" s="354">
        <v>3.3999999999999998E-3</v>
      </c>
      <c r="L8" s="354">
        <v>5.7000000000000002E-3</v>
      </c>
      <c r="M8" s="354">
        <v>7.3000000000000001E-3</v>
      </c>
      <c r="N8" s="354">
        <v>1.2200000000000001E-2</v>
      </c>
      <c r="O8" s="354">
        <v>1.78E-2</v>
      </c>
      <c r="P8" s="354">
        <v>0.44550000000000001</v>
      </c>
      <c r="Q8" s="354">
        <v>1</v>
      </c>
      <c r="R8" s="354" t="s">
        <v>1156</v>
      </c>
      <c r="S8" s="354">
        <v>1</v>
      </c>
      <c r="T8" s="354">
        <v>108624.76</v>
      </c>
      <c r="U8" s="354">
        <v>2.7378507871321E-3</v>
      </c>
      <c r="V8" s="354">
        <v>0.99982759925926301</v>
      </c>
      <c r="W8" s="354">
        <v>108606.033010914</v>
      </c>
      <c r="X8" s="354">
        <v>22</v>
      </c>
      <c r="Y8" s="433">
        <v>6.1684114004423299E-6</v>
      </c>
      <c r="Z8" s="354">
        <v>-2.0891708102578599E-4</v>
      </c>
      <c r="AA8" s="354">
        <v>-4.6320127241200203E-4</v>
      </c>
      <c r="AB8" s="354">
        <v>-1.1791829173682399E-3</v>
      </c>
      <c r="AC8" s="354">
        <v>1.1009985715792999E-3</v>
      </c>
      <c r="AD8" s="354">
        <v>2.4966575907891001E-3</v>
      </c>
      <c r="AE8" s="354">
        <v>-7.5326724017941203E-3</v>
      </c>
      <c r="AF8" s="354">
        <v>-1.05053796943582E-2</v>
      </c>
      <c r="AG8" s="433">
        <v>6.1684114004423299E-6</v>
      </c>
      <c r="AH8" s="433">
        <v>6.1684114004423299E-6</v>
      </c>
      <c r="AI8" s="354">
        <v>840739.46011435601</v>
      </c>
      <c r="AJ8" s="354">
        <v>2.3103749708394399</v>
      </c>
      <c r="AK8" s="354">
        <v>804.26800890910499</v>
      </c>
      <c r="AL8" s="354">
        <v>953.44992383911006</v>
      </c>
      <c r="AM8" s="354">
        <v>833332</v>
      </c>
    </row>
    <row r="9" spans="1:39" x14ac:dyDescent="0.25">
      <c r="A9" s="354">
        <v>8</v>
      </c>
      <c r="B9" s="354">
        <v>1100000128</v>
      </c>
      <c r="C9" s="398">
        <v>44728</v>
      </c>
      <c r="D9" s="354">
        <v>0</v>
      </c>
      <c r="E9" s="354">
        <v>0</v>
      </c>
      <c r="F9" s="354" t="s">
        <v>3789</v>
      </c>
      <c r="G9" s="354">
        <v>5.25</v>
      </c>
      <c r="H9" s="354">
        <v>1.2223033272755299E-3</v>
      </c>
      <c r="I9" s="354">
        <v>2.8821982155246002E-3</v>
      </c>
      <c r="J9" s="354">
        <v>4.79415074592404E-3</v>
      </c>
      <c r="K9" s="354">
        <v>7.3000000000000001E-3</v>
      </c>
      <c r="L9" s="354">
        <v>1.0800000000000001E-2</v>
      </c>
      <c r="M9" s="354">
        <v>1.2800000000000001E-2</v>
      </c>
      <c r="N9" s="354">
        <v>1.77E-2</v>
      </c>
      <c r="O9" s="354">
        <v>2.2800000000000001E-2</v>
      </c>
      <c r="P9" s="354">
        <v>0.40620000000000001</v>
      </c>
      <c r="Q9" s="354">
        <v>1</v>
      </c>
      <c r="R9" s="354" t="s">
        <v>1156</v>
      </c>
      <c r="S9" s="354">
        <v>16</v>
      </c>
      <c r="T9" s="354">
        <v>0</v>
      </c>
      <c r="U9" s="354">
        <v>4.3805612594113599E-2</v>
      </c>
      <c r="V9" s="354">
        <v>0.99776105205266497</v>
      </c>
      <c r="W9" s="354">
        <v>0</v>
      </c>
      <c r="X9" s="354">
        <v>15</v>
      </c>
      <c r="Y9" s="354">
        <v>2.1428302237802601E-4</v>
      </c>
      <c r="Z9" s="354">
        <v>-1.4674071128718E-4</v>
      </c>
      <c r="AA9" s="354">
        <v>-6.0668983789422903E-4</v>
      </c>
      <c r="AB9" s="354">
        <v>-2.2843159697306299E-3</v>
      </c>
      <c r="AC9" s="354">
        <v>3.9417383319486597E-3</v>
      </c>
      <c r="AD9" s="354">
        <v>6.8758879169186198E-3</v>
      </c>
      <c r="AE9" s="354">
        <v>-1.82874968888047E-3</v>
      </c>
      <c r="AF9" s="354">
        <v>-2.7388841275071099E-3</v>
      </c>
      <c r="AG9" s="354">
        <v>2.1428302237802601E-4</v>
      </c>
      <c r="AH9" s="354">
        <v>2.1428302237802601E-4</v>
      </c>
      <c r="AI9" s="354">
        <v>0</v>
      </c>
      <c r="AJ9" s="354">
        <v>0</v>
      </c>
      <c r="AK9" s="354">
        <v>0</v>
      </c>
      <c r="AL9" s="354">
        <v>0</v>
      </c>
      <c r="AM9" s="354">
        <v>0</v>
      </c>
    </row>
    <row r="10" spans="1:39" x14ac:dyDescent="0.25">
      <c r="A10" s="354">
        <v>9</v>
      </c>
      <c r="B10" s="354">
        <v>1100000130</v>
      </c>
      <c r="C10" s="398">
        <v>45097</v>
      </c>
      <c r="D10" s="354">
        <v>2306250</v>
      </c>
      <c r="E10" s="354">
        <v>13221.45</v>
      </c>
      <c r="F10" s="354" t="s">
        <v>3319</v>
      </c>
      <c r="G10" s="354">
        <v>6.55</v>
      </c>
      <c r="H10" s="354">
        <v>1.0006148812764801E-3</v>
      </c>
      <c r="I10" s="354">
        <v>2.3668983149693901E-3</v>
      </c>
      <c r="J10" s="354">
        <v>3.9450311402998697E-3</v>
      </c>
      <c r="K10" s="354">
        <v>6.0000000000000001E-3</v>
      </c>
      <c r="L10" s="354">
        <v>9.2999999999999992E-3</v>
      </c>
      <c r="M10" s="354">
        <v>1.15E-2</v>
      </c>
      <c r="N10" s="354">
        <v>1.7000000000000001E-2</v>
      </c>
      <c r="O10" s="354">
        <v>2.3E-2</v>
      </c>
      <c r="P10" s="354">
        <v>0.15189421709416301</v>
      </c>
      <c r="Q10" s="354">
        <v>1</v>
      </c>
      <c r="R10" s="354" t="s">
        <v>1156</v>
      </c>
      <c r="S10" s="354">
        <v>385</v>
      </c>
      <c r="T10" s="354">
        <v>2319471.4500000002</v>
      </c>
      <c r="U10" s="354">
        <v>1.0540725530458599</v>
      </c>
      <c r="V10" s="354">
        <v>0.93531233163681604</v>
      </c>
      <c r="W10" s="354">
        <v>2169430.2500645299</v>
      </c>
      <c r="X10" s="354">
        <v>1</v>
      </c>
      <c r="Y10" s="354">
        <v>4.2120989996019499E-3</v>
      </c>
      <c r="Z10" s="354">
        <v>5.3949789161313599E-3</v>
      </c>
      <c r="AA10" s="354">
        <v>5.8644986492747296E-3</v>
      </c>
      <c r="AB10" s="354">
        <v>6.4444696506949003E-3</v>
      </c>
      <c r="AC10" s="354">
        <v>6.1787202157463899E-3</v>
      </c>
      <c r="AD10" s="354">
        <v>7.2144534655888002E-3</v>
      </c>
      <c r="AE10" s="354">
        <v>7.0903898181162695E-4</v>
      </c>
      <c r="AF10" s="354">
        <v>-8.9058433176525398E-4</v>
      </c>
      <c r="AG10" s="354">
        <v>6.0000000000000001E-3</v>
      </c>
      <c r="AH10" s="354">
        <v>6.0000000000000001E-3</v>
      </c>
      <c r="AI10" s="354">
        <v>2169430.2500645299</v>
      </c>
      <c r="AJ10" s="354">
        <v>1977.14345624367</v>
      </c>
      <c r="AK10" s="354">
        <v>1977.14345624367</v>
      </c>
      <c r="AL10" s="354">
        <v>1977.14345624367</v>
      </c>
      <c r="AM10" s="354">
        <v>2306250</v>
      </c>
    </row>
    <row r="11" spans="1:39" x14ac:dyDescent="0.25">
      <c r="A11" s="354">
        <v>10</v>
      </c>
      <c r="B11" s="354">
        <v>1100000136</v>
      </c>
      <c r="C11" s="398">
        <v>44739</v>
      </c>
      <c r="D11" s="354">
        <v>0</v>
      </c>
      <c r="E11" s="354">
        <v>14495.89</v>
      </c>
      <c r="F11" s="354" t="s">
        <v>3803</v>
      </c>
      <c r="G11" s="354">
        <v>6.9</v>
      </c>
      <c r="H11" s="354">
        <v>3.3648550417315101E-3</v>
      </c>
      <c r="I11" s="354">
        <v>7.7995178142970002E-3</v>
      </c>
      <c r="J11" s="354">
        <v>1.28266914562776E-2</v>
      </c>
      <c r="K11" s="354">
        <v>1.9300000000000001E-2</v>
      </c>
      <c r="L11" s="354">
        <v>3.0499999999999999E-2</v>
      </c>
      <c r="M11" s="354">
        <v>3.7600000000000001E-2</v>
      </c>
      <c r="N11" s="354">
        <v>5.4300000000000001E-2</v>
      </c>
      <c r="O11" s="354">
        <v>7.1599999999999997E-2</v>
      </c>
      <c r="P11" s="354">
        <v>0.1</v>
      </c>
      <c r="Q11" s="354">
        <v>1</v>
      </c>
      <c r="R11" s="354" t="s">
        <v>1156</v>
      </c>
      <c r="S11" s="354">
        <v>27</v>
      </c>
      <c r="T11" s="354">
        <v>14495.89</v>
      </c>
      <c r="U11" s="354">
        <v>7.3921971252566707E-2</v>
      </c>
      <c r="V11" s="354">
        <v>0.99507980161671095</v>
      </c>
      <c r="W11" s="354">
        <v>14424.567345457701</v>
      </c>
      <c r="X11" s="354">
        <v>46</v>
      </c>
      <c r="Y11" s="433">
        <v>9.9612809585236705E-4</v>
      </c>
      <c r="Z11" s="354">
        <v>2.41468325119675E-4</v>
      </c>
      <c r="AA11" s="354">
        <v>-7.6835512788755805E-4</v>
      </c>
      <c r="AB11" s="354">
        <v>-4.6791552625775404E-3</v>
      </c>
      <c r="AC11" s="354">
        <v>8.8125657630785392E-3</v>
      </c>
      <c r="AD11" s="354">
        <v>1.6676908368988198E-2</v>
      </c>
      <c r="AE11" s="354">
        <v>-1.2978712207814E-2</v>
      </c>
      <c r="AF11" s="354">
        <v>-1.6795680644684501E-2</v>
      </c>
      <c r="AG11" s="433">
        <v>9.9612809585236705E-4</v>
      </c>
      <c r="AH11" s="433">
        <v>9.9612809585236705E-4</v>
      </c>
      <c r="AI11" s="354">
        <v>2348609.0095754699</v>
      </c>
      <c r="AJ11" s="354">
        <v>233.95154206101299</v>
      </c>
      <c r="AK11" s="354">
        <v>4322.9861230527504</v>
      </c>
      <c r="AL11" s="354">
        <v>10050.6188376888</v>
      </c>
      <c r="AM11" s="354">
        <v>2312500</v>
      </c>
    </row>
    <row r="12" spans="1:39" x14ac:dyDescent="0.25">
      <c r="A12" s="354">
        <v>11</v>
      </c>
      <c r="B12" s="354">
        <v>1100000141</v>
      </c>
      <c r="C12" s="398">
        <v>44722</v>
      </c>
      <c r="D12" s="354">
        <v>10000</v>
      </c>
      <c r="E12" s="354">
        <v>561.23</v>
      </c>
      <c r="F12" s="354" t="s">
        <v>2790</v>
      </c>
      <c r="G12" s="354">
        <v>9.19</v>
      </c>
      <c r="H12" s="354">
        <v>6.7234241966616596E-3</v>
      </c>
      <c r="I12" s="354">
        <v>1.53758649009071E-2</v>
      </c>
      <c r="J12" s="354">
        <v>2.5048292037594299E-2</v>
      </c>
      <c r="K12" s="354">
        <v>3.7199999999999997E-2</v>
      </c>
      <c r="L12" s="354">
        <v>5.7799999999999997E-2</v>
      </c>
      <c r="M12" s="354">
        <v>7.0599999999999996E-2</v>
      </c>
      <c r="N12" s="354">
        <v>9.7699999999999995E-2</v>
      </c>
      <c r="O12" s="354">
        <v>0.12479999999999999</v>
      </c>
      <c r="P12" s="354">
        <v>0.37514320519767802</v>
      </c>
      <c r="Q12" s="354">
        <v>1</v>
      </c>
      <c r="R12" s="354" t="s">
        <v>1156</v>
      </c>
      <c r="S12" s="354">
        <v>10</v>
      </c>
      <c r="T12" s="354">
        <v>10561.23</v>
      </c>
      <c r="U12" s="354">
        <v>2.7378507871321001E-2</v>
      </c>
      <c r="V12" s="354">
        <v>0.99759579554678401</v>
      </c>
      <c r="W12" s="354">
        <v>10535.838643802599</v>
      </c>
      <c r="X12" s="354">
        <v>7</v>
      </c>
      <c r="Y12" s="354">
        <v>7.3852285772368898E-4</v>
      </c>
      <c r="Z12" s="354">
        <v>-9.8145284387452804E-4</v>
      </c>
      <c r="AA12" s="354">
        <v>-2.9097228824808701E-3</v>
      </c>
      <c r="AB12" s="354">
        <v>-1.0076049321227999E-2</v>
      </c>
      <c r="AC12" s="354">
        <v>1.6732018111869501E-2</v>
      </c>
      <c r="AD12" s="354">
        <v>3.2031280011050503E-2</v>
      </c>
      <c r="AE12" s="354">
        <v>-1.48595428594001E-2</v>
      </c>
      <c r="AF12" s="354">
        <v>-1.8504517332599502E-2</v>
      </c>
      <c r="AG12" s="354">
        <v>7.3852285772368898E-4</v>
      </c>
      <c r="AH12" s="354">
        <v>7.3852285772368898E-4</v>
      </c>
      <c r="AI12" s="354">
        <v>70498.702749399003</v>
      </c>
      <c r="AJ12" s="354">
        <v>19.5317947473985</v>
      </c>
      <c r="AK12" s="354">
        <v>212.613136358872</v>
      </c>
      <c r="AL12" s="354">
        <v>212.613136358872</v>
      </c>
      <c r="AM12" s="354">
        <v>70000</v>
      </c>
    </row>
    <row r="13" spans="1:39" x14ac:dyDescent="0.25">
      <c r="A13" s="354">
        <v>12</v>
      </c>
      <c r="B13" s="354">
        <v>1100000143</v>
      </c>
      <c r="C13" s="398">
        <v>44729</v>
      </c>
      <c r="D13" s="354">
        <v>16258.23</v>
      </c>
      <c r="E13" s="354">
        <v>1741.77</v>
      </c>
      <c r="F13" s="354" t="s">
        <v>3006</v>
      </c>
      <c r="G13" s="354">
        <v>9.75</v>
      </c>
      <c r="H13" s="354">
        <v>1.6959426148996801E-2</v>
      </c>
      <c r="I13" s="354">
        <v>3.79287063347373E-2</v>
      </c>
      <c r="J13" s="354">
        <v>6.0749195279698603E-2</v>
      </c>
      <c r="K13" s="354">
        <v>8.8300000000000003E-2</v>
      </c>
      <c r="L13" s="354">
        <v>0.13619999999999999</v>
      </c>
      <c r="M13" s="354">
        <v>0.16589999999999999</v>
      </c>
      <c r="N13" s="354">
        <v>0.21990000000000001</v>
      </c>
      <c r="O13" s="354">
        <v>0.27110000000000001</v>
      </c>
      <c r="P13" s="354">
        <v>0.256405868273481</v>
      </c>
      <c r="Q13" s="354">
        <v>1</v>
      </c>
      <c r="R13" s="354" t="s">
        <v>1156</v>
      </c>
      <c r="S13" s="354">
        <v>17</v>
      </c>
      <c r="T13" s="354">
        <v>18000</v>
      </c>
      <c r="U13" s="354">
        <v>4.6543463381245702E-2</v>
      </c>
      <c r="V13" s="354">
        <v>0.99567919676924399</v>
      </c>
      <c r="W13" s="354">
        <v>17922.225541846401</v>
      </c>
      <c r="X13" s="354">
        <v>8</v>
      </c>
      <c r="Y13" s="354">
        <v>3.1794171111714201E-3</v>
      </c>
      <c r="Z13" s="433">
        <v>-1.0592233891935199E-4</v>
      </c>
      <c r="AA13" s="354">
        <v>-3.4636931889774599E-3</v>
      </c>
      <c r="AB13" s="354">
        <v>-1.6773979398712901E-2</v>
      </c>
      <c r="AC13" s="354">
        <v>4.0157912644743797E-2</v>
      </c>
      <c r="AD13" s="354">
        <v>7.5097134072783206E-2</v>
      </c>
      <c r="AE13" s="354">
        <v>-1.6409540699429601E-2</v>
      </c>
      <c r="AF13" s="354">
        <v>-2.0251821836379899E-2</v>
      </c>
      <c r="AG13" s="354">
        <v>3.1794171111714201E-3</v>
      </c>
      <c r="AH13" s="354">
        <v>3.1794171111714201E-3</v>
      </c>
      <c r="AI13" s="354">
        <v>207444.79707360899</v>
      </c>
      <c r="AJ13" s="354">
        <v>169.11339743997399</v>
      </c>
      <c r="AK13" s="354">
        <v>1772.7806343855</v>
      </c>
      <c r="AL13" s="354">
        <v>1772.7806343855</v>
      </c>
      <c r="AM13" s="354">
        <v>206110.05</v>
      </c>
    </row>
    <row r="14" spans="1:39" x14ac:dyDescent="0.25">
      <c r="A14" s="354">
        <v>13</v>
      </c>
      <c r="B14" s="354">
        <v>1100000144</v>
      </c>
      <c r="C14" s="398">
        <v>44732</v>
      </c>
      <c r="D14" s="354">
        <v>0</v>
      </c>
      <c r="E14" s="354">
        <v>22221.32</v>
      </c>
      <c r="F14" s="354" t="s">
        <v>2966</v>
      </c>
      <c r="G14" s="354">
        <v>5.25</v>
      </c>
      <c r="H14" s="354">
        <v>5.79191349492858E-4</v>
      </c>
      <c r="I14" s="354">
        <v>1.38148556251605E-3</v>
      </c>
      <c r="J14" s="354">
        <v>2.3148493313407399E-3</v>
      </c>
      <c r="K14" s="354">
        <v>3.5000000000000001E-3</v>
      </c>
      <c r="L14" s="354">
        <v>5.3E-3</v>
      </c>
      <c r="M14" s="354">
        <v>6.3E-3</v>
      </c>
      <c r="N14" s="354">
        <v>9.1999999999999998E-3</v>
      </c>
      <c r="O14" s="354">
        <v>1.23E-2</v>
      </c>
      <c r="P14" s="354">
        <v>0.42289867849075702</v>
      </c>
      <c r="Q14" s="354">
        <v>1</v>
      </c>
      <c r="R14" s="354" t="s">
        <v>1156</v>
      </c>
      <c r="S14" s="354">
        <v>20</v>
      </c>
      <c r="T14" s="354">
        <v>22221.32</v>
      </c>
      <c r="U14" s="354">
        <v>5.4757015742642003E-2</v>
      </c>
      <c r="V14" s="354">
        <v>0.99720209876841903</v>
      </c>
      <c r="W14" s="354">
        <v>22159.146941404601</v>
      </c>
      <c r="X14" s="354">
        <v>28</v>
      </c>
      <c r="Y14" s="354">
        <v>1.2688786047865299E-4</v>
      </c>
      <c r="Z14" s="354">
        <v>-4.7377916119368202E-5</v>
      </c>
      <c r="AA14" s="354">
        <v>-2.8080911680075101E-4</v>
      </c>
      <c r="AB14" s="354">
        <v>-9.8102141935232706E-4</v>
      </c>
      <c r="AC14" s="354">
        <v>1.79556811756887E-3</v>
      </c>
      <c r="AD14" s="354">
        <v>3.3518733336263002E-3</v>
      </c>
      <c r="AE14" s="354">
        <v>-2.29061284013166E-3</v>
      </c>
      <c r="AF14" s="354">
        <v>-3.1254600382644199E-3</v>
      </c>
      <c r="AG14" s="354">
        <v>1.2688786047865299E-4</v>
      </c>
      <c r="AH14" s="354">
        <v>1.2688786047865299E-4</v>
      </c>
      <c r="AI14" s="354">
        <v>4505312.5449377997</v>
      </c>
      <c r="AJ14" s="354">
        <v>241.75826323360701</v>
      </c>
      <c r="AK14" s="354">
        <v>6111.0905959493502</v>
      </c>
      <c r="AL14" s="354">
        <v>8343.5871165526405</v>
      </c>
      <c r="AM14" s="354">
        <v>4468749.95</v>
      </c>
    </row>
    <row r="15" spans="1:39" x14ac:dyDescent="0.25">
      <c r="A15" s="354">
        <v>14</v>
      </c>
      <c r="B15" s="354">
        <v>1100000145</v>
      </c>
      <c r="C15" s="398">
        <v>45097</v>
      </c>
      <c r="D15" s="354">
        <v>9722974.0099999998</v>
      </c>
      <c r="E15" s="354">
        <v>38252.57</v>
      </c>
      <c r="F15" s="354" t="s">
        <v>2874</v>
      </c>
      <c r="G15" s="354">
        <v>6.93</v>
      </c>
      <c r="H15" s="354">
        <v>2.5522499619300799E-2</v>
      </c>
      <c r="I15" s="354">
        <v>5.6365334901311501E-2</v>
      </c>
      <c r="J15" s="354">
        <v>8.9355863861766596E-2</v>
      </c>
      <c r="K15" s="354">
        <v>0.1283</v>
      </c>
      <c r="L15" s="354">
        <v>0.1852</v>
      </c>
      <c r="M15" s="354">
        <v>0.21690000000000001</v>
      </c>
      <c r="N15" s="354">
        <v>0.26939999999999997</v>
      </c>
      <c r="O15" s="354">
        <v>0.31619999999999998</v>
      </c>
      <c r="P15" s="354">
        <v>0.2402</v>
      </c>
      <c r="Q15" s="354">
        <v>1</v>
      </c>
      <c r="R15" s="354" t="s">
        <v>1156</v>
      </c>
      <c r="S15" s="354">
        <v>385</v>
      </c>
      <c r="T15" s="354">
        <v>9761226.5800000001</v>
      </c>
      <c r="U15" s="354">
        <v>1.0540725530458599</v>
      </c>
      <c r="V15" s="354">
        <v>0.93180909544103996</v>
      </c>
      <c r="W15" s="354">
        <v>9095599.7099048402</v>
      </c>
      <c r="X15" s="354">
        <v>1</v>
      </c>
      <c r="Y15" s="354">
        <v>0.10327615471436399</v>
      </c>
      <c r="Z15" s="354">
        <v>0.12472200885281801</v>
      </c>
      <c r="AA15" s="354">
        <v>0.12948192133112199</v>
      </c>
      <c r="AB15" s="354">
        <v>0.13672323546863899</v>
      </c>
      <c r="AC15" s="354">
        <v>0.13147594043105901</v>
      </c>
      <c r="AD15" s="354">
        <v>0.15403393659954401</v>
      </c>
      <c r="AE15" s="354">
        <v>0.10368075453056699</v>
      </c>
      <c r="AF15" s="354">
        <v>0.112074015824247</v>
      </c>
      <c r="AG15" s="354">
        <v>0.1283</v>
      </c>
      <c r="AH15" s="354">
        <v>0.1283</v>
      </c>
      <c r="AI15" s="354">
        <v>9095599.7099048402</v>
      </c>
      <c r="AJ15" s="354">
        <v>280305.099355946</v>
      </c>
      <c r="AK15" s="354">
        <v>280305.099355946</v>
      </c>
      <c r="AL15" s="354">
        <v>280305.099355946</v>
      </c>
      <c r="AM15" s="354">
        <v>9722974.0099999998</v>
      </c>
    </row>
    <row r="16" spans="1:39" x14ac:dyDescent="0.25">
      <c r="A16" s="354">
        <v>15</v>
      </c>
      <c r="B16" s="354">
        <v>1100000150</v>
      </c>
      <c r="C16" s="398">
        <v>44736</v>
      </c>
      <c r="D16" s="354">
        <v>4872</v>
      </c>
      <c r="E16" s="354">
        <v>15419.15</v>
      </c>
      <c r="F16" s="354" t="s">
        <v>3848</v>
      </c>
      <c r="G16" s="354">
        <v>5.25</v>
      </c>
      <c r="H16" s="354">
        <v>2.06507287317242E-3</v>
      </c>
      <c r="I16" s="354">
        <v>4.8278134180611597E-3</v>
      </c>
      <c r="J16" s="354">
        <v>7.9853702124685899E-3</v>
      </c>
      <c r="K16" s="354">
        <v>1.21E-2</v>
      </c>
      <c r="L16" s="354">
        <v>1.8800000000000001E-2</v>
      </c>
      <c r="M16" s="354">
        <v>2.29E-2</v>
      </c>
      <c r="N16" s="354">
        <v>3.3099999999999997E-2</v>
      </c>
      <c r="O16" s="354">
        <v>4.3700000000000003E-2</v>
      </c>
      <c r="P16" s="354">
        <v>0.15</v>
      </c>
      <c r="Q16" s="354">
        <v>1</v>
      </c>
      <c r="R16" s="354" t="s">
        <v>1156</v>
      </c>
      <c r="S16" s="354">
        <v>24</v>
      </c>
      <c r="T16" s="354">
        <v>20291.150000000001</v>
      </c>
      <c r="U16" s="354">
        <v>6.5708418891170406E-2</v>
      </c>
      <c r="V16" s="354">
        <v>0.99664345861402803</v>
      </c>
      <c r="W16" s="354">
        <v>20223.041915255999</v>
      </c>
      <c r="X16" s="354">
        <v>47</v>
      </c>
      <c r="Y16" s="433">
        <v>5.4318431878697105E-4</v>
      </c>
      <c r="Z16" s="433">
        <v>2.8473580328358099E-5</v>
      </c>
      <c r="AA16" s="354">
        <v>-6.5738791267537402E-4</v>
      </c>
      <c r="AB16" s="354">
        <v>-3.2770558794808398E-3</v>
      </c>
      <c r="AC16" s="354">
        <v>5.79891296126966E-3</v>
      </c>
      <c r="AD16" s="354">
        <v>1.08205177821054E-2</v>
      </c>
      <c r="AE16" s="354">
        <v>-7.65510486921284E-3</v>
      </c>
      <c r="AF16" s="354">
        <v>-9.7563786049779094E-3</v>
      </c>
      <c r="AG16" s="433">
        <v>5.4318431878697105E-4</v>
      </c>
      <c r="AH16" s="433">
        <v>5.4318431878697105E-4</v>
      </c>
      <c r="AI16" s="354">
        <v>3346340.0918293102</v>
      </c>
      <c r="AJ16" s="354">
        <v>272.65191948147498</v>
      </c>
      <c r="AK16" s="354">
        <v>5840.7406248402904</v>
      </c>
      <c r="AL16" s="354">
        <v>14016.2149497107</v>
      </c>
      <c r="AM16" s="354">
        <v>3300873.9</v>
      </c>
    </row>
    <row r="17" spans="1:39" x14ac:dyDescent="0.25">
      <c r="A17" s="354">
        <v>16</v>
      </c>
      <c r="B17" s="354">
        <v>1100000151</v>
      </c>
      <c r="C17" s="398">
        <v>44733</v>
      </c>
      <c r="D17" s="354">
        <v>243750</v>
      </c>
      <c r="E17" s="354">
        <v>96880.61</v>
      </c>
      <c r="F17" s="354" t="s">
        <v>3062</v>
      </c>
      <c r="G17" s="354">
        <v>7.02</v>
      </c>
      <c r="H17" s="354">
        <v>4.68552301196542E-4</v>
      </c>
      <c r="I17" s="354">
        <v>1.1210892140692799E-3</v>
      </c>
      <c r="J17" s="354">
        <v>1.88224143987814E-3</v>
      </c>
      <c r="K17" s="354">
        <v>2.8999999999999998E-3</v>
      </c>
      <c r="L17" s="354">
        <v>4.1999999999999997E-3</v>
      </c>
      <c r="M17" s="354">
        <v>5.0000000000000001E-3</v>
      </c>
      <c r="N17" s="354">
        <v>7.1000000000000004E-3</v>
      </c>
      <c r="O17" s="354">
        <v>9.2999999999999992E-3</v>
      </c>
      <c r="P17" s="354">
        <v>0.1</v>
      </c>
      <c r="Q17" s="354">
        <v>1</v>
      </c>
      <c r="R17" s="354" t="s">
        <v>1156</v>
      </c>
      <c r="S17" s="354">
        <v>21</v>
      </c>
      <c r="T17" s="354">
        <v>340630.61</v>
      </c>
      <c r="U17" s="354">
        <v>5.7494866529774098E-2</v>
      </c>
      <c r="V17" s="354">
        <v>0.99610682745978996</v>
      </c>
      <c r="W17" s="354">
        <v>339304.476262793</v>
      </c>
      <c r="X17" s="354">
        <v>25</v>
      </c>
      <c r="Y17" s="354">
        <v>1.07776852614982E-4</v>
      </c>
      <c r="Z17" s="354">
        <v>-3.3914520830722003E-5</v>
      </c>
      <c r="AA17" s="354">
        <v>-2.26165855021552E-4</v>
      </c>
      <c r="AB17" s="354">
        <v>-9.3697067019247299E-4</v>
      </c>
      <c r="AC17" s="354">
        <v>1.67318979656028E-3</v>
      </c>
      <c r="AD17" s="354">
        <v>2.6441571715781799E-3</v>
      </c>
      <c r="AE17" s="354">
        <v>-1.20505885078104E-3</v>
      </c>
      <c r="AF17" s="354">
        <v>-1.62121350617506E-3</v>
      </c>
      <c r="AG17" s="354">
        <v>1.07776852614982E-4</v>
      </c>
      <c r="AH17" s="354">
        <v>1.07776852614982E-4</v>
      </c>
      <c r="AI17" s="354">
        <v>16983018.2453117</v>
      </c>
      <c r="AJ17" s="354">
        <v>183.03762543825101</v>
      </c>
      <c r="AK17" s="354">
        <v>4559.4190816851296</v>
      </c>
      <c r="AL17" s="354">
        <v>6424.6644282997004</v>
      </c>
      <c r="AM17" s="354">
        <v>16818750</v>
      </c>
    </row>
    <row r="18" spans="1:39" x14ac:dyDescent="0.25">
      <c r="A18" s="354">
        <v>17</v>
      </c>
      <c r="B18" s="354">
        <v>1100000152</v>
      </c>
      <c r="C18" s="398">
        <v>44722</v>
      </c>
      <c r="D18" s="354">
        <v>8561038</v>
      </c>
      <c r="E18" s="354">
        <v>49313.919999999998</v>
      </c>
      <c r="F18" s="354" t="s">
        <v>3181</v>
      </c>
      <c r="G18" s="354">
        <v>7.03</v>
      </c>
      <c r="H18" s="354">
        <v>4.68552301196542E-4</v>
      </c>
      <c r="I18" s="354">
        <v>1.1210892140692799E-3</v>
      </c>
      <c r="J18" s="354">
        <v>1.88224143987814E-3</v>
      </c>
      <c r="K18" s="354">
        <v>2.8999999999999998E-3</v>
      </c>
      <c r="L18" s="354">
        <v>4.1999999999999997E-3</v>
      </c>
      <c r="M18" s="354">
        <v>5.0000000000000001E-3</v>
      </c>
      <c r="N18" s="354">
        <v>7.1000000000000004E-3</v>
      </c>
      <c r="O18" s="354">
        <v>9.2999999999999992E-3</v>
      </c>
      <c r="P18" s="354">
        <v>0.1</v>
      </c>
      <c r="Q18" s="354">
        <v>1</v>
      </c>
      <c r="R18" s="354" t="s">
        <v>1156</v>
      </c>
      <c r="S18" s="354">
        <v>10</v>
      </c>
      <c r="T18" s="354">
        <v>8610351.9199999999</v>
      </c>
      <c r="U18" s="354">
        <v>2.7378507871321001E-2</v>
      </c>
      <c r="V18" s="354">
        <v>0.99814166087329304</v>
      </c>
      <c r="W18" s="354">
        <v>8594350.9661323391</v>
      </c>
      <c r="X18" s="354">
        <v>1</v>
      </c>
      <c r="Y18" s="354">
        <v>5.1323759537091902E-5</v>
      </c>
      <c r="Z18" s="433">
        <v>-1.12522663654543E-4</v>
      </c>
      <c r="AA18" s="354">
        <v>-3.1785838872611002E-4</v>
      </c>
      <c r="AB18" s="354">
        <v>-1.05957539748984E-3</v>
      </c>
      <c r="AC18" s="354">
        <v>1.63396401286275E-3</v>
      </c>
      <c r="AD18" s="354">
        <v>2.6200164511416299E-3</v>
      </c>
      <c r="AE18" s="354">
        <v>-1.2687668888826701E-3</v>
      </c>
      <c r="AF18" s="354">
        <v>-1.6881278518881E-3</v>
      </c>
      <c r="AG18" s="354">
        <v>5.1323759537091902E-5</v>
      </c>
      <c r="AH18" s="354">
        <v>5.1323759537091902E-5</v>
      </c>
      <c r="AI18" s="354">
        <v>8594350.9661323391</v>
      </c>
      <c r="AJ18" s="354">
        <v>44.109440236315002</v>
      </c>
      <c r="AK18" s="354">
        <v>44.109440236315002</v>
      </c>
      <c r="AL18" s="354">
        <v>44.109440236315002</v>
      </c>
      <c r="AM18" s="354">
        <v>8561038</v>
      </c>
    </row>
    <row r="19" spans="1:39" x14ac:dyDescent="0.25">
      <c r="A19" s="354">
        <v>18</v>
      </c>
      <c r="B19" s="354">
        <v>1100000153</v>
      </c>
      <c r="C19" s="398">
        <v>44742</v>
      </c>
      <c r="D19" s="354">
        <v>40245859.899999999</v>
      </c>
      <c r="E19" s="354">
        <v>373369.55</v>
      </c>
      <c r="F19" s="354" t="s">
        <v>3035</v>
      </c>
      <c r="G19" s="354">
        <v>5.8</v>
      </c>
      <c r="H19" s="354">
        <v>2.5522499619300799E-2</v>
      </c>
      <c r="I19" s="354">
        <v>5.6365334901311501E-2</v>
      </c>
      <c r="J19" s="354">
        <v>8.9355863861766596E-2</v>
      </c>
      <c r="K19" s="354">
        <v>0.1283</v>
      </c>
      <c r="L19" s="354">
        <v>0.1852</v>
      </c>
      <c r="M19" s="354">
        <v>0.21690000000000001</v>
      </c>
      <c r="N19" s="354">
        <v>0.26939999999999997</v>
      </c>
      <c r="O19" s="354">
        <v>0.31619999999999998</v>
      </c>
      <c r="P19" s="354">
        <v>0.1613</v>
      </c>
      <c r="Q19" s="354">
        <v>1</v>
      </c>
      <c r="R19" s="354" t="s">
        <v>1156</v>
      </c>
      <c r="S19" s="354">
        <v>30</v>
      </c>
      <c r="T19" s="354">
        <v>40619229.450000003</v>
      </c>
      <c r="U19" s="354">
        <v>8.2135523613962994E-2</v>
      </c>
      <c r="V19" s="354">
        <v>0.99537987754476698</v>
      </c>
      <c r="W19" s="354">
        <v>40431563.635903798</v>
      </c>
      <c r="X19" s="354">
        <v>1</v>
      </c>
      <c r="Y19" s="433">
        <v>8.4581048398188995E-3</v>
      </c>
      <c r="Z19" s="433">
        <v>4.8128340397987296E-3</v>
      </c>
      <c r="AA19" s="354">
        <v>1.2230544622754899E-3</v>
      </c>
      <c r="AB19" s="354">
        <v>-1.4681756499304401E-2</v>
      </c>
      <c r="AC19" s="354">
        <v>7.2582717978961098E-2</v>
      </c>
      <c r="AD19" s="354">
        <v>0.120768769034346</v>
      </c>
      <c r="AE19" s="354">
        <v>4.1141487202323197E-2</v>
      </c>
      <c r="AF19" s="354">
        <v>5.3064255744860699E-2</v>
      </c>
      <c r="AG19" s="433">
        <v>8.4581048398188995E-3</v>
      </c>
      <c r="AH19" s="433">
        <v>8.4581048398188995E-3</v>
      </c>
      <c r="AI19" s="354">
        <v>40431563.635903798</v>
      </c>
      <c r="AJ19" s="354">
        <v>55160.471376536698</v>
      </c>
      <c r="AK19" s="354">
        <v>55160.471376536698</v>
      </c>
      <c r="AL19" s="354">
        <v>55160.471376536698</v>
      </c>
      <c r="AM19" s="354">
        <v>40245859.899999999</v>
      </c>
    </row>
    <row r="20" spans="1:39" x14ac:dyDescent="0.25">
      <c r="A20" s="354">
        <v>19</v>
      </c>
      <c r="B20" s="354">
        <v>1100000157</v>
      </c>
      <c r="C20" s="398">
        <v>44739</v>
      </c>
      <c r="D20" s="354">
        <v>0</v>
      </c>
      <c r="E20" s="354">
        <v>8991.7800000000007</v>
      </c>
      <c r="F20" s="354" t="s">
        <v>1169</v>
      </c>
      <c r="G20" s="354">
        <v>6.25</v>
      </c>
      <c r="H20" s="354">
        <v>3.9243287312250999E-3</v>
      </c>
      <c r="I20" s="354">
        <v>9.0705793225682695E-3</v>
      </c>
      <c r="J20" s="354">
        <v>1.48879943652658E-2</v>
      </c>
      <c r="K20" s="354">
        <v>2.23E-2</v>
      </c>
      <c r="L20" s="354">
        <v>3.5200000000000002E-2</v>
      </c>
      <c r="M20" s="354">
        <v>4.36E-2</v>
      </c>
      <c r="N20" s="354">
        <v>6.2600000000000003E-2</v>
      </c>
      <c r="O20" s="354">
        <v>8.2199999999999995E-2</v>
      </c>
      <c r="P20" s="354">
        <v>0.1</v>
      </c>
      <c r="Q20" s="354">
        <v>1</v>
      </c>
      <c r="R20" s="354" t="s">
        <v>1156</v>
      </c>
      <c r="S20" s="354">
        <v>27</v>
      </c>
      <c r="T20" s="354">
        <v>8991.7800000000007</v>
      </c>
      <c r="U20" s="354">
        <v>7.3921971252566707E-2</v>
      </c>
      <c r="V20" s="354">
        <v>0.99552853534806895</v>
      </c>
      <c r="W20" s="354">
        <v>8951.5735735720591</v>
      </c>
      <c r="X20" s="354">
        <v>47</v>
      </c>
      <c r="Y20" s="433">
        <v>1.16198365984932E-3</v>
      </c>
      <c r="Z20" s="433">
        <v>2.99762092969028E-4</v>
      </c>
      <c r="AA20" s="354">
        <v>-8.4411161262459996E-4</v>
      </c>
      <c r="AB20" s="354">
        <v>-5.1563822691181498E-3</v>
      </c>
      <c r="AC20" s="354">
        <v>1.0199816567979201E-2</v>
      </c>
      <c r="AD20" s="354">
        <v>1.8812483721555199E-2</v>
      </c>
      <c r="AE20" s="354">
        <v>-1.4236464329508499E-2</v>
      </c>
      <c r="AF20" s="354">
        <v>-1.84838768093427E-2</v>
      </c>
      <c r="AG20" s="433">
        <v>1.16198365984932E-3</v>
      </c>
      <c r="AH20" s="433">
        <v>1.16198365984932E-3</v>
      </c>
      <c r="AI20" s="354">
        <v>1544405.43914957</v>
      </c>
      <c r="AJ20" s="354">
        <v>179.45738844742101</v>
      </c>
      <c r="AK20" s="354">
        <v>3323.4443446902101</v>
      </c>
      <c r="AL20" s="354">
        <v>8338.6648889206899</v>
      </c>
      <c r="AM20" s="354">
        <v>1500000</v>
      </c>
    </row>
    <row r="21" spans="1:39" x14ac:dyDescent="0.25">
      <c r="A21" s="354">
        <v>20</v>
      </c>
      <c r="B21" s="354">
        <v>1100000168</v>
      </c>
      <c r="C21" s="398">
        <v>44742</v>
      </c>
      <c r="D21" s="354">
        <v>91188</v>
      </c>
      <c r="E21" s="354">
        <v>87225.78</v>
      </c>
      <c r="F21" s="354" t="s">
        <v>2934</v>
      </c>
      <c r="G21" s="354">
        <v>5.25</v>
      </c>
      <c r="H21" s="354">
        <v>2.1236868484003201E-2</v>
      </c>
      <c r="I21" s="354">
        <v>4.7180363155235799E-2</v>
      </c>
      <c r="J21" s="354">
        <v>7.5162968758901605E-2</v>
      </c>
      <c r="K21" s="354">
        <v>0.1086</v>
      </c>
      <c r="L21" s="354">
        <v>0.15670000000000001</v>
      </c>
      <c r="M21" s="354">
        <v>0.1835</v>
      </c>
      <c r="N21" s="354">
        <v>0.22919999999999999</v>
      </c>
      <c r="O21" s="354">
        <v>0.27060000000000001</v>
      </c>
      <c r="P21" s="354">
        <v>0.1</v>
      </c>
      <c r="Q21" s="354">
        <v>1</v>
      </c>
      <c r="R21" s="354" t="s">
        <v>1156</v>
      </c>
      <c r="S21" s="354">
        <v>30</v>
      </c>
      <c r="T21" s="354">
        <v>178413.78</v>
      </c>
      <c r="U21" s="354">
        <v>8.2135523613962994E-2</v>
      </c>
      <c r="V21" s="354">
        <v>0.99580608511722102</v>
      </c>
      <c r="W21" s="354">
        <v>177665.527792765</v>
      </c>
      <c r="X21" s="354">
        <v>13</v>
      </c>
      <c r="Y21" s="354">
        <v>7.0275486378301704E-3</v>
      </c>
      <c r="Z21" s="354">
        <v>3.81690388956163E-3</v>
      </c>
      <c r="AA21" s="354">
        <v>4.08615801264542E-4</v>
      </c>
      <c r="AB21" s="354">
        <v>-1.4162652688057401E-2</v>
      </c>
      <c r="AC21" s="354">
        <v>6.2039669644435497E-2</v>
      </c>
      <c r="AD21" s="354">
        <v>0.10281522052627599</v>
      </c>
      <c r="AE21" s="354">
        <v>3.4071321105945802E-2</v>
      </c>
      <c r="AF21" s="354">
        <v>4.3078710037531401E-2</v>
      </c>
      <c r="AG21" s="354">
        <v>7.0275486378301704E-3</v>
      </c>
      <c r="AH21" s="354">
        <v>7.0275486378301704E-3</v>
      </c>
      <c r="AI21" s="354">
        <v>6589533.1443049898</v>
      </c>
      <c r="AJ21" s="354">
        <v>4630.8264672197301</v>
      </c>
      <c r="AK21" s="354">
        <v>67092.271685727494</v>
      </c>
      <c r="AL21" s="354">
        <v>105848.627046148</v>
      </c>
      <c r="AM21" s="354">
        <v>6474308</v>
      </c>
    </row>
    <row r="22" spans="1:39" x14ac:dyDescent="0.25">
      <c r="A22" s="354">
        <v>21</v>
      </c>
      <c r="B22" s="354">
        <v>1100000171</v>
      </c>
      <c r="C22" s="398">
        <v>44713</v>
      </c>
      <c r="D22" s="354">
        <v>0</v>
      </c>
      <c r="E22" s="354">
        <v>25976.17</v>
      </c>
      <c r="F22" s="354" t="s">
        <v>3165</v>
      </c>
      <c r="G22" s="354">
        <v>6.37</v>
      </c>
      <c r="H22" s="354">
        <v>2.4783737762410301E-3</v>
      </c>
      <c r="I22" s="354">
        <v>5.77597863222723E-3</v>
      </c>
      <c r="J22" s="354">
        <v>9.53380757690225E-3</v>
      </c>
      <c r="K22" s="354">
        <v>1.44E-2</v>
      </c>
      <c r="L22" s="354">
        <v>2.1600000000000001E-2</v>
      </c>
      <c r="M22" s="354">
        <v>2.5700000000000001E-2</v>
      </c>
      <c r="N22" s="354">
        <v>3.5499999999999997E-2</v>
      </c>
      <c r="O22" s="354">
        <v>4.5400000000000003E-2</v>
      </c>
      <c r="P22" s="354">
        <v>0.15</v>
      </c>
      <c r="Q22" s="354">
        <v>1</v>
      </c>
      <c r="R22" s="354" t="s">
        <v>1156</v>
      </c>
      <c r="S22" s="354">
        <v>1</v>
      </c>
      <c r="T22" s="354">
        <v>25976.17</v>
      </c>
      <c r="U22" s="354">
        <v>2.7378507871321E-3</v>
      </c>
      <c r="V22" s="354">
        <v>0.99983094270719397</v>
      </c>
      <c r="W22" s="354">
        <v>25971.7785390223</v>
      </c>
      <c r="X22" s="354">
        <v>5</v>
      </c>
      <c r="Y22" s="354">
        <v>2.71749904062757E-5</v>
      </c>
      <c r="Z22" s="354">
        <v>-7.8311767954272098E-4</v>
      </c>
      <c r="AA22" s="354">
        <v>-1.6985257573864699E-3</v>
      </c>
      <c r="AB22" s="354">
        <v>-5.0114780573673303E-3</v>
      </c>
      <c r="AC22" s="354">
        <v>7.1669458117178397E-3</v>
      </c>
      <c r="AD22" s="354">
        <v>1.3359510737774499E-2</v>
      </c>
      <c r="AE22" s="354">
        <v>-4.2737099513934203E-3</v>
      </c>
      <c r="AF22" s="354">
        <v>-5.10902366074406E-3</v>
      </c>
      <c r="AG22" s="354">
        <v>2.71749904062757E-5</v>
      </c>
      <c r="AH22" s="354">
        <v>2.71749904062757E-5</v>
      </c>
      <c r="AI22" s="354">
        <v>4997595.3116490999</v>
      </c>
      <c r="AJ22" s="354">
        <v>20.371440697276899</v>
      </c>
      <c r="AK22" s="354">
        <v>2731.0592433920601</v>
      </c>
      <c r="AL22" s="354">
        <v>2731.0592433920601</v>
      </c>
      <c r="AM22" s="354">
        <v>4965593</v>
      </c>
    </row>
    <row r="23" spans="1:39" x14ac:dyDescent="0.25">
      <c r="A23" s="354">
        <v>22</v>
      </c>
      <c r="B23" s="354">
        <v>1100000175</v>
      </c>
      <c r="C23" s="398">
        <v>44732</v>
      </c>
      <c r="D23" s="354">
        <v>95138.880000000005</v>
      </c>
      <c r="E23" s="354">
        <v>108772.43</v>
      </c>
      <c r="F23" s="354" t="s">
        <v>2963</v>
      </c>
      <c r="G23" s="354">
        <v>6.15</v>
      </c>
      <c r="H23" s="354">
        <v>3.9335337154020301E-2</v>
      </c>
      <c r="I23" s="354">
        <v>8.5460952654883196E-2</v>
      </c>
      <c r="J23" s="354">
        <v>0.133603603846457</v>
      </c>
      <c r="K23" s="354">
        <v>0.1885</v>
      </c>
      <c r="L23" s="354">
        <v>0.28870000000000001</v>
      </c>
      <c r="M23" s="354">
        <v>0.35089999999999999</v>
      </c>
      <c r="N23" s="354">
        <v>0.44540000000000002</v>
      </c>
      <c r="O23" s="354">
        <v>0.52690000000000003</v>
      </c>
      <c r="P23" s="354">
        <v>0.15358983630422801</v>
      </c>
      <c r="Q23" s="354">
        <v>1</v>
      </c>
      <c r="R23" s="354" t="s">
        <v>1156</v>
      </c>
      <c r="S23" s="354">
        <v>20</v>
      </c>
      <c r="T23" s="354">
        <v>203911.31</v>
      </c>
      <c r="U23" s="354">
        <v>5.4757015742642003E-2</v>
      </c>
      <c r="V23" s="354">
        <v>0.99673727121673805</v>
      </c>
      <c r="W23" s="354">
        <v>203246.00269962999</v>
      </c>
      <c r="X23" s="354">
        <v>13</v>
      </c>
      <c r="Y23" s="433">
        <v>8.7510538807806793E-3</v>
      </c>
      <c r="Z23" s="354">
        <v>3.3125258696365899E-3</v>
      </c>
      <c r="AA23" s="354">
        <v>-2.7975809150707098E-4</v>
      </c>
      <c r="AB23" s="354">
        <v>-1.9061733300594901E-2</v>
      </c>
      <c r="AC23" s="354">
        <v>8.0841976359994294E-2</v>
      </c>
      <c r="AD23" s="354">
        <v>0.15011708591029399</v>
      </c>
      <c r="AE23" s="354">
        <v>-3.1727955887675699E-2</v>
      </c>
      <c r="AF23" s="354">
        <v>-3.8264072091706E-2</v>
      </c>
      <c r="AG23" s="433">
        <v>8.7510538807806793E-3</v>
      </c>
      <c r="AH23" s="433">
        <v>8.7510538807806793E-3</v>
      </c>
      <c r="AI23" s="354">
        <v>20155474.477336101</v>
      </c>
      <c r="AJ23" s="354">
        <v>27090.427697537401</v>
      </c>
      <c r="AK23" s="354">
        <v>558148.25873491704</v>
      </c>
      <c r="AL23" s="354">
        <v>558148.25873491704</v>
      </c>
      <c r="AM23" s="354">
        <v>20011058.510000002</v>
      </c>
    </row>
    <row r="24" spans="1:39" x14ac:dyDescent="0.25">
      <c r="A24" s="354">
        <v>23</v>
      </c>
      <c r="B24" s="354">
        <v>1100000182</v>
      </c>
      <c r="C24" s="398">
        <v>44718</v>
      </c>
      <c r="D24" s="354">
        <v>0</v>
      </c>
      <c r="E24" s="354">
        <v>0</v>
      </c>
      <c r="F24" s="354" t="s">
        <v>3267</v>
      </c>
      <c r="G24" s="354">
        <v>5.98</v>
      </c>
      <c r="H24" s="354">
        <v>1.0705050271156201E-2</v>
      </c>
      <c r="I24" s="354">
        <v>2.4228274039793801E-2</v>
      </c>
      <c r="J24" s="354">
        <v>3.9166971899740298E-2</v>
      </c>
      <c r="K24" s="354">
        <v>5.7599999999999998E-2</v>
      </c>
      <c r="L24" s="354">
        <v>8.2600000000000007E-2</v>
      </c>
      <c r="M24" s="354">
        <v>9.6000000000000002E-2</v>
      </c>
      <c r="N24" s="354">
        <v>0.1212</v>
      </c>
      <c r="O24" s="354">
        <v>0.14460000000000001</v>
      </c>
      <c r="P24" s="354">
        <v>0.287227298290823</v>
      </c>
      <c r="Q24" s="354">
        <v>1</v>
      </c>
      <c r="R24" s="354" t="s">
        <v>1156</v>
      </c>
      <c r="S24" s="354">
        <v>6</v>
      </c>
      <c r="T24" s="354">
        <v>0</v>
      </c>
      <c r="U24" s="354">
        <v>1.6427104722792601E-2</v>
      </c>
      <c r="V24" s="354">
        <v>0.99904636528919599</v>
      </c>
      <c r="W24" s="354">
        <v>0</v>
      </c>
      <c r="X24" s="354">
        <v>11</v>
      </c>
      <c r="Y24" s="354">
        <v>7.0695403513676403E-4</v>
      </c>
      <c r="Z24" s="354">
        <v>-1.9295838453327E-3</v>
      </c>
      <c r="AA24" s="354">
        <v>-4.6675234634292401E-3</v>
      </c>
      <c r="AB24" s="354">
        <v>-1.4920907269194299E-2</v>
      </c>
      <c r="AC24" s="354">
        <v>3.2346198040195999E-2</v>
      </c>
      <c r="AD24" s="354">
        <v>5.5429512450478398E-2</v>
      </c>
      <c r="AE24" s="354">
        <v>1.6437688603072501E-2</v>
      </c>
      <c r="AF24" s="354">
        <v>2.1455188111060699E-2</v>
      </c>
      <c r="AG24" s="354">
        <v>7.0695403513676403E-4</v>
      </c>
      <c r="AH24" s="354">
        <v>7.0695403513676403E-4</v>
      </c>
      <c r="AI24" s="354">
        <v>0</v>
      </c>
      <c r="AJ24" s="354">
        <v>0</v>
      </c>
      <c r="AK24" s="354">
        <v>0</v>
      </c>
      <c r="AL24" s="354">
        <v>0</v>
      </c>
      <c r="AM24" s="354">
        <v>0</v>
      </c>
    </row>
    <row r="25" spans="1:39" x14ac:dyDescent="0.25">
      <c r="A25" s="354">
        <v>24</v>
      </c>
      <c r="B25" s="354">
        <v>1100000184</v>
      </c>
      <c r="C25" s="398">
        <v>44718</v>
      </c>
      <c r="D25" s="354">
        <v>250000</v>
      </c>
      <c r="E25" s="354">
        <v>79327.5</v>
      </c>
      <c r="F25" s="354" t="s">
        <v>3266</v>
      </c>
      <c r="G25" s="354">
        <v>5.98</v>
      </c>
      <c r="H25" s="354">
        <v>1.0705050271156201E-2</v>
      </c>
      <c r="I25" s="354">
        <v>2.4228274039793801E-2</v>
      </c>
      <c r="J25" s="354">
        <v>3.9166971899740298E-2</v>
      </c>
      <c r="K25" s="354">
        <v>5.7599999999999998E-2</v>
      </c>
      <c r="L25" s="354">
        <v>8.2600000000000007E-2</v>
      </c>
      <c r="M25" s="354">
        <v>9.6000000000000002E-2</v>
      </c>
      <c r="N25" s="354">
        <v>0.1212</v>
      </c>
      <c r="O25" s="354">
        <v>0.14460000000000001</v>
      </c>
      <c r="P25" s="354">
        <v>0.287227298290823</v>
      </c>
      <c r="Q25" s="354">
        <v>1</v>
      </c>
      <c r="R25" s="354" t="s">
        <v>1156</v>
      </c>
      <c r="S25" s="354">
        <v>6</v>
      </c>
      <c r="T25" s="354">
        <v>329327.5</v>
      </c>
      <c r="U25" s="354">
        <v>1.6427104722792601E-2</v>
      </c>
      <c r="V25" s="354">
        <v>0.99904636528919599</v>
      </c>
      <c r="W25" s="354">
        <v>329013.441864778</v>
      </c>
      <c r="X25" s="354">
        <v>11</v>
      </c>
      <c r="Y25" s="433">
        <v>7.0695403513676403E-4</v>
      </c>
      <c r="Z25" s="354">
        <v>-1.9295838453327E-3</v>
      </c>
      <c r="AA25" s="354">
        <v>-4.6675234634292401E-3</v>
      </c>
      <c r="AB25" s="354">
        <v>-1.4920907269194299E-2</v>
      </c>
      <c r="AC25" s="354">
        <v>3.2346198040195999E-2</v>
      </c>
      <c r="AD25" s="354">
        <v>5.5429512450478398E-2</v>
      </c>
      <c r="AE25" s="354">
        <v>1.6437688603072501E-2</v>
      </c>
      <c r="AF25" s="354">
        <v>2.1455188111060699E-2</v>
      </c>
      <c r="AG25" s="433">
        <v>7.0695403513676403E-4</v>
      </c>
      <c r="AH25" s="433">
        <v>7.0695403513676403E-4</v>
      </c>
      <c r="AI25" s="354">
        <v>5356346.4325600201</v>
      </c>
      <c r="AJ25" s="354">
        <v>1087.64094614292</v>
      </c>
      <c r="AK25" s="354">
        <v>74519.260374617807</v>
      </c>
      <c r="AL25" s="354">
        <v>103844.18447485899</v>
      </c>
      <c r="AM25" s="354">
        <v>5250000</v>
      </c>
    </row>
    <row r="26" spans="1:39" x14ac:dyDescent="0.25">
      <c r="A26" s="354">
        <v>25</v>
      </c>
      <c r="B26" s="354">
        <v>1100000185</v>
      </c>
      <c r="C26" s="398">
        <v>44764</v>
      </c>
      <c r="D26" s="354">
        <v>0</v>
      </c>
      <c r="E26" s="354">
        <v>250729.04</v>
      </c>
      <c r="F26" s="354" t="s">
        <v>3180</v>
      </c>
      <c r="G26" s="354">
        <v>5.71</v>
      </c>
      <c r="H26" s="354">
        <v>2.8366842468132002E-2</v>
      </c>
      <c r="I26" s="354">
        <v>6.2417988886168299E-2</v>
      </c>
      <c r="J26" s="354">
        <v>9.8647826604583003E-2</v>
      </c>
      <c r="K26" s="354">
        <v>0.1411</v>
      </c>
      <c r="L26" s="354">
        <v>0.20269999999999999</v>
      </c>
      <c r="M26" s="354">
        <v>0.23669999999999999</v>
      </c>
      <c r="N26" s="354">
        <v>0.29139999999999999</v>
      </c>
      <c r="O26" s="354">
        <v>0.33979999999999999</v>
      </c>
      <c r="P26" s="354">
        <v>0.33850601215969001</v>
      </c>
      <c r="Q26" s="354">
        <v>2</v>
      </c>
      <c r="R26" s="354" t="s">
        <v>1156</v>
      </c>
      <c r="S26" s="354">
        <v>52</v>
      </c>
      <c r="T26" s="354">
        <v>250729.04</v>
      </c>
      <c r="U26" s="354">
        <v>0.142368240930869</v>
      </c>
      <c r="V26" s="354">
        <v>0.99212555699484295</v>
      </c>
      <c r="W26" s="354">
        <v>248754.688464782</v>
      </c>
      <c r="X26" s="354">
        <v>2</v>
      </c>
      <c r="Y26" s="354">
        <v>1.6254150434428599E-2</v>
      </c>
      <c r="Z26" s="433">
        <v>1.37069033189569E-2</v>
      </c>
      <c r="AA26" s="354">
        <v>1.05902265100652E-2</v>
      </c>
      <c r="AB26" s="354">
        <v>-4.5333285816767802E-3</v>
      </c>
      <c r="AC26" s="354">
        <v>8.4492344056799396E-2</v>
      </c>
      <c r="AD26" s="354">
        <v>0.13546966862603199</v>
      </c>
      <c r="AE26" s="354">
        <v>5.5982708577364503E-2</v>
      </c>
      <c r="AF26" s="354">
        <v>6.9043676105972604E-2</v>
      </c>
      <c r="AG26" s="354">
        <v>1.6254150434428599E-2</v>
      </c>
      <c r="AH26" s="354">
        <v>1.6254150434428599E-2</v>
      </c>
      <c r="AI26" s="354">
        <v>17126770.100384999</v>
      </c>
      <c r="AJ26" s="354">
        <v>94233.675232073103</v>
      </c>
      <c r="AK26" s="354">
        <v>228818.11875088501</v>
      </c>
      <c r="AL26" s="354">
        <v>228818.11875088501</v>
      </c>
      <c r="AM26" s="354">
        <v>17000000</v>
      </c>
    </row>
    <row r="27" spans="1:39" x14ac:dyDescent="0.25">
      <c r="A27" s="354">
        <v>26</v>
      </c>
      <c r="B27" s="354">
        <v>1100000186</v>
      </c>
      <c r="C27" s="398">
        <v>44720</v>
      </c>
      <c r="D27" s="354">
        <v>7500</v>
      </c>
      <c r="E27" s="354">
        <v>1027.9100000000001</v>
      </c>
      <c r="F27" s="354" t="s">
        <v>3115</v>
      </c>
      <c r="G27" s="354">
        <v>7.07</v>
      </c>
      <c r="H27" s="354">
        <v>3.0015888726513497E-4</v>
      </c>
      <c r="I27" s="354">
        <v>7.2280348133579896E-4</v>
      </c>
      <c r="J27" s="354">
        <v>1.21844906938118E-3</v>
      </c>
      <c r="K27" s="354">
        <v>1.9E-3</v>
      </c>
      <c r="L27" s="354">
        <v>2.8999999999999998E-3</v>
      </c>
      <c r="M27" s="354">
        <v>3.5000000000000001E-3</v>
      </c>
      <c r="N27" s="354">
        <v>5.4999999999999997E-3</v>
      </c>
      <c r="O27" s="354">
        <v>7.4999999999999997E-3</v>
      </c>
      <c r="P27" s="354">
        <v>0.30073707995253102</v>
      </c>
      <c r="Q27" s="354">
        <v>1</v>
      </c>
      <c r="R27" s="354" t="s">
        <v>1156</v>
      </c>
      <c r="S27" s="354">
        <v>8</v>
      </c>
      <c r="T27" s="354">
        <v>8527.91</v>
      </c>
      <c r="U27" s="354">
        <v>2.19028062970568E-2</v>
      </c>
      <c r="V27" s="354">
        <v>0.99850488028124396</v>
      </c>
      <c r="W27" s="354">
        <v>8515.1597535992205</v>
      </c>
      <c r="X27" s="354">
        <v>23</v>
      </c>
      <c r="Y27" s="354">
        <v>2.6300889462205199E-5</v>
      </c>
      <c r="Z27" s="354">
        <v>-8.5457296099816505E-5</v>
      </c>
      <c r="AA27" s="354">
        <v>-2.2506357752716499E-4</v>
      </c>
      <c r="AB27" s="354">
        <v>-7.6649221041559697E-4</v>
      </c>
      <c r="AC27" s="354">
        <v>9.2093261416437101E-4</v>
      </c>
      <c r="AD27" s="354">
        <v>1.71207737671986E-3</v>
      </c>
      <c r="AE27" s="354">
        <v>-2.4800513556104699E-3</v>
      </c>
      <c r="AF27" s="354">
        <v>-2.4961802989857998E-3</v>
      </c>
      <c r="AG27" s="354">
        <v>2.6300889462205199E-5</v>
      </c>
      <c r="AH27" s="354">
        <v>2.6300889462205199E-5</v>
      </c>
      <c r="AI27" s="354">
        <v>173890.28181486201</v>
      </c>
      <c r="AJ27" s="354">
        <v>1.3754117365421199</v>
      </c>
      <c r="AK27" s="354">
        <v>65.846125401003306</v>
      </c>
      <c r="AL27" s="354">
        <v>75.831570159563896</v>
      </c>
      <c r="AM27" s="354">
        <v>172500</v>
      </c>
    </row>
    <row r="28" spans="1:39" x14ac:dyDescent="0.25">
      <c r="A28" s="354">
        <v>27</v>
      </c>
      <c r="B28" s="354">
        <v>1100000187</v>
      </c>
      <c r="C28" s="398">
        <v>44720</v>
      </c>
      <c r="D28" s="354">
        <v>0</v>
      </c>
      <c r="E28" s="354">
        <v>0</v>
      </c>
      <c r="F28" s="354" t="s">
        <v>3116</v>
      </c>
      <c r="G28" s="354">
        <v>6.57</v>
      </c>
      <c r="H28" s="354">
        <v>3.0015888726513497E-4</v>
      </c>
      <c r="I28" s="354">
        <v>7.2280348133579896E-4</v>
      </c>
      <c r="J28" s="354">
        <v>1.21844906938118E-3</v>
      </c>
      <c r="K28" s="354">
        <v>1.9E-3</v>
      </c>
      <c r="L28" s="354">
        <v>2.8999999999999998E-3</v>
      </c>
      <c r="M28" s="354">
        <v>3.5000000000000001E-3</v>
      </c>
      <c r="N28" s="354">
        <v>5.4999999999999997E-3</v>
      </c>
      <c r="O28" s="354">
        <v>7.4999999999999997E-3</v>
      </c>
      <c r="P28" s="354">
        <v>0.30073707995253102</v>
      </c>
      <c r="Q28" s="354">
        <v>1</v>
      </c>
      <c r="R28" s="354" t="s">
        <v>1156</v>
      </c>
      <c r="S28" s="354">
        <v>8</v>
      </c>
      <c r="T28" s="354">
        <v>0</v>
      </c>
      <c r="U28" s="354">
        <v>2.19028062970568E-2</v>
      </c>
      <c r="V28" s="354">
        <v>0.99860725446226695</v>
      </c>
      <c r="W28" s="354">
        <v>0</v>
      </c>
      <c r="X28" s="354">
        <v>23</v>
      </c>
      <c r="Y28" s="354">
        <v>2.6300889462205199E-5</v>
      </c>
      <c r="Z28" s="354">
        <v>-8.5457296099816505E-5</v>
      </c>
      <c r="AA28" s="354">
        <v>-2.2506357752716499E-4</v>
      </c>
      <c r="AB28" s="354">
        <v>-7.6649221041559697E-4</v>
      </c>
      <c r="AC28" s="354">
        <v>9.2093261416437101E-4</v>
      </c>
      <c r="AD28" s="354">
        <v>1.71207737671986E-3</v>
      </c>
      <c r="AE28" s="354">
        <v>-2.4800513556104699E-3</v>
      </c>
      <c r="AF28" s="354">
        <v>-2.4961802989857998E-3</v>
      </c>
      <c r="AG28" s="354">
        <v>2.6300889462205199E-5</v>
      </c>
      <c r="AH28" s="354">
        <v>2.6300889462205199E-5</v>
      </c>
      <c r="AI28" s="354">
        <v>0</v>
      </c>
      <c r="AJ28" s="354">
        <v>0</v>
      </c>
      <c r="AK28" s="354">
        <v>0</v>
      </c>
      <c r="AL28" s="354">
        <v>0</v>
      </c>
      <c r="AM28" s="354">
        <v>0</v>
      </c>
    </row>
    <row r="29" spans="1:39" x14ac:dyDescent="0.25">
      <c r="A29" s="354">
        <v>28</v>
      </c>
      <c r="B29" s="354">
        <v>1100000190</v>
      </c>
      <c r="C29" s="398">
        <v>44718</v>
      </c>
      <c r="D29" s="354">
        <v>0</v>
      </c>
      <c r="E29" s="354">
        <v>263105.76</v>
      </c>
      <c r="F29" s="354" t="s">
        <v>3382</v>
      </c>
      <c r="G29" s="354">
        <v>6.25</v>
      </c>
      <c r="H29" s="354">
        <v>3.8474532564693599E-3</v>
      </c>
      <c r="I29" s="354">
        <v>8.8961754244754106E-3</v>
      </c>
      <c r="J29" s="354">
        <v>1.46054563690446E-2</v>
      </c>
      <c r="K29" s="354">
        <v>2.1899999999999999E-2</v>
      </c>
      <c r="L29" s="354">
        <v>3.1800000000000002E-2</v>
      </c>
      <c r="M29" s="354">
        <v>3.7199999999999997E-2</v>
      </c>
      <c r="N29" s="354">
        <v>4.8899999999999999E-2</v>
      </c>
      <c r="O29" s="354">
        <v>6.0299999999999999E-2</v>
      </c>
      <c r="P29" s="354">
        <v>0.1</v>
      </c>
      <c r="Q29" s="354">
        <v>1</v>
      </c>
      <c r="R29" s="354" t="s">
        <v>1156</v>
      </c>
      <c r="S29" s="354">
        <v>6</v>
      </c>
      <c r="T29" s="354">
        <v>263105.76</v>
      </c>
      <c r="U29" s="354">
        <v>1.6427104722792601E-2</v>
      </c>
      <c r="V29" s="354">
        <v>0.999004608719534</v>
      </c>
      <c r="W29" s="354">
        <v>262843.866820656</v>
      </c>
      <c r="X29" s="354">
        <v>4</v>
      </c>
      <c r="Y29" s="433">
        <v>2.5326558161187202E-4</v>
      </c>
      <c r="Z29" s="354">
        <v>-8.6952536045620005E-4</v>
      </c>
      <c r="AA29" s="354">
        <v>-2.1472386407899399E-3</v>
      </c>
      <c r="AB29" s="354">
        <v>-6.7988615952986903E-3</v>
      </c>
      <c r="AC29" s="354">
        <v>1.2063885459309601E-2</v>
      </c>
      <c r="AD29" s="354">
        <v>2.09989212997027E-2</v>
      </c>
      <c r="AE29" s="354">
        <v>1.4299064567547799E-3</v>
      </c>
      <c r="AF29" s="354">
        <v>2.0978163999135799E-3</v>
      </c>
      <c r="AG29" s="433">
        <v>2.5326558161187202E-4</v>
      </c>
      <c r="AH29" s="433">
        <v>2.5326558161187202E-4</v>
      </c>
      <c r="AI29" s="354">
        <v>16292387.066132201</v>
      </c>
      <c r="AJ29" s="354">
        <v>412.63008861497099</v>
      </c>
      <c r="AK29" s="354">
        <v>23272.796752348499</v>
      </c>
      <c r="AL29" s="354">
        <v>23272.796752348499</v>
      </c>
      <c r="AM29" s="354">
        <v>16000000</v>
      </c>
    </row>
    <row r="30" spans="1:39" x14ac:dyDescent="0.25">
      <c r="A30" s="354">
        <v>29</v>
      </c>
      <c r="B30" s="354">
        <v>1100000191</v>
      </c>
      <c r="C30" s="398">
        <v>44718</v>
      </c>
      <c r="D30" s="354">
        <v>0</v>
      </c>
      <c r="E30" s="354">
        <v>0</v>
      </c>
      <c r="F30" s="354" t="s">
        <v>3383</v>
      </c>
      <c r="G30" s="354">
        <v>7.25</v>
      </c>
      <c r="H30" s="354">
        <v>3.8474532564693599E-3</v>
      </c>
      <c r="I30" s="354">
        <v>8.8961754244754106E-3</v>
      </c>
      <c r="J30" s="354">
        <v>1.46054563690446E-2</v>
      </c>
      <c r="K30" s="354">
        <v>2.1899999999999999E-2</v>
      </c>
      <c r="L30" s="354">
        <v>3.1800000000000002E-2</v>
      </c>
      <c r="M30" s="354">
        <v>3.7199999999999997E-2</v>
      </c>
      <c r="N30" s="354">
        <v>4.8899999999999999E-2</v>
      </c>
      <c r="O30" s="354">
        <v>6.0299999999999999E-2</v>
      </c>
      <c r="P30" s="354">
        <v>0.1</v>
      </c>
      <c r="Q30" s="354">
        <v>1</v>
      </c>
      <c r="R30" s="354" t="s">
        <v>1156</v>
      </c>
      <c r="S30" s="354">
        <v>6</v>
      </c>
      <c r="T30" s="354">
        <v>0</v>
      </c>
      <c r="U30" s="354">
        <v>1.6427104722792601E-2</v>
      </c>
      <c r="V30" s="354">
        <v>0.99885088871291094</v>
      </c>
      <c r="W30" s="354">
        <v>0</v>
      </c>
      <c r="X30" s="354">
        <v>4</v>
      </c>
      <c r="Y30" s="433">
        <v>2.5326558161187202E-4</v>
      </c>
      <c r="Z30" s="354">
        <v>-8.6952536045620005E-4</v>
      </c>
      <c r="AA30" s="354">
        <v>-2.1472386407899399E-3</v>
      </c>
      <c r="AB30" s="354">
        <v>-6.7988615952986903E-3</v>
      </c>
      <c r="AC30" s="354">
        <v>1.2063885459309601E-2</v>
      </c>
      <c r="AD30" s="354">
        <v>2.09989212997027E-2</v>
      </c>
      <c r="AE30" s="354">
        <v>1.4299064567547799E-3</v>
      </c>
      <c r="AF30" s="354">
        <v>2.0978163999135799E-3</v>
      </c>
      <c r="AG30" s="433">
        <v>2.5326558161187202E-4</v>
      </c>
      <c r="AH30" s="433">
        <v>2.5326558161187202E-4</v>
      </c>
      <c r="AI30" s="354">
        <v>0</v>
      </c>
      <c r="AJ30" s="354">
        <v>0</v>
      </c>
      <c r="AK30" s="354">
        <v>0</v>
      </c>
      <c r="AL30" s="354">
        <v>0</v>
      </c>
      <c r="AM30" s="354">
        <v>0</v>
      </c>
    </row>
    <row r="31" spans="1:39" x14ac:dyDescent="0.25">
      <c r="A31" s="354">
        <v>30</v>
      </c>
      <c r="B31" s="354">
        <v>1100000195</v>
      </c>
      <c r="C31" s="398">
        <v>44742</v>
      </c>
      <c r="D31" s="354">
        <v>0</v>
      </c>
      <c r="E31" s="354">
        <v>42287.67</v>
      </c>
      <c r="F31" s="354" t="s">
        <v>4053</v>
      </c>
      <c r="G31" s="354">
        <v>5.5</v>
      </c>
      <c r="H31" s="354">
        <v>9.0176998350473495E-3</v>
      </c>
      <c r="I31" s="354">
        <v>2.04910613699287E-2</v>
      </c>
      <c r="J31" s="354">
        <v>3.3224955415148201E-2</v>
      </c>
      <c r="K31" s="354">
        <v>4.9099999999999998E-2</v>
      </c>
      <c r="L31" s="354">
        <v>7.3700000000000002E-2</v>
      </c>
      <c r="M31" s="354">
        <v>8.7900000000000006E-2</v>
      </c>
      <c r="N31" s="354">
        <v>0.1162</v>
      </c>
      <c r="O31" s="354">
        <v>0.1434</v>
      </c>
      <c r="P31" s="354">
        <v>0.38150000000000001</v>
      </c>
      <c r="Q31" s="354">
        <v>1</v>
      </c>
      <c r="R31" s="354" t="s">
        <v>1156</v>
      </c>
      <c r="S31" s="354">
        <v>30</v>
      </c>
      <c r="T31" s="354">
        <v>42287.67</v>
      </c>
      <c r="U31" s="354">
        <v>8.2135523613962994E-2</v>
      </c>
      <c r="V31" s="354">
        <v>0.99561205635329697</v>
      </c>
      <c r="W31" s="354">
        <v>42102.114087089598</v>
      </c>
      <c r="X31" s="354">
        <v>17</v>
      </c>
      <c r="Y31" s="433">
        <v>2.9717088941180201E-3</v>
      </c>
      <c r="Z31" s="354">
        <v>1.3138205292851199E-3</v>
      </c>
      <c r="AA31" s="354">
        <v>-7.9310650031498195E-4</v>
      </c>
      <c r="AB31" s="354">
        <v>-9.1845579419197899E-3</v>
      </c>
      <c r="AC31" s="354">
        <v>2.5945926252492701E-2</v>
      </c>
      <c r="AD31" s="354">
        <v>4.5844811238937501E-2</v>
      </c>
      <c r="AE31" s="354">
        <v>3.7940075169995397E-5</v>
      </c>
      <c r="AF31" s="354">
        <v>1.0525559854681599E-3</v>
      </c>
      <c r="AG31" s="433">
        <v>2.9717088941180201E-3</v>
      </c>
      <c r="AH31" s="433">
        <v>2.9717088941180201E-3</v>
      </c>
      <c r="AI31" s="354">
        <v>3067366.2765609799</v>
      </c>
      <c r="AJ31" s="354">
        <v>3477.49444478646</v>
      </c>
      <c r="AK31" s="354">
        <v>55570.973338045798</v>
      </c>
      <c r="AL31" s="354">
        <v>123575.724490696</v>
      </c>
      <c r="AM31" s="354">
        <v>3000000</v>
      </c>
    </row>
    <row r="32" spans="1:39" x14ac:dyDescent="0.25">
      <c r="A32" s="354">
        <v>31</v>
      </c>
      <c r="B32" s="354">
        <v>1100000198</v>
      </c>
      <c r="C32" s="398">
        <v>44736</v>
      </c>
      <c r="D32" s="354">
        <v>0</v>
      </c>
      <c r="E32" s="354">
        <v>12784.93</v>
      </c>
      <c r="F32" s="354" t="s">
        <v>2910</v>
      </c>
      <c r="G32" s="354">
        <v>6.7</v>
      </c>
      <c r="H32" s="354">
        <v>1.2213071921757001E-3</v>
      </c>
      <c r="I32" s="354">
        <v>2.8798866476352799E-3</v>
      </c>
      <c r="J32" s="354">
        <v>4.7903459833295E-3</v>
      </c>
      <c r="K32" s="354">
        <v>7.3000000000000001E-3</v>
      </c>
      <c r="L32" s="354">
        <v>1.17E-2</v>
      </c>
      <c r="M32" s="354">
        <v>1.4500000000000001E-2</v>
      </c>
      <c r="N32" s="354">
        <v>2.2100000000000002E-2</v>
      </c>
      <c r="O32" s="354">
        <v>3.0300000000000001E-2</v>
      </c>
      <c r="P32" s="354">
        <v>0.42375534614710503</v>
      </c>
      <c r="Q32" s="354">
        <v>1</v>
      </c>
      <c r="R32" s="354" t="s">
        <v>1156</v>
      </c>
      <c r="S32" s="354">
        <v>24</v>
      </c>
      <c r="T32" s="354">
        <v>12784.93</v>
      </c>
      <c r="U32" s="354">
        <v>6.5708418891170406E-2</v>
      </c>
      <c r="V32" s="354">
        <v>0.995747811409332</v>
      </c>
      <c r="W32" s="354">
        <v>12730.5660665215</v>
      </c>
      <c r="X32" s="354">
        <v>4</v>
      </c>
      <c r="Y32" s="354">
        <v>3.2114526008430999E-4</v>
      </c>
      <c r="Z32" s="354">
        <v>-1.34172878937604E-6</v>
      </c>
      <c r="AA32" s="354">
        <v>-4.3889897453580097E-4</v>
      </c>
      <c r="AB32" s="354">
        <v>-2.0789944770848198E-3</v>
      </c>
      <c r="AC32" s="354">
        <v>3.17141804685739E-3</v>
      </c>
      <c r="AD32" s="354">
        <v>6.2613871996926003E-3</v>
      </c>
      <c r="AE32" s="354">
        <v>-8.1432632869311607E-3</v>
      </c>
      <c r="AF32" s="354">
        <v>-1.08398373458691E-2</v>
      </c>
      <c r="AG32" s="354">
        <v>3.2114526008430999E-4</v>
      </c>
      <c r="AH32" s="354">
        <v>3.2114526008430999E-4</v>
      </c>
      <c r="AI32" s="354">
        <v>761407.16912235599</v>
      </c>
      <c r="AJ32" s="354">
        <v>103.617633300096</v>
      </c>
      <c r="AK32" s="354">
        <v>1317.83155371716</v>
      </c>
      <c r="AL32" s="354">
        <v>1317.83155371716</v>
      </c>
      <c r="AM32" s="354">
        <v>750000</v>
      </c>
    </row>
    <row r="33" spans="1:39" x14ac:dyDescent="0.25">
      <c r="A33" s="354">
        <v>32</v>
      </c>
      <c r="B33" s="354">
        <v>1100000199</v>
      </c>
      <c r="C33" s="398">
        <v>44736</v>
      </c>
      <c r="D33" s="354">
        <v>92105</v>
      </c>
      <c r="E33" s="354">
        <v>9420.5400000000009</v>
      </c>
      <c r="F33" s="354" t="s">
        <v>2909</v>
      </c>
      <c r="G33" s="354">
        <v>6.7</v>
      </c>
      <c r="H33" s="354">
        <v>1.2213071921757001E-3</v>
      </c>
      <c r="I33" s="354">
        <v>2.8798866476352799E-3</v>
      </c>
      <c r="J33" s="354">
        <v>4.7903459833295E-3</v>
      </c>
      <c r="K33" s="354">
        <v>7.3000000000000001E-3</v>
      </c>
      <c r="L33" s="354">
        <v>1.17E-2</v>
      </c>
      <c r="M33" s="354">
        <v>1.4500000000000001E-2</v>
      </c>
      <c r="N33" s="354">
        <v>2.2100000000000002E-2</v>
      </c>
      <c r="O33" s="354">
        <v>3.0300000000000001E-2</v>
      </c>
      <c r="P33" s="354">
        <v>0.42375534614710503</v>
      </c>
      <c r="Q33" s="354">
        <v>1</v>
      </c>
      <c r="R33" s="354" t="s">
        <v>1156</v>
      </c>
      <c r="S33" s="354">
        <v>24</v>
      </c>
      <c r="T33" s="354">
        <v>101525.54</v>
      </c>
      <c r="U33" s="354">
        <v>6.5708418891170406E-2</v>
      </c>
      <c r="V33" s="354">
        <v>0.995747811409332</v>
      </c>
      <c r="W33" s="354">
        <v>101093.834257151</v>
      </c>
      <c r="X33" s="354">
        <v>4</v>
      </c>
      <c r="Y33" s="354">
        <v>3.2114526008430999E-4</v>
      </c>
      <c r="Z33" s="354">
        <v>-1.34172878937604E-6</v>
      </c>
      <c r="AA33" s="354">
        <v>-4.3889897453580097E-4</v>
      </c>
      <c r="AB33" s="354">
        <v>-2.0789944770848198E-3</v>
      </c>
      <c r="AC33" s="354">
        <v>3.17141804685739E-3</v>
      </c>
      <c r="AD33" s="354">
        <v>6.2613871996926003E-3</v>
      </c>
      <c r="AE33" s="354">
        <v>-8.1432632869311607E-3</v>
      </c>
      <c r="AF33" s="354">
        <v>-1.08398373458691E-2</v>
      </c>
      <c r="AG33" s="354">
        <v>3.2114526008430999E-4</v>
      </c>
      <c r="AH33" s="354">
        <v>3.2114526008430999E-4</v>
      </c>
      <c r="AI33" s="354">
        <v>560632.71928011498</v>
      </c>
      <c r="AJ33" s="354">
        <v>76.294836558161805</v>
      </c>
      <c r="AK33" s="354">
        <v>692.95375878442201</v>
      </c>
      <c r="AL33" s="354">
        <v>692.95375878442201</v>
      </c>
      <c r="AM33" s="354">
        <v>552635</v>
      </c>
    </row>
    <row r="34" spans="1:39" x14ac:dyDescent="0.25">
      <c r="A34" s="354">
        <v>33</v>
      </c>
      <c r="B34" s="354">
        <v>1100000202</v>
      </c>
      <c r="C34" s="398">
        <v>44735</v>
      </c>
      <c r="D34" s="354">
        <v>6168.03</v>
      </c>
      <c r="E34" s="354">
        <v>10513.09</v>
      </c>
      <c r="F34" s="354" t="s">
        <v>3193</v>
      </c>
      <c r="G34" s="354">
        <v>6.37</v>
      </c>
      <c r="H34" s="354">
        <v>3.05332396642059E-3</v>
      </c>
      <c r="I34" s="354">
        <v>7.0898280603686201E-3</v>
      </c>
      <c r="J34" s="354">
        <v>1.1673493116971001E-2</v>
      </c>
      <c r="K34" s="354">
        <v>1.7600000000000001E-2</v>
      </c>
      <c r="L34" s="354">
        <v>2.7199999999999998E-2</v>
      </c>
      <c r="M34" s="354">
        <v>3.3099999999999997E-2</v>
      </c>
      <c r="N34" s="354">
        <v>4.6899999999999997E-2</v>
      </c>
      <c r="O34" s="354">
        <v>6.1100000000000002E-2</v>
      </c>
      <c r="P34" s="354">
        <v>0.15</v>
      </c>
      <c r="Q34" s="354">
        <v>1</v>
      </c>
      <c r="R34" s="354" t="s">
        <v>1156</v>
      </c>
      <c r="S34" s="354">
        <v>23</v>
      </c>
      <c r="T34" s="354">
        <v>16681.12</v>
      </c>
      <c r="U34" s="354">
        <v>6.2970568104038296E-2</v>
      </c>
      <c r="V34" s="354">
        <v>0.99611890454888197</v>
      </c>
      <c r="W34" s="354">
        <v>16616.3789810485</v>
      </c>
      <c r="X34" s="354">
        <v>32</v>
      </c>
      <c r="Y34" s="354">
        <v>7.6995812697400201E-4</v>
      </c>
      <c r="Z34" s="354">
        <v>3.3543696273304197E-5</v>
      </c>
      <c r="AA34" s="354">
        <v>-9.2295808238456204E-4</v>
      </c>
      <c r="AB34" s="354">
        <v>-4.6132455109288003E-3</v>
      </c>
      <c r="AC34" s="354">
        <v>8.5185589938053807E-3</v>
      </c>
      <c r="AD34" s="354">
        <v>1.56689224574664E-2</v>
      </c>
      <c r="AE34" s="354">
        <v>-8.5970679839293407E-3</v>
      </c>
      <c r="AF34" s="354">
        <v>-1.1124137916050899E-2</v>
      </c>
      <c r="AG34" s="354">
        <v>7.6995812697400201E-4</v>
      </c>
      <c r="AH34" s="354">
        <v>7.6995812697400201E-4</v>
      </c>
      <c r="AI34" s="354">
        <v>1895665.95540607</v>
      </c>
      <c r="AJ34" s="354">
        <v>218.93751125892601</v>
      </c>
      <c r="AK34" s="354">
        <v>4724.2455285310598</v>
      </c>
      <c r="AL34" s="354">
        <v>7789.5461256880999</v>
      </c>
      <c r="AM34" s="354">
        <v>1875502.42</v>
      </c>
    </row>
    <row r="35" spans="1:39" x14ac:dyDescent="0.25">
      <c r="A35" s="354">
        <v>34</v>
      </c>
      <c r="B35" s="354">
        <v>1100000203</v>
      </c>
      <c r="C35" s="398">
        <v>44725</v>
      </c>
      <c r="D35" s="354">
        <v>5500.83</v>
      </c>
      <c r="E35" s="354">
        <v>2184.7199999999998</v>
      </c>
      <c r="F35" s="354" t="s">
        <v>3211</v>
      </c>
      <c r="G35" s="354">
        <v>5.53</v>
      </c>
      <c r="H35" s="354">
        <v>5.78851447579404E-4</v>
      </c>
      <c r="I35" s="354">
        <v>1.38068687929072E-3</v>
      </c>
      <c r="J35" s="354">
        <v>2.3135238382311399E-3</v>
      </c>
      <c r="K35" s="354">
        <v>3.5000000000000001E-3</v>
      </c>
      <c r="L35" s="354">
        <v>5.4999999999999997E-3</v>
      </c>
      <c r="M35" s="354">
        <v>6.7999999999999996E-3</v>
      </c>
      <c r="N35" s="354">
        <v>1.0699999999999999E-2</v>
      </c>
      <c r="O35" s="354">
        <v>1.49E-2</v>
      </c>
      <c r="P35" s="354">
        <v>0.28376064624326203</v>
      </c>
      <c r="Q35" s="354">
        <v>1</v>
      </c>
      <c r="R35" s="354" t="s">
        <v>1156</v>
      </c>
      <c r="S35" s="354">
        <v>13</v>
      </c>
      <c r="T35" s="354">
        <v>7685.55</v>
      </c>
      <c r="U35" s="354">
        <v>3.5592060232717299E-2</v>
      </c>
      <c r="V35" s="354">
        <v>0.99808608814190702</v>
      </c>
      <c r="W35" s="354">
        <v>7670.8405347190301</v>
      </c>
      <c r="X35" s="354">
        <v>29</v>
      </c>
      <c r="Y35" s="354">
        <v>8.2430525569998595E-5</v>
      </c>
      <c r="Z35" s="433">
        <v>-1.08828084203124E-4</v>
      </c>
      <c r="AA35" s="354">
        <v>-3.5218068167047398E-4</v>
      </c>
      <c r="AB35" s="354">
        <v>-1.0769881230180199E-3</v>
      </c>
      <c r="AC35" s="354">
        <v>1.5673742754449499E-3</v>
      </c>
      <c r="AD35" s="354">
        <v>2.9413132098669E-3</v>
      </c>
      <c r="AE35" s="354">
        <v>-4.8517659351370304E-3</v>
      </c>
      <c r="AF35" s="354">
        <v>-6.1274686971877204E-3</v>
      </c>
      <c r="AG35" s="354">
        <v>8.2430525569998595E-5</v>
      </c>
      <c r="AH35" s="354">
        <v>8.2430525569998595E-5</v>
      </c>
      <c r="AI35" s="354">
        <v>424317.42027630098</v>
      </c>
      <c r="AJ35" s="354">
        <v>9.9250132547253394</v>
      </c>
      <c r="AK35" s="354">
        <v>371.08705849217603</v>
      </c>
      <c r="AL35" s="354">
        <v>573.029684016386</v>
      </c>
      <c r="AM35" s="354">
        <v>420249.57</v>
      </c>
    </row>
    <row r="36" spans="1:39" x14ac:dyDescent="0.25">
      <c r="A36" s="354">
        <v>35</v>
      </c>
      <c r="B36" s="354">
        <v>1100000205</v>
      </c>
      <c r="C36" s="398">
        <v>44715</v>
      </c>
      <c r="D36" s="354">
        <v>150000</v>
      </c>
      <c r="E36" s="354">
        <v>0</v>
      </c>
      <c r="F36" s="354" t="s">
        <v>2917</v>
      </c>
      <c r="G36" s="354">
        <v>6.22</v>
      </c>
      <c r="H36" s="354">
        <v>1.7494248871209399E-3</v>
      </c>
      <c r="I36" s="354">
        <v>4.1012418054688898E-3</v>
      </c>
      <c r="J36" s="354">
        <v>6.7960350200328996E-3</v>
      </c>
      <c r="K36" s="433">
        <v>1.03E-2</v>
      </c>
      <c r="L36" s="354">
        <v>1.5699999999999999E-2</v>
      </c>
      <c r="M36" s="354">
        <v>1.89E-2</v>
      </c>
      <c r="N36" s="354">
        <v>2.6800000000000001E-2</v>
      </c>
      <c r="O36" s="354">
        <v>3.5099999999999999E-2</v>
      </c>
      <c r="P36" s="354">
        <v>0.36379596547635301</v>
      </c>
      <c r="Q36" s="354">
        <v>1</v>
      </c>
      <c r="R36" s="354" t="s">
        <v>1156</v>
      </c>
      <c r="S36" s="354">
        <v>3</v>
      </c>
      <c r="T36" s="354">
        <v>150000</v>
      </c>
      <c r="U36" s="354">
        <v>8.2135523613963007E-3</v>
      </c>
      <c r="V36" s="354">
        <v>0.99950449874376901</v>
      </c>
      <c r="W36" s="354">
        <v>149925.674811565</v>
      </c>
      <c r="X36" s="354">
        <v>16</v>
      </c>
      <c r="Y36" s="433">
        <v>5.7524650704077203E-5</v>
      </c>
      <c r="Z36" s="433">
        <v>-5.2512494561394302E-4</v>
      </c>
      <c r="AA36" s="354">
        <v>-1.19980932297529E-3</v>
      </c>
      <c r="AB36" s="354">
        <v>-3.6007399205265698E-3</v>
      </c>
      <c r="AC36" s="354">
        <v>4.9150924992088499E-3</v>
      </c>
      <c r="AD36" s="354">
        <v>9.2951520080506393E-3</v>
      </c>
      <c r="AE36" s="354">
        <v>-5.1201114004715302E-3</v>
      </c>
      <c r="AF36" s="354">
        <v>-7.04927923569665E-3</v>
      </c>
      <c r="AG36" s="433">
        <v>5.7524650704077203E-5</v>
      </c>
      <c r="AH36" s="433">
        <v>5.7524650704077203E-5</v>
      </c>
      <c r="AI36" s="354">
        <v>2022610.7029160201</v>
      </c>
      <c r="AJ36" s="354">
        <v>42.327651195627098</v>
      </c>
      <c r="AK36" s="354">
        <v>3475.7134008901198</v>
      </c>
      <c r="AL36" s="354">
        <v>3478.2851254738698</v>
      </c>
      <c r="AM36" s="354">
        <v>2016664.01</v>
      </c>
    </row>
    <row r="37" spans="1:39" x14ac:dyDescent="0.25">
      <c r="A37" s="354">
        <v>36</v>
      </c>
      <c r="B37" s="354">
        <v>1100000209</v>
      </c>
      <c r="C37" s="398">
        <v>44804</v>
      </c>
      <c r="D37" s="354">
        <v>0</v>
      </c>
      <c r="E37" s="354">
        <v>0</v>
      </c>
      <c r="F37" s="354" t="s">
        <v>2960</v>
      </c>
      <c r="G37" s="354">
        <v>6</v>
      </c>
      <c r="H37" s="354">
        <v>4.0228091930422198E-3</v>
      </c>
      <c r="I37" s="354">
        <v>9.2938867723136899E-3</v>
      </c>
      <c r="J37" s="354">
        <v>1.52496246840392E-2</v>
      </c>
      <c r="K37" s="354">
        <v>2.29E-2</v>
      </c>
      <c r="L37" s="354">
        <v>3.2899999999999999E-2</v>
      </c>
      <c r="M37" s="354">
        <v>3.8300000000000001E-2</v>
      </c>
      <c r="N37" s="354">
        <v>4.9700000000000001E-2</v>
      </c>
      <c r="O37" s="354">
        <v>6.08E-2</v>
      </c>
      <c r="P37" s="354">
        <v>0.35859999999999997</v>
      </c>
      <c r="Q37" s="354">
        <v>1</v>
      </c>
      <c r="R37" s="354" t="s">
        <v>1156</v>
      </c>
      <c r="S37" s="354">
        <v>92</v>
      </c>
      <c r="T37" s="354">
        <v>0</v>
      </c>
      <c r="U37" s="354">
        <v>0.25188227241615302</v>
      </c>
      <c r="V37" s="354">
        <v>0.98543027577920295</v>
      </c>
      <c r="W37" s="354">
        <v>0</v>
      </c>
      <c r="X37" s="354">
        <v>15</v>
      </c>
      <c r="Y37" s="354">
        <v>4.05303582201888E-3</v>
      </c>
      <c r="Z37" s="354">
        <v>4.0624956087656899E-3</v>
      </c>
      <c r="AA37" s="354">
        <v>3.3829901453444602E-3</v>
      </c>
      <c r="AB37" s="354">
        <v>6.4744138395054399E-6</v>
      </c>
      <c r="AC37" s="354">
        <v>1.53512668288119E-2</v>
      </c>
      <c r="AD37" s="354">
        <v>2.33872300421279E-2</v>
      </c>
      <c r="AE37" s="354">
        <v>6.2622075433157497E-3</v>
      </c>
      <c r="AF37" s="354">
        <v>6.9158628986127901E-3</v>
      </c>
      <c r="AG37" s="354">
        <v>4.0624956087656899E-3</v>
      </c>
      <c r="AH37" s="354">
        <v>4.0624956087656899E-3</v>
      </c>
      <c r="AI37" s="354">
        <v>0</v>
      </c>
      <c r="AJ37" s="354">
        <v>0</v>
      </c>
      <c r="AK37" s="354">
        <v>0</v>
      </c>
      <c r="AL37" s="354">
        <v>0</v>
      </c>
      <c r="AM37" s="354">
        <v>0</v>
      </c>
    </row>
    <row r="38" spans="1:39" x14ac:dyDescent="0.25">
      <c r="A38" s="354">
        <v>37</v>
      </c>
      <c r="B38" s="354">
        <v>1100000223</v>
      </c>
      <c r="C38" s="398">
        <v>44742</v>
      </c>
      <c r="D38" s="354">
        <v>25500000</v>
      </c>
      <c r="E38" s="354">
        <v>407542.39</v>
      </c>
      <c r="F38" s="354" t="s">
        <v>3177</v>
      </c>
      <c r="G38" s="354">
        <v>6.27</v>
      </c>
      <c r="H38" s="354">
        <v>3.1967968743861299E-3</v>
      </c>
      <c r="I38" s="354">
        <v>7.4168502453593197E-3</v>
      </c>
      <c r="J38" s="354">
        <v>1.2205094962407599E-2</v>
      </c>
      <c r="K38" s="354">
        <v>1.84E-2</v>
      </c>
      <c r="L38" s="354">
        <v>2.8000000000000001E-2</v>
      </c>
      <c r="M38" s="354">
        <v>3.3700000000000001E-2</v>
      </c>
      <c r="N38" s="354">
        <v>4.6699999999999998E-2</v>
      </c>
      <c r="O38" s="354">
        <v>5.9900000000000002E-2</v>
      </c>
      <c r="P38" s="354">
        <v>0.150028952996205</v>
      </c>
      <c r="Q38" s="354">
        <v>1</v>
      </c>
      <c r="R38" s="354" t="s">
        <v>1156</v>
      </c>
      <c r="S38" s="354">
        <v>30</v>
      </c>
      <c r="T38" s="354">
        <v>25907542.390000001</v>
      </c>
      <c r="U38" s="354">
        <v>8.2135523613962994E-2</v>
      </c>
      <c r="V38" s="354">
        <v>0.99501755933511105</v>
      </c>
      <c r="W38" s="354">
        <v>25778459.597268701</v>
      </c>
      <c r="X38" s="354">
        <v>1</v>
      </c>
      <c r="Y38" s="354">
        <v>1.05141157581312E-3</v>
      </c>
      <c r="Z38" s="354">
        <v>3.63208676627944E-4</v>
      </c>
      <c r="AA38" s="354">
        <v>-5.8649924063107505E-4</v>
      </c>
      <c r="AB38" s="354">
        <v>-4.34433307436379E-3</v>
      </c>
      <c r="AC38" s="354">
        <v>9.5050703927209695E-3</v>
      </c>
      <c r="AD38" s="354">
        <v>1.69739241325098E-2</v>
      </c>
      <c r="AE38" s="354">
        <v>-5.2544081188903302E-3</v>
      </c>
      <c r="AF38" s="354">
        <v>-6.8259009597713104E-3</v>
      </c>
      <c r="AG38" s="354">
        <v>1.05141157581312E-3</v>
      </c>
      <c r="AH38" s="354">
        <v>1.05141157581312E-3</v>
      </c>
      <c r="AI38" s="354">
        <v>25778459.597268701</v>
      </c>
      <c r="AJ38" s="354">
        <v>4066.3503594537701</v>
      </c>
      <c r="AK38" s="354">
        <v>4066.3503594537701</v>
      </c>
      <c r="AL38" s="354">
        <v>4066.3503594537701</v>
      </c>
      <c r="AM38" s="354">
        <v>25500000</v>
      </c>
    </row>
    <row r="39" spans="1:39" x14ac:dyDescent="0.25">
      <c r="A39" s="354">
        <v>38</v>
      </c>
      <c r="B39" s="354">
        <v>1100000224</v>
      </c>
      <c r="C39" s="398">
        <v>44742</v>
      </c>
      <c r="D39" s="354">
        <v>0</v>
      </c>
      <c r="E39" s="354">
        <v>177534.25</v>
      </c>
      <c r="F39" s="354" t="s">
        <v>4079</v>
      </c>
      <c r="G39" s="354">
        <v>6.5</v>
      </c>
      <c r="H39" s="354">
        <v>4.6295262838880798E-4</v>
      </c>
      <c r="I39" s="354">
        <v>1.1078858782956899E-3</v>
      </c>
      <c r="J39" s="354">
        <v>1.8602802571872101E-3</v>
      </c>
      <c r="K39" s="354">
        <v>2.8E-3</v>
      </c>
      <c r="L39" s="354">
        <v>4.3E-3</v>
      </c>
      <c r="M39" s="354">
        <v>5.1000000000000004E-3</v>
      </c>
      <c r="N39" s="354">
        <v>7.7000000000000002E-3</v>
      </c>
      <c r="O39" s="354">
        <v>1.0500000000000001E-2</v>
      </c>
      <c r="P39" s="354">
        <v>0.15</v>
      </c>
      <c r="Q39" s="354">
        <v>1</v>
      </c>
      <c r="R39" s="354" t="s">
        <v>1156</v>
      </c>
      <c r="S39" s="354">
        <v>30</v>
      </c>
      <c r="T39" s="354">
        <v>177534.25</v>
      </c>
      <c r="U39" s="354">
        <v>8.2135523613962994E-2</v>
      </c>
      <c r="V39" s="354">
        <v>0.99484088607492804</v>
      </c>
      <c r="W39" s="354">
        <v>176618.33057864799</v>
      </c>
      <c r="X39" s="354">
        <v>54</v>
      </c>
      <c r="Y39" s="354">
        <v>1.52123072561072E-4</v>
      </c>
      <c r="Z39" s="354">
        <v>2.9907099190552798E-5</v>
      </c>
      <c r="AA39" s="354">
        <v>-1.4970965438951901E-4</v>
      </c>
      <c r="AB39" s="354">
        <v>-6.5014147874593896E-4</v>
      </c>
      <c r="AC39" s="354">
        <v>1.4212144328703501E-3</v>
      </c>
      <c r="AD39" s="354">
        <v>2.7639080545239802E-3</v>
      </c>
      <c r="AE39" s="354">
        <v>-2.5254522114850401E-3</v>
      </c>
      <c r="AF39" s="354">
        <v>-3.3465610686997898E-3</v>
      </c>
      <c r="AG39" s="354">
        <v>1.52123072561072E-4</v>
      </c>
      <c r="AH39" s="354">
        <v>1.52123072561072E-4</v>
      </c>
      <c r="AI39" s="354">
        <v>32481132.159800399</v>
      </c>
      <c r="AJ39" s="354">
        <v>741.16944366166399</v>
      </c>
      <c r="AK39" s="354">
        <v>13163.2768280362</v>
      </c>
      <c r="AL39" s="354">
        <v>32734.079674381199</v>
      </c>
      <c r="AM39" s="354">
        <v>32000000</v>
      </c>
    </row>
    <row r="40" spans="1:39" x14ac:dyDescent="0.25">
      <c r="A40" s="354">
        <v>39</v>
      </c>
      <c r="B40" s="354">
        <v>1100000225</v>
      </c>
      <c r="C40" s="398">
        <v>44771</v>
      </c>
      <c r="D40" s="354">
        <v>0</v>
      </c>
      <c r="E40" s="354">
        <v>307910.96000000002</v>
      </c>
      <c r="F40" s="354" t="s">
        <v>3469</v>
      </c>
      <c r="G40" s="354">
        <v>8</v>
      </c>
      <c r="H40" s="354">
        <v>7.7997480051165795E-4</v>
      </c>
      <c r="I40" s="354">
        <v>1.8520806365800401E-3</v>
      </c>
      <c r="J40" s="354">
        <v>3.0945601691256801E-3</v>
      </c>
      <c r="K40" s="354">
        <v>4.7000000000000002E-3</v>
      </c>
      <c r="L40" s="354">
        <v>6.7999999999999996E-3</v>
      </c>
      <c r="M40" s="354">
        <v>7.9000000000000008E-3</v>
      </c>
      <c r="N40" s="354">
        <v>1.0800000000000001E-2</v>
      </c>
      <c r="O40" s="354">
        <v>1.37E-2</v>
      </c>
      <c r="P40" s="354">
        <v>0.2</v>
      </c>
      <c r="Q40" s="354">
        <v>1</v>
      </c>
      <c r="R40" s="354" t="s">
        <v>1156</v>
      </c>
      <c r="S40" s="354">
        <v>59</v>
      </c>
      <c r="T40" s="354">
        <v>307910.96000000002</v>
      </c>
      <c r="U40" s="354">
        <v>0.161533196440794</v>
      </c>
      <c r="V40" s="354">
        <v>0.98764519216310398</v>
      </c>
      <c r="W40" s="354">
        <v>304106.77925832599</v>
      </c>
      <c r="X40" s="354">
        <v>5</v>
      </c>
      <c r="Y40" s="354">
        <v>5.0403686455036101E-4</v>
      </c>
      <c r="Z40" s="433">
        <v>4.0059169493509601E-4</v>
      </c>
      <c r="AA40" s="433">
        <v>1.6992833310621101E-4</v>
      </c>
      <c r="AB40" s="354">
        <v>-6.8443201319928803E-4</v>
      </c>
      <c r="AC40" s="354">
        <v>2.9357978375930101E-3</v>
      </c>
      <c r="AD40" s="354">
        <v>4.7745032415744699E-3</v>
      </c>
      <c r="AE40" s="354">
        <v>-3.7795218618974502E-4</v>
      </c>
      <c r="AF40" s="354">
        <v>-4.1095558831894002E-4</v>
      </c>
      <c r="AG40" s="354">
        <v>5.0403686455036101E-4</v>
      </c>
      <c r="AH40" s="354">
        <v>5.0403686455036101E-4</v>
      </c>
      <c r="AI40" s="354">
        <v>15367935.896324599</v>
      </c>
      <c r="AJ40" s="354">
        <v>1549.20124475888</v>
      </c>
      <c r="AK40" s="354">
        <v>13842.8228951705</v>
      </c>
      <c r="AL40" s="354">
        <v>13842.8228951705</v>
      </c>
      <c r="AM40" s="354">
        <v>15000000</v>
      </c>
    </row>
    <row r="41" spans="1:39" x14ac:dyDescent="0.25">
      <c r="A41" s="354">
        <v>40</v>
      </c>
      <c r="B41" s="354">
        <v>1100000226</v>
      </c>
      <c r="C41" s="398">
        <v>44935</v>
      </c>
      <c r="D41" s="354">
        <v>41800000</v>
      </c>
      <c r="E41" s="354">
        <v>599228.77</v>
      </c>
      <c r="F41" s="354" t="s">
        <v>4101</v>
      </c>
      <c r="G41" s="354">
        <v>5.5</v>
      </c>
      <c r="H41" s="354">
        <v>4.1461660858590904E-3</v>
      </c>
      <c r="I41" s="354">
        <v>9.5734301230536705E-3</v>
      </c>
      <c r="J41" s="354">
        <v>1.5702118542660098E-2</v>
      </c>
      <c r="K41" s="354">
        <v>2.35E-2</v>
      </c>
      <c r="L41" s="354">
        <v>3.4200000000000001E-2</v>
      </c>
      <c r="M41" s="354">
        <v>0.04</v>
      </c>
      <c r="N41" s="354">
        <v>5.2600000000000001E-2</v>
      </c>
      <c r="O41" s="354">
        <v>6.4799999999999996E-2</v>
      </c>
      <c r="P41" s="354">
        <v>0.1</v>
      </c>
      <c r="Q41" s="354">
        <v>1</v>
      </c>
      <c r="R41" s="354" t="s">
        <v>1156</v>
      </c>
      <c r="S41" s="354">
        <v>223</v>
      </c>
      <c r="T41" s="354">
        <v>42399228.770000003</v>
      </c>
      <c r="U41" s="354">
        <v>0.61054072553045902</v>
      </c>
      <c r="V41" s="354">
        <v>0.96783968635972695</v>
      </c>
      <c r="W41" s="354">
        <v>41035656.274651103</v>
      </c>
      <c r="X41" s="354">
        <v>1</v>
      </c>
      <c r="Y41" s="354">
        <v>1.0095358728424601E-2</v>
      </c>
      <c r="Z41" s="354">
        <v>1.19731649403211E-2</v>
      </c>
      <c r="AA41" s="354">
        <v>1.2283308780867299E-2</v>
      </c>
      <c r="AB41" s="354">
        <v>1.13521709808997E-2</v>
      </c>
      <c r="AC41" s="354">
        <v>1.9300783383620498E-2</v>
      </c>
      <c r="AD41" s="354">
        <v>2.6082920471641499E-2</v>
      </c>
      <c r="AE41" s="354">
        <v>9.2100373160001192E-3</v>
      </c>
      <c r="AF41" s="354">
        <v>1.00523078887753E-2</v>
      </c>
      <c r="AG41" s="354">
        <v>1.2283308780867299E-2</v>
      </c>
      <c r="AH41" s="354">
        <v>1.2283308780867299E-2</v>
      </c>
      <c r="AI41" s="354">
        <v>41035656.274651103</v>
      </c>
      <c r="AJ41" s="354">
        <v>50405.363704707597</v>
      </c>
      <c r="AK41" s="354">
        <v>50405.363704707597</v>
      </c>
      <c r="AL41" s="354">
        <v>50405.363704707597</v>
      </c>
      <c r="AM41" s="354">
        <v>41800000</v>
      </c>
    </row>
    <row r="42" spans="1:39" x14ac:dyDescent="0.25">
      <c r="A42" s="354">
        <v>41</v>
      </c>
      <c r="B42" s="354">
        <v>1100000233</v>
      </c>
      <c r="C42" s="398">
        <v>44713</v>
      </c>
      <c r="D42" s="354">
        <v>0</v>
      </c>
      <c r="E42" s="354">
        <v>0</v>
      </c>
      <c r="F42" s="354" t="s">
        <v>4140</v>
      </c>
      <c r="G42" s="354">
        <v>6.25</v>
      </c>
      <c r="H42" s="354">
        <v>7.5443478799107203E-4</v>
      </c>
      <c r="I42" s="354">
        <v>1.7923424326366001E-3</v>
      </c>
      <c r="J42" s="354">
        <v>2.9957145545817E-3</v>
      </c>
      <c r="K42" s="354">
        <v>4.5999999999999999E-3</v>
      </c>
      <c r="L42" s="354">
        <v>7.1999999999999998E-3</v>
      </c>
      <c r="M42" s="354">
        <v>8.8999999999999999E-3</v>
      </c>
      <c r="N42" s="354">
        <v>1.37E-2</v>
      </c>
      <c r="O42" s="354">
        <v>1.9E-2</v>
      </c>
      <c r="P42" s="354">
        <v>0.45</v>
      </c>
      <c r="Q42" s="354">
        <v>1</v>
      </c>
      <c r="R42" s="354" t="s">
        <v>1156</v>
      </c>
      <c r="S42" s="354">
        <v>1</v>
      </c>
      <c r="T42" s="354">
        <v>0</v>
      </c>
      <c r="U42" s="354">
        <v>2.7378507871321E-3</v>
      </c>
      <c r="V42" s="354">
        <v>0.99983403260555204</v>
      </c>
      <c r="W42" s="354">
        <v>0</v>
      </c>
      <c r="X42" s="354">
        <v>52</v>
      </c>
      <c r="Y42" s="354">
        <v>8.2652035391372908E-6</v>
      </c>
      <c r="Z42" s="354">
        <v>-2.7210631160699898E-4</v>
      </c>
      <c r="AA42" s="433">
        <v>-6.0122319800848603E-4</v>
      </c>
      <c r="AB42" s="354">
        <v>-1.7995726049951199E-3</v>
      </c>
      <c r="AC42" s="354">
        <v>2.0003373408850099E-3</v>
      </c>
      <c r="AD42" s="354">
        <v>3.7959214615358402E-3</v>
      </c>
      <c r="AE42" s="354">
        <v>-5.6272486966741902E-3</v>
      </c>
      <c r="AF42" s="354">
        <v>-7.7730250369432204E-3</v>
      </c>
      <c r="AG42" s="354">
        <v>8.2652035391372908E-6</v>
      </c>
      <c r="AH42" s="354">
        <v>8.2652035391372908E-6</v>
      </c>
      <c r="AI42" s="354">
        <v>0</v>
      </c>
      <c r="AJ42" s="354">
        <v>0</v>
      </c>
      <c r="AK42" s="354">
        <v>0</v>
      </c>
      <c r="AL42" s="354">
        <v>0</v>
      </c>
      <c r="AM42" s="354">
        <v>0</v>
      </c>
    </row>
    <row r="43" spans="1:39" x14ac:dyDescent="0.25">
      <c r="A43" s="354">
        <v>42</v>
      </c>
      <c r="B43" s="354">
        <v>1100000234</v>
      </c>
      <c r="C43" s="398">
        <v>44713</v>
      </c>
      <c r="D43" s="354">
        <v>0</v>
      </c>
      <c r="E43" s="354">
        <v>23708.22</v>
      </c>
      <c r="F43" s="354" t="s">
        <v>4139</v>
      </c>
      <c r="G43" s="354">
        <v>6.25</v>
      </c>
      <c r="H43" s="354">
        <v>7.5443478799107203E-4</v>
      </c>
      <c r="I43" s="354">
        <v>1.7923424326366001E-3</v>
      </c>
      <c r="J43" s="354">
        <v>2.9957145545817E-3</v>
      </c>
      <c r="K43" s="354">
        <v>4.5999999999999999E-3</v>
      </c>
      <c r="L43" s="354">
        <v>7.1999999999999998E-3</v>
      </c>
      <c r="M43" s="354">
        <v>8.8999999999999999E-3</v>
      </c>
      <c r="N43" s="354">
        <v>1.37E-2</v>
      </c>
      <c r="O43" s="354">
        <v>1.9E-2</v>
      </c>
      <c r="P43" s="354">
        <v>0.45</v>
      </c>
      <c r="Q43" s="354">
        <v>1</v>
      </c>
      <c r="R43" s="354" t="s">
        <v>1156</v>
      </c>
      <c r="S43" s="354">
        <v>1</v>
      </c>
      <c r="T43" s="354">
        <v>23708.22</v>
      </c>
      <c r="U43" s="354">
        <v>2.7378507871321E-3</v>
      </c>
      <c r="V43" s="354">
        <v>0.99983403260555204</v>
      </c>
      <c r="W43" s="354">
        <v>23704.285208499601</v>
      </c>
      <c r="X43" s="354">
        <v>52</v>
      </c>
      <c r="Y43" s="433">
        <v>8.2652035391372908E-6</v>
      </c>
      <c r="Z43" s="354">
        <v>-2.7210631160699898E-4</v>
      </c>
      <c r="AA43" s="354">
        <v>-6.0122319800848603E-4</v>
      </c>
      <c r="AB43" s="354">
        <v>-1.7995726049951199E-3</v>
      </c>
      <c r="AC43" s="354">
        <v>2.0003373408850099E-3</v>
      </c>
      <c r="AD43" s="354">
        <v>3.7959214615358402E-3</v>
      </c>
      <c r="AE43" s="354">
        <v>-5.6272486966741902E-3</v>
      </c>
      <c r="AF43" s="354">
        <v>-7.7730250369432204E-3</v>
      </c>
      <c r="AG43" s="433">
        <v>8.2652035391372908E-6</v>
      </c>
      <c r="AH43" s="433">
        <v>8.2652035391372908E-6</v>
      </c>
      <c r="AI43" s="354">
        <v>4568908.4178360002</v>
      </c>
      <c r="AJ43" s="354">
        <v>16.9933311112915</v>
      </c>
      <c r="AK43" s="354">
        <v>8439.0775470425706</v>
      </c>
      <c r="AL43" s="354">
        <v>17011.3499906383</v>
      </c>
      <c r="AM43" s="354">
        <v>4500000</v>
      </c>
    </row>
    <row r="44" spans="1:39" x14ac:dyDescent="0.25">
      <c r="A44" s="354">
        <v>43</v>
      </c>
      <c r="B44" s="354">
        <v>1100000235</v>
      </c>
      <c r="C44" s="398">
        <v>44719</v>
      </c>
      <c r="D44" s="354">
        <v>0</v>
      </c>
      <c r="E44" s="354">
        <v>31296.89</v>
      </c>
      <c r="F44" s="354" t="s">
        <v>4149</v>
      </c>
      <c r="G44" s="354">
        <v>6.6</v>
      </c>
      <c r="H44" s="354">
        <v>4.3788111488077298E-3</v>
      </c>
      <c r="I44" s="354">
        <v>1.0100128213146301E-2</v>
      </c>
      <c r="J44" s="354">
        <v>1.6554069361419801E-2</v>
      </c>
      <c r="K44" s="354">
        <v>2.4799999999999999E-2</v>
      </c>
      <c r="L44" s="354">
        <v>3.73E-2</v>
      </c>
      <c r="M44" s="354">
        <v>4.4600000000000001E-2</v>
      </c>
      <c r="N44" s="354">
        <v>6.0600000000000001E-2</v>
      </c>
      <c r="O44" s="354">
        <v>7.6499999999999999E-2</v>
      </c>
      <c r="P44" s="354">
        <v>0.42</v>
      </c>
      <c r="Q44" s="354">
        <v>1</v>
      </c>
      <c r="R44" s="354" t="s">
        <v>1156</v>
      </c>
      <c r="S44" s="354">
        <v>7</v>
      </c>
      <c r="T44" s="354">
        <v>31296.89</v>
      </c>
      <c r="U44" s="354">
        <v>1.9164955509924701E-2</v>
      </c>
      <c r="V44" s="354">
        <v>0.998775853834585</v>
      </c>
      <c r="W44" s="354">
        <v>31258.578032117101</v>
      </c>
      <c r="X44" s="354">
        <v>52</v>
      </c>
      <c r="Y44" s="433">
        <v>3.3635939162801598E-4</v>
      </c>
      <c r="Z44" s="354">
        <v>-9.0391076754597595E-4</v>
      </c>
      <c r="AA44" s="354">
        <v>-2.3129961035192798E-3</v>
      </c>
      <c r="AB44" s="354">
        <v>-7.5515909790155999E-3</v>
      </c>
      <c r="AC44" s="354">
        <v>1.2381907057056701E-2</v>
      </c>
      <c r="AD44" s="354">
        <v>2.2674821968055401E-2</v>
      </c>
      <c r="AE44" s="354">
        <v>-4.7284764829928997E-3</v>
      </c>
      <c r="AF44" s="354">
        <v>-5.4560640328955596E-3</v>
      </c>
      <c r="AG44" s="433">
        <v>3.3635939162801598E-4</v>
      </c>
      <c r="AH44" s="433">
        <v>3.3635939162801598E-4</v>
      </c>
      <c r="AI44" s="354">
        <v>5869924.9588524597</v>
      </c>
      <c r="AJ44" s="354">
        <v>829.24984298592301</v>
      </c>
      <c r="AK44" s="354">
        <v>58808.682109343499</v>
      </c>
      <c r="AL44" s="354">
        <v>140985.60487163599</v>
      </c>
      <c r="AM44" s="354">
        <v>5750500</v>
      </c>
    </row>
    <row r="45" spans="1:39" x14ac:dyDescent="0.25">
      <c r="A45" s="354">
        <v>44</v>
      </c>
      <c r="B45" s="354">
        <v>1100000236</v>
      </c>
      <c r="C45" s="398">
        <v>44742</v>
      </c>
      <c r="D45" s="354">
        <v>375000</v>
      </c>
      <c r="E45" s="354">
        <v>103561.65</v>
      </c>
      <c r="F45" s="354" t="s">
        <v>4162</v>
      </c>
      <c r="G45" s="354">
        <v>6</v>
      </c>
      <c r="H45" s="354">
        <v>1.47945300115092E-2</v>
      </c>
      <c r="I45" s="354">
        <v>3.3211305442328101E-2</v>
      </c>
      <c r="J45" s="354">
        <v>5.3351437527099699E-2</v>
      </c>
      <c r="K45" s="354">
        <v>7.7899999999999997E-2</v>
      </c>
      <c r="L45" s="354">
        <v>0.1147</v>
      </c>
      <c r="M45" s="354">
        <v>0.13550000000000001</v>
      </c>
      <c r="N45" s="354">
        <v>0.1734</v>
      </c>
      <c r="O45" s="354">
        <v>0.20860000000000001</v>
      </c>
      <c r="P45" s="354">
        <v>0.4264</v>
      </c>
      <c r="Q45" s="354">
        <v>1</v>
      </c>
      <c r="R45" s="354" t="s">
        <v>1156</v>
      </c>
      <c r="S45" s="354">
        <v>30</v>
      </c>
      <c r="T45" s="354">
        <v>478561.65</v>
      </c>
      <c r="U45" s="354">
        <v>8.2135523613962994E-2</v>
      </c>
      <c r="V45" s="354">
        <v>0.99522548711775605</v>
      </c>
      <c r="W45" s="354">
        <v>476276.751237127</v>
      </c>
      <c r="X45" s="354">
        <v>18</v>
      </c>
      <c r="Y45" s="354">
        <v>4.8849693621538801E-3</v>
      </c>
      <c r="Z45" s="354">
        <v>2.4284405538546401E-3</v>
      </c>
      <c r="AA45" s="354">
        <v>-4.5207754946676598E-4</v>
      </c>
      <c r="AB45" s="354">
        <v>-1.2229013760874201E-2</v>
      </c>
      <c r="AC45" s="354">
        <v>4.2777710203097299E-2</v>
      </c>
      <c r="AD45" s="354">
        <v>7.3397836626103302E-2</v>
      </c>
      <c r="AE45" s="354">
        <v>1.46860260767073E-2</v>
      </c>
      <c r="AF45" s="354">
        <v>1.97417352986217E-2</v>
      </c>
      <c r="AG45" s="354">
        <v>4.8849693621538801E-3</v>
      </c>
      <c r="AH45" s="354">
        <v>4.8849693621538801E-3</v>
      </c>
      <c r="AI45" s="354">
        <v>6873020.6734915301</v>
      </c>
      <c r="AJ45" s="354">
        <v>14316.164845150601</v>
      </c>
      <c r="AK45" s="354">
        <v>191724.099162964</v>
      </c>
      <c r="AL45" s="354">
        <v>299871.93944202299</v>
      </c>
      <c r="AM45" s="354">
        <v>6750000</v>
      </c>
    </row>
    <row r="46" spans="1:39" x14ac:dyDescent="0.25">
      <c r="A46" s="354">
        <v>45</v>
      </c>
      <c r="B46" s="354">
        <v>1100000237</v>
      </c>
      <c r="C46" s="398">
        <v>44742</v>
      </c>
      <c r="D46" s="354">
        <v>0</v>
      </c>
      <c r="E46" s="354">
        <v>119743.15</v>
      </c>
      <c r="F46" s="354" t="s">
        <v>4163</v>
      </c>
      <c r="G46" s="354">
        <v>6.25</v>
      </c>
      <c r="H46" s="354">
        <v>1.47945300115092E-2</v>
      </c>
      <c r="I46" s="354">
        <v>3.3211305442328101E-2</v>
      </c>
      <c r="J46" s="354">
        <v>5.3351437527099699E-2</v>
      </c>
      <c r="K46" s="354">
        <v>7.7899999999999997E-2</v>
      </c>
      <c r="L46" s="354">
        <v>0.1147</v>
      </c>
      <c r="M46" s="354">
        <v>0.13550000000000001</v>
      </c>
      <c r="N46" s="354">
        <v>0.1734</v>
      </c>
      <c r="O46" s="354">
        <v>0.20860000000000001</v>
      </c>
      <c r="P46" s="354">
        <v>0.4264</v>
      </c>
      <c r="Q46" s="354">
        <v>1</v>
      </c>
      <c r="R46" s="354" t="s">
        <v>1156</v>
      </c>
      <c r="S46" s="354">
        <v>30</v>
      </c>
      <c r="T46" s="354">
        <v>119743.15</v>
      </c>
      <c r="U46" s="354">
        <v>8.2135523613962994E-2</v>
      </c>
      <c r="V46" s="354">
        <v>0.995032941778214</v>
      </c>
      <c r="W46" s="354">
        <v>119148.37880229</v>
      </c>
      <c r="X46" s="354">
        <v>18</v>
      </c>
      <c r="Y46" s="354">
        <v>4.8849693621538801E-3</v>
      </c>
      <c r="Z46" s="354">
        <v>2.4284405538546401E-3</v>
      </c>
      <c r="AA46" s="354">
        <v>-4.5207754946676598E-4</v>
      </c>
      <c r="AB46" s="354">
        <v>-1.2229013760874201E-2</v>
      </c>
      <c r="AC46" s="354">
        <v>4.2777710203097299E-2</v>
      </c>
      <c r="AD46" s="354">
        <v>7.3397836626103302E-2</v>
      </c>
      <c r="AE46" s="354">
        <v>1.46860260767073E-2</v>
      </c>
      <c r="AF46" s="354">
        <v>1.97417352986217E-2</v>
      </c>
      <c r="AG46" s="354">
        <v>4.8849693621538801E-3</v>
      </c>
      <c r="AH46" s="354">
        <v>4.8849693621538801E-3</v>
      </c>
      <c r="AI46" s="354">
        <v>7691553.2001895104</v>
      </c>
      <c r="AJ46" s="354">
        <v>16021.1279378009</v>
      </c>
      <c r="AK46" s="354">
        <v>246143.31023958101</v>
      </c>
      <c r="AL46" s="354">
        <v>539176.49198390404</v>
      </c>
      <c r="AM46" s="354">
        <v>7500000</v>
      </c>
    </row>
    <row r="47" spans="1:39" x14ac:dyDescent="0.25">
      <c r="A47" s="354">
        <v>46</v>
      </c>
      <c r="B47" s="354">
        <v>1100000238</v>
      </c>
      <c r="C47" s="398">
        <v>44742</v>
      </c>
      <c r="D47" s="354">
        <v>0</v>
      </c>
      <c r="E47" s="354">
        <v>0</v>
      </c>
      <c r="F47" s="354" t="s">
        <v>4161</v>
      </c>
      <c r="G47" s="354">
        <v>5.75</v>
      </c>
      <c r="H47" s="354">
        <v>1.47945300115092E-2</v>
      </c>
      <c r="I47" s="354">
        <v>3.3211305442328101E-2</v>
      </c>
      <c r="J47" s="354">
        <v>5.3351437527099699E-2</v>
      </c>
      <c r="K47" s="354">
        <v>7.7899999999999997E-2</v>
      </c>
      <c r="L47" s="354">
        <v>0.1147</v>
      </c>
      <c r="M47" s="354">
        <v>0.13550000000000001</v>
      </c>
      <c r="N47" s="354">
        <v>0.1734</v>
      </c>
      <c r="O47" s="354">
        <v>0.20860000000000001</v>
      </c>
      <c r="P47" s="354">
        <v>0.4264</v>
      </c>
      <c r="Q47" s="354">
        <v>1</v>
      </c>
      <c r="R47" s="354" t="s">
        <v>1156</v>
      </c>
      <c r="S47" s="354">
        <v>30</v>
      </c>
      <c r="T47" s="354">
        <v>0</v>
      </c>
      <c r="U47" s="354">
        <v>8.2135523613962994E-2</v>
      </c>
      <c r="V47" s="354">
        <v>0.99541852450108503</v>
      </c>
      <c r="W47" s="354">
        <v>0</v>
      </c>
      <c r="X47" s="354">
        <v>18</v>
      </c>
      <c r="Y47" s="354">
        <v>4.8849693621538801E-3</v>
      </c>
      <c r="Z47" s="354">
        <v>2.4284405538546401E-3</v>
      </c>
      <c r="AA47" s="354">
        <v>-4.5207754946676598E-4</v>
      </c>
      <c r="AB47" s="354">
        <v>-1.2229013760874201E-2</v>
      </c>
      <c r="AC47" s="354">
        <v>4.2777710203097299E-2</v>
      </c>
      <c r="AD47" s="354">
        <v>7.3397836626103302E-2</v>
      </c>
      <c r="AE47" s="354">
        <v>1.46860260767073E-2</v>
      </c>
      <c r="AF47" s="354">
        <v>1.97417352986217E-2</v>
      </c>
      <c r="AG47" s="354">
        <v>4.8849693621538801E-3</v>
      </c>
      <c r="AH47" s="354">
        <v>4.8849693621538801E-3</v>
      </c>
      <c r="AI47" s="354">
        <v>0</v>
      </c>
      <c r="AJ47" s="354">
        <v>0</v>
      </c>
      <c r="AK47" s="354">
        <v>0</v>
      </c>
      <c r="AL47" s="354">
        <v>0</v>
      </c>
      <c r="AM47" s="354">
        <v>0</v>
      </c>
    </row>
    <row r="48" spans="1:39" x14ac:dyDescent="0.25">
      <c r="A48" s="354">
        <v>47</v>
      </c>
      <c r="B48" s="354">
        <v>1100000241</v>
      </c>
      <c r="C48" s="398">
        <v>44739</v>
      </c>
      <c r="D48" s="354">
        <v>11762</v>
      </c>
      <c r="E48" s="354">
        <v>26197.81</v>
      </c>
      <c r="F48" s="354" t="s">
        <v>2293</v>
      </c>
      <c r="G48" s="354">
        <v>5.6</v>
      </c>
      <c r="H48" s="354">
        <v>5.8416686889706205E-4</v>
      </c>
      <c r="I48" s="354">
        <v>1.39317591184973E-3</v>
      </c>
      <c r="J48" s="354">
        <v>2.3342496881620899E-3</v>
      </c>
      <c r="K48" s="354">
        <v>3.5999999999999999E-3</v>
      </c>
      <c r="L48" s="354">
        <v>5.4000000000000003E-3</v>
      </c>
      <c r="M48" s="354">
        <v>6.4000000000000003E-3</v>
      </c>
      <c r="N48" s="354">
        <v>9.1999999999999998E-3</v>
      </c>
      <c r="O48" s="354">
        <v>1.2200000000000001E-2</v>
      </c>
      <c r="P48" s="354">
        <v>0.150168582016389</v>
      </c>
      <c r="Q48" s="354">
        <v>1</v>
      </c>
      <c r="R48" s="354" t="s">
        <v>1156</v>
      </c>
      <c r="S48" s="354">
        <v>27</v>
      </c>
      <c r="T48" s="354">
        <v>37959.81</v>
      </c>
      <c r="U48" s="354">
        <v>7.3921971252566707E-2</v>
      </c>
      <c r="V48" s="354">
        <v>0.99598022693831401</v>
      </c>
      <c r="W48" s="354">
        <v>37807.220178335301</v>
      </c>
      <c r="X48" s="354">
        <v>53</v>
      </c>
      <c r="Y48" s="354">
        <v>1.7276661162679601E-4</v>
      </c>
      <c r="Z48" s="354">
        <v>1.43719988092484E-5</v>
      </c>
      <c r="AA48" s="354">
        <v>-2.1070752621856601E-4</v>
      </c>
      <c r="AB48" s="354">
        <v>-1.0887342146931899E-3</v>
      </c>
      <c r="AC48" s="354">
        <v>1.9301543975957E-3</v>
      </c>
      <c r="AD48" s="354">
        <v>3.4710850119518098E-3</v>
      </c>
      <c r="AE48" s="354">
        <v>-1.8385521518102801E-3</v>
      </c>
      <c r="AF48" s="354">
        <v>-2.66660109517503E-3</v>
      </c>
      <c r="AG48" s="354">
        <v>1.7276661162679601E-4</v>
      </c>
      <c r="AH48" s="354">
        <v>1.7276661162679601E-4</v>
      </c>
      <c r="AI48" s="354">
        <v>5029610.1644540103</v>
      </c>
      <c r="AJ48" s="354">
        <v>130.488795012444</v>
      </c>
      <c r="AK48" s="354">
        <v>2594.3562068207898</v>
      </c>
      <c r="AL48" s="354">
        <v>6596.9865745718598</v>
      </c>
      <c r="AM48" s="354">
        <v>4953225</v>
      </c>
    </row>
    <row r="49" spans="1:39" x14ac:dyDescent="0.25">
      <c r="A49" s="354">
        <v>48</v>
      </c>
      <c r="B49" s="354">
        <v>1100000242</v>
      </c>
      <c r="C49" s="398">
        <v>44739</v>
      </c>
      <c r="D49" s="354">
        <v>4016</v>
      </c>
      <c r="E49" s="354">
        <v>8944.2199999999993</v>
      </c>
      <c r="F49" s="354" t="s">
        <v>2294</v>
      </c>
      <c r="G49" s="354">
        <v>5.6</v>
      </c>
      <c r="H49" s="354">
        <v>5.8416686889706205E-4</v>
      </c>
      <c r="I49" s="354">
        <v>1.39317591184973E-3</v>
      </c>
      <c r="J49" s="354">
        <v>2.3342496881620899E-3</v>
      </c>
      <c r="K49" s="354">
        <v>3.5999999999999999E-3</v>
      </c>
      <c r="L49" s="354">
        <v>5.4000000000000003E-3</v>
      </c>
      <c r="M49" s="354">
        <v>6.4000000000000003E-3</v>
      </c>
      <c r="N49" s="354">
        <v>9.1999999999999998E-3</v>
      </c>
      <c r="O49" s="354">
        <v>1.2200000000000001E-2</v>
      </c>
      <c r="P49" s="354">
        <v>0.150168582016389</v>
      </c>
      <c r="Q49" s="354">
        <v>1</v>
      </c>
      <c r="R49" s="354" t="s">
        <v>1156</v>
      </c>
      <c r="S49" s="354">
        <v>27</v>
      </c>
      <c r="T49" s="354">
        <v>12960.22</v>
      </c>
      <c r="U49" s="354">
        <v>7.3921971252566707E-2</v>
      </c>
      <c r="V49" s="354">
        <v>0.99598022693831401</v>
      </c>
      <c r="W49" s="354">
        <v>12908.1228567705</v>
      </c>
      <c r="X49" s="354">
        <v>53</v>
      </c>
      <c r="Y49" s="433">
        <v>1.7276661162679601E-4</v>
      </c>
      <c r="Z49" s="354">
        <v>1.43719988092484E-5</v>
      </c>
      <c r="AA49" s="354">
        <v>-2.1070752621856601E-4</v>
      </c>
      <c r="AB49" s="354">
        <v>-1.0887342146931899E-3</v>
      </c>
      <c r="AC49" s="354">
        <v>1.9301543975957E-3</v>
      </c>
      <c r="AD49" s="354">
        <v>3.4710850119518098E-3</v>
      </c>
      <c r="AE49" s="354">
        <v>-1.8385521518102801E-3</v>
      </c>
      <c r="AF49" s="354">
        <v>-2.66660109517503E-3</v>
      </c>
      <c r="AG49" s="433">
        <v>1.7276661162679601E-4</v>
      </c>
      <c r="AH49" s="433">
        <v>1.7276661162679601E-4</v>
      </c>
      <c r="AI49" s="354">
        <v>1717164.62055272</v>
      </c>
      <c r="AJ49" s="354">
        <v>44.550319974599397</v>
      </c>
      <c r="AK49" s="354">
        <v>885.74084216103404</v>
      </c>
      <c r="AL49" s="354">
        <v>2252.2735194429401</v>
      </c>
      <c r="AM49" s="354">
        <v>1691086</v>
      </c>
    </row>
    <row r="50" spans="1:39" x14ac:dyDescent="0.25">
      <c r="A50" s="354">
        <v>49</v>
      </c>
      <c r="B50" s="354">
        <v>1100000243</v>
      </c>
      <c r="C50" s="398">
        <v>44739</v>
      </c>
      <c r="D50" s="354">
        <v>8775</v>
      </c>
      <c r="E50" s="354">
        <v>19544.3</v>
      </c>
      <c r="F50" s="354" t="s">
        <v>2298</v>
      </c>
      <c r="G50" s="354">
        <v>5.6</v>
      </c>
      <c r="H50" s="354">
        <v>5.8416686889706205E-4</v>
      </c>
      <c r="I50" s="354">
        <v>1.39317591184973E-3</v>
      </c>
      <c r="J50" s="354">
        <v>2.3342496881620899E-3</v>
      </c>
      <c r="K50" s="354">
        <v>3.5999999999999999E-3</v>
      </c>
      <c r="L50" s="354">
        <v>5.4000000000000003E-3</v>
      </c>
      <c r="M50" s="354">
        <v>6.4000000000000003E-3</v>
      </c>
      <c r="N50" s="354">
        <v>9.1999999999999998E-3</v>
      </c>
      <c r="O50" s="354">
        <v>1.2200000000000001E-2</v>
      </c>
      <c r="P50" s="354">
        <v>0.150168582016389</v>
      </c>
      <c r="Q50" s="354">
        <v>1</v>
      </c>
      <c r="R50" s="354" t="s">
        <v>1156</v>
      </c>
      <c r="S50" s="354">
        <v>27</v>
      </c>
      <c r="T50" s="354">
        <v>28319.3</v>
      </c>
      <c r="U50" s="354">
        <v>7.3921971252566707E-2</v>
      </c>
      <c r="V50" s="354">
        <v>0.99598022693831401</v>
      </c>
      <c r="W50" s="354">
        <v>28205.462840734199</v>
      </c>
      <c r="X50" s="354">
        <v>53</v>
      </c>
      <c r="Y50" s="433">
        <v>1.7276661162679601E-4</v>
      </c>
      <c r="Z50" s="354">
        <v>1.43719988092484E-5</v>
      </c>
      <c r="AA50" s="354">
        <v>-2.1070752621856601E-4</v>
      </c>
      <c r="AB50" s="354">
        <v>-1.0887342146931899E-3</v>
      </c>
      <c r="AC50" s="354">
        <v>1.9301543975957E-3</v>
      </c>
      <c r="AD50" s="354">
        <v>3.4710850119518098E-3</v>
      </c>
      <c r="AE50" s="354">
        <v>-1.8385521518102801E-3</v>
      </c>
      <c r="AF50" s="354">
        <v>-2.66660109517503E-3</v>
      </c>
      <c r="AG50" s="433">
        <v>1.7276661162679601E-4</v>
      </c>
      <c r="AH50" s="433">
        <v>1.7276661162679601E-4</v>
      </c>
      <c r="AI50" s="354">
        <v>3752230.4040791201</v>
      </c>
      <c r="AJ50" s="354">
        <v>97.348304943727001</v>
      </c>
      <c r="AK50" s="354">
        <v>1935.46182893428</v>
      </c>
      <c r="AL50" s="354">
        <v>4921.5299481874399</v>
      </c>
      <c r="AM50" s="354">
        <v>3695245</v>
      </c>
    </row>
    <row r="51" spans="1:39" x14ac:dyDescent="0.25">
      <c r="A51" s="354">
        <v>50</v>
      </c>
      <c r="B51" s="354">
        <v>1100000244</v>
      </c>
      <c r="C51" s="398">
        <v>44739</v>
      </c>
      <c r="D51" s="354">
        <v>6838</v>
      </c>
      <c r="E51" s="354">
        <v>15230.93</v>
      </c>
      <c r="F51" s="354" t="s">
        <v>2295</v>
      </c>
      <c r="G51" s="354">
        <v>5.6</v>
      </c>
      <c r="H51" s="354">
        <v>5.8416686889706205E-4</v>
      </c>
      <c r="I51" s="354">
        <v>1.39317591184973E-3</v>
      </c>
      <c r="J51" s="354">
        <v>2.3342496881620899E-3</v>
      </c>
      <c r="K51" s="354">
        <v>3.5999999999999999E-3</v>
      </c>
      <c r="L51" s="354">
        <v>5.4000000000000003E-3</v>
      </c>
      <c r="M51" s="354">
        <v>6.4000000000000003E-3</v>
      </c>
      <c r="N51" s="354">
        <v>9.1999999999999998E-3</v>
      </c>
      <c r="O51" s="354">
        <v>1.2200000000000001E-2</v>
      </c>
      <c r="P51" s="354">
        <v>0.150168582016389</v>
      </c>
      <c r="Q51" s="354">
        <v>1</v>
      </c>
      <c r="R51" s="354" t="s">
        <v>1156</v>
      </c>
      <c r="S51" s="354">
        <v>27</v>
      </c>
      <c r="T51" s="354">
        <v>22068.93</v>
      </c>
      <c r="U51" s="354">
        <v>7.3921971252566707E-2</v>
      </c>
      <c r="V51" s="354">
        <v>0.99598022693831401</v>
      </c>
      <c r="W51" s="354">
        <v>21980.217909685802</v>
      </c>
      <c r="X51" s="354">
        <v>53</v>
      </c>
      <c r="Y51" s="354">
        <v>1.7276661162679601E-4</v>
      </c>
      <c r="Z51" s="433">
        <v>1.43719988092484E-5</v>
      </c>
      <c r="AA51" s="354">
        <v>-2.1070752621856601E-4</v>
      </c>
      <c r="AB51" s="354">
        <v>-1.0887342146931899E-3</v>
      </c>
      <c r="AC51" s="354">
        <v>1.9301543975957E-3</v>
      </c>
      <c r="AD51" s="354">
        <v>3.4710850119518098E-3</v>
      </c>
      <c r="AE51" s="354">
        <v>-1.8385521518102801E-3</v>
      </c>
      <c r="AF51" s="354">
        <v>-2.66660109517503E-3</v>
      </c>
      <c r="AG51" s="354">
        <v>1.7276661162679601E-4</v>
      </c>
      <c r="AH51" s="354">
        <v>1.7276661162679601E-4</v>
      </c>
      <c r="AI51" s="354">
        <v>2924125.04284393</v>
      </c>
      <c r="AJ51" s="354">
        <v>75.863842490829398</v>
      </c>
      <c r="AK51" s="354">
        <v>1508.3128553332101</v>
      </c>
      <c r="AL51" s="354">
        <v>3835.3767410267001</v>
      </c>
      <c r="AM51" s="354">
        <v>2879716</v>
      </c>
    </row>
    <row r="52" spans="1:39" x14ac:dyDescent="0.25">
      <c r="A52" s="354">
        <v>51</v>
      </c>
      <c r="B52" s="354">
        <v>1100000245</v>
      </c>
      <c r="C52" s="398">
        <v>44739</v>
      </c>
      <c r="D52" s="354">
        <v>5647</v>
      </c>
      <c r="E52" s="354">
        <v>12578.44</v>
      </c>
      <c r="F52" s="354" t="s">
        <v>2296</v>
      </c>
      <c r="G52" s="354">
        <v>5.6</v>
      </c>
      <c r="H52" s="354">
        <v>5.8416686889706205E-4</v>
      </c>
      <c r="I52" s="354">
        <v>1.39317591184973E-3</v>
      </c>
      <c r="J52" s="354">
        <v>2.3342496881620899E-3</v>
      </c>
      <c r="K52" s="354">
        <v>3.5999999999999999E-3</v>
      </c>
      <c r="L52" s="354">
        <v>5.4000000000000003E-3</v>
      </c>
      <c r="M52" s="354">
        <v>6.4000000000000003E-3</v>
      </c>
      <c r="N52" s="354">
        <v>9.1999999999999998E-3</v>
      </c>
      <c r="O52" s="354">
        <v>1.2200000000000001E-2</v>
      </c>
      <c r="P52" s="354">
        <v>0.150168582016389</v>
      </c>
      <c r="Q52" s="354">
        <v>1</v>
      </c>
      <c r="R52" s="354" t="s">
        <v>1156</v>
      </c>
      <c r="S52" s="354">
        <v>27</v>
      </c>
      <c r="T52" s="354">
        <v>18225.439999999999</v>
      </c>
      <c r="U52" s="354">
        <v>7.3921971252566707E-2</v>
      </c>
      <c r="V52" s="354">
        <v>0.99598022693831401</v>
      </c>
      <c r="W52" s="354">
        <v>18152.177867250601</v>
      </c>
      <c r="X52" s="354">
        <v>53</v>
      </c>
      <c r="Y52" s="354">
        <v>1.7276661162679601E-4</v>
      </c>
      <c r="Z52" s="433">
        <v>1.43719988092484E-5</v>
      </c>
      <c r="AA52" s="354">
        <v>-2.1070752621856601E-4</v>
      </c>
      <c r="AB52" s="354">
        <v>-1.0887342146931899E-3</v>
      </c>
      <c r="AC52" s="354">
        <v>1.9301543975957E-3</v>
      </c>
      <c r="AD52" s="354">
        <v>3.4710850119518098E-3</v>
      </c>
      <c r="AE52" s="354">
        <v>-1.8385521518102801E-3</v>
      </c>
      <c r="AF52" s="354">
        <v>-2.66660109517503E-3</v>
      </c>
      <c r="AG52" s="354">
        <v>1.7276661162679601E-4</v>
      </c>
      <c r="AH52" s="354">
        <v>1.7276661162679601E-4</v>
      </c>
      <c r="AI52" s="354">
        <v>2414884.1949344999</v>
      </c>
      <c r="AJ52" s="354">
        <v>62.6520383067908</v>
      </c>
      <c r="AK52" s="354">
        <v>1245.6383840685801</v>
      </c>
      <c r="AL52" s="354">
        <v>3167.44508056724</v>
      </c>
      <c r="AM52" s="354">
        <v>2378209</v>
      </c>
    </row>
    <row r="53" spans="1:39" x14ac:dyDescent="0.25">
      <c r="A53" s="354">
        <v>52</v>
      </c>
      <c r="B53" s="354">
        <v>1100000248</v>
      </c>
      <c r="C53" s="398">
        <v>44804</v>
      </c>
      <c r="D53" s="354">
        <v>0</v>
      </c>
      <c r="E53" s="354">
        <v>269841.59999999998</v>
      </c>
      <c r="F53" s="354" t="s">
        <v>4229</v>
      </c>
      <c r="G53" s="354">
        <v>5.7</v>
      </c>
      <c r="H53" s="354">
        <v>4.0228091930422198E-3</v>
      </c>
      <c r="I53" s="354">
        <v>9.2938867723136899E-3</v>
      </c>
      <c r="J53" s="354">
        <v>1.52496246840392E-2</v>
      </c>
      <c r="K53" s="354">
        <v>2.29E-2</v>
      </c>
      <c r="L53" s="354">
        <v>3.2899999999999999E-2</v>
      </c>
      <c r="M53" s="354">
        <v>3.8300000000000001E-2</v>
      </c>
      <c r="N53" s="354">
        <v>4.9700000000000001E-2</v>
      </c>
      <c r="O53" s="354">
        <v>6.08E-2</v>
      </c>
      <c r="P53" s="354">
        <v>0.35859999999999997</v>
      </c>
      <c r="Q53" s="354">
        <v>1</v>
      </c>
      <c r="R53" s="354" t="s">
        <v>1156</v>
      </c>
      <c r="S53" s="354">
        <v>92</v>
      </c>
      <c r="T53" s="354">
        <v>269841.59999999998</v>
      </c>
      <c r="U53" s="354">
        <v>0.25188227241615302</v>
      </c>
      <c r="V53" s="354">
        <v>0.98613401088180497</v>
      </c>
      <c r="W53" s="354">
        <v>266099.979310764</v>
      </c>
      <c r="X53" s="354">
        <v>15</v>
      </c>
      <c r="Y53" s="354">
        <v>4.05303582201888E-3</v>
      </c>
      <c r="Z53" s="433">
        <v>4.0624956087656899E-3</v>
      </c>
      <c r="AA53" s="354">
        <v>3.3829901453444602E-3</v>
      </c>
      <c r="AB53" s="354">
        <v>6.4744138395054399E-6</v>
      </c>
      <c r="AC53" s="354">
        <v>1.53512668288119E-2</v>
      </c>
      <c r="AD53" s="354">
        <v>2.33872300421279E-2</v>
      </c>
      <c r="AE53" s="354">
        <v>6.2622075433157497E-3</v>
      </c>
      <c r="AF53" s="354">
        <v>6.9158628986127901E-3</v>
      </c>
      <c r="AG53" s="354">
        <v>4.0624956087656899E-3</v>
      </c>
      <c r="AH53" s="354">
        <v>4.0624956087656899E-3</v>
      </c>
      <c r="AI53" s="354">
        <v>18204516.440694299</v>
      </c>
      <c r="AJ53" s="354">
        <v>26520.538440668399</v>
      </c>
      <c r="AK53" s="354">
        <v>145601.27701193499</v>
      </c>
      <c r="AL53" s="354">
        <v>267975.49137714697</v>
      </c>
      <c r="AM53" s="354">
        <v>17992725.920000002</v>
      </c>
    </row>
    <row r="54" spans="1:39" x14ac:dyDescent="0.25">
      <c r="A54" s="354">
        <v>53</v>
      </c>
      <c r="B54" s="354">
        <v>1100000249</v>
      </c>
      <c r="C54" s="398">
        <v>44804</v>
      </c>
      <c r="D54" s="354">
        <v>0</v>
      </c>
      <c r="E54" s="354">
        <v>45521.09</v>
      </c>
      <c r="F54" s="354" t="s">
        <v>2421</v>
      </c>
      <c r="G54" s="354">
        <v>6.2</v>
      </c>
      <c r="H54" s="354">
        <v>4.0228091930422198E-3</v>
      </c>
      <c r="I54" s="354">
        <v>9.2938867723136899E-3</v>
      </c>
      <c r="J54" s="354">
        <v>1.52496246840392E-2</v>
      </c>
      <c r="K54" s="354">
        <v>2.29E-2</v>
      </c>
      <c r="L54" s="354">
        <v>3.2899999999999999E-2</v>
      </c>
      <c r="M54" s="354">
        <v>3.8300000000000001E-2</v>
      </c>
      <c r="N54" s="354">
        <v>4.9700000000000001E-2</v>
      </c>
      <c r="O54" s="354">
        <v>6.08E-2</v>
      </c>
      <c r="P54" s="354">
        <v>0.35859999999999997</v>
      </c>
      <c r="Q54" s="354">
        <v>1</v>
      </c>
      <c r="R54" s="354" t="s">
        <v>1156</v>
      </c>
      <c r="S54" s="354">
        <v>92</v>
      </c>
      <c r="T54" s="354">
        <v>45521.09</v>
      </c>
      <c r="U54" s="354">
        <v>0.25188227241615302</v>
      </c>
      <c r="V54" s="354">
        <v>0.98496250278367703</v>
      </c>
      <c r="W54" s="354">
        <v>44836.566735840999</v>
      </c>
      <c r="X54" s="354">
        <v>15</v>
      </c>
      <c r="Y54" s="354">
        <v>4.05303582201888E-3</v>
      </c>
      <c r="Z54" s="433">
        <v>4.0624956087656899E-3</v>
      </c>
      <c r="AA54" s="354">
        <v>3.3829901453444602E-3</v>
      </c>
      <c r="AB54" s="354">
        <v>6.4744138395054399E-6</v>
      </c>
      <c r="AC54" s="354">
        <v>1.53512668288119E-2</v>
      </c>
      <c r="AD54" s="354">
        <v>2.33872300421279E-2</v>
      </c>
      <c r="AE54" s="354">
        <v>6.2622075433157497E-3</v>
      </c>
      <c r="AF54" s="354">
        <v>6.9158628986127901E-3</v>
      </c>
      <c r="AG54" s="354">
        <v>4.0624956087656899E-3</v>
      </c>
      <c r="AH54" s="354">
        <v>4.0624956087656899E-3</v>
      </c>
      <c r="AI54" s="354">
        <v>2834571.2307179701</v>
      </c>
      <c r="AJ54" s="354">
        <v>4129.4343374605696</v>
      </c>
      <c r="AK54" s="354">
        <v>22623.630290308702</v>
      </c>
      <c r="AL54" s="354">
        <v>41487.306583578502</v>
      </c>
      <c r="AM54" s="354">
        <v>2800000</v>
      </c>
    </row>
    <row r="55" spans="1:39" x14ac:dyDescent="0.25">
      <c r="A55" s="354">
        <v>54</v>
      </c>
      <c r="B55" s="354">
        <v>1100000250</v>
      </c>
      <c r="C55" s="398">
        <v>44804</v>
      </c>
      <c r="D55" s="354">
        <v>0</v>
      </c>
      <c r="E55" s="354">
        <v>0</v>
      </c>
      <c r="F55" s="354" t="s">
        <v>2420</v>
      </c>
      <c r="G55" s="354">
        <v>6.2</v>
      </c>
      <c r="H55" s="354">
        <v>4.0228091930422198E-3</v>
      </c>
      <c r="I55" s="354">
        <v>9.2938867723136899E-3</v>
      </c>
      <c r="J55" s="354">
        <v>1.52496246840392E-2</v>
      </c>
      <c r="K55" s="354">
        <v>2.29E-2</v>
      </c>
      <c r="L55" s="354">
        <v>3.2899999999999999E-2</v>
      </c>
      <c r="M55" s="354">
        <v>3.8300000000000001E-2</v>
      </c>
      <c r="N55" s="354">
        <v>4.9700000000000001E-2</v>
      </c>
      <c r="O55" s="354">
        <v>6.08E-2</v>
      </c>
      <c r="P55" s="354">
        <v>0.35859999999999997</v>
      </c>
      <c r="Q55" s="354">
        <v>1</v>
      </c>
      <c r="R55" s="354" t="s">
        <v>1156</v>
      </c>
      <c r="S55" s="354">
        <v>92</v>
      </c>
      <c r="T55" s="354">
        <v>0</v>
      </c>
      <c r="U55" s="354">
        <v>0.25188227241615302</v>
      </c>
      <c r="V55" s="354">
        <v>0.98496250278367703</v>
      </c>
      <c r="W55" s="354">
        <v>0</v>
      </c>
      <c r="X55" s="354">
        <v>15</v>
      </c>
      <c r="Y55" s="354">
        <v>4.05303582201888E-3</v>
      </c>
      <c r="Z55" s="433">
        <v>4.0624956087656899E-3</v>
      </c>
      <c r="AA55" s="354">
        <v>3.3829901453444602E-3</v>
      </c>
      <c r="AB55" s="354">
        <v>6.4744138395054399E-6</v>
      </c>
      <c r="AC55" s="354">
        <v>1.53512668288119E-2</v>
      </c>
      <c r="AD55" s="354">
        <v>2.33872300421279E-2</v>
      </c>
      <c r="AE55" s="354">
        <v>6.2622075433157497E-3</v>
      </c>
      <c r="AF55" s="354">
        <v>6.9158628986127901E-3</v>
      </c>
      <c r="AG55" s="354">
        <v>4.0624956087656899E-3</v>
      </c>
      <c r="AH55" s="354">
        <v>4.0624956087656899E-3</v>
      </c>
      <c r="AI55" s="354">
        <v>0</v>
      </c>
      <c r="AJ55" s="354">
        <v>0</v>
      </c>
      <c r="AK55" s="354">
        <v>0</v>
      </c>
      <c r="AL55" s="354">
        <v>0</v>
      </c>
      <c r="AM55" s="354">
        <v>0</v>
      </c>
    </row>
    <row r="56" spans="1:39" x14ac:dyDescent="0.25">
      <c r="A56" s="354">
        <v>55</v>
      </c>
      <c r="B56" s="354">
        <v>1100000251</v>
      </c>
      <c r="C56" s="398">
        <v>44804</v>
      </c>
      <c r="D56" s="354">
        <v>0</v>
      </c>
      <c r="E56" s="354">
        <v>0</v>
      </c>
      <c r="F56" s="354" t="s">
        <v>2419</v>
      </c>
      <c r="G56" s="354">
        <v>6.2</v>
      </c>
      <c r="H56" s="354">
        <v>4.0228091930422198E-3</v>
      </c>
      <c r="I56" s="354">
        <v>9.2938867723136899E-3</v>
      </c>
      <c r="J56" s="354">
        <v>1.52496246840392E-2</v>
      </c>
      <c r="K56" s="354">
        <v>2.29E-2</v>
      </c>
      <c r="L56" s="354">
        <v>3.2899999999999999E-2</v>
      </c>
      <c r="M56" s="354">
        <v>3.8300000000000001E-2</v>
      </c>
      <c r="N56" s="354">
        <v>4.9700000000000001E-2</v>
      </c>
      <c r="O56" s="354">
        <v>6.08E-2</v>
      </c>
      <c r="P56" s="354">
        <v>0.35859999999999997</v>
      </c>
      <c r="Q56" s="354">
        <v>1</v>
      </c>
      <c r="R56" s="354" t="s">
        <v>1156</v>
      </c>
      <c r="S56" s="354">
        <v>92</v>
      </c>
      <c r="T56" s="354">
        <v>0</v>
      </c>
      <c r="U56" s="354">
        <v>0.25188227241615302</v>
      </c>
      <c r="V56" s="354">
        <v>0.98496250278367703</v>
      </c>
      <c r="W56" s="354">
        <v>0</v>
      </c>
      <c r="X56" s="354">
        <v>15</v>
      </c>
      <c r="Y56" s="354">
        <v>4.05303582201888E-3</v>
      </c>
      <c r="Z56" s="354">
        <v>4.0624956087656899E-3</v>
      </c>
      <c r="AA56" s="354">
        <v>3.3829901453444602E-3</v>
      </c>
      <c r="AB56" s="354">
        <v>6.4744138395054399E-6</v>
      </c>
      <c r="AC56" s="354">
        <v>1.53512668288119E-2</v>
      </c>
      <c r="AD56" s="354">
        <v>2.33872300421279E-2</v>
      </c>
      <c r="AE56" s="354">
        <v>6.2622075433157497E-3</v>
      </c>
      <c r="AF56" s="354">
        <v>6.9158628986127901E-3</v>
      </c>
      <c r="AG56" s="354">
        <v>4.0624956087656899E-3</v>
      </c>
      <c r="AH56" s="354">
        <v>4.0624956087656899E-3</v>
      </c>
      <c r="AI56" s="354">
        <v>0</v>
      </c>
      <c r="AJ56" s="354">
        <v>0</v>
      </c>
      <c r="AK56" s="354">
        <v>0</v>
      </c>
      <c r="AL56" s="354">
        <v>0</v>
      </c>
      <c r="AM56" s="354">
        <v>0</v>
      </c>
    </row>
    <row r="57" spans="1:39" x14ac:dyDescent="0.25">
      <c r="A57" s="354">
        <v>56</v>
      </c>
      <c r="B57" s="354">
        <v>1100000252</v>
      </c>
      <c r="C57" s="398">
        <v>44804</v>
      </c>
      <c r="D57" s="354">
        <v>0</v>
      </c>
      <c r="E57" s="354">
        <v>0</v>
      </c>
      <c r="F57" s="354" t="s">
        <v>4230</v>
      </c>
      <c r="G57" s="354">
        <v>6.2</v>
      </c>
      <c r="H57" s="354">
        <v>4.0228091930422198E-3</v>
      </c>
      <c r="I57" s="354">
        <v>9.2938867723136899E-3</v>
      </c>
      <c r="J57" s="354">
        <v>1.52496246840392E-2</v>
      </c>
      <c r="K57" s="354">
        <v>2.29E-2</v>
      </c>
      <c r="L57" s="354">
        <v>3.2899999999999999E-2</v>
      </c>
      <c r="M57" s="354">
        <v>3.8300000000000001E-2</v>
      </c>
      <c r="N57" s="354">
        <v>4.9700000000000001E-2</v>
      </c>
      <c r="O57" s="354">
        <v>6.08E-2</v>
      </c>
      <c r="P57" s="354">
        <v>0.35859999999999997</v>
      </c>
      <c r="Q57" s="354">
        <v>1</v>
      </c>
      <c r="R57" s="354" t="s">
        <v>1156</v>
      </c>
      <c r="S57" s="354">
        <v>92</v>
      </c>
      <c r="T57" s="354">
        <v>0</v>
      </c>
      <c r="U57" s="354">
        <v>0.25188227241615302</v>
      </c>
      <c r="V57" s="354">
        <v>0.98496250278367703</v>
      </c>
      <c r="W57" s="354">
        <v>0</v>
      </c>
      <c r="X57" s="354">
        <v>15</v>
      </c>
      <c r="Y57" s="354">
        <v>4.05303582201888E-3</v>
      </c>
      <c r="Z57" s="354">
        <v>4.0624956087656899E-3</v>
      </c>
      <c r="AA57" s="354">
        <v>3.3829901453444602E-3</v>
      </c>
      <c r="AB57" s="354">
        <v>6.4744138395054399E-6</v>
      </c>
      <c r="AC57" s="354">
        <v>1.53512668288119E-2</v>
      </c>
      <c r="AD57" s="354">
        <v>2.33872300421279E-2</v>
      </c>
      <c r="AE57" s="354">
        <v>6.2622075433157497E-3</v>
      </c>
      <c r="AF57" s="354">
        <v>6.9158628986127901E-3</v>
      </c>
      <c r="AG57" s="354">
        <v>4.0624956087656899E-3</v>
      </c>
      <c r="AH57" s="354">
        <v>4.0624956087656899E-3</v>
      </c>
      <c r="AI57" s="354">
        <v>0</v>
      </c>
      <c r="AJ57" s="354">
        <v>0</v>
      </c>
      <c r="AK57" s="354">
        <v>0</v>
      </c>
      <c r="AL57" s="354">
        <v>0</v>
      </c>
      <c r="AM57" s="354">
        <v>0</v>
      </c>
    </row>
    <row r="58" spans="1:39" x14ac:dyDescent="0.25">
      <c r="A58" s="354">
        <v>57</v>
      </c>
      <c r="B58" s="354">
        <v>1100000253</v>
      </c>
      <c r="C58" s="398">
        <v>44804</v>
      </c>
      <c r="D58" s="354">
        <v>0</v>
      </c>
      <c r="E58" s="354">
        <v>0</v>
      </c>
      <c r="F58" s="354" t="s">
        <v>2417</v>
      </c>
      <c r="G58" s="354">
        <v>6.2</v>
      </c>
      <c r="H58" s="354">
        <v>4.0228091930422198E-3</v>
      </c>
      <c r="I58" s="354">
        <v>9.2938867723136899E-3</v>
      </c>
      <c r="J58" s="354">
        <v>1.52496246840392E-2</v>
      </c>
      <c r="K58" s="354">
        <v>2.29E-2</v>
      </c>
      <c r="L58" s="354">
        <v>3.2899999999999999E-2</v>
      </c>
      <c r="M58" s="354">
        <v>3.8300000000000001E-2</v>
      </c>
      <c r="N58" s="354">
        <v>4.9700000000000001E-2</v>
      </c>
      <c r="O58" s="354">
        <v>6.08E-2</v>
      </c>
      <c r="P58" s="354">
        <v>0.35859999999999997</v>
      </c>
      <c r="Q58" s="354">
        <v>1</v>
      </c>
      <c r="R58" s="354" t="s">
        <v>1156</v>
      </c>
      <c r="S58" s="354">
        <v>92</v>
      </c>
      <c r="T58" s="354">
        <v>0</v>
      </c>
      <c r="U58" s="354">
        <v>0.25188227241615302</v>
      </c>
      <c r="V58" s="354">
        <v>0.98496250278367703</v>
      </c>
      <c r="W58" s="354">
        <v>0</v>
      </c>
      <c r="X58" s="354">
        <v>15</v>
      </c>
      <c r="Y58" s="354">
        <v>4.05303582201888E-3</v>
      </c>
      <c r="Z58" s="354">
        <v>4.0624956087656899E-3</v>
      </c>
      <c r="AA58" s="354">
        <v>3.3829901453444602E-3</v>
      </c>
      <c r="AB58" s="354">
        <v>6.4744138395054399E-6</v>
      </c>
      <c r="AC58" s="354">
        <v>1.53512668288119E-2</v>
      </c>
      <c r="AD58" s="354">
        <v>2.33872300421279E-2</v>
      </c>
      <c r="AE58" s="354">
        <v>6.2622075433157497E-3</v>
      </c>
      <c r="AF58" s="354">
        <v>6.9158628986127901E-3</v>
      </c>
      <c r="AG58" s="354">
        <v>4.0624956087656899E-3</v>
      </c>
      <c r="AH58" s="354">
        <v>4.0624956087656899E-3</v>
      </c>
      <c r="AI58" s="354">
        <v>0</v>
      </c>
      <c r="AJ58" s="354">
        <v>0</v>
      </c>
      <c r="AK58" s="354">
        <v>0</v>
      </c>
      <c r="AL58" s="354">
        <v>0</v>
      </c>
      <c r="AM58" s="354">
        <v>0</v>
      </c>
    </row>
    <row r="59" spans="1:39" x14ac:dyDescent="0.25">
      <c r="A59" s="354">
        <v>58</v>
      </c>
      <c r="B59" s="354">
        <v>1100000254</v>
      </c>
      <c r="C59" s="398">
        <v>44804</v>
      </c>
      <c r="D59" s="354">
        <v>0</v>
      </c>
      <c r="E59" s="354">
        <v>32515.07</v>
      </c>
      <c r="F59" s="354" t="s">
        <v>2416</v>
      </c>
      <c r="G59" s="354">
        <v>6.2</v>
      </c>
      <c r="H59" s="354">
        <v>4.0228091930422198E-3</v>
      </c>
      <c r="I59" s="354">
        <v>9.2938867723136899E-3</v>
      </c>
      <c r="J59" s="354">
        <v>1.52496246840392E-2</v>
      </c>
      <c r="K59" s="354">
        <v>2.29E-2</v>
      </c>
      <c r="L59" s="354">
        <v>3.2899999999999999E-2</v>
      </c>
      <c r="M59" s="354">
        <v>3.8300000000000001E-2</v>
      </c>
      <c r="N59" s="354">
        <v>4.9700000000000001E-2</v>
      </c>
      <c r="O59" s="354">
        <v>6.08E-2</v>
      </c>
      <c r="P59" s="354">
        <v>0.35859999999999997</v>
      </c>
      <c r="Q59" s="354">
        <v>1</v>
      </c>
      <c r="R59" s="354" t="s">
        <v>1156</v>
      </c>
      <c r="S59" s="354">
        <v>92</v>
      </c>
      <c r="T59" s="354">
        <v>32515.07</v>
      </c>
      <c r="U59" s="354">
        <v>0.25188227241615302</v>
      </c>
      <c r="V59" s="354">
        <v>0.98496250278367703</v>
      </c>
      <c r="W59" s="354">
        <v>32026.1247253865</v>
      </c>
      <c r="X59" s="354">
        <v>15</v>
      </c>
      <c r="Y59" s="354">
        <v>4.05303582201888E-3</v>
      </c>
      <c r="Z59" s="354">
        <v>4.0624956087656899E-3</v>
      </c>
      <c r="AA59" s="354">
        <v>3.3829901453444602E-3</v>
      </c>
      <c r="AB59" s="354">
        <v>6.4744138395054399E-6</v>
      </c>
      <c r="AC59" s="354">
        <v>1.53512668288119E-2</v>
      </c>
      <c r="AD59" s="354">
        <v>2.33872300421279E-2</v>
      </c>
      <c r="AE59" s="354">
        <v>6.2622075433157497E-3</v>
      </c>
      <c r="AF59" s="354">
        <v>6.9158628986127901E-3</v>
      </c>
      <c r="AG59" s="354">
        <v>4.0624956087656899E-3</v>
      </c>
      <c r="AH59" s="354">
        <v>4.0624956087656899E-3</v>
      </c>
      <c r="AI59" s="354">
        <v>2024693.7326887599</v>
      </c>
      <c r="AJ59" s="354">
        <v>2949.59595017425</v>
      </c>
      <c r="AK59" s="354">
        <v>16159.735886759599</v>
      </c>
      <c r="AL59" s="354">
        <v>29633.790359229799</v>
      </c>
      <c r="AM59" s="354">
        <v>2000000</v>
      </c>
    </row>
    <row r="60" spans="1:39" x14ac:dyDescent="0.25">
      <c r="A60" s="354">
        <v>59</v>
      </c>
      <c r="B60" s="354">
        <v>1100000255</v>
      </c>
      <c r="C60" s="398">
        <v>44804</v>
      </c>
      <c r="D60" s="354">
        <v>0</v>
      </c>
      <c r="E60" s="354">
        <v>0</v>
      </c>
      <c r="F60" s="354" t="s">
        <v>2415</v>
      </c>
      <c r="G60" s="354">
        <v>6.2</v>
      </c>
      <c r="H60" s="354">
        <v>4.0228091930422198E-3</v>
      </c>
      <c r="I60" s="354">
        <v>9.2938867723136899E-3</v>
      </c>
      <c r="J60" s="354">
        <v>1.52496246840392E-2</v>
      </c>
      <c r="K60" s="354">
        <v>2.29E-2</v>
      </c>
      <c r="L60" s="354">
        <v>3.2899999999999999E-2</v>
      </c>
      <c r="M60" s="354">
        <v>3.8300000000000001E-2</v>
      </c>
      <c r="N60" s="354">
        <v>4.9700000000000001E-2</v>
      </c>
      <c r="O60" s="354">
        <v>6.08E-2</v>
      </c>
      <c r="P60" s="354">
        <v>0.35859999999999997</v>
      </c>
      <c r="Q60" s="354">
        <v>1</v>
      </c>
      <c r="R60" s="354" t="s">
        <v>1156</v>
      </c>
      <c r="S60" s="354">
        <v>92</v>
      </c>
      <c r="T60" s="354">
        <v>0</v>
      </c>
      <c r="U60" s="354">
        <v>0.25188227241615302</v>
      </c>
      <c r="V60" s="354">
        <v>0.98496250278367703</v>
      </c>
      <c r="W60" s="354">
        <v>0</v>
      </c>
      <c r="X60" s="354">
        <v>15</v>
      </c>
      <c r="Y60" s="354">
        <v>4.05303582201888E-3</v>
      </c>
      <c r="Z60" s="354">
        <v>4.0624956087656899E-3</v>
      </c>
      <c r="AA60" s="354">
        <v>3.3829901453444602E-3</v>
      </c>
      <c r="AB60" s="354">
        <v>6.4744138395054399E-6</v>
      </c>
      <c r="AC60" s="354">
        <v>1.53512668288119E-2</v>
      </c>
      <c r="AD60" s="354">
        <v>2.33872300421279E-2</v>
      </c>
      <c r="AE60" s="354">
        <v>6.2622075433157497E-3</v>
      </c>
      <c r="AF60" s="354">
        <v>6.9158628986127901E-3</v>
      </c>
      <c r="AG60" s="354">
        <v>4.0624956087656899E-3</v>
      </c>
      <c r="AH60" s="354">
        <v>4.0624956087656899E-3</v>
      </c>
      <c r="AI60" s="354">
        <v>0</v>
      </c>
      <c r="AJ60" s="354">
        <v>0</v>
      </c>
      <c r="AK60" s="354">
        <v>0</v>
      </c>
      <c r="AL60" s="354">
        <v>0</v>
      </c>
      <c r="AM60" s="354">
        <v>0</v>
      </c>
    </row>
    <row r="61" spans="1:39" x14ac:dyDescent="0.25">
      <c r="A61" s="354">
        <v>60</v>
      </c>
      <c r="B61" s="354">
        <v>1100000256</v>
      </c>
      <c r="C61" s="398">
        <v>44804</v>
      </c>
      <c r="D61" s="354">
        <v>0</v>
      </c>
      <c r="E61" s="354">
        <v>16257.54</v>
      </c>
      <c r="F61" s="354" t="s">
        <v>2414</v>
      </c>
      <c r="G61" s="354">
        <v>6.2</v>
      </c>
      <c r="H61" s="354">
        <v>4.0228091930422198E-3</v>
      </c>
      <c r="I61" s="354">
        <v>9.2938867723136899E-3</v>
      </c>
      <c r="J61" s="354">
        <v>1.52496246840392E-2</v>
      </c>
      <c r="K61" s="354">
        <v>2.29E-2</v>
      </c>
      <c r="L61" s="354">
        <v>3.2899999999999999E-2</v>
      </c>
      <c r="M61" s="354">
        <v>3.8300000000000001E-2</v>
      </c>
      <c r="N61" s="354">
        <v>4.9700000000000001E-2</v>
      </c>
      <c r="O61" s="354">
        <v>6.08E-2</v>
      </c>
      <c r="P61" s="354">
        <v>0.35859999999999997</v>
      </c>
      <c r="Q61" s="354">
        <v>1</v>
      </c>
      <c r="R61" s="354" t="s">
        <v>1156</v>
      </c>
      <c r="S61" s="354">
        <v>92</v>
      </c>
      <c r="T61" s="354">
        <v>16257.54</v>
      </c>
      <c r="U61" s="354">
        <v>0.25188227241615302</v>
      </c>
      <c r="V61" s="354">
        <v>0.98496250278367703</v>
      </c>
      <c r="W61" s="354">
        <v>16013.067287505701</v>
      </c>
      <c r="X61" s="354">
        <v>15</v>
      </c>
      <c r="Y61" s="354">
        <v>4.05303582201888E-3</v>
      </c>
      <c r="Z61" s="354">
        <v>4.0624956087656899E-3</v>
      </c>
      <c r="AA61" s="354">
        <v>3.3829901453444602E-3</v>
      </c>
      <c r="AB61" s="354">
        <v>6.4744138395054399E-6</v>
      </c>
      <c r="AC61" s="354">
        <v>1.53512668288119E-2</v>
      </c>
      <c r="AD61" s="354">
        <v>2.33872300421279E-2</v>
      </c>
      <c r="AE61" s="354">
        <v>6.2622075433157497E-3</v>
      </c>
      <c r="AF61" s="354">
        <v>6.9158628986127901E-3</v>
      </c>
      <c r="AG61" s="354">
        <v>4.0624956087656899E-3</v>
      </c>
      <c r="AH61" s="354">
        <v>4.0624956087656899E-3</v>
      </c>
      <c r="AI61" s="354">
        <v>1012346.86655631</v>
      </c>
      <c r="AJ61" s="354">
        <v>1474.79797539588</v>
      </c>
      <c r="AK61" s="354">
        <v>8079.8679382537503</v>
      </c>
      <c r="AL61" s="354">
        <v>14816.8951682551</v>
      </c>
      <c r="AM61" s="354">
        <v>1000000</v>
      </c>
    </row>
    <row r="62" spans="1:39" x14ac:dyDescent="0.25">
      <c r="A62" s="354">
        <v>61</v>
      </c>
      <c r="B62" s="354">
        <v>1100000257</v>
      </c>
      <c r="C62" s="398">
        <v>44804</v>
      </c>
      <c r="D62" s="354">
        <v>0</v>
      </c>
      <c r="E62" s="354">
        <v>0</v>
      </c>
      <c r="F62" s="354" t="s">
        <v>2413</v>
      </c>
      <c r="G62" s="354">
        <v>6.2</v>
      </c>
      <c r="H62" s="354">
        <v>4.0228091930422198E-3</v>
      </c>
      <c r="I62" s="354">
        <v>9.2938867723136899E-3</v>
      </c>
      <c r="J62" s="354">
        <v>1.52496246840392E-2</v>
      </c>
      <c r="K62" s="354">
        <v>2.29E-2</v>
      </c>
      <c r="L62" s="354">
        <v>3.2899999999999999E-2</v>
      </c>
      <c r="M62" s="354">
        <v>3.8300000000000001E-2</v>
      </c>
      <c r="N62" s="354">
        <v>4.9700000000000001E-2</v>
      </c>
      <c r="O62" s="354">
        <v>6.08E-2</v>
      </c>
      <c r="P62" s="354">
        <v>0.35859999999999997</v>
      </c>
      <c r="Q62" s="354">
        <v>1</v>
      </c>
      <c r="R62" s="354" t="s">
        <v>1156</v>
      </c>
      <c r="S62" s="354">
        <v>92</v>
      </c>
      <c r="T62" s="354">
        <v>0</v>
      </c>
      <c r="U62" s="354">
        <v>0.25188227241615302</v>
      </c>
      <c r="V62" s="354">
        <v>0.98496250278367703</v>
      </c>
      <c r="W62" s="354">
        <v>0</v>
      </c>
      <c r="X62" s="354">
        <v>15</v>
      </c>
      <c r="Y62" s="354">
        <v>4.05303582201888E-3</v>
      </c>
      <c r="Z62" s="354">
        <v>4.0624956087656899E-3</v>
      </c>
      <c r="AA62" s="354">
        <v>3.3829901453444602E-3</v>
      </c>
      <c r="AB62" s="354">
        <v>6.4744138395054399E-6</v>
      </c>
      <c r="AC62" s="354">
        <v>1.53512668288119E-2</v>
      </c>
      <c r="AD62" s="354">
        <v>2.33872300421279E-2</v>
      </c>
      <c r="AE62" s="354">
        <v>6.2622075433157497E-3</v>
      </c>
      <c r="AF62" s="354">
        <v>6.9158628986127901E-3</v>
      </c>
      <c r="AG62" s="354">
        <v>4.0624956087656899E-3</v>
      </c>
      <c r="AH62" s="354">
        <v>4.0624956087656899E-3</v>
      </c>
      <c r="AI62" s="354">
        <v>0</v>
      </c>
      <c r="AJ62" s="354">
        <v>0</v>
      </c>
      <c r="AK62" s="354">
        <v>0</v>
      </c>
      <c r="AL62" s="354">
        <v>0</v>
      </c>
      <c r="AM62" s="354">
        <v>0</v>
      </c>
    </row>
    <row r="63" spans="1:39" x14ac:dyDescent="0.25">
      <c r="A63" s="354">
        <v>62</v>
      </c>
      <c r="B63" s="354">
        <v>1100000258</v>
      </c>
      <c r="C63" s="398">
        <v>44804</v>
      </c>
      <c r="D63" s="354">
        <v>0</v>
      </c>
      <c r="E63" s="354">
        <v>0</v>
      </c>
      <c r="F63" s="354" t="s">
        <v>2411</v>
      </c>
      <c r="G63" s="354">
        <v>6.2</v>
      </c>
      <c r="H63" s="354">
        <v>4.0228091930422198E-3</v>
      </c>
      <c r="I63" s="354">
        <v>9.2938867723136899E-3</v>
      </c>
      <c r="J63" s="354">
        <v>1.52496246840392E-2</v>
      </c>
      <c r="K63" s="354">
        <v>2.29E-2</v>
      </c>
      <c r="L63" s="354">
        <v>3.2899999999999999E-2</v>
      </c>
      <c r="M63" s="354">
        <v>3.8300000000000001E-2</v>
      </c>
      <c r="N63" s="354">
        <v>4.9700000000000001E-2</v>
      </c>
      <c r="O63" s="354">
        <v>6.08E-2</v>
      </c>
      <c r="P63" s="354">
        <v>0.35859999999999997</v>
      </c>
      <c r="Q63" s="354">
        <v>1</v>
      </c>
      <c r="R63" s="354" t="s">
        <v>1156</v>
      </c>
      <c r="S63" s="354">
        <v>92</v>
      </c>
      <c r="T63" s="354">
        <v>0</v>
      </c>
      <c r="U63" s="354">
        <v>0.25188227241615302</v>
      </c>
      <c r="V63" s="354">
        <v>0.98496250278367703</v>
      </c>
      <c r="W63" s="354">
        <v>0</v>
      </c>
      <c r="X63" s="354">
        <v>15</v>
      </c>
      <c r="Y63" s="354">
        <v>4.05303582201888E-3</v>
      </c>
      <c r="Z63" s="354">
        <v>4.0624956087656899E-3</v>
      </c>
      <c r="AA63" s="354">
        <v>3.3829901453444602E-3</v>
      </c>
      <c r="AB63" s="354">
        <v>6.4744138395054399E-6</v>
      </c>
      <c r="AC63" s="354">
        <v>1.53512668288119E-2</v>
      </c>
      <c r="AD63" s="354">
        <v>2.33872300421279E-2</v>
      </c>
      <c r="AE63" s="354">
        <v>6.2622075433157497E-3</v>
      </c>
      <c r="AF63" s="354">
        <v>6.9158628986127901E-3</v>
      </c>
      <c r="AG63" s="354">
        <v>4.0624956087656899E-3</v>
      </c>
      <c r="AH63" s="354">
        <v>4.0624956087656899E-3</v>
      </c>
      <c r="AI63" s="354">
        <v>0</v>
      </c>
      <c r="AJ63" s="354">
        <v>0</v>
      </c>
      <c r="AK63" s="354">
        <v>0</v>
      </c>
      <c r="AL63" s="354">
        <v>0</v>
      </c>
      <c r="AM63" s="354">
        <v>0</v>
      </c>
    </row>
    <row r="64" spans="1:39" x14ac:dyDescent="0.25">
      <c r="A64" s="354">
        <v>63</v>
      </c>
      <c r="B64" s="354">
        <v>1100000259</v>
      </c>
      <c r="C64" s="398">
        <v>44804</v>
      </c>
      <c r="D64" s="354">
        <v>0</v>
      </c>
      <c r="E64" s="354">
        <v>39830.959999999999</v>
      </c>
      <c r="F64" s="354" t="s">
        <v>2412</v>
      </c>
      <c r="G64" s="354">
        <v>6.2</v>
      </c>
      <c r="H64" s="354">
        <v>4.0228091930422198E-3</v>
      </c>
      <c r="I64" s="354">
        <v>9.2938867723136899E-3</v>
      </c>
      <c r="J64" s="354">
        <v>1.52496246840392E-2</v>
      </c>
      <c r="K64" s="354">
        <v>2.29E-2</v>
      </c>
      <c r="L64" s="354">
        <v>3.2899999999999999E-2</v>
      </c>
      <c r="M64" s="354">
        <v>3.8300000000000001E-2</v>
      </c>
      <c r="N64" s="354">
        <v>4.9700000000000001E-2</v>
      </c>
      <c r="O64" s="354">
        <v>6.08E-2</v>
      </c>
      <c r="P64" s="354">
        <v>0.35859999999999997</v>
      </c>
      <c r="Q64" s="354">
        <v>1</v>
      </c>
      <c r="R64" s="354" t="s">
        <v>1156</v>
      </c>
      <c r="S64" s="354">
        <v>92</v>
      </c>
      <c r="T64" s="354">
        <v>39830.959999999999</v>
      </c>
      <c r="U64" s="354">
        <v>0.25188227241615302</v>
      </c>
      <c r="V64" s="354">
        <v>0.98496250278367703</v>
      </c>
      <c r="W64" s="354">
        <v>39232.002049876501</v>
      </c>
      <c r="X64" s="354">
        <v>15</v>
      </c>
      <c r="Y64" s="354">
        <v>4.05303582201888E-3</v>
      </c>
      <c r="Z64" s="354">
        <v>4.0624956087656899E-3</v>
      </c>
      <c r="AA64" s="354">
        <v>3.3829901453444602E-3</v>
      </c>
      <c r="AB64" s="354">
        <v>6.4744138395054399E-6</v>
      </c>
      <c r="AC64" s="354">
        <v>1.53512668288119E-2</v>
      </c>
      <c r="AD64" s="354">
        <v>2.33872300421279E-2</v>
      </c>
      <c r="AE64" s="354">
        <v>6.2622075433157497E-3</v>
      </c>
      <c r="AF64" s="354">
        <v>6.9158628986127901E-3</v>
      </c>
      <c r="AG64" s="354">
        <v>4.0624956087656899E-3</v>
      </c>
      <c r="AH64" s="354">
        <v>4.0624956087656899E-3</v>
      </c>
      <c r="AI64" s="354">
        <v>2480249.8223210601</v>
      </c>
      <c r="AJ64" s="354">
        <v>3613.2550386390799</v>
      </c>
      <c r="AK64" s="354">
        <v>19795.6764320355</v>
      </c>
      <c r="AL64" s="354">
        <v>36301.393137688698</v>
      </c>
      <c r="AM64" s="354">
        <v>2450000</v>
      </c>
    </row>
    <row r="65" spans="1:39" x14ac:dyDescent="0.25">
      <c r="A65" s="354">
        <v>64</v>
      </c>
      <c r="B65" s="354">
        <v>1100000266</v>
      </c>
      <c r="C65" s="398">
        <v>44804</v>
      </c>
      <c r="D65" s="354">
        <v>0</v>
      </c>
      <c r="E65" s="354">
        <v>89630.69</v>
      </c>
      <c r="F65" s="354" t="s">
        <v>2426</v>
      </c>
      <c r="G65" s="354">
        <v>6.1</v>
      </c>
      <c r="H65" s="354">
        <v>8.0715234584913297E-4</v>
      </c>
      <c r="I65" s="354">
        <v>1.91561345934887E-3</v>
      </c>
      <c r="J65" s="354">
        <v>3.1996459116158098E-3</v>
      </c>
      <c r="K65" s="354">
        <v>4.8999999999999998E-3</v>
      </c>
      <c r="L65" s="354">
        <v>7.7000000000000002E-3</v>
      </c>
      <c r="M65" s="354">
        <v>9.4999999999999998E-3</v>
      </c>
      <c r="N65" s="354">
        <v>1.44E-2</v>
      </c>
      <c r="O65" s="354">
        <v>1.9699999999999999E-2</v>
      </c>
      <c r="P65" s="354">
        <v>0.39140000000000003</v>
      </c>
      <c r="Q65" s="354">
        <v>1</v>
      </c>
      <c r="R65" s="354" t="s">
        <v>1156</v>
      </c>
      <c r="S65" s="354">
        <v>92</v>
      </c>
      <c r="T65" s="354">
        <v>89630.69</v>
      </c>
      <c r="U65" s="354">
        <v>0.25188227241615302</v>
      </c>
      <c r="V65" s="354">
        <v>0.98519625129916</v>
      </c>
      <c r="W65" s="354">
        <v>88303.819789357105</v>
      </c>
      <c r="X65" s="354">
        <v>19</v>
      </c>
      <c r="Y65" s="354">
        <v>8.1322699652641695E-4</v>
      </c>
      <c r="Z65" s="354">
        <v>8.1549804896240998E-4</v>
      </c>
      <c r="AA65" s="354">
        <v>6.4124860254732895E-4</v>
      </c>
      <c r="AB65" s="354">
        <v>-1.88260146759529E-4</v>
      </c>
      <c r="AC65" s="354">
        <v>2.8001052371657799E-3</v>
      </c>
      <c r="AD65" s="354">
        <v>4.54552735291736E-3</v>
      </c>
      <c r="AE65" s="354">
        <v>-4.0916020318797503E-3</v>
      </c>
      <c r="AF65" s="354">
        <v>-5.7212646318840496E-3</v>
      </c>
      <c r="AG65" s="354">
        <v>8.1549804896240998E-4</v>
      </c>
      <c r="AH65" s="354">
        <v>8.1549804896240998E-4</v>
      </c>
      <c r="AI65" s="354">
        <v>5650617.6057699397</v>
      </c>
      <c r="AJ65" s="354">
        <v>1803.59767153194</v>
      </c>
      <c r="AK65" s="354">
        <v>9857.3928416451799</v>
      </c>
      <c r="AL65" s="354">
        <v>19156.868209271801</v>
      </c>
      <c r="AM65" s="354">
        <v>5600000</v>
      </c>
    </row>
    <row r="66" spans="1:39" x14ac:dyDescent="0.25">
      <c r="A66" s="354">
        <v>65</v>
      </c>
      <c r="B66" s="354">
        <v>1100000267</v>
      </c>
      <c r="C66" s="398">
        <v>44804</v>
      </c>
      <c r="D66" s="354">
        <v>0</v>
      </c>
      <c r="E66" s="354">
        <v>148586.29999999999</v>
      </c>
      <c r="F66" s="354" t="s">
        <v>2427</v>
      </c>
      <c r="G66" s="354">
        <v>6.3</v>
      </c>
      <c r="H66" s="354">
        <v>8.0715234584913297E-4</v>
      </c>
      <c r="I66" s="354">
        <v>1.91561345934887E-3</v>
      </c>
      <c r="J66" s="354">
        <v>3.1996459116158098E-3</v>
      </c>
      <c r="K66" s="354">
        <v>4.8999999999999998E-3</v>
      </c>
      <c r="L66" s="354">
        <v>7.7000000000000002E-3</v>
      </c>
      <c r="M66" s="354">
        <v>9.4999999999999998E-3</v>
      </c>
      <c r="N66" s="354">
        <v>1.44E-2</v>
      </c>
      <c r="O66" s="354">
        <v>1.9699999999999999E-2</v>
      </c>
      <c r="P66" s="354">
        <v>0.39140000000000003</v>
      </c>
      <c r="Q66" s="354">
        <v>1</v>
      </c>
      <c r="R66" s="354" t="s">
        <v>1156</v>
      </c>
      <c r="S66" s="354">
        <v>92</v>
      </c>
      <c r="T66" s="354">
        <v>148586.29999999999</v>
      </c>
      <c r="U66" s="354">
        <v>0.25188227241615302</v>
      </c>
      <c r="V66" s="354">
        <v>0.98472902964793696</v>
      </c>
      <c r="W66" s="354">
        <v>146317.24301797699</v>
      </c>
      <c r="X66" s="354">
        <v>19</v>
      </c>
      <c r="Y66" s="354">
        <v>8.1322699652641695E-4</v>
      </c>
      <c r="Z66" s="354">
        <v>8.1549804896240998E-4</v>
      </c>
      <c r="AA66" s="354">
        <v>6.4124860254732895E-4</v>
      </c>
      <c r="AB66" s="354">
        <v>-1.88260146759529E-4</v>
      </c>
      <c r="AC66" s="354">
        <v>2.8001052371657799E-3</v>
      </c>
      <c r="AD66" s="354">
        <v>4.54552735291736E-3</v>
      </c>
      <c r="AE66" s="354">
        <v>-4.0916020318797503E-3</v>
      </c>
      <c r="AF66" s="354">
        <v>-5.7212646318840496E-3</v>
      </c>
      <c r="AG66" s="354">
        <v>8.1549804896240998E-4</v>
      </c>
      <c r="AH66" s="354">
        <v>8.1549804896240998E-4</v>
      </c>
      <c r="AI66" s="354">
        <v>9144932.2598781809</v>
      </c>
      <c r="AJ66" s="354">
        <v>2918.9337663535398</v>
      </c>
      <c r="AK66" s="354">
        <v>17029.561159193701</v>
      </c>
      <c r="AL66" s="354">
        <v>55731.472291735903</v>
      </c>
      <c r="AM66" s="354">
        <v>9000000</v>
      </c>
    </row>
    <row r="67" spans="1:39" x14ac:dyDescent="0.25">
      <c r="A67" s="354">
        <v>66</v>
      </c>
      <c r="B67" s="354">
        <v>1100000268</v>
      </c>
      <c r="C67" s="398">
        <v>44713</v>
      </c>
      <c r="D67" s="354">
        <v>43860</v>
      </c>
      <c r="E67" s="354">
        <v>24543.07</v>
      </c>
      <c r="F67" s="354" t="s">
        <v>4320</v>
      </c>
      <c r="G67" s="354">
        <v>6</v>
      </c>
      <c r="H67" s="354">
        <v>5.0253645178750003E-4</v>
      </c>
      <c r="I67" s="354">
        <v>1.2011674264139601E-3</v>
      </c>
      <c r="J67" s="354">
        <v>2.0153800697917399E-3</v>
      </c>
      <c r="K67" s="354">
        <v>3.0999999999999999E-3</v>
      </c>
      <c r="L67" s="354">
        <v>5.1999999999999998E-3</v>
      </c>
      <c r="M67" s="354">
        <v>6.7000000000000002E-3</v>
      </c>
      <c r="N67" s="354">
        <v>1.14E-2</v>
      </c>
      <c r="O67" s="354">
        <v>1.6899999999999998E-2</v>
      </c>
      <c r="P67" s="354">
        <v>0.41449999999999998</v>
      </c>
      <c r="Q67" s="354">
        <v>1</v>
      </c>
      <c r="R67" s="354" t="s">
        <v>1156</v>
      </c>
      <c r="S67" s="354">
        <v>1</v>
      </c>
      <c r="T67" s="354">
        <v>68403.070000000007</v>
      </c>
      <c r="U67" s="354">
        <v>2.7378507871321E-3</v>
      </c>
      <c r="V67" s="354">
        <v>0.99984048114851298</v>
      </c>
      <c r="W67" s="354">
        <v>68392.158420835403</v>
      </c>
      <c r="X67" s="354">
        <v>57</v>
      </c>
      <c r="Y67" s="354">
        <v>5.5048474415508897E-6</v>
      </c>
      <c r="Z67" s="354">
        <v>-1.8844353338377901E-4</v>
      </c>
      <c r="AA67" s="354">
        <v>-4.1834108943533102E-4</v>
      </c>
      <c r="AB67" s="354">
        <v>-1.2266016107144099E-3</v>
      </c>
      <c r="AC67" s="354">
        <v>1.0013346322211799E-3</v>
      </c>
      <c r="AD67" s="354">
        <v>2.19732333839318E-3</v>
      </c>
      <c r="AE67" s="354">
        <v>-7.5214106147960501E-3</v>
      </c>
      <c r="AF67" s="354">
        <v>-1.0893985529165E-2</v>
      </c>
      <c r="AG67" s="354">
        <v>5.5048474415508897E-6</v>
      </c>
      <c r="AH67" s="354">
        <v>5.5048474415508897E-6</v>
      </c>
      <c r="AI67" s="354">
        <v>5043291.9575524498</v>
      </c>
      <c r="AJ67" s="354">
        <v>11.5075781478388</v>
      </c>
      <c r="AK67" s="354">
        <v>5844.5795948896402</v>
      </c>
      <c r="AL67" s="354">
        <v>19301.961993390902</v>
      </c>
      <c r="AM67" s="354">
        <v>4956140</v>
      </c>
    </row>
    <row r="68" spans="1:39" x14ac:dyDescent="0.25">
      <c r="A68" s="354">
        <v>67</v>
      </c>
      <c r="B68" s="354">
        <v>1100000269</v>
      </c>
      <c r="C68" s="398">
        <v>44713</v>
      </c>
      <c r="D68" s="433">
        <v>0</v>
      </c>
      <c r="E68" s="354">
        <v>0</v>
      </c>
      <c r="F68" s="354" t="s">
        <v>4321</v>
      </c>
      <c r="G68" s="354">
        <v>6</v>
      </c>
      <c r="H68" s="354">
        <v>5.0253645178750003E-4</v>
      </c>
      <c r="I68" s="354">
        <v>1.2011674264139601E-3</v>
      </c>
      <c r="J68" s="354">
        <v>2.0153800697917399E-3</v>
      </c>
      <c r="K68" s="354">
        <v>3.0999999999999999E-3</v>
      </c>
      <c r="L68" s="354">
        <v>5.1999999999999998E-3</v>
      </c>
      <c r="M68" s="354">
        <v>6.7000000000000002E-3</v>
      </c>
      <c r="N68" s="354">
        <v>1.14E-2</v>
      </c>
      <c r="O68" s="354">
        <v>1.6899999999999998E-2</v>
      </c>
      <c r="P68" s="354">
        <v>0.41449999999999998</v>
      </c>
      <c r="Q68" s="354">
        <v>1</v>
      </c>
      <c r="R68" s="354" t="s">
        <v>1156</v>
      </c>
      <c r="S68" s="354">
        <v>1</v>
      </c>
      <c r="T68" s="354">
        <v>0</v>
      </c>
      <c r="U68" s="354">
        <v>2.7378507871321E-3</v>
      </c>
      <c r="V68" s="354">
        <v>0.99984048114851298</v>
      </c>
      <c r="W68" s="354">
        <v>0</v>
      </c>
      <c r="X68" s="354">
        <v>57</v>
      </c>
      <c r="Y68" s="354">
        <v>5.5048474415508897E-6</v>
      </c>
      <c r="Z68" s="354">
        <v>-1.8844353338377901E-4</v>
      </c>
      <c r="AA68" s="354">
        <v>-4.1834108943533102E-4</v>
      </c>
      <c r="AB68" s="354">
        <v>-1.2266016107144099E-3</v>
      </c>
      <c r="AC68" s="354">
        <v>1.0013346322211799E-3</v>
      </c>
      <c r="AD68" s="354">
        <v>2.19732333839318E-3</v>
      </c>
      <c r="AE68" s="354">
        <v>-7.5214106147960501E-3</v>
      </c>
      <c r="AF68" s="354">
        <v>-1.0893985529165E-2</v>
      </c>
      <c r="AG68" s="354">
        <v>5.5048474415508897E-6</v>
      </c>
      <c r="AH68" s="354">
        <v>5.5048474415508897E-6</v>
      </c>
      <c r="AI68" s="354">
        <v>0</v>
      </c>
      <c r="AJ68" s="354">
        <v>0</v>
      </c>
      <c r="AK68" s="354">
        <v>0</v>
      </c>
      <c r="AL68" s="354">
        <v>0</v>
      </c>
      <c r="AM68" s="354">
        <v>0</v>
      </c>
    </row>
    <row r="69" spans="1:39" x14ac:dyDescent="0.25">
      <c r="A69" s="354">
        <v>68</v>
      </c>
      <c r="B69" s="354">
        <v>1100000270</v>
      </c>
      <c r="C69" s="398">
        <v>44804</v>
      </c>
      <c r="D69" s="354">
        <v>0</v>
      </c>
      <c r="E69" s="354">
        <v>0</v>
      </c>
      <c r="F69" s="354" t="s">
        <v>2425</v>
      </c>
      <c r="G69" s="354">
        <v>6</v>
      </c>
      <c r="H69" s="354">
        <v>8.0715234584913297E-4</v>
      </c>
      <c r="I69" s="354">
        <v>1.91561345934887E-3</v>
      </c>
      <c r="J69" s="354">
        <v>3.1996459116158098E-3</v>
      </c>
      <c r="K69" s="354">
        <v>4.8999999999999998E-3</v>
      </c>
      <c r="L69" s="354">
        <v>7.7000000000000002E-3</v>
      </c>
      <c r="M69" s="354">
        <v>9.4999999999999998E-3</v>
      </c>
      <c r="N69" s="354">
        <v>1.44E-2</v>
      </c>
      <c r="O69" s="354">
        <v>1.9699999999999999E-2</v>
      </c>
      <c r="P69" s="354">
        <v>0.39140000000000003</v>
      </c>
      <c r="Q69" s="354">
        <v>1</v>
      </c>
      <c r="R69" s="354" t="s">
        <v>1156</v>
      </c>
      <c r="S69" s="354">
        <v>92</v>
      </c>
      <c r="T69" s="354">
        <v>0</v>
      </c>
      <c r="U69" s="354">
        <v>0.25188227241615302</v>
      </c>
      <c r="V69" s="354">
        <v>0.98543027577920295</v>
      </c>
      <c r="W69" s="354">
        <v>0</v>
      </c>
      <c r="X69" s="354">
        <v>19</v>
      </c>
      <c r="Y69" s="354">
        <v>8.1322699652641695E-4</v>
      </c>
      <c r="Z69" s="354">
        <v>8.1549804896240998E-4</v>
      </c>
      <c r="AA69" s="354">
        <v>6.4124860254732895E-4</v>
      </c>
      <c r="AB69" s="354">
        <v>-1.88260146759529E-4</v>
      </c>
      <c r="AC69" s="354">
        <v>2.8001052371657799E-3</v>
      </c>
      <c r="AD69" s="354">
        <v>4.54552735291736E-3</v>
      </c>
      <c r="AE69" s="354">
        <v>-4.0916020318797503E-3</v>
      </c>
      <c r="AF69" s="354">
        <v>-5.7212646318840496E-3</v>
      </c>
      <c r="AG69" s="354">
        <v>8.1549804896240998E-4</v>
      </c>
      <c r="AH69" s="354">
        <v>8.1549804896240998E-4</v>
      </c>
      <c r="AI69" s="354">
        <v>0</v>
      </c>
      <c r="AJ69" s="354">
        <v>0</v>
      </c>
      <c r="AK69" s="354">
        <v>0</v>
      </c>
      <c r="AL69" s="354">
        <v>0</v>
      </c>
      <c r="AM69" s="354">
        <v>0</v>
      </c>
    </row>
    <row r="70" spans="1:39" x14ac:dyDescent="0.25">
      <c r="A70" s="354">
        <v>69</v>
      </c>
      <c r="B70" s="354">
        <v>1100000271</v>
      </c>
      <c r="C70" s="398">
        <v>44781</v>
      </c>
      <c r="D70" s="354">
        <v>0</v>
      </c>
      <c r="E70" s="354">
        <v>162054.79999999999</v>
      </c>
      <c r="F70" s="354" t="s">
        <v>4333</v>
      </c>
      <c r="G70" s="354">
        <v>6.25</v>
      </c>
      <c r="H70" s="354">
        <v>3.2898990106614702E-3</v>
      </c>
      <c r="I70" s="354">
        <v>7.6288946563898303E-3</v>
      </c>
      <c r="J70" s="354">
        <v>1.2549595589975E-2</v>
      </c>
      <c r="K70" s="354">
        <v>1.89E-2</v>
      </c>
      <c r="L70" s="354">
        <v>2.7300000000000001E-2</v>
      </c>
      <c r="M70" s="354">
        <v>3.1800000000000002E-2</v>
      </c>
      <c r="N70" s="354">
        <v>4.1799999999999997E-2</v>
      </c>
      <c r="O70" s="354">
        <v>5.16E-2</v>
      </c>
      <c r="P70" s="354">
        <v>0.39140000000000003</v>
      </c>
      <c r="Q70" s="354">
        <v>1</v>
      </c>
      <c r="R70" s="354" t="s">
        <v>1156</v>
      </c>
      <c r="S70" s="354">
        <v>69</v>
      </c>
      <c r="T70" s="354">
        <v>162054.79999999999</v>
      </c>
      <c r="U70" s="354">
        <v>0.18891170431211499</v>
      </c>
      <c r="V70" s="354">
        <v>0.98861263189610304</v>
      </c>
      <c r="W70" s="354">
        <v>160209.42233939699</v>
      </c>
      <c r="X70" s="354">
        <v>19</v>
      </c>
      <c r="Y70" s="433">
        <v>2.4870023275928E-3</v>
      </c>
      <c r="Z70" s="354">
        <v>2.2296516146826698E-3</v>
      </c>
      <c r="AA70" s="354">
        <v>1.5058047883145999E-3</v>
      </c>
      <c r="AB70" s="354">
        <v>-1.7029547594239001E-3</v>
      </c>
      <c r="AC70" s="354">
        <v>1.2033608049154499E-2</v>
      </c>
      <c r="AD70" s="354">
        <v>1.90967950444824E-2</v>
      </c>
      <c r="AE70" s="354">
        <v>3.1265546515134601E-3</v>
      </c>
      <c r="AF70" s="354">
        <v>3.5139296340993601E-3</v>
      </c>
      <c r="AG70" s="433">
        <v>2.4870023275928E-3</v>
      </c>
      <c r="AH70" s="433">
        <v>2.4870023275928E-3</v>
      </c>
      <c r="AI70" s="354">
        <v>10157868.9582843</v>
      </c>
      <c r="AJ70" s="354">
        <v>9887.7987608676194</v>
      </c>
      <c r="AK70" s="354">
        <v>72791.5843699244</v>
      </c>
      <c r="AL70" s="354">
        <v>132252.44904267701</v>
      </c>
      <c r="AM70" s="354">
        <v>10000000</v>
      </c>
    </row>
    <row r="71" spans="1:39" x14ac:dyDescent="0.25">
      <c r="A71" s="354">
        <v>70</v>
      </c>
      <c r="B71" s="354">
        <v>1100000272</v>
      </c>
      <c r="C71" s="398">
        <v>44781</v>
      </c>
      <c r="D71" s="354">
        <v>0</v>
      </c>
      <c r="E71" s="354">
        <v>87260.28</v>
      </c>
      <c r="F71" s="354" t="s">
        <v>4334</v>
      </c>
      <c r="G71" s="354">
        <v>6.75</v>
      </c>
      <c r="H71" s="354">
        <v>3.2898990106614702E-3</v>
      </c>
      <c r="I71" s="354">
        <v>7.6288946563898303E-3</v>
      </c>
      <c r="J71" s="354">
        <v>1.2549595589975E-2</v>
      </c>
      <c r="K71" s="354">
        <v>1.89E-2</v>
      </c>
      <c r="L71" s="354">
        <v>2.7300000000000001E-2</v>
      </c>
      <c r="M71" s="354">
        <v>3.1800000000000002E-2</v>
      </c>
      <c r="N71" s="354">
        <v>4.1799999999999997E-2</v>
      </c>
      <c r="O71" s="354">
        <v>5.16E-2</v>
      </c>
      <c r="P71" s="354">
        <v>0.39140000000000003</v>
      </c>
      <c r="Q71" s="354">
        <v>1</v>
      </c>
      <c r="R71" s="354" t="s">
        <v>1156</v>
      </c>
      <c r="S71" s="354">
        <v>69</v>
      </c>
      <c r="T71" s="354">
        <v>87260.28</v>
      </c>
      <c r="U71" s="354">
        <v>0.18891170431211499</v>
      </c>
      <c r="V71" s="354">
        <v>0.98773620915154503</v>
      </c>
      <c r="W71" s="354">
        <v>86190.1381767024</v>
      </c>
      <c r="X71" s="354">
        <v>19</v>
      </c>
      <c r="Y71" s="433">
        <v>2.4870023275928E-3</v>
      </c>
      <c r="Z71" s="354">
        <v>2.2296516146826698E-3</v>
      </c>
      <c r="AA71" s="354">
        <v>1.5058047883145999E-3</v>
      </c>
      <c r="AB71" s="354">
        <v>-1.7029547594239001E-3</v>
      </c>
      <c r="AC71" s="354">
        <v>1.2033608049154499E-2</v>
      </c>
      <c r="AD71" s="354">
        <v>1.90967950444824E-2</v>
      </c>
      <c r="AE71" s="354">
        <v>3.1265546515134601E-3</v>
      </c>
      <c r="AF71" s="354">
        <v>3.5139296340993601E-3</v>
      </c>
      <c r="AG71" s="433">
        <v>2.4870023275928E-3</v>
      </c>
      <c r="AH71" s="433">
        <v>2.4870023275928E-3</v>
      </c>
      <c r="AI71" s="354">
        <v>5105969.4376806896</v>
      </c>
      <c r="AJ71" s="354">
        <v>4970.2155527171199</v>
      </c>
      <c r="AK71" s="354">
        <v>36507.732996003302</v>
      </c>
      <c r="AL71" s="354">
        <v>85196.903127238897</v>
      </c>
      <c r="AM71" s="354">
        <v>5000000</v>
      </c>
    </row>
    <row r="72" spans="1:39" x14ac:dyDescent="0.25">
      <c r="A72" s="354">
        <v>71</v>
      </c>
      <c r="B72" s="354">
        <v>1100000273</v>
      </c>
      <c r="C72" s="398">
        <v>44781</v>
      </c>
      <c r="D72" s="354">
        <v>0</v>
      </c>
      <c r="E72" s="354">
        <v>0</v>
      </c>
      <c r="F72" s="354" t="s">
        <v>4336</v>
      </c>
      <c r="G72" s="354">
        <v>7</v>
      </c>
      <c r="H72" s="354">
        <v>3.2898990106614702E-3</v>
      </c>
      <c r="I72" s="354">
        <v>7.6288946563898303E-3</v>
      </c>
      <c r="J72" s="354">
        <v>1.2549595589975E-2</v>
      </c>
      <c r="K72" s="354">
        <v>1.89E-2</v>
      </c>
      <c r="L72" s="354">
        <v>2.7300000000000001E-2</v>
      </c>
      <c r="M72" s="354">
        <v>3.1800000000000002E-2</v>
      </c>
      <c r="N72" s="354">
        <v>4.1799999999999997E-2</v>
      </c>
      <c r="O72" s="354">
        <v>5.16E-2</v>
      </c>
      <c r="P72" s="354">
        <v>0.39140000000000003</v>
      </c>
      <c r="Q72" s="354">
        <v>1</v>
      </c>
      <c r="R72" s="354" t="s">
        <v>1156</v>
      </c>
      <c r="S72" s="354">
        <v>69</v>
      </c>
      <c r="T72" s="354">
        <v>0</v>
      </c>
      <c r="U72" s="354">
        <v>0.18891170431211499</v>
      </c>
      <c r="V72" s="354">
        <v>0.98729982600822597</v>
      </c>
      <c r="W72" s="354">
        <v>0</v>
      </c>
      <c r="X72" s="354">
        <v>19</v>
      </c>
      <c r="Y72" s="354">
        <v>2.4870023275928E-3</v>
      </c>
      <c r="Z72" s="354">
        <v>2.2296516146826698E-3</v>
      </c>
      <c r="AA72" s="354">
        <v>1.5058047883145999E-3</v>
      </c>
      <c r="AB72" s="354">
        <v>-1.7029547594239001E-3</v>
      </c>
      <c r="AC72" s="354">
        <v>1.2033608049154499E-2</v>
      </c>
      <c r="AD72" s="354">
        <v>1.90967950444824E-2</v>
      </c>
      <c r="AE72" s="354">
        <v>3.1265546515134601E-3</v>
      </c>
      <c r="AF72" s="354">
        <v>3.5139296340993601E-3</v>
      </c>
      <c r="AG72" s="354">
        <v>2.4870023275928E-3</v>
      </c>
      <c r="AH72" s="354">
        <v>2.4870023275928E-3</v>
      </c>
      <c r="AI72" s="354">
        <v>0</v>
      </c>
      <c r="AJ72" s="354">
        <v>0</v>
      </c>
      <c r="AK72" s="354">
        <v>0</v>
      </c>
      <c r="AL72" s="354">
        <v>0</v>
      </c>
      <c r="AM72" s="354">
        <v>0</v>
      </c>
    </row>
    <row r="73" spans="1:39" x14ac:dyDescent="0.25">
      <c r="A73" s="354">
        <v>72</v>
      </c>
      <c r="B73" s="354">
        <v>1100000274</v>
      </c>
      <c r="C73" s="398">
        <v>44781</v>
      </c>
      <c r="D73" s="354">
        <v>0</v>
      </c>
      <c r="E73" s="354">
        <v>0</v>
      </c>
      <c r="F73" s="354" t="s">
        <v>4335</v>
      </c>
      <c r="G73" s="354">
        <v>7</v>
      </c>
      <c r="H73" s="354">
        <v>3.2898990106614702E-3</v>
      </c>
      <c r="I73" s="354">
        <v>7.6288946563898303E-3</v>
      </c>
      <c r="J73" s="354">
        <v>1.2549595589975E-2</v>
      </c>
      <c r="K73" s="354">
        <v>1.89E-2</v>
      </c>
      <c r="L73" s="354">
        <v>2.7300000000000001E-2</v>
      </c>
      <c r="M73" s="354">
        <v>3.1800000000000002E-2</v>
      </c>
      <c r="N73" s="354">
        <v>4.1799999999999997E-2</v>
      </c>
      <c r="O73" s="354">
        <v>5.16E-2</v>
      </c>
      <c r="P73" s="354">
        <v>0.39140000000000003</v>
      </c>
      <c r="Q73" s="354">
        <v>1</v>
      </c>
      <c r="R73" s="354" t="s">
        <v>1156</v>
      </c>
      <c r="S73" s="354">
        <v>69</v>
      </c>
      <c r="T73" s="354">
        <v>0</v>
      </c>
      <c r="U73" s="354">
        <v>0.18891170431211499</v>
      </c>
      <c r="V73" s="354">
        <v>0.98729982600822597</v>
      </c>
      <c r="W73" s="354">
        <v>0</v>
      </c>
      <c r="X73" s="354">
        <v>19</v>
      </c>
      <c r="Y73" s="354">
        <v>2.4870023275928E-3</v>
      </c>
      <c r="Z73" s="354">
        <v>2.2296516146826698E-3</v>
      </c>
      <c r="AA73" s="354">
        <v>1.5058047883145999E-3</v>
      </c>
      <c r="AB73" s="354">
        <v>-1.7029547594239001E-3</v>
      </c>
      <c r="AC73" s="354">
        <v>1.2033608049154499E-2</v>
      </c>
      <c r="AD73" s="354">
        <v>1.90967950444824E-2</v>
      </c>
      <c r="AE73" s="354">
        <v>3.1265546515134601E-3</v>
      </c>
      <c r="AF73" s="354">
        <v>3.5139296340993601E-3</v>
      </c>
      <c r="AG73" s="354">
        <v>2.4870023275928E-3</v>
      </c>
      <c r="AH73" s="354">
        <v>2.4870023275928E-3</v>
      </c>
      <c r="AI73" s="354">
        <v>0</v>
      </c>
      <c r="AJ73" s="354">
        <v>0</v>
      </c>
      <c r="AK73" s="354">
        <v>0</v>
      </c>
      <c r="AL73" s="354">
        <v>0</v>
      </c>
      <c r="AM73" s="354">
        <v>0</v>
      </c>
    </row>
    <row r="74" spans="1:39" x14ac:dyDescent="0.25">
      <c r="A74" s="354">
        <v>73</v>
      </c>
      <c r="B74" s="354">
        <v>1100000275</v>
      </c>
      <c r="C74" s="398">
        <v>44781</v>
      </c>
      <c r="D74" s="354">
        <v>0</v>
      </c>
      <c r="E74" s="354">
        <v>0</v>
      </c>
      <c r="F74" s="354" t="s">
        <v>4338</v>
      </c>
      <c r="G74" s="354">
        <v>7</v>
      </c>
      <c r="H74" s="354">
        <v>3.2898990106614702E-3</v>
      </c>
      <c r="I74" s="354">
        <v>7.6288946563898303E-3</v>
      </c>
      <c r="J74" s="354">
        <v>1.2549595589975E-2</v>
      </c>
      <c r="K74" s="354">
        <v>1.89E-2</v>
      </c>
      <c r="L74" s="354">
        <v>2.7300000000000001E-2</v>
      </c>
      <c r="M74" s="354">
        <v>3.1800000000000002E-2</v>
      </c>
      <c r="N74" s="354">
        <v>4.1799999999999997E-2</v>
      </c>
      <c r="O74" s="354">
        <v>5.16E-2</v>
      </c>
      <c r="P74" s="354">
        <v>0.39140000000000003</v>
      </c>
      <c r="Q74" s="354">
        <v>1</v>
      </c>
      <c r="R74" s="354" t="s">
        <v>1156</v>
      </c>
      <c r="S74" s="354">
        <v>69</v>
      </c>
      <c r="T74" s="354">
        <v>0</v>
      </c>
      <c r="U74" s="354">
        <v>0.18891170431211499</v>
      </c>
      <c r="V74" s="354">
        <v>0.98729982600822597</v>
      </c>
      <c r="W74" s="354">
        <v>0</v>
      </c>
      <c r="X74" s="354">
        <v>19</v>
      </c>
      <c r="Y74" s="354">
        <v>2.4870023275928E-3</v>
      </c>
      <c r="Z74" s="354">
        <v>2.2296516146826698E-3</v>
      </c>
      <c r="AA74" s="354">
        <v>1.5058047883145999E-3</v>
      </c>
      <c r="AB74" s="354">
        <v>-1.7029547594239001E-3</v>
      </c>
      <c r="AC74" s="354">
        <v>1.2033608049154499E-2</v>
      </c>
      <c r="AD74" s="354">
        <v>1.90967950444824E-2</v>
      </c>
      <c r="AE74" s="354">
        <v>3.1265546515134601E-3</v>
      </c>
      <c r="AF74" s="354">
        <v>3.5139296340993601E-3</v>
      </c>
      <c r="AG74" s="354">
        <v>2.4870023275928E-3</v>
      </c>
      <c r="AH74" s="354">
        <v>2.4870023275928E-3</v>
      </c>
      <c r="AI74" s="354">
        <v>0</v>
      </c>
      <c r="AJ74" s="354">
        <v>0</v>
      </c>
      <c r="AK74" s="354">
        <v>0</v>
      </c>
      <c r="AL74" s="354">
        <v>0</v>
      </c>
      <c r="AM74" s="354">
        <v>0</v>
      </c>
    </row>
    <row r="75" spans="1:39" x14ac:dyDescent="0.25">
      <c r="A75" s="354">
        <v>74</v>
      </c>
      <c r="B75" s="354">
        <v>1100000276</v>
      </c>
      <c r="C75" s="398">
        <v>44764</v>
      </c>
      <c r="D75" s="354">
        <v>0</v>
      </c>
      <c r="E75" s="354">
        <v>1158.6199999999999</v>
      </c>
      <c r="F75" s="354" t="s">
        <v>4339</v>
      </c>
      <c r="G75" s="354">
        <v>12.75</v>
      </c>
      <c r="H75" s="354">
        <v>2.8366842468132002E-2</v>
      </c>
      <c r="I75" s="354">
        <v>6.2417988886168299E-2</v>
      </c>
      <c r="J75" s="354">
        <v>9.8647826604583003E-2</v>
      </c>
      <c r="K75" s="354">
        <v>0.1411</v>
      </c>
      <c r="L75" s="354">
        <v>0.20269999999999999</v>
      </c>
      <c r="M75" s="354">
        <v>0.23669999999999999</v>
      </c>
      <c r="N75" s="354">
        <v>0.29139999999999999</v>
      </c>
      <c r="O75" s="354">
        <v>0.33979999999999999</v>
      </c>
      <c r="P75" s="354">
        <v>0.33850601215969001</v>
      </c>
      <c r="Q75" s="354">
        <v>2</v>
      </c>
      <c r="R75" s="354" t="s">
        <v>1156</v>
      </c>
      <c r="S75" s="354">
        <v>52</v>
      </c>
      <c r="T75" s="354">
        <v>1158.6199999999999</v>
      </c>
      <c r="U75" s="354">
        <v>0.142368240930869</v>
      </c>
      <c r="V75" s="354">
        <v>0.98306052750796302</v>
      </c>
      <c r="W75" s="354">
        <v>1138.99358838128</v>
      </c>
      <c r="X75" s="354">
        <v>2</v>
      </c>
      <c r="Y75" s="354">
        <v>1.6254150434428599E-2</v>
      </c>
      <c r="Z75" s="354">
        <v>1.37069033189569E-2</v>
      </c>
      <c r="AA75" s="354">
        <v>1.05902265100652E-2</v>
      </c>
      <c r="AB75" s="354">
        <v>-4.5333285816767802E-3</v>
      </c>
      <c r="AC75" s="354">
        <v>8.4492344056799396E-2</v>
      </c>
      <c r="AD75" s="354">
        <v>0.13546966862603199</v>
      </c>
      <c r="AE75" s="354">
        <v>5.5982708577364503E-2</v>
      </c>
      <c r="AF75" s="354">
        <v>6.9043676105972604E-2</v>
      </c>
      <c r="AG75" s="354">
        <v>1.6254150434428599E-2</v>
      </c>
      <c r="AH75" s="354">
        <v>1.6254150434428599E-2</v>
      </c>
      <c r="AI75" s="354">
        <v>36435.167625516697</v>
      </c>
      <c r="AJ75" s="354">
        <v>200.47094302806701</v>
      </c>
      <c r="AK75" s="354">
        <v>481.920854359234</v>
      </c>
      <c r="AL75" s="354">
        <v>481.920854359234</v>
      </c>
      <c r="AM75" s="354">
        <v>35846</v>
      </c>
    </row>
    <row r="76" spans="1:39" x14ac:dyDescent="0.25">
      <c r="A76" s="354">
        <v>75</v>
      </c>
      <c r="B76" s="354">
        <v>1100000277</v>
      </c>
      <c r="C76" s="398">
        <v>44742</v>
      </c>
      <c r="D76" s="354">
        <v>0</v>
      </c>
      <c r="E76" s="354">
        <v>250432.88</v>
      </c>
      <c r="F76" s="354" t="s">
        <v>4389</v>
      </c>
      <c r="G76" s="354">
        <v>6.7</v>
      </c>
      <c r="H76" s="354">
        <v>6.6377967303919297E-3</v>
      </c>
      <c r="I76" s="354">
        <v>1.5184119062284999E-2</v>
      </c>
      <c r="J76" s="354">
        <v>2.47407226168928E-2</v>
      </c>
      <c r="K76" s="354">
        <v>3.6799999999999999E-2</v>
      </c>
      <c r="L76" s="354">
        <v>5.4600000000000003E-2</v>
      </c>
      <c r="M76" s="354">
        <v>6.4699999999999994E-2</v>
      </c>
      <c r="N76" s="354">
        <v>8.5400000000000004E-2</v>
      </c>
      <c r="O76" s="354">
        <v>0.1055</v>
      </c>
      <c r="P76" s="354">
        <v>0.12740000000000001</v>
      </c>
      <c r="Q76" s="354">
        <v>1</v>
      </c>
      <c r="R76" s="354" t="s">
        <v>1156</v>
      </c>
      <c r="S76" s="354">
        <v>30</v>
      </c>
      <c r="T76" s="354">
        <v>250432.88</v>
      </c>
      <c r="U76" s="354">
        <v>8.2135523613962994E-2</v>
      </c>
      <c r="V76" s="354">
        <v>0.99468759244365301</v>
      </c>
      <c r="W76" s="354">
        <v>249102.47847592999</v>
      </c>
      <c r="X76" s="354">
        <v>20</v>
      </c>
      <c r="Y76" s="354">
        <v>2.1856735979350899E-3</v>
      </c>
      <c r="Z76" s="354">
        <v>8.9930103731383597E-4</v>
      </c>
      <c r="AA76" s="354">
        <v>-7.8934149921541395E-4</v>
      </c>
      <c r="AB76" s="354">
        <v>-7.4751292833588499E-3</v>
      </c>
      <c r="AC76" s="354">
        <v>2.0167184751721301E-2</v>
      </c>
      <c r="AD76" s="354">
        <v>3.4923388635220702E-2</v>
      </c>
      <c r="AE76" s="354">
        <v>1.5833599638531699E-3</v>
      </c>
      <c r="AF76" s="354">
        <v>2.20361120542389E-3</v>
      </c>
      <c r="AG76" s="354">
        <v>2.1856735979350899E-3</v>
      </c>
      <c r="AH76" s="354">
        <v>2.1856735979350899E-3</v>
      </c>
      <c r="AI76" s="354">
        <v>14907846.8786337</v>
      </c>
      <c r="AJ76" s="354">
        <v>4151.1617651653296</v>
      </c>
      <c r="AK76" s="354">
        <v>67116.490100086696</v>
      </c>
      <c r="AL76" s="354">
        <v>162719.56031745</v>
      </c>
      <c r="AM76" s="354">
        <v>14500000</v>
      </c>
    </row>
    <row r="77" spans="1:39" x14ac:dyDescent="0.25">
      <c r="A77" s="354">
        <v>76</v>
      </c>
      <c r="B77" s="354">
        <v>1100000279</v>
      </c>
      <c r="C77" s="398">
        <v>44742</v>
      </c>
      <c r="D77" s="354">
        <v>0</v>
      </c>
      <c r="E77" s="354">
        <v>0</v>
      </c>
      <c r="F77" s="354" t="s">
        <v>4417</v>
      </c>
      <c r="G77" s="354">
        <v>5.23</v>
      </c>
      <c r="H77" s="354">
        <v>7.2646622424160701E-2</v>
      </c>
      <c r="I77" s="354">
        <v>0.15290649903615799</v>
      </c>
      <c r="J77" s="354">
        <v>0.23236953117846301</v>
      </c>
      <c r="K77" s="354">
        <v>0.317</v>
      </c>
      <c r="L77" s="354">
        <v>0.46410000000000001</v>
      </c>
      <c r="M77" s="354">
        <v>0.54679999999999995</v>
      </c>
      <c r="N77" s="354">
        <v>0.6512</v>
      </c>
      <c r="O77" s="354">
        <v>0.73040000000000005</v>
      </c>
      <c r="P77" s="354">
        <v>0.1</v>
      </c>
      <c r="Q77" s="354">
        <v>1</v>
      </c>
      <c r="R77" s="354" t="s">
        <v>1156</v>
      </c>
      <c r="S77" s="354">
        <v>30</v>
      </c>
      <c r="T77" s="354">
        <v>0</v>
      </c>
      <c r="U77" s="354">
        <v>8.2135523613962994E-2</v>
      </c>
      <c r="V77" s="354">
        <v>0.99582162895850102</v>
      </c>
      <c r="W77" s="354">
        <v>0</v>
      </c>
      <c r="X77" s="354">
        <v>58</v>
      </c>
      <c r="Y77" s="354">
        <v>2.44743601622411E-2</v>
      </c>
      <c r="Z77" s="354">
        <v>1.87554937750374E-2</v>
      </c>
      <c r="AA77" s="354">
        <v>2.00873857633935E-2</v>
      </c>
      <c r="AB77" s="354">
        <v>6.2827961952589603E-3</v>
      </c>
      <c r="AC77" s="354">
        <v>0.14669214192229199</v>
      </c>
      <c r="AD77" s="354">
        <v>0.260918200955983</v>
      </c>
      <c r="AE77" s="354">
        <v>2.7050578263302601E-2</v>
      </c>
      <c r="AF77" s="354">
        <v>4.3212637531376399E-2</v>
      </c>
      <c r="AG77" s="354">
        <v>2.44743601622411E-2</v>
      </c>
      <c r="AH77" s="354">
        <v>2.44743601622411E-2</v>
      </c>
      <c r="AI77" s="354">
        <v>0</v>
      </c>
      <c r="AJ77" s="354">
        <v>0</v>
      </c>
      <c r="AK77" s="354">
        <v>0</v>
      </c>
      <c r="AL77" s="354">
        <v>0</v>
      </c>
      <c r="AM77" s="354">
        <v>0</v>
      </c>
    </row>
    <row r="78" spans="1:39" x14ac:dyDescent="0.25">
      <c r="A78" s="354">
        <v>77</v>
      </c>
      <c r="B78" s="354">
        <v>1100000281</v>
      </c>
      <c r="C78" s="398">
        <v>44742</v>
      </c>
      <c r="D78" s="354">
        <v>0</v>
      </c>
      <c r="E78" s="354">
        <v>128753.42</v>
      </c>
      <c r="F78" s="354" t="s">
        <v>4390</v>
      </c>
      <c r="G78" s="354">
        <v>6</v>
      </c>
      <c r="H78" s="354">
        <v>6.6377967303919297E-3</v>
      </c>
      <c r="I78" s="354">
        <v>1.5184119062284999E-2</v>
      </c>
      <c r="J78" s="354">
        <v>2.47407226168928E-2</v>
      </c>
      <c r="K78" s="354">
        <v>3.6799999999999999E-2</v>
      </c>
      <c r="L78" s="354">
        <v>5.4600000000000003E-2</v>
      </c>
      <c r="M78" s="354">
        <v>6.4699999999999994E-2</v>
      </c>
      <c r="N78" s="354">
        <v>8.5400000000000004E-2</v>
      </c>
      <c r="O78" s="354">
        <v>0.1055</v>
      </c>
      <c r="P78" s="354">
        <v>0.12740000000000001</v>
      </c>
      <c r="Q78" s="354">
        <v>1</v>
      </c>
      <c r="R78" s="354" t="s">
        <v>1156</v>
      </c>
      <c r="S78" s="354">
        <v>30</v>
      </c>
      <c r="T78" s="354">
        <v>128753.42</v>
      </c>
      <c r="U78" s="354">
        <v>8.2135523613962994E-2</v>
      </c>
      <c r="V78" s="354">
        <v>0.99522548711775605</v>
      </c>
      <c r="W78" s="354">
        <v>128138.68513757701</v>
      </c>
      <c r="X78" s="354">
        <v>20</v>
      </c>
      <c r="Y78" s="354">
        <v>2.1856735979350899E-3</v>
      </c>
      <c r="Z78" s="354">
        <v>8.9930103731383597E-4</v>
      </c>
      <c r="AA78" s="354">
        <v>-7.8934149921541395E-4</v>
      </c>
      <c r="AB78" s="354">
        <v>-7.4751292833588499E-3</v>
      </c>
      <c r="AC78" s="354">
        <v>2.0167184751721301E-2</v>
      </c>
      <c r="AD78" s="354">
        <v>3.4923388635220702E-2</v>
      </c>
      <c r="AE78" s="354">
        <v>1.5833599638531699E-3</v>
      </c>
      <c r="AF78" s="354">
        <v>2.20361120542389E-3</v>
      </c>
      <c r="AG78" s="354">
        <v>2.1856735979350899E-3</v>
      </c>
      <c r="AH78" s="354">
        <v>2.1856735979350899E-3</v>
      </c>
      <c r="AI78" s="354">
        <v>9978068.6192464605</v>
      </c>
      <c r="AJ78" s="354">
        <v>2778.4412651686898</v>
      </c>
      <c r="AK78" s="354">
        <v>45197.496469831698</v>
      </c>
      <c r="AL78" s="354">
        <v>109442.06413353499</v>
      </c>
      <c r="AM78" s="354">
        <v>9750000</v>
      </c>
    </row>
    <row r="79" spans="1:39" x14ac:dyDescent="0.25">
      <c r="A79" s="354">
        <v>78</v>
      </c>
      <c r="B79" s="354">
        <v>1100000283</v>
      </c>
      <c r="C79" s="398">
        <v>44718</v>
      </c>
      <c r="D79" s="354">
        <v>21000</v>
      </c>
      <c r="E79" s="354">
        <v>13918.86</v>
      </c>
      <c r="F79" s="354" t="s">
        <v>5251</v>
      </c>
      <c r="G79" s="354">
        <v>6.4</v>
      </c>
      <c r="H79" s="354">
        <v>2.3975034642778098E-3</v>
      </c>
      <c r="I79" s="354">
        <v>5.5834193307171204E-3</v>
      </c>
      <c r="J79" s="354">
        <v>9.2095554160146007E-3</v>
      </c>
      <c r="K79" s="433">
        <v>1.3899999999999999E-2</v>
      </c>
      <c r="L79" s="354" t="s">
        <v>1889</v>
      </c>
      <c r="M79" s="354" t="s">
        <v>1889</v>
      </c>
      <c r="N79" s="354" t="s">
        <v>1889</v>
      </c>
      <c r="O79" s="354" t="s">
        <v>1889</v>
      </c>
      <c r="P79" s="354">
        <v>0.39650000000000002</v>
      </c>
      <c r="Q79" s="354">
        <v>1</v>
      </c>
      <c r="R79" s="354" t="s">
        <v>1156</v>
      </c>
      <c r="S79" s="354">
        <v>6</v>
      </c>
      <c r="T79" s="354">
        <v>34918.86</v>
      </c>
      <c r="U79" s="354">
        <v>1.6427104722792601E-2</v>
      </c>
      <c r="V79" s="354">
        <v>0.99898145720405196</v>
      </c>
      <c r="W79" s="354">
        <v>34883.293646704296</v>
      </c>
      <c r="X79" s="354">
        <v>60</v>
      </c>
      <c r="Y79" s="433">
        <v>1.5771287307209101E-4</v>
      </c>
      <c r="Z79" s="433">
        <v>-5.7907090785749003E-4</v>
      </c>
      <c r="AA79" s="354">
        <v>-1.4305851710287199E-3</v>
      </c>
      <c r="AB79" s="354">
        <v>-4.5535766384312698E-3</v>
      </c>
      <c r="AC79" s="354" t="s">
        <v>1889</v>
      </c>
      <c r="AD79" s="354" t="s">
        <v>1889</v>
      </c>
      <c r="AE79" s="354" t="s">
        <v>1889</v>
      </c>
      <c r="AF79" s="354" t="s">
        <v>1889</v>
      </c>
      <c r="AG79" s="433">
        <v>1.5771287307209101E-4</v>
      </c>
      <c r="AH79" s="433">
        <v>1.5771287307209101E-4</v>
      </c>
      <c r="AI79" s="354">
        <v>2433912.2215761901</v>
      </c>
      <c r="AJ79" s="354">
        <v>152.200208195578</v>
      </c>
      <c r="AK79" s="354">
        <v>12124.330296184</v>
      </c>
      <c r="AL79" s="354" t="s">
        <v>1889</v>
      </c>
      <c r="AM79" s="354">
        <v>2408335</v>
      </c>
    </row>
    <row r="80" spans="1:39" x14ac:dyDescent="0.25">
      <c r="A80" s="354">
        <v>79</v>
      </c>
      <c r="B80" s="354">
        <v>1100000284</v>
      </c>
      <c r="C80" s="398">
        <v>44725</v>
      </c>
      <c r="D80" s="354">
        <v>0</v>
      </c>
      <c r="E80" s="354">
        <v>0</v>
      </c>
      <c r="F80" s="354" t="s">
        <v>5257</v>
      </c>
      <c r="G80" s="354">
        <v>7.24</v>
      </c>
      <c r="H80" s="354">
        <v>8.6241131808554097E-4</v>
      </c>
      <c r="I80" s="354">
        <v>2.0084242196824198E-3</v>
      </c>
      <c r="J80" s="354">
        <v>3.3127897179908599E-3</v>
      </c>
      <c r="K80" s="354">
        <v>5.0000000000000001E-3</v>
      </c>
      <c r="L80" s="354" t="s">
        <v>1889</v>
      </c>
      <c r="M80" s="354" t="s">
        <v>1889</v>
      </c>
      <c r="N80" s="354" t="s">
        <v>1889</v>
      </c>
      <c r="O80" s="354" t="s">
        <v>1889</v>
      </c>
      <c r="P80" s="354">
        <v>0.3911</v>
      </c>
      <c r="Q80" s="354">
        <v>1</v>
      </c>
      <c r="R80" s="354" t="s">
        <v>1156</v>
      </c>
      <c r="S80" s="354">
        <v>13</v>
      </c>
      <c r="T80" s="354">
        <v>0</v>
      </c>
      <c r="U80" s="354">
        <v>3.5592060232717299E-2</v>
      </c>
      <c r="V80" s="354">
        <v>0.997515238191933</v>
      </c>
      <c r="W80" s="354">
        <v>0</v>
      </c>
      <c r="X80" s="354">
        <v>60</v>
      </c>
      <c r="Y80" s="354">
        <v>1.2282541253827401E-4</v>
      </c>
      <c r="Z80" s="354">
        <v>-1.20445742626906E-4</v>
      </c>
      <c r="AA80" s="354">
        <v>-4.1460655540938399E-4</v>
      </c>
      <c r="AB80" s="354">
        <v>-1.50863596810643E-3</v>
      </c>
      <c r="AC80" s="354" t="s">
        <v>1889</v>
      </c>
      <c r="AD80" s="354" t="s">
        <v>1889</v>
      </c>
      <c r="AE80" s="354" t="s">
        <v>1889</v>
      </c>
      <c r="AF80" s="354" t="s">
        <v>1889</v>
      </c>
      <c r="AG80" s="354">
        <v>1.2282541253827401E-4</v>
      </c>
      <c r="AH80" s="354">
        <v>1.2282541253827401E-4</v>
      </c>
      <c r="AI80" s="354">
        <v>0</v>
      </c>
      <c r="AJ80" s="354">
        <v>0</v>
      </c>
      <c r="AK80" s="354">
        <v>0</v>
      </c>
      <c r="AL80" s="354" t="s">
        <v>1889</v>
      </c>
      <c r="AM80" s="354">
        <v>0</v>
      </c>
    </row>
    <row r="81" spans="1:39" x14ac:dyDescent="0.25">
      <c r="A81" s="354">
        <v>80</v>
      </c>
      <c r="B81" s="354">
        <v>1100000289</v>
      </c>
      <c r="C81" s="398">
        <v>44739</v>
      </c>
      <c r="D81" s="354">
        <v>0</v>
      </c>
      <c r="E81" s="354">
        <v>0</v>
      </c>
      <c r="F81" s="354" t="s">
        <v>5313</v>
      </c>
      <c r="G81" s="354">
        <v>6.48</v>
      </c>
      <c r="H81" s="354">
        <v>6.3645955274712999E-3</v>
      </c>
      <c r="I81" s="354">
        <v>1.48221707412562E-2</v>
      </c>
      <c r="J81" s="354">
        <v>2.4448388118772601E-2</v>
      </c>
      <c r="K81" s="354">
        <v>3.6900000000000002E-2</v>
      </c>
      <c r="L81" s="354" t="s">
        <v>1889</v>
      </c>
      <c r="M81" s="354" t="s">
        <v>1889</v>
      </c>
      <c r="N81" s="354" t="s">
        <v>1889</v>
      </c>
      <c r="O81" s="354" t="s">
        <v>1889</v>
      </c>
      <c r="P81" s="354">
        <v>0.41699999999999998</v>
      </c>
      <c r="Q81" s="354">
        <v>1</v>
      </c>
      <c r="R81" s="354" t="s">
        <v>1156</v>
      </c>
      <c r="S81" s="354">
        <v>27</v>
      </c>
      <c r="T81" s="354">
        <v>0</v>
      </c>
      <c r="U81" s="354">
        <v>7.3921971252566707E-2</v>
      </c>
      <c r="V81" s="354">
        <v>0.99536941643496901</v>
      </c>
      <c r="W81" s="354">
        <v>0</v>
      </c>
      <c r="X81" s="354">
        <v>48</v>
      </c>
      <c r="Y81" s="354">
        <v>1.88616714407286E-3</v>
      </c>
      <c r="Z81" s="433">
        <v>4.0782284096567602E-4</v>
      </c>
      <c r="AA81" s="354">
        <v>-1.58390815676954E-3</v>
      </c>
      <c r="AB81" s="354">
        <v>-9.2246567427808693E-3</v>
      </c>
      <c r="AC81" s="354" t="s">
        <v>1889</v>
      </c>
      <c r="AD81" s="354" t="s">
        <v>1889</v>
      </c>
      <c r="AE81" s="354" t="s">
        <v>1889</v>
      </c>
      <c r="AF81" s="354" t="s">
        <v>1889</v>
      </c>
      <c r="AG81" s="354">
        <v>1.88616714407286E-3</v>
      </c>
      <c r="AH81" s="354">
        <v>1.88616714407286E-3</v>
      </c>
      <c r="AI81" s="354">
        <v>0</v>
      </c>
      <c r="AJ81" s="354">
        <v>0</v>
      </c>
      <c r="AK81" s="354">
        <v>0</v>
      </c>
      <c r="AL81" s="354" t="s">
        <v>1889</v>
      </c>
      <c r="AM81" s="354">
        <v>0</v>
      </c>
    </row>
    <row r="82" spans="1:39" x14ac:dyDescent="0.25">
      <c r="A82" s="354">
        <v>81</v>
      </c>
      <c r="B82" s="354">
        <v>1200000001</v>
      </c>
      <c r="C82" s="398">
        <v>44713</v>
      </c>
      <c r="D82" s="354">
        <v>0</v>
      </c>
      <c r="E82" s="354">
        <v>2728.5</v>
      </c>
      <c r="F82" s="354" t="s">
        <v>3435</v>
      </c>
      <c r="G82" s="354">
        <v>6.28</v>
      </c>
      <c r="H82" s="354">
        <v>5.78851447579404E-4</v>
      </c>
      <c r="I82" s="354">
        <v>1.38068687929072E-3</v>
      </c>
      <c r="J82" s="354">
        <v>2.3135238382311399E-3</v>
      </c>
      <c r="K82" s="354">
        <v>3.5000000000000001E-3</v>
      </c>
      <c r="L82" s="354">
        <v>5.4999999999999997E-3</v>
      </c>
      <c r="M82" s="354">
        <v>6.7999999999999996E-3</v>
      </c>
      <c r="N82" s="354">
        <v>1.0699999999999999E-2</v>
      </c>
      <c r="O82" s="354">
        <v>1.49E-2</v>
      </c>
      <c r="P82" s="354">
        <v>0.2</v>
      </c>
      <c r="Q82" s="354">
        <v>1</v>
      </c>
      <c r="R82" s="354" t="s">
        <v>1156</v>
      </c>
      <c r="S82" s="354">
        <v>1</v>
      </c>
      <c r="T82" s="354">
        <v>2728.5</v>
      </c>
      <c r="U82" s="354">
        <v>2.7378507871321E-3</v>
      </c>
      <c r="V82" s="354">
        <v>0.99983325980302495</v>
      </c>
      <c r="W82" s="354">
        <v>2728.0450493725498</v>
      </c>
      <c r="X82" s="354">
        <v>30</v>
      </c>
      <c r="Y82" s="354">
        <v>6.3410509071326598E-6</v>
      </c>
      <c r="Z82" s="433">
        <v>-2.14202761060463E-4</v>
      </c>
      <c r="AA82" s="433">
        <v>-4.7477116498091898E-4</v>
      </c>
      <c r="AB82" s="354">
        <v>-1.2329110683018099E-3</v>
      </c>
      <c r="AC82" s="354">
        <v>1.5014700901319099E-3</v>
      </c>
      <c r="AD82" s="354">
        <v>2.8984639181981499E-3</v>
      </c>
      <c r="AE82" s="354">
        <v>-4.9816641126101402E-3</v>
      </c>
      <c r="AF82" s="354">
        <v>-6.2681120395540199E-3</v>
      </c>
      <c r="AG82" s="354">
        <v>6.3410509071326598E-6</v>
      </c>
      <c r="AH82" s="354">
        <v>6.3410509071326598E-6</v>
      </c>
      <c r="AI82" s="354">
        <v>536837.69930910203</v>
      </c>
      <c r="AJ82" s="354">
        <v>0.68082303603739802</v>
      </c>
      <c r="AK82" s="354">
        <v>361.50206447696399</v>
      </c>
      <c r="AL82" s="354">
        <v>600.26517942470298</v>
      </c>
      <c r="AM82" s="354">
        <v>529567.98</v>
      </c>
    </row>
    <row r="83" spans="1:39" x14ac:dyDescent="0.25">
      <c r="A83" s="354">
        <v>82</v>
      </c>
      <c r="B83" s="354">
        <v>1200000002</v>
      </c>
      <c r="C83" s="398">
        <v>44771</v>
      </c>
      <c r="D83" s="354">
        <v>0</v>
      </c>
      <c r="E83" s="354">
        <v>307910.96000000002</v>
      </c>
      <c r="F83" s="354" t="s">
        <v>3468</v>
      </c>
      <c r="G83" s="354">
        <v>8</v>
      </c>
      <c r="H83" s="354">
        <v>7.7997480051165795E-4</v>
      </c>
      <c r="I83" s="354">
        <v>1.8520806365800401E-3</v>
      </c>
      <c r="J83" s="354">
        <v>3.0945601691256801E-3</v>
      </c>
      <c r="K83" s="354">
        <v>4.7000000000000002E-3</v>
      </c>
      <c r="L83" s="354">
        <v>6.7999999999999996E-3</v>
      </c>
      <c r="M83" s="354">
        <v>7.9000000000000008E-3</v>
      </c>
      <c r="N83" s="354">
        <v>1.0800000000000001E-2</v>
      </c>
      <c r="O83" s="354">
        <v>1.37E-2</v>
      </c>
      <c r="P83" s="354">
        <v>0.2</v>
      </c>
      <c r="Q83" s="354">
        <v>1</v>
      </c>
      <c r="R83" s="354" t="s">
        <v>1156</v>
      </c>
      <c r="S83" s="354">
        <v>59</v>
      </c>
      <c r="T83" s="354">
        <v>307910.96000000002</v>
      </c>
      <c r="U83" s="354">
        <v>0.161533196440794</v>
      </c>
      <c r="V83" s="354">
        <v>0.98764519216310398</v>
      </c>
      <c r="W83" s="354">
        <v>304106.77925832599</v>
      </c>
      <c r="X83" s="354">
        <v>5</v>
      </c>
      <c r="Y83" s="354">
        <v>5.0403686455036101E-4</v>
      </c>
      <c r="Z83" s="354">
        <v>4.0059169493509601E-4</v>
      </c>
      <c r="AA83" s="354">
        <v>1.6992833310621101E-4</v>
      </c>
      <c r="AB83" s="354">
        <v>-6.8443201319928803E-4</v>
      </c>
      <c r="AC83" s="354">
        <v>2.9357978375930101E-3</v>
      </c>
      <c r="AD83" s="354">
        <v>4.7745032415744699E-3</v>
      </c>
      <c r="AE83" s="354">
        <v>-3.7795218618974502E-4</v>
      </c>
      <c r="AF83" s="354">
        <v>-4.1095558831894002E-4</v>
      </c>
      <c r="AG83" s="354">
        <v>5.0403686455036101E-4</v>
      </c>
      <c r="AH83" s="354">
        <v>5.0403686455036101E-4</v>
      </c>
      <c r="AI83" s="354">
        <v>15367935.905649001</v>
      </c>
      <c r="AJ83" s="354">
        <v>1549.20124569884</v>
      </c>
      <c r="AK83" s="354">
        <v>13842.822902845201</v>
      </c>
      <c r="AL83" s="354">
        <v>13842.822902845201</v>
      </c>
      <c r="AM83" s="354">
        <v>15000000</v>
      </c>
    </row>
    <row r="84" spans="1:39" x14ac:dyDescent="0.25">
      <c r="A84" s="354">
        <v>83</v>
      </c>
      <c r="B84" s="354">
        <v>1200000105</v>
      </c>
      <c r="C84" s="398">
        <v>44727</v>
      </c>
      <c r="D84" s="354">
        <v>7647.32</v>
      </c>
      <c r="E84" s="354">
        <v>10334.32</v>
      </c>
      <c r="F84" s="354" t="s">
        <v>1032</v>
      </c>
      <c r="G84" s="354">
        <v>7.09</v>
      </c>
      <c r="H84" s="354">
        <v>1.1707437157442799E-3</v>
      </c>
      <c r="I84" s="354">
        <v>2.7625082037178198E-3</v>
      </c>
      <c r="J84" s="354">
        <v>4.5970963431510902E-3</v>
      </c>
      <c r="K84" s="354">
        <v>7.0000000000000001E-3</v>
      </c>
      <c r="L84" s="354">
        <v>1.0800000000000001E-2</v>
      </c>
      <c r="M84" s="354">
        <v>1.3100000000000001E-2</v>
      </c>
      <c r="N84" s="354">
        <v>1.9300000000000001E-2</v>
      </c>
      <c r="O84" s="354">
        <v>2.58E-2</v>
      </c>
      <c r="P84" s="354">
        <v>0.15</v>
      </c>
      <c r="Q84" s="354">
        <v>1</v>
      </c>
      <c r="R84" s="354" t="s">
        <v>1156</v>
      </c>
      <c r="S84" s="354">
        <v>15</v>
      </c>
      <c r="T84" s="354">
        <v>17981.64</v>
      </c>
      <c r="U84" s="354">
        <v>4.1067761806981497E-2</v>
      </c>
      <c r="V84" s="354">
        <v>0.99719083539027897</v>
      </c>
      <c r="W84" s="354">
        <v>17931.126613287299</v>
      </c>
      <c r="X84" s="354">
        <v>2</v>
      </c>
      <c r="Y84" s="354">
        <v>1.92413448626194E-4</v>
      </c>
      <c r="Z84" s="433">
        <v>-1.59539952849622E-4</v>
      </c>
      <c r="AA84" s="354">
        <v>-6.0529836025208401E-4</v>
      </c>
      <c r="AB84" s="354">
        <v>-2.2168871272972698E-3</v>
      </c>
      <c r="AC84" s="354">
        <v>3.3423474900732301E-3</v>
      </c>
      <c r="AD84" s="354">
        <v>6.2789094336125296E-3</v>
      </c>
      <c r="AE84" s="354">
        <v>-5.4759070563710202E-3</v>
      </c>
      <c r="AF84" s="354">
        <v>-6.8615811980372596E-3</v>
      </c>
      <c r="AG84" s="354">
        <v>1.92413448626194E-4</v>
      </c>
      <c r="AH84" s="354">
        <v>1.92413448626194E-4</v>
      </c>
      <c r="AI84" s="354">
        <v>1721709.03776556</v>
      </c>
      <c r="AJ84" s="354">
        <v>49.691996023103798</v>
      </c>
      <c r="AK84" s="354">
        <v>121.79743352539199</v>
      </c>
      <c r="AL84" s="354">
        <v>121.79743352539199</v>
      </c>
      <c r="AM84" s="354">
        <v>1713000.72</v>
      </c>
    </row>
    <row r="85" spans="1:39" x14ac:dyDescent="0.25">
      <c r="A85" s="354">
        <v>84</v>
      </c>
      <c r="B85" s="354">
        <v>1200000106</v>
      </c>
      <c r="C85" s="398">
        <v>44728</v>
      </c>
      <c r="D85" s="354">
        <v>19480</v>
      </c>
      <c r="E85" s="354">
        <v>24713.35</v>
      </c>
      <c r="F85" s="354" t="s">
        <v>3689</v>
      </c>
      <c r="G85" s="354">
        <v>6.78</v>
      </c>
      <c r="H85" s="354">
        <v>2.0181887000557199E-2</v>
      </c>
      <c r="I85" s="354">
        <v>4.4906672870860802E-2</v>
      </c>
      <c r="J85" s="354">
        <v>7.1631874074090204E-2</v>
      </c>
      <c r="K85" s="354">
        <v>0.1036</v>
      </c>
      <c r="L85" s="354">
        <v>0.15079999999999999</v>
      </c>
      <c r="M85" s="354">
        <v>0.17730000000000001</v>
      </c>
      <c r="N85" s="354">
        <v>0.2228</v>
      </c>
      <c r="O85" s="354">
        <v>0.26419999999999999</v>
      </c>
      <c r="P85" s="354">
        <v>0.457881885879943</v>
      </c>
      <c r="Q85" s="354">
        <v>1</v>
      </c>
      <c r="R85" s="354" t="s">
        <v>1156</v>
      </c>
      <c r="S85" s="354">
        <v>16</v>
      </c>
      <c r="T85" s="354">
        <v>44193.35</v>
      </c>
      <c r="U85" s="354">
        <v>4.3805612594113599E-2</v>
      </c>
      <c r="V85" s="354">
        <v>0.99713045682320101</v>
      </c>
      <c r="W85" s="354">
        <v>44066.535274047601</v>
      </c>
      <c r="X85" s="354">
        <v>41</v>
      </c>
      <c r="Y85" s="354">
        <v>3.5661182495762E-3</v>
      </c>
      <c r="Z85" s="433">
        <v>-2.1056130451859199E-4</v>
      </c>
      <c r="AA85" s="354">
        <v>-3.86087429396438E-3</v>
      </c>
      <c r="AB85" s="354">
        <v>-1.8670970344958199E-2</v>
      </c>
      <c r="AC85" s="354">
        <v>5.6015996744448099E-2</v>
      </c>
      <c r="AD85" s="354">
        <v>9.6467404110979399E-2</v>
      </c>
      <c r="AE85" s="354">
        <v>2.6613690975467001E-2</v>
      </c>
      <c r="AF85" s="354">
        <v>3.4875291122975001E-2</v>
      </c>
      <c r="AG85" s="354">
        <v>3.5661182495762E-3</v>
      </c>
      <c r="AH85" s="354">
        <v>3.5661182495762E-3</v>
      </c>
      <c r="AI85" s="354">
        <v>4197298.3896781504</v>
      </c>
      <c r="AJ85" s="354">
        <v>6853.6046334296898</v>
      </c>
      <c r="AK85" s="354">
        <v>167651.19285157701</v>
      </c>
      <c r="AL85" s="354">
        <v>225083.80317543499</v>
      </c>
      <c r="AM85" s="354">
        <v>4156853.67</v>
      </c>
    </row>
    <row r="86" spans="1:39" x14ac:dyDescent="0.25">
      <c r="A86" s="354">
        <v>85</v>
      </c>
      <c r="B86" s="354">
        <v>1200000108</v>
      </c>
      <c r="C86" s="398">
        <v>44734</v>
      </c>
      <c r="D86" s="354">
        <v>10000</v>
      </c>
      <c r="E86" s="354">
        <v>6147.68</v>
      </c>
      <c r="F86" s="354" t="s">
        <v>3736</v>
      </c>
      <c r="G86" s="354">
        <v>7.34</v>
      </c>
      <c r="H86" s="354">
        <v>2.37283245373061E-3</v>
      </c>
      <c r="I86" s="354">
        <v>5.53417042398452E-3</v>
      </c>
      <c r="J86" s="354">
        <v>9.13927722213481E-3</v>
      </c>
      <c r="K86" s="354">
        <v>1.38E-2</v>
      </c>
      <c r="L86" s="354">
        <v>2.1700000000000001E-2</v>
      </c>
      <c r="M86" s="354">
        <v>2.6700000000000002E-2</v>
      </c>
      <c r="N86" s="354">
        <v>3.8800000000000001E-2</v>
      </c>
      <c r="O86" s="354">
        <v>5.1700000000000003E-2</v>
      </c>
      <c r="P86" s="354">
        <v>0.44550000000000001</v>
      </c>
      <c r="Q86" s="354">
        <v>1</v>
      </c>
      <c r="R86" s="354" t="s">
        <v>1156</v>
      </c>
      <c r="S86" s="354">
        <v>22</v>
      </c>
      <c r="T86" s="354">
        <v>16147.68</v>
      </c>
      <c r="U86" s="354">
        <v>6.0232717316906201E-2</v>
      </c>
      <c r="V86" s="354">
        <v>0.995742733473584</v>
      </c>
      <c r="W86" s="354">
        <v>16078.935022456701</v>
      </c>
      <c r="X86" s="354">
        <v>25</v>
      </c>
      <c r="Y86" s="354">
        <v>5.7220414989278502E-4</v>
      </c>
      <c r="Z86" s="433">
        <v>-2.6841611301279202E-5</v>
      </c>
      <c r="AA86" s="354">
        <v>-8.0746165763509296E-4</v>
      </c>
      <c r="AB86" s="354">
        <v>-3.7199791211742798E-3</v>
      </c>
      <c r="AC86" s="354">
        <v>6.3177015740121202E-3</v>
      </c>
      <c r="AD86" s="354">
        <v>1.1927809528860399E-2</v>
      </c>
      <c r="AE86" s="354">
        <v>-9.7604702581548502E-3</v>
      </c>
      <c r="AF86" s="354">
        <v>-1.3753489518514701E-2</v>
      </c>
      <c r="AG86" s="354">
        <v>5.7220414989278502E-4</v>
      </c>
      <c r="AH86" s="354">
        <v>5.7220414989278502E-4</v>
      </c>
      <c r="AI86" s="354">
        <v>1001081.98619678</v>
      </c>
      <c r="AJ86" s="354">
        <v>255.192765397139</v>
      </c>
      <c r="AK86" s="354">
        <v>5525.86429624629</v>
      </c>
      <c r="AL86" s="354">
        <v>8215.4755696420907</v>
      </c>
      <c r="AM86" s="354">
        <v>992000</v>
      </c>
    </row>
    <row r="87" spans="1:39" x14ac:dyDescent="0.25">
      <c r="A87" s="354">
        <v>86</v>
      </c>
      <c r="B87" s="354">
        <v>1200000111</v>
      </c>
      <c r="C87" s="398">
        <v>44727</v>
      </c>
      <c r="D87" s="354">
        <v>33333.33</v>
      </c>
      <c r="E87" s="354">
        <v>1321.64</v>
      </c>
      <c r="F87" s="354" t="s">
        <v>3726</v>
      </c>
      <c r="G87" s="354">
        <v>5.87</v>
      </c>
      <c r="H87" s="354">
        <v>8.2325963782694199E-4</v>
      </c>
      <c r="I87" s="354">
        <v>1.9532505345530899E-3</v>
      </c>
      <c r="J87" s="354">
        <v>3.2618807560203002E-3</v>
      </c>
      <c r="K87" s="354">
        <v>5.0000000000000001E-3</v>
      </c>
      <c r="L87" s="354">
        <v>8.3000000000000001E-3</v>
      </c>
      <c r="M87" s="354">
        <v>1.06E-2</v>
      </c>
      <c r="N87" s="354">
        <v>1.7100000000000001E-2</v>
      </c>
      <c r="O87" s="354">
        <v>2.4400000000000002E-2</v>
      </c>
      <c r="P87" s="354">
        <v>0.212051379363351</v>
      </c>
      <c r="Q87" s="354">
        <v>1</v>
      </c>
      <c r="R87" s="354" t="s">
        <v>1156</v>
      </c>
      <c r="S87" s="354">
        <v>15</v>
      </c>
      <c r="T87" s="354">
        <v>34654.97</v>
      </c>
      <c r="U87" s="354">
        <v>4.1067761806981497E-2</v>
      </c>
      <c r="V87" s="354">
        <v>0.99766016508483102</v>
      </c>
      <c r="W87" s="354">
        <v>34573.8830912099</v>
      </c>
      <c r="X87" s="354">
        <v>10</v>
      </c>
      <c r="Y87" s="354">
        <v>1.3528426955511399E-4</v>
      </c>
      <c r="Z87" s="354">
        <v>-1.21106470935974E-4</v>
      </c>
      <c r="AA87" s="354">
        <v>-4.49039851466804E-4</v>
      </c>
      <c r="AB87" s="354">
        <v>-1.6669543075032601E-3</v>
      </c>
      <c r="AC87" s="354">
        <v>1.8252101361866399E-3</v>
      </c>
      <c r="AD87" s="354">
        <v>3.7789487452184502E-3</v>
      </c>
      <c r="AE87" s="354">
        <v>-8.88591642028436E-3</v>
      </c>
      <c r="AF87" s="354">
        <v>-1.23403564045124E-2</v>
      </c>
      <c r="AG87" s="354">
        <v>1.3528426955511399E-4</v>
      </c>
      <c r="AH87" s="354">
        <v>1.3528426955511399E-4</v>
      </c>
      <c r="AI87" s="354">
        <v>267604.70301050501</v>
      </c>
      <c r="AJ87" s="354">
        <v>7.6768339085991002</v>
      </c>
      <c r="AK87" s="354">
        <v>71.573706280938595</v>
      </c>
      <c r="AL87" s="354">
        <v>71.573706280938595</v>
      </c>
      <c r="AM87" s="354">
        <v>266666.56</v>
      </c>
    </row>
    <row r="88" spans="1:39" x14ac:dyDescent="0.25">
      <c r="A88" s="354">
        <v>87</v>
      </c>
      <c r="B88" s="354">
        <v>1200000112</v>
      </c>
      <c r="C88" s="398">
        <v>44727</v>
      </c>
      <c r="D88" s="354">
        <v>0</v>
      </c>
      <c r="E88" s="354">
        <v>0.49</v>
      </c>
      <c r="F88" s="354" t="s">
        <v>3727</v>
      </c>
      <c r="G88" s="354">
        <v>5.76</v>
      </c>
      <c r="H88" s="354">
        <v>8.2325963782694199E-4</v>
      </c>
      <c r="I88" s="354">
        <v>1.9532505345530899E-3</v>
      </c>
      <c r="J88" s="354">
        <v>3.2618807560203002E-3</v>
      </c>
      <c r="K88" s="354">
        <v>5.0000000000000001E-3</v>
      </c>
      <c r="L88" s="354">
        <v>8.3000000000000001E-3</v>
      </c>
      <c r="M88" s="354">
        <v>1.06E-2</v>
      </c>
      <c r="N88" s="354">
        <v>1.7100000000000001E-2</v>
      </c>
      <c r="O88" s="354">
        <v>2.4400000000000002E-2</v>
      </c>
      <c r="P88" s="354">
        <v>0.212051379363351</v>
      </c>
      <c r="Q88" s="354">
        <v>1</v>
      </c>
      <c r="R88" s="354" t="s">
        <v>1156</v>
      </c>
      <c r="S88" s="354">
        <v>15</v>
      </c>
      <c r="T88" s="354">
        <v>0.49</v>
      </c>
      <c r="U88" s="354">
        <v>4.1067761806981497E-2</v>
      </c>
      <c r="V88" s="354">
        <v>0.99770275810390996</v>
      </c>
      <c r="W88" s="354">
        <v>0.48887435147091601</v>
      </c>
      <c r="X88" s="354">
        <v>10</v>
      </c>
      <c r="Y88" s="354">
        <v>1.3528426955511399E-4</v>
      </c>
      <c r="Z88" s="354">
        <v>-1.21106470935974E-4</v>
      </c>
      <c r="AA88" s="354">
        <v>-4.49039851466804E-4</v>
      </c>
      <c r="AB88" s="354">
        <v>-1.6669543075032601E-3</v>
      </c>
      <c r="AC88" s="354">
        <v>1.8252101361866399E-3</v>
      </c>
      <c r="AD88" s="354">
        <v>3.7789487452184502E-3</v>
      </c>
      <c r="AE88" s="354">
        <v>-8.88591642028436E-3</v>
      </c>
      <c r="AF88" s="354">
        <v>-1.23403564045124E-2</v>
      </c>
      <c r="AG88" s="354">
        <v>1.3528426955511399E-4</v>
      </c>
      <c r="AH88" s="354">
        <v>1.3528426955511399E-4</v>
      </c>
      <c r="AI88" s="354">
        <v>100.462354114712</v>
      </c>
      <c r="AJ88" s="354">
        <v>2.8819852488737199E-3</v>
      </c>
      <c r="AK88" s="354">
        <v>6.5214962184534903E-2</v>
      </c>
      <c r="AL88" s="354">
        <v>6.5214962184534903E-2</v>
      </c>
      <c r="AM88" s="354">
        <v>100</v>
      </c>
    </row>
    <row r="89" spans="1:39" x14ac:dyDescent="0.25">
      <c r="A89" s="354">
        <v>88</v>
      </c>
      <c r="B89" s="354">
        <v>1200000116</v>
      </c>
      <c r="C89" s="398">
        <v>44732</v>
      </c>
      <c r="D89" s="354">
        <v>32500</v>
      </c>
      <c r="E89" s="354">
        <v>2507.5700000000002</v>
      </c>
      <c r="F89" s="354" t="s">
        <v>3608</v>
      </c>
      <c r="G89" s="354">
        <v>7.04</v>
      </c>
      <c r="H89" s="354">
        <v>9.3334239922107404E-4</v>
      </c>
      <c r="I89" s="354">
        <v>2.21015696560434E-3</v>
      </c>
      <c r="J89" s="354">
        <v>3.6863423460092898E-3</v>
      </c>
      <c r="K89" s="354">
        <v>5.5999999999999999E-3</v>
      </c>
      <c r="L89" s="354">
        <v>9.1000000000000004E-3</v>
      </c>
      <c r="M89" s="354">
        <v>1.14E-2</v>
      </c>
      <c r="N89" s="354">
        <v>1.78E-2</v>
      </c>
      <c r="O89" s="354">
        <v>2.5000000000000001E-2</v>
      </c>
      <c r="P89" s="354">
        <v>0.1</v>
      </c>
      <c r="Q89" s="354">
        <v>1</v>
      </c>
      <c r="R89" s="354" t="s">
        <v>1156</v>
      </c>
      <c r="S89" s="354">
        <v>20</v>
      </c>
      <c r="T89" s="354">
        <v>35007.57</v>
      </c>
      <c r="U89" s="354">
        <v>5.4757015742642003E-2</v>
      </c>
      <c r="V89" s="354">
        <v>0.99628167837534898</v>
      </c>
      <c r="W89" s="354">
        <v>34877.400595442501</v>
      </c>
      <c r="X89" s="354">
        <v>39</v>
      </c>
      <c r="Y89" s="433">
        <v>2.0450272440186701E-4</v>
      </c>
      <c r="Z89" s="433">
        <v>-6.3813945914657495E-5</v>
      </c>
      <c r="AA89" s="354">
        <v>-4.1888777074999302E-4</v>
      </c>
      <c r="AB89" s="354">
        <v>-1.63548588682047E-3</v>
      </c>
      <c r="AC89" s="354">
        <v>2.2802846552970601E-3</v>
      </c>
      <c r="AD89" s="354">
        <v>4.6106013859936699E-3</v>
      </c>
      <c r="AE89" s="354">
        <v>-7.6928644366296402E-3</v>
      </c>
      <c r="AF89" s="354">
        <v>-1.1128194053127601E-2</v>
      </c>
      <c r="AG89" s="433">
        <v>2.0450272440186701E-4</v>
      </c>
      <c r="AH89" s="433">
        <v>2.0450272440186701E-4</v>
      </c>
      <c r="AI89" s="354">
        <v>408662.40396618401</v>
      </c>
      <c r="AJ89" s="354">
        <v>8.3572574971700995</v>
      </c>
      <c r="AK89" s="354">
        <v>175.30353617594801</v>
      </c>
      <c r="AL89" s="354">
        <v>253.31937360867701</v>
      </c>
      <c r="AM89" s="354">
        <v>405001</v>
      </c>
    </row>
    <row r="90" spans="1:39" x14ac:dyDescent="0.25">
      <c r="A90" s="354">
        <v>89</v>
      </c>
      <c r="B90" s="354">
        <v>1200000117</v>
      </c>
      <c r="C90" s="398">
        <v>44736</v>
      </c>
      <c r="D90" s="354">
        <v>0</v>
      </c>
      <c r="E90" s="354">
        <v>16561.63</v>
      </c>
      <c r="F90" s="354" t="s">
        <v>3847</v>
      </c>
      <c r="G90" s="354">
        <v>6.25</v>
      </c>
      <c r="H90" s="354">
        <v>2.06507287317242E-3</v>
      </c>
      <c r="I90" s="354">
        <v>4.8278134180611597E-3</v>
      </c>
      <c r="J90" s="354">
        <v>7.9853702124685899E-3</v>
      </c>
      <c r="K90" s="354">
        <v>1.21E-2</v>
      </c>
      <c r="L90" s="354">
        <v>1.8800000000000001E-2</v>
      </c>
      <c r="M90" s="354">
        <v>2.29E-2</v>
      </c>
      <c r="N90" s="354">
        <v>3.3099999999999997E-2</v>
      </c>
      <c r="O90" s="354">
        <v>4.3700000000000003E-2</v>
      </c>
      <c r="P90" s="354">
        <v>0.15</v>
      </c>
      <c r="Q90" s="354">
        <v>1</v>
      </c>
      <c r="R90" s="354" t="s">
        <v>1156</v>
      </c>
      <c r="S90" s="354">
        <v>24</v>
      </c>
      <c r="T90" s="354">
        <v>16561.63</v>
      </c>
      <c r="U90" s="354">
        <v>6.5708418891170406E-2</v>
      </c>
      <c r="V90" s="354">
        <v>0.996024375756974</v>
      </c>
      <c r="W90" s="354">
        <v>16495.787182267999</v>
      </c>
      <c r="X90" s="354">
        <v>59</v>
      </c>
      <c r="Y90" s="354">
        <v>5.4318431878697105E-4</v>
      </c>
      <c r="Z90" s="433">
        <v>2.8473580328358099E-5</v>
      </c>
      <c r="AA90" s="354">
        <v>-6.5738791267537402E-4</v>
      </c>
      <c r="AB90" s="354">
        <v>-3.2770558794808398E-3</v>
      </c>
      <c r="AC90" s="354">
        <v>5.79891296126966E-3</v>
      </c>
      <c r="AD90" s="354">
        <v>1.08205177821054E-2</v>
      </c>
      <c r="AE90" s="354">
        <v>-7.65510486921284E-3</v>
      </c>
      <c r="AF90" s="354">
        <v>-9.7563786049779094E-3</v>
      </c>
      <c r="AG90" s="354">
        <v>5.4318431878697105E-4</v>
      </c>
      <c r="AH90" s="354">
        <v>5.4318431878697105E-4</v>
      </c>
      <c r="AI90" s="354">
        <v>3057595.57811411</v>
      </c>
      <c r="AJ90" s="354">
        <v>249.12569568359501</v>
      </c>
      <c r="AK90" s="354">
        <v>5360.7233824511204</v>
      </c>
      <c r="AL90" s="354">
        <v>16676.658957766798</v>
      </c>
      <c r="AM90" s="354">
        <v>3000000</v>
      </c>
    </row>
    <row r="91" spans="1:39" x14ac:dyDescent="0.25">
      <c r="A91" s="354">
        <v>90</v>
      </c>
      <c r="B91" s="354">
        <v>1200000118</v>
      </c>
      <c r="C91" s="398">
        <v>44739</v>
      </c>
      <c r="D91" s="354">
        <v>0</v>
      </c>
      <c r="E91" s="354">
        <v>34367.129999999997</v>
      </c>
      <c r="F91" s="354" t="s">
        <v>1168</v>
      </c>
      <c r="G91" s="354">
        <v>7.59</v>
      </c>
      <c r="H91" s="354">
        <v>3.9243287312250999E-3</v>
      </c>
      <c r="I91" s="354">
        <v>9.0705793225682695E-3</v>
      </c>
      <c r="J91" s="354">
        <v>1.48879943652658E-2</v>
      </c>
      <c r="K91" s="354">
        <v>2.23E-2</v>
      </c>
      <c r="L91" s="354">
        <v>3.5200000000000002E-2</v>
      </c>
      <c r="M91" s="354">
        <v>4.36E-2</v>
      </c>
      <c r="N91" s="354">
        <v>6.2600000000000003E-2</v>
      </c>
      <c r="O91" s="354">
        <v>8.2199999999999995E-2</v>
      </c>
      <c r="P91" s="354">
        <v>0.15</v>
      </c>
      <c r="Q91" s="354">
        <v>1</v>
      </c>
      <c r="R91" s="354" t="s">
        <v>1156</v>
      </c>
      <c r="S91" s="354">
        <v>27</v>
      </c>
      <c r="T91" s="354">
        <v>34367.129999999997</v>
      </c>
      <c r="U91" s="354">
        <v>7.3921971252566707E-2</v>
      </c>
      <c r="V91" s="354">
        <v>0.99460664849105396</v>
      </c>
      <c r="W91" s="354">
        <v>34181.775987556299</v>
      </c>
      <c r="X91" s="354">
        <v>47</v>
      </c>
      <c r="Y91" s="354">
        <v>1.16198365984932E-3</v>
      </c>
      <c r="Z91" s="354">
        <v>2.99762092969028E-4</v>
      </c>
      <c r="AA91" s="354">
        <v>-8.4411161262459996E-4</v>
      </c>
      <c r="AB91" s="354">
        <v>-5.1563822691181498E-3</v>
      </c>
      <c r="AC91" s="354">
        <v>1.0199816567979201E-2</v>
      </c>
      <c r="AD91" s="354">
        <v>1.8812483721555199E-2</v>
      </c>
      <c r="AE91" s="354">
        <v>-1.4236464329508499E-2</v>
      </c>
      <c r="AF91" s="354">
        <v>-1.84838768093427E-2</v>
      </c>
      <c r="AG91" s="354">
        <v>1.16198365984932E-3</v>
      </c>
      <c r="AH91" s="354">
        <v>1.16198365984932E-3</v>
      </c>
      <c r="AI91" s="354">
        <v>5078079.0238420703</v>
      </c>
      <c r="AJ91" s="354">
        <v>885.09672736921095</v>
      </c>
      <c r="AK91" s="354">
        <v>16236.4226208484</v>
      </c>
      <c r="AL91" s="354">
        <v>34796.756143167098</v>
      </c>
      <c r="AM91" s="354">
        <v>5000000</v>
      </c>
    </row>
    <row r="92" spans="1:39" x14ac:dyDescent="0.25">
      <c r="A92" s="354">
        <v>91</v>
      </c>
      <c r="B92" s="354">
        <v>1200000119</v>
      </c>
      <c r="C92" s="398">
        <v>44742</v>
      </c>
      <c r="D92" s="354">
        <v>3260403</v>
      </c>
      <c r="E92" s="354">
        <v>0</v>
      </c>
      <c r="F92" s="354" t="s">
        <v>3867</v>
      </c>
      <c r="G92" s="354">
        <v>7.19</v>
      </c>
      <c r="H92" s="354">
        <v>1.7496582002651201E-3</v>
      </c>
      <c r="I92" s="354">
        <v>4.1017797156421799E-3</v>
      </c>
      <c r="J92" s="354">
        <v>6.7969165063573901E-3</v>
      </c>
      <c r="K92" s="354">
        <v>1.03E-2</v>
      </c>
      <c r="L92" s="354">
        <v>1.55E-2</v>
      </c>
      <c r="M92" s="354">
        <v>1.8599999999999998E-2</v>
      </c>
      <c r="N92" s="354">
        <v>2.6100000000000002E-2</v>
      </c>
      <c r="O92" s="354">
        <v>3.3799999999999997E-2</v>
      </c>
      <c r="P92" s="354">
        <v>0.15</v>
      </c>
      <c r="Q92" s="354">
        <v>1</v>
      </c>
      <c r="R92" s="354" t="s">
        <v>1156</v>
      </c>
      <c r="S92" s="354">
        <v>30</v>
      </c>
      <c r="T92" s="354">
        <v>3260403</v>
      </c>
      <c r="U92" s="354">
        <v>8.2135523613962994E-2</v>
      </c>
      <c r="V92" s="354">
        <v>0.99431333334306604</v>
      </c>
      <c r="W92" s="354">
        <v>3241862.17497173</v>
      </c>
      <c r="X92" s="354">
        <v>1</v>
      </c>
      <c r="Y92" s="354">
        <v>5.7517436440512903E-4</v>
      </c>
      <c r="Z92" s="433">
        <v>1.70307613964716E-4</v>
      </c>
      <c r="AA92" s="354">
        <v>-4.0302797972162401E-4</v>
      </c>
      <c r="AB92" s="354">
        <v>-2.5614235865153898E-3</v>
      </c>
      <c r="AC92" s="354">
        <v>5.5029337165854999E-3</v>
      </c>
      <c r="AD92" s="354">
        <v>9.52719491976017E-3</v>
      </c>
      <c r="AE92" s="354">
        <v>-3.61574760746453E-3</v>
      </c>
      <c r="AF92" s="354">
        <v>-4.6633235218940198E-3</v>
      </c>
      <c r="AG92" s="354">
        <v>5.7517436440512903E-4</v>
      </c>
      <c r="AH92" s="354">
        <v>5.7517436440512903E-4</v>
      </c>
      <c r="AI92" s="354">
        <v>3241862.17497173</v>
      </c>
      <c r="AJ92" s="354">
        <v>279.69540239675899</v>
      </c>
      <c r="AK92" s="354">
        <v>279.69540239675899</v>
      </c>
      <c r="AL92" s="354">
        <v>279.69540239675899</v>
      </c>
      <c r="AM92" s="354">
        <v>3260403</v>
      </c>
    </row>
    <row r="93" spans="1:39" x14ac:dyDescent="0.25">
      <c r="A93" s="354">
        <v>92</v>
      </c>
      <c r="B93" s="354">
        <v>1200000120</v>
      </c>
      <c r="C93" s="398">
        <v>44742</v>
      </c>
      <c r="D93" s="354">
        <v>1739597</v>
      </c>
      <c r="E93" s="354">
        <v>0</v>
      </c>
      <c r="F93" s="354" t="s">
        <v>3868</v>
      </c>
      <c r="G93" s="354">
        <v>7.19</v>
      </c>
      <c r="H93" s="354">
        <v>1.7496582002651201E-3</v>
      </c>
      <c r="I93" s="354">
        <v>4.1017797156421799E-3</v>
      </c>
      <c r="J93" s="354">
        <v>6.7969165063573901E-3</v>
      </c>
      <c r="K93" s="354">
        <v>1.03E-2</v>
      </c>
      <c r="L93" s="354">
        <v>1.55E-2</v>
      </c>
      <c r="M93" s="354">
        <v>1.8599999999999998E-2</v>
      </c>
      <c r="N93" s="354">
        <v>2.6100000000000002E-2</v>
      </c>
      <c r="O93" s="354">
        <v>3.3799999999999997E-2</v>
      </c>
      <c r="P93" s="354">
        <v>0.15</v>
      </c>
      <c r="Q93" s="354">
        <v>1</v>
      </c>
      <c r="R93" s="354" t="s">
        <v>1156</v>
      </c>
      <c r="S93" s="354">
        <v>30</v>
      </c>
      <c r="T93" s="354">
        <v>1739597</v>
      </c>
      <c r="U93" s="354">
        <v>8.2135523613962994E-2</v>
      </c>
      <c r="V93" s="354">
        <v>0.99431333334306604</v>
      </c>
      <c r="W93" s="354">
        <v>1729704.4917436</v>
      </c>
      <c r="X93" s="354">
        <v>1</v>
      </c>
      <c r="Y93" s="354">
        <v>5.7517436440512903E-4</v>
      </c>
      <c r="Z93" s="433">
        <v>1.70307613964716E-4</v>
      </c>
      <c r="AA93" s="354">
        <v>-4.0302797972162401E-4</v>
      </c>
      <c r="AB93" s="354">
        <v>-2.5614235865153898E-3</v>
      </c>
      <c r="AC93" s="354">
        <v>5.5029337165854999E-3</v>
      </c>
      <c r="AD93" s="354">
        <v>9.52719491976017E-3</v>
      </c>
      <c r="AE93" s="354">
        <v>-3.61574760746453E-3</v>
      </c>
      <c r="AF93" s="354">
        <v>-4.6633235218940198E-3</v>
      </c>
      <c r="AG93" s="354">
        <v>5.7517436440512903E-4</v>
      </c>
      <c r="AH93" s="354">
        <v>5.7517436440512903E-4</v>
      </c>
      <c r="AI93" s="354">
        <v>1729704.4917436</v>
      </c>
      <c r="AJ93" s="354">
        <v>149.23225224709799</v>
      </c>
      <c r="AK93" s="354">
        <v>149.23225224709799</v>
      </c>
      <c r="AL93" s="354">
        <v>149.23225224709799</v>
      </c>
      <c r="AM93" s="354">
        <v>1739597</v>
      </c>
    </row>
    <row r="94" spans="1:39" x14ac:dyDescent="0.25">
      <c r="A94" s="354">
        <v>93</v>
      </c>
      <c r="B94" s="354">
        <v>1200000121</v>
      </c>
      <c r="C94" s="398">
        <v>44764</v>
      </c>
      <c r="D94" s="354">
        <v>0</v>
      </c>
      <c r="E94" s="354">
        <v>43088.77</v>
      </c>
      <c r="F94" s="354" t="s">
        <v>1170</v>
      </c>
      <c r="G94" s="354">
        <v>7.3</v>
      </c>
      <c r="H94" s="354">
        <v>1.38488990986904E-3</v>
      </c>
      <c r="I94" s="354">
        <v>3.2590586225322801E-3</v>
      </c>
      <c r="J94" s="354">
        <v>5.4139766692243903E-3</v>
      </c>
      <c r="K94" s="354">
        <v>8.2000000000000007E-3</v>
      </c>
      <c r="L94" s="354">
        <v>1.2800000000000001E-2</v>
      </c>
      <c r="M94" s="354">
        <v>1.5800000000000002E-2</v>
      </c>
      <c r="N94" s="354">
        <v>2.35E-2</v>
      </c>
      <c r="O94" s="354">
        <v>3.1699999999999999E-2</v>
      </c>
      <c r="P94" s="354">
        <v>0.15</v>
      </c>
      <c r="Q94" s="354">
        <v>1</v>
      </c>
      <c r="R94" s="354" t="s">
        <v>1156</v>
      </c>
      <c r="S94" s="354">
        <v>52</v>
      </c>
      <c r="T94" s="354">
        <v>43088.77</v>
      </c>
      <c r="U94" s="354">
        <v>0.142368240930869</v>
      </c>
      <c r="V94" s="354">
        <v>0.99001909562607304</v>
      </c>
      <c r="W94" s="354">
        <v>42658.705107039903</v>
      </c>
      <c r="X94" s="354">
        <v>21</v>
      </c>
      <c r="Y94" s="354">
        <v>7.8889262839054698E-4</v>
      </c>
      <c r="Z94" s="354">
        <v>5.7800960852394303E-4</v>
      </c>
      <c r="AA94" s="354">
        <v>1.7639009577904101E-4</v>
      </c>
      <c r="AB94" s="354">
        <v>-1.35752835992292E-3</v>
      </c>
      <c r="AC94" s="354">
        <v>4.2378234537337996E-3</v>
      </c>
      <c r="AD94" s="354">
        <v>7.2028121628676701E-3</v>
      </c>
      <c r="AE94" s="354">
        <v>-6.5400632229923898E-3</v>
      </c>
      <c r="AF94" s="354">
        <v>-8.7884780141509501E-3</v>
      </c>
      <c r="AG94" s="354">
        <v>7.8889262839054698E-4</v>
      </c>
      <c r="AH94" s="354">
        <v>7.8889262839054698E-4</v>
      </c>
      <c r="AI94" s="354">
        <v>2358150.7886862499</v>
      </c>
      <c r="AJ94" s="354">
        <v>279.04916607419102</v>
      </c>
      <c r="AK94" s="354">
        <v>2743.27588020025</v>
      </c>
      <c r="AL94" s="354">
        <v>8524.7485127726195</v>
      </c>
      <c r="AM94" s="354">
        <v>2300000</v>
      </c>
    </row>
    <row r="95" spans="1:39" x14ac:dyDescent="0.25">
      <c r="A95" s="354">
        <v>94</v>
      </c>
      <c r="B95" s="354">
        <v>1200000124</v>
      </c>
      <c r="C95" s="398">
        <v>44742</v>
      </c>
      <c r="D95" s="354">
        <v>0</v>
      </c>
      <c r="E95" s="354">
        <v>5024.59</v>
      </c>
      <c r="F95" s="354" t="s">
        <v>3447</v>
      </c>
      <c r="G95" s="354">
        <v>7.9</v>
      </c>
      <c r="H95" s="354">
        <v>3.4284526556452302E-3</v>
      </c>
      <c r="I95" s="354">
        <v>7.9442220353370709E-3</v>
      </c>
      <c r="J95" s="354">
        <v>1.3061619214512E-2</v>
      </c>
      <c r="K95" s="354">
        <v>1.9599999999999999E-2</v>
      </c>
      <c r="L95" s="354">
        <v>3.04E-2</v>
      </c>
      <c r="M95" s="354">
        <v>3.7100000000000001E-2</v>
      </c>
      <c r="N95" s="354">
        <v>5.2600000000000001E-2</v>
      </c>
      <c r="O95" s="354">
        <v>6.8599999999999994E-2</v>
      </c>
      <c r="P95" s="354">
        <v>0.44259999999999999</v>
      </c>
      <c r="Q95" s="354">
        <v>1</v>
      </c>
      <c r="R95" s="354" t="s">
        <v>1156</v>
      </c>
      <c r="S95" s="354">
        <v>30</v>
      </c>
      <c r="T95" s="354">
        <v>5024.59</v>
      </c>
      <c r="U95" s="354">
        <v>8.2135523613962994E-2</v>
      </c>
      <c r="V95" s="354">
        <v>0.99377431163935304</v>
      </c>
      <c r="W95" s="354">
        <v>4993.3084685199801</v>
      </c>
      <c r="X95" s="354">
        <v>37</v>
      </c>
      <c r="Y95" s="433">
        <v>1.1276900092459499E-3</v>
      </c>
      <c r="Z95" s="354">
        <v>3.9630360603695302E-4</v>
      </c>
      <c r="AA95" s="354">
        <v>-6.0929193560417495E-4</v>
      </c>
      <c r="AB95" s="354">
        <v>-4.40538982433792E-3</v>
      </c>
      <c r="AC95" s="354">
        <v>9.5812140307636202E-3</v>
      </c>
      <c r="AD95" s="354">
        <v>1.7419587146918599E-2</v>
      </c>
      <c r="AE95" s="354">
        <v>-9.5916043832931005E-3</v>
      </c>
      <c r="AF95" s="354">
        <v>-1.27783269560027E-2</v>
      </c>
      <c r="AG95" s="433">
        <v>1.1276900092459499E-3</v>
      </c>
      <c r="AH95" s="433">
        <v>1.1276900092459499E-3</v>
      </c>
      <c r="AI95" s="354">
        <v>760627.93440964399</v>
      </c>
      <c r="AJ95" s="354">
        <v>379.64126640854897</v>
      </c>
      <c r="AK95" s="354">
        <v>6323.8966273768501</v>
      </c>
      <c r="AL95" s="354">
        <v>11440.151475459301</v>
      </c>
      <c r="AM95" s="354">
        <v>750000</v>
      </c>
    </row>
    <row r="96" spans="1:39" x14ac:dyDescent="0.25">
      <c r="A96" s="354">
        <v>95</v>
      </c>
      <c r="B96" s="354">
        <v>1200000125</v>
      </c>
      <c r="C96" s="398">
        <v>44742</v>
      </c>
      <c r="D96" s="354">
        <v>0</v>
      </c>
      <c r="E96" s="354">
        <v>6565.46</v>
      </c>
      <c r="F96" s="354" t="s">
        <v>3446</v>
      </c>
      <c r="G96" s="354">
        <v>7.9</v>
      </c>
      <c r="H96" s="354">
        <v>3.4284526556452302E-3</v>
      </c>
      <c r="I96" s="354">
        <v>7.9442220353370709E-3</v>
      </c>
      <c r="J96" s="354">
        <v>1.3061619214512E-2</v>
      </c>
      <c r="K96" s="354">
        <v>1.9599999999999999E-2</v>
      </c>
      <c r="L96" s="354">
        <v>3.04E-2</v>
      </c>
      <c r="M96" s="354">
        <v>3.7100000000000001E-2</v>
      </c>
      <c r="N96" s="354">
        <v>5.2600000000000001E-2</v>
      </c>
      <c r="O96" s="354">
        <v>6.8599999999999994E-2</v>
      </c>
      <c r="P96" s="354">
        <v>0.44259999999999999</v>
      </c>
      <c r="Q96" s="354">
        <v>1</v>
      </c>
      <c r="R96" s="354" t="s">
        <v>1156</v>
      </c>
      <c r="S96" s="354">
        <v>30</v>
      </c>
      <c r="T96" s="354">
        <v>6565.46</v>
      </c>
      <c r="U96" s="354">
        <v>8.2135523613962994E-2</v>
      </c>
      <c r="V96" s="354">
        <v>0.99377431163935304</v>
      </c>
      <c r="W96" s="354">
        <v>6524.5854920957099</v>
      </c>
      <c r="X96" s="354">
        <v>37</v>
      </c>
      <c r="Y96" s="433">
        <v>1.1276900092459499E-3</v>
      </c>
      <c r="Z96" s="354">
        <v>3.9630360603695302E-4</v>
      </c>
      <c r="AA96" s="354">
        <v>-6.0929193560417495E-4</v>
      </c>
      <c r="AB96" s="354">
        <v>-4.40538982433792E-3</v>
      </c>
      <c r="AC96" s="354">
        <v>9.5812140307636202E-3</v>
      </c>
      <c r="AD96" s="354">
        <v>1.7419587146918599E-2</v>
      </c>
      <c r="AE96" s="354">
        <v>-9.5916043832931005E-3</v>
      </c>
      <c r="AF96" s="354">
        <v>-1.27783269560027E-2</v>
      </c>
      <c r="AG96" s="433">
        <v>1.1276900092459499E-3</v>
      </c>
      <c r="AH96" s="433">
        <v>1.1276900092459499E-3</v>
      </c>
      <c r="AI96" s="354">
        <v>992404.18305224495</v>
      </c>
      <c r="AJ96" s="354">
        <v>495.32440737337998</v>
      </c>
      <c r="AK96" s="354">
        <v>8250.3718681712107</v>
      </c>
      <c r="AL96" s="354">
        <v>14044.630098407401</v>
      </c>
      <c r="AM96" s="354">
        <v>980000</v>
      </c>
    </row>
    <row r="97" spans="1:39" x14ac:dyDescent="0.25">
      <c r="A97" s="354">
        <v>96</v>
      </c>
      <c r="B97" s="354">
        <v>1200000127</v>
      </c>
      <c r="C97" s="398">
        <v>44742</v>
      </c>
      <c r="D97" s="354">
        <v>0</v>
      </c>
      <c r="E97" s="354">
        <v>6046.25</v>
      </c>
      <c r="F97" s="354" t="s">
        <v>3448</v>
      </c>
      <c r="G97" s="354">
        <v>7.9</v>
      </c>
      <c r="H97" s="354">
        <v>3.4284526556452302E-3</v>
      </c>
      <c r="I97" s="354">
        <v>7.9442220353370709E-3</v>
      </c>
      <c r="J97" s="354">
        <v>1.3061619214512E-2</v>
      </c>
      <c r="K97" s="354">
        <v>1.9599999999999999E-2</v>
      </c>
      <c r="L97" s="354">
        <v>3.04E-2</v>
      </c>
      <c r="M97" s="354">
        <v>3.7100000000000001E-2</v>
      </c>
      <c r="N97" s="354">
        <v>5.2600000000000001E-2</v>
      </c>
      <c r="O97" s="354">
        <v>6.8599999999999994E-2</v>
      </c>
      <c r="P97" s="354">
        <v>0.44259999999999999</v>
      </c>
      <c r="Q97" s="354">
        <v>1</v>
      </c>
      <c r="R97" s="354" t="s">
        <v>1156</v>
      </c>
      <c r="S97" s="354">
        <v>30</v>
      </c>
      <c r="T97" s="354">
        <v>6046.25</v>
      </c>
      <c r="U97" s="354">
        <v>8.2135523613962994E-2</v>
      </c>
      <c r="V97" s="354">
        <v>0.99377431163935304</v>
      </c>
      <c r="W97" s="354">
        <v>6008.6079317494396</v>
      </c>
      <c r="X97" s="354">
        <v>37</v>
      </c>
      <c r="Y97" s="354">
        <v>1.1276900092459499E-3</v>
      </c>
      <c r="Z97" s="354">
        <v>3.9630360603695302E-4</v>
      </c>
      <c r="AA97" s="354">
        <v>-6.0929193560417495E-4</v>
      </c>
      <c r="AB97" s="354">
        <v>-4.40538982433792E-3</v>
      </c>
      <c r="AC97" s="354">
        <v>9.5812140307636202E-3</v>
      </c>
      <c r="AD97" s="354">
        <v>1.7419587146918599E-2</v>
      </c>
      <c r="AE97" s="354">
        <v>-9.5916043832931005E-3</v>
      </c>
      <c r="AF97" s="354">
        <v>-1.27783269560027E-2</v>
      </c>
      <c r="AG97" s="354">
        <v>1.1276900092459499E-3</v>
      </c>
      <c r="AH97" s="354">
        <v>1.1276900092459499E-3</v>
      </c>
      <c r="AI97" s="354">
        <v>914465.06977623398</v>
      </c>
      <c r="AJ97" s="354">
        <v>456.42378023584399</v>
      </c>
      <c r="AK97" s="354">
        <v>7602.6150420724698</v>
      </c>
      <c r="AL97" s="354">
        <v>13264.1853494733</v>
      </c>
      <c r="AM97" s="354">
        <v>902500</v>
      </c>
    </row>
    <row r="98" spans="1:39" x14ac:dyDescent="0.25">
      <c r="A98" s="354">
        <v>97</v>
      </c>
      <c r="B98" s="354">
        <v>1200000128</v>
      </c>
      <c r="C98" s="398">
        <v>44742</v>
      </c>
      <c r="D98" s="354">
        <v>0</v>
      </c>
      <c r="E98" s="354">
        <v>8056.29</v>
      </c>
      <c r="F98" s="354" t="s">
        <v>3428</v>
      </c>
      <c r="G98" s="354">
        <v>2.99</v>
      </c>
      <c r="H98" s="274">
        <v>1.6716101123373599E-3</v>
      </c>
      <c r="I98" s="274">
        <v>3.9217621703806502E-3</v>
      </c>
      <c r="J98" s="274">
        <v>6.5018324531470597E-3</v>
      </c>
      <c r="K98" s="274">
        <v>9.9000000000000008E-3</v>
      </c>
      <c r="L98" s="274">
        <v>1.52E-2</v>
      </c>
      <c r="M98" s="274">
        <v>1.8499999999999999E-2</v>
      </c>
      <c r="N98" s="274">
        <v>2.6700000000000002E-2</v>
      </c>
      <c r="O98" s="274">
        <v>3.5400000000000001E-2</v>
      </c>
      <c r="P98" s="274">
        <v>0.34429999999999999</v>
      </c>
      <c r="Q98" s="354">
        <v>1</v>
      </c>
      <c r="R98" s="354" t="s">
        <v>1156</v>
      </c>
      <c r="S98" s="354">
        <v>30</v>
      </c>
      <c r="T98" s="354">
        <v>8056.29</v>
      </c>
      <c r="U98" s="354">
        <v>8.2135523613962994E-2</v>
      </c>
      <c r="V98" s="354">
        <v>0.99758307249432099</v>
      </c>
      <c r="W98" s="354">
        <v>8036.8185311052703</v>
      </c>
      <c r="X98" s="354">
        <v>9</v>
      </c>
      <c r="Y98" s="354">
        <v>5.4950278697230004E-4</v>
      </c>
      <c r="Z98" s="354">
        <v>1.6072772428776501E-4</v>
      </c>
      <c r="AA98" s="354">
        <v>-3.9071670060879298E-4</v>
      </c>
      <c r="AB98" s="354">
        <v>-2.57622910425679E-3</v>
      </c>
      <c r="AC98" s="354">
        <v>5.0102163935201701E-3</v>
      </c>
      <c r="AD98" s="354">
        <v>8.8399703700106098E-3</v>
      </c>
      <c r="AE98" s="354">
        <v>-5.8234999700836898E-3</v>
      </c>
      <c r="AF98" s="354">
        <v>-8.1480208470510202E-3</v>
      </c>
      <c r="AG98" s="354">
        <v>5.4950278697230004E-4</v>
      </c>
      <c r="AH98" s="354">
        <v>5.4950278697230004E-4</v>
      </c>
      <c r="AI98" s="354">
        <v>1038727.2961196901</v>
      </c>
      <c r="AJ98" s="354">
        <v>196.520774241195</v>
      </c>
      <c r="AK98" s="354">
        <v>3472.5729620879802</v>
      </c>
      <c r="AL98" s="354">
        <v>5195.4225310087204</v>
      </c>
      <c r="AM98" s="354">
        <v>1027839.57</v>
      </c>
    </row>
    <row r="99" spans="1:39" x14ac:dyDescent="0.25">
      <c r="A99" s="354">
        <v>98</v>
      </c>
      <c r="B99" s="354">
        <v>1200000130</v>
      </c>
      <c r="C99" s="398">
        <v>44742</v>
      </c>
      <c r="D99" s="354">
        <v>0</v>
      </c>
      <c r="E99" s="354">
        <v>17400.560000000001</v>
      </c>
      <c r="F99" s="354" t="s">
        <v>3429</v>
      </c>
      <c r="G99" s="354">
        <v>3.38</v>
      </c>
      <c r="H99" s="354">
        <v>1.6716101123373599E-3</v>
      </c>
      <c r="I99" s="354">
        <v>3.9217621703806502E-3</v>
      </c>
      <c r="J99" s="354">
        <v>6.5018324531470597E-3</v>
      </c>
      <c r="K99" s="354">
        <v>9.9000000000000008E-3</v>
      </c>
      <c r="L99" s="354">
        <v>1.52E-2</v>
      </c>
      <c r="M99" s="354">
        <v>1.8499999999999999E-2</v>
      </c>
      <c r="N99" s="354">
        <v>2.6700000000000002E-2</v>
      </c>
      <c r="O99" s="354">
        <v>3.5400000000000001E-2</v>
      </c>
      <c r="P99" s="354">
        <v>0.34429999999999999</v>
      </c>
      <c r="Q99" s="354">
        <v>1</v>
      </c>
      <c r="R99" s="354" t="s">
        <v>1156</v>
      </c>
      <c r="S99" s="354">
        <v>30</v>
      </c>
      <c r="T99" s="354">
        <v>17400.560000000001</v>
      </c>
      <c r="U99" s="354">
        <v>8.2135523613962994E-2</v>
      </c>
      <c r="V99" s="354">
        <v>0.99727342950815101</v>
      </c>
      <c r="W99" s="354">
        <v>17353.116146562399</v>
      </c>
      <c r="X99" s="354">
        <v>9</v>
      </c>
      <c r="Y99" s="354">
        <v>5.4950278697230004E-4</v>
      </c>
      <c r="Z99" s="354">
        <v>1.6072772428776501E-4</v>
      </c>
      <c r="AA99" s="354">
        <v>-3.9071670060879298E-4</v>
      </c>
      <c r="AB99" s="354">
        <v>-2.57622910425679E-3</v>
      </c>
      <c r="AC99" s="354">
        <v>5.0102163935201701E-3</v>
      </c>
      <c r="AD99" s="354">
        <v>8.8399703700106098E-3</v>
      </c>
      <c r="AE99" s="354">
        <v>-5.8234999700836898E-3</v>
      </c>
      <c r="AF99" s="354">
        <v>-8.1480208470510202E-3</v>
      </c>
      <c r="AG99" s="354">
        <v>5.4950278697230004E-4</v>
      </c>
      <c r="AH99" s="354">
        <v>5.4950278697230004E-4</v>
      </c>
      <c r="AI99" s="354">
        <v>1997521.71393193</v>
      </c>
      <c r="AJ99" s="354">
        <v>377.91874272674102</v>
      </c>
      <c r="AK99" s="354">
        <v>6662.3021213001703</v>
      </c>
      <c r="AL99" s="354">
        <v>9955.8096345684808</v>
      </c>
      <c r="AM99" s="354">
        <v>1974999.96</v>
      </c>
    </row>
    <row r="100" spans="1:39" x14ac:dyDescent="0.25">
      <c r="A100" s="354">
        <v>99</v>
      </c>
      <c r="B100" s="354">
        <v>1200000131</v>
      </c>
      <c r="C100" s="398">
        <v>44713</v>
      </c>
      <c r="D100" s="354">
        <v>0</v>
      </c>
      <c r="E100" s="354">
        <v>26700.29</v>
      </c>
      <c r="F100" s="354" t="s">
        <v>3441</v>
      </c>
      <c r="G100" s="354">
        <v>7.67</v>
      </c>
      <c r="H100" s="354">
        <v>2.4783737762410301E-3</v>
      </c>
      <c r="I100" s="354">
        <v>5.77597863222723E-3</v>
      </c>
      <c r="J100" s="354">
        <v>9.53380757690225E-3</v>
      </c>
      <c r="K100" s="354">
        <v>1.44E-2</v>
      </c>
      <c r="L100" s="354">
        <v>2.1600000000000001E-2</v>
      </c>
      <c r="M100" s="354">
        <v>2.5700000000000001E-2</v>
      </c>
      <c r="N100" s="354">
        <v>3.5499999999999997E-2</v>
      </c>
      <c r="O100" s="354">
        <v>4.5400000000000003E-2</v>
      </c>
      <c r="P100" s="354">
        <v>0.15</v>
      </c>
      <c r="Q100" s="354">
        <v>1</v>
      </c>
      <c r="R100" s="354" t="s">
        <v>1156</v>
      </c>
      <c r="S100" s="354">
        <v>1</v>
      </c>
      <c r="T100" s="354">
        <v>26700.29</v>
      </c>
      <c r="U100" s="354">
        <v>2.7378507871321E-3</v>
      </c>
      <c r="V100" s="354">
        <v>0.99979769108229599</v>
      </c>
      <c r="W100" s="354">
        <v>26694.888293227701</v>
      </c>
      <c r="X100" s="354">
        <v>49</v>
      </c>
      <c r="Y100" s="354">
        <v>2.71749904062757E-5</v>
      </c>
      <c r="Z100" s="433">
        <v>-7.8311767954272098E-4</v>
      </c>
      <c r="AA100" s="354">
        <v>-1.6985257573864699E-3</v>
      </c>
      <c r="AB100" s="354">
        <v>-5.0114780573673303E-3</v>
      </c>
      <c r="AC100" s="354">
        <v>7.1669458117178397E-3</v>
      </c>
      <c r="AD100" s="354">
        <v>1.3359510737774499E-2</v>
      </c>
      <c r="AE100" s="354">
        <v>-4.2737099513934203E-3</v>
      </c>
      <c r="AF100" s="354">
        <v>-5.10902366074406E-3</v>
      </c>
      <c r="AG100" s="354">
        <v>2.71749904062757E-5</v>
      </c>
      <c r="AH100" s="354">
        <v>2.71749904062757E-5</v>
      </c>
      <c r="AI100" s="354">
        <v>4360715.0105939899</v>
      </c>
      <c r="AJ100" s="354">
        <v>17.775358286609102</v>
      </c>
      <c r="AK100" s="354">
        <v>8992.3257085140995</v>
      </c>
      <c r="AL100" s="354">
        <v>20255.791381823801</v>
      </c>
      <c r="AM100" s="354">
        <v>4262424.9000000004</v>
      </c>
    </row>
    <row r="101" spans="1:39" x14ac:dyDescent="0.25">
      <c r="A101" s="354">
        <v>100</v>
      </c>
      <c r="B101" s="354">
        <v>1200000132</v>
      </c>
      <c r="C101" s="398">
        <v>44732</v>
      </c>
      <c r="D101" s="354">
        <v>0</v>
      </c>
      <c r="E101" s="354">
        <v>23859.71</v>
      </c>
      <c r="F101" s="354" t="s">
        <v>3450</v>
      </c>
      <c r="G101" s="354">
        <v>7.48</v>
      </c>
      <c r="H101" s="354">
        <v>3.9335337154020301E-2</v>
      </c>
      <c r="I101" s="354">
        <v>8.5460952654883196E-2</v>
      </c>
      <c r="J101" s="354">
        <v>0.133603603846457</v>
      </c>
      <c r="K101" s="354">
        <v>0.1885</v>
      </c>
      <c r="L101" s="354">
        <v>0.28870000000000001</v>
      </c>
      <c r="M101" s="354">
        <v>0.35089999999999999</v>
      </c>
      <c r="N101" s="354">
        <v>0.44540000000000002</v>
      </c>
      <c r="O101" s="354">
        <v>0.52690000000000003</v>
      </c>
      <c r="P101" s="354">
        <v>0.15373995174733199</v>
      </c>
      <c r="Q101" s="354">
        <v>1</v>
      </c>
      <c r="R101" s="354" t="s">
        <v>1156</v>
      </c>
      <c r="S101" s="354">
        <v>20</v>
      </c>
      <c r="T101" s="354">
        <v>23859.71</v>
      </c>
      <c r="U101" s="354">
        <v>5.4757015742642003E-2</v>
      </c>
      <c r="V101" s="354">
        <v>0.99605791519183395</v>
      </c>
      <c r="W101" s="354">
        <v>23765.652999681799</v>
      </c>
      <c r="X101" s="354">
        <v>50</v>
      </c>
      <c r="Y101" s="354">
        <v>8.7510538807806793E-3</v>
      </c>
      <c r="Z101" s="433">
        <v>3.3125258696365899E-3</v>
      </c>
      <c r="AA101" s="354">
        <v>-2.7975809150707098E-4</v>
      </c>
      <c r="AB101" s="354">
        <v>-1.9061733300594901E-2</v>
      </c>
      <c r="AC101" s="354">
        <v>8.0841976359994294E-2</v>
      </c>
      <c r="AD101" s="354">
        <v>0.15011708591029399</v>
      </c>
      <c r="AE101" s="354">
        <v>-3.1727955887675699E-2</v>
      </c>
      <c r="AF101" s="354">
        <v>-3.8264072091706E-2</v>
      </c>
      <c r="AG101" s="354">
        <v>8.7510538807806793E-3</v>
      </c>
      <c r="AH101" s="354">
        <v>8.7510538807806793E-3</v>
      </c>
      <c r="AI101" s="354">
        <v>3706833.3636887399</v>
      </c>
      <c r="AJ101" s="354">
        <v>4987.1239410163398</v>
      </c>
      <c r="AK101" s="354">
        <v>103290.94019281599</v>
      </c>
      <c r="AL101" s="354">
        <v>227907.878950365</v>
      </c>
      <c r="AM101" s="354">
        <v>3634267.09</v>
      </c>
    </row>
    <row r="102" spans="1:39" x14ac:dyDescent="0.25">
      <c r="A102" s="354">
        <v>101</v>
      </c>
      <c r="B102" s="354">
        <v>1200000133</v>
      </c>
      <c r="C102" s="398">
        <v>44742</v>
      </c>
      <c r="D102" s="354">
        <v>0</v>
      </c>
      <c r="E102" s="354">
        <v>3150.96</v>
      </c>
      <c r="F102" s="354" t="s">
        <v>3456</v>
      </c>
      <c r="G102" s="354">
        <v>7.32</v>
      </c>
      <c r="H102" s="354">
        <v>1.4664857435136699E-3</v>
      </c>
      <c r="I102" s="354">
        <v>3.44788633678683E-3</v>
      </c>
      <c r="J102" s="354">
        <v>5.7242060430326997E-3</v>
      </c>
      <c r="K102" s="354">
        <v>8.6999999999999994E-3</v>
      </c>
      <c r="L102" s="354">
        <v>1.4E-2</v>
      </c>
      <c r="M102" s="354">
        <v>1.7600000000000001E-2</v>
      </c>
      <c r="N102" s="354">
        <v>2.69E-2</v>
      </c>
      <c r="O102" s="354">
        <v>3.7100000000000001E-2</v>
      </c>
      <c r="P102" s="354">
        <v>0.15</v>
      </c>
      <c r="Q102" s="354">
        <v>1</v>
      </c>
      <c r="R102" s="354" t="s">
        <v>1156</v>
      </c>
      <c r="S102" s="354">
        <v>30</v>
      </c>
      <c r="T102" s="354">
        <v>3150.96</v>
      </c>
      <c r="U102" s="354">
        <v>8.2135523613962994E-2</v>
      </c>
      <c r="V102" s="354">
        <v>0.99421435081677501</v>
      </c>
      <c r="W102" s="354">
        <v>3132.7296508496302</v>
      </c>
      <c r="X102" s="354">
        <v>49</v>
      </c>
      <c r="Y102" s="433">
        <v>4.82039703042059E-4</v>
      </c>
      <c r="Z102" s="354">
        <v>1.3605865111054901E-4</v>
      </c>
      <c r="AA102" s="354">
        <v>-3.5688623176375402E-4</v>
      </c>
      <c r="AB102" s="354">
        <v>-2.2255022485781102E-3</v>
      </c>
      <c r="AC102" s="354">
        <v>3.8102469389940099E-3</v>
      </c>
      <c r="AD102" s="354">
        <v>7.0587343242467498E-3</v>
      </c>
      <c r="AE102" s="354">
        <v>-1.0047284595506399E-2</v>
      </c>
      <c r="AF102" s="354">
        <v>-1.41139114216797E-2</v>
      </c>
      <c r="AG102" s="433">
        <v>4.82039703042059E-4</v>
      </c>
      <c r="AH102" s="433">
        <v>4.82039703042059E-4</v>
      </c>
      <c r="AI102" s="354">
        <v>506124.23812924599</v>
      </c>
      <c r="AJ102" s="354">
        <v>36.595796617531498</v>
      </c>
      <c r="AK102" s="354">
        <v>635.46841712867695</v>
      </c>
      <c r="AL102" s="354">
        <v>1820.27082113047</v>
      </c>
      <c r="AM102" s="354">
        <v>500000</v>
      </c>
    </row>
    <row r="103" spans="1:39" x14ac:dyDescent="0.25">
      <c r="A103" s="354">
        <v>102</v>
      </c>
      <c r="B103" s="354">
        <v>1200000134</v>
      </c>
      <c r="C103" s="398">
        <v>44742</v>
      </c>
      <c r="D103" s="354">
        <v>0</v>
      </c>
      <c r="E103" s="354">
        <v>3075.31</v>
      </c>
      <c r="F103" s="354" t="s">
        <v>3457</v>
      </c>
      <c r="G103" s="354">
        <v>7.32</v>
      </c>
      <c r="H103" s="354">
        <v>1.4664857435136699E-3</v>
      </c>
      <c r="I103" s="354">
        <v>3.44788633678683E-3</v>
      </c>
      <c r="J103" s="354">
        <v>5.7242060430326997E-3</v>
      </c>
      <c r="K103" s="354">
        <v>8.6999999999999994E-3</v>
      </c>
      <c r="L103" s="354">
        <v>1.4E-2</v>
      </c>
      <c r="M103" s="354">
        <v>1.7600000000000001E-2</v>
      </c>
      <c r="N103" s="354">
        <v>2.69E-2</v>
      </c>
      <c r="O103" s="354">
        <v>3.7100000000000001E-2</v>
      </c>
      <c r="P103" s="354">
        <v>0.15</v>
      </c>
      <c r="Q103" s="354">
        <v>1</v>
      </c>
      <c r="R103" s="354" t="s">
        <v>1156</v>
      </c>
      <c r="S103" s="354">
        <v>30</v>
      </c>
      <c r="T103" s="354">
        <v>3075.31</v>
      </c>
      <c r="U103" s="354">
        <v>8.2135523613962994E-2</v>
      </c>
      <c r="V103" s="354">
        <v>0.99421435081677501</v>
      </c>
      <c r="W103" s="354">
        <v>3057.5173352103402</v>
      </c>
      <c r="X103" s="354">
        <v>49</v>
      </c>
      <c r="Y103" s="354">
        <v>4.82039703042059E-4</v>
      </c>
      <c r="Z103" s="433">
        <v>1.3605865111054901E-4</v>
      </c>
      <c r="AA103" s="354">
        <v>-3.5688623176375402E-4</v>
      </c>
      <c r="AB103" s="354">
        <v>-2.2255022485781102E-3</v>
      </c>
      <c r="AC103" s="354">
        <v>3.8102469389940099E-3</v>
      </c>
      <c r="AD103" s="354">
        <v>7.0587343242467498E-3</v>
      </c>
      <c r="AE103" s="354">
        <v>-1.0047284595506399E-2</v>
      </c>
      <c r="AF103" s="354">
        <v>-1.41139114216797E-2</v>
      </c>
      <c r="AG103" s="354">
        <v>4.82039703042059E-4</v>
      </c>
      <c r="AH103" s="354">
        <v>4.82039703042059E-4</v>
      </c>
      <c r="AI103" s="354">
        <v>493975.74988203403</v>
      </c>
      <c r="AJ103" s="354">
        <v>35.717388567467097</v>
      </c>
      <c r="AK103" s="354">
        <v>620.21529407904598</v>
      </c>
      <c r="AL103" s="354">
        <v>1776.5789304146499</v>
      </c>
      <c r="AM103" s="354">
        <v>487998.51</v>
      </c>
    </row>
    <row r="104" spans="1:39" x14ac:dyDescent="0.25">
      <c r="A104" s="354">
        <v>103</v>
      </c>
      <c r="B104" s="354">
        <v>1200000135</v>
      </c>
      <c r="C104" s="398">
        <v>44764</v>
      </c>
      <c r="D104" s="354">
        <v>0</v>
      </c>
      <c r="E104" s="354">
        <v>76206.460000000006</v>
      </c>
      <c r="F104" s="354" t="s">
        <v>3694</v>
      </c>
      <c r="G104" s="354">
        <v>7.11</v>
      </c>
      <c r="H104" s="354">
        <v>2.8366842468132002E-2</v>
      </c>
      <c r="I104" s="354">
        <v>6.2417988886168299E-2</v>
      </c>
      <c r="J104" s="354">
        <v>9.8647826604583003E-2</v>
      </c>
      <c r="K104" s="354">
        <v>0.1411</v>
      </c>
      <c r="L104" s="354">
        <v>0.20269999999999999</v>
      </c>
      <c r="M104" s="354">
        <v>0.23669999999999999</v>
      </c>
      <c r="N104" s="354">
        <v>0.29139999999999999</v>
      </c>
      <c r="O104" s="354">
        <v>0.33979999999999999</v>
      </c>
      <c r="P104" s="354">
        <v>0.33850601215969001</v>
      </c>
      <c r="Q104" s="354">
        <v>2</v>
      </c>
      <c r="R104" s="354" t="s">
        <v>1156</v>
      </c>
      <c r="S104" s="354">
        <v>52</v>
      </c>
      <c r="T104" s="354">
        <v>76206.460000000006</v>
      </c>
      <c r="U104" s="354">
        <v>0.142368240930869</v>
      </c>
      <c r="V104" s="354">
        <v>0.99026892882894202</v>
      </c>
      <c r="W104" s="354">
        <v>75464.889514045601</v>
      </c>
      <c r="X104" s="354">
        <v>2</v>
      </c>
      <c r="Y104" s="354">
        <v>1.6254150434428599E-2</v>
      </c>
      <c r="Z104" s="433">
        <v>1.37069033189569E-2</v>
      </c>
      <c r="AA104" s="354">
        <v>1.05902265100652E-2</v>
      </c>
      <c r="AB104" s="354">
        <v>-4.5333285816767802E-3</v>
      </c>
      <c r="AC104" s="354">
        <v>8.4492344056799396E-2</v>
      </c>
      <c r="AD104" s="354">
        <v>0.13546966862603199</v>
      </c>
      <c r="AE104" s="354">
        <v>5.5982708577364503E-2</v>
      </c>
      <c r="AF104" s="354">
        <v>6.9043676105972604E-2</v>
      </c>
      <c r="AG104" s="354">
        <v>1.6254150434428599E-2</v>
      </c>
      <c r="AH104" s="354">
        <v>1.6254150434428599E-2</v>
      </c>
      <c r="AI104" s="354">
        <v>4216433.1832758198</v>
      </c>
      <c r="AJ104" s="354">
        <v>23199.353579319599</v>
      </c>
      <c r="AK104" s="354">
        <v>56219.225871376402</v>
      </c>
      <c r="AL104" s="354">
        <v>56219.225871376402</v>
      </c>
      <c r="AM104" s="354">
        <v>4178175.14</v>
      </c>
    </row>
    <row r="105" spans="1:39" x14ac:dyDescent="0.25">
      <c r="A105" s="354">
        <v>104</v>
      </c>
      <c r="B105" s="354">
        <v>1200000137</v>
      </c>
      <c r="C105" s="398">
        <v>44742</v>
      </c>
      <c r="D105" s="354">
        <v>106000</v>
      </c>
      <c r="E105" s="354">
        <v>6988.52</v>
      </c>
      <c r="F105" s="354" t="s">
        <v>3960</v>
      </c>
      <c r="G105" s="354">
        <v>7.2</v>
      </c>
      <c r="H105" s="354">
        <v>3.4284526556452302E-3</v>
      </c>
      <c r="I105" s="354">
        <v>7.9442220353370709E-3</v>
      </c>
      <c r="J105" s="354">
        <v>1.3061619214512E-2</v>
      </c>
      <c r="K105" s="354">
        <v>1.9599999999999999E-2</v>
      </c>
      <c r="L105" s="354">
        <v>3.04E-2</v>
      </c>
      <c r="M105" s="354">
        <v>3.7100000000000001E-2</v>
      </c>
      <c r="N105" s="354">
        <v>5.2600000000000001E-2</v>
      </c>
      <c r="O105" s="354">
        <v>6.8599999999999994E-2</v>
      </c>
      <c r="P105" s="354">
        <v>0.44259999999999999</v>
      </c>
      <c r="Q105" s="354">
        <v>1</v>
      </c>
      <c r="R105" s="354" t="s">
        <v>1156</v>
      </c>
      <c r="S105" s="354">
        <v>30</v>
      </c>
      <c r="T105" s="354">
        <v>112988.52</v>
      </c>
      <c r="U105" s="354">
        <v>8.2135523613962994E-2</v>
      </c>
      <c r="V105" s="354">
        <v>0.99430571469168805</v>
      </c>
      <c r="W105" s="354">
        <v>112345.13113055599</v>
      </c>
      <c r="X105" s="354">
        <v>60</v>
      </c>
      <c r="Y105" s="354">
        <v>1.1276900092459499E-3</v>
      </c>
      <c r="Z105" s="433">
        <v>3.9630360603695302E-4</v>
      </c>
      <c r="AA105" s="354">
        <v>-6.0929193560417495E-4</v>
      </c>
      <c r="AB105" s="354">
        <v>-4.40538982433792E-3</v>
      </c>
      <c r="AC105" s="354">
        <v>9.5812140307636202E-3</v>
      </c>
      <c r="AD105" s="354">
        <v>1.7419587146918599E-2</v>
      </c>
      <c r="AE105" s="354">
        <v>-9.5916043832931005E-3</v>
      </c>
      <c r="AF105" s="354">
        <v>-1.27783269560027E-2</v>
      </c>
      <c r="AG105" s="354">
        <v>1.1276900092459499E-3</v>
      </c>
      <c r="AH105" s="354">
        <v>1.1276900092459499E-3</v>
      </c>
      <c r="AI105" s="354">
        <v>1148727.0749578699</v>
      </c>
      <c r="AJ105" s="354">
        <v>573.34760106236604</v>
      </c>
      <c r="AK105" s="354">
        <v>7460.5116800518999</v>
      </c>
      <c r="AL105" s="354">
        <v>10741.507445522</v>
      </c>
      <c r="AM105" s="354">
        <v>1141302.73</v>
      </c>
    </row>
    <row r="106" spans="1:39" x14ac:dyDescent="0.25">
      <c r="A106" s="354">
        <v>105</v>
      </c>
      <c r="B106" s="354">
        <v>1200000138</v>
      </c>
      <c r="C106" s="398">
        <v>44742</v>
      </c>
      <c r="D106" s="354">
        <v>0</v>
      </c>
      <c r="E106" s="354">
        <v>305.75</v>
      </c>
      <c r="F106" s="354" t="s">
        <v>3961</v>
      </c>
      <c r="G106" s="354">
        <v>7.19</v>
      </c>
      <c r="H106" s="354">
        <v>3.4284526556452302E-3</v>
      </c>
      <c r="I106" s="354">
        <v>7.9442220353370709E-3</v>
      </c>
      <c r="J106" s="354">
        <v>1.3061619214512E-2</v>
      </c>
      <c r="K106" s="354">
        <v>1.9599999999999999E-2</v>
      </c>
      <c r="L106" s="354">
        <v>3.04E-2</v>
      </c>
      <c r="M106" s="354">
        <v>3.7100000000000001E-2</v>
      </c>
      <c r="N106" s="354">
        <v>5.2600000000000001E-2</v>
      </c>
      <c r="O106" s="354">
        <v>6.8599999999999994E-2</v>
      </c>
      <c r="P106" s="354">
        <v>0.44259999999999999</v>
      </c>
      <c r="Q106" s="354">
        <v>1</v>
      </c>
      <c r="R106" s="354" t="s">
        <v>1156</v>
      </c>
      <c r="S106" s="354">
        <v>30</v>
      </c>
      <c r="T106" s="354">
        <v>305.75</v>
      </c>
      <c r="U106" s="354">
        <v>8.2135523613962994E-2</v>
      </c>
      <c r="V106" s="354">
        <v>0.99431333334306604</v>
      </c>
      <c r="W106" s="354">
        <v>304.01130166964202</v>
      </c>
      <c r="X106" s="354">
        <v>60</v>
      </c>
      <c r="Y106" s="354">
        <v>1.1276900092459499E-3</v>
      </c>
      <c r="Z106" s="354">
        <v>3.9630360603695302E-4</v>
      </c>
      <c r="AA106" s="354">
        <v>-6.0929193560417495E-4</v>
      </c>
      <c r="AB106" s="354">
        <v>-4.40538982433792E-3</v>
      </c>
      <c r="AC106" s="354">
        <v>9.5812140307636202E-3</v>
      </c>
      <c r="AD106" s="354">
        <v>1.7419587146918599E-2</v>
      </c>
      <c r="AE106" s="354">
        <v>-9.5916043832931005E-3</v>
      </c>
      <c r="AF106" s="354">
        <v>-1.27783269560027E-2</v>
      </c>
      <c r="AG106" s="354">
        <v>1.1276900092459499E-3</v>
      </c>
      <c r="AH106" s="354">
        <v>1.1276900092459499E-3</v>
      </c>
      <c r="AI106" s="354">
        <v>51011.5737688464</v>
      </c>
      <c r="AJ106" s="354">
        <v>25.460672151265101</v>
      </c>
      <c r="AK106" s="354">
        <v>425.74047391365002</v>
      </c>
      <c r="AL106" s="354">
        <v>1299.8660944457599</v>
      </c>
      <c r="AM106" s="354">
        <v>50000</v>
      </c>
    </row>
    <row r="107" spans="1:39" x14ac:dyDescent="0.25">
      <c r="A107" s="354">
        <v>106</v>
      </c>
      <c r="B107" s="354">
        <v>1200000139</v>
      </c>
      <c r="C107" s="398">
        <v>44799</v>
      </c>
      <c r="D107" s="354">
        <v>0</v>
      </c>
      <c r="E107" s="354">
        <v>88093.15</v>
      </c>
      <c r="F107" s="354" t="s">
        <v>4028</v>
      </c>
      <c r="G107" s="354">
        <v>6.74</v>
      </c>
      <c r="H107" s="354">
        <v>4.76528320302003E-3</v>
      </c>
      <c r="I107" s="354">
        <v>1.0973679517791801E-2</v>
      </c>
      <c r="J107" s="354">
        <v>1.79653691242244E-2</v>
      </c>
      <c r="K107" s="354">
        <v>2.69E-2</v>
      </c>
      <c r="L107" s="354">
        <v>4.0399999999999998E-2</v>
      </c>
      <c r="M107" s="354">
        <v>4.8300000000000003E-2</v>
      </c>
      <c r="N107" s="354">
        <v>6.5299999999999997E-2</v>
      </c>
      <c r="O107" s="354">
        <v>8.2299999999999998E-2</v>
      </c>
      <c r="P107" s="354">
        <v>0.15</v>
      </c>
      <c r="Q107" s="354">
        <v>1</v>
      </c>
      <c r="R107" s="354" t="s">
        <v>1156</v>
      </c>
      <c r="S107" s="354">
        <v>87</v>
      </c>
      <c r="T107" s="354">
        <v>88093.15</v>
      </c>
      <c r="U107" s="354">
        <v>0.23819301848049301</v>
      </c>
      <c r="V107" s="354">
        <v>0.98458373952998701</v>
      </c>
      <c r="W107" s="354">
        <v>86735.083053976094</v>
      </c>
      <c r="X107" s="354">
        <v>24</v>
      </c>
      <c r="Y107" s="354">
        <v>4.5407405114260601E-3</v>
      </c>
      <c r="Z107" s="354">
        <v>4.47207352080288E-3</v>
      </c>
      <c r="AA107" s="354">
        <v>3.6517869114661098E-3</v>
      </c>
      <c r="AB107" s="354">
        <v>-3.2585671386235098E-4</v>
      </c>
      <c r="AC107" s="354">
        <v>1.6488294346900599E-2</v>
      </c>
      <c r="AD107" s="354">
        <v>2.63218464420505E-2</v>
      </c>
      <c r="AE107" s="354">
        <v>-2.7408092817737801E-4</v>
      </c>
      <c r="AF107" s="354">
        <v>-1.5197738756132001E-3</v>
      </c>
      <c r="AG107" s="354">
        <v>4.5407405114260601E-3</v>
      </c>
      <c r="AH107" s="354">
        <v>4.5407405114260601E-3</v>
      </c>
      <c r="AI107" s="354">
        <v>5048661.5590527598</v>
      </c>
      <c r="AJ107" s="354">
        <v>3438.69931045054</v>
      </c>
      <c r="AK107" s="354">
        <v>19475.546412752999</v>
      </c>
      <c r="AL107" s="354">
        <v>29042.507493608198</v>
      </c>
      <c r="AM107" s="354">
        <v>5000000</v>
      </c>
    </row>
    <row r="108" spans="1:39" x14ac:dyDescent="0.25">
      <c r="A108" s="354">
        <v>107</v>
      </c>
      <c r="B108" s="354">
        <v>1200000142</v>
      </c>
      <c r="C108" s="398">
        <v>44732</v>
      </c>
      <c r="D108" s="354">
        <v>0</v>
      </c>
      <c r="E108" s="354">
        <v>14411.2</v>
      </c>
      <c r="F108" s="354" t="s">
        <v>4010</v>
      </c>
      <c r="G108" s="354">
        <v>7.44</v>
      </c>
      <c r="H108" s="354">
        <v>3.9335337154020301E-2</v>
      </c>
      <c r="I108" s="354">
        <v>8.5460952654883196E-2</v>
      </c>
      <c r="J108" s="354">
        <v>0.133603603846457</v>
      </c>
      <c r="K108" s="354">
        <v>0.1885</v>
      </c>
      <c r="L108" s="354">
        <v>0.28870000000000001</v>
      </c>
      <c r="M108" s="354">
        <v>0.35089999999999999</v>
      </c>
      <c r="N108" s="354">
        <v>0.44540000000000002</v>
      </c>
      <c r="O108" s="354">
        <v>0.52690000000000003</v>
      </c>
      <c r="P108" s="354">
        <v>0.153970091919295</v>
      </c>
      <c r="Q108" s="354">
        <v>1</v>
      </c>
      <c r="R108" s="354" t="s">
        <v>1156</v>
      </c>
      <c r="S108" s="354">
        <v>20</v>
      </c>
      <c r="T108" s="354">
        <v>14411.2</v>
      </c>
      <c r="U108" s="354">
        <v>5.4757015742642003E-2</v>
      </c>
      <c r="V108" s="354">
        <v>0.99607821733790303</v>
      </c>
      <c r="W108" s="354">
        <v>14354.682405699999</v>
      </c>
      <c r="X108" s="354">
        <v>18</v>
      </c>
      <c r="Y108" s="354">
        <v>8.7510538807806793E-3</v>
      </c>
      <c r="Z108" s="354">
        <v>3.3125258696365899E-3</v>
      </c>
      <c r="AA108" s="354">
        <v>-2.7975809150707098E-4</v>
      </c>
      <c r="AB108" s="354">
        <v>-1.9061733300594901E-2</v>
      </c>
      <c r="AC108" s="354">
        <v>8.0841976359994294E-2</v>
      </c>
      <c r="AD108" s="354">
        <v>0.15011708591029399</v>
      </c>
      <c r="AE108" s="354">
        <v>-3.1727955887675699E-2</v>
      </c>
      <c r="AF108" s="354">
        <v>-3.8264072091706E-2</v>
      </c>
      <c r="AG108" s="354">
        <v>8.7510538807806793E-3</v>
      </c>
      <c r="AH108" s="354">
        <v>8.7510538807806793E-3</v>
      </c>
      <c r="AI108" s="354">
        <v>891610.67895363399</v>
      </c>
      <c r="AJ108" s="354">
        <v>1201.35673740979</v>
      </c>
      <c r="AK108" s="354">
        <v>24798.370622460301</v>
      </c>
      <c r="AL108" s="354">
        <v>54758.4991783109</v>
      </c>
      <c r="AM108" s="354">
        <v>867000</v>
      </c>
    </row>
    <row r="109" spans="1:39" x14ac:dyDescent="0.25">
      <c r="A109" s="354">
        <v>108</v>
      </c>
      <c r="B109" s="354">
        <v>1200000143</v>
      </c>
      <c r="C109" s="398">
        <v>44740</v>
      </c>
      <c r="D109" s="354">
        <v>10161</v>
      </c>
      <c r="E109" s="354">
        <v>12875</v>
      </c>
      <c r="F109" s="354" t="s">
        <v>4016</v>
      </c>
      <c r="G109" s="354">
        <v>6.48</v>
      </c>
      <c r="H109" s="354">
        <v>1.4664857435136699E-3</v>
      </c>
      <c r="I109" s="354">
        <v>3.44788633678683E-3</v>
      </c>
      <c r="J109" s="354">
        <v>5.7242060430326997E-3</v>
      </c>
      <c r="K109" s="354">
        <v>8.6999999999999994E-3</v>
      </c>
      <c r="L109" s="354">
        <v>1.4E-2</v>
      </c>
      <c r="M109" s="354">
        <v>1.7600000000000001E-2</v>
      </c>
      <c r="N109" s="354">
        <v>2.69E-2</v>
      </c>
      <c r="O109" s="354">
        <v>3.7100000000000001E-2</v>
      </c>
      <c r="P109" s="354">
        <v>0.15</v>
      </c>
      <c r="Q109" s="354">
        <v>1</v>
      </c>
      <c r="R109" s="354" t="s">
        <v>1156</v>
      </c>
      <c r="S109" s="354">
        <v>28</v>
      </c>
      <c r="T109" s="354">
        <v>23036</v>
      </c>
      <c r="U109" s="354">
        <v>7.6659822039698802E-2</v>
      </c>
      <c r="V109" s="354">
        <v>0.99519832573978695</v>
      </c>
      <c r="W109" s="354">
        <v>22925.388631741698</v>
      </c>
      <c r="X109" s="354">
        <v>60</v>
      </c>
      <c r="Y109" s="354">
        <v>4.4991095312718599E-4</v>
      </c>
      <c r="Z109" s="354">
        <v>9.2660417719213397E-5</v>
      </c>
      <c r="AA109" s="354">
        <v>-4.0674402135982998E-4</v>
      </c>
      <c r="AB109" s="354">
        <v>-2.29068048719751E-3</v>
      </c>
      <c r="AC109" s="354">
        <v>3.7810038965556702E-3</v>
      </c>
      <c r="AD109" s="354">
        <v>7.0388464985726698E-3</v>
      </c>
      <c r="AE109" s="354">
        <v>-1.0099892521974E-2</v>
      </c>
      <c r="AF109" s="354">
        <v>-1.41724265111662E-2</v>
      </c>
      <c r="AG109" s="354">
        <v>4.4991095312718599E-4</v>
      </c>
      <c r="AH109" s="354">
        <v>4.4991095312718599E-4</v>
      </c>
      <c r="AI109" s="354">
        <v>2490211.2099329899</v>
      </c>
      <c r="AJ109" s="354">
        <v>168.05599484234301</v>
      </c>
      <c r="AK109" s="354">
        <v>3058.9700098019398</v>
      </c>
      <c r="AL109" s="354">
        <v>10243.5052056595</v>
      </c>
      <c r="AM109" s="354">
        <v>2462727.33</v>
      </c>
    </row>
    <row r="110" spans="1:39" x14ac:dyDescent="0.25">
      <c r="A110" s="354">
        <v>109</v>
      </c>
      <c r="B110" s="354">
        <v>1200000144</v>
      </c>
      <c r="C110" s="398">
        <v>44734</v>
      </c>
      <c r="D110" s="354">
        <v>0</v>
      </c>
      <c r="E110" s="354">
        <v>1264.0999999999999</v>
      </c>
      <c r="F110" s="354" t="s">
        <v>4017</v>
      </c>
      <c r="G110" s="354">
        <v>7.34</v>
      </c>
      <c r="H110" s="354">
        <v>2.37283245373061E-3</v>
      </c>
      <c r="I110" s="354">
        <v>5.53417042398452E-3</v>
      </c>
      <c r="J110" s="354">
        <v>9.13927722213481E-3</v>
      </c>
      <c r="K110" s="354">
        <v>1.38E-2</v>
      </c>
      <c r="L110" s="354">
        <v>2.1700000000000001E-2</v>
      </c>
      <c r="M110" s="354">
        <v>2.6700000000000002E-2</v>
      </c>
      <c r="N110" s="354">
        <v>3.8800000000000001E-2</v>
      </c>
      <c r="O110" s="354">
        <v>5.1700000000000003E-2</v>
      </c>
      <c r="P110" s="354">
        <v>0.44550000000000001</v>
      </c>
      <c r="Q110" s="354">
        <v>1</v>
      </c>
      <c r="R110" s="354" t="s">
        <v>1156</v>
      </c>
      <c r="S110" s="354">
        <v>22</v>
      </c>
      <c r="T110" s="354">
        <v>1264.0999999999999</v>
      </c>
      <c r="U110" s="354">
        <v>6.0232717316906201E-2</v>
      </c>
      <c r="V110" s="354">
        <v>0.995742733473584</v>
      </c>
      <c r="W110" s="354">
        <v>1258.7183893839599</v>
      </c>
      <c r="X110" s="354">
        <v>25</v>
      </c>
      <c r="Y110" s="354">
        <v>5.7220414989278502E-4</v>
      </c>
      <c r="Z110" s="433">
        <v>-2.6841611301279202E-5</v>
      </c>
      <c r="AA110" s="354">
        <v>-8.0746165763509296E-4</v>
      </c>
      <c r="AB110" s="354">
        <v>-3.7199791211742798E-3</v>
      </c>
      <c r="AC110" s="354">
        <v>6.3177015740121202E-3</v>
      </c>
      <c r="AD110" s="354">
        <v>1.1927809528860399E-2</v>
      </c>
      <c r="AE110" s="354">
        <v>-9.7604702581548502E-3</v>
      </c>
      <c r="AF110" s="354">
        <v>-1.3753489518514701E-2</v>
      </c>
      <c r="AG110" s="354">
        <v>5.7220414989278502E-4</v>
      </c>
      <c r="AH110" s="354">
        <v>5.7220414989278502E-4</v>
      </c>
      <c r="AI110" s="354">
        <v>206044.096406364</v>
      </c>
      <c r="AJ110" s="354">
        <v>52.524132369472802</v>
      </c>
      <c r="AK110" s="354">
        <v>1216.33927014856</v>
      </c>
      <c r="AL110" s="354">
        <v>1891.9719281765599</v>
      </c>
      <c r="AM110" s="354">
        <v>203978</v>
      </c>
    </row>
    <row r="111" spans="1:39" x14ac:dyDescent="0.25">
      <c r="A111" s="354">
        <v>110</v>
      </c>
      <c r="B111" s="354">
        <v>1200000146</v>
      </c>
      <c r="C111" s="398">
        <v>44736</v>
      </c>
      <c r="D111" s="354">
        <v>0</v>
      </c>
      <c r="E111" s="354">
        <v>38625.040000000001</v>
      </c>
      <c r="F111" s="354" t="s">
        <v>3597</v>
      </c>
      <c r="G111" s="354">
        <v>7.24</v>
      </c>
      <c r="H111" s="354">
        <v>1.2213071921757001E-3</v>
      </c>
      <c r="I111" s="354">
        <v>2.8798866476352799E-3</v>
      </c>
      <c r="J111" s="354">
        <v>4.7903459833295E-3</v>
      </c>
      <c r="K111" s="354">
        <v>7.3000000000000001E-3</v>
      </c>
      <c r="L111" s="354">
        <v>1.17E-2</v>
      </c>
      <c r="M111" s="354">
        <v>1.4500000000000001E-2</v>
      </c>
      <c r="N111" s="354">
        <v>2.2100000000000002E-2</v>
      </c>
      <c r="O111" s="354">
        <v>3.0300000000000001E-2</v>
      </c>
      <c r="P111" s="354">
        <v>0.43159999999999998</v>
      </c>
      <c r="Q111" s="354">
        <v>1</v>
      </c>
      <c r="R111" s="354" t="s">
        <v>1156</v>
      </c>
      <c r="S111" s="354">
        <v>24</v>
      </c>
      <c r="T111" s="354">
        <v>38625.040000000001</v>
      </c>
      <c r="U111" s="354">
        <v>6.5708418891170406E-2</v>
      </c>
      <c r="V111" s="354">
        <v>0.99541757037425105</v>
      </c>
      <c r="W111" s="354">
        <v>38448.043472408302</v>
      </c>
      <c r="X111" s="354">
        <v>4</v>
      </c>
      <c r="Y111" s="354">
        <v>3.2114526008430999E-4</v>
      </c>
      <c r="Z111" s="354">
        <v>-1.34172878937604E-6</v>
      </c>
      <c r="AA111" s="354">
        <v>-4.3889897453580097E-4</v>
      </c>
      <c r="AB111" s="354">
        <v>-2.0789944770848198E-3</v>
      </c>
      <c r="AC111" s="354">
        <v>3.17141804685739E-3</v>
      </c>
      <c r="AD111" s="354">
        <v>6.2613871996926003E-3</v>
      </c>
      <c r="AE111" s="354">
        <v>-8.1432632869311607E-3</v>
      </c>
      <c r="AF111" s="354">
        <v>-1.08398373458691E-2</v>
      </c>
      <c r="AG111" s="354">
        <v>3.2114526008430999E-4</v>
      </c>
      <c r="AH111" s="354">
        <v>3.2114526008430999E-4</v>
      </c>
      <c r="AI111" s="354">
        <v>2134380.2216200102</v>
      </c>
      <c r="AJ111" s="354">
        <v>295.83853304434098</v>
      </c>
      <c r="AK111" s="354">
        <v>3754.0356238977602</v>
      </c>
      <c r="AL111" s="354">
        <v>3754.0356238977602</v>
      </c>
      <c r="AM111" s="354">
        <v>2100000</v>
      </c>
    </row>
    <row r="112" spans="1:39" x14ac:dyDescent="0.25">
      <c r="A112" s="354">
        <v>111</v>
      </c>
      <c r="B112" s="354">
        <v>1200000147</v>
      </c>
      <c r="C112" s="398">
        <v>44735</v>
      </c>
      <c r="D112" s="354">
        <v>0</v>
      </c>
      <c r="E112" s="354">
        <v>31147.57</v>
      </c>
      <c r="F112" s="354" t="s">
        <v>3571</v>
      </c>
      <c r="G112" s="354">
        <v>7.47</v>
      </c>
      <c r="H112" s="354">
        <v>3.05332396642059E-3</v>
      </c>
      <c r="I112" s="354">
        <v>7.0898280603686201E-3</v>
      </c>
      <c r="J112" s="354">
        <v>1.1673493116971001E-2</v>
      </c>
      <c r="K112" s="354">
        <v>1.7600000000000001E-2</v>
      </c>
      <c r="L112" s="354">
        <v>2.7199999999999998E-2</v>
      </c>
      <c r="M112" s="354">
        <v>3.3099999999999997E-2</v>
      </c>
      <c r="N112" s="354">
        <v>4.6899999999999997E-2</v>
      </c>
      <c r="O112" s="354">
        <v>6.1100000000000002E-2</v>
      </c>
      <c r="P112" s="354">
        <v>0.15</v>
      </c>
      <c r="Q112" s="354">
        <v>1</v>
      </c>
      <c r="R112" s="354" t="s">
        <v>1156</v>
      </c>
      <c r="S112" s="354">
        <v>23</v>
      </c>
      <c r="T112" s="354">
        <v>31147.57</v>
      </c>
      <c r="U112" s="354">
        <v>6.2970568104038296E-2</v>
      </c>
      <c r="V112" s="354">
        <v>0.99547377685141802</v>
      </c>
      <c r="W112" s="354">
        <v>31006.589147643899</v>
      </c>
      <c r="X112" s="354">
        <v>54</v>
      </c>
      <c r="Y112" s="354">
        <v>7.6995812697400201E-4</v>
      </c>
      <c r="Z112" s="433">
        <v>3.3543696273304197E-5</v>
      </c>
      <c r="AA112" s="354">
        <v>-9.2295808238456204E-4</v>
      </c>
      <c r="AB112" s="354">
        <v>-4.6132455109288003E-3</v>
      </c>
      <c r="AC112" s="354">
        <v>8.5185589938053807E-3</v>
      </c>
      <c r="AD112" s="354">
        <v>1.56689224574664E-2</v>
      </c>
      <c r="AE112" s="354">
        <v>-8.5970679839293407E-3</v>
      </c>
      <c r="AF112" s="354">
        <v>-1.1124137916050899E-2</v>
      </c>
      <c r="AG112" s="354">
        <v>7.6995812697400201E-4</v>
      </c>
      <c r="AH112" s="354">
        <v>7.6995812697400201E-4</v>
      </c>
      <c r="AI112" s="354">
        <v>4857091.1172034098</v>
      </c>
      <c r="AJ112" s="354">
        <v>560.96351687159904</v>
      </c>
      <c r="AK112" s="354">
        <v>12307.9629461887</v>
      </c>
      <c r="AL112" s="354">
        <v>32989.416939257797</v>
      </c>
      <c r="AM112" s="354">
        <v>4762825.24</v>
      </c>
    </row>
    <row r="113" spans="1:39" x14ac:dyDescent="0.25">
      <c r="A113" s="354">
        <v>112</v>
      </c>
      <c r="B113" s="354">
        <v>1200000148</v>
      </c>
      <c r="C113" s="398">
        <v>44742</v>
      </c>
      <c r="D113" s="354">
        <v>0</v>
      </c>
      <c r="E113" s="354">
        <v>14465.76</v>
      </c>
      <c r="F113" s="354" t="s">
        <v>3443</v>
      </c>
      <c r="G113" s="354">
        <v>8.5500000000000007</v>
      </c>
      <c r="H113" s="354">
        <v>1.7494248871209399E-3</v>
      </c>
      <c r="I113" s="354">
        <v>4.1012418054688898E-3</v>
      </c>
      <c r="J113" s="354">
        <v>6.7960350200328996E-3</v>
      </c>
      <c r="K113" s="354">
        <v>1.03E-2</v>
      </c>
      <c r="L113" s="354">
        <v>1.5699999999999999E-2</v>
      </c>
      <c r="M113" s="354">
        <v>1.89E-2</v>
      </c>
      <c r="N113" s="354">
        <v>2.6800000000000001E-2</v>
      </c>
      <c r="O113" s="354">
        <v>3.5099999999999999E-2</v>
      </c>
      <c r="P113" s="354">
        <v>0.2</v>
      </c>
      <c r="Q113" s="354">
        <v>1</v>
      </c>
      <c r="R113" s="354" t="s">
        <v>1156</v>
      </c>
      <c r="S113" s="354">
        <v>30</v>
      </c>
      <c r="T113" s="354">
        <v>14465.76</v>
      </c>
      <c r="U113" s="354">
        <v>8.2135523613962994E-2</v>
      </c>
      <c r="V113" s="354">
        <v>0.99328419578873095</v>
      </c>
      <c r="W113" s="354">
        <v>14368.6107880728</v>
      </c>
      <c r="X113" s="354">
        <v>49</v>
      </c>
      <c r="Y113" s="354">
        <v>5.7509762103635797E-4</v>
      </c>
      <c r="Z113" s="354">
        <v>1.70278824903727E-4</v>
      </c>
      <c r="AA113" s="354">
        <v>-4.0299161682084403E-4</v>
      </c>
      <c r="AB113" s="354">
        <v>-2.5646599264500598E-3</v>
      </c>
      <c r="AC113" s="354">
        <v>5.3174606062450502E-3</v>
      </c>
      <c r="AD113" s="354">
        <v>9.5336007109180203E-3</v>
      </c>
      <c r="AE113" s="354">
        <v>-4.5195879754684797E-3</v>
      </c>
      <c r="AF113" s="354">
        <v>-6.4118656083909098E-3</v>
      </c>
      <c r="AG113" s="354">
        <v>5.7509762103635797E-4</v>
      </c>
      <c r="AH113" s="354">
        <v>5.7509762103635797E-4</v>
      </c>
      <c r="AI113" s="354">
        <v>2029859.3700075501</v>
      </c>
      <c r="AJ113" s="354">
        <v>233.47345894594099</v>
      </c>
      <c r="AK113" s="354">
        <v>3970.4825386981902</v>
      </c>
      <c r="AL113" s="354">
        <v>7469.5725200745501</v>
      </c>
      <c r="AM113" s="354">
        <v>2000000</v>
      </c>
    </row>
    <row r="114" spans="1:39" x14ac:dyDescent="0.25">
      <c r="A114" s="354">
        <v>113</v>
      </c>
      <c r="B114" s="354">
        <v>1200000149</v>
      </c>
      <c r="C114" s="398">
        <v>44742</v>
      </c>
      <c r="D114" s="354">
        <v>0</v>
      </c>
      <c r="E114" s="354">
        <v>6689.58</v>
      </c>
      <c r="F114" s="354" t="s">
        <v>3442</v>
      </c>
      <c r="G114" s="354">
        <v>7.9</v>
      </c>
      <c r="H114" s="354">
        <v>1.7494248871209399E-3</v>
      </c>
      <c r="I114" s="354">
        <v>4.1012418054688898E-3</v>
      </c>
      <c r="J114" s="354">
        <v>6.7960350200328996E-3</v>
      </c>
      <c r="K114" s="354">
        <v>1.03E-2</v>
      </c>
      <c r="L114" s="354">
        <v>1.5699999999999999E-2</v>
      </c>
      <c r="M114" s="354">
        <v>1.89E-2</v>
      </c>
      <c r="N114" s="354">
        <v>2.6800000000000001E-2</v>
      </c>
      <c r="O114" s="354">
        <v>3.5099999999999999E-2</v>
      </c>
      <c r="P114" s="354">
        <v>0.2</v>
      </c>
      <c r="Q114" s="354">
        <v>1</v>
      </c>
      <c r="R114" s="354" t="s">
        <v>1156</v>
      </c>
      <c r="S114" s="354">
        <v>30</v>
      </c>
      <c r="T114" s="354">
        <v>6689.58</v>
      </c>
      <c r="U114" s="354">
        <v>8.2135523613962994E-2</v>
      </c>
      <c r="V114" s="354">
        <v>0.99377431163935304</v>
      </c>
      <c r="W114" s="354">
        <v>6647.9327596563799</v>
      </c>
      <c r="X114" s="354">
        <v>49</v>
      </c>
      <c r="Y114" s="354">
        <v>5.7509762103635797E-4</v>
      </c>
      <c r="Z114" s="433">
        <v>1.70278824903727E-4</v>
      </c>
      <c r="AA114" s="354">
        <v>-4.0299161682084403E-4</v>
      </c>
      <c r="AB114" s="354">
        <v>-2.5646599264500598E-3</v>
      </c>
      <c r="AC114" s="354">
        <v>5.3174606062450502E-3</v>
      </c>
      <c r="AD114" s="354">
        <v>9.5336007109180203E-3</v>
      </c>
      <c r="AE114" s="354">
        <v>-4.5195879754684797E-3</v>
      </c>
      <c r="AF114" s="354">
        <v>-6.4118656083909098E-3</v>
      </c>
      <c r="AG114" s="354">
        <v>5.7509762103635797E-4</v>
      </c>
      <c r="AH114" s="354">
        <v>5.7509762103635797E-4</v>
      </c>
      <c r="AI114" s="354">
        <v>1006242.15275583</v>
      </c>
      <c r="AJ114" s="354">
        <v>115.737493647276</v>
      </c>
      <c r="AK114" s="354">
        <v>1918.52249801779</v>
      </c>
      <c r="AL114" s="354">
        <v>2453.6609273632498</v>
      </c>
      <c r="AM114" s="354">
        <v>998648</v>
      </c>
    </row>
    <row r="115" spans="1:39" x14ac:dyDescent="0.25">
      <c r="A115" s="354">
        <v>114</v>
      </c>
      <c r="B115" s="354">
        <v>1200000152</v>
      </c>
      <c r="C115" s="398">
        <v>44803</v>
      </c>
      <c r="D115" s="354">
        <v>0</v>
      </c>
      <c r="E115" s="354">
        <v>69163.839999999997</v>
      </c>
      <c r="F115" s="354" t="s">
        <v>3423</v>
      </c>
      <c r="G115" s="354">
        <v>7.59</v>
      </c>
      <c r="H115" s="354">
        <v>4.0228091930422198E-3</v>
      </c>
      <c r="I115" s="354">
        <v>9.2938867723136899E-3</v>
      </c>
      <c r="J115" s="354">
        <v>1.52496246840392E-2</v>
      </c>
      <c r="K115" s="354">
        <v>2.29E-2</v>
      </c>
      <c r="L115" s="354">
        <v>3.2899999999999999E-2</v>
      </c>
      <c r="M115" s="354">
        <v>3.8300000000000001E-2</v>
      </c>
      <c r="N115" s="354">
        <v>4.9700000000000001E-2</v>
      </c>
      <c r="O115" s="354">
        <v>6.08E-2</v>
      </c>
      <c r="P115" s="354">
        <v>0.1</v>
      </c>
      <c r="Q115" s="354">
        <v>1</v>
      </c>
      <c r="R115" s="354" t="s">
        <v>1156</v>
      </c>
      <c r="S115" s="354">
        <v>91</v>
      </c>
      <c r="T115" s="354">
        <v>69163.839999999997</v>
      </c>
      <c r="U115" s="354">
        <v>0.24914442162902101</v>
      </c>
      <c r="V115" s="354">
        <v>0.98193831511864105</v>
      </c>
      <c r="W115" s="354">
        <v>67914.624516735203</v>
      </c>
      <c r="X115" s="354">
        <v>4</v>
      </c>
      <c r="Y115" s="354">
        <v>4.0090695129744204E-3</v>
      </c>
      <c r="Z115" s="354">
        <v>4.0047699131679198E-3</v>
      </c>
      <c r="AA115" s="354">
        <v>3.31776645842618E-3</v>
      </c>
      <c r="AB115" s="354">
        <v>-7.7307930483128505E-5</v>
      </c>
      <c r="AC115" s="354">
        <v>1.5323534259665501E-2</v>
      </c>
      <c r="AD115" s="354">
        <v>2.3372258270436201E-2</v>
      </c>
      <c r="AE115" s="354">
        <v>6.2297630663744599E-3</v>
      </c>
      <c r="AF115" s="354">
        <v>6.8839170904363397E-3</v>
      </c>
      <c r="AG115" s="354">
        <v>4.0090695129744204E-3</v>
      </c>
      <c r="AH115" s="354">
        <v>4.0090695129744204E-3</v>
      </c>
      <c r="AI115" s="354">
        <v>3516156.22815625</v>
      </c>
      <c r="AJ115" s="354">
        <v>1409.6514737156399</v>
      </c>
      <c r="AK115" s="354">
        <v>7749.0201959825899</v>
      </c>
      <c r="AL115" s="354">
        <v>7749.0201959825899</v>
      </c>
      <c r="AM115" s="354">
        <v>3500000</v>
      </c>
    </row>
    <row r="116" spans="1:39" x14ac:dyDescent="0.25">
      <c r="A116" s="354">
        <v>115</v>
      </c>
      <c r="B116" s="354">
        <v>1200000157</v>
      </c>
      <c r="C116" s="398">
        <v>44742</v>
      </c>
      <c r="D116" s="354">
        <v>49549.55</v>
      </c>
      <c r="E116" s="354">
        <v>12442.5</v>
      </c>
      <c r="F116" s="354" t="s">
        <v>3465</v>
      </c>
      <c r="G116" s="354">
        <v>7.79</v>
      </c>
      <c r="H116" s="354">
        <v>2.1059807081502601E-3</v>
      </c>
      <c r="I116" s="354">
        <v>4.9218148571199497E-3</v>
      </c>
      <c r="J116" s="354">
        <v>8.1390587319779602E-3</v>
      </c>
      <c r="K116" s="354">
        <v>1.23E-2</v>
      </c>
      <c r="L116" s="354">
        <v>1.8599999999999998E-2</v>
      </c>
      <c r="M116" s="354">
        <v>2.23E-2</v>
      </c>
      <c r="N116" s="354">
        <v>3.1199999999999999E-2</v>
      </c>
      <c r="O116" s="354">
        <v>4.0500000000000001E-2</v>
      </c>
      <c r="P116" s="354">
        <v>0.42970000000000003</v>
      </c>
      <c r="Q116" s="354">
        <v>1</v>
      </c>
      <c r="R116" s="354" t="s">
        <v>1156</v>
      </c>
      <c r="S116" s="354">
        <v>30</v>
      </c>
      <c r="T116" s="354">
        <v>61992.05</v>
      </c>
      <c r="U116" s="354">
        <v>8.2135523613962994E-2</v>
      </c>
      <c r="V116" s="354">
        <v>0.99385757035296096</v>
      </c>
      <c r="W116" s="354">
        <v>61611.2681941993</v>
      </c>
      <c r="X116" s="354">
        <v>38</v>
      </c>
      <c r="Y116" s="354">
        <v>6.9239308997204297E-4</v>
      </c>
      <c r="Z116" s="354">
        <v>2.15266608123387E-4</v>
      </c>
      <c r="AA116" s="354">
        <v>-4.5567285157493601E-4</v>
      </c>
      <c r="AB116" s="354">
        <v>-2.9767207129844301E-3</v>
      </c>
      <c r="AC116" s="354">
        <v>6.4818640171433496E-3</v>
      </c>
      <c r="AD116" s="354">
        <v>1.1464677301169599E-2</v>
      </c>
      <c r="AE116" s="354">
        <v>-4.1390815150821299E-3</v>
      </c>
      <c r="AF116" s="354">
        <v>-6.1127583992108799E-3</v>
      </c>
      <c r="AG116" s="354">
        <v>6.9239308997204297E-4</v>
      </c>
      <c r="AH116" s="354">
        <v>6.9239308997204297E-4</v>
      </c>
      <c r="AI116" s="354">
        <v>1897555.4843208301</v>
      </c>
      <c r="AJ116" s="354">
        <v>564.56319493683304</v>
      </c>
      <c r="AK116" s="354">
        <v>8046.0539684198202</v>
      </c>
      <c r="AL116" s="354">
        <v>11139.385429935801</v>
      </c>
      <c r="AM116" s="354">
        <v>1882882.88</v>
      </c>
    </row>
    <row r="117" spans="1:39" x14ac:dyDescent="0.25">
      <c r="A117" s="354">
        <v>116</v>
      </c>
      <c r="B117" s="354">
        <v>1300000001</v>
      </c>
      <c r="C117" s="398">
        <v>44764</v>
      </c>
      <c r="D117" s="354">
        <v>2822433</v>
      </c>
      <c r="E117" s="354">
        <v>22961.45</v>
      </c>
      <c r="F117" s="354" t="s">
        <v>4107</v>
      </c>
      <c r="G117" s="354">
        <v>6.87</v>
      </c>
      <c r="H117" s="354">
        <v>2.5522499619300799E-2</v>
      </c>
      <c r="I117" s="354">
        <v>5.6365334901311501E-2</v>
      </c>
      <c r="J117" s="354">
        <v>8.9355863861766596E-2</v>
      </c>
      <c r="K117" s="354">
        <v>0.1283</v>
      </c>
      <c r="L117" s="354">
        <v>0.1852</v>
      </c>
      <c r="M117" s="354">
        <v>0.21690000000000001</v>
      </c>
      <c r="N117" s="354">
        <v>0.26939999999999997</v>
      </c>
      <c r="O117" s="354">
        <v>0.31619999999999998</v>
      </c>
      <c r="P117" s="354">
        <v>0.1613</v>
      </c>
      <c r="Q117" s="354">
        <v>1</v>
      </c>
      <c r="R117" s="354" t="s">
        <v>1156</v>
      </c>
      <c r="S117" s="354">
        <v>52</v>
      </c>
      <c r="T117" s="354">
        <v>2845394.45</v>
      </c>
      <c r="U117" s="354">
        <v>0.142368240930869</v>
      </c>
      <c r="V117" s="354">
        <v>0.99058523222736194</v>
      </c>
      <c r="W117" s="354">
        <v>2818605.7220317</v>
      </c>
      <c r="X117" s="354">
        <v>1</v>
      </c>
      <c r="Y117" s="354">
        <v>1.46152134294992E-2</v>
      </c>
      <c r="Z117" s="354">
        <v>1.22438251549717E-2</v>
      </c>
      <c r="AA117" s="354">
        <v>9.1714912823167207E-3</v>
      </c>
      <c r="AB117" s="354">
        <v>-5.2989119266431102E-3</v>
      </c>
      <c r="AC117" s="354">
        <v>7.6345818589105094E-2</v>
      </c>
      <c r="AD117" s="354">
        <v>0.122867773159792</v>
      </c>
      <c r="AE117" s="354">
        <v>4.5140965896621803E-2</v>
      </c>
      <c r="AF117" s="354">
        <v>5.6832591239852098E-2</v>
      </c>
      <c r="AG117" s="354">
        <v>1.46152134294992E-2</v>
      </c>
      <c r="AH117" s="354">
        <v>1.46152134294992E-2</v>
      </c>
      <c r="AI117" s="354">
        <v>2818605.7220317</v>
      </c>
      <c r="AJ117" s="354">
        <v>6644.6767536376001</v>
      </c>
      <c r="AK117" s="354">
        <v>6644.6767536376001</v>
      </c>
      <c r="AL117" s="354">
        <v>6644.6767536376001</v>
      </c>
      <c r="AM117" s="354">
        <v>2822433</v>
      </c>
    </row>
    <row r="118" spans="1:39" x14ac:dyDescent="0.25">
      <c r="A118" s="354">
        <v>117</v>
      </c>
      <c r="B118" s="354">
        <v>1300000002</v>
      </c>
      <c r="C118" s="398">
        <v>44735</v>
      </c>
      <c r="D118" s="354">
        <v>0</v>
      </c>
      <c r="E118" s="354">
        <v>4777.3999999999996</v>
      </c>
      <c r="F118" s="354" t="s">
        <v>4342</v>
      </c>
      <c r="G118" s="354">
        <v>7.25</v>
      </c>
      <c r="H118" s="354">
        <v>3.5094030979316401E-3</v>
      </c>
      <c r="I118" s="354">
        <v>8.1283261609039793E-3</v>
      </c>
      <c r="J118" s="354">
        <v>1.33604144950217E-2</v>
      </c>
      <c r="K118" s="354">
        <v>2.01E-2</v>
      </c>
      <c r="L118" s="354">
        <v>3.2099999999999997E-2</v>
      </c>
      <c r="M118" s="354">
        <v>4.0099999999999997E-2</v>
      </c>
      <c r="N118" s="354">
        <v>5.8500000000000003E-2</v>
      </c>
      <c r="O118" s="354">
        <v>7.8100000000000003E-2</v>
      </c>
      <c r="P118" s="354">
        <v>0.1</v>
      </c>
      <c r="Q118" s="354">
        <v>1</v>
      </c>
      <c r="R118" s="354" t="s">
        <v>1156</v>
      </c>
      <c r="S118" s="354">
        <v>23</v>
      </c>
      <c r="T118" s="354">
        <v>4777.3999999999996</v>
      </c>
      <c r="U118" s="354">
        <v>6.2970568104038296E-2</v>
      </c>
      <c r="V118" s="354">
        <v>0.99560223917884305</v>
      </c>
      <c r="W118" s="354">
        <v>4756.3901374530096</v>
      </c>
      <c r="X118" s="354">
        <v>57</v>
      </c>
      <c r="Y118" s="354">
        <v>8.85119196036954E-4</v>
      </c>
      <c r="Z118" s="354">
        <v>5.3904872176152498E-5</v>
      </c>
      <c r="AA118" s="354">
        <v>-1.01798020825182E-3</v>
      </c>
      <c r="AB118" s="354">
        <v>-5.1607599077763801E-3</v>
      </c>
      <c r="AC118" s="354">
        <v>8.7206639045515101E-3</v>
      </c>
      <c r="AD118" s="354">
        <v>1.64136140703059E-2</v>
      </c>
      <c r="AE118" s="354">
        <v>-1.6046733565692899E-2</v>
      </c>
      <c r="AF118" s="354">
        <v>-2.2800733182722001E-2</v>
      </c>
      <c r="AG118" s="354">
        <v>8.85119196036954E-4</v>
      </c>
      <c r="AH118" s="354">
        <v>8.85119196036954E-4</v>
      </c>
      <c r="AI118" s="354">
        <v>764444.88481452398</v>
      </c>
      <c r="AJ118" s="354">
        <v>67.662484186159304</v>
      </c>
      <c r="AK118" s="354">
        <v>1453.79498571303</v>
      </c>
      <c r="AL118" s="354">
        <v>4231.7290785638697</v>
      </c>
      <c r="AM118" s="354">
        <v>750000</v>
      </c>
    </row>
    <row r="119" spans="1:39" x14ac:dyDescent="0.25">
      <c r="A119" s="354">
        <v>118</v>
      </c>
      <c r="B119" s="354">
        <v>1300000003</v>
      </c>
      <c r="C119" s="398">
        <v>44725</v>
      </c>
      <c r="D119" s="354">
        <v>0</v>
      </c>
      <c r="E119" s="354">
        <v>0</v>
      </c>
      <c r="F119" s="354" t="s">
        <v>5263</v>
      </c>
      <c r="G119" s="354">
        <v>7.12</v>
      </c>
      <c r="H119" s="354">
        <v>8.6241131808554097E-4</v>
      </c>
      <c r="I119" s="354">
        <v>2.0084242196824198E-3</v>
      </c>
      <c r="J119" s="354">
        <v>3.3127897179908599E-3</v>
      </c>
      <c r="K119" s="354">
        <v>5.0000000000000001E-3</v>
      </c>
      <c r="L119" s="354" t="s">
        <v>1889</v>
      </c>
      <c r="M119" s="354" t="s">
        <v>1889</v>
      </c>
      <c r="N119" s="354" t="s">
        <v>1889</v>
      </c>
      <c r="O119" s="354" t="s">
        <v>1889</v>
      </c>
      <c r="P119" s="354">
        <v>0.3911</v>
      </c>
      <c r="Q119" s="354">
        <v>1</v>
      </c>
      <c r="R119" s="354" t="s">
        <v>1156</v>
      </c>
      <c r="S119" s="354">
        <v>13</v>
      </c>
      <c r="T119" s="354">
        <v>0</v>
      </c>
      <c r="U119" s="354">
        <v>3.5592060232717299E-2</v>
      </c>
      <c r="V119" s="354">
        <v>0.99755498926514297</v>
      </c>
      <c r="W119" s="354">
        <v>0</v>
      </c>
      <c r="X119" s="354">
        <v>60</v>
      </c>
      <c r="Y119" s="354">
        <v>1.2282541253827401E-4</v>
      </c>
      <c r="Z119" s="354">
        <v>-1.20445742626906E-4</v>
      </c>
      <c r="AA119" s="354">
        <v>-4.1460655540938399E-4</v>
      </c>
      <c r="AB119" s="354">
        <v>-1.50863596810643E-3</v>
      </c>
      <c r="AC119" s="354" t="s">
        <v>1889</v>
      </c>
      <c r="AD119" s="354" t="s">
        <v>1889</v>
      </c>
      <c r="AE119" s="354" t="s">
        <v>1889</v>
      </c>
      <c r="AF119" s="354" t="s">
        <v>1889</v>
      </c>
      <c r="AG119" s="354">
        <v>1.2282541253827401E-4</v>
      </c>
      <c r="AH119" s="354">
        <v>1.2282541253827401E-4</v>
      </c>
      <c r="AI119" s="354">
        <v>0</v>
      </c>
      <c r="AJ119" s="354">
        <v>0</v>
      </c>
      <c r="AK119" s="354">
        <v>0</v>
      </c>
      <c r="AL119" s="354" t="s">
        <v>1889</v>
      </c>
      <c r="AM119" s="354">
        <v>0</v>
      </c>
    </row>
    <row r="120" spans="1:39" x14ac:dyDescent="0.25">
      <c r="A120" s="354">
        <v>119</v>
      </c>
      <c r="B120" s="354">
        <v>1300000004</v>
      </c>
      <c r="C120" s="398">
        <v>44742</v>
      </c>
      <c r="D120" s="354">
        <v>0</v>
      </c>
      <c r="E120" s="354">
        <v>5451.14</v>
      </c>
      <c r="F120" s="354" t="s">
        <v>5323</v>
      </c>
      <c r="G120" s="354">
        <v>7.84</v>
      </c>
      <c r="H120" s="354">
        <v>2.5182410488097801E-3</v>
      </c>
      <c r="I120" s="354">
        <v>5.8645987214726598E-3</v>
      </c>
      <c r="J120" s="354">
        <v>9.6733459765333193E-3</v>
      </c>
      <c r="K120" s="354">
        <v>1.46E-2</v>
      </c>
      <c r="L120" s="354" t="s">
        <v>1889</v>
      </c>
      <c r="M120" s="354" t="s">
        <v>1889</v>
      </c>
      <c r="N120" s="354" t="s">
        <v>1889</v>
      </c>
      <c r="O120" s="354" t="s">
        <v>1889</v>
      </c>
      <c r="P120" s="354">
        <v>0.1</v>
      </c>
      <c r="Q120" s="354">
        <v>1</v>
      </c>
      <c r="R120" s="354" t="s">
        <v>1156</v>
      </c>
      <c r="S120" s="354">
        <v>30</v>
      </c>
      <c r="T120" s="354">
        <v>5451.14</v>
      </c>
      <c r="U120" s="354">
        <v>8.2135523613962994E-2</v>
      </c>
      <c r="V120" s="354">
        <v>0.99381971409051095</v>
      </c>
      <c r="W120" s="354">
        <v>5417.4503962673498</v>
      </c>
      <c r="X120" s="354">
        <v>37</v>
      </c>
      <c r="Y120" s="354">
        <v>8.2804865014640705E-4</v>
      </c>
      <c r="Z120" s="433">
        <v>2.71302734721975E-4</v>
      </c>
      <c r="AA120" s="354">
        <v>-5.01561988218055E-4</v>
      </c>
      <c r="AB120" s="354">
        <v>-3.4880028623376202E-3</v>
      </c>
      <c r="AC120" s="354" t="s">
        <v>1889</v>
      </c>
      <c r="AD120" s="354" t="s">
        <v>1889</v>
      </c>
      <c r="AE120" s="354" t="s">
        <v>1889</v>
      </c>
      <c r="AF120" s="354" t="s">
        <v>1889</v>
      </c>
      <c r="AG120" s="354">
        <v>8.2804865014640705E-4</v>
      </c>
      <c r="AH120" s="354">
        <v>8.2804865014640705E-4</v>
      </c>
      <c r="AI120" s="354">
        <v>955270.47672369995</v>
      </c>
      <c r="AJ120" s="354">
        <v>79.101042877577498</v>
      </c>
      <c r="AK120" s="354">
        <v>1344.1425353341599</v>
      </c>
      <c r="AL120" s="354" t="s">
        <v>1889</v>
      </c>
      <c r="AM120" s="354">
        <v>975326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68388-B530-4343-B22A-E898DC226284}">
  <sheetPr codeName="Sheet21"/>
  <dimension ref="A1:R753"/>
  <sheetViews>
    <sheetView zoomScale="80" zoomScaleNormal="80" workbookViewId="0"/>
  </sheetViews>
  <sheetFormatPr defaultRowHeight="15" x14ac:dyDescent="0.25"/>
  <cols>
    <col min="1" max="1" width="13.42578125" bestFit="1" customWidth="1"/>
    <col min="2" max="2" width="12.7109375" customWidth="1"/>
    <col min="3" max="3" width="48.7109375" customWidth="1"/>
    <col min="4" max="4" width="11.28515625" customWidth="1"/>
    <col min="5" max="5" width="3.5703125" customWidth="1"/>
    <col min="6" max="7" width="1.140625" customWidth="1"/>
    <col min="8" max="8" width="18.42578125" customWidth="1"/>
    <col min="9" max="9" width="20.28515625" bestFit="1" customWidth="1"/>
    <col min="10" max="10" width="18.140625" bestFit="1" customWidth="1"/>
    <col min="12" max="12" width="1" customWidth="1"/>
    <col min="13" max="13" width="5.140625" customWidth="1"/>
    <col min="14" max="14" width="12.7109375" bestFit="1" customWidth="1"/>
    <col min="15" max="15" width="18.42578125" bestFit="1" customWidth="1"/>
    <col min="16" max="16" width="15.85546875" bestFit="1" customWidth="1"/>
    <col min="17" max="17" width="11.7109375" customWidth="1"/>
    <col min="18" max="18" width="18.42578125" bestFit="1" customWidth="1"/>
  </cols>
  <sheetData>
    <row r="1" spans="1:18" x14ac:dyDescent="0.25">
      <c r="A1" s="346" t="s">
        <v>1739</v>
      </c>
      <c r="B1" s="346" t="s">
        <v>1740</v>
      </c>
      <c r="C1" s="346" t="s">
        <v>1741</v>
      </c>
      <c r="D1" s="346" t="s">
        <v>1742</v>
      </c>
      <c r="E1" s="346" t="s">
        <v>1743</v>
      </c>
      <c r="F1" s="346" t="s">
        <v>1744</v>
      </c>
      <c r="G1" s="346" t="s">
        <v>1745</v>
      </c>
      <c r="H1" s="346" t="s">
        <v>1746</v>
      </c>
      <c r="I1" s="346" t="s">
        <v>1906</v>
      </c>
      <c r="J1" s="346" t="s">
        <v>1747</v>
      </c>
      <c r="K1" s="346" t="s">
        <v>1748</v>
      </c>
      <c r="L1" s="346" t="s">
        <v>1749</v>
      </c>
      <c r="M1" s="346" t="s">
        <v>1750</v>
      </c>
      <c r="N1" s="346" t="s">
        <v>1751</v>
      </c>
      <c r="O1" s="346" t="s">
        <v>1752</v>
      </c>
      <c r="P1" s="348" t="s">
        <v>1753</v>
      </c>
      <c r="Q1" s="346" t="s">
        <v>1754</v>
      </c>
      <c r="R1" s="346" t="s">
        <v>1755</v>
      </c>
    </row>
    <row r="2" spans="1:18" x14ac:dyDescent="0.25">
      <c r="A2" s="458">
        <v>44680</v>
      </c>
      <c r="B2" s="346">
        <v>2200000135</v>
      </c>
      <c r="C2" s="346" t="s">
        <v>1907</v>
      </c>
      <c r="D2" s="346" t="s">
        <v>1756</v>
      </c>
      <c r="E2" s="346" t="s">
        <v>1757</v>
      </c>
      <c r="F2" s="346" t="s">
        <v>1758</v>
      </c>
      <c r="G2" s="346" t="s">
        <v>1759</v>
      </c>
      <c r="H2" s="346" t="s">
        <v>1760</v>
      </c>
      <c r="I2" s="346">
        <v>576508.21</v>
      </c>
      <c r="J2" s="346" t="s">
        <v>572</v>
      </c>
      <c r="K2" s="346" t="s">
        <v>1761</v>
      </c>
      <c r="L2" s="346"/>
      <c r="M2" s="346" t="s">
        <v>1761</v>
      </c>
      <c r="N2" s="346">
        <v>0.1</v>
      </c>
      <c r="O2" s="346">
        <v>6.06</v>
      </c>
      <c r="P2" s="346">
        <v>6.81</v>
      </c>
      <c r="Q2" s="346" t="s">
        <v>1762</v>
      </c>
      <c r="R2" s="458">
        <v>1</v>
      </c>
    </row>
    <row r="3" spans="1:18" x14ac:dyDescent="0.25">
      <c r="A3" s="458">
        <v>44680</v>
      </c>
      <c r="B3" s="346">
        <v>2200000122</v>
      </c>
      <c r="C3" s="346" t="s">
        <v>1908</v>
      </c>
      <c r="D3" s="346" t="s">
        <v>1756</v>
      </c>
      <c r="E3" s="346" t="s">
        <v>1757</v>
      </c>
      <c r="F3" s="346" t="s">
        <v>1758</v>
      </c>
      <c r="G3" s="346" t="s">
        <v>1759</v>
      </c>
      <c r="H3" s="346" t="s">
        <v>1760</v>
      </c>
      <c r="I3" s="346">
        <v>856737.2</v>
      </c>
      <c r="J3" s="346" t="s">
        <v>572</v>
      </c>
      <c r="K3" s="346" t="s">
        <v>1761</v>
      </c>
      <c r="L3" s="346"/>
      <c r="M3" s="346" t="s">
        <v>1761</v>
      </c>
      <c r="N3" s="346">
        <v>0.1</v>
      </c>
      <c r="O3" s="346">
        <v>5.92</v>
      </c>
      <c r="P3" s="346">
        <v>6.67</v>
      </c>
      <c r="Q3" s="346" t="s">
        <v>1762</v>
      </c>
      <c r="R3" s="458">
        <v>1</v>
      </c>
    </row>
    <row r="4" spans="1:18" x14ac:dyDescent="0.25">
      <c r="A4" s="458">
        <v>44680</v>
      </c>
      <c r="B4" s="346">
        <v>2200000124</v>
      </c>
      <c r="C4" s="346" t="s">
        <v>1909</v>
      </c>
      <c r="D4" s="346" t="s">
        <v>1756</v>
      </c>
      <c r="E4" s="346" t="s">
        <v>1757</v>
      </c>
      <c r="F4" s="346" t="s">
        <v>1758</v>
      </c>
      <c r="G4" s="346" t="s">
        <v>1759</v>
      </c>
      <c r="H4" s="346" t="s">
        <v>1760</v>
      </c>
      <c r="I4" s="346">
        <v>2384248</v>
      </c>
      <c r="J4" s="346" t="s">
        <v>572</v>
      </c>
      <c r="K4" s="346" t="s">
        <v>1761</v>
      </c>
      <c r="L4" s="346"/>
      <c r="M4" s="346" t="s">
        <v>1761</v>
      </c>
      <c r="N4" s="346">
        <v>0.1</v>
      </c>
      <c r="O4" s="346">
        <v>6.3</v>
      </c>
      <c r="P4" s="346">
        <v>7.05</v>
      </c>
      <c r="Q4" s="346" t="s">
        <v>1762</v>
      </c>
      <c r="R4" s="458">
        <v>1</v>
      </c>
    </row>
    <row r="5" spans="1:18" x14ac:dyDescent="0.25">
      <c r="A5" s="458">
        <v>44680</v>
      </c>
      <c r="B5" s="346">
        <v>2200000128</v>
      </c>
      <c r="C5" s="346" t="s">
        <v>1912</v>
      </c>
      <c r="D5" s="346" t="s">
        <v>1756</v>
      </c>
      <c r="E5" s="346" t="s">
        <v>1757</v>
      </c>
      <c r="F5" s="346" t="s">
        <v>1758</v>
      </c>
      <c r="G5" s="346" t="s">
        <v>1759</v>
      </c>
      <c r="H5" s="346" t="s">
        <v>1760</v>
      </c>
      <c r="I5" s="346">
        <v>406805.71</v>
      </c>
      <c r="J5" s="346" t="s">
        <v>572</v>
      </c>
      <c r="K5" s="346" t="s">
        <v>1761</v>
      </c>
      <c r="L5" s="346"/>
      <c r="M5" s="346" t="s">
        <v>1761</v>
      </c>
      <c r="N5" s="346">
        <v>0.1</v>
      </c>
      <c r="O5" s="346">
        <v>5.73</v>
      </c>
      <c r="P5" s="346">
        <v>6.48</v>
      </c>
      <c r="Q5" s="346" t="s">
        <v>1762</v>
      </c>
      <c r="R5" s="458">
        <v>1</v>
      </c>
    </row>
    <row r="6" spans="1:18" x14ac:dyDescent="0.25">
      <c r="A6" s="458">
        <v>44680</v>
      </c>
      <c r="B6" s="346">
        <v>2200000131</v>
      </c>
      <c r="C6" s="346" t="s">
        <v>1914</v>
      </c>
      <c r="D6" s="346" t="s">
        <v>1756</v>
      </c>
      <c r="E6" s="346" t="s">
        <v>1757</v>
      </c>
      <c r="F6" s="346" t="s">
        <v>1758</v>
      </c>
      <c r="G6" s="346" t="s">
        <v>1759</v>
      </c>
      <c r="H6" s="346" t="s">
        <v>1760</v>
      </c>
      <c r="I6" s="346">
        <v>1428609.21</v>
      </c>
      <c r="J6" s="346" t="s">
        <v>572</v>
      </c>
      <c r="K6" s="346" t="s">
        <v>1761</v>
      </c>
      <c r="L6" s="346"/>
      <c r="M6" s="346" t="s">
        <v>1761</v>
      </c>
      <c r="N6" s="346">
        <v>0.1</v>
      </c>
      <c r="O6" s="346">
        <v>5.65</v>
      </c>
      <c r="P6" s="346">
        <v>6.4</v>
      </c>
      <c r="Q6" s="346" t="s">
        <v>1762</v>
      </c>
      <c r="R6" s="458">
        <v>1</v>
      </c>
    </row>
    <row r="7" spans="1:18" x14ac:dyDescent="0.25">
      <c r="A7" s="458">
        <v>44680</v>
      </c>
      <c r="B7" s="346">
        <v>2200000139</v>
      </c>
      <c r="C7" s="346" t="s">
        <v>1916</v>
      </c>
      <c r="D7" s="346" t="s">
        <v>1756</v>
      </c>
      <c r="E7" s="346" t="s">
        <v>1757</v>
      </c>
      <c r="F7" s="346" t="s">
        <v>1758</v>
      </c>
      <c r="G7" s="346" t="s">
        <v>1759</v>
      </c>
      <c r="H7" s="346" t="s">
        <v>1760</v>
      </c>
      <c r="I7" s="346">
        <v>1639354.64</v>
      </c>
      <c r="J7" s="346" t="s">
        <v>572</v>
      </c>
      <c r="K7" s="346" t="s">
        <v>1761</v>
      </c>
      <c r="L7" s="346"/>
      <c r="M7" s="346" t="s">
        <v>1761</v>
      </c>
      <c r="N7" s="346">
        <v>0.1</v>
      </c>
      <c r="O7" s="346">
        <v>5.61</v>
      </c>
      <c r="P7" s="346">
        <v>6.36</v>
      </c>
      <c r="Q7" s="346" t="s">
        <v>1762</v>
      </c>
      <c r="R7" s="458">
        <v>1</v>
      </c>
    </row>
    <row r="8" spans="1:18" x14ac:dyDescent="0.25">
      <c r="A8" s="458">
        <v>44680</v>
      </c>
      <c r="B8" s="346">
        <v>2200000138</v>
      </c>
      <c r="C8" s="346" t="s">
        <v>1917</v>
      </c>
      <c r="D8" s="346" t="s">
        <v>1756</v>
      </c>
      <c r="E8" s="346" t="s">
        <v>1757</v>
      </c>
      <c r="F8" s="346" t="s">
        <v>1758</v>
      </c>
      <c r="G8" s="346" t="s">
        <v>1759</v>
      </c>
      <c r="H8" s="346" t="s">
        <v>1760</v>
      </c>
      <c r="I8" s="346">
        <v>2670239.54</v>
      </c>
      <c r="J8" s="346" t="s">
        <v>572</v>
      </c>
      <c r="K8" s="346" t="s">
        <v>1761</v>
      </c>
      <c r="L8" s="346"/>
      <c r="M8" s="346" t="s">
        <v>1761</v>
      </c>
      <c r="N8" s="346">
        <v>0.1</v>
      </c>
      <c r="O8" s="346">
        <v>5.98</v>
      </c>
      <c r="P8" s="346">
        <v>6.73</v>
      </c>
      <c r="Q8" s="346" t="s">
        <v>1762</v>
      </c>
      <c r="R8" s="458">
        <v>1</v>
      </c>
    </row>
    <row r="9" spans="1:18" x14ac:dyDescent="0.25">
      <c r="A9" s="458">
        <v>44680</v>
      </c>
      <c r="B9" s="346">
        <v>2200000136</v>
      </c>
      <c r="C9" s="346" t="s">
        <v>1918</v>
      </c>
      <c r="D9" s="346" t="s">
        <v>1756</v>
      </c>
      <c r="E9" s="346" t="s">
        <v>1757</v>
      </c>
      <c r="F9" s="346" t="s">
        <v>1758</v>
      </c>
      <c r="G9" s="346" t="s">
        <v>1759</v>
      </c>
      <c r="H9" s="346" t="s">
        <v>1760</v>
      </c>
      <c r="I9" s="346">
        <v>3845174.88</v>
      </c>
      <c r="J9" s="346" t="s">
        <v>572</v>
      </c>
      <c r="K9" s="346" t="s">
        <v>1761</v>
      </c>
      <c r="L9" s="346"/>
      <c r="M9" s="346" t="s">
        <v>1761</v>
      </c>
      <c r="N9" s="346">
        <v>0.1</v>
      </c>
      <c r="O9" s="346">
        <v>5.87</v>
      </c>
      <c r="P9" s="346">
        <v>6.62</v>
      </c>
      <c r="Q9" s="346" t="s">
        <v>1762</v>
      </c>
      <c r="R9" s="458">
        <v>1</v>
      </c>
    </row>
    <row r="10" spans="1:18" x14ac:dyDescent="0.25">
      <c r="A10" s="458">
        <v>44680</v>
      </c>
      <c r="B10" s="346">
        <v>2200000132</v>
      </c>
      <c r="C10" s="346" t="s">
        <v>1919</v>
      </c>
      <c r="D10" s="346" t="s">
        <v>1756</v>
      </c>
      <c r="E10" s="346" t="s">
        <v>1757</v>
      </c>
      <c r="F10" s="346" t="s">
        <v>1758</v>
      </c>
      <c r="G10" s="346" t="s">
        <v>1759</v>
      </c>
      <c r="H10" s="346" t="s">
        <v>1760</v>
      </c>
      <c r="I10" s="346">
        <v>1510302</v>
      </c>
      <c r="J10" s="346" t="s">
        <v>572</v>
      </c>
      <c r="K10" s="346" t="s">
        <v>1761</v>
      </c>
      <c r="L10" s="346"/>
      <c r="M10" s="346" t="s">
        <v>1761</v>
      </c>
      <c r="N10" s="346">
        <v>0.1</v>
      </c>
      <c r="O10" s="346">
        <v>6.07</v>
      </c>
      <c r="P10" s="346">
        <v>6.82</v>
      </c>
      <c r="Q10" s="346" t="s">
        <v>1762</v>
      </c>
      <c r="R10" s="458">
        <v>1</v>
      </c>
    </row>
    <row r="11" spans="1:18" x14ac:dyDescent="0.25">
      <c r="A11" s="458">
        <v>44680</v>
      </c>
      <c r="B11" s="346">
        <v>2200000133</v>
      </c>
      <c r="C11" s="346" t="s">
        <v>1920</v>
      </c>
      <c r="D11" s="346" t="s">
        <v>1756</v>
      </c>
      <c r="E11" s="346" t="s">
        <v>1757</v>
      </c>
      <c r="F11" s="346" t="s">
        <v>1758</v>
      </c>
      <c r="G11" s="346" t="s">
        <v>1759</v>
      </c>
      <c r="H11" s="346" t="s">
        <v>1760</v>
      </c>
      <c r="I11" s="346">
        <v>1080294.5</v>
      </c>
      <c r="J11" s="346" t="s">
        <v>572</v>
      </c>
      <c r="K11" s="346" t="s">
        <v>1761</v>
      </c>
      <c r="L11" s="346"/>
      <c r="M11" s="346" t="s">
        <v>1761</v>
      </c>
      <c r="N11" s="346">
        <v>0.1</v>
      </c>
      <c r="O11" s="346">
        <v>6.07</v>
      </c>
      <c r="P11" s="346">
        <v>6.82</v>
      </c>
      <c r="Q11" s="346" t="s">
        <v>1762</v>
      </c>
      <c r="R11" s="458">
        <v>1</v>
      </c>
    </row>
    <row r="12" spans="1:18" x14ac:dyDescent="0.25">
      <c r="A12" s="458">
        <v>44680</v>
      </c>
      <c r="B12" s="346">
        <v>2200000130</v>
      </c>
      <c r="C12" s="346" t="s">
        <v>1921</v>
      </c>
      <c r="D12" s="346" t="s">
        <v>1756</v>
      </c>
      <c r="E12" s="346" t="s">
        <v>1757</v>
      </c>
      <c r="F12" s="346" t="s">
        <v>1758</v>
      </c>
      <c r="G12" s="346" t="s">
        <v>1759</v>
      </c>
      <c r="H12" s="346" t="s">
        <v>1760</v>
      </c>
      <c r="I12" s="346">
        <v>3818467.28</v>
      </c>
      <c r="J12" s="346" t="s">
        <v>572</v>
      </c>
      <c r="K12" s="346" t="s">
        <v>1761</v>
      </c>
      <c r="L12" s="346"/>
      <c r="M12" s="346" t="s">
        <v>1761</v>
      </c>
      <c r="N12" s="346">
        <v>0.1</v>
      </c>
      <c r="O12" s="346">
        <v>5.76</v>
      </c>
      <c r="P12" s="346">
        <v>6.51</v>
      </c>
      <c r="Q12" s="346" t="s">
        <v>1762</v>
      </c>
      <c r="R12" s="458">
        <v>1</v>
      </c>
    </row>
    <row r="13" spans="1:18" x14ac:dyDescent="0.25">
      <c r="A13" s="458">
        <v>44680</v>
      </c>
      <c r="B13" s="346">
        <v>2200000125</v>
      </c>
      <c r="C13" s="346" t="s">
        <v>1915</v>
      </c>
      <c r="D13" s="346" t="s">
        <v>1756</v>
      </c>
      <c r="E13" s="346" t="s">
        <v>1757</v>
      </c>
      <c r="F13" s="346" t="s">
        <v>1758</v>
      </c>
      <c r="G13" s="346" t="s">
        <v>1759</v>
      </c>
      <c r="H13" s="346" t="s">
        <v>1760</v>
      </c>
      <c r="I13" s="346">
        <v>2538481.7799999998</v>
      </c>
      <c r="J13" s="346" t="s">
        <v>572</v>
      </c>
      <c r="K13" s="346" t="s">
        <v>1761</v>
      </c>
      <c r="L13" s="346"/>
      <c r="M13" s="346" t="s">
        <v>1761</v>
      </c>
      <c r="N13" s="346">
        <v>0.1</v>
      </c>
      <c r="O13" s="346">
        <v>6.29</v>
      </c>
      <c r="P13" s="346">
        <v>7.04</v>
      </c>
      <c r="Q13" s="346" t="s">
        <v>1762</v>
      </c>
      <c r="R13" s="458">
        <v>1</v>
      </c>
    </row>
    <row r="14" spans="1:18" x14ac:dyDescent="0.25">
      <c r="A14" s="458">
        <v>44680</v>
      </c>
      <c r="B14" s="346">
        <v>2200000134</v>
      </c>
      <c r="C14" s="346" t="s">
        <v>1913</v>
      </c>
      <c r="D14" s="346" t="s">
        <v>1756</v>
      </c>
      <c r="E14" s="346" t="s">
        <v>1757</v>
      </c>
      <c r="F14" s="346" t="s">
        <v>1758</v>
      </c>
      <c r="G14" s="346" t="s">
        <v>1759</v>
      </c>
      <c r="H14" s="346" t="s">
        <v>1760</v>
      </c>
      <c r="I14" s="346">
        <v>250000</v>
      </c>
      <c r="J14" s="346" t="s">
        <v>572</v>
      </c>
      <c r="K14" s="346" t="s">
        <v>1761</v>
      </c>
      <c r="L14" s="346"/>
      <c r="M14" s="346" t="s">
        <v>1761</v>
      </c>
      <c r="N14" s="346">
        <v>0.1</v>
      </c>
      <c r="O14" s="346">
        <v>6.23</v>
      </c>
      <c r="P14" s="346">
        <v>6.98</v>
      </c>
      <c r="Q14" s="346" t="s">
        <v>1762</v>
      </c>
      <c r="R14" s="458">
        <v>1</v>
      </c>
    </row>
    <row r="15" spans="1:18" x14ac:dyDescent="0.25">
      <c r="A15" s="458">
        <v>44680</v>
      </c>
      <c r="B15" s="346">
        <v>2200000126</v>
      </c>
      <c r="C15" s="346" t="s">
        <v>1910</v>
      </c>
      <c r="D15" s="346" t="s">
        <v>1756</v>
      </c>
      <c r="E15" s="346" t="s">
        <v>1757</v>
      </c>
      <c r="F15" s="346" t="s">
        <v>1758</v>
      </c>
      <c r="G15" s="346" t="s">
        <v>1759</v>
      </c>
      <c r="H15" s="346" t="s">
        <v>1760</v>
      </c>
      <c r="I15" s="346">
        <v>1908071.65</v>
      </c>
      <c r="J15" s="346" t="s">
        <v>572</v>
      </c>
      <c r="K15" s="346" t="s">
        <v>1761</v>
      </c>
      <c r="L15" s="346"/>
      <c r="M15" s="346" t="s">
        <v>1761</v>
      </c>
      <c r="N15" s="346">
        <v>0.1</v>
      </c>
      <c r="O15" s="346">
        <v>6.2</v>
      </c>
      <c r="P15" s="346">
        <v>6.95</v>
      </c>
      <c r="Q15" s="346" t="s">
        <v>1762</v>
      </c>
      <c r="R15" s="458">
        <v>1</v>
      </c>
    </row>
    <row r="16" spans="1:18" x14ac:dyDescent="0.25">
      <c r="A16" s="458">
        <v>44680</v>
      </c>
      <c r="B16" s="346">
        <v>2200000127</v>
      </c>
      <c r="C16" s="346" t="s">
        <v>1911</v>
      </c>
      <c r="D16" s="346" t="s">
        <v>1756</v>
      </c>
      <c r="E16" s="346" t="s">
        <v>1757</v>
      </c>
      <c r="F16" s="346" t="s">
        <v>1758</v>
      </c>
      <c r="G16" s="346" t="s">
        <v>1759</v>
      </c>
      <c r="H16" s="346" t="s">
        <v>1760</v>
      </c>
      <c r="I16" s="346">
        <v>285437.33</v>
      </c>
      <c r="J16" s="346" t="s">
        <v>572</v>
      </c>
      <c r="K16" s="346" t="s">
        <v>1761</v>
      </c>
      <c r="L16" s="346"/>
      <c r="M16" s="346" t="s">
        <v>1761</v>
      </c>
      <c r="N16" s="346">
        <v>0.1</v>
      </c>
      <c r="O16" s="346">
        <v>6.2</v>
      </c>
      <c r="P16" s="346">
        <v>6.95</v>
      </c>
      <c r="Q16" s="346" t="s">
        <v>1762</v>
      </c>
      <c r="R16" s="458">
        <v>1</v>
      </c>
    </row>
    <row r="17" spans="1:18" x14ac:dyDescent="0.25">
      <c r="A17" s="458">
        <v>44680</v>
      </c>
      <c r="B17" s="346">
        <v>4100000106</v>
      </c>
      <c r="C17" s="346" t="s">
        <v>1922</v>
      </c>
      <c r="D17" s="346" t="s">
        <v>1756</v>
      </c>
      <c r="E17" s="346" t="s">
        <v>1757</v>
      </c>
      <c r="F17" s="346" t="s">
        <v>1758</v>
      </c>
      <c r="G17" s="346" t="s">
        <v>1764</v>
      </c>
      <c r="H17" s="346" t="s">
        <v>1250</v>
      </c>
      <c r="I17" s="346">
        <v>5300000</v>
      </c>
      <c r="J17" s="346" t="s">
        <v>572</v>
      </c>
      <c r="K17" s="346" t="s">
        <v>1761</v>
      </c>
      <c r="L17" s="346"/>
      <c r="M17" s="346" t="s">
        <v>1761</v>
      </c>
      <c r="N17" s="346">
        <v>0.1</v>
      </c>
      <c r="O17" s="346">
        <v>6.1</v>
      </c>
      <c r="P17" s="346">
        <v>6.85</v>
      </c>
      <c r="Q17" s="346" t="s">
        <v>1762</v>
      </c>
      <c r="R17" s="458">
        <v>1</v>
      </c>
    </row>
    <row r="18" spans="1:18" x14ac:dyDescent="0.25">
      <c r="A18" s="458">
        <v>44680</v>
      </c>
      <c r="B18" s="346">
        <v>4100000108</v>
      </c>
      <c r="C18" s="346" t="s">
        <v>1923</v>
      </c>
      <c r="D18" s="346" t="s">
        <v>1756</v>
      </c>
      <c r="E18" s="346" t="s">
        <v>1763</v>
      </c>
      <c r="F18" s="346" t="s">
        <v>1758</v>
      </c>
      <c r="G18" s="346" t="s">
        <v>1764</v>
      </c>
      <c r="H18" s="346" t="s">
        <v>1250</v>
      </c>
      <c r="I18" s="346">
        <v>0</v>
      </c>
      <c r="J18" s="346" t="s">
        <v>572</v>
      </c>
      <c r="K18" s="346" t="s">
        <v>1761</v>
      </c>
      <c r="L18" s="346"/>
      <c r="M18" s="346" t="s">
        <v>1761</v>
      </c>
      <c r="N18" s="346">
        <v>0.1</v>
      </c>
      <c r="O18" s="346">
        <v>5.12</v>
      </c>
      <c r="P18" s="346">
        <v>5.87</v>
      </c>
      <c r="Q18" s="346" t="s">
        <v>1762</v>
      </c>
      <c r="R18" s="458">
        <v>1</v>
      </c>
    </row>
    <row r="19" spans="1:18" x14ac:dyDescent="0.25">
      <c r="A19" s="458">
        <v>44680</v>
      </c>
      <c r="B19" s="346">
        <v>4100000115</v>
      </c>
      <c r="C19" s="346" t="s">
        <v>1924</v>
      </c>
      <c r="D19" s="346" t="s">
        <v>1756</v>
      </c>
      <c r="E19" s="346" t="s">
        <v>1757</v>
      </c>
      <c r="F19" s="346" t="s">
        <v>1758</v>
      </c>
      <c r="G19" s="346" t="s">
        <v>1764</v>
      </c>
      <c r="H19" s="346" t="s">
        <v>1250</v>
      </c>
      <c r="I19" s="346">
        <v>100000</v>
      </c>
      <c r="J19" s="346" t="s">
        <v>572</v>
      </c>
      <c r="K19" s="346" t="s">
        <v>1761</v>
      </c>
      <c r="L19" s="346"/>
      <c r="M19" s="346" t="s">
        <v>1761</v>
      </c>
      <c r="N19" s="346">
        <v>0.79</v>
      </c>
      <c r="O19" s="346">
        <v>5.7</v>
      </c>
      <c r="P19" s="346">
        <v>6.49</v>
      </c>
      <c r="Q19" s="346" t="s">
        <v>1765</v>
      </c>
      <c r="R19" s="458">
        <v>44275</v>
      </c>
    </row>
    <row r="20" spans="1:18" x14ac:dyDescent="0.25">
      <c r="A20" s="458">
        <v>44680</v>
      </c>
      <c r="B20" s="346">
        <v>4100000109</v>
      </c>
      <c r="C20" s="346" t="s">
        <v>1925</v>
      </c>
      <c r="D20" s="346" t="s">
        <v>1756</v>
      </c>
      <c r="E20" s="346" t="s">
        <v>1757</v>
      </c>
      <c r="F20" s="346" t="s">
        <v>1758</v>
      </c>
      <c r="G20" s="346" t="s">
        <v>1764</v>
      </c>
      <c r="H20" s="346" t="s">
        <v>1250</v>
      </c>
      <c r="I20" s="346">
        <v>5351000</v>
      </c>
      <c r="J20" s="346" t="s">
        <v>572</v>
      </c>
      <c r="K20" s="346" t="s">
        <v>1761</v>
      </c>
      <c r="L20" s="346"/>
      <c r="M20" s="346" t="s">
        <v>1761</v>
      </c>
      <c r="N20" s="346">
        <v>0.3</v>
      </c>
      <c r="O20" s="346">
        <v>4</v>
      </c>
      <c r="P20" s="346">
        <v>4.75</v>
      </c>
      <c r="Q20" s="346" t="s">
        <v>1765</v>
      </c>
      <c r="R20" s="458">
        <v>44275</v>
      </c>
    </row>
    <row r="21" spans="1:18" x14ac:dyDescent="0.25">
      <c r="A21" s="458">
        <v>44680</v>
      </c>
      <c r="B21" s="346">
        <v>4100000129</v>
      </c>
      <c r="C21" s="346" t="s">
        <v>1926</v>
      </c>
      <c r="D21" s="346" t="s">
        <v>1756</v>
      </c>
      <c r="E21" s="346" t="s">
        <v>1757</v>
      </c>
      <c r="F21" s="346" t="s">
        <v>1758</v>
      </c>
      <c r="G21" s="346" t="s">
        <v>1764</v>
      </c>
      <c r="H21" s="346" t="s">
        <v>1250</v>
      </c>
      <c r="I21" s="346">
        <v>455772.49</v>
      </c>
      <c r="J21" s="346" t="s">
        <v>572</v>
      </c>
      <c r="K21" s="346" t="s">
        <v>1761</v>
      </c>
      <c r="L21" s="346"/>
      <c r="M21" s="346" t="s">
        <v>1761</v>
      </c>
      <c r="N21" s="346">
        <v>0.76</v>
      </c>
      <c r="O21" s="346">
        <v>4</v>
      </c>
      <c r="P21" s="346">
        <v>4.76</v>
      </c>
      <c r="Q21" s="346" t="s">
        <v>1765</v>
      </c>
      <c r="R21" s="458">
        <v>44289</v>
      </c>
    </row>
    <row r="22" spans="1:18" x14ac:dyDescent="0.25">
      <c r="A22" s="458">
        <v>44680</v>
      </c>
      <c r="B22" s="346">
        <v>4100000133</v>
      </c>
      <c r="C22" s="346" t="s">
        <v>1927</v>
      </c>
      <c r="D22" s="346" t="s">
        <v>1756</v>
      </c>
      <c r="E22" s="346" t="s">
        <v>1757</v>
      </c>
      <c r="F22" s="346" t="s">
        <v>1758</v>
      </c>
      <c r="G22" s="346" t="s">
        <v>1764</v>
      </c>
      <c r="H22" s="346" t="s">
        <v>1250</v>
      </c>
      <c r="I22" s="346">
        <v>380236.51</v>
      </c>
      <c r="J22" s="346" t="s">
        <v>572</v>
      </c>
      <c r="K22" s="346" t="s">
        <v>1761</v>
      </c>
      <c r="L22" s="346"/>
      <c r="M22" s="346" t="s">
        <v>1761</v>
      </c>
      <c r="N22" s="346">
        <v>0.76</v>
      </c>
      <c r="O22" s="346">
        <v>4</v>
      </c>
      <c r="P22" s="346">
        <v>4.76</v>
      </c>
      <c r="Q22" s="346" t="s">
        <v>1765</v>
      </c>
      <c r="R22" s="458">
        <v>44289</v>
      </c>
    </row>
    <row r="23" spans="1:18" x14ac:dyDescent="0.25">
      <c r="A23" s="458">
        <v>44680</v>
      </c>
      <c r="B23" s="346">
        <v>4100000127</v>
      </c>
      <c r="C23" s="346" t="s">
        <v>1929</v>
      </c>
      <c r="D23" s="346" t="s">
        <v>1756</v>
      </c>
      <c r="E23" s="346" t="s">
        <v>1757</v>
      </c>
      <c r="F23" s="346" t="s">
        <v>1758</v>
      </c>
      <c r="G23" s="346" t="s">
        <v>1764</v>
      </c>
      <c r="H23" s="346" t="s">
        <v>1250</v>
      </c>
      <c r="I23" s="346">
        <v>10763000</v>
      </c>
      <c r="J23" s="346" t="s">
        <v>572</v>
      </c>
      <c r="K23" s="346" t="s">
        <v>1761</v>
      </c>
      <c r="L23" s="346"/>
      <c r="M23" s="346" t="s">
        <v>1761</v>
      </c>
      <c r="N23" s="346">
        <v>0.28999999999999998</v>
      </c>
      <c r="O23" s="346">
        <v>4.1900000000000004</v>
      </c>
      <c r="P23" s="346">
        <v>4.9400000000000004</v>
      </c>
      <c r="Q23" s="346" t="s">
        <v>1765</v>
      </c>
      <c r="R23" s="458">
        <v>44289</v>
      </c>
    </row>
    <row r="24" spans="1:18" x14ac:dyDescent="0.25">
      <c r="A24" s="458">
        <v>44680</v>
      </c>
      <c r="B24" s="346">
        <v>4100000107</v>
      </c>
      <c r="C24" s="346" t="s">
        <v>1930</v>
      </c>
      <c r="D24" s="346" t="s">
        <v>1756</v>
      </c>
      <c r="E24" s="346" t="s">
        <v>1757</v>
      </c>
      <c r="F24" s="346" t="s">
        <v>1758</v>
      </c>
      <c r="G24" s="346" t="s">
        <v>1764</v>
      </c>
      <c r="H24" s="346" t="s">
        <v>1250</v>
      </c>
      <c r="I24" s="346">
        <v>12600000</v>
      </c>
      <c r="J24" s="346" t="s">
        <v>572</v>
      </c>
      <c r="K24" s="346" t="s">
        <v>1761</v>
      </c>
      <c r="L24" s="346"/>
      <c r="M24" s="346" t="s">
        <v>1761</v>
      </c>
      <c r="N24" s="346">
        <v>0.1</v>
      </c>
      <c r="O24" s="346">
        <v>4.2</v>
      </c>
      <c r="P24" s="346">
        <v>4.95</v>
      </c>
      <c r="Q24" s="346" t="s">
        <v>1762</v>
      </c>
      <c r="R24" s="458">
        <v>1</v>
      </c>
    </row>
    <row r="25" spans="1:18" x14ac:dyDescent="0.25">
      <c r="A25" s="458">
        <v>44680</v>
      </c>
      <c r="B25" s="346">
        <v>4100000019</v>
      </c>
      <c r="C25" s="346" t="s">
        <v>1933</v>
      </c>
      <c r="D25" s="346" t="s">
        <v>1756</v>
      </c>
      <c r="E25" s="346" t="s">
        <v>1757</v>
      </c>
      <c r="F25" s="346" t="s">
        <v>1758</v>
      </c>
      <c r="G25" s="346" t="s">
        <v>1764</v>
      </c>
      <c r="H25" s="346" t="s">
        <v>1250</v>
      </c>
      <c r="I25" s="346">
        <v>343600</v>
      </c>
      <c r="J25" s="346" t="s">
        <v>572</v>
      </c>
      <c r="K25" s="346" t="s">
        <v>1761</v>
      </c>
      <c r="L25" s="346"/>
      <c r="M25" s="346" t="s">
        <v>1761</v>
      </c>
      <c r="N25" s="346">
        <v>0.64</v>
      </c>
      <c r="O25" s="346">
        <v>4.07</v>
      </c>
      <c r="P25" s="346">
        <v>4.82</v>
      </c>
      <c r="Q25" s="346" t="s">
        <v>1765</v>
      </c>
      <c r="R25" s="458">
        <v>44177</v>
      </c>
    </row>
    <row r="26" spans="1:18" x14ac:dyDescent="0.25">
      <c r="A26" s="458">
        <v>44680</v>
      </c>
      <c r="B26" s="346">
        <v>4100000011</v>
      </c>
      <c r="C26" s="346" t="s">
        <v>1935</v>
      </c>
      <c r="D26" s="346" t="s">
        <v>1756</v>
      </c>
      <c r="E26" s="346" t="s">
        <v>1757</v>
      </c>
      <c r="F26" s="346" t="s">
        <v>1758</v>
      </c>
      <c r="G26" s="346" t="s">
        <v>1764</v>
      </c>
      <c r="H26" s="346" t="s">
        <v>1250</v>
      </c>
      <c r="I26" s="346">
        <v>6565000</v>
      </c>
      <c r="J26" s="346" t="s">
        <v>572</v>
      </c>
      <c r="K26" s="346" t="s">
        <v>1761</v>
      </c>
      <c r="L26" s="346"/>
      <c r="M26" s="346" t="s">
        <v>1761</v>
      </c>
      <c r="N26" s="346">
        <v>0.79</v>
      </c>
      <c r="O26" s="346">
        <v>3.5</v>
      </c>
      <c r="P26" s="346">
        <v>4.29</v>
      </c>
      <c r="Q26" s="346" t="s">
        <v>1765</v>
      </c>
      <c r="R26" s="458">
        <v>44177</v>
      </c>
    </row>
    <row r="27" spans="1:18" x14ac:dyDescent="0.25">
      <c r="A27" s="458">
        <v>44680</v>
      </c>
      <c r="B27" s="346">
        <v>4100000012</v>
      </c>
      <c r="C27" s="346" t="s">
        <v>1936</v>
      </c>
      <c r="D27" s="346" t="s">
        <v>1756</v>
      </c>
      <c r="E27" s="346" t="s">
        <v>1757</v>
      </c>
      <c r="F27" s="346" t="s">
        <v>1758</v>
      </c>
      <c r="G27" s="346" t="s">
        <v>1764</v>
      </c>
      <c r="H27" s="346" t="s">
        <v>1250</v>
      </c>
      <c r="I27" s="346">
        <v>1900000</v>
      </c>
      <c r="J27" s="346" t="s">
        <v>572</v>
      </c>
      <c r="K27" s="346" t="s">
        <v>1761</v>
      </c>
      <c r="L27" s="346"/>
      <c r="M27" s="346" t="s">
        <v>1761</v>
      </c>
      <c r="N27" s="346">
        <v>0.79</v>
      </c>
      <c r="O27" s="346">
        <v>5</v>
      </c>
      <c r="P27" s="346">
        <v>5.79</v>
      </c>
      <c r="Q27" s="346" t="s">
        <v>1765</v>
      </c>
      <c r="R27" s="458">
        <v>44177</v>
      </c>
    </row>
    <row r="28" spans="1:18" x14ac:dyDescent="0.25">
      <c r="A28" s="458">
        <v>44680</v>
      </c>
      <c r="B28" s="346">
        <v>4100000144</v>
      </c>
      <c r="C28" s="346" t="s">
        <v>1939</v>
      </c>
      <c r="D28" s="346" t="s">
        <v>1756</v>
      </c>
      <c r="E28" s="346" t="s">
        <v>1757</v>
      </c>
      <c r="F28" s="346" t="s">
        <v>1758</v>
      </c>
      <c r="G28" s="346" t="s">
        <v>1764</v>
      </c>
      <c r="H28" s="346" t="s">
        <v>1250</v>
      </c>
      <c r="I28" s="346">
        <v>2042689.03</v>
      </c>
      <c r="J28" s="346" t="s">
        <v>572</v>
      </c>
      <c r="K28" s="346" t="s">
        <v>1761</v>
      </c>
      <c r="L28" s="346"/>
      <c r="M28" s="346" t="s">
        <v>1761</v>
      </c>
      <c r="N28" s="346">
        <v>0.1</v>
      </c>
      <c r="O28" s="346">
        <v>4.75</v>
      </c>
      <c r="P28" s="346">
        <v>5.5</v>
      </c>
      <c r="Q28" s="346" t="s">
        <v>1762</v>
      </c>
      <c r="R28" s="458">
        <v>1</v>
      </c>
    </row>
    <row r="29" spans="1:18" x14ac:dyDescent="0.25">
      <c r="A29" s="458">
        <v>44680</v>
      </c>
      <c r="B29" s="346">
        <v>4100000122</v>
      </c>
      <c r="C29" s="346" t="s">
        <v>1940</v>
      </c>
      <c r="D29" s="346" t="s">
        <v>1756</v>
      </c>
      <c r="E29" s="346" t="s">
        <v>1757</v>
      </c>
      <c r="F29" s="346" t="s">
        <v>1758</v>
      </c>
      <c r="G29" s="346" t="s">
        <v>1764</v>
      </c>
      <c r="H29" s="346" t="s">
        <v>1250</v>
      </c>
      <c r="I29" s="346">
        <v>165000</v>
      </c>
      <c r="J29" s="346" t="s">
        <v>572</v>
      </c>
      <c r="K29" s="346" t="s">
        <v>1761</v>
      </c>
      <c r="L29" s="346"/>
      <c r="M29" s="346" t="s">
        <v>1761</v>
      </c>
      <c r="N29" s="346">
        <v>0.91</v>
      </c>
      <c r="O29" s="346">
        <v>5.35</v>
      </c>
      <c r="P29" s="346">
        <v>6.26</v>
      </c>
      <c r="Q29" s="346" t="s">
        <v>1765</v>
      </c>
      <c r="R29" s="458">
        <v>44289</v>
      </c>
    </row>
    <row r="30" spans="1:18" x14ac:dyDescent="0.25">
      <c r="A30" s="458">
        <v>44680</v>
      </c>
      <c r="B30" s="346">
        <v>4100000139</v>
      </c>
      <c r="C30" s="346" t="s">
        <v>1941</v>
      </c>
      <c r="D30" s="346" t="s">
        <v>1756</v>
      </c>
      <c r="E30" s="346" t="s">
        <v>1757</v>
      </c>
      <c r="F30" s="346" t="s">
        <v>1758</v>
      </c>
      <c r="G30" s="346" t="s">
        <v>1764</v>
      </c>
      <c r="H30" s="346" t="s">
        <v>1250</v>
      </c>
      <c r="I30" s="346">
        <v>5395675.8399999999</v>
      </c>
      <c r="J30" s="346" t="s">
        <v>572</v>
      </c>
      <c r="K30" s="346" t="s">
        <v>1761</v>
      </c>
      <c r="L30" s="346"/>
      <c r="M30" s="346" t="s">
        <v>1761</v>
      </c>
      <c r="N30" s="346">
        <v>0.51</v>
      </c>
      <c r="O30" s="346">
        <v>4</v>
      </c>
      <c r="P30" s="346">
        <v>4.75</v>
      </c>
      <c r="Q30" s="346" t="s">
        <v>1765</v>
      </c>
      <c r="R30" s="458">
        <v>44289</v>
      </c>
    </row>
    <row r="31" spans="1:18" x14ac:dyDescent="0.25">
      <c r="A31" s="458">
        <v>44680</v>
      </c>
      <c r="B31" s="346">
        <v>4100000119</v>
      </c>
      <c r="C31" s="346" t="s">
        <v>1943</v>
      </c>
      <c r="D31" s="346" t="s">
        <v>1756</v>
      </c>
      <c r="E31" s="346" t="s">
        <v>1757</v>
      </c>
      <c r="F31" s="346" t="s">
        <v>1758</v>
      </c>
      <c r="G31" s="346" t="s">
        <v>1764</v>
      </c>
      <c r="H31" s="346" t="s">
        <v>1250</v>
      </c>
      <c r="I31" s="346">
        <v>3300000</v>
      </c>
      <c r="J31" s="346" t="s">
        <v>572</v>
      </c>
      <c r="K31" s="346" t="s">
        <v>1761</v>
      </c>
      <c r="L31" s="346"/>
      <c r="M31" s="346" t="s">
        <v>1761</v>
      </c>
      <c r="N31" s="346">
        <v>0.81</v>
      </c>
      <c r="O31" s="346">
        <v>4</v>
      </c>
      <c r="P31" s="346">
        <v>4.8099999999999996</v>
      </c>
      <c r="Q31" s="346" t="s">
        <v>1765</v>
      </c>
      <c r="R31" s="458">
        <v>44275</v>
      </c>
    </row>
    <row r="32" spans="1:18" x14ac:dyDescent="0.25">
      <c r="A32" s="458">
        <v>44680</v>
      </c>
      <c r="B32" s="346">
        <v>4100000125</v>
      </c>
      <c r="C32" s="346" t="s">
        <v>1944</v>
      </c>
      <c r="D32" s="346" t="s">
        <v>1756</v>
      </c>
      <c r="E32" s="346" t="s">
        <v>1757</v>
      </c>
      <c r="F32" s="346" t="s">
        <v>1758</v>
      </c>
      <c r="G32" s="346" t="s">
        <v>1764</v>
      </c>
      <c r="H32" s="346" t="s">
        <v>1250</v>
      </c>
      <c r="I32" s="346">
        <v>1355000</v>
      </c>
      <c r="J32" s="346" t="s">
        <v>572</v>
      </c>
      <c r="K32" s="346" t="s">
        <v>1761</v>
      </c>
      <c r="L32" s="346"/>
      <c r="M32" s="346" t="s">
        <v>1761</v>
      </c>
      <c r="N32" s="346">
        <v>0.8</v>
      </c>
      <c r="O32" s="346">
        <v>4.25</v>
      </c>
      <c r="P32" s="346">
        <v>5.05</v>
      </c>
      <c r="Q32" s="346" t="s">
        <v>1765</v>
      </c>
      <c r="R32" s="458">
        <v>44289</v>
      </c>
    </row>
    <row r="33" spans="1:18" x14ac:dyDescent="0.25">
      <c r="A33" s="458">
        <v>44680</v>
      </c>
      <c r="B33" s="346">
        <v>4100000141</v>
      </c>
      <c r="C33" s="346" t="s">
        <v>1947</v>
      </c>
      <c r="D33" s="346" t="s">
        <v>1756</v>
      </c>
      <c r="E33" s="346" t="s">
        <v>1763</v>
      </c>
      <c r="F33" s="346" t="s">
        <v>1758</v>
      </c>
      <c r="G33" s="346" t="s">
        <v>1764</v>
      </c>
      <c r="H33" s="346" t="s">
        <v>1250</v>
      </c>
      <c r="I33" s="346">
        <v>0</v>
      </c>
      <c r="J33" s="346" t="s">
        <v>572</v>
      </c>
      <c r="K33" s="346" t="s">
        <v>1761</v>
      </c>
      <c r="L33" s="346"/>
      <c r="M33" s="346" t="s">
        <v>1761</v>
      </c>
      <c r="N33" s="346">
        <v>0.17</v>
      </c>
      <c r="O33" s="346">
        <v>4.75</v>
      </c>
      <c r="P33" s="346">
        <v>5.5</v>
      </c>
      <c r="Q33" s="346" t="s">
        <v>1762</v>
      </c>
      <c r="R33" s="458">
        <v>1</v>
      </c>
    </row>
    <row r="34" spans="1:18" x14ac:dyDescent="0.25">
      <c r="A34" s="458">
        <v>44680</v>
      </c>
      <c r="B34" s="346">
        <v>4100000118</v>
      </c>
      <c r="C34" s="346" t="s">
        <v>1948</v>
      </c>
      <c r="D34" s="346" t="s">
        <v>1756</v>
      </c>
      <c r="E34" s="346" t="s">
        <v>1757</v>
      </c>
      <c r="F34" s="346" t="s">
        <v>1758</v>
      </c>
      <c r="G34" s="346" t="s">
        <v>1764</v>
      </c>
      <c r="H34" s="346" t="s">
        <v>1250</v>
      </c>
      <c r="I34" s="346">
        <v>1066000</v>
      </c>
      <c r="J34" s="346" t="s">
        <v>572</v>
      </c>
      <c r="K34" s="346" t="s">
        <v>1761</v>
      </c>
      <c r="L34" s="346"/>
      <c r="M34" s="346" t="s">
        <v>1761</v>
      </c>
      <c r="N34" s="346">
        <v>0.84</v>
      </c>
      <c r="O34" s="346">
        <v>3.22</v>
      </c>
      <c r="P34" s="346">
        <v>4.0599999999999996</v>
      </c>
      <c r="Q34" s="346" t="s">
        <v>1765</v>
      </c>
      <c r="R34" s="458">
        <v>44275</v>
      </c>
    </row>
    <row r="35" spans="1:18" x14ac:dyDescent="0.25">
      <c r="A35" s="458">
        <v>44680</v>
      </c>
      <c r="B35" s="346">
        <v>4100000131</v>
      </c>
      <c r="C35" s="346" t="s">
        <v>1949</v>
      </c>
      <c r="D35" s="346" t="s">
        <v>1756</v>
      </c>
      <c r="E35" s="346" t="s">
        <v>1757</v>
      </c>
      <c r="F35" s="346" t="s">
        <v>1758</v>
      </c>
      <c r="G35" s="346" t="s">
        <v>1764</v>
      </c>
      <c r="H35" s="346" t="s">
        <v>1250</v>
      </c>
      <c r="I35" s="346">
        <v>1860300</v>
      </c>
      <c r="J35" s="346" t="s">
        <v>572</v>
      </c>
      <c r="K35" s="346" t="s">
        <v>1761</v>
      </c>
      <c r="L35" s="346"/>
      <c r="M35" s="346" t="s">
        <v>1761</v>
      </c>
      <c r="N35" s="346">
        <v>0.1</v>
      </c>
      <c r="O35" s="346">
        <v>4.25</v>
      </c>
      <c r="P35" s="346">
        <v>5</v>
      </c>
      <c r="Q35" s="346" t="s">
        <v>1765</v>
      </c>
      <c r="R35" s="458">
        <v>44289</v>
      </c>
    </row>
    <row r="36" spans="1:18" x14ac:dyDescent="0.25">
      <c r="A36" s="458">
        <v>44680</v>
      </c>
      <c r="B36" s="346">
        <v>4100000120</v>
      </c>
      <c r="C36" s="346" t="s">
        <v>1950</v>
      </c>
      <c r="D36" s="346" t="s">
        <v>1756</v>
      </c>
      <c r="E36" s="346" t="s">
        <v>1757</v>
      </c>
      <c r="F36" s="346" t="s">
        <v>1758</v>
      </c>
      <c r="G36" s="346" t="s">
        <v>1764</v>
      </c>
      <c r="H36" s="346" t="s">
        <v>1250</v>
      </c>
      <c r="I36" s="346">
        <v>540133.6</v>
      </c>
      <c r="J36" s="346" t="s">
        <v>572</v>
      </c>
      <c r="K36" s="346" t="s">
        <v>1761</v>
      </c>
      <c r="L36" s="346"/>
      <c r="M36" s="346" t="s">
        <v>1761</v>
      </c>
      <c r="N36" s="346">
        <v>0.1</v>
      </c>
      <c r="O36" s="346">
        <v>5.25</v>
      </c>
      <c r="P36" s="346">
        <v>6</v>
      </c>
      <c r="Q36" s="346" t="s">
        <v>1762</v>
      </c>
      <c r="R36" s="458">
        <v>1</v>
      </c>
    </row>
    <row r="37" spans="1:18" x14ac:dyDescent="0.25">
      <c r="A37" s="458">
        <v>44680</v>
      </c>
      <c r="B37" s="346">
        <v>4100000020</v>
      </c>
      <c r="C37" s="346" t="s">
        <v>1951</v>
      </c>
      <c r="D37" s="346" t="s">
        <v>1756</v>
      </c>
      <c r="E37" s="346" t="s">
        <v>1757</v>
      </c>
      <c r="F37" s="346" t="s">
        <v>1758</v>
      </c>
      <c r="G37" s="346" t="s">
        <v>1764</v>
      </c>
      <c r="H37" s="346" t="s">
        <v>1250</v>
      </c>
      <c r="I37" s="346">
        <v>4125000</v>
      </c>
      <c r="J37" s="346" t="s">
        <v>572</v>
      </c>
      <c r="K37" s="346" t="s">
        <v>1761</v>
      </c>
      <c r="L37" s="346"/>
      <c r="M37" s="346" t="s">
        <v>1761</v>
      </c>
      <c r="N37" s="346">
        <v>0.21</v>
      </c>
      <c r="O37" s="346">
        <v>6.1</v>
      </c>
      <c r="P37" s="346">
        <v>6.85</v>
      </c>
      <c r="Q37" s="346" t="s">
        <v>1765</v>
      </c>
      <c r="R37" s="458">
        <v>44177</v>
      </c>
    </row>
    <row r="38" spans="1:18" x14ac:dyDescent="0.25">
      <c r="A38" s="458">
        <v>44680</v>
      </c>
      <c r="B38" s="346">
        <v>4100000010</v>
      </c>
      <c r="C38" s="346" t="s">
        <v>1952</v>
      </c>
      <c r="D38" s="346" t="s">
        <v>1756</v>
      </c>
      <c r="E38" s="346" t="s">
        <v>1757</v>
      </c>
      <c r="F38" s="346" t="s">
        <v>1758</v>
      </c>
      <c r="G38" s="346" t="s">
        <v>1764</v>
      </c>
      <c r="H38" s="346" t="s">
        <v>1250</v>
      </c>
      <c r="I38" s="346">
        <v>6230000</v>
      </c>
      <c r="J38" s="346" t="s">
        <v>572</v>
      </c>
      <c r="K38" s="346" t="s">
        <v>1761</v>
      </c>
      <c r="L38" s="346"/>
      <c r="M38" s="346" t="s">
        <v>1761</v>
      </c>
      <c r="N38" s="346">
        <v>0.79</v>
      </c>
      <c r="O38" s="346">
        <v>3.5</v>
      </c>
      <c r="P38" s="346">
        <v>4.29</v>
      </c>
      <c r="Q38" s="346" t="s">
        <v>1765</v>
      </c>
      <c r="R38" s="458">
        <v>44177</v>
      </c>
    </row>
    <row r="39" spans="1:18" x14ac:dyDescent="0.25">
      <c r="A39" s="458">
        <v>44680</v>
      </c>
      <c r="B39" s="346">
        <v>4100000013</v>
      </c>
      <c r="C39" s="346" t="s">
        <v>1953</v>
      </c>
      <c r="D39" s="346" t="s">
        <v>1756</v>
      </c>
      <c r="E39" s="346" t="s">
        <v>1757</v>
      </c>
      <c r="F39" s="346" t="s">
        <v>1758</v>
      </c>
      <c r="G39" s="346" t="s">
        <v>1764</v>
      </c>
      <c r="H39" s="346" t="s">
        <v>1250</v>
      </c>
      <c r="I39" s="346">
        <v>3839000</v>
      </c>
      <c r="J39" s="346" t="s">
        <v>572</v>
      </c>
      <c r="K39" s="346" t="s">
        <v>1761</v>
      </c>
      <c r="L39" s="346"/>
      <c r="M39" s="346" t="s">
        <v>1761</v>
      </c>
      <c r="N39" s="346">
        <v>0.79</v>
      </c>
      <c r="O39" s="346">
        <v>3.5</v>
      </c>
      <c r="P39" s="346">
        <v>4.29</v>
      </c>
      <c r="Q39" s="346" t="s">
        <v>1765</v>
      </c>
      <c r="R39" s="458">
        <v>44177</v>
      </c>
    </row>
    <row r="40" spans="1:18" x14ac:dyDescent="0.25">
      <c r="A40" s="458">
        <v>44680</v>
      </c>
      <c r="B40" s="346">
        <v>4100000001</v>
      </c>
      <c r="C40" s="346" t="s">
        <v>1954</v>
      </c>
      <c r="D40" s="346" t="s">
        <v>1756</v>
      </c>
      <c r="E40" s="346" t="s">
        <v>1757</v>
      </c>
      <c r="F40" s="346" t="s">
        <v>1758</v>
      </c>
      <c r="G40" s="346" t="s">
        <v>1764</v>
      </c>
      <c r="H40" s="346" t="s">
        <v>1250</v>
      </c>
      <c r="I40" s="346">
        <v>725000</v>
      </c>
      <c r="J40" s="346" t="s">
        <v>572</v>
      </c>
      <c r="K40" s="346" t="s">
        <v>1761</v>
      </c>
      <c r="L40" s="346"/>
      <c r="M40" s="346" t="s">
        <v>1761</v>
      </c>
      <c r="N40" s="346">
        <v>0.79</v>
      </c>
      <c r="O40" s="346">
        <v>4.3</v>
      </c>
      <c r="P40" s="346">
        <v>5.09</v>
      </c>
      <c r="Q40" s="346" t="s">
        <v>1765</v>
      </c>
      <c r="R40" s="458">
        <v>44177</v>
      </c>
    </row>
    <row r="41" spans="1:18" x14ac:dyDescent="0.25">
      <c r="A41" s="458">
        <v>44680</v>
      </c>
      <c r="B41" s="346">
        <v>4100000136</v>
      </c>
      <c r="C41" s="346" t="s">
        <v>1955</v>
      </c>
      <c r="D41" s="346" t="s">
        <v>1756</v>
      </c>
      <c r="E41" s="346" t="s">
        <v>1757</v>
      </c>
      <c r="F41" s="346" t="s">
        <v>1758</v>
      </c>
      <c r="G41" s="346" t="s">
        <v>1764</v>
      </c>
      <c r="H41" s="346" t="s">
        <v>1250</v>
      </c>
      <c r="I41" s="346">
        <v>975520</v>
      </c>
      <c r="J41" s="346" t="s">
        <v>572</v>
      </c>
      <c r="K41" s="346" t="s">
        <v>1761</v>
      </c>
      <c r="L41" s="346"/>
      <c r="M41" s="346" t="s">
        <v>1761</v>
      </c>
      <c r="N41" s="346">
        <v>0.8</v>
      </c>
      <c r="O41" s="346">
        <v>4.07</v>
      </c>
      <c r="P41" s="346">
        <v>4.87</v>
      </c>
      <c r="Q41" s="346" t="s">
        <v>1765</v>
      </c>
      <c r="R41" s="458">
        <v>44289</v>
      </c>
    </row>
    <row r="42" spans="1:18" x14ac:dyDescent="0.25">
      <c r="A42" s="458">
        <v>44680</v>
      </c>
      <c r="B42" s="346">
        <v>4100000124</v>
      </c>
      <c r="C42" s="346" t="s">
        <v>1956</v>
      </c>
      <c r="D42" s="346" t="s">
        <v>1756</v>
      </c>
      <c r="E42" s="346" t="s">
        <v>1757</v>
      </c>
      <c r="F42" s="346" t="s">
        <v>1758</v>
      </c>
      <c r="G42" s="346" t="s">
        <v>1764</v>
      </c>
      <c r="H42" s="346" t="s">
        <v>1250</v>
      </c>
      <c r="I42" s="346">
        <v>800000</v>
      </c>
      <c r="J42" s="346" t="s">
        <v>572</v>
      </c>
      <c r="K42" s="346" t="s">
        <v>1761</v>
      </c>
      <c r="L42" s="346"/>
      <c r="M42" s="346" t="s">
        <v>1761</v>
      </c>
      <c r="N42" s="346">
        <v>0.81</v>
      </c>
      <c r="O42" s="346">
        <v>4.12</v>
      </c>
      <c r="P42" s="346">
        <v>4.93</v>
      </c>
      <c r="Q42" s="346" t="s">
        <v>1765</v>
      </c>
      <c r="R42" s="458">
        <v>44289</v>
      </c>
    </row>
    <row r="43" spans="1:18" x14ac:dyDescent="0.25">
      <c r="A43" s="458">
        <v>44680</v>
      </c>
      <c r="B43" s="346">
        <v>4100000126</v>
      </c>
      <c r="C43" s="346" t="s">
        <v>1957</v>
      </c>
      <c r="D43" s="346" t="s">
        <v>1756</v>
      </c>
      <c r="E43" s="346" t="s">
        <v>1757</v>
      </c>
      <c r="F43" s="346" t="s">
        <v>1758</v>
      </c>
      <c r="G43" s="346" t="s">
        <v>1764</v>
      </c>
      <c r="H43" s="346" t="s">
        <v>1250</v>
      </c>
      <c r="I43" s="346">
        <v>3477944</v>
      </c>
      <c r="J43" s="346" t="s">
        <v>572</v>
      </c>
      <c r="K43" s="346" t="s">
        <v>1761</v>
      </c>
      <c r="L43" s="346"/>
      <c r="M43" s="346" t="s">
        <v>1761</v>
      </c>
      <c r="N43" s="346">
        <v>0.86</v>
      </c>
      <c r="O43" s="346">
        <v>4</v>
      </c>
      <c r="P43" s="346">
        <v>4.8600000000000003</v>
      </c>
      <c r="Q43" s="346" t="s">
        <v>1765</v>
      </c>
      <c r="R43" s="458">
        <v>44289</v>
      </c>
    </row>
    <row r="44" spans="1:18" x14ac:dyDescent="0.25">
      <c r="A44" s="458">
        <v>44680</v>
      </c>
      <c r="B44" s="346">
        <v>4100000112</v>
      </c>
      <c r="C44" s="346" t="s">
        <v>1958</v>
      </c>
      <c r="D44" s="346" t="s">
        <v>1756</v>
      </c>
      <c r="E44" s="346" t="s">
        <v>1757</v>
      </c>
      <c r="F44" s="346" t="s">
        <v>1758</v>
      </c>
      <c r="G44" s="346" t="s">
        <v>1764</v>
      </c>
      <c r="H44" s="346" t="s">
        <v>1250</v>
      </c>
      <c r="I44" s="346">
        <v>392152.6</v>
      </c>
      <c r="J44" s="346" t="s">
        <v>572</v>
      </c>
      <c r="K44" s="346" t="s">
        <v>1761</v>
      </c>
      <c r="L44" s="346"/>
      <c r="M44" s="346" t="s">
        <v>1761</v>
      </c>
      <c r="N44" s="346">
        <v>0.82</v>
      </c>
      <c r="O44" s="346">
        <v>4.76</v>
      </c>
      <c r="P44" s="346">
        <v>5.58</v>
      </c>
      <c r="Q44" s="346" t="s">
        <v>1765</v>
      </c>
      <c r="R44" s="458">
        <v>44275</v>
      </c>
    </row>
    <row r="45" spans="1:18" x14ac:dyDescent="0.25">
      <c r="A45" s="458">
        <v>44680</v>
      </c>
      <c r="B45" s="346">
        <v>4100000016</v>
      </c>
      <c r="C45" s="346" t="s">
        <v>1959</v>
      </c>
      <c r="D45" s="346" t="s">
        <v>1756</v>
      </c>
      <c r="E45" s="346" t="s">
        <v>1757</v>
      </c>
      <c r="F45" s="346" t="s">
        <v>1758</v>
      </c>
      <c r="G45" s="346" t="s">
        <v>1764</v>
      </c>
      <c r="H45" s="346" t="s">
        <v>1250</v>
      </c>
      <c r="I45" s="346">
        <v>695393.66</v>
      </c>
      <c r="J45" s="346" t="s">
        <v>572</v>
      </c>
      <c r="K45" s="346" t="s">
        <v>1761</v>
      </c>
      <c r="L45" s="346"/>
      <c r="M45" s="346" t="s">
        <v>1761</v>
      </c>
      <c r="N45" s="346">
        <v>0.54</v>
      </c>
      <c r="O45" s="346">
        <v>4.54</v>
      </c>
      <c r="P45" s="346">
        <v>5.29</v>
      </c>
      <c r="Q45" s="346" t="s">
        <v>1765</v>
      </c>
      <c r="R45" s="458">
        <v>44177</v>
      </c>
    </row>
    <row r="46" spans="1:18" x14ac:dyDescent="0.25">
      <c r="A46" s="458">
        <v>44680</v>
      </c>
      <c r="B46" s="346">
        <v>4100000113</v>
      </c>
      <c r="C46" s="346" t="s">
        <v>1960</v>
      </c>
      <c r="D46" s="346" t="s">
        <v>1756</v>
      </c>
      <c r="E46" s="346" t="s">
        <v>1757</v>
      </c>
      <c r="F46" s="346" t="s">
        <v>1758</v>
      </c>
      <c r="G46" s="346" t="s">
        <v>1764</v>
      </c>
      <c r="H46" s="346" t="s">
        <v>1250</v>
      </c>
      <c r="I46" s="346">
        <v>9750000</v>
      </c>
      <c r="J46" s="346" t="s">
        <v>572</v>
      </c>
      <c r="K46" s="346" t="s">
        <v>1761</v>
      </c>
      <c r="L46" s="346"/>
      <c r="M46" s="346" t="s">
        <v>1761</v>
      </c>
      <c r="N46" s="346">
        <v>0.6</v>
      </c>
      <c r="O46" s="346">
        <v>4</v>
      </c>
      <c r="P46" s="346">
        <v>4.75</v>
      </c>
      <c r="Q46" s="346" t="s">
        <v>1765</v>
      </c>
      <c r="R46" s="458">
        <v>44275</v>
      </c>
    </row>
    <row r="47" spans="1:18" x14ac:dyDescent="0.25">
      <c r="A47" s="458">
        <v>44680</v>
      </c>
      <c r="B47" s="346">
        <v>4100000117</v>
      </c>
      <c r="C47" s="346" t="s">
        <v>1961</v>
      </c>
      <c r="D47" s="346" t="s">
        <v>1756</v>
      </c>
      <c r="E47" s="346" t="s">
        <v>1757</v>
      </c>
      <c r="F47" s="346" t="s">
        <v>1758</v>
      </c>
      <c r="G47" s="346" t="s">
        <v>1764</v>
      </c>
      <c r="H47" s="346" t="s">
        <v>1250</v>
      </c>
      <c r="I47" s="346">
        <v>283500</v>
      </c>
      <c r="J47" s="346" t="s">
        <v>572</v>
      </c>
      <c r="K47" s="346" t="s">
        <v>1761</v>
      </c>
      <c r="L47" s="346"/>
      <c r="M47" s="346" t="s">
        <v>1761</v>
      </c>
      <c r="N47" s="346">
        <v>0.1</v>
      </c>
      <c r="O47" s="346">
        <v>4.01</v>
      </c>
      <c r="P47" s="346">
        <v>4.76</v>
      </c>
      <c r="Q47" s="346" t="s">
        <v>1765</v>
      </c>
      <c r="R47" s="458">
        <v>44275</v>
      </c>
    </row>
    <row r="48" spans="1:18" x14ac:dyDescent="0.25">
      <c r="A48" s="458">
        <v>44680</v>
      </c>
      <c r="B48" s="346">
        <v>4100000110</v>
      </c>
      <c r="C48" s="346" t="s">
        <v>1962</v>
      </c>
      <c r="D48" s="346" t="s">
        <v>1756</v>
      </c>
      <c r="E48" s="346" t="s">
        <v>1757</v>
      </c>
      <c r="F48" s="346" t="s">
        <v>1758</v>
      </c>
      <c r="G48" s="346" t="s">
        <v>1764</v>
      </c>
      <c r="H48" s="346" t="s">
        <v>1250</v>
      </c>
      <c r="I48" s="346">
        <v>375000</v>
      </c>
      <c r="J48" s="346" t="s">
        <v>572</v>
      </c>
      <c r="K48" s="346" t="s">
        <v>1761</v>
      </c>
      <c r="L48" s="346"/>
      <c r="M48" s="346" t="s">
        <v>1761</v>
      </c>
      <c r="N48" s="346">
        <v>0.1</v>
      </c>
      <c r="O48" s="346">
        <v>4.01</v>
      </c>
      <c r="P48" s="346">
        <v>4.76</v>
      </c>
      <c r="Q48" s="346" t="s">
        <v>1765</v>
      </c>
      <c r="R48" s="458">
        <v>44275</v>
      </c>
    </row>
    <row r="49" spans="1:18" x14ac:dyDescent="0.25">
      <c r="A49" s="458">
        <v>44680</v>
      </c>
      <c r="B49" s="346">
        <v>4100000116</v>
      </c>
      <c r="C49" s="346" t="s">
        <v>1963</v>
      </c>
      <c r="D49" s="346" t="s">
        <v>1756</v>
      </c>
      <c r="E49" s="346" t="s">
        <v>1757</v>
      </c>
      <c r="F49" s="346" t="s">
        <v>1758</v>
      </c>
      <c r="G49" s="346" t="s">
        <v>1764</v>
      </c>
      <c r="H49" s="346" t="s">
        <v>1250</v>
      </c>
      <c r="I49" s="346">
        <v>10000000</v>
      </c>
      <c r="J49" s="346" t="s">
        <v>572</v>
      </c>
      <c r="K49" s="346" t="s">
        <v>1761</v>
      </c>
      <c r="L49" s="346"/>
      <c r="M49" s="346" t="s">
        <v>1761</v>
      </c>
      <c r="N49" s="346">
        <v>0.52</v>
      </c>
      <c r="O49" s="346">
        <v>4.3</v>
      </c>
      <c r="P49" s="346">
        <v>5.05</v>
      </c>
      <c r="Q49" s="346" t="s">
        <v>1765</v>
      </c>
      <c r="R49" s="458">
        <v>44275</v>
      </c>
    </row>
    <row r="50" spans="1:18" x14ac:dyDescent="0.25">
      <c r="A50" s="458">
        <v>44680</v>
      </c>
      <c r="B50" s="346">
        <v>4100000142</v>
      </c>
      <c r="C50" s="346" t="s">
        <v>1965</v>
      </c>
      <c r="D50" s="346" t="s">
        <v>1756</v>
      </c>
      <c r="E50" s="346" t="s">
        <v>1757</v>
      </c>
      <c r="F50" s="346" t="s">
        <v>1758</v>
      </c>
      <c r="G50" s="346" t="s">
        <v>1764</v>
      </c>
      <c r="H50" s="346" t="s">
        <v>1250</v>
      </c>
      <c r="I50" s="346">
        <v>43576736.799999997</v>
      </c>
      <c r="J50" s="346" t="s">
        <v>1761</v>
      </c>
      <c r="K50" s="346" t="s">
        <v>1761</v>
      </c>
      <c r="L50" s="346"/>
      <c r="M50" s="346" t="s">
        <v>1761</v>
      </c>
      <c r="N50" s="346">
        <v>0</v>
      </c>
      <c r="O50" s="346">
        <v>3</v>
      </c>
      <c r="P50" s="346">
        <v>3.69</v>
      </c>
      <c r="Q50" s="346" t="s">
        <v>1762</v>
      </c>
      <c r="R50" s="458">
        <v>1</v>
      </c>
    </row>
    <row r="51" spans="1:18" x14ac:dyDescent="0.25">
      <c r="A51" s="458">
        <v>44680</v>
      </c>
      <c r="B51" s="346">
        <v>4100000004</v>
      </c>
      <c r="C51" s="346" t="s">
        <v>1931</v>
      </c>
      <c r="D51" s="346" t="s">
        <v>1756</v>
      </c>
      <c r="E51" s="346" t="s">
        <v>1757</v>
      </c>
      <c r="F51" s="346" t="s">
        <v>1758</v>
      </c>
      <c r="G51" s="346" t="s">
        <v>1764</v>
      </c>
      <c r="H51" s="346" t="s">
        <v>1250</v>
      </c>
      <c r="I51" s="346">
        <v>3036000</v>
      </c>
      <c r="J51" s="346" t="s">
        <v>572</v>
      </c>
      <c r="K51" s="346" t="s">
        <v>1761</v>
      </c>
      <c r="L51" s="346"/>
      <c r="M51" s="346" t="s">
        <v>1761</v>
      </c>
      <c r="N51" s="346">
        <v>0.7</v>
      </c>
      <c r="O51" s="346">
        <v>6.5</v>
      </c>
      <c r="P51" s="346">
        <v>7.25</v>
      </c>
      <c r="Q51" s="346" t="s">
        <v>1765</v>
      </c>
      <c r="R51" s="458">
        <v>44177</v>
      </c>
    </row>
    <row r="52" spans="1:18" x14ac:dyDescent="0.25">
      <c r="A52" s="458">
        <v>44680</v>
      </c>
      <c r="B52" s="346">
        <v>4100000006</v>
      </c>
      <c r="C52" s="346" t="s">
        <v>1932</v>
      </c>
      <c r="D52" s="346" t="s">
        <v>1756</v>
      </c>
      <c r="E52" s="346" t="s">
        <v>1757</v>
      </c>
      <c r="F52" s="346" t="s">
        <v>1758</v>
      </c>
      <c r="G52" s="346" t="s">
        <v>1764</v>
      </c>
      <c r="H52" s="346" t="s">
        <v>1250</v>
      </c>
      <c r="I52" s="346">
        <v>3028747</v>
      </c>
      <c r="J52" s="346" t="s">
        <v>572</v>
      </c>
      <c r="K52" s="346" t="s">
        <v>1761</v>
      </c>
      <c r="L52" s="346"/>
      <c r="M52" s="346" t="s">
        <v>1761</v>
      </c>
      <c r="N52" s="346">
        <v>0.7</v>
      </c>
      <c r="O52" s="346">
        <v>6.5</v>
      </c>
      <c r="P52" s="346">
        <v>7.25</v>
      </c>
      <c r="Q52" s="346" t="s">
        <v>1765</v>
      </c>
      <c r="R52" s="458">
        <v>44177</v>
      </c>
    </row>
    <row r="53" spans="1:18" x14ac:dyDescent="0.25">
      <c r="A53" s="458">
        <v>44680</v>
      </c>
      <c r="B53" s="346">
        <v>4100000114</v>
      </c>
      <c r="C53" s="346" t="s">
        <v>1942</v>
      </c>
      <c r="D53" s="346" t="s">
        <v>1756</v>
      </c>
      <c r="E53" s="346" t="s">
        <v>1757</v>
      </c>
      <c r="F53" s="346" t="s">
        <v>1758</v>
      </c>
      <c r="G53" s="346" t="s">
        <v>1764</v>
      </c>
      <c r="H53" s="346" t="s">
        <v>1250</v>
      </c>
      <c r="I53" s="346">
        <v>756000</v>
      </c>
      <c r="J53" s="346" t="s">
        <v>572</v>
      </c>
      <c r="K53" s="346" t="s">
        <v>1761</v>
      </c>
      <c r="L53" s="346"/>
      <c r="M53" s="346" t="s">
        <v>1761</v>
      </c>
      <c r="N53" s="346">
        <v>0.63</v>
      </c>
      <c r="O53" s="346">
        <v>4.1500000000000004</v>
      </c>
      <c r="P53" s="346">
        <v>4.9000000000000004</v>
      </c>
      <c r="Q53" s="346" t="s">
        <v>1765</v>
      </c>
      <c r="R53" s="458">
        <v>44275</v>
      </c>
    </row>
    <row r="54" spans="1:18" x14ac:dyDescent="0.25">
      <c r="A54" s="458">
        <v>44680</v>
      </c>
      <c r="B54" s="346">
        <v>4100000137</v>
      </c>
      <c r="C54" s="346" t="s">
        <v>1945</v>
      </c>
      <c r="D54" s="346" t="s">
        <v>1756</v>
      </c>
      <c r="E54" s="346" t="s">
        <v>1757</v>
      </c>
      <c r="F54" s="346" t="s">
        <v>1758</v>
      </c>
      <c r="G54" s="346" t="s">
        <v>1764</v>
      </c>
      <c r="H54" s="346" t="s">
        <v>1250</v>
      </c>
      <c r="I54" s="346">
        <v>3377924.96</v>
      </c>
      <c r="J54" s="346" t="s">
        <v>572</v>
      </c>
      <c r="K54" s="346" t="s">
        <v>1761</v>
      </c>
      <c r="L54" s="346"/>
      <c r="M54" s="346" t="s">
        <v>1761</v>
      </c>
      <c r="N54" s="346">
        <v>0.36</v>
      </c>
      <c r="O54" s="346">
        <v>5.25</v>
      </c>
      <c r="P54" s="346">
        <v>6</v>
      </c>
      <c r="Q54" s="346" t="s">
        <v>1765</v>
      </c>
      <c r="R54" s="458">
        <v>44289</v>
      </c>
    </row>
    <row r="55" spans="1:18" x14ac:dyDescent="0.25">
      <c r="A55" s="458">
        <v>44680</v>
      </c>
      <c r="B55" s="346">
        <v>4100000138</v>
      </c>
      <c r="C55" s="346" t="s">
        <v>1946</v>
      </c>
      <c r="D55" s="346" t="s">
        <v>1756</v>
      </c>
      <c r="E55" s="346" t="s">
        <v>1757</v>
      </c>
      <c r="F55" s="346" t="s">
        <v>1758</v>
      </c>
      <c r="G55" s="346" t="s">
        <v>1764</v>
      </c>
      <c r="H55" s="346" t="s">
        <v>1250</v>
      </c>
      <c r="I55" s="346">
        <v>822075.04</v>
      </c>
      <c r="J55" s="346" t="s">
        <v>572</v>
      </c>
      <c r="K55" s="346" t="s">
        <v>1761</v>
      </c>
      <c r="L55" s="346"/>
      <c r="M55" s="346" t="s">
        <v>1761</v>
      </c>
      <c r="N55" s="346">
        <v>0.36</v>
      </c>
      <c r="O55" s="346">
        <v>5.25</v>
      </c>
      <c r="P55" s="346">
        <v>6</v>
      </c>
      <c r="Q55" s="346" t="s">
        <v>1765</v>
      </c>
      <c r="R55" s="458">
        <v>44289</v>
      </c>
    </row>
    <row r="56" spans="1:18" x14ac:dyDescent="0.25">
      <c r="A56" s="458">
        <v>44680</v>
      </c>
      <c r="B56" s="346">
        <v>4100000128</v>
      </c>
      <c r="C56" s="346" t="s">
        <v>1928</v>
      </c>
      <c r="D56" s="346" t="s">
        <v>1756</v>
      </c>
      <c r="E56" s="346" t="s">
        <v>1757</v>
      </c>
      <c r="F56" s="346" t="s">
        <v>1758</v>
      </c>
      <c r="G56" s="346" t="s">
        <v>1764</v>
      </c>
      <c r="H56" s="346" t="s">
        <v>1250</v>
      </c>
      <c r="I56" s="346">
        <v>4028500</v>
      </c>
      <c r="J56" s="346" t="s">
        <v>572</v>
      </c>
      <c r="K56" s="346" t="s">
        <v>1761</v>
      </c>
      <c r="L56" s="346"/>
      <c r="M56" s="346" t="s">
        <v>1761</v>
      </c>
      <c r="N56" s="346">
        <v>0.5</v>
      </c>
      <c r="O56" s="346">
        <v>4.5999999999999996</v>
      </c>
      <c r="P56" s="346">
        <v>5.35</v>
      </c>
      <c r="Q56" s="346" t="s">
        <v>1765</v>
      </c>
      <c r="R56" s="458">
        <v>44289</v>
      </c>
    </row>
    <row r="57" spans="1:18" x14ac:dyDescent="0.25">
      <c r="A57" s="458">
        <v>44680</v>
      </c>
      <c r="B57" s="346">
        <v>4100000008</v>
      </c>
      <c r="C57" s="346" t="s">
        <v>1938</v>
      </c>
      <c r="D57" s="346" t="s">
        <v>1756</v>
      </c>
      <c r="E57" s="346" t="s">
        <v>1757</v>
      </c>
      <c r="F57" s="346" t="s">
        <v>1758</v>
      </c>
      <c r="G57" s="346" t="s">
        <v>1764</v>
      </c>
      <c r="H57" s="346" t="s">
        <v>1250</v>
      </c>
      <c r="I57" s="346">
        <v>220000</v>
      </c>
      <c r="J57" s="346" t="s">
        <v>572</v>
      </c>
      <c r="K57" s="346" t="s">
        <v>1761</v>
      </c>
      <c r="L57" s="346"/>
      <c r="M57" s="346" t="s">
        <v>1761</v>
      </c>
      <c r="N57" s="346">
        <v>0.79</v>
      </c>
      <c r="O57" s="346">
        <v>5</v>
      </c>
      <c r="P57" s="346">
        <v>5.79</v>
      </c>
      <c r="Q57" s="346" t="s">
        <v>1765</v>
      </c>
      <c r="R57" s="458">
        <v>44177</v>
      </c>
    </row>
    <row r="58" spans="1:18" x14ac:dyDescent="0.25">
      <c r="A58" s="458">
        <v>44680</v>
      </c>
      <c r="B58" s="346">
        <v>4100000007</v>
      </c>
      <c r="C58" s="346" t="s">
        <v>1937</v>
      </c>
      <c r="D58" s="346" t="s">
        <v>1756</v>
      </c>
      <c r="E58" s="346" t="s">
        <v>1757</v>
      </c>
      <c r="F58" s="346" t="s">
        <v>1758</v>
      </c>
      <c r="G58" s="346" t="s">
        <v>1764</v>
      </c>
      <c r="H58" s="346" t="s">
        <v>1250</v>
      </c>
      <c r="I58" s="346">
        <v>10846500</v>
      </c>
      <c r="J58" s="346" t="s">
        <v>572</v>
      </c>
      <c r="K58" s="346" t="s">
        <v>1761</v>
      </c>
      <c r="L58" s="346"/>
      <c r="M58" s="346" t="s">
        <v>1761</v>
      </c>
      <c r="N58" s="346">
        <v>0.79</v>
      </c>
      <c r="O58" s="346">
        <v>3.5</v>
      </c>
      <c r="P58" s="346">
        <v>4.29</v>
      </c>
      <c r="Q58" s="346" t="s">
        <v>1765</v>
      </c>
      <c r="R58" s="458">
        <v>44177</v>
      </c>
    </row>
    <row r="59" spans="1:18" x14ac:dyDescent="0.25">
      <c r="A59" s="458">
        <v>44680</v>
      </c>
      <c r="B59" s="346">
        <v>4100000009</v>
      </c>
      <c r="C59" s="346" t="s">
        <v>1934</v>
      </c>
      <c r="D59" s="346" t="s">
        <v>1756</v>
      </c>
      <c r="E59" s="346" t="s">
        <v>1757</v>
      </c>
      <c r="F59" s="346" t="s">
        <v>1758</v>
      </c>
      <c r="G59" s="346" t="s">
        <v>1764</v>
      </c>
      <c r="H59" s="346" t="s">
        <v>1250</v>
      </c>
      <c r="I59" s="346">
        <v>660000</v>
      </c>
      <c r="J59" s="346" t="s">
        <v>572</v>
      </c>
      <c r="K59" s="346" t="s">
        <v>1761</v>
      </c>
      <c r="L59" s="346"/>
      <c r="M59" s="346" t="s">
        <v>1761</v>
      </c>
      <c r="N59" s="346">
        <v>0.79</v>
      </c>
      <c r="O59" s="346">
        <v>5</v>
      </c>
      <c r="P59" s="346">
        <v>5.79</v>
      </c>
      <c r="Q59" s="346" t="s">
        <v>1765</v>
      </c>
      <c r="R59" s="458">
        <v>44177</v>
      </c>
    </row>
    <row r="60" spans="1:18" x14ac:dyDescent="0.25">
      <c r="A60" s="458">
        <v>44680</v>
      </c>
      <c r="B60" s="346">
        <v>4100000148</v>
      </c>
      <c r="C60" s="346" t="s">
        <v>1964</v>
      </c>
      <c r="D60" s="346" t="s">
        <v>1756</v>
      </c>
      <c r="E60" s="346" t="s">
        <v>1757</v>
      </c>
      <c r="F60" s="346" t="s">
        <v>1758</v>
      </c>
      <c r="G60" s="346" t="s">
        <v>1764</v>
      </c>
      <c r="H60" s="346" t="s">
        <v>1250</v>
      </c>
      <c r="I60" s="346">
        <v>10474130</v>
      </c>
      <c r="J60" s="346" t="s">
        <v>572</v>
      </c>
      <c r="K60" s="346" t="s">
        <v>1761</v>
      </c>
      <c r="L60" s="346"/>
      <c r="M60" s="346" t="s">
        <v>1761</v>
      </c>
      <c r="N60" s="346">
        <v>0.14000000000000001</v>
      </c>
      <c r="O60" s="346">
        <v>4.5</v>
      </c>
      <c r="P60" s="346">
        <v>5.25</v>
      </c>
      <c r="Q60" s="346" t="s">
        <v>1765</v>
      </c>
      <c r="R60" s="458">
        <v>44303</v>
      </c>
    </row>
    <row r="61" spans="1:18" x14ac:dyDescent="0.25">
      <c r="A61" s="458">
        <v>44680</v>
      </c>
      <c r="B61" s="346">
        <v>5200000130</v>
      </c>
      <c r="C61" s="346" t="s">
        <v>1966</v>
      </c>
      <c r="D61" s="346" t="s">
        <v>1756</v>
      </c>
      <c r="E61" s="346" t="s">
        <v>1757</v>
      </c>
      <c r="F61" s="346" t="s">
        <v>1758</v>
      </c>
      <c r="G61" s="346" t="s">
        <v>1768</v>
      </c>
      <c r="H61" s="346" t="s">
        <v>1769</v>
      </c>
      <c r="I61" s="346">
        <v>2851171.07</v>
      </c>
      <c r="J61" s="346" t="s">
        <v>572</v>
      </c>
      <c r="K61" s="346" t="s">
        <v>1761</v>
      </c>
      <c r="L61" s="346"/>
      <c r="M61" s="346" t="s">
        <v>1761</v>
      </c>
      <c r="N61" s="346">
        <v>0.1</v>
      </c>
      <c r="O61" s="346">
        <v>6.02</v>
      </c>
      <c r="P61" s="346">
        <v>6.77</v>
      </c>
      <c r="Q61" s="346" t="s">
        <v>1762</v>
      </c>
      <c r="R61" s="458">
        <v>1</v>
      </c>
    </row>
    <row r="62" spans="1:18" x14ac:dyDescent="0.25">
      <c r="A62" s="458">
        <v>44680</v>
      </c>
      <c r="B62" s="346">
        <v>5200000133</v>
      </c>
      <c r="C62" s="346" t="s">
        <v>1967</v>
      </c>
      <c r="D62" s="346" t="s">
        <v>1756</v>
      </c>
      <c r="E62" s="346" t="s">
        <v>1757</v>
      </c>
      <c r="F62" s="346" t="s">
        <v>1758</v>
      </c>
      <c r="G62" s="346" t="s">
        <v>1768</v>
      </c>
      <c r="H62" s="346" t="s">
        <v>1769</v>
      </c>
      <c r="I62" s="346">
        <v>3915911</v>
      </c>
      <c r="J62" s="346" t="s">
        <v>572</v>
      </c>
      <c r="K62" s="346" t="s">
        <v>1761</v>
      </c>
      <c r="L62" s="346"/>
      <c r="M62" s="346" t="s">
        <v>1761</v>
      </c>
      <c r="N62" s="346">
        <v>0.1</v>
      </c>
      <c r="O62" s="346">
        <v>5.82</v>
      </c>
      <c r="P62" s="346">
        <v>6.57</v>
      </c>
      <c r="Q62" s="346" t="s">
        <v>1762</v>
      </c>
      <c r="R62" s="458">
        <v>1</v>
      </c>
    </row>
    <row r="63" spans="1:18" x14ac:dyDescent="0.25">
      <c r="A63" s="458">
        <v>44680</v>
      </c>
      <c r="B63" s="346">
        <v>1100000137</v>
      </c>
      <c r="C63" s="346" t="s">
        <v>1968</v>
      </c>
      <c r="D63" s="346" t="s">
        <v>1281</v>
      </c>
      <c r="E63" s="346" t="s">
        <v>1757</v>
      </c>
      <c r="F63" s="346" t="s">
        <v>1758</v>
      </c>
      <c r="G63" s="346" t="s">
        <v>1771</v>
      </c>
      <c r="H63" s="346" t="s">
        <v>1237</v>
      </c>
      <c r="I63" s="346">
        <v>4670000</v>
      </c>
      <c r="J63" s="346" t="s">
        <v>572</v>
      </c>
      <c r="K63" s="346" t="s">
        <v>1761</v>
      </c>
      <c r="L63" s="346"/>
      <c r="M63" s="346" t="s">
        <v>1761</v>
      </c>
      <c r="N63" s="346">
        <v>0.1</v>
      </c>
      <c r="O63" s="346">
        <v>4.6500000000000004</v>
      </c>
      <c r="P63" s="346">
        <v>5.4</v>
      </c>
      <c r="Q63" s="346" t="s">
        <v>1762</v>
      </c>
      <c r="R63" s="458">
        <v>1</v>
      </c>
    </row>
    <row r="64" spans="1:18" x14ac:dyDescent="0.25">
      <c r="A64" s="458">
        <v>44680</v>
      </c>
      <c r="B64" s="346">
        <v>1100000150</v>
      </c>
      <c r="C64" s="346" t="s">
        <v>1970</v>
      </c>
      <c r="D64" s="346" t="s">
        <v>1756</v>
      </c>
      <c r="E64" s="346" t="s">
        <v>1757</v>
      </c>
      <c r="F64" s="346" t="s">
        <v>1758</v>
      </c>
      <c r="G64" s="346" t="s">
        <v>1771</v>
      </c>
      <c r="H64" s="346" t="s">
        <v>1237</v>
      </c>
      <c r="I64" s="346">
        <v>3305721.9</v>
      </c>
      <c r="J64" s="346" t="s">
        <v>572</v>
      </c>
      <c r="K64" s="346" t="s">
        <v>1761</v>
      </c>
      <c r="L64" s="346"/>
      <c r="M64" s="346" t="s">
        <v>1761</v>
      </c>
      <c r="N64" s="346">
        <v>0.64</v>
      </c>
      <c r="O64" s="346">
        <v>4.5</v>
      </c>
      <c r="P64" s="346">
        <v>5.25</v>
      </c>
      <c r="Q64" s="346" t="s">
        <v>1762</v>
      </c>
      <c r="R64" s="458">
        <v>1</v>
      </c>
    </row>
    <row r="65" spans="1:18" x14ac:dyDescent="0.25">
      <c r="A65" s="458">
        <v>44680</v>
      </c>
      <c r="B65" s="346">
        <v>1100000138</v>
      </c>
      <c r="C65" s="346" t="s">
        <v>1971</v>
      </c>
      <c r="D65" s="346" t="s">
        <v>1281</v>
      </c>
      <c r="E65" s="346" t="s">
        <v>1757</v>
      </c>
      <c r="F65" s="346" t="s">
        <v>1758</v>
      </c>
      <c r="G65" s="346" t="s">
        <v>1771</v>
      </c>
      <c r="H65" s="346" t="s">
        <v>1237</v>
      </c>
      <c r="I65" s="346">
        <v>11942000</v>
      </c>
      <c r="J65" s="346" t="s">
        <v>572</v>
      </c>
      <c r="K65" s="346" t="s">
        <v>1761</v>
      </c>
      <c r="L65" s="346"/>
      <c r="M65" s="346" t="s">
        <v>1761</v>
      </c>
      <c r="N65" s="346">
        <v>0.1</v>
      </c>
      <c r="O65" s="346">
        <v>4.6500000000000004</v>
      </c>
      <c r="P65" s="346">
        <v>5.4</v>
      </c>
      <c r="Q65" s="346" t="s">
        <v>1762</v>
      </c>
      <c r="R65" s="458">
        <v>1</v>
      </c>
    </row>
    <row r="66" spans="1:18" x14ac:dyDescent="0.25">
      <c r="A66" s="458">
        <v>44680</v>
      </c>
      <c r="B66" s="346">
        <v>1100000135</v>
      </c>
      <c r="C66" s="346" t="s">
        <v>1972</v>
      </c>
      <c r="D66" s="346" t="s">
        <v>1281</v>
      </c>
      <c r="E66" s="346" t="s">
        <v>1757</v>
      </c>
      <c r="F66" s="346" t="s">
        <v>1770</v>
      </c>
      <c r="G66" s="346" t="s">
        <v>1771</v>
      </c>
      <c r="H66" s="346" t="s">
        <v>1237</v>
      </c>
      <c r="I66" s="346">
        <v>0</v>
      </c>
      <c r="J66" s="346" t="s">
        <v>572</v>
      </c>
      <c r="K66" s="346" t="s">
        <v>1761</v>
      </c>
      <c r="L66" s="346"/>
      <c r="M66" s="346" t="s">
        <v>1761</v>
      </c>
      <c r="N66" s="346">
        <v>0.1</v>
      </c>
      <c r="O66" s="346">
        <v>5.29</v>
      </c>
      <c r="P66" s="346">
        <v>6.04</v>
      </c>
      <c r="Q66" s="346" t="s">
        <v>1762</v>
      </c>
      <c r="R66" s="458">
        <v>1</v>
      </c>
    </row>
    <row r="67" spans="1:18" x14ac:dyDescent="0.25">
      <c r="A67" s="458">
        <v>44680</v>
      </c>
      <c r="B67" s="346">
        <v>1100000117</v>
      </c>
      <c r="C67" s="346" t="s">
        <v>1973</v>
      </c>
      <c r="D67" s="346" t="s">
        <v>1281</v>
      </c>
      <c r="E67" s="346" t="s">
        <v>1757</v>
      </c>
      <c r="F67" s="346" t="s">
        <v>1770</v>
      </c>
      <c r="G67" s="346" t="s">
        <v>1771</v>
      </c>
      <c r="H67" s="346" t="s">
        <v>1237</v>
      </c>
      <c r="I67" s="346">
        <v>0</v>
      </c>
      <c r="J67" s="346" t="s">
        <v>572</v>
      </c>
      <c r="K67" s="346" t="s">
        <v>1761</v>
      </c>
      <c r="L67" s="346"/>
      <c r="M67" s="346" t="s">
        <v>1761</v>
      </c>
      <c r="N67" s="346">
        <v>0.1</v>
      </c>
      <c r="O67" s="346">
        <v>5.29</v>
      </c>
      <c r="P67" s="346">
        <v>6.04</v>
      </c>
      <c r="Q67" s="346" t="s">
        <v>1762</v>
      </c>
      <c r="R67" s="458">
        <v>1</v>
      </c>
    </row>
    <row r="68" spans="1:18" x14ac:dyDescent="0.25">
      <c r="A68" s="458">
        <v>44680</v>
      </c>
      <c r="B68" s="346">
        <v>1100000153</v>
      </c>
      <c r="C68" s="346" t="s">
        <v>1974</v>
      </c>
      <c r="D68" s="346" t="s">
        <v>1756</v>
      </c>
      <c r="E68" s="346" t="s">
        <v>1757</v>
      </c>
      <c r="F68" s="346" t="s">
        <v>1758</v>
      </c>
      <c r="G68" s="346" t="s">
        <v>1771</v>
      </c>
      <c r="H68" s="346" t="s">
        <v>1237</v>
      </c>
      <c r="I68" s="346">
        <v>40447386.43</v>
      </c>
      <c r="J68" s="346" t="s">
        <v>572</v>
      </c>
      <c r="K68" s="346" t="s">
        <v>1761</v>
      </c>
      <c r="L68" s="346"/>
      <c r="M68" s="346" t="s">
        <v>1761</v>
      </c>
      <c r="N68" s="346">
        <v>0.8</v>
      </c>
      <c r="O68" s="346">
        <v>5</v>
      </c>
      <c r="P68" s="346">
        <v>5.8</v>
      </c>
      <c r="Q68" s="346" t="s">
        <v>1765</v>
      </c>
      <c r="R68" s="458">
        <v>44303</v>
      </c>
    </row>
    <row r="69" spans="1:18" x14ac:dyDescent="0.25">
      <c r="A69" s="458">
        <v>44680</v>
      </c>
      <c r="B69" s="346">
        <v>1100000118</v>
      </c>
      <c r="C69" s="346" t="s">
        <v>1975</v>
      </c>
      <c r="D69" s="346" t="s">
        <v>1281</v>
      </c>
      <c r="E69" s="346" t="s">
        <v>1763</v>
      </c>
      <c r="F69" s="346" t="s">
        <v>1770</v>
      </c>
      <c r="G69" s="346" t="s">
        <v>1771</v>
      </c>
      <c r="H69" s="346" t="s">
        <v>1237</v>
      </c>
      <c r="I69" s="346">
        <v>0</v>
      </c>
      <c r="J69" s="346" t="s">
        <v>572</v>
      </c>
      <c r="K69" s="346" t="s">
        <v>1761</v>
      </c>
      <c r="L69" s="346"/>
      <c r="M69" s="346" t="s">
        <v>1761</v>
      </c>
      <c r="N69" s="346">
        <v>0.1</v>
      </c>
      <c r="O69" s="346">
        <v>5.29</v>
      </c>
      <c r="P69" s="346">
        <v>6.04</v>
      </c>
      <c r="Q69" s="346" t="s">
        <v>1762</v>
      </c>
      <c r="R69" s="458">
        <v>1</v>
      </c>
    </row>
    <row r="70" spans="1:18" x14ac:dyDescent="0.25">
      <c r="A70" s="458">
        <v>44680</v>
      </c>
      <c r="B70" s="346">
        <v>1100000115</v>
      </c>
      <c r="C70" s="346" t="s">
        <v>1976</v>
      </c>
      <c r="D70" s="346" t="s">
        <v>1281</v>
      </c>
      <c r="E70" s="346" t="s">
        <v>1763</v>
      </c>
      <c r="F70" s="346" t="s">
        <v>1770</v>
      </c>
      <c r="G70" s="346" t="s">
        <v>1771</v>
      </c>
      <c r="H70" s="346" t="s">
        <v>1237</v>
      </c>
      <c r="I70" s="346">
        <v>0</v>
      </c>
      <c r="J70" s="346" t="s">
        <v>572</v>
      </c>
      <c r="K70" s="346" t="s">
        <v>1761</v>
      </c>
      <c r="L70" s="346"/>
      <c r="M70" s="346" t="s">
        <v>1761</v>
      </c>
      <c r="N70" s="346">
        <v>0.1</v>
      </c>
      <c r="O70" s="346">
        <v>5.29</v>
      </c>
      <c r="P70" s="346">
        <v>6.04</v>
      </c>
      <c r="Q70" s="346" t="s">
        <v>1762</v>
      </c>
      <c r="R70" s="458">
        <v>1</v>
      </c>
    </row>
    <row r="71" spans="1:18" x14ac:dyDescent="0.25">
      <c r="A71" s="458">
        <v>44680</v>
      </c>
      <c r="B71" s="346">
        <v>1100000116</v>
      </c>
      <c r="C71" s="346" t="s">
        <v>1977</v>
      </c>
      <c r="D71" s="346" t="s">
        <v>1281</v>
      </c>
      <c r="E71" s="346" t="s">
        <v>1763</v>
      </c>
      <c r="F71" s="346" t="s">
        <v>1770</v>
      </c>
      <c r="G71" s="346" t="s">
        <v>1771</v>
      </c>
      <c r="H71" s="346" t="s">
        <v>1237</v>
      </c>
      <c r="I71" s="346">
        <v>0</v>
      </c>
      <c r="J71" s="346" t="s">
        <v>572</v>
      </c>
      <c r="K71" s="346" t="s">
        <v>1761</v>
      </c>
      <c r="L71" s="346"/>
      <c r="M71" s="346" t="s">
        <v>1761</v>
      </c>
      <c r="N71" s="346">
        <v>0.1</v>
      </c>
      <c r="O71" s="346">
        <v>5.29</v>
      </c>
      <c r="P71" s="346">
        <v>6.04</v>
      </c>
      <c r="Q71" s="346" t="s">
        <v>1762</v>
      </c>
      <c r="R71" s="458">
        <v>1</v>
      </c>
    </row>
    <row r="72" spans="1:18" x14ac:dyDescent="0.25">
      <c r="A72" s="458">
        <v>44680</v>
      </c>
      <c r="B72" s="346">
        <v>1100000119</v>
      </c>
      <c r="C72" s="346" t="s">
        <v>1978</v>
      </c>
      <c r="D72" s="346" t="s">
        <v>1756</v>
      </c>
      <c r="E72" s="346" t="s">
        <v>1757</v>
      </c>
      <c r="F72" s="346" t="s">
        <v>1758</v>
      </c>
      <c r="G72" s="346" t="s">
        <v>1771</v>
      </c>
      <c r="H72" s="346" t="s">
        <v>1237</v>
      </c>
      <c r="I72" s="346">
        <v>3066666.62</v>
      </c>
      <c r="J72" s="346" t="s">
        <v>572</v>
      </c>
      <c r="K72" s="346" t="s">
        <v>1761</v>
      </c>
      <c r="L72" s="346"/>
      <c r="M72" s="346" t="s">
        <v>1761</v>
      </c>
      <c r="N72" s="346">
        <v>0.1</v>
      </c>
      <c r="O72" s="346">
        <v>5.5</v>
      </c>
      <c r="P72" s="346">
        <v>6.25</v>
      </c>
      <c r="Q72" s="346" t="s">
        <v>1762</v>
      </c>
      <c r="R72" s="458">
        <v>1</v>
      </c>
    </row>
    <row r="73" spans="1:18" x14ac:dyDescent="0.25">
      <c r="A73" s="458">
        <v>44680</v>
      </c>
      <c r="B73" s="346">
        <v>1100000136</v>
      </c>
      <c r="C73" s="346" t="s">
        <v>1979</v>
      </c>
      <c r="D73" s="346" t="s">
        <v>1756</v>
      </c>
      <c r="E73" s="346" t="s">
        <v>1757</v>
      </c>
      <c r="F73" s="346" t="s">
        <v>1758</v>
      </c>
      <c r="G73" s="346" t="s">
        <v>1771</v>
      </c>
      <c r="H73" s="346" t="s">
        <v>1237</v>
      </c>
      <c r="I73" s="346">
        <v>2312500</v>
      </c>
      <c r="J73" s="346" t="s">
        <v>572</v>
      </c>
      <c r="K73" s="346" t="s">
        <v>1761</v>
      </c>
      <c r="L73" s="346"/>
      <c r="M73" s="346" t="s">
        <v>1761</v>
      </c>
      <c r="N73" s="346">
        <v>0.1</v>
      </c>
      <c r="O73" s="346">
        <v>6.15</v>
      </c>
      <c r="P73" s="346">
        <v>6.9</v>
      </c>
      <c r="Q73" s="346" t="s">
        <v>1762</v>
      </c>
      <c r="R73" s="458">
        <v>1</v>
      </c>
    </row>
    <row r="74" spans="1:18" x14ac:dyDescent="0.25">
      <c r="A74" s="458">
        <v>44680</v>
      </c>
      <c r="B74" s="346">
        <v>1100000125</v>
      </c>
      <c r="C74" s="346" t="s">
        <v>1980</v>
      </c>
      <c r="D74" s="346" t="s">
        <v>1281</v>
      </c>
      <c r="E74" s="346" t="s">
        <v>1757</v>
      </c>
      <c r="F74" s="346" t="s">
        <v>1758</v>
      </c>
      <c r="G74" s="346" t="s">
        <v>1771</v>
      </c>
      <c r="H74" s="346" t="s">
        <v>1237</v>
      </c>
      <c r="I74" s="346">
        <v>3000000</v>
      </c>
      <c r="J74" s="346" t="s">
        <v>572</v>
      </c>
      <c r="K74" s="346" t="s">
        <v>1761</v>
      </c>
      <c r="L74" s="346"/>
      <c r="M74" s="346" t="s">
        <v>1761</v>
      </c>
      <c r="N74" s="346">
        <v>0.6</v>
      </c>
      <c r="O74" s="346">
        <v>4.33</v>
      </c>
      <c r="P74" s="346">
        <v>5.08</v>
      </c>
      <c r="Q74" s="346" t="s">
        <v>1762</v>
      </c>
      <c r="R74" s="458">
        <v>1</v>
      </c>
    </row>
    <row r="75" spans="1:18" x14ac:dyDescent="0.25">
      <c r="A75" s="458">
        <v>44680</v>
      </c>
      <c r="B75" s="346">
        <v>1100000124</v>
      </c>
      <c r="C75" s="346" t="s">
        <v>1981</v>
      </c>
      <c r="D75" s="346" t="s">
        <v>1281</v>
      </c>
      <c r="E75" s="346" t="s">
        <v>1757</v>
      </c>
      <c r="F75" s="346" t="s">
        <v>1758</v>
      </c>
      <c r="G75" s="346" t="s">
        <v>1771</v>
      </c>
      <c r="H75" s="346" t="s">
        <v>1237</v>
      </c>
      <c r="I75" s="346">
        <v>10000000</v>
      </c>
      <c r="J75" s="346" t="s">
        <v>572</v>
      </c>
      <c r="K75" s="346" t="s">
        <v>1761</v>
      </c>
      <c r="L75" s="346"/>
      <c r="M75" s="346" t="s">
        <v>1761</v>
      </c>
      <c r="N75" s="346">
        <v>0.6</v>
      </c>
      <c r="O75" s="346">
        <v>4.33</v>
      </c>
      <c r="P75" s="346">
        <v>5.08</v>
      </c>
      <c r="Q75" s="346" t="s">
        <v>1762</v>
      </c>
      <c r="R75" s="458">
        <v>1</v>
      </c>
    </row>
    <row r="76" spans="1:18" x14ac:dyDescent="0.25">
      <c r="A76" s="458">
        <v>44680</v>
      </c>
      <c r="B76" s="346">
        <v>1100000123</v>
      </c>
      <c r="C76" s="346" t="s">
        <v>1982</v>
      </c>
      <c r="D76" s="346" t="s">
        <v>1281</v>
      </c>
      <c r="E76" s="346" t="s">
        <v>1757</v>
      </c>
      <c r="F76" s="346" t="s">
        <v>1758</v>
      </c>
      <c r="G76" s="346" t="s">
        <v>1771</v>
      </c>
      <c r="H76" s="346" t="s">
        <v>1237</v>
      </c>
      <c r="I76" s="346">
        <v>10000000</v>
      </c>
      <c r="J76" s="346" t="s">
        <v>572</v>
      </c>
      <c r="K76" s="346" t="s">
        <v>1761</v>
      </c>
      <c r="L76" s="346"/>
      <c r="M76" s="346" t="s">
        <v>1761</v>
      </c>
      <c r="N76" s="346">
        <v>0.6</v>
      </c>
      <c r="O76" s="346">
        <v>4.33</v>
      </c>
      <c r="P76" s="346">
        <v>5.08</v>
      </c>
      <c r="Q76" s="346" t="s">
        <v>1762</v>
      </c>
      <c r="R76" s="458">
        <v>1</v>
      </c>
    </row>
    <row r="77" spans="1:18" x14ac:dyDescent="0.25">
      <c r="A77" s="458">
        <v>44680</v>
      </c>
      <c r="B77" s="346">
        <v>1100000122</v>
      </c>
      <c r="C77" s="346" t="s">
        <v>1983</v>
      </c>
      <c r="D77" s="346" t="s">
        <v>1281</v>
      </c>
      <c r="E77" s="346" t="s">
        <v>1757</v>
      </c>
      <c r="F77" s="346" t="s">
        <v>1758</v>
      </c>
      <c r="G77" s="346" t="s">
        <v>1771</v>
      </c>
      <c r="H77" s="346" t="s">
        <v>1237</v>
      </c>
      <c r="I77" s="346">
        <v>10000000</v>
      </c>
      <c r="J77" s="346" t="s">
        <v>572</v>
      </c>
      <c r="K77" s="346" t="s">
        <v>1761</v>
      </c>
      <c r="L77" s="346"/>
      <c r="M77" s="346" t="s">
        <v>1761</v>
      </c>
      <c r="N77" s="346">
        <v>0.6</v>
      </c>
      <c r="O77" s="346">
        <v>4.33</v>
      </c>
      <c r="P77" s="346">
        <v>5.08</v>
      </c>
      <c r="Q77" s="346" t="s">
        <v>1762</v>
      </c>
      <c r="R77" s="458">
        <v>1</v>
      </c>
    </row>
    <row r="78" spans="1:18" x14ac:dyDescent="0.25">
      <c r="A78" s="458">
        <v>44680</v>
      </c>
      <c r="B78" s="346">
        <v>1100000121</v>
      </c>
      <c r="C78" s="346" t="s">
        <v>1984</v>
      </c>
      <c r="D78" s="346" t="s">
        <v>1281</v>
      </c>
      <c r="E78" s="346" t="s">
        <v>1757</v>
      </c>
      <c r="F78" s="346" t="s">
        <v>1758</v>
      </c>
      <c r="G78" s="346" t="s">
        <v>1771</v>
      </c>
      <c r="H78" s="346" t="s">
        <v>1237</v>
      </c>
      <c r="I78" s="346">
        <v>10000000</v>
      </c>
      <c r="J78" s="346" t="s">
        <v>572</v>
      </c>
      <c r="K78" s="346" t="s">
        <v>1761</v>
      </c>
      <c r="L78" s="346"/>
      <c r="M78" s="346" t="s">
        <v>1761</v>
      </c>
      <c r="N78" s="346">
        <v>0.6</v>
      </c>
      <c r="O78" s="346">
        <v>4.33</v>
      </c>
      <c r="P78" s="346">
        <v>5.08</v>
      </c>
      <c r="Q78" s="346" t="s">
        <v>1762</v>
      </c>
      <c r="R78" s="458">
        <v>1</v>
      </c>
    </row>
    <row r="79" spans="1:18" x14ac:dyDescent="0.25">
      <c r="A79" s="458">
        <v>44680</v>
      </c>
      <c r="B79" s="346">
        <v>1100000120</v>
      </c>
      <c r="C79" s="346" t="s">
        <v>1985</v>
      </c>
      <c r="D79" s="346" t="s">
        <v>1281</v>
      </c>
      <c r="E79" s="346" t="s">
        <v>1757</v>
      </c>
      <c r="F79" s="346" t="s">
        <v>1758</v>
      </c>
      <c r="G79" s="346" t="s">
        <v>1771</v>
      </c>
      <c r="H79" s="346" t="s">
        <v>1237</v>
      </c>
      <c r="I79" s="346">
        <v>10000000</v>
      </c>
      <c r="J79" s="346" t="s">
        <v>572</v>
      </c>
      <c r="K79" s="346" t="s">
        <v>1761</v>
      </c>
      <c r="L79" s="346"/>
      <c r="M79" s="346" t="s">
        <v>1761</v>
      </c>
      <c r="N79" s="346">
        <v>0.6</v>
      </c>
      <c r="O79" s="346">
        <v>4.33</v>
      </c>
      <c r="P79" s="346">
        <v>5.08</v>
      </c>
      <c r="Q79" s="346" t="s">
        <v>1762</v>
      </c>
      <c r="R79" s="458">
        <v>1</v>
      </c>
    </row>
    <row r="80" spans="1:18" x14ac:dyDescent="0.25">
      <c r="A80" s="458">
        <v>44680</v>
      </c>
      <c r="B80" s="346">
        <v>1100000126</v>
      </c>
      <c r="C80" s="346" t="s">
        <v>1986</v>
      </c>
      <c r="D80" s="346" t="s">
        <v>1756</v>
      </c>
      <c r="E80" s="346" t="s">
        <v>1757</v>
      </c>
      <c r="F80" s="346" t="s">
        <v>1758</v>
      </c>
      <c r="G80" s="346" t="s">
        <v>1771</v>
      </c>
      <c r="H80" s="346" t="s">
        <v>1237</v>
      </c>
      <c r="I80" s="346">
        <v>833332</v>
      </c>
      <c r="J80" s="346" t="s">
        <v>572</v>
      </c>
      <c r="K80" s="346" t="s">
        <v>1761</v>
      </c>
      <c r="L80" s="346"/>
      <c r="M80" s="346" t="s">
        <v>1761</v>
      </c>
      <c r="N80" s="346">
        <v>0.1</v>
      </c>
      <c r="O80" s="346">
        <v>5.75</v>
      </c>
      <c r="P80" s="346">
        <v>6.5</v>
      </c>
      <c r="Q80" s="346" t="s">
        <v>1762</v>
      </c>
      <c r="R80" s="458">
        <v>1</v>
      </c>
    </row>
    <row r="81" spans="1:18" x14ac:dyDescent="0.25">
      <c r="A81" s="458">
        <v>44680</v>
      </c>
      <c r="B81" s="346">
        <v>1100000128</v>
      </c>
      <c r="C81" s="346" t="s">
        <v>1987</v>
      </c>
      <c r="D81" s="346" t="s">
        <v>1281</v>
      </c>
      <c r="E81" s="346" t="s">
        <v>1757</v>
      </c>
      <c r="F81" s="346" t="s">
        <v>1758</v>
      </c>
      <c r="G81" s="346" t="s">
        <v>1771</v>
      </c>
      <c r="H81" s="346" t="s">
        <v>1237</v>
      </c>
      <c r="I81" s="346">
        <v>0</v>
      </c>
      <c r="J81" s="346" t="s">
        <v>572</v>
      </c>
      <c r="K81" s="346" t="s">
        <v>1761</v>
      </c>
      <c r="L81" s="346"/>
      <c r="M81" s="346" t="s">
        <v>1761</v>
      </c>
      <c r="N81" s="346">
        <v>0.1</v>
      </c>
      <c r="O81" s="346">
        <v>4.5</v>
      </c>
      <c r="P81" s="346">
        <v>5.25</v>
      </c>
      <c r="Q81" s="346" t="s">
        <v>1762</v>
      </c>
      <c r="R81" s="458">
        <v>1</v>
      </c>
    </row>
    <row r="82" spans="1:18" x14ac:dyDescent="0.25">
      <c r="A82" s="458">
        <v>44680</v>
      </c>
      <c r="B82" s="346">
        <v>1100000148</v>
      </c>
      <c r="C82" s="346" t="s">
        <v>1988</v>
      </c>
      <c r="D82" s="346" t="s">
        <v>1756</v>
      </c>
      <c r="E82" s="346" t="s">
        <v>1757</v>
      </c>
      <c r="F82" s="346" t="s">
        <v>1758</v>
      </c>
      <c r="G82" s="346" t="s">
        <v>1771</v>
      </c>
      <c r="H82" s="346" t="s">
        <v>1237</v>
      </c>
      <c r="I82" s="346">
        <v>3333090.95</v>
      </c>
      <c r="J82" s="346" t="s">
        <v>572</v>
      </c>
      <c r="K82" s="346" t="s">
        <v>1761</v>
      </c>
      <c r="L82" s="346"/>
      <c r="M82" s="346" t="s">
        <v>1761</v>
      </c>
      <c r="N82" s="346">
        <v>0.1</v>
      </c>
      <c r="O82" s="346">
        <v>6.5</v>
      </c>
      <c r="P82" s="346">
        <v>7.25</v>
      </c>
      <c r="Q82" s="346" t="s">
        <v>1762</v>
      </c>
      <c r="R82" s="458">
        <v>1</v>
      </c>
    </row>
    <row r="83" spans="1:18" x14ac:dyDescent="0.25">
      <c r="A83" s="458">
        <v>44680</v>
      </c>
      <c r="B83" s="346">
        <v>1100000152</v>
      </c>
      <c r="C83" s="346" t="s">
        <v>1989</v>
      </c>
      <c r="D83" s="346" t="s">
        <v>1756</v>
      </c>
      <c r="E83" s="346" t="s">
        <v>1757</v>
      </c>
      <c r="F83" s="346" t="s">
        <v>1758</v>
      </c>
      <c r="G83" s="346" t="s">
        <v>1771</v>
      </c>
      <c r="H83" s="346" t="s">
        <v>1237</v>
      </c>
      <c r="I83" s="346">
        <v>8600309</v>
      </c>
      <c r="J83" s="346" t="s">
        <v>572</v>
      </c>
      <c r="K83" s="346" t="s">
        <v>1761</v>
      </c>
      <c r="L83" s="346"/>
      <c r="M83" s="346" t="s">
        <v>1761</v>
      </c>
      <c r="N83" s="346">
        <v>0.78</v>
      </c>
      <c r="O83" s="346">
        <v>6.25</v>
      </c>
      <c r="P83" s="346">
        <v>7.03</v>
      </c>
      <c r="Q83" s="346" t="s">
        <v>1765</v>
      </c>
      <c r="R83" s="458">
        <v>44303</v>
      </c>
    </row>
    <row r="84" spans="1:18" x14ac:dyDescent="0.25">
      <c r="A84" s="458">
        <v>44680</v>
      </c>
      <c r="B84" s="346">
        <v>1100000151</v>
      </c>
      <c r="C84" s="346" t="s">
        <v>1990</v>
      </c>
      <c r="D84" s="346" t="s">
        <v>1756</v>
      </c>
      <c r="E84" s="346" t="s">
        <v>1757</v>
      </c>
      <c r="F84" s="346" t="s">
        <v>1758</v>
      </c>
      <c r="G84" s="346" t="s">
        <v>1771</v>
      </c>
      <c r="H84" s="346" t="s">
        <v>1237</v>
      </c>
      <c r="I84" s="346">
        <v>16818750</v>
      </c>
      <c r="J84" s="346" t="s">
        <v>572</v>
      </c>
      <c r="K84" s="346" t="s">
        <v>1761</v>
      </c>
      <c r="L84" s="346"/>
      <c r="M84" s="346" t="s">
        <v>1761</v>
      </c>
      <c r="N84" s="346">
        <v>0.77</v>
      </c>
      <c r="O84" s="346">
        <v>6.25</v>
      </c>
      <c r="P84" s="346">
        <v>7.02</v>
      </c>
      <c r="Q84" s="346" t="s">
        <v>1765</v>
      </c>
      <c r="R84" s="458">
        <v>44303</v>
      </c>
    </row>
    <row r="85" spans="1:18" x14ac:dyDescent="0.25">
      <c r="A85" s="458">
        <v>44680</v>
      </c>
      <c r="B85" s="346">
        <v>1100000002</v>
      </c>
      <c r="C85" s="346" t="s">
        <v>1993</v>
      </c>
      <c r="D85" s="346" t="s">
        <v>1756</v>
      </c>
      <c r="E85" s="346" t="s">
        <v>1757</v>
      </c>
      <c r="F85" s="346" t="s">
        <v>1758</v>
      </c>
      <c r="G85" s="346" t="s">
        <v>1771</v>
      </c>
      <c r="H85" s="346" t="s">
        <v>1237</v>
      </c>
      <c r="I85" s="346">
        <v>1720600.48</v>
      </c>
      <c r="J85" s="346" t="s">
        <v>572</v>
      </c>
      <c r="K85" s="346" t="s">
        <v>1761</v>
      </c>
      <c r="L85" s="346"/>
      <c r="M85" s="346" t="s">
        <v>1761</v>
      </c>
      <c r="N85" s="346">
        <v>0.77</v>
      </c>
      <c r="O85" s="346">
        <v>5.75</v>
      </c>
      <c r="P85" s="346">
        <v>6.52</v>
      </c>
      <c r="Q85" s="346" t="s">
        <v>1765</v>
      </c>
      <c r="R85" s="458">
        <v>44177</v>
      </c>
    </row>
    <row r="86" spans="1:18" x14ac:dyDescent="0.25">
      <c r="A86" s="458">
        <v>44680</v>
      </c>
      <c r="B86" s="346">
        <v>1100000144</v>
      </c>
      <c r="C86" s="346" t="s">
        <v>1994</v>
      </c>
      <c r="D86" s="346" t="s">
        <v>1756</v>
      </c>
      <c r="E86" s="346" t="s">
        <v>1757</v>
      </c>
      <c r="F86" s="346" t="s">
        <v>1758</v>
      </c>
      <c r="G86" s="346" t="s">
        <v>1771</v>
      </c>
      <c r="H86" s="346" t="s">
        <v>1237</v>
      </c>
      <c r="I86" s="346">
        <v>4468749.95</v>
      </c>
      <c r="J86" s="346" t="s">
        <v>572</v>
      </c>
      <c r="K86" s="346" t="s">
        <v>1761</v>
      </c>
      <c r="L86" s="346"/>
      <c r="M86" s="346" t="s">
        <v>1761</v>
      </c>
      <c r="N86" s="346">
        <v>0.63</v>
      </c>
      <c r="O86" s="346">
        <v>4.5</v>
      </c>
      <c r="P86" s="346">
        <v>5.25</v>
      </c>
      <c r="Q86" s="346" t="s">
        <v>1765</v>
      </c>
      <c r="R86" s="458">
        <v>44289</v>
      </c>
    </row>
    <row r="87" spans="1:18" x14ac:dyDescent="0.25">
      <c r="A87" s="458">
        <v>44680</v>
      </c>
      <c r="B87" s="346">
        <v>1100000145</v>
      </c>
      <c r="C87" s="346" t="s">
        <v>1992</v>
      </c>
      <c r="D87" s="346" t="s">
        <v>1756</v>
      </c>
      <c r="E87" s="346" t="s">
        <v>1757</v>
      </c>
      <c r="F87" s="346" t="s">
        <v>1758</v>
      </c>
      <c r="G87" s="346" t="s">
        <v>1771</v>
      </c>
      <c r="H87" s="346" t="s">
        <v>1237</v>
      </c>
      <c r="I87" s="346">
        <v>9722974.0099999998</v>
      </c>
      <c r="J87" s="346" t="s">
        <v>572</v>
      </c>
      <c r="K87" s="346" t="s">
        <v>1761</v>
      </c>
      <c r="L87" s="346"/>
      <c r="M87" s="346" t="s">
        <v>1761</v>
      </c>
      <c r="N87" s="346">
        <v>0.26</v>
      </c>
      <c r="O87" s="346">
        <v>6.18</v>
      </c>
      <c r="P87" s="346">
        <v>6.93</v>
      </c>
      <c r="Q87" s="346" t="s">
        <v>1765</v>
      </c>
      <c r="R87" s="458">
        <v>44289</v>
      </c>
    </row>
    <row r="88" spans="1:18" x14ac:dyDescent="0.25">
      <c r="A88" s="458">
        <v>44680</v>
      </c>
      <c r="B88" s="346">
        <v>1100000130</v>
      </c>
      <c r="C88" s="346" t="s">
        <v>1996</v>
      </c>
      <c r="D88" s="346" t="s">
        <v>1756</v>
      </c>
      <c r="E88" s="346" t="s">
        <v>1757</v>
      </c>
      <c r="F88" s="346" t="s">
        <v>1758</v>
      </c>
      <c r="G88" s="346" t="s">
        <v>1771</v>
      </c>
      <c r="H88" s="346" t="s">
        <v>1237</v>
      </c>
      <c r="I88" s="346">
        <v>2306250</v>
      </c>
      <c r="J88" s="346" t="s">
        <v>572</v>
      </c>
      <c r="K88" s="346" t="s">
        <v>1761</v>
      </c>
      <c r="L88" s="346"/>
      <c r="M88" s="346" t="s">
        <v>1761</v>
      </c>
      <c r="N88" s="346">
        <v>0.8</v>
      </c>
      <c r="O88" s="346">
        <v>5.75</v>
      </c>
      <c r="P88" s="346">
        <v>6.55</v>
      </c>
      <c r="Q88" s="346" t="s">
        <v>1765</v>
      </c>
      <c r="R88" s="458">
        <v>44275</v>
      </c>
    </row>
    <row r="89" spans="1:18" x14ac:dyDescent="0.25">
      <c r="A89" s="458">
        <v>44680</v>
      </c>
      <c r="B89" s="346">
        <v>1100000004</v>
      </c>
      <c r="C89" s="346" t="s">
        <v>1995</v>
      </c>
      <c r="D89" s="346" t="s">
        <v>1756</v>
      </c>
      <c r="E89" s="346" t="s">
        <v>1757</v>
      </c>
      <c r="F89" s="346" t="s">
        <v>1758</v>
      </c>
      <c r="G89" s="346" t="s">
        <v>1771</v>
      </c>
      <c r="H89" s="346" t="s">
        <v>1237</v>
      </c>
      <c r="I89" s="346">
        <v>1254060</v>
      </c>
      <c r="J89" s="346" t="s">
        <v>572</v>
      </c>
      <c r="K89" s="346" t="s">
        <v>1761</v>
      </c>
      <c r="L89" s="346"/>
      <c r="M89" s="346" t="s">
        <v>1761</v>
      </c>
      <c r="N89" s="346">
        <v>0.64</v>
      </c>
      <c r="O89" s="346">
        <v>6.48</v>
      </c>
      <c r="P89" s="346">
        <v>7.23</v>
      </c>
      <c r="Q89" s="346" t="s">
        <v>1765</v>
      </c>
      <c r="R89" s="458">
        <v>44177</v>
      </c>
    </row>
    <row r="90" spans="1:18" x14ac:dyDescent="0.25">
      <c r="A90" s="458">
        <v>44680</v>
      </c>
      <c r="B90" s="346">
        <v>1100000141</v>
      </c>
      <c r="C90" s="346" t="s">
        <v>1969</v>
      </c>
      <c r="D90" s="346" t="s">
        <v>1756</v>
      </c>
      <c r="E90" s="346" t="s">
        <v>1757</v>
      </c>
      <c r="F90" s="346" t="s">
        <v>1758</v>
      </c>
      <c r="G90" s="346" t="s">
        <v>1771</v>
      </c>
      <c r="H90" s="346" t="s">
        <v>1237</v>
      </c>
      <c r="I90" s="346">
        <v>80000</v>
      </c>
      <c r="J90" s="346" t="s">
        <v>572</v>
      </c>
      <c r="K90" s="346" t="s">
        <v>1761</v>
      </c>
      <c r="L90" s="346"/>
      <c r="M90" s="346" t="s">
        <v>1761</v>
      </c>
      <c r="N90" s="346">
        <v>0.26</v>
      </c>
      <c r="O90" s="346">
        <v>8.44</v>
      </c>
      <c r="P90" s="346">
        <v>9.19</v>
      </c>
      <c r="Q90" s="346" t="s">
        <v>1765</v>
      </c>
      <c r="R90" s="458">
        <v>44289</v>
      </c>
    </row>
    <row r="91" spans="1:18" x14ac:dyDescent="0.25">
      <c r="A91" s="458">
        <v>44680</v>
      </c>
      <c r="B91" s="346">
        <v>1100000143</v>
      </c>
      <c r="C91" s="346" t="s">
        <v>1991</v>
      </c>
      <c r="D91" s="346" t="s">
        <v>1756</v>
      </c>
      <c r="E91" s="346" t="s">
        <v>1757</v>
      </c>
      <c r="F91" s="346" t="s">
        <v>1758</v>
      </c>
      <c r="G91" s="346" t="s">
        <v>1771</v>
      </c>
      <c r="H91" s="346" t="s">
        <v>1237</v>
      </c>
      <c r="I91" s="346">
        <v>222433.72</v>
      </c>
      <c r="J91" s="346" t="s">
        <v>572</v>
      </c>
      <c r="K91" s="346" t="s">
        <v>1761</v>
      </c>
      <c r="L91" s="346"/>
      <c r="M91" s="346" t="s">
        <v>1761</v>
      </c>
      <c r="N91" s="346">
        <v>0.8</v>
      </c>
      <c r="O91" s="346">
        <v>8.9499999999999993</v>
      </c>
      <c r="P91" s="346">
        <v>9.75</v>
      </c>
      <c r="Q91" s="346" t="s">
        <v>1765</v>
      </c>
      <c r="R91" s="458">
        <v>44289</v>
      </c>
    </row>
    <row r="92" spans="1:18" x14ac:dyDescent="0.25">
      <c r="A92" s="458">
        <v>44680</v>
      </c>
      <c r="B92" s="346">
        <v>6100000103</v>
      </c>
      <c r="C92" s="346" t="s">
        <v>1997</v>
      </c>
      <c r="D92" s="346" t="s">
        <v>1756</v>
      </c>
      <c r="E92" s="346" t="s">
        <v>1757</v>
      </c>
      <c r="F92" s="346" t="s">
        <v>1758</v>
      </c>
      <c r="G92" s="346" t="s">
        <v>1772</v>
      </c>
      <c r="H92" s="346" t="s">
        <v>1773</v>
      </c>
      <c r="I92" s="346">
        <v>10216000</v>
      </c>
      <c r="J92" s="346" t="s">
        <v>572</v>
      </c>
      <c r="K92" s="346" t="s">
        <v>1761</v>
      </c>
      <c r="L92" s="346"/>
      <c r="M92" s="346" t="s">
        <v>1761</v>
      </c>
      <c r="N92" s="346">
        <v>0.1</v>
      </c>
      <c r="O92" s="346">
        <v>5.5</v>
      </c>
      <c r="P92" s="346">
        <v>6.25</v>
      </c>
      <c r="Q92" s="346" t="s">
        <v>1762</v>
      </c>
      <c r="R92" s="458">
        <v>1</v>
      </c>
    </row>
    <row r="93" spans="1:18" x14ac:dyDescent="0.25">
      <c r="A93" s="458">
        <v>44680</v>
      </c>
      <c r="B93" s="346">
        <v>2100000127</v>
      </c>
      <c r="C93" s="346" t="s">
        <v>2001</v>
      </c>
      <c r="D93" s="346" t="s">
        <v>1756</v>
      </c>
      <c r="E93" s="346" t="s">
        <v>1763</v>
      </c>
      <c r="F93" s="346" t="s">
        <v>1758</v>
      </c>
      <c r="G93" s="346" t="s">
        <v>1774</v>
      </c>
      <c r="H93" s="346" t="s">
        <v>1245</v>
      </c>
      <c r="I93" s="346">
        <v>0</v>
      </c>
      <c r="J93" s="346" t="s">
        <v>572</v>
      </c>
      <c r="K93" s="346" t="s">
        <v>1761</v>
      </c>
      <c r="L93" s="346"/>
      <c r="M93" s="346" t="s">
        <v>1761</v>
      </c>
      <c r="N93" s="346">
        <v>0.1</v>
      </c>
      <c r="O93" s="346">
        <v>6.49</v>
      </c>
      <c r="P93" s="346">
        <v>7.24</v>
      </c>
      <c r="Q93" s="346" t="s">
        <v>1762</v>
      </c>
      <c r="R93" s="458">
        <v>1</v>
      </c>
    </row>
    <row r="94" spans="1:18" x14ac:dyDescent="0.25">
      <c r="A94" s="458">
        <v>44680</v>
      </c>
      <c r="B94" s="346">
        <v>2100000131</v>
      </c>
      <c r="C94" s="346" t="s">
        <v>2003</v>
      </c>
      <c r="D94" s="346" t="s">
        <v>1756</v>
      </c>
      <c r="E94" s="346" t="s">
        <v>1757</v>
      </c>
      <c r="F94" s="346" t="s">
        <v>1758</v>
      </c>
      <c r="G94" s="346" t="s">
        <v>1774</v>
      </c>
      <c r="H94" s="346" t="s">
        <v>1245</v>
      </c>
      <c r="I94" s="346">
        <v>12698809.41</v>
      </c>
      <c r="J94" s="346" t="s">
        <v>572</v>
      </c>
      <c r="K94" s="346" t="s">
        <v>1761</v>
      </c>
      <c r="L94" s="346"/>
      <c r="M94" s="346" t="s">
        <v>1761</v>
      </c>
      <c r="N94" s="346">
        <v>0.1</v>
      </c>
      <c r="O94" s="346">
        <v>6</v>
      </c>
      <c r="P94" s="346">
        <v>6.75</v>
      </c>
      <c r="Q94" s="346" t="s">
        <v>1762</v>
      </c>
      <c r="R94" s="458">
        <v>1</v>
      </c>
    </row>
    <row r="95" spans="1:18" x14ac:dyDescent="0.25">
      <c r="A95" s="458">
        <v>44680</v>
      </c>
      <c r="B95" s="346">
        <v>2100000132</v>
      </c>
      <c r="C95" s="346" t="s">
        <v>2004</v>
      </c>
      <c r="D95" s="346" t="s">
        <v>1756</v>
      </c>
      <c r="E95" s="346" t="s">
        <v>1757</v>
      </c>
      <c r="F95" s="346" t="s">
        <v>1758</v>
      </c>
      <c r="G95" s="346" t="s">
        <v>1774</v>
      </c>
      <c r="H95" s="346" t="s">
        <v>1245</v>
      </c>
      <c r="I95" s="346">
        <v>3848142.92</v>
      </c>
      <c r="J95" s="346" t="s">
        <v>572</v>
      </c>
      <c r="K95" s="346" t="s">
        <v>1761</v>
      </c>
      <c r="L95" s="346"/>
      <c r="M95" s="346" t="s">
        <v>1761</v>
      </c>
      <c r="N95" s="346">
        <v>0.1</v>
      </c>
      <c r="O95" s="346">
        <v>6</v>
      </c>
      <c r="P95" s="346">
        <v>6.75</v>
      </c>
      <c r="Q95" s="346" t="s">
        <v>1762</v>
      </c>
      <c r="R95" s="458">
        <v>1</v>
      </c>
    </row>
    <row r="96" spans="1:18" x14ac:dyDescent="0.25">
      <c r="A96" s="458">
        <v>44680</v>
      </c>
      <c r="B96" s="346">
        <v>2100000138</v>
      </c>
      <c r="C96" s="346" t="s">
        <v>2005</v>
      </c>
      <c r="D96" s="346" t="s">
        <v>1756</v>
      </c>
      <c r="E96" s="346" t="s">
        <v>1757</v>
      </c>
      <c r="F96" s="346" t="s">
        <v>1758</v>
      </c>
      <c r="G96" s="346" t="s">
        <v>1774</v>
      </c>
      <c r="H96" s="346" t="s">
        <v>1245</v>
      </c>
      <c r="I96" s="346">
        <v>970.16</v>
      </c>
      <c r="J96" s="346" t="s">
        <v>572</v>
      </c>
      <c r="K96" s="346" t="s">
        <v>1761</v>
      </c>
      <c r="L96" s="346"/>
      <c r="M96" s="346" t="s">
        <v>1761</v>
      </c>
      <c r="N96" s="346">
        <v>0.1</v>
      </c>
      <c r="O96" s="346">
        <v>7</v>
      </c>
      <c r="P96" s="346">
        <v>7.75</v>
      </c>
      <c r="Q96" s="346" t="s">
        <v>1762</v>
      </c>
      <c r="R96" s="458">
        <v>1</v>
      </c>
    </row>
    <row r="97" spans="1:18" x14ac:dyDescent="0.25">
      <c r="A97" s="458">
        <v>44680</v>
      </c>
      <c r="B97" s="346">
        <v>2100000121</v>
      </c>
      <c r="C97" s="346" t="s">
        <v>2006</v>
      </c>
      <c r="D97" s="346" t="s">
        <v>1756</v>
      </c>
      <c r="E97" s="346" t="s">
        <v>1757</v>
      </c>
      <c r="F97" s="346" t="s">
        <v>1758</v>
      </c>
      <c r="G97" s="346" t="s">
        <v>1774</v>
      </c>
      <c r="H97" s="346" t="s">
        <v>1245</v>
      </c>
      <c r="I97" s="346">
        <v>0</v>
      </c>
      <c r="J97" s="346" t="s">
        <v>572</v>
      </c>
      <c r="K97" s="346" t="s">
        <v>1761</v>
      </c>
      <c r="L97" s="346"/>
      <c r="M97" s="346" t="s">
        <v>1761</v>
      </c>
      <c r="N97" s="346">
        <v>0.1</v>
      </c>
      <c r="O97" s="346">
        <v>6.62</v>
      </c>
      <c r="P97" s="346">
        <v>7.37</v>
      </c>
      <c r="Q97" s="346" t="s">
        <v>1762</v>
      </c>
      <c r="R97" s="458">
        <v>1</v>
      </c>
    </row>
    <row r="98" spans="1:18" x14ac:dyDescent="0.25">
      <c r="A98" s="458">
        <v>44680</v>
      </c>
      <c r="B98" s="346">
        <v>2100000004</v>
      </c>
      <c r="C98" s="346" t="s">
        <v>2007</v>
      </c>
      <c r="D98" s="346" t="s">
        <v>1756</v>
      </c>
      <c r="E98" s="346" t="s">
        <v>1757</v>
      </c>
      <c r="F98" s="346" t="s">
        <v>1758</v>
      </c>
      <c r="G98" s="346" t="s">
        <v>1774</v>
      </c>
      <c r="H98" s="346" t="s">
        <v>1245</v>
      </c>
      <c r="I98" s="346">
        <v>518673</v>
      </c>
      <c r="J98" s="346" t="s">
        <v>572</v>
      </c>
      <c r="K98" s="346" t="s">
        <v>1761</v>
      </c>
      <c r="L98" s="346"/>
      <c r="M98" s="346" t="s">
        <v>1761</v>
      </c>
      <c r="N98" s="346">
        <v>0.67</v>
      </c>
      <c r="O98" s="346">
        <v>6.15</v>
      </c>
      <c r="P98" s="346">
        <v>6.9</v>
      </c>
      <c r="Q98" s="346" t="s">
        <v>1765</v>
      </c>
      <c r="R98" s="458">
        <v>44177</v>
      </c>
    </row>
    <row r="99" spans="1:18" x14ac:dyDescent="0.25">
      <c r="A99" s="458">
        <v>44680</v>
      </c>
      <c r="B99" s="346">
        <v>2100000005</v>
      </c>
      <c r="C99" s="346" t="s">
        <v>2008</v>
      </c>
      <c r="D99" s="346" t="s">
        <v>1756</v>
      </c>
      <c r="E99" s="346" t="s">
        <v>1757</v>
      </c>
      <c r="F99" s="346" t="s">
        <v>1758</v>
      </c>
      <c r="G99" s="346" t="s">
        <v>1774</v>
      </c>
      <c r="H99" s="346" t="s">
        <v>1245</v>
      </c>
      <c r="I99" s="346">
        <v>24851.09</v>
      </c>
      <c r="J99" s="346" t="s">
        <v>572</v>
      </c>
      <c r="K99" s="346" t="s">
        <v>1761</v>
      </c>
      <c r="L99" s="346"/>
      <c r="M99" s="346" t="s">
        <v>1761</v>
      </c>
      <c r="N99" s="346">
        <v>0.67</v>
      </c>
      <c r="O99" s="346">
        <v>6.15</v>
      </c>
      <c r="P99" s="346">
        <v>6.9</v>
      </c>
      <c r="Q99" s="346" t="s">
        <v>1765</v>
      </c>
      <c r="R99" s="458">
        <v>44177</v>
      </c>
    </row>
    <row r="100" spans="1:18" x14ac:dyDescent="0.25">
      <c r="A100" s="458">
        <v>44680</v>
      </c>
      <c r="B100" s="346">
        <v>2100000124</v>
      </c>
      <c r="C100" s="346" t="s">
        <v>2010</v>
      </c>
      <c r="D100" s="346" t="s">
        <v>1756</v>
      </c>
      <c r="E100" s="346" t="s">
        <v>1757</v>
      </c>
      <c r="F100" s="346" t="s">
        <v>1758</v>
      </c>
      <c r="G100" s="346" t="s">
        <v>1774</v>
      </c>
      <c r="H100" s="346" t="s">
        <v>1245</v>
      </c>
      <c r="I100" s="346">
        <v>3402288.17</v>
      </c>
      <c r="J100" s="346" t="s">
        <v>572</v>
      </c>
      <c r="K100" s="346" t="s">
        <v>1761</v>
      </c>
      <c r="L100" s="346"/>
      <c r="M100" s="346" t="s">
        <v>1761</v>
      </c>
      <c r="N100" s="346">
        <v>0.1</v>
      </c>
      <c r="O100" s="346">
        <v>6</v>
      </c>
      <c r="P100" s="346">
        <v>6.75</v>
      </c>
      <c r="Q100" s="346" t="s">
        <v>1762</v>
      </c>
      <c r="R100" s="458">
        <v>1</v>
      </c>
    </row>
    <row r="101" spans="1:18" x14ac:dyDescent="0.25">
      <c r="A101" s="458">
        <v>44680</v>
      </c>
      <c r="B101" s="346">
        <v>2100000125</v>
      </c>
      <c r="C101" s="346" t="s">
        <v>2011</v>
      </c>
      <c r="D101" s="346" t="s">
        <v>1756</v>
      </c>
      <c r="E101" s="346" t="s">
        <v>1763</v>
      </c>
      <c r="F101" s="346" t="s">
        <v>1758</v>
      </c>
      <c r="G101" s="346" t="s">
        <v>1774</v>
      </c>
      <c r="H101" s="346" t="s">
        <v>1245</v>
      </c>
      <c r="I101" s="346">
        <v>0</v>
      </c>
      <c r="J101" s="346" t="s">
        <v>572</v>
      </c>
      <c r="K101" s="346" t="s">
        <v>1761</v>
      </c>
      <c r="L101" s="346"/>
      <c r="M101" s="346" t="s">
        <v>1761</v>
      </c>
      <c r="N101" s="346">
        <v>0.1</v>
      </c>
      <c r="O101" s="346">
        <v>5.75</v>
      </c>
      <c r="P101" s="346">
        <v>6.5</v>
      </c>
      <c r="Q101" s="346" t="s">
        <v>1762</v>
      </c>
      <c r="R101" s="458">
        <v>1</v>
      </c>
    </row>
    <row r="102" spans="1:18" x14ac:dyDescent="0.25">
      <c r="A102" s="458">
        <v>44680</v>
      </c>
      <c r="B102" s="346">
        <v>2100000128</v>
      </c>
      <c r="C102" s="346" t="s">
        <v>2013</v>
      </c>
      <c r="D102" s="346" t="s">
        <v>1756</v>
      </c>
      <c r="E102" s="346" t="s">
        <v>1763</v>
      </c>
      <c r="F102" s="346" t="s">
        <v>1758</v>
      </c>
      <c r="G102" s="346" t="s">
        <v>1774</v>
      </c>
      <c r="H102" s="346" t="s">
        <v>1245</v>
      </c>
      <c r="I102" s="346">
        <v>0</v>
      </c>
      <c r="J102" s="346" t="s">
        <v>572</v>
      </c>
      <c r="K102" s="346" t="s">
        <v>1761</v>
      </c>
      <c r="L102" s="346"/>
      <c r="M102" s="346" t="s">
        <v>1761</v>
      </c>
      <c r="N102" s="346">
        <v>0.1</v>
      </c>
      <c r="O102" s="346">
        <v>7</v>
      </c>
      <c r="P102" s="346">
        <v>7.75</v>
      </c>
      <c r="Q102" s="346" t="s">
        <v>1762</v>
      </c>
      <c r="R102" s="458">
        <v>1</v>
      </c>
    </row>
    <row r="103" spans="1:18" x14ac:dyDescent="0.25">
      <c r="A103" s="458">
        <v>44680</v>
      </c>
      <c r="B103" s="346">
        <v>2100000122</v>
      </c>
      <c r="C103" s="346" t="s">
        <v>2014</v>
      </c>
      <c r="D103" s="346" t="s">
        <v>1756</v>
      </c>
      <c r="E103" s="346" t="s">
        <v>1757</v>
      </c>
      <c r="F103" s="346" t="s">
        <v>1758</v>
      </c>
      <c r="G103" s="346" t="s">
        <v>1774</v>
      </c>
      <c r="H103" s="346" t="s">
        <v>1245</v>
      </c>
      <c r="I103" s="346">
        <v>38120.959999999999</v>
      </c>
      <c r="J103" s="346" t="s">
        <v>572</v>
      </c>
      <c r="K103" s="346" t="s">
        <v>1761</v>
      </c>
      <c r="L103" s="346"/>
      <c r="M103" s="346" t="s">
        <v>1761</v>
      </c>
      <c r="N103" s="346">
        <v>0.1</v>
      </c>
      <c r="O103" s="346">
        <v>7</v>
      </c>
      <c r="P103" s="346">
        <v>7.75</v>
      </c>
      <c r="Q103" s="346" t="s">
        <v>1762</v>
      </c>
      <c r="R103" s="458">
        <v>1</v>
      </c>
    </row>
    <row r="104" spans="1:18" x14ac:dyDescent="0.25">
      <c r="A104" s="458">
        <v>44680</v>
      </c>
      <c r="B104" s="346">
        <v>2100000129</v>
      </c>
      <c r="C104" s="346" t="s">
        <v>2015</v>
      </c>
      <c r="D104" s="346" t="s">
        <v>1756</v>
      </c>
      <c r="E104" s="346" t="s">
        <v>1763</v>
      </c>
      <c r="F104" s="346" t="s">
        <v>1758</v>
      </c>
      <c r="G104" s="346" t="s">
        <v>1774</v>
      </c>
      <c r="H104" s="346" t="s">
        <v>1245</v>
      </c>
      <c r="I104" s="346">
        <v>0</v>
      </c>
      <c r="J104" s="346" t="s">
        <v>572</v>
      </c>
      <c r="K104" s="346" t="s">
        <v>1761</v>
      </c>
      <c r="L104" s="346"/>
      <c r="M104" s="346" t="s">
        <v>1761</v>
      </c>
      <c r="N104" s="346">
        <v>0.1</v>
      </c>
      <c r="O104" s="346">
        <v>5.0999999999999996</v>
      </c>
      <c r="P104" s="346">
        <v>5.85</v>
      </c>
      <c r="Q104" s="346" t="s">
        <v>1762</v>
      </c>
      <c r="R104" s="458">
        <v>1</v>
      </c>
    </row>
    <row r="105" spans="1:18" x14ac:dyDescent="0.25">
      <c r="A105" s="458">
        <v>44680</v>
      </c>
      <c r="B105" s="346">
        <v>2100000002</v>
      </c>
      <c r="C105" s="346" t="s">
        <v>2017</v>
      </c>
      <c r="D105" s="346" t="s">
        <v>1756</v>
      </c>
      <c r="E105" s="346" t="s">
        <v>1757</v>
      </c>
      <c r="F105" s="346" t="s">
        <v>1758</v>
      </c>
      <c r="G105" s="346" t="s">
        <v>1774</v>
      </c>
      <c r="H105" s="346" t="s">
        <v>1245</v>
      </c>
      <c r="I105" s="346">
        <v>5803765.0499999998</v>
      </c>
      <c r="J105" s="346" t="s">
        <v>572</v>
      </c>
      <c r="K105" s="346" t="s">
        <v>1761</v>
      </c>
      <c r="L105" s="346"/>
      <c r="M105" s="346" t="s">
        <v>1761</v>
      </c>
      <c r="N105" s="346">
        <v>0.8</v>
      </c>
      <c r="O105" s="346">
        <v>6.5</v>
      </c>
      <c r="P105" s="346">
        <v>7.3</v>
      </c>
      <c r="Q105" s="346" t="s">
        <v>1765</v>
      </c>
      <c r="R105" s="458">
        <v>44177</v>
      </c>
    </row>
    <row r="106" spans="1:18" x14ac:dyDescent="0.25">
      <c r="A106" s="458">
        <v>44680</v>
      </c>
      <c r="B106" s="346">
        <v>2100000120</v>
      </c>
      <c r="C106" s="346" t="s">
        <v>2018</v>
      </c>
      <c r="D106" s="346" t="s">
        <v>1756</v>
      </c>
      <c r="E106" s="346" t="s">
        <v>1763</v>
      </c>
      <c r="F106" s="346" t="s">
        <v>1758</v>
      </c>
      <c r="G106" s="346" t="s">
        <v>1774</v>
      </c>
      <c r="H106" s="346" t="s">
        <v>1245</v>
      </c>
      <c r="I106" s="346">
        <v>0</v>
      </c>
      <c r="J106" s="346" t="s">
        <v>572</v>
      </c>
      <c r="K106" s="346" t="s">
        <v>1761</v>
      </c>
      <c r="L106" s="346"/>
      <c r="M106" s="346" t="s">
        <v>1761</v>
      </c>
      <c r="N106" s="346">
        <v>0.1</v>
      </c>
      <c r="O106" s="346">
        <v>6.75</v>
      </c>
      <c r="P106" s="346">
        <v>7.5</v>
      </c>
      <c r="Q106" s="346" t="s">
        <v>1762</v>
      </c>
      <c r="R106" s="458">
        <v>1</v>
      </c>
    </row>
    <row r="107" spans="1:18" x14ac:dyDescent="0.25">
      <c r="A107" s="458">
        <v>44680</v>
      </c>
      <c r="B107" s="346">
        <v>2100000119</v>
      </c>
      <c r="C107" s="346" t="s">
        <v>2000</v>
      </c>
      <c r="D107" s="346" t="s">
        <v>1756</v>
      </c>
      <c r="E107" s="346" t="s">
        <v>1757</v>
      </c>
      <c r="F107" s="346" t="s">
        <v>1758</v>
      </c>
      <c r="G107" s="346" t="s">
        <v>1774</v>
      </c>
      <c r="H107" s="346" t="s">
        <v>1245</v>
      </c>
      <c r="I107" s="346">
        <v>5208855.49</v>
      </c>
      <c r="J107" s="346" t="s">
        <v>572</v>
      </c>
      <c r="K107" s="346" t="s">
        <v>1761</v>
      </c>
      <c r="L107" s="346"/>
      <c r="M107" s="346" t="s">
        <v>1761</v>
      </c>
      <c r="N107" s="346">
        <v>0.1</v>
      </c>
      <c r="O107" s="346">
        <v>6.5</v>
      </c>
      <c r="P107" s="346">
        <v>7.25</v>
      </c>
      <c r="Q107" s="346" t="s">
        <v>1762</v>
      </c>
      <c r="R107" s="458">
        <v>1</v>
      </c>
    </row>
    <row r="108" spans="1:18" x14ac:dyDescent="0.25">
      <c r="A108" s="458">
        <v>44680</v>
      </c>
      <c r="B108" s="346">
        <v>2100000006</v>
      </c>
      <c r="C108" s="346" t="s">
        <v>2016</v>
      </c>
      <c r="D108" s="346" t="s">
        <v>1756</v>
      </c>
      <c r="E108" s="346" t="s">
        <v>1757</v>
      </c>
      <c r="F108" s="346" t="s">
        <v>1758</v>
      </c>
      <c r="G108" s="346" t="s">
        <v>1774</v>
      </c>
      <c r="H108" s="346" t="s">
        <v>1245</v>
      </c>
      <c r="I108" s="346">
        <v>346988.02</v>
      </c>
      <c r="J108" s="346" t="s">
        <v>572</v>
      </c>
      <c r="K108" s="346" t="s">
        <v>1761</v>
      </c>
      <c r="L108" s="346"/>
      <c r="M108" s="346" t="s">
        <v>1761</v>
      </c>
      <c r="N108" s="346">
        <v>0.51</v>
      </c>
      <c r="O108" s="346">
        <v>6.5</v>
      </c>
      <c r="P108" s="346">
        <v>7.25</v>
      </c>
      <c r="Q108" s="346" t="s">
        <v>1765</v>
      </c>
      <c r="R108" s="458">
        <v>44177</v>
      </c>
    </row>
    <row r="109" spans="1:18" x14ac:dyDescent="0.25">
      <c r="A109" s="458">
        <v>44680</v>
      </c>
      <c r="B109" s="346">
        <v>2100000123</v>
      </c>
      <c r="C109" s="346" t="s">
        <v>2012</v>
      </c>
      <c r="D109" s="346" t="s">
        <v>1756</v>
      </c>
      <c r="E109" s="346" t="s">
        <v>1757</v>
      </c>
      <c r="F109" s="346" t="s">
        <v>1758</v>
      </c>
      <c r="G109" s="346" t="s">
        <v>1774</v>
      </c>
      <c r="H109" s="346" t="s">
        <v>1245</v>
      </c>
      <c r="I109" s="346">
        <v>4658527.99</v>
      </c>
      <c r="J109" s="346" t="s">
        <v>572</v>
      </c>
      <c r="K109" s="346" t="s">
        <v>1761</v>
      </c>
      <c r="L109" s="346"/>
      <c r="M109" s="346" t="s">
        <v>1761</v>
      </c>
      <c r="N109" s="346">
        <v>0.1</v>
      </c>
      <c r="O109" s="346">
        <v>5.75</v>
      </c>
      <c r="P109" s="346">
        <v>6.5</v>
      </c>
      <c r="Q109" s="346" t="s">
        <v>1762</v>
      </c>
      <c r="R109" s="458">
        <v>1</v>
      </c>
    </row>
    <row r="110" spans="1:18" x14ac:dyDescent="0.25">
      <c r="A110" s="458">
        <v>44680</v>
      </c>
      <c r="B110" s="346">
        <v>2100000013</v>
      </c>
      <c r="C110" s="346" t="s">
        <v>1998</v>
      </c>
      <c r="D110" s="346" t="s">
        <v>1756</v>
      </c>
      <c r="E110" s="346" t="s">
        <v>1757</v>
      </c>
      <c r="F110" s="346" t="s">
        <v>1758</v>
      </c>
      <c r="G110" s="346" t="s">
        <v>1774</v>
      </c>
      <c r="H110" s="346" t="s">
        <v>1245</v>
      </c>
      <c r="I110" s="346">
        <v>2320546.8199999998</v>
      </c>
      <c r="J110" s="346" t="s">
        <v>572</v>
      </c>
      <c r="K110" s="346" t="s">
        <v>1761</v>
      </c>
      <c r="L110" s="346"/>
      <c r="M110" s="346" t="s">
        <v>1761</v>
      </c>
      <c r="N110" s="346">
        <v>0.45</v>
      </c>
      <c r="O110" s="346">
        <v>5.75</v>
      </c>
      <c r="P110" s="346">
        <v>6.5</v>
      </c>
      <c r="Q110" s="346" t="s">
        <v>1765</v>
      </c>
      <c r="R110" s="458">
        <v>44177</v>
      </c>
    </row>
    <row r="111" spans="1:18" x14ac:dyDescent="0.25">
      <c r="A111" s="458">
        <v>44680</v>
      </c>
      <c r="B111" s="346">
        <v>2100000139</v>
      </c>
      <c r="C111" s="346" t="s">
        <v>2009</v>
      </c>
      <c r="D111" s="346" t="s">
        <v>1756</v>
      </c>
      <c r="E111" s="346" t="s">
        <v>1757</v>
      </c>
      <c r="F111" s="346" t="s">
        <v>1758</v>
      </c>
      <c r="G111" s="346" t="s">
        <v>1774</v>
      </c>
      <c r="H111" s="346" t="s">
        <v>1245</v>
      </c>
      <c r="I111" s="346">
        <v>1353328.11</v>
      </c>
      <c r="J111" s="346" t="s">
        <v>572</v>
      </c>
      <c r="K111" s="346" t="s">
        <v>1761</v>
      </c>
      <c r="L111" s="346"/>
      <c r="M111" s="346" t="s">
        <v>1761</v>
      </c>
      <c r="N111" s="346">
        <v>0.1</v>
      </c>
      <c r="O111" s="346">
        <v>6.58</v>
      </c>
      <c r="P111" s="346">
        <v>7.33</v>
      </c>
      <c r="Q111" s="346" t="s">
        <v>1762</v>
      </c>
      <c r="R111" s="458">
        <v>1</v>
      </c>
    </row>
    <row r="112" spans="1:18" x14ac:dyDescent="0.25">
      <c r="A112" s="458">
        <v>44680</v>
      </c>
      <c r="B112" s="346">
        <v>2100000117</v>
      </c>
      <c r="C112" s="346" t="s">
        <v>1999</v>
      </c>
      <c r="D112" s="346" t="s">
        <v>1756</v>
      </c>
      <c r="E112" s="346" t="s">
        <v>1757</v>
      </c>
      <c r="F112" s="346" t="s">
        <v>1758</v>
      </c>
      <c r="G112" s="346" t="s">
        <v>1774</v>
      </c>
      <c r="H112" s="346" t="s">
        <v>1245</v>
      </c>
      <c r="I112" s="346">
        <v>17214256.059999999</v>
      </c>
      <c r="J112" s="346" t="s">
        <v>572</v>
      </c>
      <c r="K112" s="346" t="s">
        <v>1761</v>
      </c>
      <c r="L112" s="346"/>
      <c r="M112" s="346" t="s">
        <v>1761</v>
      </c>
      <c r="N112" s="346">
        <v>0.1</v>
      </c>
      <c r="O112" s="346">
        <v>6.25</v>
      </c>
      <c r="P112" s="346">
        <v>7</v>
      </c>
      <c r="Q112" s="346" t="s">
        <v>1762</v>
      </c>
      <c r="R112" s="458">
        <v>1</v>
      </c>
    </row>
    <row r="113" spans="1:18" x14ac:dyDescent="0.25">
      <c r="A113" s="458">
        <v>44680</v>
      </c>
      <c r="B113" s="346">
        <v>2100000135</v>
      </c>
      <c r="C113" s="346" t="s">
        <v>2019</v>
      </c>
      <c r="D113" s="346" t="s">
        <v>1756</v>
      </c>
      <c r="E113" s="346" t="s">
        <v>1757</v>
      </c>
      <c r="F113" s="346" t="s">
        <v>1758</v>
      </c>
      <c r="G113" s="346" t="s">
        <v>1774</v>
      </c>
      <c r="H113" s="346" t="s">
        <v>1245</v>
      </c>
      <c r="I113" s="346">
        <v>4614698.83</v>
      </c>
      <c r="J113" s="346" t="s">
        <v>572</v>
      </c>
      <c r="K113" s="346" t="s">
        <v>1761</v>
      </c>
      <c r="L113" s="346"/>
      <c r="M113" s="346" t="s">
        <v>1761</v>
      </c>
      <c r="N113" s="346">
        <v>0.5</v>
      </c>
      <c r="O113" s="346">
        <v>6.25</v>
      </c>
      <c r="P113" s="346">
        <v>7</v>
      </c>
      <c r="Q113" s="346" t="s">
        <v>1762</v>
      </c>
      <c r="R113" s="458">
        <v>1</v>
      </c>
    </row>
    <row r="114" spans="1:18" x14ac:dyDescent="0.25">
      <c r="A114" s="458">
        <v>44680</v>
      </c>
      <c r="B114" s="346">
        <v>2100000136</v>
      </c>
      <c r="C114" s="346" t="s">
        <v>2020</v>
      </c>
      <c r="D114" s="346" t="s">
        <v>1756</v>
      </c>
      <c r="E114" s="346" t="s">
        <v>1757</v>
      </c>
      <c r="F114" s="346" t="s">
        <v>1758</v>
      </c>
      <c r="G114" s="346" t="s">
        <v>1774</v>
      </c>
      <c r="H114" s="346" t="s">
        <v>1245</v>
      </c>
      <c r="I114" s="346">
        <v>0</v>
      </c>
      <c r="J114" s="346" t="s">
        <v>572</v>
      </c>
      <c r="K114" s="346" t="s">
        <v>1761</v>
      </c>
      <c r="L114" s="346"/>
      <c r="M114" s="346" t="s">
        <v>1761</v>
      </c>
      <c r="N114" s="346">
        <v>0.5</v>
      </c>
      <c r="O114" s="346">
        <v>6.25</v>
      </c>
      <c r="P114" s="346">
        <v>7</v>
      </c>
      <c r="Q114" s="346" t="s">
        <v>1762</v>
      </c>
      <c r="R114" s="458">
        <v>1</v>
      </c>
    </row>
    <row r="115" spans="1:18" x14ac:dyDescent="0.25">
      <c r="A115" s="458">
        <v>44680</v>
      </c>
      <c r="B115" s="346">
        <v>2100000137</v>
      </c>
      <c r="C115" s="346" t="s">
        <v>2021</v>
      </c>
      <c r="D115" s="346" t="s">
        <v>1756</v>
      </c>
      <c r="E115" s="346" t="s">
        <v>1757</v>
      </c>
      <c r="F115" s="346" t="s">
        <v>1758</v>
      </c>
      <c r="G115" s="346" t="s">
        <v>1774</v>
      </c>
      <c r="H115" s="346" t="s">
        <v>1245</v>
      </c>
      <c r="I115" s="346">
        <v>115559.91</v>
      </c>
      <c r="J115" s="346" t="s">
        <v>572</v>
      </c>
      <c r="K115" s="346" t="s">
        <v>1761</v>
      </c>
      <c r="L115" s="346"/>
      <c r="M115" s="346" t="s">
        <v>1761</v>
      </c>
      <c r="N115" s="346">
        <v>0.5</v>
      </c>
      <c r="O115" s="346">
        <v>6.25</v>
      </c>
      <c r="P115" s="346">
        <v>7</v>
      </c>
      <c r="Q115" s="346" t="s">
        <v>1762</v>
      </c>
      <c r="R115" s="458">
        <v>1</v>
      </c>
    </row>
    <row r="116" spans="1:18" x14ac:dyDescent="0.25">
      <c r="A116" s="458">
        <v>44680</v>
      </c>
      <c r="B116" s="346">
        <v>5100000106</v>
      </c>
      <c r="C116" s="346" t="s">
        <v>2022</v>
      </c>
      <c r="D116" s="346" t="s">
        <v>1756</v>
      </c>
      <c r="E116" s="346" t="s">
        <v>1757</v>
      </c>
      <c r="F116" s="346" t="s">
        <v>1758</v>
      </c>
      <c r="G116" s="346" t="s">
        <v>1775</v>
      </c>
      <c r="H116" s="346" t="s">
        <v>1288</v>
      </c>
      <c r="I116" s="346">
        <v>14012848.539999999</v>
      </c>
      <c r="J116" s="346" t="s">
        <v>572</v>
      </c>
      <c r="K116" s="346" t="s">
        <v>1761</v>
      </c>
      <c r="L116" s="346"/>
      <c r="M116" s="346" t="s">
        <v>1761</v>
      </c>
      <c r="N116" s="346">
        <v>0.1</v>
      </c>
      <c r="O116" s="346">
        <v>5.5</v>
      </c>
      <c r="P116" s="346">
        <v>6.25</v>
      </c>
      <c r="Q116" s="346" t="s">
        <v>1762</v>
      </c>
      <c r="R116" s="458">
        <v>1</v>
      </c>
    </row>
    <row r="117" spans="1:18" x14ac:dyDescent="0.25">
      <c r="A117" s="458">
        <v>44680</v>
      </c>
      <c r="B117" s="346">
        <v>5100000104</v>
      </c>
      <c r="C117" s="346" t="s">
        <v>2023</v>
      </c>
      <c r="D117" s="346" t="s">
        <v>1756</v>
      </c>
      <c r="E117" s="346" t="s">
        <v>1757</v>
      </c>
      <c r="F117" s="346" t="s">
        <v>1758</v>
      </c>
      <c r="G117" s="346" t="s">
        <v>1775</v>
      </c>
      <c r="H117" s="346" t="s">
        <v>1288</v>
      </c>
      <c r="I117" s="346">
        <v>7479073.2300000004</v>
      </c>
      <c r="J117" s="346" t="s">
        <v>572</v>
      </c>
      <c r="K117" s="346" t="s">
        <v>1761</v>
      </c>
      <c r="L117" s="346"/>
      <c r="M117" s="346" t="s">
        <v>1761</v>
      </c>
      <c r="N117" s="346">
        <v>0.1</v>
      </c>
      <c r="O117" s="346">
        <v>6.98</v>
      </c>
      <c r="P117" s="346">
        <v>7.73</v>
      </c>
      <c r="Q117" s="346" t="s">
        <v>1762</v>
      </c>
      <c r="R117" s="458">
        <v>1</v>
      </c>
    </row>
    <row r="118" spans="1:18" x14ac:dyDescent="0.25">
      <c r="A118" s="458">
        <v>44680</v>
      </c>
      <c r="B118" s="346">
        <v>5100000105</v>
      </c>
      <c r="C118" s="346" t="s">
        <v>2024</v>
      </c>
      <c r="D118" s="346" t="s">
        <v>1756</v>
      </c>
      <c r="E118" s="346" t="s">
        <v>1757</v>
      </c>
      <c r="F118" s="346" t="s">
        <v>1758</v>
      </c>
      <c r="G118" s="346" t="s">
        <v>1775</v>
      </c>
      <c r="H118" s="346" t="s">
        <v>1288</v>
      </c>
      <c r="I118" s="346">
        <v>1737398.21</v>
      </c>
      <c r="J118" s="346" t="s">
        <v>572</v>
      </c>
      <c r="K118" s="346" t="s">
        <v>1761</v>
      </c>
      <c r="L118" s="346"/>
      <c r="M118" s="346" t="s">
        <v>1761</v>
      </c>
      <c r="N118" s="346">
        <v>0.5</v>
      </c>
      <c r="O118" s="346">
        <v>5.5</v>
      </c>
      <c r="P118" s="346">
        <v>6.25</v>
      </c>
      <c r="Q118" s="346" t="s">
        <v>1765</v>
      </c>
      <c r="R118" s="458">
        <v>44289</v>
      </c>
    </row>
    <row r="119" spans="1:18" x14ac:dyDescent="0.25">
      <c r="A119" s="458">
        <v>44680</v>
      </c>
      <c r="B119" s="346">
        <v>3200000103</v>
      </c>
      <c r="C119" s="346" t="s">
        <v>2025</v>
      </c>
      <c r="D119" s="346" t="s">
        <v>1756</v>
      </c>
      <c r="E119" s="346" t="s">
        <v>1757</v>
      </c>
      <c r="F119" s="346" t="s">
        <v>1758</v>
      </c>
      <c r="G119" s="346" t="s">
        <v>1776</v>
      </c>
      <c r="H119" s="346" t="s">
        <v>1777</v>
      </c>
      <c r="I119" s="346">
        <v>3516788.17</v>
      </c>
      <c r="J119" s="346" t="s">
        <v>572</v>
      </c>
      <c r="K119" s="346" t="s">
        <v>1761</v>
      </c>
      <c r="L119" s="346"/>
      <c r="M119" s="346" t="s">
        <v>1761</v>
      </c>
      <c r="N119" s="346">
        <v>0.1</v>
      </c>
      <c r="O119" s="346">
        <v>5.12</v>
      </c>
      <c r="P119" s="346">
        <v>5.87</v>
      </c>
      <c r="Q119" s="346" t="s">
        <v>1762</v>
      </c>
      <c r="R119" s="458">
        <v>1</v>
      </c>
    </row>
    <row r="120" spans="1:18" x14ac:dyDescent="0.25">
      <c r="A120" s="458">
        <v>44680</v>
      </c>
      <c r="B120" s="346">
        <v>1200000117</v>
      </c>
      <c r="C120" s="346" t="s">
        <v>2030</v>
      </c>
      <c r="D120" s="346" t="s">
        <v>1756</v>
      </c>
      <c r="E120" s="346" t="s">
        <v>1757</v>
      </c>
      <c r="F120" s="346" t="s">
        <v>1758</v>
      </c>
      <c r="G120" s="346" t="s">
        <v>1778</v>
      </c>
      <c r="H120" s="346" t="s">
        <v>1779</v>
      </c>
      <c r="I120" s="346">
        <v>3000000</v>
      </c>
      <c r="J120" s="346" t="s">
        <v>572</v>
      </c>
      <c r="K120" s="346" t="s">
        <v>1761</v>
      </c>
      <c r="L120" s="346"/>
      <c r="M120" s="346" t="s">
        <v>1761</v>
      </c>
      <c r="N120" s="346">
        <v>0.64</v>
      </c>
      <c r="O120" s="346">
        <v>5.5</v>
      </c>
      <c r="P120" s="346">
        <v>6.25</v>
      </c>
      <c r="Q120" s="346" t="s">
        <v>1762</v>
      </c>
      <c r="R120" s="458">
        <v>1</v>
      </c>
    </row>
    <row r="121" spans="1:18" x14ac:dyDescent="0.25">
      <c r="A121" s="458">
        <v>44680</v>
      </c>
      <c r="B121" s="346">
        <v>1200000116</v>
      </c>
      <c r="C121" s="346" t="s">
        <v>2031</v>
      </c>
      <c r="D121" s="346" t="s">
        <v>1756</v>
      </c>
      <c r="E121" s="346" t="s">
        <v>1757</v>
      </c>
      <c r="F121" s="346" t="s">
        <v>1758</v>
      </c>
      <c r="G121" s="346" t="s">
        <v>1778</v>
      </c>
      <c r="H121" s="346" t="s">
        <v>1779</v>
      </c>
      <c r="I121" s="346">
        <v>405001</v>
      </c>
      <c r="J121" s="346" t="s">
        <v>572</v>
      </c>
      <c r="K121" s="346" t="s">
        <v>1761</v>
      </c>
      <c r="L121" s="346"/>
      <c r="M121" s="346" t="s">
        <v>1761</v>
      </c>
      <c r="N121" s="346">
        <v>0.25</v>
      </c>
      <c r="O121" s="346">
        <v>6.29</v>
      </c>
      <c r="P121" s="346">
        <v>7.04</v>
      </c>
      <c r="Q121" s="346" t="s">
        <v>1765</v>
      </c>
      <c r="R121" s="458">
        <v>44289</v>
      </c>
    </row>
    <row r="122" spans="1:18" x14ac:dyDescent="0.25">
      <c r="A122" s="458">
        <v>44680</v>
      </c>
      <c r="B122" s="346">
        <v>1200000111</v>
      </c>
      <c r="C122" s="346" t="s">
        <v>2032</v>
      </c>
      <c r="D122" s="346" t="s">
        <v>1756</v>
      </c>
      <c r="E122" s="346" t="s">
        <v>1757</v>
      </c>
      <c r="F122" s="346" t="s">
        <v>1758</v>
      </c>
      <c r="G122" s="346" t="s">
        <v>1778</v>
      </c>
      <c r="H122" s="346" t="s">
        <v>1779</v>
      </c>
      <c r="I122" s="346">
        <v>599999.89</v>
      </c>
      <c r="J122" s="346" t="s">
        <v>572</v>
      </c>
      <c r="K122" s="346" t="s">
        <v>1761</v>
      </c>
      <c r="L122" s="346"/>
      <c r="M122" s="346" t="s">
        <v>1761</v>
      </c>
      <c r="N122" s="346">
        <v>0.84</v>
      </c>
      <c r="O122" s="346">
        <v>5.03</v>
      </c>
      <c r="P122" s="346">
        <v>5.87</v>
      </c>
      <c r="Q122" s="346" t="s">
        <v>1762</v>
      </c>
      <c r="R122" s="458">
        <v>1</v>
      </c>
    </row>
    <row r="123" spans="1:18" x14ac:dyDescent="0.25">
      <c r="A123" s="458">
        <v>44680</v>
      </c>
      <c r="B123" s="346">
        <v>1200000112</v>
      </c>
      <c r="C123" s="346" t="s">
        <v>2033</v>
      </c>
      <c r="D123" s="346" t="s">
        <v>1281</v>
      </c>
      <c r="E123" s="346" t="s">
        <v>1757</v>
      </c>
      <c r="F123" s="346" t="s">
        <v>1758</v>
      </c>
      <c r="G123" s="346" t="s">
        <v>1778</v>
      </c>
      <c r="H123" s="346" t="s">
        <v>1779</v>
      </c>
      <c r="I123" s="346">
        <v>100</v>
      </c>
      <c r="J123" s="346" t="s">
        <v>572</v>
      </c>
      <c r="K123" s="346" t="s">
        <v>1761</v>
      </c>
      <c r="L123" s="346"/>
      <c r="M123" s="346" t="s">
        <v>1761</v>
      </c>
      <c r="N123" s="346">
        <v>0.84</v>
      </c>
      <c r="O123" s="346">
        <v>4.92</v>
      </c>
      <c r="P123" s="346">
        <v>5.76</v>
      </c>
      <c r="Q123" s="346" t="s">
        <v>1762</v>
      </c>
      <c r="R123" s="458">
        <v>1</v>
      </c>
    </row>
    <row r="124" spans="1:18" x14ac:dyDescent="0.25">
      <c r="A124" s="458">
        <v>44680</v>
      </c>
      <c r="B124" s="346">
        <v>1200000109</v>
      </c>
      <c r="C124" s="346" t="s">
        <v>2027</v>
      </c>
      <c r="D124" s="346" t="s">
        <v>1756</v>
      </c>
      <c r="E124" s="346" t="s">
        <v>1757</v>
      </c>
      <c r="F124" s="346" t="s">
        <v>1758</v>
      </c>
      <c r="G124" s="346" t="s">
        <v>1778</v>
      </c>
      <c r="H124" s="346" t="s">
        <v>1779</v>
      </c>
      <c r="I124" s="346">
        <v>189318</v>
      </c>
      <c r="J124" s="346" t="s">
        <v>572</v>
      </c>
      <c r="K124" s="346" t="s">
        <v>1761</v>
      </c>
      <c r="L124" s="346"/>
      <c r="M124" s="346" t="s">
        <v>1761</v>
      </c>
      <c r="N124" s="346">
        <v>0.1</v>
      </c>
      <c r="O124" s="346">
        <v>7.78</v>
      </c>
      <c r="P124" s="346">
        <v>8.5299999999999994</v>
      </c>
      <c r="Q124" s="346" t="s">
        <v>1762</v>
      </c>
      <c r="R124" s="458">
        <v>1</v>
      </c>
    </row>
    <row r="125" spans="1:18" x14ac:dyDescent="0.25">
      <c r="A125" s="458">
        <v>44680</v>
      </c>
      <c r="B125" s="346">
        <v>1200000110</v>
      </c>
      <c r="C125" s="346" t="s">
        <v>2028</v>
      </c>
      <c r="D125" s="346" t="s">
        <v>1756</v>
      </c>
      <c r="E125" s="346" t="s">
        <v>1757</v>
      </c>
      <c r="F125" s="346" t="s">
        <v>1758</v>
      </c>
      <c r="G125" s="346" t="s">
        <v>1778</v>
      </c>
      <c r="H125" s="346" t="s">
        <v>1779</v>
      </c>
      <c r="I125" s="346">
        <v>515801.26</v>
      </c>
      <c r="J125" s="346" t="s">
        <v>572</v>
      </c>
      <c r="K125" s="346" t="s">
        <v>1761</v>
      </c>
      <c r="L125" s="346"/>
      <c r="M125" s="346" t="s">
        <v>1761</v>
      </c>
      <c r="N125" s="346">
        <v>0.1</v>
      </c>
      <c r="O125" s="346">
        <v>7.78</v>
      </c>
      <c r="P125" s="346">
        <v>8.5299999999999994</v>
      </c>
      <c r="Q125" s="346" t="s">
        <v>1762</v>
      </c>
      <c r="R125" s="458">
        <v>1</v>
      </c>
    </row>
    <row r="126" spans="1:18" x14ac:dyDescent="0.25">
      <c r="A126" s="458">
        <v>44680</v>
      </c>
      <c r="B126" s="346">
        <v>1200000108</v>
      </c>
      <c r="C126" s="346" t="s">
        <v>2029</v>
      </c>
      <c r="D126" s="346" t="s">
        <v>1756</v>
      </c>
      <c r="E126" s="346" t="s">
        <v>1757</v>
      </c>
      <c r="F126" s="346" t="s">
        <v>1758</v>
      </c>
      <c r="G126" s="346" t="s">
        <v>1778</v>
      </c>
      <c r="H126" s="346" t="s">
        <v>1779</v>
      </c>
      <c r="I126" s="346">
        <v>1002000</v>
      </c>
      <c r="J126" s="346" t="s">
        <v>572</v>
      </c>
      <c r="K126" s="346" t="s">
        <v>1761</v>
      </c>
      <c r="L126" s="346"/>
      <c r="M126" s="346" t="s">
        <v>1761</v>
      </c>
      <c r="N126" s="346">
        <v>0.8</v>
      </c>
      <c r="O126" s="346">
        <v>6.54</v>
      </c>
      <c r="P126" s="346">
        <v>7.34</v>
      </c>
      <c r="Q126" s="346" t="s">
        <v>1762</v>
      </c>
      <c r="R126" s="458">
        <v>1</v>
      </c>
    </row>
    <row r="127" spans="1:18" x14ac:dyDescent="0.25">
      <c r="A127" s="458">
        <v>44680</v>
      </c>
      <c r="B127" s="346">
        <v>1200000001</v>
      </c>
      <c r="C127" s="346" t="s">
        <v>2026</v>
      </c>
      <c r="D127" s="346" t="s">
        <v>1756</v>
      </c>
      <c r="E127" s="346" t="s">
        <v>1757</v>
      </c>
      <c r="F127" s="346" t="s">
        <v>1758</v>
      </c>
      <c r="G127" s="346" t="s">
        <v>1778</v>
      </c>
      <c r="H127" s="346" t="s">
        <v>1779</v>
      </c>
      <c r="I127" s="346">
        <v>529567.98</v>
      </c>
      <c r="J127" s="346" t="s">
        <v>572</v>
      </c>
      <c r="K127" s="346" t="s">
        <v>1761</v>
      </c>
      <c r="L127" s="346"/>
      <c r="M127" s="346" t="s">
        <v>1761</v>
      </c>
      <c r="N127" s="346">
        <v>0.78</v>
      </c>
      <c r="O127" s="346">
        <v>5.5</v>
      </c>
      <c r="P127" s="346">
        <v>6.28</v>
      </c>
      <c r="Q127" s="346" t="s">
        <v>1765</v>
      </c>
      <c r="R127" s="458">
        <v>44177</v>
      </c>
    </row>
    <row r="128" spans="1:18" x14ac:dyDescent="0.25">
      <c r="A128" s="458">
        <v>44680</v>
      </c>
      <c r="B128" s="346">
        <v>3100000105</v>
      </c>
      <c r="C128" s="346" t="s">
        <v>2034</v>
      </c>
      <c r="D128" s="346" t="s">
        <v>1756</v>
      </c>
      <c r="E128" s="346" t="s">
        <v>1757</v>
      </c>
      <c r="F128" s="346" t="s">
        <v>1758</v>
      </c>
      <c r="G128" s="346" t="s">
        <v>1780</v>
      </c>
      <c r="H128" s="346" t="s">
        <v>1233</v>
      </c>
      <c r="I128" s="346">
        <v>20000000</v>
      </c>
      <c r="J128" s="346" t="s">
        <v>1766</v>
      </c>
      <c r="K128" s="346" t="s">
        <v>1781</v>
      </c>
      <c r="L128" s="458">
        <v>44704</v>
      </c>
      <c r="M128" s="346" t="s">
        <v>2035</v>
      </c>
      <c r="N128" s="346">
        <v>0</v>
      </c>
      <c r="O128" s="346">
        <v>5.7</v>
      </c>
      <c r="P128" s="346">
        <v>6</v>
      </c>
      <c r="Q128" s="346" t="s">
        <v>1765</v>
      </c>
      <c r="R128" s="458">
        <v>44289</v>
      </c>
    </row>
    <row r="129" spans="1:18" x14ac:dyDescent="0.25">
      <c r="A129" s="458">
        <v>44680</v>
      </c>
      <c r="B129" s="346">
        <v>3100000002</v>
      </c>
      <c r="C129" s="346" t="s">
        <v>2036</v>
      </c>
      <c r="D129" s="346" t="s">
        <v>1756</v>
      </c>
      <c r="E129" s="346" t="s">
        <v>1757</v>
      </c>
      <c r="F129" s="346" t="s">
        <v>1758</v>
      </c>
      <c r="G129" s="346" t="s">
        <v>1780</v>
      </c>
      <c r="H129" s="346" t="s">
        <v>1233</v>
      </c>
      <c r="I129" s="346">
        <v>1300000</v>
      </c>
      <c r="J129" s="346" t="s">
        <v>572</v>
      </c>
      <c r="K129" s="346" t="s">
        <v>1761</v>
      </c>
      <c r="L129" s="346"/>
      <c r="M129" s="346" t="s">
        <v>1761</v>
      </c>
      <c r="N129" s="346">
        <v>0.76</v>
      </c>
      <c r="O129" s="346">
        <v>6.28</v>
      </c>
      <c r="P129" s="346">
        <v>7.04</v>
      </c>
      <c r="Q129" s="346" t="s">
        <v>1765</v>
      </c>
      <c r="R129" s="458">
        <v>44177</v>
      </c>
    </row>
    <row r="130" spans="1:18" x14ac:dyDescent="0.25">
      <c r="A130" s="458">
        <v>44680</v>
      </c>
      <c r="B130" s="346">
        <v>3100000108</v>
      </c>
      <c r="C130" s="346" t="s">
        <v>2037</v>
      </c>
      <c r="D130" s="346" t="s">
        <v>1756</v>
      </c>
      <c r="E130" s="346" t="s">
        <v>1757</v>
      </c>
      <c r="F130" s="346" t="s">
        <v>1758</v>
      </c>
      <c r="G130" s="346" t="s">
        <v>1780</v>
      </c>
      <c r="H130" s="346" t="s">
        <v>1233</v>
      </c>
      <c r="I130" s="346">
        <v>649493.63</v>
      </c>
      <c r="J130" s="346" t="s">
        <v>572</v>
      </c>
      <c r="K130" s="346" t="s">
        <v>1761</v>
      </c>
      <c r="L130" s="346"/>
      <c r="M130" s="346" t="s">
        <v>1761</v>
      </c>
      <c r="N130" s="346">
        <v>0.11</v>
      </c>
      <c r="O130" s="346">
        <v>6.5</v>
      </c>
      <c r="P130" s="346">
        <v>7.25</v>
      </c>
      <c r="Q130" s="346" t="s">
        <v>1765</v>
      </c>
      <c r="R130" s="458">
        <v>44289</v>
      </c>
    </row>
    <row r="131" spans="1:18" x14ac:dyDescent="0.25">
      <c r="A131" s="458">
        <v>44680</v>
      </c>
      <c r="B131" s="346">
        <v>3100000106</v>
      </c>
      <c r="C131" s="346" t="s">
        <v>2038</v>
      </c>
      <c r="D131" s="346" t="s">
        <v>1756</v>
      </c>
      <c r="E131" s="346" t="s">
        <v>1757</v>
      </c>
      <c r="F131" s="346" t="s">
        <v>1758</v>
      </c>
      <c r="G131" s="346" t="s">
        <v>1780</v>
      </c>
      <c r="H131" s="346" t="s">
        <v>1233</v>
      </c>
      <c r="I131" s="346">
        <v>6161295</v>
      </c>
      <c r="J131" s="346" t="s">
        <v>572</v>
      </c>
      <c r="K131" s="346" t="s">
        <v>1761</v>
      </c>
      <c r="L131" s="346"/>
      <c r="M131" s="346" t="s">
        <v>1761</v>
      </c>
      <c r="N131" s="346">
        <v>0.11</v>
      </c>
      <c r="O131" s="346">
        <v>6</v>
      </c>
      <c r="P131" s="346">
        <v>6.75</v>
      </c>
      <c r="Q131" s="346" t="s">
        <v>1765</v>
      </c>
      <c r="R131" s="458">
        <v>44289</v>
      </c>
    </row>
    <row r="132" spans="1:18" x14ac:dyDescent="0.25">
      <c r="A132" s="458">
        <v>44680</v>
      </c>
      <c r="B132" s="346">
        <v>3100000107</v>
      </c>
      <c r="C132" s="346" t="s">
        <v>2039</v>
      </c>
      <c r="D132" s="346" t="s">
        <v>1756</v>
      </c>
      <c r="E132" s="346" t="s">
        <v>1757</v>
      </c>
      <c r="F132" s="346" t="s">
        <v>1758</v>
      </c>
      <c r="G132" s="346" t="s">
        <v>1780</v>
      </c>
      <c r="H132" s="346" t="s">
        <v>1233</v>
      </c>
      <c r="I132" s="346">
        <v>2020218</v>
      </c>
      <c r="J132" s="346" t="s">
        <v>572</v>
      </c>
      <c r="K132" s="346" t="s">
        <v>1761</v>
      </c>
      <c r="L132" s="346"/>
      <c r="M132" s="346" t="s">
        <v>1761</v>
      </c>
      <c r="N132" s="346">
        <v>0.11</v>
      </c>
      <c r="O132" s="346">
        <v>6</v>
      </c>
      <c r="P132" s="346">
        <v>6.75</v>
      </c>
      <c r="Q132" s="346" t="s">
        <v>1765</v>
      </c>
      <c r="R132" s="458">
        <v>44289</v>
      </c>
    </row>
    <row r="133" spans="1:18" x14ac:dyDescent="0.25">
      <c r="A133" s="458">
        <v>44680</v>
      </c>
      <c r="B133" s="346">
        <v>2200000148</v>
      </c>
      <c r="C133" s="346" t="s">
        <v>2040</v>
      </c>
      <c r="D133" s="346" t="s">
        <v>1756</v>
      </c>
      <c r="E133" s="346" t="s">
        <v>1757</v>
      </c>
      <c r="F133" s="346" t="s">
        <v>1758</v>
      </c>
      <c r="G133" s="346" t="s">
        <v>1759</v>
      </c>
      <c r="H133" s="346" t="s">
        <v>1760</v>
      </c>
      <c r="I133" s="346">
        <v>4004000</v>
      </c>
      <c r="J133" s="346" t="s">
        <v>572</v>
      </c>
      <c r="K133" s="346" t="s">
        <v>1761</v>
      </c>
      <c r="L133" s="346"/>
      <c r="M133" s="346" t="s">
        <v>1761</v>
      </c>
      <c r="N133" s="346">
        <v>0.56999999999999995</v>
      </c>
      <c r="O133" s="346">
        <v>6.42</v>
      </c>
      <c r="P133" s="346">
        <v>7.17</v>
      </c>
      <c r="Q133" s="346" t="s">
        <v>1765</v>
      </c>
      <c r="R133" s="458">
        <v>44318</v>
      </c>
    </row>
    <row r="134" spans="1:18" x14ac:dyDescent="0.25">
      <c r="A134" s="458">
        <v>44680</v>
      </c>
      <c r="B134" s="346">
        <v>2200000147</v>
      </c>
      <c r="C134" s="346" t="s">
        <v>2041</v>
      </c>
      <c r="D134" s="346" t="s">
        <v>1756</v>
      </c>
      <c r="E134" s="346" t="s">
        <v>1757</v>
      </c>
      <c r="F134" s="346" t="s">
        <v>1758</v>
      </c>
      <c r="G134" s="346" t="s">
        <v>1759</v>
      </c>
      <c r="H134" s="346" t="s">
        <v>1760</v>
      </c>
      <c r="I134" s="346">
        <v>996000</v>
      </c>
      <c r="J134" s="346" t="s">
        <v>572</v>
      </c>
      <c r="K134" s="346" t="s">
        <v>1761</v>
      </c>
      <c r="L134" s="346"/>
      <c r="M134" s="346" t="s">
        <v>1761</v>
      </c>
      <c r="N134" s="346">
        <v>0.56999999999999995</v>
      </c>
      <c r="O134" s="346">
        <v>6.42</v>
      </c>
      <c r="P134" s="346">
        <v>7.17</v>
      </c>
      <c r="Q134" s="346" t="s">
        <v>1765</v>
      </c>
      <c r="R134" s="458">
        <v>44318</v>
      </c>
    </row>
    <row r="135" spans="1:18" x14ac:dyDescent="0.25">
      <c r="A135" s="458">
        <v>44680</v>
      </c>
      <c r="B135" s="346">
        <v>2200000143</v>
      </c>
      <c r="C135" s="346" t="s">
        <v>2042</v>
      </c>
      <c r="D135" s="346" t="s">
        <v>1756</v>
      </c>
      <c r="E135" s="346" t="s">
        <v>1757</v>
      </c>
      <c r="F135" s="346" t="s">
        <v>1758</v>
      </c>
      <c r="G135" s="346" t="s">
        <v>1759</v>
      </c>
      <c r="H135" s="346" t="s">
        <v>1760</v>
      </c>
      <c r="I135" s="346">
        <v>239998</v>
      </c>
      <c r="J135" s="346" t="s">
        <v>572</v>
      </c>
      <c r="K135" s="346" t="s">
        <v>1761</v>
      </c>
      <c r="L135" s="346"/>
      <c r="M135" s="346" t="s">
        <v>1761</v>
      </c>
      <c r="N135" s="346">
        <v>0.77</v>
      </c>
      <c r="O135" s="346">
        <v>6.29</v>
      </c>
      <c r="P135" s="346">
        <v>7.06</v>
      </c>
      <c r="Q135" s="346" t="s">
        <v>1765</v>
      </c>
      <c r="R135" s="458">
        <v>44317</v>
      </c>
    </row>
    <row r="136" spans="1:18" x14ac:dyDescent="0.25">
      <c r="A136" s="458">
        <v>44680</v>
      </c>
      <c r="B136" s="346">
        <v>2200000140</v>
      </c>
      <c r="C136" s="346" t="s">
        <v>2043</v>
      </c>
      <c r="D136" s="346" t="s">
        <v>1756</v>
      </c>
      <c r="E136" s="346" t="s">
        <v>1757</v>
      </c>
      <c r="F136" s="346" t="s">
        <v>1758</v>
      </c>
      <c r="G136" s="346" t="s">
        <v>1759</v>
      </c>
      <c r="H136" s="346" t="s">
        <v>1760</v>
      </c>
      <c r="I136" s="346">
        <v>5000000</v>
      </c>
      <c r="J136" s="346" t="s">
        <v>572</v>
      </c>
      <c r="K136" s="346" t="s">
        <v>1761</v>
      </c>
      <c r="L136" s="346"/>
      <c r="M136" s="346" t="s">
        <v>1761</v>
      </c>
      <c r="N136" s="346">
        <v>0.1</v>
      </c>
      <c r="O136" s="346">
        <v>5</v>
      </c>
      <c r="P136" s="346">
        <v>5.75</v>
      </c>
      <c r="Q136" s="346" t="s">
        <v>1762</v>
      </c>
      <c r="R136" s="458">
        <v>1</v>
      </c>
    </row>
    <row r="137" spans="1:18" x14ac:dyDescent="0.25">
      <c r="A137" s="458">
        <v>44680</v>
      </c>
      <c r="B137" s="346">
        <v>2200000002</v>
      </c>
      <c r="C137" s="346" t="s">
        <v>2044</v>
      </c>
      <c r="D137" s="346" t="s">
        <v>1756</v>
      </c>
      <c r="E137" s="346" t="s">
        <v>1757</v>
      </c>
      <c r="F137" s="346" t="s">
        <v>1758</v>
      </c>
      <c r="G137" s="346" t="s">
        <v>1759</v>
      </c>
      <c r="H137" s="346" t="s">
        <v>1760</v>
      </c>
      <c r="I137" s="346">
        <v>746719.21</v>
      </c>
      <c r="J137" s="346" t="s">
        <v>572</v>
      </c>
      <c r="K137" s="346" t="s">
        <v>1761</v>
      </c>
      <c r="L137" s="346"/>
      <c r="M137" s="346" t="s">
        <v>1761</v>
      </c>
      <c r="N137" s="346">
        <v>0.23</v>
      </c>
      <c r="O137" s="346">
        <v>5.95</v>
      </c>
      <c r="P137" s="346">
        <v>6.7</v>
      </c>
      <c r="Q137" s="346" t="s">
        <v>1765</v>
      </c>
      <c r="R137" s="458">
        <v>44177</v>
      </c>
    </row>
    <row r="138" spans="1:18" x14ac:dyDescent="0.25">
      <c r="A138" s="458">
        <v>44680</v>
      </c>
      <c r="B138" s="346">
        <v>4100000180</v>
      </c>
      <c r="C138" s="346" t="s">
        <v>2045</v>
      </c>
      <c r="D138" s="346" t="s">
        <v>1756</v>
      </c>
      <c r="E138" s="346" t="s">
        <v>1757</v>
      </c>
      <c r="F138" s="346" t="s">
        <v>1758</v>
      </c>
      <c r="G138" s="346" t="s">
        <v>1764</v>
      </c>
      <c r="H138" s="346" t="s">
        <v>1250</v>
      </c>
      <c r="I138" s="346">
        <v>2250000</v>
      </c>
      <c r="J138" s="346" t="s">
        <v>572</v>
      </c>
      <c r="K138" s="346" t="s">
        <v>1761</v>
      </c>
      <c r="L138" s="346"/>
      <c r="M138" s="346" t="s">
        <v>1761</v>
      </c>
      <c r="N138" s="346">
        <v>0.52</v>
      </c>
      <c r="O138" s="346">
        <v>4.68</v>
      </c>
      <c r="P138" s="346">
        <v>5.43</v>
      </c>
      <c r="Q138" s="346" t="s">
        <v>1765</v>
      </c>
      <c r="R138" s="458">
        <v>44318</v>
      </c>
    </row>
    <row r="139" spans="1:18" x14ac:dyDescent="0.25">
      <c r="A139" s="458">
        <v>44680</v>
      </c>
      <c r="B139" s="346">
        <v>4100000173</v>
      </c>
      <c r="C139" s="346" t="s">
        <v>2046</v>
      </c>
      <c r="D139" s="346" t="s">
        <v>1756</v>
      </c>
      <c r="E139" s="346" t="s">
        <v>1757</v>
      </c>
      <c r="F139" s="346" t="s">
        <v>1758</v>
      </c>
      <c r="G139" s="346" t="s">
        <v>1764</v>
      </c>
      <c r="H139" s="346" t="s">
        <v>1250</v>
      </c>
      <c r="I139" s="346">
        <v>969201.29</v>
      </c>
      <c r="J139" s="346" t="s">
        <v>572</v>
      </c>
      <c r="K139" s="346" t="s">
        <v>1761</v>
      </c>
      <c r="L139" s="346"/>
      <c r="M139" s="346" t="s">
        <v>1761</v>
      </c>
      <c r="N139" s="346">
        <v>0.77</v>
      </c>
      <c r="O139" s="346">
        <v>4.75</v>
      </c>
      <c r="P139" s="346">
        <v>5.52</v>
      </c>
      <c r="Q139" s="346" t="s">
        <v>1765</v>
      </c>
      <c r="R139" s="458">
        <v>44318</v>
      </c>
    </row>
    <row r="140" spans="1:18" x14ac:dyDescent="0.25">
      <c r="A140" s="458">
        <v>44680</v>
      </c>
      <c r="B140" s="346">
        <v>4100000165</v>
      </c>
      <c r="C140" s="346" t="s">
        <v>2047</v>
      </c>
      <c r="D140" s="346" t="s">
        <v>1756</v>
      </c>
      <c r="E140" s="346" t="s">
        <v>1757</v>
      </c>
      <c r="F140" s="346" t="s">
        <v>1758</v>
      </c>
      <c r="G140" s="346" t="s">
        <v>1764</v>
      </c>
      <c r="H140" s="346" t="s">
        <v>1250</v>
      </c>
      <c r="I140" s="346">
        <v>1243455.78</v>
      </c>
      <c r="J140" s="346" t="s">
        <v>572</v>
      </c>
      <c r="K140" s="346" t="s">
        <v>1761</v>
      </c>
      <c r="L140" s="346"/>
      <c r="M140" s="346" t="s">
        <v>1761</v>
      </c>
      <c r="N140" s="346">
        <v>0.85</v>
      </c>
      <c r="O140" s="346">
        <v>4.25</v>
      </c>
      <c r="P140" s="346">
        <v>5.0999999999999996</v>
      </c>
      <c r="Q140" s="346" t="s">
        <v>1765</v>
      </c>
      <c r="R140" s="458">
        <v>44317</v>
      </c>
    </row>
    <row r="141" spans="1:18" x14ac:dyDescent="0.25">
      <c r="A141" s="458">
        <v>44680</v>
      </c>
      <c r="B141" s="346">
        <v>4100000179</v>
      </c>
      <c r="C141" s="346" t="s">
        <v>2048</v>
      </c>
      <c r="D141" s="346" t="s">
        <v>1756</v>
      </c>
      <c r="E141" s="346" t="s">
        <v>1757</v>
      </c>
      <c r="F141" s="346" t="s">
        <v>1758</v>
      </c>
      <c r="G141" s="346" t="s">
        <v>1764</v>
      </c>
      <c r="H141" s="346" t="s">
        <v>1250</v>
      </c>
      <c r="I141" s="346">
        <v>659247.51</v>
      </c>
      <c r="J141" s="346" t="s">
        <v>572</v>
      </c>
      <c r="K141" s="346" t="s">
        <v>1761</v>
      </c>
      <c r="L141" s="346"/>
      <c r="M141" s="346" t="s">
        <v>1761</v>
      </c>
      <c r="N141" s="346">
        <v>0.76</v>
      </c>
      <c r="O141" s="346">
        <v>3.5</v>
      </c>
      <c r="P141" s="346">
        <v>4.26</v>
      </c>
      <c r="Q141" s="346" t="s">
        <v>1765</v>
      </c>
      <c r="R141" s="458">
        <v>44318</v>
      </c>
    </row>
    <row r="142" spans="1:18" x14ac:dyDescent="0.25">
      <c r="A142" s="458">
        <v>44680</v>
      </c>
      <c r="B142" s="346">
        <v>4100000178</v>
      </c>
      <c r="C142" s="346" t="s">
        <v>2049</v>
      </c>
      <c r="D142" s="346" t="s">
        <v>1756</v>
      </c>
      <c r="E142" s="346" t="s">
        <v>1757</v>
      </c>
      <c r="F142" s="346" t="s">
        <v>1758</v>
      </c>
      <c r="G142" s="346" t="s">
        <v>1764</v>
      </c>
      <c r="H142" s="346" t="s">
        <v>1250</v>
      </c>
      <c r="I142" s="346">
        <v>1604897.03</v>
      </c>
      <c r="J142" s="346" t="s">
        <v>572</v>
      </c>
      <c r="K142" s="346" t="s">
        <v>1761</v>
      </c>
      <c r="L142" s="346"/>
      <c r="M142" s="346" t="s">
        <v>1761</v>
      </c>
      <c r="N142" s="346">
        <v>0.76</v>
      </c>
      <c r="O142" s="346">
        <v>3.5</v>
      </c>
      <c r="P142" s="346">
        <v>4.26</v>
      </c>
      <c r="Q142" s="346" t="s">
        <v>1765</v>
      </c>
      <c r="R142" s="458">
        <v>44318</v>
      </c>
    </row>
    <row r="143" spans="1:18" x14ac:dyDescent="0.25">
      <c r="A143" s="458">
        <v>44680</v>
      </c>
      <c r="B143" s="346">
        <v>4100000164</v>
      </c>
      <c r="C143" s="346" t="s">
        <v>2051</v>
      </c>
      <c r="D143" s="346" t="s">
        <v>1756</v>
      </c>
      <c r="E143" s="346" t="s">
        <v>1757</v>
      </c>
      <c r="F143" s="346" t="s">
        <v>1758</v>
      </c>
      <c r="G143" s="346" t="s">
        <v>1764</v>
      </c>
      <c r="H143" s="346" t="s">
        <v>1250</v>
      </c>
      <c r="I143" s="346">
        <v>850000</v>
      </c>
      <c r="J143" s="346" t="s">
        <v>572</v>
      </c>
      <c r="K143" s="346" t="s">
        <v>1761</v>
      </c>
      <c r="L143" s="346"/>
      <c r="M143" s="346" t="s">
        <v>1761</v>
      </c>
      <c r="N143" s="346">
        <v>0.76</v>
      </c>
      <c r="O143" s="346">
        <v>4.1399999999999997</v>
      </c>
      <c r="P143" s="346">
        <v>4.9000000000000004</v>
      </c>
      <c r="Q143" s="346" t="s">
        <v>1765</v>
      </c>
      <c r="R143" s="458">
        <v>44317</v>
      </c>
    </row>
    <row r="144" spans="1:18" x14ac:dyDescent="0.25">
      <c r="A144" s="458">
        <v>44680</v>
      </c>
      <c r="B144" s="346">
        <v>4100000022</v>
      </c>
      <c r="C144" s="346" t="s">
        <v>2052</v>
      </c>
      <c r="D144" s="346" t="s">
        <v>1756</v>
      </c>
      <c r="E144" s="346" t="s">
        <v>1757</v>
      </c>
      <c r="F144" s="346" t="s">
        <v>1758</v>
      </c>
      <c r="G144" s="346" t="s">
        <v>1764</v>
      </c>
      <c r="H144" s="346" t="s">
        <v>1250</v>
      </c>
      <c r="I144" s="346">
        <v>547000</v>
      </c>
      <c r="J144" s="346" t="s">
        <v>572</v>
      </c>
      <c r="K144" s="346" t="s">
        <v>1761</v>
      </c>
      <c r="L144" s="346"/>
      <c r="M144" s="346" t="s">
        <v>1761</v>
      </c>
      <c r="N144" s="346">
        <v>0.1</v>
      </c>
      <c r="O144" s="346">
        <v>3.94</v>
      </c>
      <c r="P144" s="346">
        <v>4.6900000000000004</v>
      </c>
      <c r="Q144" s="346" t="s">
        <v>1765</v>
      </c>
      <c r="R144" s="458">
        <v>44177</v>
      </c>
    </row>
    <row r="145" spans="1:18" x14ac:dyDescent="0.25">
      <c r="A145" s="458">
        <v>44680</v>
      </c>
      <c r="B145" s="346">
        <v>4100000166</v>
      </c>
      <c r="C145" s="346" t="s">
        <v>2053</v>
      </c>
      <c r="D145" s="346" t="s">
        <v>1756</v>
      </c>
      <c r="E145" s="346" t="s">
        <v>1757</v>
      </c>
      <c r="F145" s="346" t="s">
        <v>1758</v>
      </c>
      <c r="G145" s="346" t="s">
        <v>1764</v>
      </c>
      <c r="H145" s="346" t="s">
        <v>1250</v>
      </c>
      <c r="I145" s="346">
        <v>2251500</v>
      </c>
      <c r="J145" s="346" t="s">
        <v>572</v>
      </c>
      <c r="K145" s="346" t="s">
        <v>1761</v>
      </c>
      <c r="L145" s="346"/>
      <c r="M145" s="346" t="s">
        <v>1761</v>
      </c>
      <c r="N145" s="346">
        <v>0.76</v>
      </c>
      <c r="O145" s="346">
        <v>3</v>
      </c>
      <c r="P145" s="346">
        <v>3.76</v>
      </c>
      <c r="Q145" s="346" t="s">
        <v>1765</v>
      </c>
      <c r="R145" s="458">
        <v>44317</v>
      </c>
    </row>
    <row r="146" spans="1:18" x14ac:dyDescent="0.25">
      <c r="A146" s="458">
        <v>44680</v>
      </c>
      <c r="B146" s="346">
        <v>4100000158</v>
      </c>
      <c r="C146" s="346" t="s">
        <v>2054</v>
      </c>
      <c r="D146" s="346" t="s">
        <v>1756</v>
      </c>
      <c r="E146" s="346" t="s">
        <v>1757</v>
      </c>
      <c r="F146" s="346" t="s">
        <v>1758</v>
      </c>
      <c r="G146" s="346" t="s">
        <v>1764</v>
      </c>
      <c r="H146" s="346" t="s">
        <v>1250</v>
      </c>
      <c r="I146" s="346">
        <v>560000</v>
      </c>
      <c r="J146" s="346" t="s">
        <v>572</v>
      </c>
      <c r="K146" s="346" t="s">
        <v>1761</v>
      </c>
      <c r="L146" s="346"/>
      <c r="M146" s="346" t="s">
        <v>1761</v>
      </c>
      <c r="N146" s="346">
        <v>0.24</v>
      </c>
      <c r="O146" s="346">
        <v>4.75</v>
      </c>
      <c r="P146" s="346">
        <v>5.5</v>
      </c>
      <c r="Q146" s="346" t="s">
        <v>1765</v>
      </c>
      <c r="R146" s="458">
        <v>44303</v>
      </c>
    </row>
    <row r="147" spans="1:18" x14ac:dyDescent="0.25">
      <c r="A147" s="458">
        <v>44680</v>
      </c>
      <c r="B147" s="346">
        <v>4100000168</v>
      </c>
      <c r="C147" s="346" t="s">
        <v>2055</v>
      </c>
      <c r="D147" s="346" t="s">
        <v>1756</v>
      </c>
      <c r="E147" s="346" t="s">
        <v>1757</v>
      </c>
      <c r="F147" s="346" t="s">
        <v>1758</v>
      </c>
      <c r="G147" s="346" t="s">
        <v>1764</v>
      </c>
      <c r="H147" s="346" t="s">
        <v>1250</v>
      </c>
      <c r="I147" s="346">
        <v>2774686.11</v>
      </c>
      <c r="J147" s="346" t="s">
        <v>572</v>
      </c>
      <c r="K147" s="346" t="s">
        <v>1761</v>
      </c>
      <c r="L147" s="346"/>
      <c r="M147" s="346" t="s">
        <v>1761</v>
      </c>
      <c r="N147" s="346">
        <v>0.25</v>
      </c>
      <c r="O147" s="346">
        <v>4</v>
      </c>
      <c r="P147" s="346">
        <v>4.75</v>
      </c>
      <c r="Q147" s="346" t="s">
        <v>1765</v>
      </c>
      <c r="R147" s="458">
        <v>44317</v>
      </c>
    </row>
    <row r="148" spans="1:18" x14ac:dyDescent="0.25">
      <c r="A148" s="458">
        <v>44680</v>
      </c>
      <c r="B148" s="346">
        <v>4100000181</v>
      </c>
      <c r="C148" s="346" t="s">
        <v>2057</v>
      </c>
      <c r="D148" s="346" t="s">
        <v>1756</v>
      </c>
      <c r="E148" s="346" t="s">
        <v>1757</v>
      </c>
      <c r="F148" s="346" t="s">
        <v>1758</v>
      </c>
      <c r="G148" s="346" t="s">
        <v>1764</v>
      </c>
      <c r="H148" s="346" t="s">
        <v>1250</v>
      </c>
      <c r="I148" s="346">
        <v>609000</v>
      </c>
      <c r="J148" s="346" t="s">
        <v>572</v>
      </c>
      <c r="K148" s="346" t="s">
        <v>1761</v>
      </c>
      <c r="L148" s="346"/>
      <c r="M148" s="346" t="s">
        <v>1761</v>
      </c>
      <c r="N148" s="346">
        <v>0.55000000000000004</v>
      </c>
      <c r="O148" s="346">
        <v>4</v>
      </c>
      <c r="P148" s="346">
        <v>4.75</v>
      </c>
      <c r="Q148" s="346" t="s">
        <v>1765</v>
      </c>
      <c r="R148" s="458">
        <v>44318</v>
      </c>
    </row>
    <row r="149" spans="1:18" x14ac:dyDescent="0.25">
      <c r="A149" s="458">
        <v>44680</v>
      </c>
      <c r="B149" s="346">
        <v>4100000153</v>
      </c>
      <c r="C149" s="346" t="s">
        <v>2058</v>
      </c>
      <c r="D149" s="346" t="s">
        <v>1756</v>
      </c>
      <c r="E149" s="346" t="s">
        <v>1757</v>
      </c>
      <c r="F149" s="346" t="s">
        <v>1758</v>
      </c>
      <c r="G149" s="346" t="s">
        <v>1764</v>
      </c>
      <c r="H149" s="346" t="s">
        <v>1250</v>
      </c>
      <c r="I149" s="346">
        <v>945000</v>
      </c>
      <c r="J149" s="346" t="s">
        <v>572</v>
      </c>
      <c r="K149" s="346" t="s">
        <v>1761</v>
      </c>
      <c r="L149" s="346"/>
      <c r="M149" s="346" t="s">
        <v>1761</v>
      </c>
      <c r="N149" s="346">
        <v>0.34</v>
      </c>
      <c r="O149" s="346">
        <v>4.25</v>
      </c>
      <c r="P149" s="346">
        <v>5</v>
      </c>
      <c r="Q149" s="346" t="s">
        <v>1765</v>
      </c>
      <c r="R149" s="458">
        <v>44303</v>
      </c>
    </row>
    <row r="150" spans="1:18" x14ac:dyDescent="0.25">
      <c r="A150" s="458">
        <v>44680</v>
      </c>
      <c r="B150" s="346">
        <v>4100000174</v>
      </c>
      <c r="C150" s="346" t="s">
        <v>2059</v>
      </c>
      <c r="D150" s="346" t="s">
        <v>1756</v>
      </c>
      <c r="E150" s="346" t="s">
        <v>1757</v>
      </c>
      <c r="F150" s="346" t="s">
        <v>1758</v>
      </c>
      <c r="G150" s="346" t="s">
        <v>1764</v>
      </c>
      <c r="H150" s="346" t="s">
        <v>1250</v>
      </c>
      <c r="I150" s="346">
        <v>1050000</v>
      </c>
      <c r="J150" s="346" t="s">
        <v>572</v>
      </c>
      <c r="K150" s="346" t="s">
        <v>1761</v>
      </c>
      <c r="L150" s="346"/>
      <c r="M150" s="346" t="s">
        <v>1761</v>
      </c>
      <c r="N150" s="346">
        <v>0.3</v>
      </c>
      <c r="O150" s="346">
        <v>4.2</v>
      </c>
      <c r="P150" s="346">
        <v>4.95</v>
      </c>
      <c r="Q150" s="346" t="s">
        <v>1765</v>
      </c>
      <c r="R150" s="458">
        <v>44318</v>
      </c>
    </row>
    <row r="151" spans="1:18" x14ac:dyDescent="0.25">
      <c r="A151" s="458">
        <v>44680</v>
      </c>
      <c r="B151" s="346">
        <v>4100000177</v>
      </c>
      <c r="C151" s="346" t="s">
        <v>2060</v>
      </c>
      <c r="D151" s="346" t="s">
        <v>1756</v>
      </c>
      <c r="E151" s="346" t="s">
        <v>1757</v>
      </c>
      <c r="F151" s="346" t="s">
        <v>1758</v>
      </c>
      <c r="G151" s="346" t="s">
        <v>1764</v>
      </c>
      <c r="H151" s="346" t="s">
        <v>1250</v>
      </c>
      <c r="I151" s="346">
        <v>415500</v>
      </c>
      <c r="J151" s="346" t="s">
        <v>572</v>
      </c>
      <c r="K151" s="346" t="s">
        <v>1761</v>
      </c>
      <c r="L151" s="346"/>
      <c r="M151" s="346" t="s">
        <v>1761</v>
      </c>
      <c r="N151" s="346">
        <v>0.3</v>
      </c>
      <c r="O151" s="346">
        <v>4.75</v>
      </c>
      <c r="P151" s="346">
        <v>5.5</v>
      </c>
      <c r="Q151" s="346" t="s">
        <v>1765</v>
      </c>
      <c r="R151" s="458">
        <v>44318</v>
      </c>
    </row>
    <row r="152" spans="1:18" x14ac:dyDescent="0.25">
      <c r="A152" s="458">
        <v>44680</v>
      </c>
      <c r="B152" s="346">
        <v>4100000152</v>
      </c>
      <c r="C152" s="346" t="s">
        <v>2061</v>
      </c>
      <c r="D152" s="346" t="s">
        <v>1756</v>
      </c>
      <c r="E152" s="346" t="s">
        <v>1757</v>
      </c>
      <c r="F152" s="346" t="s">
        <v>1758</v>
      </c>
      <c r="G152" s="346" t="s">
        <v>1764</v>
      </c>
      <c r="H152" s="346" t="s">
        <v>1250</v>
      </c>
      <c r="I152" s="346">
        <v>1005800</v>
      </c>
      <c r="J152" s="346" t="s">
        <v>572</v>
      </c>
      <c r="K152" s="346" t="s">
        <v>1761</v>
      </c>
      <c r="L152" s="346"/>
      <c r="M152" s="346" t="s">
        <v>1761</v>
      </c>
      <c r="N152" s="346">
        <v>0.28999999999999998</v>
      </c>
      <c r="O152" s="346">
        <v>4</v>
      </c>
      <c r="P152" s="346">
        <v>4.75</v>
      </c>
      <c r="Q152" s="346" t="s">
        <v>1765</v>
      </c>
      <c r="R152" s="458">
        <v>44303</v>
      </c>
    </row>
    <row r="153" spans="1:18" x14ac:dyDescent="0.25">
      <c r="A153" s="458">
        <v>44680</v>
      </c>
      <c r="B153" s="346">
        <v>4100000161</v>
      </c>
      <c r="C153" s="346" t="s">
        <v>2062</v>
      </c>
      <c r="D153" s="346" t="s">
        <v>1756</v>
      </c>
      <c r="E153" s="346" t="s">
        <v>1757</v>
      </c>
      <c r="F153" s="346" t="s">
        <v>1758</v>
      </c>
      <c r="G153" s="346" t="s">
        <v>1764</v>
      </c>
      <c r="H153" s="346" t="s">
        <v>1250</v>
      </c>
      <c r="I153" s="346">
        <v>254291.57</v>
      </c>
      <c r="J153" s="346" t="s">
        <v>572</v>
      </c>
      <c r="K153" s="346" t="s">
        <v>1761</v>
      </c>
      <c r="L153" s="346"/>
      <c r="M153" s="346" t="s">
        <v>1761</v>
      </c>
      <c r="N153" s="346">
        <v>0.77</v>
      </c>
      <c r="O153" s="346">
        <v>4.9800000000000004</v>
      </c>
      <c r="P153" s="346">
        <v>5.75</v>
      </c>
      <c r="Q153" s="346" t="s">
        <v>1765</v>
      </c>
      <c r="R153" s="458">
        <v>44317</v>
      </c>
    </row>
    <row r="154" spans="1:18" x14ac:dyDescent="0.25">
      <c r="A154" s="458">
        <v>44680</v>
      </c>
      <c r="B154" s="346">
        <v>4100000154</v>
      </c>
      <c r="C154" s="346" t="s">
        <v>2063</v>
      </c>
      <c r="D154" s="346" t="s">
        <v>1756</v>
      </c>
      <c r="E154" s="346" t="s">
        <v>1757</v>
      </c>
      <c r="F154" s="346" t="s">
        <v>1758</v>
      </c>
      <c r="G154" s="346" t="s">
        <v>1764</v>
      </c>
      <c r="H154" s="346" t="s">
        <v>1250</v>
      </c>
      <c r="I154" s="346">
        <v>700000</v>
      </c>
      <c r="J154" s="346" t="s">
        <v>572</v>
      </c>
      <c r="K154" s="346" t="s">
        <v>1761</v>
      </c>
      <c r="L154" s="346"/>
      <c r="M154" s="346" t="s">
        <v>1761</v>
      </c>
      <c r="N154" s="346">
        <v>0.28999999999999998</v>
      </c>
      <c r="O154" s="346">
        <v>4</v>
      </c>
      <c r="P154" s="346">
        <v>4.75</v>
      </c>
      <c r="Q154" s="346" t="s">
        <v>1765</v>
      </c>
      <c r="R154" s="458">
        <v>44303</v>
      </c>
    </row>
    <row r="155" spans="1:18" x14ac:dyDescent="0.25">
      <c r="A155" s="458">
        <v>44680</v>
      </c>
      <c r="B155" s="346">
        <v>4100000170</v>
      </c>
      <c r="C155" s="346" t="s">
        <v>2056</v>
      </c>
      <c r="D155" s="346" t="s">
        <v>1756</v>
      </c>
      <c r="E155" s="346" t="s">
        <v>1757</v>
      </c>
      <c r="F155" s="346" t="s">
        <v>1758</v>
      </c>
      <c r="G155" s="346" t="s">
        <v>1764</v>
      </c>
      <c r="H155" s="346" t="s">
        <v>1250</v>
      </c>
      <c r="I155" s="346">
        <v>1953626.95</v>
      </c>
      <c r="J155" s="346" t="s">
        <v>572</v>
      </c>
      <c r="K155" s="346" t="s">
        <v>1761</v>
      </c>
      <c r="L155" s="346"/>
      <c r="M155" s="346" t="s">
        <v>1761</v>
      </c>
      <c r="N155" s="346">
        <v>0.28999999999999998</v>
      </c>
      <c r="O155" s="346">
        <v>4.25</v>
      </c>
      <c r="P155" s="346">
        <v>5</v>
      </c>
      <c r="Q155" s="346" t="s">
        <v>1765</v>
      </c>
      <c r="R155" s="458">
        <v>44317</v>
      </c>
    </row>
    <row r="156" spans="1:18" x14ac:dyDescent="0.25">
      <c r="A156" s="458">
        <v>44680</v>
      </c>
      <c r="B156" s="346">
        <v>4100000171</v>
      </c>
      <c r="C156" s="346" t="s">
        <v>2050</v>
      </c>
      <c r="D156" s="346" t="s">
        <v>1756</v>
      </c>
      <c r="E156" s="346" t="s">
        <v>1757</v>
      </c>
      <c r="F156" s="346" t="s">
        <v>1758</v>
      </c>
      <c r="G156" s="346" t="s">
        <v>1764</v>
      </c>
      <c r="H156" s="346" t="s">
        <v>1250</v>
      </c>
      <c r="I156" s="346">
        <v>2175220</v>
      </c>
      <c r="J156" s="346" t="s">
        <v>572</v>
      </c>
      <c r="K156" s="346" t="s">
        <v>1761</v>
      </c>
      <c r="L156" s="346"/>
      <c r="M156" s="346" t="s">
        <v>1761</v>
      </c>
      <c r="N156" s="346">
        <v>0.79</v>
      </c>
      <c r="O156" s="346">
        <v>4.09</v>
      </c>
      <c r="P156" s="346">
        <v>4.88</v>
      </c>
      <c r="Q156" s="346" t="s">
        <v>1765</v>
      </c>
      <c r="R156" s="458">
        <v>44317</v>
      </c>
    </row>
    <row r="157" spans="1:18" x14ac:dyDescent="0.25">
      <c r="A157" s="458">
        <v>44680</v>
      </c>
      <c r="B157" s="346">
        <v>5200000138</v>
      </c>
      <c r="C157" s="346" t="s">
        <v>2064</v>
      </c>
      <c r="D157" s="346" t="s">
        <v>1756</v>
      </c>
      <c r="E157" s="346" t="s">
        <v>1757</v>
      </c>
      <c r="F157" s="346" t="s">
        <v>1758</v>
      </c>
      <c r="G157" s="346" t="s">
        <v>1768</v>
      </c>
      <c r="H157" s="346" t="s">
        <v>1769</v>
      </c>
      <c r="I157" s="346">
        <v>501250</v>
      </c>
      <c r="J157" s="346" t="s">
        <v>572</v>
      </c>
      <c r="K157" s="346" t="s">
        <v>1761</v>
      </c>
      <c r="L157" s="346"/>
      <c r="M157" s="346" t="s">
        <v>1761</v>
      </c>
      <c r="N157" s="346">
        <v>0.1</v>
      </c>
      <c r="O157" s="346">
        <v>5.9</v>
      </c>
      <c r="P157" s="346">
        <v>6.65</v>
      </c>
      <c r="Q157" s="346" t="s">
        <v>1762</v>
      </c>
      <c r="R157" s="458">
        <v>1</v>
      </c>
    </row>
    <row r="158" spans="1:18" x14ac:dyDescent="0.25">
      <c r="A158" s="458">
        <v>44680</v>
      </c>
      <c r="B158" s="346">
        <v>5200000142</v>
      </c>
      <c r="C158" s="346" t="s">
        <v>2065</v>
      </c>
      <c r="D158" s="346" t="s">
        <v>1756</v>
      </c>
      <c r="E158" s="346" t="s">
        <v>1757</v>
      </c>
      <c r="F158" s="346" t="s">
        <v>1758</v>
      </c>
      <c r="G158" s="346" t="s">
        <v>1768</v>
      </c>
      <c r="H158" s="346" t="s">
        <v>1769</v>
      </c>
      <c r="I158" s="346">
        <v>3102318.32</v>
      </c>
      <c r="J158" s="346" t="s">
        <v>572</v>
      </c>
      <c r="K158" s="346" t="s">
        <v>1761</v>
      </c>
      <c r="L158" s="346"/>
      <c r="M158" s="346" t="s">
        <v>1761</v>
      </c>
      <c r="N158" s="346">
        <v>0.8</v>
      </c>
      <c r="O158" s="346">
        <v>6.36</v>
      </c>
      <c r="P158" s="346">
        <v>7.16</v>
      </c>
      <c r="Q158" s="346" t="s">
        <v>1765</v>
      </c>
      <c r="R158" s="458">
        <v>44318</v>
      </c>
    </row>
    <row r="159" spans="1:18" x14ac:dyDescent="0.25">
      <c r="A159" s="458">
        <v>44680</v>
      </c>
      <c r="B159" s="346">
        <v>1100000156</v>
      </c>
      <c r="C159" s="346" t="s">
        <v>2066</v>
      </c>
      <c r="D159" s="346" t="s">
        <v>1756</v>
      </c>
      <c r="E159" s="346" t="s">
        <v>1757</v>
      </c>
      <c r="F159" s="346" t="s">
        <v>1758</v>
      </c>
      <c r="G159" s="346" t="s">
        <v>1771</v>
      </c>
      <c r="H159" s="346" t="s">
        <v>1237</v>
      </c>
      <c r="I159" s="346">
        <v>6205972.7699999996</v>
      </c>
      <c r="J159" s="346" t="s">
        <v>572</v>
      </c>
      <c r="K159" s="346" t="s">
        <v>1761</v>
      </c>
      <c r="L159" s="346"/>
      <c r="M159" s="346" t="s">
        <v>1761</v>
      </c>
      <c r="N159" s="346">
        <v>0.1</v>
      </c>
      <c r="O159" s="346">
        <v>6.25</v>
      </c>
      <c r="P159" s="346">
        <v>7</v>
      </c>
      <c r="Q159" s="346" t="s">
        <v>1762</v>
      </c>
      <c r="R159" s="458">
        <v>1</v>
      </c>
    </row>
    <row r="160" spans="1:18" x14ac:dyDescent="0.25">
      <c r="A160" s="458">
        <v>44680</v>
      </c>
      <c r="B160" s="346">
        <v>1100000158</v>
      </c>
      <c r="C160" s="346" t="s">
        <v>2067</v>
      </c>
      <c r="D160" s="346" t="s">
        <v>1756</v>
      </c>
      <c r="E160" s="346" t="s">
        <v>1757</v>
      </c>
      <c r="F160" s="346" t="s">
        <v>1758</v>
      </c>
      <c r="G160" s="346" t="s">
        <v>1771</v>
      </c>
      <c r="H160" s="346" t="s">
        <v>1237</v>
      </c>
      <c r="I160" s="346">
        <v>7752254.6500000004</v>
      </c>
      <c r="J160" s="346" t="s">
        <v>572</v>
      </c>
      <c r="K160" s="346" t="s">
        <v>1761</v>
      </c>
      <c r="L160" s="346"/>
      <c r="M160" s="346" t="s">
        <v>1761</v>
      </c>
      <c r="N160" s="346">
        <v>0.1</v>
      </c>
      <c r="O160" s="346">
        <v>6.25</v>
      </c>
      <c r="P160" s="346">
        <v>7</v>
      </c>
      <c r="Q160" s="346" t="s">
        <v>1762</v>
      </c>
      <c r="R160" s="458">
        <v>1</v>
      </c>
    </row>
    <row r="161" spans="1:18" x14ac:dyDescent="0.25">
      <c r="A161" s="458">
        <v>44680</v>
      </c>
      <c r="B161" s="346">
        <v>1100000171</v>
      </c>
      <c r="C161" s="346" t="s">
        <v>1388</v>
      </c>
      <c r="D161" s="346" t="s">
        <v>1756</v>
      </c>
      <c r="E161" s="346" t="s">
        <v>1757</v>
      </c>
      <c r="F161" s="346" t="s">
        <v>1758</v>
      </c>
      <c r="G161" s="346" t="s">
        <v>1771</v>
      </c>
      <c r="H161" s="346" t="s">
        <v>1237</v>
      </c>
      <c r="I161" s="346">
        <v>4965593</v>
      </c>
      <c r="J161" s="346" t="s">
        <v>572</v>
      </c>
      <c r="K161" s="346" t="s">
        <v>1761</v>
      </c>
      <c r="L161" s="346"/>
      <c r="M161" s="346" t="s">
        <v>1761</v>
      </c>
      <c r="N161" s="346">
        <v>0.77</v>
      </c>
      <c r="O161" s="346">
        <v>5.6</v>
      </c>
      <c r="P161" s="346">
        <v>6.37</v>
      </c>
      <c r="Q161" s="346" t="s">
        <v>1765</v>
      </c>
      <c r="R161" s="458">
        <v>44317</v>
      </c>
    </row>
    <row r="162" spans="1:18" x14ac:dyDescent="0.25">
      <c r="A162" s="458">
        <v>44680</v>
      </c>
      <c r="B162" s="346">
        <v>1100000176</v>
      </c>
      <c r="C162" s="346" t="s">
        <v>2068</v>
      </c>
      <c r="D162" s="346" t="s">
        <v>1281</v>
      </c>
      <c r="E162" s="346" t="s">
        <v>1757</v>
      </c>
      <c r="F162" s="346" t="s">
        <v>1758</v>
      </c>
      <c r="G162" s="346" t="s">
        <v>1771</v>
      </c>
      <c r="H162" s="346" t="s">
        <v>1237</v>
      </c>
      <c r="I162" s="346">
        <v>6688900.5499999998</v>
      </c>
      <c r="J162" s="346" t="s">
        <v>572</v>
      </c>
      <c r="K162" s="346" t="s">
        <v>1761</v>
      </c>
      <c r="L162" s="346"/>
      <c r="M162" s="346" t="s">
        <v>1761</v>
      </c>
      <c r="N162" s="346">
        <v>0.5</v>
      </c>
      <c r="O162" s="346">
        <v>5.25</v>
      </c>
      <c r="P162" s="346">
        <v>6</v>
      </c>
      <c r="Q162" s="346" t="s">
        <v>1765</v>
      </c>
      <c r="R162" s="458">
        <v>44318</v>
      </c>
    </row>
    <row r="163" spans="1:18" x14ac:dyDescent="0.25">
      <c r="A163" s="458">
        <v>44680</v>
      </c>
      <c r="B163" s="346">
        <v>1100000169</v>
      </c>
      <c r="C163" s="346" t="s">
        <v>2070</v>
      </c>
      <c r="D163" s="346" t="s">
        <v>1756</v>
      </c>
      <c r="E163" s="346" t="s">
        <v>1757</v>
      </c>
      <c r="F163" s="346" t="s">
        <v>1758</v>
      </c>
      <c r="G163" s="346" t="s">
        <v>1771</v>
      </c>
      <c r="H163" s="346" t="s">
        <v>1237</v>
      </c>
      <c r="I163" s="346">
        <v>2630000</v>
      </c>
      <c r="J163" s="346" t="s">
        <v>572</v>
      </c>
      <c r="K163" s="346" t="s">
        <v>1761</v>
      </c>
      <c r="L163" s="346"/>
      <c r="M163" s="346" t="s">
        <v>1761</v>
      </c>
      <c r="N163" s="346">
        <v>0.5</v>
      </c>
      <c r="O163" s="346">
        <v>5</v>
      </c>
      <c r="P163" s="346">
        <v>5.75</v>
      </c>
      <c r="Q163" s="346" t="s">
        <v>1765</v>
      </c>
      <c r="R163" s="458">
        <v>44317</v>
      </c>
    </row>
    <row r="164" spans="1:18" x14ac:dyDescent="0.25">
      <c r="A164" s="458">
        <v>44680</v>
      </c>
      <c r="B164" s="346">
        <v>1100000164</v>
      </c>
      <c r="C164" s="346" t="s">
        <v>2071</v>
      </c>
      <c r="D164" s="346" t="s">
        <v>1281</v>
      </c>
      <c r="E164" s="346" t="s">
        <v>1757</v>
      </c>
      <c r="F164" s="346" t="s">
        <v>1758</v>
      </c>
      <c r="G164" s="346" t="s">
        <v>1771</v>
      </c>
      <c r="H164" s="346" t="s">
        <v>1237</v>
      </c>
      <c r="I164" s="346">
        <v>4800000</v>
      </c>
      <c r="J164" s="346" t="s">
        <v>572</v>
      </c>
      <c r="K164" s="346" t="s">
        <v>1761</v>
      </c>
      <c r="L164" s="346"/>
      <c r="M164" s="346" t="s">
        <v>1761</v>
      </c>
      <c r="N164" s="346">
        <v>0.75</v>
      </c>
      <c r="O164" s="346">
        <v>4.1500000000000004</v>
      </c>
      <c r="P164" s="346">
        <v>4.9000000000000004</v>
      </c>
      <c r="Q164" s="346" t="s">
        <v>1765</v>
      </c>
      <c r="R164" s="458">
        <v>44317</v>
      </c>
    </row>
    <row r="165" spans="1:18" x14ac:dyDescent="0.25">
      <c r="A165" s="458">
        <v>44680</v>
      </c>
      <c r="B165" s="346">
        <v>1100000161</v>
      </c>
      <c r="C165" s="346" t="s">
        <v>2072</v>
      </c>
      <c r="D165" s="346" t="s">
        <v>1281</v>
      </c>
      <c r="E165" s="346" t="s">
        <v>1763</v>
      </c>
      <c r="F165" s="346" t="s">
        <v>1758</v>
      </c>
      <c r="G165" s="346" t="s">
        <v>1771</v>
      </c>
      <c r="H165" s="346" t="s">
        <v>1237</v>
      </c>
      <c r="I165" s="346">
        <v>0</v>
      </c>
      <c r="J165" s="346" t="s">
        <v>572</v>
      </c>
      <c r="K165" s="346" t="s">
        <v>1761</v>
      </c>
      <c r="L165" s="346"/>
      <c r="M165" s="346" t="s">
        <v>1761</v>
      </c>
      <c r="N165" s="346">
        <v>0.1</v>
      </c>
      <c r="O165" s="346">
        <v>4.1500000000000004</v>
      </c>
      <c r="P165" s="346">
        <v>4.9000000000000004</v>
      </c>
      <c r="Q165" s="346" t="s">
        <v>1765</v>
      </c>
      <c r="R165" s="458">
        <v>44317</v>
      </c>
    </row>
    <row r="166" spans="1:18" x14ac:dyDescent="0.25">
      <c r="A166" s="458">
        <v>44680</v>
      </c>
      <c r="B166" s="346">
        <v>1100000009</v>
      </c>
      <c r="C166" s="346" t="s">
        <v>2074</v>
      </c>
      <c r="D166" s="346" t="s">
        <v>1281</v>
      </c>
      <c r="E166" s="346" t="s">
        <v>1757</v>
      </c>
      <c r="F166" s="346" t="s">
        <v>1758</v>
      </c>
      <c r="G166" s="346" t="s">
        <v>1771</v>
      </c>
      <c r="H166" s="346" t="s">
        <v>1237</v>
      </c>
      <c r="I166" s="346">
        <v>10976193.800000001</v>
      </c>
      <c r="J166" s="346" t="s">
        <v>572</v>
      </c>
      <c r="K166" s="346" t="s">
        <v>1761</v>
      </c>
      <c r="L166" s="346"/>
      <c r="M166" s="346" t="s">
        <v>1761</v>
      </c>
      <c r="N166" s="346">
        <v>0.14000000000000001</v>
      </c>
      <c r="O166" s="346">
        <v>6.18</v>
      </c>
      <c r="P166" s="346">
        <v>6.93</v>
      </c>
      <c r="Q166" s="346" t="s">
        <v>1765</v>
      </c>
      <c r="R166" s="458">
        <v>44177</v>
      </c>
    </row>
    <row r="167" spans="1:18" x14ac:dyDescent="0.25">
      <c r="A167" s="458">
        <v>44680</v>
      </c>
      <c r="B167" s="346">
        <v>1100000175</v>
      </c>
      <c r="C167" s="346" t="s">
        <v>2075</v>
      </c>
      <c r="D167" s="346" t="s">
        <v>1756</v>
      </c>
      <c r="E167" s="346" t="s">
        <v>1757</v>
      </c>
      <c r="F167" s="346" t="s">
        <v>1758</v>
      </c>
      <c r="G167" s="346" t="s">
        <v>1771</v>
      </c>
      <c r="H167" s="346" t="s">
        <v>1237</v>
      </c>
      <c r="I167" s="346">
        <v>20011058.510000002</v>
      </c>
      <c r="J167" s="346" t="s">
        <v>572</v>
      </c>
      <c r="K167" s="346" t="s">
        <v>1761</v>
      </c>
      <c r="L167" s="346"/>
      <c r="M167" s="346" t="s">
        <v>1761</v>
      </c>
      <c r="N167" s="346">
        <v>0.63</v>
      </c>
      <c r="O167" s="346">
        <v>5.4</v>
      </c>
      <c r="P167" s="346">
        <v>6.15</v>
      </c>
      <c r="Q167" s="346" t="s">
        <v>1765</v>
      </c>
      <c r="R167" s="458">
        <v>44318</v>
      </c>
    </row>
    <row r="168" spans="1:18" x14ac:dyDescent="0.25">
      <c r="A168" s="458">
        <v>44680</v>
      </c>
      <c r="B168" s="346">
        <v>1100000173</v>
      </c>
      <c r="C168" s="346" t="s">
        <v>2077</v>
      </c>
      <c r="D168" s="346" t="s">
        <v>1756</v>
      </c>
      <c r="E168" s="346" t="s">
        <v>1757</v>
      </c>
      <c r="F168" s="346" t="s">
        <v>1758</v>
      </c>
      <c r="G168" s="346" t="s">
        <v>1771</v>
      </c>
      <c r="H168" s="346" t="s">
        <v>1237</v>
      </c>
      <c r="I168" s="346">
        <v>6700000</v>
      </c>
      <c r="J168" s="346" t="s">
        <v>572</v>
      </c>
      <c r="K168" s="346" t="s">
        <v>1761</v>
      </c>
      <c r="L168" s="346"/>
      <c r="M168" s="346" t="s">
        <v>1761</v>
      </c>
      <c r="N168" s="346">
        <v>0.35</v>
      </c>
      <c r="O168" s="346">
        <v>5.85</v>
      </c>
      <c r="P168" s="346">
        <v>6.6</v>
      </c>
      <c r="Q168" s="346" t="s">
        <v>1765</v>
      </c>
      <c r="R168" s="458">
        <v>44318</v>
      </c>
    </row>
    <row r="169" spans="1:18" x14ac:dyDescent="0.25">
      <c r="A169" s="458">
        <v>44680</v>
      </c>
      <c r="B169" s="346">
        <v>1100000174</v>
      </c>
      <c r="C169" s="346" t="s">
        <v>2078</v>
      </c>
      <c r="D169" s="346" t="s">
        <v>1281</v>
      </c>
      <c r="E169" s="346" t="s">
        <v>1757</v>
      </c>
      <c r="F169" s="346" t="s">
        <v>1758</v>
      </c>
      <c r="G169" s="346" t="s">
        <v>1771</v>
      </c>
      <c r="H169" s="346" t="s">
        <v>1237</v>
      </c>
      <c r="I169" s="346">
        <v>3749059.73</v>
      </c>
      <c r="J169" s="346" t="s">
        <v>572</v>
      </c>
      <c r="K169" s="346" t="s">
        <v>1761</v>
      </c>
      <c r="L169" s="346"/>
      <c r="M169" s="346" t="s">
        <v>1761</v>
      </c>
      <c r="N169" s="346">
        <v>0.35</v>
      </c>
      <c r="O169" s="346">
        <v>7.45</v>
      </c>
      <c r="P169" s="346">
        <v>8.1999999999999993</v>
      </c>
      <c r="Q169" s="346" t="s">
        <v>1765</v>
      </c>
      <c r="R169" s="458">
        <v>44318</v>
      </c>
    </row>
    <row r="170" spans="1:18" x14ac:dyDescent="0.25">
      <c r="A170" s="458">
        <v>44680</v>
      </c>
      <c r="B170" s="346">
        <v>1100000187</v>
      </c>
      <c r="C170" s="346" t="s">
        <v>2079</v>
      </c>
      <c r="D170" s="346" t="s">
        <v>1281</v>
      </c>
      <c r="E170" s="346" t="s">
        <v>1763</v>
      </c>
      <c r="F170" s="346" t="s">
        <v>1758</v>
      </c>
      <c r="G170" s="346" t="s">
        <v>1771</v>
      </c>
      <c r="H170" s="346" t="s">
        <v>1237</v>
      </c>
      <c r="I170" s="346">
        <v>0</v>
      </c>
      <c r="J170" s="346" t="s">
        <v>572</v>
      </c>
      <c r="K170" s="346" t="s">
        <v>1761</v>
      </c>
      <c r="L170" s="346"/>
      <c r="M170" s="346" t="s">
        <v>1761</v>
      </c>
      <c r="N170" s="346">
        <v>0.82</v>
      </c>
      <c r="O170" s="346">
        <v>5.75</v>
      </c>
      <c r="P170" s="346">
        <v>6.57</v>
      </c>
      <c r="Q170" s="346" t="s">
        <v>1765</v>
      </c>
      <c r="R170" s="458">
        <v>44318</v>
      </c>
    </row>
    <row r="171" spans="1:18" x14ac:dyDescent="0.25">
      <c r="A171" s="458">
        <v>44680</v>
      </c>
      <c r="B171" s="346">
        <v>1100000185</v>
      </c>
      <c r="C171" s="346" t="s">
        <v>4528</v>
      </c>
      <c r="D171" s="346" t="s">
        <v>1756</v>
      </c>
      <c r="E171" s="346" t="s">
        <v>1757</v>
      </c>
      <c r="F171" s="346" t="s">
        <v>1758</v>
      </c>
      <c r="G171" s="346" t="s">
        <v>1771</v>
      </c>
      <c r="H171" s="346" t="s">
        <v>1237</v>
      </c>
      <c r="I171" s="346">
        <v>17000000</v>
      </c>
      <c r="J171" s="346" t="s">
        <v>572</v>
      </c>
      <c r="K171" s="346" t="s">
        <v>1761</v>
      </c>
      <c r="L171" s="346"/>
      <c r="M171" s="346" t="s">
        <v>1761</v>
      </c>
      <c r="N171" s="346">
        <v>0.76</v>
      </c>
      <c r="O171" s="346">
        <v>4.95</v>
      </c>
      <c r="P171" s="346">
        <v>5.71</v>
      </c>
      <c r="Q171" s="346" t="s">
        <v>1765</v>
      </c>
      <c r="R171" s="458">
        <v>44318</v>
      </c>
    </row>
    <row r="172" spans="1:18" x14ac:dyDescent="0.25">
      <c r="A172" s="458">
        <v>44680</v>
      </c>
      <c r="B172" s="346">
        <v>1100000005</v>
      </c>
      <c r="C172" s="346" t="s">
        <v>2081</v>
      </c>
      <c r="D172" s="346" t="s">
        <v>1756</v>
      </c>
      <c r="E172" s="346" t="s">
        <v>1757</v>
      </c>
      <c r="F172" s="346" t="s">
        <v>1758</v>
      </c>
      <c r="G172" s="346" t="s">
        <v>1771</v>
      </c>
      <c r="H172" s="346" t="s">
        <v>1237</v>
      </c>
      <c r="I172" s="346">
        <v>1865639.33</v>
      </c>
      <c r="J172" s="346" t="s">
        <v>572</v>
      </c>
      <c r="K172" s="346" t="s">
        <v>1761</v>
      </c>
      <c r="L172" s="346"/>
      <c r="M172" s="346" t="s">
        <v>1761</v>
      </c>
      <c r="N172" s="346">
        <v>0.26</v>
      </c>
      <c r="O172" s="346">
        <v>5.05</v>
      </c>
      <c r="P172" s="346">
        <v>5.8</v>
      </c>
      <c r="Q172" s="346" t="s">
        <v>1765</v>
      </c>
      <c r="R172" s="458">
        <v>44177</v>
      </c>
    </row>
    <row r="173" spans="1:18" x14ac:dyDescent="0.25">
      <c r="A173" s="458">
        <v>44680</v>
      </c>
      <c r="B173" s="346">
        <v>1100000184</v>
      </c>
      <c r="C173" s="346" t="s">
        <v>2082</v>
      </c>
      <c r="D173" s="346" t="s">
        <v>1756</v>
      </c>
      <c r="E173" s="346" t="s">
        <v>1757</v>
      </c>
      <c r="F173" s="346" t="s">
        <v>1758</v>
      </c>
      <c r="G173" s="346" t="s">
        <v>1771</v>
      </c>
      <c r="H173" s="346" t="s">
        <v>1237</v>
      </c>
      <c r="I173" s="346">
        <v>5250000</v>
      </c>
      <c r="J173" s="346" t="s">
        <v>572</v>
      </c>
      <c r="K173" s="346" t="s">
        <v>1761</v>
      </c>
      <c r="L173" s="346"/>
      <c r="M173" s="346" t="s">
        <v>1761</v>
      </c>
      <c r="N173" s="346">
        <v>0.79</v>
      </c>
      <c r="O173" s="346">
        <v>5.2</v>
      </c>
      <c r="P173" s="346">
        <v>5.98</v>
      </c>
      <c r="Q173" s="346" t="s">
        <v>1765</v>
      </c>
      <c r="R173" s="458">
        <v>44318</v>
      </c>
    </row>
    <row r="174" spans="1:18" x14ac:dyDescent="0.25">
      <c r="A174" s="458">
        <v>44680</v>
      </c>
      <c r="B174" s="346">
        <v>1100000182</v>
      </c>
      <c r="C174" s="346" t="s">
        <v>2083</v>
      </c>
      <c r="D174" s="346" t="s">
        <v>1281</v>
      </c>
      <c r="E174" s="346" t="s">
        <v>1763</v>
      </c>
      <c r="F174" s="346" t="s">
        <v>1758</v>
      </c>
      <c r="G174" s="346" t="s">
        <v>1771</v>
      </c>
      <c r="H174" s="346" t="s">
        <v>1237</v>
      </c>
      <c r="I174" s="346">
        <v>0</v>
      </c>
      <c r="J174" s="346" t="s">
        <v>572</v>
      </c>
      <c r="K174" s="346" t="s">
        <v>1761</v>
      </c>
      <c r="L174" s="346"/>
      <c r="M174" s="346" t="s">
        <v>1761</v>
      </c>
      <c r="N174" s="346">
        <v>0.79</v>
      </c>
      <c r="O174" s="346">
        <v>5.2</v>
      </c>
      <c r="P174" s="346">
        <v>5.98</v>
      </c>
      <c r="Q174" s="346" t="s">
        <v>1765</v>
      </c>
      <c r="R174" s="458">
        <v>44318</v>
      </c>
    </row>
    <row r="175" spans="1:18" x14ac:dyDescent="0.25">
      <c r="A175" s="458">
        <v>44680</v>
      </c>
      <c r="B175" s="346">
        <v>1100000006</v>
      </c>
      <c r="C175" s="346" t="s">
        <v>2084</v>
      </c>
      <c r="D175" s="346" t="s">
        <v>1281</v>
      </c>
      <c r="E175" s="346" t="s">
        <v>1757</v>
      </c>
      <c r="F175" s="346" t="s">
        <v>1758</v>
      </c>
      <c r="G175" s="346" t="s">
        <v>1771</v>
      </c>
      <c r="H175" s="346" t="s">
        <v>1237</v>
      </c>
      <c r="I175" s="346">
        <v>3922008.82</v>
      </c>
      <c r="J175" s="346" t="s">
        <v>572</v>
      </c>
      <c r="K175" s="346" t="s">
        <v>1761</v>
      </c>
      <c r="L175" s="346"/>
      <c r="M175" s="346" t="s">
        <v>1761</v>
      </c>
      <c r="N175" s="346">
        <v>0.1</v>
      </c>
      <c r="O175" s="346">
        <v>5.17</v>
      </c>
      <c r="P175" s="346">
        <v>5.92</v>
      </c>
      <c r="Q175" s="346" t="s">
        <v>1765</v>
      </c>
      <c r="R175" s="458">
        <v>44177</v>
      </c>
    </row>
    <row r="176" spans="1:18" x14ac:dyDescent="0.25">
      <c r="A176" s="458">
        <v>44680</v>
      </c>
      <c r="B176" s="346">
        <v>1100000186</v>
      </c>
      <c r="C176" s="346" t="s">
        <v>2080</v>
      </c>
      <c r="D176" s="346" t="s">
        <v>1756</v>
      </c>
      <c r="E176" s="346" t="s">
        <v>1757</v>
      </c>
      <c r="F176" s="346" t="s">
        <v>1758</v>
      </c>
      <c r="G176" s="346" t="s">
        <v>1771</v>
      </c>
      <c r="H176" s="346" t="s">
        <v>1237</v>
      </c>
      <c r="I176" s="346">
        <v>180000</v>
      </c>
      <c r="J176" s="346" t="s">
        <v>572</v>
      </c>
      <c r="K176" s="346" t="s">
        <v>1761</v>
      </c>
      <c r="L176" s="346"/>
      <c r="M176" s="346" t="s">
        <v>1761</v>
      </c>
      <c r="N176" s="346">
        <v>0.82</v>
      </c>
      <c r="O176" s="346">
        <v>6.25</v>
      </c>
      <c r="P176" s="346">
        <v>7.07</v>
      </c>
      <c r="Q176" s="346" t="s">
        <v>1765</v>
      </c>
      <c r="R176" s="458">
        <v>44318</v>
      </c>
    </row>
    <row r="177" spans="1:18" x14ac:dyDescent="0.25">
      <c r="A177" s="458">
        <v>44680</v>
      </c>
      <c r="B177" s="346">
        <v>1100000157</v>
      </c>
      <c r="C177" s="346" t="s">
        <v>2073</v>
      </c>
      <c r="D177" s="346" t="s">
        <v>1281</v>
      </c>
      <c r="E177" s="346" t="s">
        <v>1757</v>
      </c>
      <c r="F177" s="346" t="s">
        <v>1758</v>
      </c>
      <c r="G177" s="346" t="s">
        <v>1771</v>
      </c>
      <c r="H177" s="346" t="s">
        <v>1237</v>
      </c>
      <c r="I177" s="346">
        <v>1500000</v>
      </c>
      <c r="J177" s="346" t="s">
        <v>572</v>
      </c>
      <c r="K177" s="346" t="s">
        <v>1761</v>
      </c>
      <c r="L177" s="346"/>
      <c r="M177" s="346" t="s">
        <v>1761</v>
      </c>
      <c r="N177" s="346">
        <v>0.1</v>
      </c>
      <c r="O177" s="346">
        <v>5.5</v>
      </c>
      <c r="P177" s="346">
        <v>6.25</v>
      </c>
      <c r="Q177" s="346" t="s">
        <v>1762</v>
      </c>
      <c r="R177" s="458">
        <v>1</v>
      </c>
    </row>
    <row r="178" spans="1:18" x14ac:dyDescent="0.25">
      <c r="A178" s="458">
        <v>44680</v>
      </c>
      <c r="B178" s="346">
        <v>1100000163</v>
      </c>
      <c r="C178" s="346" t="s">
        <v>2069</v>
      </c>
      <c r="D178" s="346" t="s">
        <v>1281</v>
      </c>
      <c r="E178" s="346" t="s">
        <v>1757</v>
      </c>
      <c r="F178" s="346" t="s">
        <v>1758</v>
      </c>
      <c r="G178" s="346" t="s">
        <v>1771</v>
      </c>
      <c r="H178" s="346" t="s">
        <v>1237</v>
      </c>
      <c r="I178" s="346">
        <v>7100000</v>
      </c>
      <c r="J178" s="346" t="s">
        <v>572</v>
      </c>
      <c r="K178" s="346" t="s">
        <v>1761</v>
      </c>
      <c r="L178" s="346"/>
      <c r="M178" s="346" t="s">
        <v>1761</v>
      </c>
      <c r="N178" s="346">
        <v>0.9</v>
      </c>
      <c r="O178" s="346">
        <v>6.25</v>
      </c>
      <c r="P178" s="346">
        <v>7.15</v>
      </c>
      <c r="Q178" s="346" t="s">
        <v>1765</v>
      </c>
      <c r="R178" s="458">
        <v>44317</v>
      </c>
    </row>
    <row r="179" spans="1:18" x14ac:dyDescent="0.25">
      <c r="A179" s="458">
        <v>44680</v>
      </c>
      <c r="B179" s="346">
        <v>1100000168</v>
      </c>
      <c r="C179" s="346" t="s">
        <v>2076</v>
      </c>
      <c r="D179" s="346" t="s">
        <v>1756</v>
      </c>
      <c r="E179" s="346" t="s">
        <v>1757</v>
      </c>
      <c r="F179" s="346" t="s">
        <v>1758</v>
      </c>
      <c r="G179" s="346" t="s">
        <v>1771</v>
      </c>
      <c r="H179" s="346" t="s">
        <v>1237</v>
      </c>
      <c r="I179" s="346">
        <v>6474308</v>
      </c>
      <c r="J179" s="346" t="s">
        <v>572</v>
      </c>
      <c r="K179" s="346" t="s">
        <v>1761</v>
      </c>
      <c r="L179" s="346"/>
      <c r="M179" s="346" t="s">
        <v>1761</v>
      </c>
      <c r="N179" s="346">
        <v>0.71</v>
      </c>
      <c r="O179" s="346">
        <v>4.5</v>
      </c>
      <c r="P179" s="346">
        <v>5.25</v>
      </c>
      <c r="Q179" s="346" t="s">
        <v>1765</v>
      </c>
      <c r="R179" s="458">
        <v>44317</v>
      </c>
    </row>
    <row r="180" spans="1:18" x14ac:dyDescent="0.25">
      <c r="A180" s="458">
        <v>44680</v>
      </c>
      <c r="B180" s="346">
        <v>6100000126</v>
      </c>
      <c r="C180" s="346" t="s">
        <v>2085</v>
      </c>
      <c r="D180" s="346" t="s">
        <v>1281</v>
      </c>
      <c r="E180" s="346" t="s">
        <v>1763</v>
      </c>
      <c r="F180" s="346" t="s">
        <v>1770</v>
      </c>
      <c r="G180" s="346" t="s">
        <v>1772</v>
      </c>
      <c r="H180" s="346" t="s">
        <v>1773</v>
      </c>
      <c r="I180" s="346">
        <v>0</v>
      </c>
      <c r="J180" s="346" t="s">
        <v>572</v>
      </c>
      <c r="K180" s="346" t="s">
        <v>1761</v>
      </c>
      <c r="L180" s="346"/>
      <c r="M180" s="346" t="s">
        <v>1761</v>
      </c>
      <c r="N180" s="346">
        <v>0.79</v>
      </c>
      <c r="O180" s="346">
        <v>5.37</v>
      </c>
      <c r="P180" s="346">
        <v>6.16</v>
      </c>
      <c r="Q180" s="346" t="s">
        <v>1765</v>
      </c>
      <c r="R180" s="458">
        <v>44317</v>
      </c>
    </row>
    <row r="181" spans="1:18" x14ac:dyDescent="0.25">
      <c r="A181" s="458">
        <v>44680</v>
      </c>
      <c r="B181" s="346">
        <v>6100000137</v>
      </c>
      <c r="C181" s="346" t="s">
        <v>2086</v>
      </c>
      <c r="D181" s="346" t="s">
        <v>1281</v>
      </c>
      <c r="E181" s="346" t="s">
        <v>1757</v>
      </c>
      <c r="F181" s="346" t="s">
        <v>1770</v>
      </c>
      <c r="G181" s="346" t="s">
        <v>1772</v>
      </c>
      <c r="H181" s="346" t="s">
        <v>1773</v>
      </c>
      <c r="I181" s="346">
        <v>259483.94</v>
      </c>
      <c r="J181" s="346" t="s">
        <v>572</v>
      </c>
      <c r="K181" s="346" t="s">
        <v>1761</v>
      </c>
      <c r="L181" s="346"/>
      <c r="M181" s="346" t="s">
        <v>1761</v>
      </c>
      <c r="N181" s="346">
        <v>0.85</v>
      </c>
      <c r="O181" s="346">
        <v>5.62</v>
      </c>
      <c r="P181" s="346">
        <v>6.47</v>
      </c>
      <c r="Q181" s="346" t="s">
        <v>1765</v>
      </c>
      <c r="R181" s="458">
        <v>44317</v>
      </c>
    </row>
    <row r="182" spans="1:18" x14ac:dyDescent="0.25">
      <c r="A182" s="458">
        <v>44680</v>
      </c>
      <c r="B182" s="346">
        <v>6100000138</v>
      </c>
      <c r="C182" s="346" t="s">
        <v>2087</v>
      </c>
      <c r="D182" s="346" t="s">
        <v>1281</v>
      </c>
      <c r="E182" s="346" t="s">
        <v>1757</v>
      </c>
      <c r="F182" s="346" t="s">
        <v>1770</v>
      </c>
      <c r="G182" s="346" t="s">
        <v>1772</v>
      </c>
      <c r="H182" s="346" t="s">
        <v>1773</v>
      </c>
      <c r="I182" s="346">
        <v>3433533.57</v>
      </c>
      <c r="J182" s="346" t="s">
        <v>572</v>
      </c>
      <c r="K182" s="346" t="s">
        <v>1761</v>
      </c>
      <c r="L182" s="346"/>
      <c r="M182" s="346" t="s">
        <v>1761</v>
      </c>
      <c r="N182" s="346">
        <v>0.85</v>
      </c>
      <c r="O182" s="346">
        <v>5.62</v>
      </c>
      <c r="P182" s="346">
        <v>6.47</v>
      </c>
      <c r="Q182" s="346" t="s">
        <v>1765</v>
      </c>
      <c r="R182" s="458">
        <v>44317</v>
      </c>
    </row>
    <row r="183" spans="1:18" x14ac:dyDescent="0.25">
      <c r="A183" s="458">
        <v>44680</v>
      </c>
      <c r="B183" s="346">
        <v>6100000140</v>
      </c>
      <c r="C183" s="346" t="s">
        <v>2086</v>
      </c>
      <c r="D183" s="346" t="s">
        <v>1281</v>
      </c>
      <c r="E183" s="346" t="s">
        <v>1757</v>
      </c>
      <c r="F183" s="346" t="s">
        <v>1770</v>
      </c>
      <c r="G183" s="346" t="s">
        <v>1772</v>
      </c>
      <c r="H183" s="346" t="s">
        <v>1773</v>
      </c>
      <c r="I183" s="346">
        <v>252899.21</v>
      </c>
      <c r="J183" s="346" t="s">
        <v>572</v>
      </c>
      <c r="K183" s="346" t="s">
        <v>1761</v>
      </c>
      <c r="L183" s="346"/>
      <c r="M183" s="346" t="s">
        <v>1761</v>
      </c>
      <c r="N183" s="346">
        <v>0.85</v>
      </c>
      <c r="O183" s="346">
        <v>5.62</v>
      </c>
      <c r="P183" s="346">
        <v>6.47</v>
      </c>
      <c r="Q183" s="346" t="s">
        <v>1765</v>
      </c>
      <c r="R183" s="458">
        <v>44317</v>
      </c>
    </row>
    <row r="184" spans="1:18" x14ac:dyDescent="0.25">
      <c r="A184" s="458">
        <v>44680</v>
      </c>
      <c r="B184" s="346">
        <v>6100000141</v>
      </c>
      <c r="C184" s="346" t="s">
        <v>2087</v>
      </c>
      <c r="D184" s="346" t="s">
        <v>1281</v>
      </c>
      <c r="E184" s="346" t="s">
        <v>1757</v>
      </c>
      <c r="F184" s="346" t="s">
        <v>1770</v>
      </c>
      <c r="G184" s="346" t="s">
        <v>1772</v>
      </c>
      <c r="H184" s="346" t="s">
        <v>1773</v>
      </c>
      <c r="I184" s="346">
        <v>75598.23</v>
      </c>
      <c r="J184" s="346" t="s">
        <v>572</v>
      </c>
      <c r="K184" s="346" t="s">
        <v>1761</v>
      </c>
      <c r="L184" s="346"/>
      <c r="M184" s="346" t="s">
        <v>1761</v>
      </c>
      <c r="N184" s="346">
        <v>0.85</v>
      </c>
      <c r="O184" s="346">
        <v>5.62</v>
      </c>
      <c r="P184" s="346">
        <v>6.47</v>
      </c>
      <c r="Q184" s="346" t="s">
        <v>1765</v>
      </c>
      <c r="R184" s="458">
        <v>44317</v>
      </c>
    </row>
    <row r="185" spans="1:18" x14ac:dyDescent="0.25">
      <c r="A185" s="458">
        <v>44680</v>
      </c>
      <c r="B185" s="346">
        <v>6100000142</v>
      </c>
      <c r="C185" s="346" t="s">
        <v>2086</v>
      </c>
      <c r="D185" s="346" t="s">
        <v>1281</v>
      </c>
      <c r="E185" s="346" t="s">
        <v>1757</v>
      </c>
      <c r="F185" s="346" t="s">
        <v>1770</v>
      </c>
      <c r="G185" s="346" t="s">
        <v>1772</v>
      </c>
      <c r="H185" s="346" t="s">
        <v>1773</v>
      </c>
      <c r="I185" s="346">
        <v>149984.60999999999</v>
      </c>
      <c r="J185" s="346" t="s">
        <v>572</v>
      </c>
      <c r="K185" s="346" t="s">
        <v>1761</v>
      </c>
      <c r="L185" s="346"/>
      <c r="M185" s="346" t="s">
        <v>1761</v>
      </c>
      <c r="N185" s="346">
        <v>0.85</v>
      </c>
      <c r="O185" s="346">
        <v>5.62</v>
      </c>
      <c r="P185" s="346">
        <v>6.47</v>
      </c>
      <c r="Q185" s="346" t="s">
        <v>1765</v>
      </c>
      <c r="R185" s="458">
        <v>44317</v>
      </c>
    </row>
    <row r="186" spans="1:18" x14ac:dyDescent="0.25">
      <c r="A186" s="458">
        <v>44680</v>
      </c>
      <c r="B186" s="346">
        <v>6100000143</v>
      </c>
      <c r="C186" s="346" t="s">
        <v>2088</v>
      </c>
      <c r="D186" s="346" t="s">
        <v>1281</v>
      </c>
      <c r="E186" s="346" t="s">
        <v>1757</v>
      </c>
      <c r="F186" s="346" t="s">
        <v>1770</v>
      </c>
      <c r="G186" s="346" t="s">
        <v>1772</v>
      </c>
      <c r="H186" s="346" t="s">
        <v>1773</v>
      </c>
      <c r="I186" s="346">
        <v>1048876.06</v>
      </c>
      <c r="J186" s="346" t="s">
        <v>572</v>
      </c>
      <c r="K186" s="346" t="s">
        <v>1761</v>
      </c>
      <c r="L186" s="346"/>
      <c r="M186" s="346" t="s">
        <v>1761</v>
      </c>
      <c r="N186" s="346">
        <v>0.85</v>
      </c>
      <c r="O186" s="346">
        <v>5.62</v>
      </c>
      <c r="P186" s="346">
        <v>6.47</v>
      </c>
      <c r="Q186" s="346" t="s">
        <v>1765</v>
      </c>
      <c r="R186" s="458">
        <v>44317</v>
      </c>
    </row>
    <row r="187" spans="1:18" x14ac:dyDescent="0.25">
      <c r="A187" s="458">
        <v>44680</v>
      </c>
      <c r="B187" s="346">
        <v>6100000145</v>
      </c>
      <c r="C187" s="346" t="s">
        <v>2089</v>
      </c>
      <c r="D187" s="346" t="s">
        <v>1281</v>
      </c>
      <c r="E187" s="346" t="s">
        <v>1757</v>
      </c>
      <c r="F187" s="346" t="s">
        <v>1770</v>
      </c>
      <c r="G187" s="346" t="s">
        <v>1772</v>
      </c>
      <c r="H187" s="346" t="s">
        <v>1773</v>
      </c>
      <c r="I187" s="346">
        <v>657895.81000000006</v>
      </c>
      <c r="J187" s="346" t="s">
        <v>572</v>
      </c>
      <c r="K187" s="346" t="s">
        <v>1761</v>
      </c>
      <c r="L187" s="346"/>
      <c r="M187" s="346" t="s">
        <v>1761</v>
      </c>
      <c r="N187" s="346">
        <v>0.85</v>
      </c>
      <c r="O187" s="346">
        <v>5.62</v>
      </c>
      <c r="P187" s="346">
        <v>6.47</v>
      </c>
      <c r="Q187" s="346" t="s">
        <v>1765</v>
      </c>
      <c r="R187" s="458">
        <v>44317</v>
      </c>
    </row>
    <row r="188" spans="1:18" x14ac:dyDescent="0.25">
      <c r="A188" s="458">
        <v>44680</v>
      </c>
      <c r="B188" s="346">
        <v>6100000146</v>
      </c>
      <c r="C188" s="346" t="s">
        <v>2090</v>
      </c>
      <c r="D188" s="346" t="s">
        <v>1281</v>
      </c>
      <c r="E188" s="346" t="s">
        <v>1757</v>
      </c>
      <c r="F188" s="346" t="s">
        <v>1770</v>
      </c>
      <c r="G188" s="346" t="s">
        <v>1772</v>
      </c>
      <c r="H188" s="346" t="s">
        <v>1773</v>
      </c>
      <c r="I188" s="346">
        <v>2052022.44</v>
      </c>
      <c r="J188" s="346" t="s">
        <v>572</v>
      </c>
      <c r="K188" s="346" t="s">
        <v>1761</v>
      </c>
      <c r="L188" s="346"/>
      <c r="M188" s="346" t="s">
        <v>1761</v>
      </c>
      <c r="N188" s="346">
        <v>0.85</v>
      </c>
      <c r="O188" s="346">
        <v>5.62</v>
      </c>
      <c r="P188" s="346">
        <v>6.47</v>
      </c>
      <c r="Q188" s="346" t="s">
        <v>1765</v>
      </c>
      <c r="R188" s="458">
        <v>44317</v>
      </c>
    </row>
    <row r="189" spans="1:18" x14ac:dyDescent="0.25">
      <c r="A189" s="458">
        <v>44680</v>
      </c>
      <c r="B189" s="346">
        <v>6100000147</v>
      </c>
      <c r="C189" s="346" t="s">
        <v>2091</v>
      </c>
      <c r="D189" s="346" t="s">
        <v>1281</v>
      </c>
      <c r="E189" s="346" t="s">
        <v>1757</v>
      </c>
      <c r="F189" s="346" t="s">
        <v>1770</v>
      </c>
      <c r="G189" s="346" t="s">
        <v>1772</v>
      </c>
      <c r="H189" s="346" t="s">
        <v>1773</v>
      </c>
      <c r="I189" s="346">
        <v>787722.78</v>
      </c>
      <c r="J189" s="346" t="s">
        <v>572</v>
      </c>
      <c r="K189" s="346" t="s">
        <v>1761</v>
      </c>
      <c r="L189" s="346"/>
      <c r="M189" s="346" t="s">
        <v>1761</v>
      </c>
      <c r="N189" s="346">
        <v>0.85</v>
      </c>
      <c r="O189" s="346">
        <v>5.62</v>
      </c>
      <c r="P189" s="346">
        <v>6.47</v>
      </c>
      <c r="Q189" s="346" t="s">
        <v>1765</v>
      </c>
      <c r="R189" s="458">
        <v>44317</v>
      </c>
    </row>
    <row r="190" spans="1:18" x14ac:dyDescent="0.25">
      <c r="A190" s="458">
        <v>44680</v>
      </c>
      <c r="B190" s="346">
        <v>6100000148</v>
      </c>
      <c r="C190" s="346" t="s">
        <v>2092</v>
      </c>
      <c r="D190" s="346" t="s">
        <v>1281</v>
      </c>
      <c r="E190" s="346" t="s">
        <v>1757</v>
      </c>
      <c r="F190" s="346" t="s">
        <v>1770</v>
      </c>
      <c r="G190" s="346" t="s">
        <v>1772</v>
      </c>
      <c r="H190" s="346" t="s">
        <v>1773</v>
      </c>
      <c r="I190" s="346">
        <v>264848.36</v>
      </c>
      <c r="J190" s="346" t="s">
        <v>572</v>
      </c>
      <c r="K190" s="346" t="s">
        <v>1761</v>
      </c>
      <c r="L190" s="346"/>
      <c r="M190" s="346" t="s">
        <v>1761</v>
      </c>
      <c r="N190" s="346">
        <v>0.85</v>
      </c>
      <c r="O190" s="346">
        <v>5.62</v>
      </c>
      <c r="P190" s="346">
        <v>6.47</v>
      </c>
      <c r="Q190" s="346" t="s">
        <v>1765</v>
      </c>
      <c r="R190" s="458">
        <v>44317</v>
      </c>
    </row>
    <row r="191" spans="1:18" x14ac:dyDescent="0.25">
      <c r="A191" s="458">
        <v>44680</v>
      </c>
      <c r="B191" s="346">
        <v>6100000149</v>
      </c>
      <c r="C191" s="346" t="s">
        <v>2088</v>
      </c>
      <c r="D191" s="346" t="s">
        <v>1281</v>
      </c>
      <c r="E191" s="346" t="s">
        <v>1757</v>
      </c>
      <c r="F191" s="346" t="s">
        <v>1770</v>
      </c>
      <c r="G191" s="346" t="s">
        <v>1772</v>
      </c>
      <c r="H191" s="346" t="s">
        <v>1773</v>
      </c>
      <c r="I191" s="346">
        <v>330766.57</v>
      </c>
      <c r="J191" s="346" t="s">
        <v>572</v>
      </c>
      <c r="K191" s="346" t="s">
        <v>1761</v>
      </c>
      <c r="L191" s="346"/>
      <c r="M191" s="346" t="s">
        <v>1761</v>
      </c>
      <c r="N191" s="346">
        <v>0.85</v>
      </c>
      <c r="O191" s="346">
        <v>5.62</v>
      </c>
      <c r="P191" s="346">
        <v>6.47</v>
      </c>
      <c r="Q191" s="346" t="s">
        <v>1765</v>
      </c>
      <c r="R191" s="458">
        <v>44317</v>
      </c>
    </row>
    <row r="192" spans="1:18" x14ac:dyDescent="0.25">
      <c r="A192" s="458">
        <v>44680</v>
      </c>
      <c r="B192" s="346">
        <v>6100000150</v>
      </c>
      <c r="C192" s="346" t="s">
        <v>2086</v>
      </c>
      <c r="D192" s="346" t="s">
        <v>1281</v>
      </c>
      <c r="E192" s="346" t="s">
        <v>1757</v>
      </c>
      <c r="F192" s="346" t="s">
        <v>1770</v>
      </c>
      <c r="G192" s="346" t="s">
        <v>1772</v>
      </c>
      <c r="H192" s="346" t="s">
        <v>1773</v>
      </c>
      <c r="I192" s="346">
        <v>168105.19</v>
      </c>
      <c r="J192" s="346" t="s">
        <v>572</v>
      </c>
      <c r="K192" s="346" t="s">
        <v>1761</v>
      </c>
      <c r="L192" s="346"/>
      <c r="M192" s="346" t="s">
        <v>1761</v>
      </c>
      <c r="N192" s="346">
        <v>0.85</v>
      </c>
      <c r="O192" s="346">
        <v>5.62</v>
      </c>
      <c r="P192" s="346">
        <v>6.47</v>
      </c>
      <c r="Q192" s="346" t="s">
        <v>1765</v>
      </c>
      <c r="R192" s="458">
        <v>44317</v>
      </c>
    </row>
    <row r="193" spans="1:18" x14ac:dyDescent="0.25">
      <c r="A193" s="458">
        <v>44680</v>
      </c>
      <c r="B193" s="346">
        <v>6100000139</v>
      </c>
      <c r="C193" s="346" t="s">
        <v>2093</v>
      </c>
      <c r="D193" s="346" t="s">
        <v>1281</v>
      </c>
      <c r="E193" s="346" t="s">
        <v>1757</v>
      </c>
      <c r="F193" s="346" t="s">
        <v>1770</v>
      </c>
      <c r="G193" s="346" t="s">
        <v>1772</v>
      </c>
      <c r="H193" s="346" t="s">
        <v>1773</v>
      </c>
      <c r="I193" s="346">
        <v>48461.73</v>
      </c>
      <c r="J193" s="346" t="s">
        <v>572</v>
      </c>
      <c r="K193" s="346" t="s">
        <v>1761</v>
      </c>
      <c r="L193" s="346"/>
      <c r="M193" s="346" t="s">
        <v>1761</v>
      </c>
      <c r="N193" s="346">
        <v>0.85</v>
      </c>
      <c r="O193" s="346">
        <v>5.62</v>
      </c>
      <c r="P193" s="346">
        <v>6.47</v>
      </c>
      <c r="Q193" s="346" t="s">
        <v>1765</v>
      </c>
      <c r="R193" s="458">
        <v>44317</v>
      </c>
    </row>
    <row r="194" spans="1:18" x14ac:dyDescent="0.25">
      <c r="A194" s="458">
        <v>44680</v>
      </c>
      <c r="B194" s="346">
        <v>6100000144</v>
      </c>
      <c r="C194" s="346" t="s">
        <v>2093</v>
      </c>
      <c r="D194" s="346" t="s">
        <v>1281</v>
      </c>
      <c r="E194" s="346" t="s">
        <v>1757</v>
      </c>
      <c r="F194" s="346" t="s">
        <v>1770</v>
      </c>
      <c r="G194" s="346" t="s">
        <v>1772</v>
      </c>
      <c r="H194" s="346" t="s">
        <v>1773</v>
      </c>
      <c r="I194" s="346">
        <v>557294.32999999996</v>
      </c>
      <c r="J194" s="346" t="s">
        <v>572</v>
      </c>
      <c r="K194" s="346" t="s">
        <v>1761</v>
      </c>
      <c r="L194" s="346"/>
      <c r="M194" s="346" t="s">
        <v>1761</v>
      </c>
      <c r="N194" s="346">
        <v>0.85</v>
      </c>
      <c r="O194" s="346">
        <v>5.62</v>
      </c>
      <c r="P194" s="346">
        <v>6.47</v>
      </c>
      <c r="Q194" s="346" t="s">
        <v>1765</v>
      </c>
      <c r="R194" s="458">
        <v>44317</v>
      </c>
    </row>
    <row r="195" spans="1:18" x14ac:dyDescent="0.25">
      <c r="A195" s="458">
        <v>44680</v>
      </c>
      <c r="B195" s="346">
        <v>6100000151</v>
      </c>
      <c r="C195" s="346" t="s">
        <v>2093</v>
      </c>
      <c r="D195" s="346" t="s">
        <v>1281</v>
      </c>
      <c r="E195" s="346" t="s">
        <v>1757</v>
      </c>
      <c r="F195" s="346" t="s">
        <v>1770</v>
      </c>
      <c r="G195" s="346" t="s">
        <v>1772</v>
      </c>
      <c r="H195" s="346" t="s">
        <v>1773</v>
      </c>
      <c r="I195" s="346">
        <v>40760.17</v>
      </c>
      <c r="J195" s="346" t="s">
        <v>572</v>
      </c>
      <c r="K195" s="346" t="s">
        <v>1761</v>
      </c>
      <c r="L195" s="346"/>
      <c r="M195" s="346" t="s">
        <v>1761</v>
      </c>
      <c r="N195" s="346">
        <v>0.85</v>
      </c>
      <c r="O195" s="346">
        <v>5.62</v>
      </c>
      <c r="P195" s="346">
        <v>6.47</v>
      </c>
      <c r="Q195" s="346" t="s">
        <v>1765</v>
      </c>
      <c r="R195" s="458">
        <v>44317</v>
      </c>
    </row>
    <row r="196" spans="1:18" x14ac:dyDescent="0.25">
      <c r="A196" s="458">
        <v>44680</v>
      </c>
      <c r="B196" s="346">
        <v>6100000133</v>
      </c>
      <c r="C196" s="346" t="s">
        <v>2094</v>
      </c>
      <c r="D196" s="346" t="s">
        <v>1281</v>
      </c>
      <c r="E196" s="346" t="s">
        <v>1757</v>
      </c>
      <c r="F196" s="346" t="s">
        <v>1770</v>
      </c>
      <c r="G196" s="346" t="s">
        <v>1772</v>
      </c>
      <c r="H196" s="346" t="s">
        <v>1773</v>
      </c>
      <c r="I196" s="346">
        <v>547202.21</v>
      </c>
      <c r="J196" s="346" t="s">
        <v>572</v>
      </c>
      <c r="K196" s="346" t="s">
        <v>1761</v>
      </c>
      <c r="L196" s="346"/>
      <c r="M196" s="346" t="s">
        <v>1761</v>
      </c>
      <c r="N196" s="346">
        <v>0.1</v>
      </c>
      <c r="O196" s="346">
        <v>5.98</v>
      </c>
      <c r="P196" s="346">
        <v>6.73</v>
      </c>
      <c r="Q196" s="346" t="s">
        <v>1765</v>
      </c>
      <c r="R196" s="458">
        <v>44317</v>
      </c>
    </row>
    <row r="197" spans="1:18" x14ac:dyDescent="0.25">
      <c r="A197" s="458">
        <v>44680</v>
      </c>
      <c r="B197" s="346">
        <v>6100000135</v>
      </c>
      <c r="C197" s="346" t="s">
        <v>2094</v>
      </c>
      <c r="D197" s="346" t="s">
        <v>1281</v>
      </c>
      <c r="E197" s="346" t="s">
        <v>1757</v>
      </c>
      <c r="F197" s="346" t="s">
        <v>1770</v>
      </c>
      <c r="G197" s="346" t="s">
        <v>1772</v>
      </c>
      <c r="H197" s="346" t="s">
        <v>1773</v>
      </c>
      <c r="I197" s="346">
        <v>0</v>
      </c>
      <c r="J197" s="346" t="s">
        <v>572</v>
      </c>
      <c r="K197" s="346" t="s">
        <v>1761</v>
      </c>
      <c r="L197" s="346"/>
      <c r="M197" s="346" t="s">
        <v>1761</v>
      </c>
      <c r="N197" s="346">
        <v>0.1</v>
      </c>
      <c r="O197" s="346">
        <v>5.98</v>
      </c>
      <c r="P197" s="346">
        <v>6.73</v>
      </c>
      <c r="Q197" s="346" t="s">
        <v>1765</v>
      </c>
      <c r="R197" s="458">
        <v>44317</v>
      </c>
    </row>
    <row r="198" spans="1:18" x14ac:dyDescent="0.25">
      <c r="A198" s="458">
        <v>44680</v>
      </c>
      <c r="B198" s="346">
        <v>6100000134</v>
      </c>
      <c r="C198" s="346" t="s">
        <v>2095</v>
      </c>
      <c r="D198" s="346" t="s">
        <v>1281</v>
      </c>
      <c r="E198" s="346" t="s">
        <v>1757</v>
      </c>
      <c r="F198" s="346" t="s">
        <v>1770</v>
      </c>
      <c r="G198" s="346" t="s">
        <v>1772</v>
      </c>
      <c r="H198" s="346" t="s">
        <v>1773</v>
      </c>
      <c r="I198" s="346">
        <v>402797.79</v>
      </c>
      <c r="J198" s="346" t="s">
        <v>572</v>
      </c>
      <c r="K198" s="346" t="s">
        <v>1761</v>
      </c>
      <c r="L198" s="346"/>
      <c r="M198" s="346" t="s">
        <v>1761</v>
      </c>
      <c r="N198" s="346">
        <v>0.1</v>
      </c>
      <c r="O198" s="346">
        <v>5.98</v>
      </c>
      <c r="P198" s="346">
        <v>6.73</v>
      </c>
      <c r="Q198" s="346" t="s">
        <v>1765</v>
      </c>
      <c r="R198" s="458">
        <v>44317</v>
      </c>
    </row>
    <row r="199" spans="1:18" x14ac:dyDescent="0.25">
      <c r="A199" s="458">
        <v>44680</v>
      </c>
      <c r="B199" s="346">
        <v>6100000136</v>
      </c>
      <c r="C199" s="346" t="s">
        <v>2092</v>
      </c>
      <c r="D199" s="346" t="s">
        <v>1281</v>
      </c>
      <c r="E199" s="346" t="s">
        <v>1757</v>
      </c>
      <c r="F199" s="346" t="s">
        <v>1770</v>
      </c>
      <c r="G199" s="346" t="s">
        <v>1772</v>
      </c>
      <c r="H199" s="346" t="s">
        <v>1773</v>
      </c>
      <c r="I199" s="346">
        <v>1580051.26</v>
      </c>
      <c r="J199" s="346" t="s">
        <v>572</v>
      </c>
      <c r="K199" s="346" t="s">
        <v>1761</v>
      </c>
      <c r="L199" s="346"/>
      <c r="M199" s="346" t="s">
        <v>1761</v>
      </c>
      <c r="N199" s="346">
        <v>0.85</v>
      </c>
      <c r="O199" s="346">
        <v>5.62</v>
      </c>
      <c r="P199" s="346">
        <v>6.47</v>
      </c>
      <c r="Q199" s="346" t="s">
        <v>1765</v>
      </c>
      <c r="R199" s="458">
        <v>44317</v>
      </c>
    </row>
    <row r="200" spans="1:18" x14ac:dyDescent="0.25">
      <c r="A200" s="458">
        <v>44680</v>
      </c>
      <c r="B200" s="346">
        <v>6100000153</v>
      </c>
      <c r="C200" s="346" t="s">
        <v>2096</v>
      </c>
      <c r="D200" s="346" t="s">
        <v>1756</v>
      </c>
      <c r="E200" s="346" t="s">
        <v>1757</v>
      </c>
      <c r="F200" s="346" t="s">
        <v>1770</v>
      </c>
      <c r="G200" s="346" t="s">
        <v>1772</v>
      </c>
      <c r="H200" s="346" t="s">
        <v>1773</v>
      </c>
      <c r="I200" s="346">
        <v>750000</v>
      </c>
      <c r="J200" s="346" t="s">
        <v>572</v>
      </c>
      <c r="K200" s="346" t="s">
        <v>1761</v>
      </c>
      <c r="L200" s="346"/>
      <c r="M200" s="346" t="s">
        <v>1761</v>
      </c>
      <c r="N200" s="346">
        <v>0.1</v>
      </c>
      <c r="O200" s="346">
        <v>5.25</v>
      </c>
      <c r="P200" s="346">
        <v>6</v>
      </c>
      <c r="Q200" s="346" t="s">
        <v>1765</v>
      </c>
      <c r="R200" s="458">
        <v>44317</v>
      </c>
    </row>
    <row r="201" spans="1:18" x14ac:dyDescent="0.25">
      <c r="A201" s="458">
        <v>44680</v>
      </c>
      <c r="B201" s="346">
        <v>6100000152</v>
      </c>
      <c r="C201" s="346" t="s">
        <v>2097</v>
      </c>
      <c r="D201" s="346" t="s">
        <v>1756</v>
      </c>
      <c r="E201" s="346" t="s">
        <v>1757</v>
      </c>
      <c r="F201" s="346" t="s">
        <v>1770</v>
      </c>
      <c r="G201" s="346" t="s">
        <v>1772</v>
      </c>
      <c r="H201" s="346" t="s">
        <v>1773</v>
      </c>
      <c r="I201" s="346">
        <v>78304.69</v>
      </c>
      <c r="J201" s="346" t="s">
        <v>572</v>
      </c>
      <c r="K201" s="346" t="s">
        <v>1761</v>
      </c>
      <c r="L201" s="346"/>
      <c r="M201" s="346" t="s">
        <v>1761</v>
      </c>
      <c r="N201" s="346">
        <v>0.1</v>
      </c>
      <c r="O201" s="346">
        <v>5.25</v>
      </c>
      <c r="P201" s="346">
        <v>6</v>
      </c>
      <c r="Q201" s="346" t="s">
        <v>1765</v>
      </c>
      <c r="R201" s="458">
        <v>44317</v>
      </c>
    </row>
    <row r="202" spans="1:18" x14ac:dyDescent="0.25">
      <c r="A202" s="458">
        <v>44680</v>
      </c>
      <c r="B202" s="346">
        <v>6100000127</v>
      </c>
      <c r="C202" s="346" t="s">
        <v>2098</v>
      </c>
      <c r="D202" s="346" t="s">
        <v>1756</v>
      </c>
      <c r="E202" s="346" t="s">
        <v>1757</v>
      </c>
      <c r="F202" s="346" t="s">
        <v>1770</v>
      </c>
      <c r="G202" s="346" t="s">
        <v>1772</v>
      </c>
      <c r="H202" s="346" t="s">
        <v>1773</v>
      </c>
      <c r="I202" s="346">
        <v>2000000</v>
      </c>
      <c r="J202" s="346" t="s">
        <v>572</v>
      </c>
      <c r="K202" s="346" t="s">
        <v>1761</v>
      </c>
      <c r="L202" s="346"/>
      <c r="M202" s="346" t="s">
        <v>1761</v>
      </c>
      <c r="N202" s="346">
        <v>0.75</v>
      </c>
      <c r="O202" s="346">
        <v>5.25</v>
      </c>
      <c r="P202" s="346">
        <v>6</v>
      </c>
      <c r="Q202" s="346" t="s">
        <v>1765</v>
      </c>
      <c r="R202" s="458">
        <v>44317</v>
      </c>
    </row>
    <row r="203" spans="1:18" x14ac:dyDescent="0.25">
      <c r="A203" s="458">
        <v>44680</v>
      </c>
      <c r="B203" s="346">
        <v>6100000104</v>
      </c>
      <c r="C203" s="346" t="s">
        <v>2100</v>
      </c>
      <c r="D203" s="346" t="s">
        <v>1756</v>
      </c>
      <c r="E203" s="346" t="s">
        <v>1757</v>
      </c>
      <c r="F203" s="346" t="s">
        <v>1770</v>
      </c>
      <c r="G203" s="346" t="s">
        <v>1772</v>
      </c>
      <c r="H203" s="346" t="s">
        <v>1773</v>
      </c>
      <c r="I203" s="346">
        <v>7250000</v>
      </c>
      <c r="J203" s="346" t="s">
        <v>572</v>
      </c>
      <c r="K203" s="346" t="s">
        <v>1761</v>
      </c>
      <c r="L203" s="346"/>
      <c r="M203" s="346" t="s">
        <v>1761</v>
      </c>
      <c r="N203" s="346">
        <v>0.5</v>
      </c>
      <c r="O203" s="346">
        <v>4.75</v>
      </c>
      <c r="P203" s="346">
        <v>5.5</v>
      </c>
      <c r="Q203" s="346" t="s">
        <v>1765</v>
      </c>
      <c r="R203" s="458">
        <v>44317</v>
      </c>
    </row>
    <row r="204" spans="1:18" x14ac:dyDescent="0.25">
      <c r="A204" s="458">
        <v>44680</v>
      </c>
      <c r="B204" s="346">
        <v>6100000132</v>
      </c>
      <c r="C204" s="346" t="s">
        <v>2099</v>
      </c>
      <c r="D204" s="346" t="s">
        <v>1281</v>
      </c>
      <c r="E204" s="346" t="s">
        <v>1763</v>
      </c>
      <c r="F204" s="346" t="s">
        <v>1770</v>
      </c>
      <c r="G204" s="346" t="s">
        <v>1772</v>
      </c>
      <c r="H204" s="346" t="s">
        <v>1773</v>
      </c>
      <c r="I204" s="346">
        <v>0</v>
      </c>
      <c r="J204" s="346" t="s">
        <v>572</v>
      </c>
      <c r="K204" s="346" t="s">
        <v>1761</v>
      </c>
      <c r="L204" s="346"/>
      <c r="M204" s="346" t="s">
        <v>1761</v>
      </c>
      <c r="N204" s="346">
        <v>0.1</v>
      </c>
      <c r="O204" s="346">
        <v>5.98</v>
      </c>
      <c r="P204" s="346">
        <v>6.73</v>
      </c>
      <c r="Q204" s="346" t="s">
        <v>1765</v>
      </c>
      <c r="R204" s="458">
        <v>44317</v>
      </c>
    </row>
    <row r="205" spans="1:18" x14ac:dyDescent="0.25">
      <c r="A205" s="458">
        <v>44680</v>
      </c>
      <c r="B205" s="346">
        <v>2100000143</v>
      </c>
      <c r="C205" s="346" t="s">
        <v>2102</v>
      </c>
      <c r="D205" s="346" t="s">
        <v>1756</v>
      </c>
      <c r="E205" s="346" t="s">
        <v>1763</v>
      </c>
      <c r="F205" s="346" t="s">
        <v>1758</v>
      </c>
      <c r="G205" s="346" t="s">
        <v>1774</v>
      </c>
      <c r="H205" s="346" t="s">
        <v>1245</v>
      </c>
      <c r="I205" s="346">
        <v>0</v>
      </c>
      <c r="J205" s="346" t="s">
        <v>572</v>
      </c>
      <c r="K205" s="346" t="s">
        <v>1761</v>
      </c>
      <c r="L205" s="346"/>
      <c r="M205" s="346" t="s">
        <v>1761</v>
      </c>
      <c r="N205" s="346">
        <v>0.1</v>
      </c>
      <c r="O205" s="346">
        <v>5.86</v>
      </c>
      <c r="P205" s="346">
        <v>6.61</v>
      </c>
      <c r="Q205" s="346" t="s">
        <v>1762</v>
      </c>
      <c r="R205" s="458">
        <v>1</v>
      </c>
    </row>
    <row r="206" spans="1:18" x14ac:dyDescent="0.25">
      <c r="A206" s="458">
        <v>44680</v>
      </c>
      <c r="B206" s="346">
        <v>2100000165</v>
      </c>
      <c r="C206" s="346" t="s">
        <v>2103</v>
      </c>
      <c r="D206" s="346" t="s">
        <v>1756</v>
      </c>
      <c r="E206" s="346" t="s">
        <v>1757</v>
      </c>
      <c r="F206" s="346" t="s">
        <v>1758</v>
      </c>
      <c r="G206" s="346" t="s">
        <v>1774</v>
      </c>
      <c r="H206" s="346" t="s">
        <v>1245</v>
      </c>
      <c r="I206" s="346">
        <v>7282499.6100000003</v>
      </c>
      <c r="J206" s="346" t="s">
        <v>572</v>
      </c>
      <c r="K206" s="346" t="s">
        <v>1761</v>
      </c>
      <c r="L206" s="346"/>
      <c r="M206" s="346" t="s">
        <v>1761</v>
      </c>
      <c r="N206" s="346">
        <v>0.56999999999999995</v>
      </c>
      <c r="O206" s="346">
        <v>6.58</v>
      </c>
      <c r="P206" s="346">
        <v>7.33</v>
      </c>
      <c r="Q206" s="346" t="s">
        <v>1765</v>
      </c>
      <c r="R206" s="458">
        <v>44318</v>
      </c>
    </row>
    <row r="207" spans="1:18" x14ac:dyDescent="0.25">
      <c r="A207" s="458">
        <v>44680</v>
      </c>
      <c r="B207" s="346">
        <v>2100000152</v>
      </c>
      <c r="C207" s="346" t="s">
        <v>2104</v>
      </c>
      <c r="D207" s="346" t="s">
        <v>1756</v>
      </c>
      <c r="E207" s="346" t="s">
        <v>1757</v>
      </c>
      <c r="F207" s="346" t="s">
        <v>1758</v>
      </c>
      <c r="G207" s="346" t="s">
        <v>1774</v>
      </c>
      <c r="H207" s="346" t="s">
        <v>1245</v>
      </c>
      <c r="I207" s="346">
        <v>1839573.58</v>
      </c>
      <c r="J207" s="346" t="s">
        <v>572</v>
      </c>
      <c r="K207" s="346" t="s">
        <v>1761</v>
      </c>
      <c r="L207" s="346"/>
      <c r="M207" s="346" t="s">
        <v>1761</v>
      </c>
      <c r="N207" s="346">
        <v>0.77</v>
      </c>
      <c r="O207" s="346">
        <v>10.25</v>
      </c>
      <c r="P207" s="346">
        <v>11.02</v>
      </c>
      <c r="Q207" s="346" t="s">
        <v>1765</v>
      </c>
      <c r="R207" s="458">
        <v>44317</v>
      </c>
    </row>
    <row r="208" spans="1:18" x14ac:dyDescent="0.25">
      <c r="A208" s="458">
        <v>44680</v>
      </c>
      <c r="B208" s="346">
        <v>2100000142</v>
      </c>
      <c r="C208" s="346" t="s">
        <v>2107</v>
      </c>
      <c r="D208" s="346" t="s">
        <v>1756</v>
      </c>
      <c r="E208" s="346" t="s">
        <v>1757</v>
      </c>
      <c r="F208" s="346" t="s">
        <v>1758</v>
      </c>
      <c r="G208" s="346" t="s">
        <v>1774</v>
      </c>
      <c r="H208" s="346" t="s">
        <v>1245</v>
      </c>
      <c r="I208" s="346">
        <v>2314301.4</v>
      </c>
      <c r="J208" s="346" t="s">
        <v>572</v>
      </c>
      <c r="K208" s="346" t="s">
        <v>1761</v>
      </c>
      <c r="L208" s="346"/>
      <c r="M208" s="346" t="s">
        <v>1761</v>
      </c>
      <c r="N208" s="346">
        <v>0.1</v>
      </c>
      <c r="O208" s="346">
        <v>5.75</v>
      </c>
      <c r="P208" s="346">
        <v>6.5</v>
      </c>
      <c r="Q208" s="346" t="s">
        <v>1762</v>
      </c>
      <c r="R208" s="458">
        <v>1</v>
      </c>
    </row>
    <row r="209" spans="1:18" x14ac:dyDescent="0.25">
      <c r="A209" s="458">
        <v>44680</v>
      </c>
      <c r="B209" s="346">
        <v>2100000158</v>
      </c>
      <c r="C209" s="346" t="s">
        <v>2108</v>
      </c>
      <c r="D209" s="346" t="s">
        <v>1756</v>
      </c>
      <c r="E209" s="346" t="s">
        <v>1757</v>
      </c>
      <c r="F209" s="346" t="s">
        <v>1758</v>
      </c>
      <c r="G209" s="346" t="s">
        <v>1774</v>
      </c>
      <c r="H209" s="346" t="s">
        <v>1245</v>
      </c>
      <c r="I209" s="346">
        <v>24215227.41</v>
      </c>
      <c r="J209" s="346" t="s">
        <v>572</v>
      </c>
      <c r="K209" s="346" t="s">
        <v>1761</v>
      </c>
      <c r="L209" s="346"/>
      <c r="M209" s="346" t="s">
        <v>1761</v>
      </c>
      <c r="N209" s="346">
        <v>0.81</v>
      </c>
      <c r="O209" s="346">
        <v>7</v>
      </c>
      <c r="P209" s="346">
        <v>7.81</v>
      </c>
      <c r="Q209" s="346" t="s">
        <v>1765</v>
      </c>
      <c r="R209" s="458">
        <v>44318</v>
      </c>
    </row>
    <row r="210" spans="1:18" x14ac:dyDescent="0.25">
      <c r="A210" s="458">
        <v>44680</v>
      </c>
      <c r="B210" s="346">
        <v>2100000149</v>
      </c>
      <c r="C210" s="346" t="s">
        <v>2110</v>
      </c>
      <c r="D210" s="346" t="s">
        <v>1756</v>
      </c>
      <c r="E210" s="346" t="s">
        <v>1757</v>
      </c>
      <c r="F210" s="346" t="s">
        <v>1758</v>
      </c>
      <c r="G210" s="346" t="s">
        <v>1774</v>
      </c>
      <c r="H210" s="346" t="s">
        <v>1245</v>
      </c>
      <c r="I210" s="346">
        <v>5310261.3099999996</v>
      </c>
      <c r="J210" s="346" t="s">
        <v>572</v>
      </c>
      <c r="K210" s="346" t="s">
        <v>1761</v>
      </c>
      <c r="L210" s="346"/>
      <c r="M210" s="346" t="s">
        <v>1761</v>
      </c>
      <c r="N210" s="346">
        <v>0.5</v>
      </c>
      <c r="O210" s="346">
        <v>6.69</v>
      </c>
      <c r="P210" s="346">
        <v>7.44</v>
      </c>
      <c r="Q210" s="346" t="s">
        <v>1765</v>
      </c>
      <c r="R210" s="458">
        <v>44317</v>
      </c>
    </row>
    <row r="211" spans="1:18" x14ac:dyDescent="0.25">
      <c r="A211" s="458">
        <v>44680</v>
      </c>
      <c r="B211" s="346">
        <v>2100000144</v>
      </c>
      <c r="C211" s="346" t="s">
        <v>2111</v>
      </c>
      <c r="D211" s="346" t="s">
        <v>1756</v>
      </c>
      <c r="E211" s="346" t="s">
        <v>1757</v>
      </c>
      <c r="F211" s="346" t="s">
        <v>1758</v>
      </c>
      <c r="G211" s="346" t="s">
        <v>1774</v>
      </c>
      <c r="H211" s="346" t="s">
        <v>1245</v>
      </c>
      <c r="I211" s="346">
        <v>1066388.49</v>
      </c>
      <c r="J211" s="346" t="s">
        <v>572</v>
      </c>
      <c r="K211" s="346" t="s">
        <v>1761</v>
      </c>
      <c r="L211" s="346"/>
      <c r="M211" s="346" t="s">
        <v>1761</v>
      </c>
      <c r="N211" s="346">
        <v>0</v>
      </c>
      <c r="O211" s="346">
        <v>6.5</v>
      </c>
      <c r="P211" s="346">
        <v>7.25</v>
      </c>
      <c r="Q211" s="346" t="s">
        <v>1762</v>
      </c>
      <c r="R211" s="458">
        <v>1</v>
      </c>
    </row>
    <row r="212" spans="1:18" x14ac:dyDescent="0.25">
      <c r="A212" s="458">
        <v>44680</v>
      </c>
      <c r="B212" s="346">
        <v>2100000159</v>
      </c>
      <c r="C212" s="346" t="s">
        <v>2117</v>
      </c>
      <c r="D212" s="346" t="s">
        <v>1756</v>
      </c>
      <c r="E212" s="346" t="s">
        <v>1757</v>
      </c>
      <c r="F212" s="346" t="s">
        <v>1758</v>
      </c>
      <c r="G212" s="346" t="s">
        <v>1774</v>
      </c>
      <c r="H212" s="346" t="s">
        <v>1245</v>
      </c>
      <c r="I212" s="346">
        <v>10236262.6</v>
      </c>
      <c r="J212" s="346" t="s">
        <v>572</v>
      </c>
      <c r="K212" s="346" t="s">
        <v>1761</v>
      </c>
      <c r="L212" s="346"/>
      <c r="M212" s="346" t="s">
        <v>1761</v>
      </c>
      <c r="N212" s="346">
        <v>0.8</v>
      </c>
      <c r="O212" s="346">
        <v>6</v>
      </c>
      <c r="P212" s="346">
        <v>6.8</v>
      </c>
      <c r="Q212" s="346" t="s">
        <v>1765</v>
      </c>
      <c r="R212" s="458">
        <v>44318</v>
      </c>
    </row>
    <row r="213" spans="1:18" x14ac:dyDescent="0.25">
      <c r="A213" s="458">
        <v>44680</v>
      </c>
      <c r="B213" s="346">
        <v>2100000161</v>
      </c>
      <c r="C213" s="346" t="s">
        <v>2116</v>
      </c>
      <c r="D213" s="346" t="s">
        <v>1756</v>
      </c>
      <c r="E213" s="346" t="s">
        <v>1757</v>
      </c>
      <c r="F213" s="346" t="s">
        <v>1758</v>
      </c>
      <c r="G213" s="346" t="s">
        <v>1774</v>
      </c>
      <c r="H213" s="346" t="s">
        <v>1245</v>
      </c>
      <c r="I213" s="346">
        <v>11215920.470000001</v>
      </c>
      <c r="J213" s="346" t="s">
        <v>572</v>
      </c>
      <c r="K213" s="346" t="s">
        <v>1761</v>
      </c>
      <c r="L213" s="346"/>
      <c r="M213" s="346" t="s">
        <v>1761</v>
      </c>
      <c r="N213" s="346">
        <v>0.25</v>
      </c>
      <c r="O213" s="346">
        <v>6.25</v>
      </c>
      <c r="P213" s="346">
        <v>7</v>
      </c>
      <c r="Q213" s="346" t="s">
        <v>1765</v>
      </c>
      <c r="R213" s="458">
        <v>44318</v>
      </c>
    </row>
    <row r="214" spans="1:18" x14ac:dyDescent="0.25">
      <c r="A214" s="458">
        <v>44680</v>
      </c>
      <c r="B214" s="346">
        <v>2100000167</v>
      </c>
      <c r="C214" s="346" t="s">
        <v>2105</v>
      </c>
      <c r="D214" s="346" t="s">
        <v>1756</v>
      </c>
      <c r="E214" s="346" t="s">
        <v>1763</v>
      </c>
      <c r="F214" s="346" t="s">
        <v>1758</v>
      </c>
      <c r="G214" s="346" t="s">
        <v>1774</v>
      </c>
      <c r="H214" s="346" t="s">
        <v>1245</v>
      </c>
      <c r="I214" s="346">
        <v>0</v>
      </c>
      <c r="J214" s="346" t="s">
        <v>572</v>
      </c>
      <c r="K214" s="346" t="s">
        <v>1761</v>
      </c>
      <c r="L214" s="346"/>
      <c r="M214" s="346" t="s">
        <v>1761</v>
      </c>
      <c r="N214" s="346">
        <v>0.25</v>
      </c>
      <c r="O214" s="346">
        <v>6.69</v>
      </c>
      <c r="P214" s="346">
        <v>7.44</v>
      </c>
      <c r="Q214" s="346" t="s">
        <v>1765</v>
      </c>
      <c r="R214" s="458">
        <v>44318</v>
      </c>
    </row>
    <row r="215" spans="1:18" x14ac:dyDescent="0.25">
      <c r="A215" s="458">
        <v>44680</v>
      </c>
      <c r="B215" s="346">
        <v>2100000145</v>
      </c>
      <c r="C215" s="346" t="s">
        <v>2106</v>
      </c>
      <c r="D215" s="346" t="s">
        <v>1756</v>
      </c>
      <c r="E215" s="346" t="s">
        <v>1757</v>
      </c>
      <c r="F215" s="346" t="s">
        <v>1758</v>
      </c>
      <c r="G215" s="346" t="s">
        <v>1774</v>
      </c>
      <c r="H215" s="346" t="s">
        <v>1245</v>
      </c>
      <c r="I215" s="346">
        <v>1628488.41</v>
      </c>
      <c r="J215" s="346" t="s">
        <v>572</v>
      </c>
      <c r="K215" s="346" t="s">
        <v>1761</v>
      </c>
      <c r="L215" s="346"/>
      <c r="M215" s="346" t="s">
        <v>1761</v>
      </c>
      <c r="N215" s="346">
        <v>0.1</v>
      </c>
      <c r="O215" s="346">
        <v>7.2</v>
      </c>
      <c r="P215" s="346">
        <v>7.95</v>
      </c>
      <c r="Q215" s="346" t="s">
        <v>1762</v>
      </c>
      <c r="R215" s="458">
        <v>1</v>
      </c>
    </row>
    <row r="216" spans="1:18" x14ac:dyDescent="0.25">
      <c r="A216" s="458">
        <v>44680</v>
      </c>
      <c r="B216" s="346">
        <v>2100000151</v>
      </c>
      <c r="C216" s="346" t="s">
        <v>2101</v>
      </c>
      <c r="D216" s="346" t="s">
        <v>1756</v>
      </c>
      <c r="E216" s="346" t="s">
        <v>1757</v>
      </c>
      <c r="F216" s="346" t="s">
        <v>1758</v>
      </c>
      <c r="G216" s="346" t="s">
        <v>1774</v>
      </c>
      <c r="H216" s="346" t="s">
        <v>1245</v>
      </c>
      <c r="I216" s="346">
        <v>5809000</v>
      </c>
      <c r="J216" s="346" t="s">
        <v>572</v>
      </c>
      <c r="K216" s="346" t="s">
        <v>1761</v>
      </c>
      <c r="L216" s="346"/>
      <c r="M216" s="346" t="s">
        <v>1761</v>
      </c>
      <c r="N216" s="346">
        <v>0.28999999999999998</v>
      </c>
      <c r="O216" s="346">
        <v>5.82</v>
      </c>
      <c r="P216" s="346">
        <v>6.57</v>
      </c>
      <c r="Q216" s="346" t="s">
        <v>1765</v>
      </c>
      <c r="R216" s="458">
        <v>44317</v>
      </c>
    </row>
    <row r="217" spans="1:18" x14ac:dyDescent="0.25">
      <c r="A217" s="458">
        <v>44680</v>
      </c>
      <c r="B217" s="346">
        <v>2100000148</v>
      </c>
      <c r="C217" s="346" t="s">
        <v>2114</v>
      </c>
      <c r="D217" s="346" t="s">
        <v>1756</v>
      </c>
      <c r="E217" s="346" t="s">
        <v>1757</v>
      </c>
      <c r="F217" s="346" t="s">
        <v>1758</v>
      </c>
      <c r="G217" s="346" t="s">
        <v>1774</v>
      </c>
      <c r="H217" s="346" t="s">
        <v>1245</v>
      </c>
      <c r="I217" s="346">
        <v>2218990.7000000002</v>
      </c>
      <c r="J217" s="346" t="s">
        <v>572</v>
      </c>
      <c r="K217" s="346" t="s">
        <v>1761</v>
      </c>
      <c r="L217" s="346"/>
      <c r="M217" s="346" t="s">
        <v>1761</v>
      </c>
      <c r="N217" s="346">
        <v>0.79</v>
      </c>
      <c r="O217" s="346">
        <v>6.68</v>
      </c>
      <c r="P217" s="346">
        <v>7.47</v>
      </c>
      <c r="Q217" s="346" t="s">
        <v>1765</v>
      </c>
      <c r="R217" s="458">
        <v>44317</v>
      </c>
    </row>
    <row r="218" spans="1:18" x14ac:dyDescent="0.25">
      <c r="A218" s="458">
        <v>44680</v>
      </c>
      <c r="B218" s="346">
        <v>2100000163</v>
      </c>
      <c r="C218" s="346" t="s">
        <v>2115</v>
      </c>
      <c r="D218" s="346" t="s">
        <v>1756</v>
      </c>
      <c r="E218" s="346" t="s">
        <v>1757</v>
      </c>
      <c r="F218" s="346" t="s">
        <v>1758</v>
      </c>
      <c r="G218" s="346" t="s">
        <v>1774</v>
      </c>
      <c r="H218" s="346" t="s">
        <v>1245</v>
      </c>
      <c r="I218" s="346">
        <v>19194263.190000001</v>
      </c>
      <c r="J218" s="346" t="s">
        <v>572</v>
      </c>
      <c r="K218" s="346" t="s">
        <v>1761</v>
      </c>
      <c r="L218" s="346"/>
      <c r="M218" s="346" t="s">
        <v>1761</v>
      </c>
      <c r="N218" s="346">
        <v>0.5</v>
      </c>
      <c r="O218" s="346">
        <v>7.15</v>
      </c>
      <c r="P218" s="346">
        <v>7.9</v>
      </c>
      <c r="Q218" s="346" t="s">
        <v>1765</v>
      </c>
      <c r="R218" s="458">
        <v>44318</v>
      </c>
    </row>
    <row r="219" spans="1:18" x14ac:dyDescent="0.25">
      <c r="A219" s="458">
        <v>44680</v>
      </c>
      <c r="B219" s="346">
        <v>2100000166</v>
      </c>
      <c r="C219" s="346" t="s">
        <v>2109</v>
      </c>
      <c r="D219" s="346" t="s">
        <v>1756</v>
      </c>
      <c r="E219" s="346" t="s">
        <v>1757</v>
      </c>
      <c r="F219" s="346" t="s">
        <v>1758</v>
      </c>
      <c r="G219" s="346" t="s">
        <v>1774</v>
      </c>
      <c r="H219" s="346" t="s">
        <v>1245</v>
      </c>
      <c r="I219" s="346">
        <v>5633607.7699999996</v>
      </c>
      <c r="J219" s="346" t="s">
        <v>572</v>
      </c>
      <c r="K219" s="346" t="s">
        <v>1761</v>
      </c>
      <c r="L219" s="346"/>
      <c r="M219" s="346" t="s">
        <v>1761</v>
      </c>
      <c r="N219" s="346">
        <v>0.82</v>
      </c>
      <c r="O219" s="346">
        <v>5.94</v>
      </c>
      <c r="P219" s="346">
        <v>6.76</v>
      </c>
      <c r="Q219" s="346" t="s">
        <v>1765</v>
      </c>
      <c r="R219" s="458">
        <v>44318</v>
      </c>
    </row>
    <row r="220" spans="1:18" x14ac:dyDescent="0.25">
      <c r="A220" s="458">
        <v>44680</v>
      </c>
      <c r="B220" s="346">
        <v>2100000162</v>
      </c>
      <c r="C220" s="346" t="s">
        <v>2113</v>
      </c>
      <c r="D220" s="346" t="s">
        <v>1756</v>
      </c>
      <c r="E220" s="346" t="s">
        <v>1757</v>
      </c>
      <c r="F220" s="346" t="s">
        <v>1758</v>
      </c>
      <c r="G220" s="346" t="s">
        <v>1774</v>
      </c>
      <c r="H220" s="346" t="s">
        <v>1245</v>
      </c>
      <c r="I220" s="346">
        <v>7387052</v>
      </c>
      <c r="J220" s="346" t="s">
        <v>572</v>
      </c>
      <c r="K220" s="346" t="s">
        <v>1761</v>
      </c>
      <c r="L220" s="346"/>
      <c r="M220" s="346" t="s">
        <v>1761</v>
      </c>
      <c r="N220" s="346">
        <v>0.33</v>
      </c>
      <c r="O220" s="346">
        <v>6.09</v>
      </c>
      <c r="P220" s="346">
        <v>6.84</v>
      </c>
      <c r="Q220" s="346" t="s">
        <v>1765</v>
      </c>
      <c r="R220" s="458">
        <v>44318</v>
      </c>
    </row>
    <row r="221" spans="1:18" x14ac:dyDescent="0.25">
      <c r="A221" s="458">
        <v>44680</v>
      </c>
      <c r="B221" s="346">
        <v>2100000147</v>
      </c>
      <c r="C221" s="346" t="s">
        <v>2112</v>
      </c>
      <c r="D221" s="346" t="s">
        <v>1756</v>
      </c>
      <c r="E221" s="346" t="s">
        <v>1757</v>
      </c>
      <c r="F221" s="346" t="s">
        <v>1758</v>
      </c>
      <c r="G221" s="346" t="s">
        <v>1774</v>
      </c>
      <c r="H221" s="346" t="s">
        <v>1245</v>
      </c>
      <c r="I221" s="346">
        <v>26413873.109999999</v>
      </c>
      <c r="J221" s="346" t="s">
        <v>572</v>
      </c>
      <c r="K221" s="346" t="s">
        <v>1761</v>
      </c>
      <c r="L221" s="346"/>
      <c r="M221" s="346" t="s">
        <v>1761</v>
      </c>
      <c r="N221" s="346">
        <v>0.83</v>
      </c>
      <c r="O221" s="346">
        <v>6.75</v>
      </c>
      <c r="P221" s="346">
        <v>7.58</v>
      </c>
      <c r="Q221" s="346" t="s">
        <v>1765</v>
      </c>
      <c r="R221" s="458">
        <v>44317</v>
      </c>
    </row>
    <row r="222" spans="1:18" x14ac:dyDescent="0.25">
      <c r="A222" s="458">
        <v>44680</v>
      </c>
      <c r="B222" s="346">
        <v>5100000111</v>
      </c>
      <c r="C222" s="346" t="s">
        <v>2118</v>
      </c>
      <c r="D222" s="346" t="s">
        <v>1756</v>
      </c>
      <c r="E222" s="346" t="s">
        <v>1757</v>
      </c>
      <c r="F222" s="346" t="s">
        <v>1758</v>
      </c>
      <c r="G222" s="346" t="s">
        <v>1775</v>
      </c>
      <c r="H222" s="346" t="s">
        <v>1288</v>
      </c>
      <c r="I222" s="346">
        <v>36908470.539999999</v>
      </c>
      <c r="J222" s="346" t="s">
        <v>572</v>
      </c>
      <c r="K222" s="346" t="s">
        <v>1761</v>
      </c>
      <c r="L222" s="346"/>
      <c r="M222" s="346" t="s">
        <v>1761</v>
      </c>
      <c r="N222" s="346">
        <v>0.1</v>
      </c>
      <c r="O222" s="346">
        <v>5.25</v>
      </c>
      <c r="P222" s="346">
        <v>6</v>
      </c>
      <c r="Q222" s="346" t="s">
        <v>1762</v>
      </c>
      <c r="R222" s="458">
        <v>1</v>
      </c>
    </row>
    <row r="223" spans="1:18" x14ac:dyDescent="0.25">
      <c r="A223" s="458">
        <v>44680</v>
      </c>
      <c r="B223" s="346">
        <v>5100000108</v>
      </c>
      <c r="C223" s="346" t="s">
        <v>2119</v>
      </c>
      <c r="D223" s="346" t="s">
        <v>1756</v>
      </c>
      <c r="E223" s="346" t="s">
        <v>1757</v>
      </c>
      <c r="F223" s="346" t="s">
        <v>1758</v>
      </c>
      <c r="G223" s="346" t="s">
        <v>1775</v>
      </c>
      <c r="H223" s="346" t="s">
        <v>1288</v>
      </c>
      <c r="I223" s="346">
        <v>3727301.7</v>
      </c>
      <c r="J223" s="346" t="s">
        <v>572</v>
      </c>
      <c r="K223" s="346" t="s">
        <v>1761</v>
      </c>
      <c r="L223" s="346"/>
      <c r="M223" s="346" t="s">
        <v>1761</v>
      </c>
      <c r="N223" s="346">
        <v>0.25</v>
      </c>
      <c r="O223" s="346">
        <v>4</v>
      </c>
      <c r="P223" s="346">
        <v>4.75</v>
      </c>
      <c r="Q223" s="346" t="s">
        <v>1762</v>
      </c>
      <c r="R223" s="458">
        <v>1</v>
      </c>
    </row>
    <row r="224" spans="1:18" x14ac:dyDescent="0.25">
      <c r="A224" s="458">
        <v>44680</v>
      </c>
      <c r="B224" s="346">
        <v>5100000114</v>
      </c>
      <c r="C224" s="346" t="s">
        <v>2120</v>
      </c>
      <c r="D224" s="346" t="s">
        <v>1756</v>
      </c>
      <c r="E224" s="346" t="s">
        <v>1757</v>
      </c>
      <c r="F224" s="346" t="s">
        <v>1758</v>
      </c>
      <c r="G224" s="346" t="s">
        <v>1775</v>
      </c>
      <c r="H224" s="346" t="s">
        <v>1288</v>
      </c>
      <c r="I224" s="346">
        <v>967847.1</v>
      </c>
      <c r="J224" s="346" t="s">
        <v>1787</v>
      </c>
      <c r="K224" s="346" t="s">
        <v>1761</v>
      </c>
      <c r="L224" s="346"/>
      <c r="M224" s="346" t="s">
        <v>1761</v>
      </c>
      <c r="N224" s="346"/>
      <c r="O224" s="346">
        <v>0</v>
      </c>
      <c r="P224" s="346">
        <v>0</v>
      </c>
      <c r="Q224" s="346" t="s">
        <v>1765</v>
      </c>
      <c r="R224" s="458">
        <v>44317</v>
      </c>
    </row>
    <row r="225" spans="1:18" x14ac:dyDescent="0.25">
      <c r="A225" s="458">
        <v>44680</v>
      </c>
      <c r="B225" s="346">
        <v>3200000108</v>
      </c>
      <c r="C225" s="346" t="s">
        <v>2121</v>
      </c>
      <c r="D225" s="346" t="s">
        <v>1756</v>
      </c>
      <c r="E225" s="346" t="s">
        <v>1757</v>
      </c>
      <c r="F225" s="346" t="s">
        <v>1758</v>
      </c>
      <c r="G225" s="346" t="s">
        <v>1776</v>
      </c>
      <c r="H225" s="346" t="s">
        <v>1777</v>
      </c>
      <c r="I225" s="346">
        <v>82200</v>
      </c>
      <c r="J225" s="346" t="s">
        <v>572</v>
      </c>
      <c r="K225" s="346" t="s">
        <v>1761</v>
      </c>
      <c r="L225" s="346"/>
      <c r="M225" s="346" t="s">
        <v>1761</v>
      </c>
      <c r="N225" s="346">
        <v>0.76</v>
      </c>
      <c r="O225" s="346">
        <v>4.5</v>
      </c>
      <c r="P225" s="346">
        <v>5.26</v>
      </c>
      <c r="Q225" s="346" t="s">
        <v>1765</v>
      </c>
      <c r="R225" s="458">
        <v>44318</v>
      </c>
    </row>
    <row r="226" spans="1:18" x14ac:dyDescent="0.25">
      <c r="A226" s="458">
        <v>44680</v>
      </c>
      <c r="B226" s="346">
        <v>7200000103</v>
      </c>
      <c r="C226" s="346" t="s">
        <v>2122</v>
      </c>
      <c r="D226" s="346" t="s">
        <v>1756</v>
      </c>
      <c r="E226" s="346" t="s">
        <v>1757</v>
      </c>
      <c r="F226" s="346" t="s">
        <v>1758</v>
      </c>
      <c r="G226" s="346" t="s">
        <v>1782</v>
      </c>
      <c r="H226" s="346" t="s">
        <v>1783</v>
      </c>
      <c r="I226" s="346">
        <v>4073231.54</v>
      </c>
      <c r="J226" s="346" t="s">
        <v>572</v>
      </c>
      <c r="K226" s="346" t="s">
        <v>1761</v>
      </c>
      <c r="L226" s="346"/>
      <c r="M226" s="346" t="s">
        <v>1761</v>
      </c>
      <c r="N226" s="346">
        <v>0.8</v>
      </c>
      <c r="O226" s="346">
        <v>6.03</v>
      </c>
      <c r="P226" s="346">
        <v>6.83</v>
      </c>
      <c r="Q226" s="346" t="s">
        <v>1765</v>
      </c>
      <c r="R226" s="458">
        <v>44317</v>
      </c>
    </row>
    <row r="227" spans="1:18" x14ac:dyDescent="0.25">
      <c r="A227" s="458">
        <v>44680</v>
      </c>
      <c r="B227" s="346">
        <v>1200000129</v>
      </c>
      <c r="C227" s="346" t="s">
        <v>2126</v>
      </c>
      <c r="D227" s="346" t="s">
        <v>1756</v>
      </c>
      <c r="E227" s="346" t="s">
        <v>1757</v>
      </c>
      <c r="F227" s="346" t="s">
        <v>1758</v>
      </c>
      <c r="G227" s="346" t="s">
        <v>1778</v>
      </c>
      <c r="H227" s="346" t="s">
        <v>1779</v>
      </c>
      <c r="I227" s="346">
        <v>4000000</v>
      </c>
      <c r="J227" s="346" t="s">
        <v>572</v>
      </c>
      <c r="K227" s="346" t="s">
        <v>1761</v>
      </c>
      <c r="L227" s="346"/>
      <c r="M227" s="346" t="s">
        <v>1761</v>
      </c>
      <c r="N227" s="346">
        <v>0.5</v>
      </c>
      <c r="O227" s="346">
        <v>5</v>
      </c>
      <c r="P227" s="346">
        <v>5.75</v>
      </c>
      <c r="Q227" s="346" t="s">
        <v>1765</v>
      </c>
      <c r="R227" s="458">
        <v>44317</v>
      </c>
    </row>
    <row r="228" spans="1:18" x14ac:dyDescent="0.25">
      <c r="A228" s="458">
        <v>44680</v>
      </c>
      <c r="B228" s="346">
        <v>1200000121</v>
      </c>
      <c r="C228" s="346" t="s">
        <v>2127</v>
      </c>
      <c r="D228" s="346" t="s">
        <v>1756</v>
      </c>
      <c r="E228" s="346" t="s">
        <v>1757</v>
      </c>
      <c r="F228" s="346" t="s">
        <v>1758</v>
      </c>
      <c r="G228" s="346" t="s">
        <v>1778</v>
      </c>
      <c r="H228" s="346" t="s">
        <v>1779</v>
      </c>
      <c r="I228" s="346">
        <v>2300000</v>
      </c>
      <c r="J228" s="346" t="s">
        <v>572</v>
      </c>
      <c r="K228" s="346" t="s">
        <v>1761</v>
      </c>
      <c r="L228" s="346"/>
      <c r="M228" s="346" t="s">
        <v>1761</v>
      </c>
      <c r="N228" s="346">
        <v>0.1</v>
      </c>
      <c r="O228" s="346">
        <v>6.55</v>
      </c>
      <c r="P228" s="346">
        <v>7.3</v>
      </c>
      <c r="Q228" s="346" t="s">
        <v>1762</v>
      </c>
      <c r="R228" s="458">
        <v>1</v>
      </c>
    </row>
    <row r="229" spans="1:18" x14ac:dyDescent="0.25">
      <c r="A229" s="458">
        <v>44680</v>
      </c>
      <c r="B229" s="346">
        <v>1200000002</v>
      </c>
      <c r="C229" s="346" t="s">
        <v>2129</v>
      </c>
      <c r="D229" s="346" t="s">
        <v>1756</v>
      </c>
      <c r="E229" s="346" t="s">
        <v>1757</v>
      </c>
      <c r="F229" s="346" t="s">
        <v>1758</v>
      </c>
      <c r="G229" s="346" t="s">
        <v>1778</v>
      </c>
      <c r="H229" s="346" t="s">
        <v>1779</v>
      </c>
      <c r="I229" s="346">
        <v>15000000</v>
      </c>
      <c r="J229" s="346" t="s">
        <v>572</v>
      </c>
      <c r="K229" s="346" t="s">
        <v>1761</v>
      </c>
      <c r="L229" s="346"/>
      <c r="M229" s="346" t="s">
        <v>1761</v>
      </c>
      <c r="N229" s="346">
        <v>0.11</v>
      </c>
      <c r="O229" s="346">
        <v>7.25</v>
      </c>
      <c r="P229" s="346">
        <v>8</v>
      </c>
      <c r="Q229" s="346" t="s">
        <v>1765</v>
      </c>
      <c r="R229" s="458">
        <v>44177</v>
      </c>
    </row>
    <row r="230" spans="1:18" x14ac:dyDescent="0.25">
      <c r="A230" s="458">
        <v>44680</v>
      </c>
      <c r="B230" s="346">
        <v>1200000131</v>
      </c>
      <c r="C230" s="346" t="s">
        <v>1388</v>
      </c>
      <c r="D230" s="346" t="s">
        <v>1756</v>
      </c>
      <c r="E230" s="346" t="s">
        <v>1757</v>
      </c>
      <c r="F230" s="346" t="s">
        <v>1758</v>
      </c>
      <c r="G230" s="346" t="s">
        <v>1778</v>
      </c>
      <c r="H230" s="346" t="s">
        <v>1779</v>
      </c>
      <c r="I230" s="346">
        <v>4262424.9000000004</v>
      </c>
      <c r="J230" s="346" t="s">
        <v>572</v>
      </c>
      <c r="K230" s="346" t="s">
        <v>1761</v>
      </c>
      <c r="L230" s="346"/>
      <c r="M230" s="346" t="s">
        <v>1761</v>
      </c>
      <c r="N230" s="346">
        <v>0.77</v>
      </c>
      <c r="O230" s="346">
        <v>6.9</v>
      </c>
      <c r="P230" s="346">
        <v>7.67</v>
      </c>
      <c r="Q230" s="346" t="s">
        <v>1765</v>
      </c>
      <c r="R230" s="458">
        <v>44317</v>
      </c>
    </row>
    <row r="231" spans="1:18" x14ac:dyDescent="0.25">
      <c r="A231" s="458">
        <v>44680</v>
      </c>
      <c r="B231" s="346">
        <v>1200000132</v>
      </c>
      <c r="C231" s="346" t="s">
        <v>2130</v>
      </c>
      <c r="D231" s="346" t="s">
        <v>1756</v>
      </c>
      <c r="E231" s="346" t="s">
        <v>1757</v>
      </c>
      <c r="F231" s="346" t="s">
        <v>1758</v>
      </c>
      <c r="G231" s="346" t="s">
        <v>1778</v>
      </c>
      <c r="H231" s="346" t="s">
        <v>1779</v>
      </c>
      <c r="I231" s="346">
        <v>3634267.09</v>
      </c>
      <c r="J231" s="346" t="s">
        <v>572</v>
      </c>
      <c r="K231" s="346" t="s">
        <v>1761</v>
      </c>
      <c r="L231" s="346"/>
      <c r="M231" s="346" t="s">
        <v>1761</v>
      </c>
      <c r="N231" s="346">
        <v>0.63</v>
      </c>
      <c r="O231" s="346">
        <v>6.73</v>
      </c>
      <c r="P231" s="346">
        <v>7.48</v>
      </c>
      <c r="Q231" s="346" t="s">
        <v>1765</v>
      </c>
      <c r="R231" s="458">
        <v>44318</v>
      </c>
    </row>
    <row r="232" spans="1:18" x14ac:dyDescent="0.25">
      <c r="A232" s="458">
        <v>44680</v>
      </c>
      <c r="B232" s="346">
        <v>1200000130</v>
      </c>
      <c r="C232" s="346" t="s">
        <v>2131</v>
      </c>
      <c r="D232" s="346" t="s">
        <v>1756</v>
      </c>
      <c r="E232" s="346" t="s">
        <v>1757</v>
      </c>
      <c r="F232" s="346" t="s">
        <v>1758</v>
      </c>
      <c r="G232" s="346" t="s">
        <v>1778</v>
      </c>
      <c r="H232" s="346" t="s">
        <v>1779</v>
      </c>
      <c r="I232" s="346">
        <v>1974999.96</v>
      </c>
      <c r="J232" s="346" t="s">
        <v>572</v>
      </c>
      <c r="K232" s="346" t="s">
        <v>1761</v>
      </c>
      <c r="L232" s="346"/>
      <c r="M232" s="346" t="s">
        <v>1761</v>
      </c>
      <c r="N232" s="346">
        <v>0.71</v>
      </c>
      <c r="O232" s="346">
        <v>2.63</v>
      </c>
      <c r="P232" s="346">
        <v>3.38</v>
      </c>
      <c r="Q232" s="346" t="s">
        <v>1765</v>
      </c>
      <c r="R232" s="458">
        <v>44317</v>
      </c>
    </row>
    <row r="233" spans="1:18" x14ac:dyDescent="0.25">
      <c r="A233" s="458">
        <v>44680</v>
      </c>
      <c r="B233" s="346">
        <v>1200000128</v>
      </c>
      <c r="C233" s="346" t="s">
        <v>2132</v>
      </c>
      <c r="D233" s="346" t="s">
        <v>1756</v>
      </c>
      <c r="E233" s="346" t="s">
        <v>1757</v>
      </c>
      <c r="F233" s="346" t="s">
        <v>1758</v>
      </c>
      <c r="G233" s="346" t="s">
        <v>1778</v>
      </c>
      <c r="H233" s="346" t="s">
        <v>1779</v>
      </c>
      <c r="I233" s="346">
        <v>1027839.57</v>
      </c>
      <c r="J233" s="346" t="s">
        <v>572</v>
      </c>
      <c r="K233" s="346" t="s">
        <v>1761</v>
      </c>
      <c r="L233" s="346"/>
      <c r="M233" s="346" t="s">
        <v>1761</v>
      </c>
      <c r="N233" s="346">
        <v>0.71</v>
      </c>
      <c r="O233" s="346">
        <v>2.2400000000000002</v>
      </c>
      <c r="P233" s="346">
        <v>2.99</v>
      </c>
      <c r="Q233" s="346" t="s">
        <v>1765</v>
      </c>
      <c r="R233" s="458">
        <v>44317</v>
      </c>
    </row>
    <row r="234" spans="1:18" x14ac:dyDescent="0.25">
      <c r="A234" s="458">
        <v>44680</v>
      </c>
      <c r="B234" s="346">
        <v>1200000119</v>
      </c>
      <c r="C234" s="346" t="s">
        <v>2133</v>
      </c>
      <c r="D234" s="346" t="s">
        <v>1756</v>
      </c>
      <c r="E234" s="346" t="s">
        <v>1757</v>
      </c>
      <c r="F234" s="346" t="s">
        <v>1758</v>
      </c>
      <c r="G234" s="346" t="s">
        <v>1778</v>
      </c>
      <c r="H234" s="346" t="s">
        <v>1779</v>
      </c>
      <c r="I234" s="346">
        <v>3260403</v>
      </c>
      <c r="J234" s="346" t="s">
        <v>572</v>
      </c>
      <c r="K234" s="346" t="s">
        <v>1761</v>
      </c>
      <c r="L234" s="346"/>
      <c r="M234" s="346" t="s">
        <v>1761</v>
      </c>
      <c r="N234" s="346">
        <v>0.77</v>
      </c>
      <c r="O234" s="346">
        <v>6.42</v>
      </c>
      <c r="P234" s="346">
        <v>7.19</v>
      </c>
      <c r="Q234" s="346" t="s">
        <v>1762</v>
      </c>
      <c r="R234" s="458">
        <v>1</v>
      </c>
    </row>
    <row r="235" spans="1:18" x14ac:dyDescent="0.25">
      <c r="A235" s="458">
        <v>44680</v>
      </c>
      <c r="B235" s="346">
        <v>1200000120</v>
      </c>
      <c r="C235" s="346" t="s">
        <v>2134</v>
      </c>
      <c r="D235" s="346" t="s">
        <v>1756</v>
      </c>
      <c r="E235" s="346" t="s">
        <v>1757</v>
      </c>
      <c r="F235" s="346" t="s">
        <v>1758</v>
      </c>
      <c r="G235" s="346" t="s">
        <v>1778</v>
      </c>
      <c r="H235" s="346" t="s">
        <v>1779</v>
      </c>
      <c r="I235" s="346">
        <v>1739597</v>
      </c>
      <c r="J235" s="346" t="s">
        <v>572</v>
      </c>
      <c r="K235" s="346" t="s">
        <v>1761</v>
      </c>
      <c r="L235" s="346"/>
      <c r="M235" s="346" t="s">
        <v>1761</v>
      </c>
      <c r="N235" s="346">
        <v>0.77</v>
      </c>
      <c r="O235" s="346">
        <v>6.42</v>
      </c>
      <c r="P235" s="346">
        <v>7.19</v>
      </c>
      <c r="Q235" s="346" t="s">
        <v>1762</v>
      </c>
      <c r="R235" s="458">
        <v>1</v>
      </c>
    </row>
    <row r="236" spans="1:18" x14ac:dyDescent="0.25">
      <c r="A236" s="458">
        <v>44680</v>
      </c>
      <c r="B236" s="346">
        <v>1200000133</v>
      </c>
      <c r="C236" s="346" t="s">
        <v>2135</v>
      </c>
      <c r="D236" s="346" t="s">
        <v>1756</v>
      </c>
      <c r="E236" s="346" t="s">
        <v>1757</v>
      </c>
      <c r="F236" s="346" t="s">
        <v>1758</v>
      </c>
      <c r="G236" s="346" t="s">
        <v>1778</v>
      </c>
      <c r="H236" s="346" t="s">
        <v>1779</v>
      </c>
      <c r="I236" s="346">
        <v>500000</v>
      </c>
      <c r="J236" s="346" t="s">
        <v>572</v>
      </c>
      <c r="K236" s="346" t="s">
        <v>1761</v>
      </c>
      <c r="L236" s="346"/>
      <c r="M236" s="346" t="s">
        <v>1761</v>
      </c>
      <c r="N236" s="346">
        <v>0.9</v>
      </c>
      <c r="O236" s="346">
        <v>6.42</v>
      </c>
      <c r="P236" s="346">
        <v>7.32</v>
      </c>
      <c r="Q236" s="346" t="s">
        <v>1765</v>
      </c>
      <c r="R236" s="458">
        <v>44318</v>
      </c>
    </row>
    <row r="237" spans="1:18" x14ac:dyDescent="0.25">
      <c r="A237" s="458">
        <v>44680</v>
      </c>
      <c r="B237" s="346">
        <v>1200000134</v>
      </c>
      <c r="C237" s="346" t="s">
        <v>2136</v>
      </c>
      <c r="D237" s="346" t="s">
        <v>1756</v>
      </c>
      <c r="E237" s="346" t="s">
        <v>1757</v>
      </c>
      <c r="F237" s="346" t="s">
        <v>1758</v>
      </c>
      <c r="G237" s="346" t="s">
        <v>1778</v>
      </c>
      <c r="H237" s="346" t="s">
        <v>1779</v>
      </c>
      <c r="I237" s="346">
        <v>487998.51</v>
      </c>
      <c r="J237" s="346" t="s">
        <v>572</v>
      </c>
      <c r="K237" s="346" t="s">
        <v>1761</v>
      </c>
      <c r="L237" s="346"/>
      <c r="M237" s="346" t="s">
        <v>1761</v>
      </c>
      <c r="N237" s="346">
        <v>0.9</v>
      </c>
      <c r="O237" s="346">
        <v>6.42</v>
      </c>
      <c r="P237" s="346">
        <v>7.32</v>
      </c>
      <c r="Q237" s="346" t="s">
        <v>1765</v>
      </c>
      <c r="R237" s="458">
        <v>44318</v>
      </c>
    </row>
    <row r="238" spans="1:18" x14ac:dyDescent="0.25">
      <c r="A238" s="458">
        <v>44680</v>
      </c>
      <c r="B238" s="346">
        <v>1200000118</v>
      </c>
      <c r="C238" s="346" t="s">
        <v>2128</v>
      </c>
      <c r="D238" s="346" t="s">
        <v>1756</v>
      </c>
      <c r="E238" s="346" t="s">
        <v>1757</v>
      </c>
      <c r="F238" s="346" t="s">
        <v>1758</v>
      </c>
      <c r="G238" s="346" t="s">
        <v>1778</v>
      </c>
      <c r="H238" s="346" t="s">
        <v>1779</v>
      </c>
      <c r="I238" s="346">
        <v>5000000</v>
      </c>
      <c r="J238" s="346" t="s">
        <v>572</v>
      </c>
      <c r="K238" s="346" t="s">
        <v>1761</v>
      </c>
      <c r="L238" s="346"/>
      <c r="M238" s="346" t="s">
        <v>1761</v>
      </c>
      <c r="N238" s="346">
        <v>0.1</v>
      </c>
      <c r="O238" s="346">
        <v>6.84</v>
      </c>
      <c r="P238" s="346">
        <v>7.59</v>
      </c>
      <c r="Q238" s="346" t="s">
        <v>1762</v>
      </c>
      <c r="R238" s="458">
        <v>1</v>
      </c>
    </row>
    <row r="239" spans="1:18" x14ac:dyDescent="0.25">
      <c r="A239" s="458">
        <v>44680</v>
      </c>
      <c r="B239" s="346">
        <v>1200000127</v>
      </c>
      <c r="C239" s="346" t="s">
        <v>2123</v>
      </c>
      <c r="D239" s="346" t="s">
        <v>1756</v>
      </c>
      <c r="E239" s="346" t="s">
        <v>1757</v>
      </c>
      <c r="F239" s="346" t="s">
        <v>1758</v>
      </c>
      <c r="G239" s="346" t="s">
        <v>1778</v>
      </c>
      <c r="H239" s="346" t="s">
        <v>1779</v>
      </c>
      <c r="I239" s="346">
        <v>902500</v>
      </c>
      <c r="J239" s="346" t="s">
        <v>572</v>
      </c>
      <c r="K239" s="346" t="s">
        <v>1761</v>
      </c>
      <c r="L239" s="346"/>
      <c r="M239" s="346" t="s">
        <v>1761</v>
      </c>
      <c r="N239" s="346">
        <v>0.3</v>
      </c>
      <c r="O239" s="346">
        <v>7.15</v>
      </c>
      <c r="P239" s="346">
        <v>7.9</v>
      </c>
      <c r="Q239" s="346" t="s">
        <v>1765</v>
      </c>
      <c r="R239" s="458">
        <v>44317</v>
      </c>
    </row>
    <row r="240" spans="1:18" x14ac:dyDescent="0.25">
      <c r="A240" s="458">
        <v>44680</v>
      </c>
      <c r="B240" s="346">
        <v>1200000125</v>
      </c>
      <c r="C240" s="346" t="s">
        <v>2124</v>
      </c>
      <c r="D240" s="346" t="s">
        <v>1756</v>
      </c>
      <c r="E240" s="346" t="s">
        <v>1757</v>
      </c>
      <c r="F240" s="346" t="s">
        <v>1758</v>
      </c>
      <c r="G240" s="346" t="s">
        <v>1778</v>
      </c>
      <c r="H240" s="346" t="s">
        <v>1779</v>
      </c>
      <c r="I240" s="346">
        <v>980000</v>
      </c>
      <c r="J240" s="346" t="s">
        <v>572</v>
      </c>
      <c r="K240" s="346" t="s">
        <v>1761</v>
      </c>
      <c r="L240" s="346"/>
      <c r="M240" s="346" t="s">
        <v>1761</v>
      </c>
      <c r="N240" s="346">
        <v>0.3</v>
      </c>
      <c r="O240" s="346">
        <v>7.15</v>
      </c>
      <c r="P240" s="346">
        <v>7.9</v>
      </c>
      <c r="Q240" s="346" t="s">
        <v>1765</v>
      </c>
      <c r="R240" s="458">
        <v>44317</v>
      </c>
    </row>
    <row r="241" spans="1:18" x14ac:dyDescent="0.25">
      <c r="A241" s="458">
        <v>44680</v>
      </c>
      <c r="B241" s="346">
        <v>1200000124</v>
      </c>
      <c r="C241" s="346" t="s">
        <v>2125</v>
      </c>
      <c r="D241" s="346" t="s">
        <v>1756</v>
      </c>
      <c r="E241" s="346" t="s">
        <v>1757</v>
      </c>
      <c r="F241" s="346" t="s">
        <v>1758</v>
      </c>
      <c r="G241" s="346" t="s">
        <v>1778</v>
      </c>
      <c r="H241" s="346" t="s">
        <v>1779</v>
      </c>
      <c r="I241" s="346">
        <v>750000</v>
      </c>
      <c r="J241" s="346" t="s">
        <v>572</v>
      </c>
      <c r="K241" s="346" t="s">
        <v>1761</v>
      </c>
      <c r="L241" s="346"/>
      <c r="M241" s="346" t="s">
        <v>1761</v>
      </c>
      <c r="N241" s="346">
        <v>0.3</v>
      </c>
      <c r="O241" s="346">
        <v>7.15</v>
      </c>
      <c r="P241" s="346">
        <v>7.9</v>
      </c>
      <c r="Q241" s="346" t="s">
        <v>1765</v>
      </c>
      <c r="R241" s="458">
        <v>44317</v>
      </c>
    </row>
    <row r="242" spans="1:18" x14ac:dyDescent="0.25">
      <c r="A242" s="458">
        <v>44680</v>
      </c>
      <c r="B242" s="346">
        <v>3100000111</v>
      </c>
      <c r="C242" s="346" t="s">
        <v>2137</v>
      </c>
      <c r="D242" s="346" t="s">
        <v>1756</v>
      </c>
      <c r="E242" s="346" t="s">
        <v>1757</v>
      </c>
      <c r="F242" s="346" t="s">
        <v>1758</v>
      </c>
      <c r="G242" s="346" t="s">
        <v>1780</v>
      </c>
      <c r="H242" s="346" t="s">
        <v>1233</v>
      </c>
      <c r="I242" s="346">
        <v>8002500</v>
      </c>
      <c r="J242" s="346" t="s">
        <v>572</v>
      </c>
      <c r="K242" s="346" t="s">
        <v>1761</v>
      </c>
      <c r="L242" s="346"/>
      <c r="M242" s="346" t="s">
        <v>1761</v>
      </c>
      <c r="N242" s="346">
        <v>0.1</v>
      </c>
      <c r="O242" s="346">
        <v>5</v>
      </c>
      <c r="P242" s="346">
        <v>5.75</v>
      </c>
      <c r="Q242" s="346" t="s">
        <v>1762</v>
      </c>
      <c r="R242" s="458">
        <v>1</v>
      </c>
    </row>
    <row r="243" spans="1:18" x14ac:dyDescent="0.25">
      <c r="A243" s="458">
        <v>44680</v>
      </c>
      <c r="B243" s="346">
        <v>3100000113</v>
      </c>
      <c r="C243" s="346" t="s">
        <v>2138</v>
      </c>
      <c r="D243" s="346" t="s">
        <v>1756</v>
      </c>
      <c r="E243" s="346" t="s">
        <v>1757</v>
      </c>
      <c r="F243" s="346" t="s">
        <v>1758</v>
      </c>
      <c r="G243" s="346" t="s">
        <v>1780</v>
      </c>
      <c r="H243" s="346" t="s">
        <v>1233</v>
      </c>
      <c r="I243" s="346">
        <v>90518638</v>
      </c>
      <c r="J243" s="346" t="s">
        <v>572</v>
      </c>
      <c r="K243" s="346" t="s">
        <v>1761</v>
      </c>
      <c r="L243" s="346"/>
      <c r="M243" s="346" t="s">
        <v>1761</v>
      </c>
      <c r="N243" s="346">
        <v>0.79</v>
      </c>
      <c r="O243" s="346">
        <v>5.83</v>
      </c>
      <c r="P243" s="346">
        <v>6.62</v>
      </c>
      <c r="Q243" s="346" t="s">
        <v>1765</v>
      </c>
      <c r="R243" s="458">
        <v>44318</v>
      </c>
    </row>
    <row r="244" spans="1:18" x14ac:dyDescent="0.25">
      <c r="A244" s="458">
        <v>44680</v>
      </c>
      <c r="B244" s="346">
        <v>7100000102</v>
      </c>
      <c r="C244" s="346" t="s">
        <v>2139</v>
      </c>
      <c r="D244" s="346" t="s">
        <v>1756</v>
      </c>
      <c r="E244" s="346" t="s">
        <v>1757</v>
      </c>
      <c r="F244" s="346" t="s">
        <v>1758</v>
      </c>
      <c r="G244" s="346" t="s">
        <v>1786</v>
      </c>
      <c r="H244" s="346" t="s">
        <v>1258</v>
      </c>
      <c r="I244" s="346">
        <v>17340131.199999999</v>
      </c>
      <c r="J244" s="346" t="s">
        <v>572</v>
      </c>
      <c r="K244" s="346" t="s">
        <v>1761</v>
      </c>
      <c r="L244" s="346"/>
      <c r="M244" s="346" t="s">
        <v>1761</v>
      </c>
      <c r="N244" s="346">
        <v>0.8</v>
      </c>
      <c r="O244" s="346">
        <v>6</v>
      </c>
      <c r="P244" s="346">
        <v>6.8</v>
      </c>
      <c r="Q244" s="346" t="s">
        <v>1765</v>
      </c>
      <c r="R244" s="458">
        <v>44317</v>
      </c>
    </row>
    <row r="245" spans="1:18" x14ac:dyDescent="0.25">
      <c r="A245" s="458">
        <v>44680</v>
      </c>
      <c r="B245" s="346">
        <v>2200000163</v>
      </c>
      <c r="C245" s="346" t="s">
        <v>2140</v>
      </c>
      <c r="D245" s="346" t="s">
        <v>1756</v>
      </c>
      <c r="E245" s="346" t="s">
        <v>1757</v>
      </c>
      <c r="F245" s="346" t="s">
        <v>1758</v>
      </c>
      <c r="G245" s="346" t="s">
        <v>1759</v>
      </c>
      <c r="H245" s="346" t="s">
        <v>1760</v>
      </c>
      <c r="I245" s="346">
        <v>1863404</v>
      </c>
      <c r="J245" s="346" t="s">
        <v>572</v>
      </c>
      <c r="K245" s="346" t="s">
        <v>1761</v>
      </c>
      <c r="L245" s="346"/>
      <c r="M245" s="346" t="s">
        <v>1761</v>
      </c>
      <c r="N245" s="346">
        <v>0.1</v>
      </c>
      <c r="O245" s="346">
        <v>5.28</v>
      </c>
      <c r="P245" s="346">
        <v>6.03</v>
      </c>
      <c r="Q245" s="346" t="s">
        <v>1762</v>
      </c>
      <c r="R245" s="458">
        <v>1</v>
      </c>
    </row>
    <row r="246" spans="1:18" x14ac:dyDescent="0.25">
      <c r="A246" s="458">
        <v>44680</v>
      </c>
      <c r="B246" s="346">
        <v>2200000160</v>
      </c>
      <c r="C246" s="346" t="s">
        <v>2141</v>
      </c>
      <c r="D246" s="346" t="s">
        <v>1756</v>
      </c>
      <c r="E246" s="346" t="s">
        <v>1757</v>
      </c>
      <c r="F246" s="346" t="s">
        <v>1758</v>
      </c>
      <c r="G246" s="346" t="s">
        <v>1759</v>
      </c>
      <c r="H246" s="346" t="s">
        <v>1760</v>
      </c>
      <c r="I246" s="346">
        <v>1</v>
      </c>
      <c r="J246" s="346" t="s">
        <v>572</v>
      </c>
      <c r="K246" s="346" t="s">
        <v>1761</v>
      </c>
      <c r="L246" s="346"/>
      <c r="M246" s="346" t="s">
        <v>1761</v>
      </c>
      <c r="N246" s="346">
        <v>0.1</v>
      </c>
      <c r="O246" s="346">
        <v>5.61</v>
      </c>
      <c r="P246" s="346">
        <v>6.36</v>
      </c>
      <c r="Q246" s="346" t="s">
        <v>1762</v>
      </c>
      <c r="R246" s="458">
        <v>1</v>
      </c>
    </row>
    <row r="247" spans="1:18" x14ac:dyDescent="0.25">
      <c r="A247" s="458">
        <v>44680</v>
      </c>
      <c r="B247" s="346">
        <v>2200000151</v>
      </c>
      <c r="C247" s="346" t="s">
        <v>2142</v>
      </c>
      <c r="D247" s="346" t="s">
        <v>1756</v>
      </c>
      <c r="E247" s="346" t="s">
        <v>1757</v>
      </c>
      <c r="F247" s="346" t="s">
        <v>1758</v>
      </c>
      <c r="G247" s="346" t="s">
        <v>1759</v>
      </c>
      <c r="H247" s="346" t="s">
        <v>1760</v>
      </c>
      <c r="I247" s="346">
        <v>348826.7</v>
      </c>
      <c r="J247" s="346" t="s">
        <v>572</v>
      </c>
      <c r="K247" s="346" t="s">
        <v>1761</v>
      </c>
      <c r="L247" s="346"/>
      <c r="M247" s="346" t="s">
        <v>1761</v>
      </c>
      <c r="N247" s="346">
        <v>0.1</v>
      </c>
      <c r="O247" s="346">
        <v>5.98</v>
      </c>
      <c r="P247" s="346">
        <v>6.73</v>
      </c>
      <c r="Q247" s="346" t="s">
        <v>1762</v>
      </c>
      <c r="R247" s="458">
        <v>1</v>
      </c>
    </row>
    <row r="248" spans="1:18" x14ac:dyDescent="0.25">
      <c r="A248" s="458">
        <v>44680</v>
      </c>
      <c r="B248" s="346">
        <v>2200000152</v>
      </c>
      <c r="C248" s="346" t="s">
        <v>2145</v>
      </c>
      <c r="D248" s="346" t="s">
        <v>1756</v>
      </c>
      <c r="E248" s="346" t="s">
        <v>1757</v>
      </c>
      <c r="F248" s="346" t="s">
        <v>1758</v>
      </c>
      <c r="G248" s="346" t="s">
        <v>1759</v>
      </c>
      <c r="H248" s="346" t="s">
        <v>1760</v>
      </c>
      <c r="I248" s="346">
        <v>1850145.6</v>
      </c>
      <c r="J248" s="346" t="s">
        <v>572</v>
      </c>
      <c r="K248" s="346" t="s">
        <v>1761</v>
      </c>
      <c r="L248" s="346"/>
      <c r="M248" s="346" t="s">
        <v>1761</v>
      </c>
      <c r="N248" s="346">
        <v>0.1</v>
      </c>
      <c r="O248" s="346">
        <v>6</v>
      </c>
      <c r="P248" s="346">
        <v>6.75</v>
      </c>
      <c r="Q248" s="346" t="s">
        <v>1762</v>
      </c>
      <c r="R248" s="458">
        <v>1</v>
      </c>
    </row>
    <row r="249" spans="1:18" x14ac:dyDescent="0.25">
      <c r="A249" s="458">
        <v>44680</v>
      </c>
      <c r="B249" s="346">
        <v>2200000155</v>
      </c>
      <c r="C249" s="346" t="s">
        <v>2146</v>
      </c>
      <c r="D249" s="346" t="s">
        <v>1756</v>
      </c>
      <c r="E249" s="346" t="s">
        <v>1757</v>
      </c>
      <c r="F249" s="346" t="s">
        <v>1758</v>
      </c>
      <c r="G249" s="346" t="s">
        <v>1759</v>
      </c>
      <c r="H249" s="346" t="s">
        <v>1760</v>
      </c>
      <c r="I249" s="346">
        <v>1290207.6499999999</v>
      </c>
      <c r="J249" s="346" t="s">
        <v>572</v>
      </c>
      <c r="K249" s="346" t="s">
        <v>1761</v>
      </c>
      <c r="L249" s="346"/>
      <c r="M249" s="346" t="s">
        <v>1761</v>
      </c>
      <c r="N249" s="346">
        <v>0.1</v>
      </c>
      <c r="O249" s="346">
        <v>6.24</v>
      </c>
      <c r="P249" s="346">
        <v>6.99</v>
      </c>
      <c r="Q249" s="346" t="s">
        <v>1762</v>
      </c>
      <c r="R249" s="458">
        <v>1</v>
      </c>
    </row>
    <row r="250" spans="1:18" x14ac:dyDescent="0.25">
      <c r="A250" s="458">
        <v>44680</v>
      </c>
      <c r="B250" s="346">
        <v>2200000169</v>
      </c>
      <c r="C250" s="346" t="s">
        <v>2147</v>
      </c>
      <c r="D250" s="346" t="s">
        <v>1756</v>
      </c>
      <c r="E250" s="346" t="s">
        <v>1757</v>
      </c>
      <c r="F250" s="346" t="s">
        <v>1758</v>
      </c>
      <c r="G250" s="346" t="s">
        <v>1759</v>
      </c>
      <c r="H250" s="346" t="s">
        <v>1760</v>
      </c>
      <c r="I250" s="346">
        <v>510527</v>
      </c>
      <c r="J250" s="346" t="s">
        <v>572</v>
      </c>
      <c r="K250" s="346" t="s">
        <v>1761</v>
      </c>
      <c r="L250" s="346"/>
      <c r="M250" s="346" t="s">
        <v>1761</v>
      </c>
      <c r="N250" s="346">
        <v>0.1</v>
      </c>
      <c r="O250" s="346">
        <v>5.97</v>
      </c>
      <c r="P250" s="346">
        <v>6.72</v>
      </c>
      <c r="Q250" s="346" t="s">
        <v>1762</v>
      </c>
      <c r="R250" s="458">
        <v>1</v>
      </c>
    </row>
    <row r="251" spans="1:18" x14ac:dyDescent="0.25">
      <c r="A251" s="458">
        <v>44680</v>
      </c>
      <c r="B251" s="346">
        <v>2200000165</v>
      </c>
      <c r="C251" s="346" t="s">
        <v>2148</v>
      </c>
      <c r="D251" s="346" t="s">
        <v>1756</v>
      </c>
      <c r="E251" s="346" t="s">
        <v>1757</v>
      </c>
      <c r="F251" s="346" t="s">
        <v>1758</v>
      </c>
      <c r="G251" s="346" t="s">
        <v>1759</v>
      </c>
      <c r="H251" s="346" t="s">
        <v>1760</v>
      </c>
      <c r="I251" s="346">
        <v>1750384.55</v>
      </c>
      <c r="J251" s="346" t="s">
        <v>572</v>
      </c>
      <c r="K251" s="346" t="s">
        <v>1761</v>
      </c>
      <c r="L251" s="346"/>
      <c r="M251" s="346" t="s">
        <v>1761</v>
      </c>
      <c r="N251" s="346">
        <v>0.1</v>
      </c>
      <c r="O251" s="346">
        <v>5.6</v>
      </c>
      <c r="P251" s="346">
        <v>6.35</v>
      </c>
      <c r="Q251" s="346" t="s">
        <v>1762</v>
      </c>
      <c r="R251" s="458">
        <v>1</v>
      </c>
    </row>
    <row r="252" spans="1:18" x14ac:dyDescent="0.25">
      <c r="A252" s="458">
        <v>44680</v>
      </c>
      <c r="B252" s="346">
        <v>2200000176</v>
      </c>
      <c r="C252" s="346" t="s">
        <v>2150</v>
      </c>
      <c r="D252" s="346" t="s">
        <v>1756</v>
      </c>
      <c r="E252" s="346" t="s">
        <v>1757</v>
      </c>
      <c r="F252" s="346" t="s">
        <v>1758</v>
      </c>
      <c r="G252" s="346" t="s">
        <v>1759</v>
      </c>
      <c r="H252" s="346" t="s">
        <v>1760</v>
      </c>
      <c r="I252" s="346">
        <v>1</v>
      </c>
      <c r="J252" s="346" t="s">
        <v>572</v>
      </c>
      <c r="K252" s="346" t="s">
        <v>1761</v>
      </c>
      <c r="L252" s="346"/>
      <c r="M252" s="346" t="s">
        <v>1761</v>
      </c>
      <c r="N252" s="346">
        <v>0.77</v>
      </c>
      <c r="O252" s="346">
        <v>5.79</v>
      </c>
      <c r="P252" s="346">
        <v>6.56</v>
      </c>
      <c r="Q252" s="346" t="s">
        <v>1762</v>
      </c>
      <c r="R252" s="458">
        <v>1</v>
      </c>
    </row>
    <row r="253" spans="1:18" x14ac:dyDescent="0.25">
      <c r="A253" s="458">
        <v>44680</v>
      </c>
      <c r="B253" s="346">
        <v>2200000161</v>
      </c>
      <c r="C253" s="346" t="s">
        <v>1636</v>
      </c>
      <c r="D253" s="346" t="s">
        <v>1756</v>
      </c>
      <c r="E253" s="346" t="s">
        <v>1757</v>
      </c>
      <c r="F253" s="346" t="s">
        <v>1758</v>
      </c>
      <c r="G253" s="346" t="s">
        <v>1759</v>
      </c>
      <c r="H253" s="346" t="s">
        <v>1760</v>
      </c>
      <c r="I253" s="346">
        <v>283258</v>
      </c>
      <c r="J253" s="346" t="s">
        <v>572</v>
      </c>
      <c r="K253" s="346" t="s">
        <v>1761</v>
      </c>
      <c r="L253" s="346"/>
      <c r="M253" s="346" t="s">
        <v>1761</v>
      </c>
      <c r="N253" s="346">
        <v>0.1</v>
      </c>
      <c r="O253" s="346">
        <v>5.61</v>
      </c>
      <c r="P253" s="346">
        <v>6.36</v>
      </c>
      <c r="Q253" s="346" t="s">
        <v>1762</v>
      </c>
      <c r="R253" s="458">
        <v>1</v>
      </c>
    </row>
    <row r="254" spans="1:18" x14ac:dyDescent="0.25">
      <c r="A254" s="458">
        <v>44680</v>
      </c>
      <c r="B254" s="346">
        <v>2200000153</v>
      </c>
      <c r="C254" s="346" t="s">
        <v>2151</v>
      </c>
      <c r="D254" s="346" t="s">
        <v>1756</v>
      </c>
      <c r="E254" s="346" t="s">
        <v>1757</v>
      </c>
      <c r="F254" s="346" t="s">
        <v>1758</v>
      </c>
      <c r="G254" s="346" t="s">
        <v>1759</v>
      </c>
      <c r="H254" s="346" t="s">
        <v>1760</v>
      </c>
      <c r="I254" s="346">
        <v>1</v>
      </c>
      <c r="J254" s="346" t="s">
        <v>572</v>
      </c>
      <c r="K254" s="346" t="s">
        <v>1761</v>
      </c>
      <c r="L254" s="346"/>
      <c r="M254" s="346" t="s">
        <v>1761</v>
      </c>
      <c r="N254" s="346">
        <v>0.1</v>
      </c>
      <c r="O254" s="346">
        <v>6</v>
      </c>
      <c r="P254" s="346">
        <v>6.75</v>
      </c>
      <c r="Q254" s="346" t="s">
        <v>1762</v>
      </c>
      <c r="R254" s="458">
        <v>1</v>
      </c>
    </row>
    <row r="255" spans="1:18" x14ac:dyDescent="0.25">
      <c r="A255" s="458">
        <v>44680</v>
      </c>
      <c r="B255" s="346">
        <v>2200000158</v>
      </c>
      <c r="C255" s="346" t="s">
        <v>2153</v>
      </c>
      <c r="D255" s="346" t="s">
        <v>1756</v>
      </c>
      <c r="E255" s="346" t="s">
        <v>1757</v>
      </c>
      <c r="F255" s="346" t="s">
        <v>1758</v>
      </c>
      <c r="G255" s="346" t="s">
        <v>1759</v>
      </c>
      <c r="H255" s="346" t="s">
        <v>1760</v>
      </c>
      <c r="I255" s="346">
        <v>1781720.08</v>
      </c>
      <c r="J255" s="346" t="s">
        <v>572</v>
      </c>
      <c r="K255" s="346" t="s">
        <v>1761</v>
      </c>
      <c r="L255" s="346"/>
      <c r="M255" s="346" t="s">
        <v>1761</v>
      </c>
      <c r="N255" s="346">
        <v>0.1</v>
      </c>
      <c r="O255" s="346">
        <v>5.87</v>
      </c>
      <c r="P255" s="346">
        <v>6.62</v>
      </c>
      <c r="Q255" s="346" t="s">
        <v>1762</v>
      </c>
      <c r="R255" s="458">
        <v>1</v>
      </c>
    </row>
    <row r="256" spans="1:18" x14ac:dyDescent="0.25">
      <c r="A256" s="458">
        <v>44680</v>
      </c>
      <c r="B256" s="346">
        <v>2200000164</v>
      </c>
      <c r="C256" s="346" t="s">
        <v>2154</v>
      </c>
      <c r="D256" s="346" t="s">
        <v>1756</v>
      </c>
      <c r="E256" s="346" t="s">
        <v>1757</v>
      </c>
      <c r="F256" s="346" t="s">
        <v>1758</v>
      </c>
      <c r="G256" s="346" t="s">
        <v>1759</v>
      </c>
      <c r="H256" s="346" t="s">
        <v>1760</v>
      </c>
      <c r="I256" s="346">
        <v>2727960.11</v>
      </c>
      <c r="J256" s="346" t="s">
        <v>572</v>
      </c>
      <c r="K256" s="346" t="s">
        <v>1761</v>
      </c>
      <c r="L256" s="346"/>
      <c r="M256" s="346" t="s">
        <v>1761</v>
      </c>
      <c r="N256" s="346">
        <v>0.1</v>
      </c>
      <c r="O256" s="346">
        <v>6</v>
      </c>
      <c r="P256" s="346">
        <v>6.75</v>
      </c>
      <c r="Q256" s="346" t="s">
        <v>1762</v>
      </c>
      <c r="R256" s="458">
        <v>1</v>
      </c>
    </row>
    <row r="257" spans="1:18" x14ac:dyDescent="0.25">
      <c r="A257" s="458">
        <v>44680</v>
      </c>
      <c r="B257" s="346">
        <v>2200000170</v>
      </c>
      <c r="C257" s="346" t="s">
        <v>2155</v>
      </c>
      <c r="D257" s="346" t="s">
        <v>1756</v>
      </c>
      <c r="E257" s="346" t="s">
        <v>1757</v>
      </c>
      <c r="F257" s="346" t="s">
        <v>1758</v>
      </c>
      <c r="G257" s="346" t="s">
        <v>1759</v>
      </c>
      <c r="H257" s="346" t="s">
        <v>1760</v>
      </c>
      <c r="I257" s="346">
        <v>641155</v>
      </c>
      <c r="J257" s="346" t="s">
        <v>572</v>
      </c>
      <c r="K257" s="346" t="s">
        <v>1761</v>
      </c>
      <c r="L257" s="346"/>
      <c r="M257" s="346" t="s">
        <v>1761</v>
      </c>
      <c r="N257" s="346">
        <v>0.1</v>
      </c>
      <c r="O257" s="346">
        <v>6.14</v>
      </c>
      <c r="P257" s="346">
        <v>6.89</v>
      </c>
      <c r="Q257" s="346" t="s">
        <v>1762</v>
      </c>
      <c r="R257" s="458">
        <v>1</v>
      </c>
    </row>
    <row r="258" spans="1:18" x14ac:dyDescent="0.25">
      <c r="A258" s="458">
        <v>44680</v>
      </c>
      <c r="B258" s="346">
        <v>2200000156</v>
      </c>
      <c r="C258" s="346" t="s">
        <v>2156</v>
      </c>
      <c r="D258" s="346" t="s">
        <v>1756</v>
      </c>
      <c r="E258" s="346" t="s">
        <v>1757</v>
      </c>
      <c r="F258" s="346" t="s">
        <v>1758</v>
      </c>
      <c r="G258" s="346" t="s">
        <v>1759</v>
      </c>
      <c r="H258" s="346" t="s">
        <v>1760</v>
      </c>
      <c r="I258" s="346">
        <v>114996.12</v>
      </c>
      <c r="J258" s="346" t="s">
        <v>572</v>
      </c>
      <c r="K258" s="346" t="s">
        <v>1761</v>
      </c>
      <c r="L258" s="346"/>
      <c r="M258" s="346" t="s">
        <v>1761</v>
      </c>
      <c r="N258" s="346">
        <v>0.1</v>
      </c>
      <c r="O258" s="346">
        <v>6.12</v>
      </c>
      <c r="P258" s="346">
        <v>6.87</v>
      </c>
      <c r="Q258" s="346" t="s">
        <v>1762</v>
      </c>
      <c r="R258" s="458">
        <v>1</v>
      </c>
    </row>
    <row r="259" spans="1:18" x14ac:dyDescent="0.25">
      <c r="A259" s="458">
        <v>44680</v>
      </c>
      <c r="B259" s="346">
        <v>2200000154</v>
      </c>
      <c r="C259" s="346" t="s">
        <v>2158</v>
      </c>
      <c r="D259" s="346" t="s">
        <v>1756</v>
      </c>
      <c r="E259" s="346" t="s">
        <v>1757</v>
      </c>
      <c r="F259" s="346" t="s">
        <v>1758</v>
      </c>
      <c r="G259" s="346" t="s">
        <v>1759</v>
      </c>
      <c r="H259" s="346" t="s">
        <v>1760</v>
      </c>
      <c r="I259" s="346">
        <v>396628.34</v>
      </c>
      <c r="J259" s="346" t="s">
        <v>572</v>
      </c>
      <c r="K259" s="346" t="s">
        <v>1761</v>
      </c>
      <c r="L259" s="346"/>
      <c r="M259" s="346" t="s">
        <v>1761</v>
      </c>
      <c r="N259" s="346">
        <v>0.1</v>
      </c>
      <c r="O259" s="346">
        <v>5.82</v>
      </c>
      <c r="P259" s="346">
        <v>6.57</v>
      </c>
      <c r="Q259" s="346" t="s">
        <v>1762</v>
      </c>
      <c r="R259" s="458">
        <v>1</v>
      </c>
    </row>
    <row r="260" spans="1:18" x14ac:dyDescent="0.25">
      <c r="A260" s="458">
        <v>44680</v>
      </c>
      <c r="B260" s="346">
        <v>2200000157</v>
      </c>
      <c r="C260" s="346" t="s">
        <v>2159</v>
      </c>
      <c r="D260" s="346" t="s">
        <v>1756</v>
      </c>
      <c r="E260" s="346" t="s">
        <v>1757</v>
      </c>
      <c r="F260" s="346" t="s">
        <v>1758</v>
      </c>
      <c r="G260" s="346" t="s">
        <v>1759</v>
      </c>
      <c r="H260" s="346" t="s">
        <v>1760</v>
      </c>
      <c r="I260" s="346">
        <v>1547175.37</v>
      </c>
      <c r="J260" s="346" t="s">
        <v>572</v>
      </c>
      <c r="K260" s="346" t="s">
        <v>1761</v>
      </c>
      <c r="L260" s="346"/>
      <c r="M260" s="346" t="s">
        <v>1761</v>
      </c>
      <c r="N260" s="346">
        <v>0.1</v>
      </c>
      <c r="O260" s="346">
        <v>5.87</v>
      </c>
      <c r="P260" s="346">
        <v>6.62</v>
      </c>
      <c r="Q260" s="346" t="s">
        <v>1762</v>
      </c>
      <c r="R260" s="458">
        <v>1</v>
      </c>
    </row>
    <row r="261" spans="1:18" x14ac:dyDescent="0.25">
      <c r="A261" s="458">
        <v>44680</v>
      </c>
      <c r="B261" s="346">
        <v>2200000177</v>
      </c>
      <c r="C261" s="346" t="s">
        <v>2160</v>
      </c>
      <c r="D261" s="346" t="s">
        <v>1756</v>
      </c>
      <c r="E261" s="346" t="s">
        <v>1757</v>
      </c>
      <c r="F261" s="346" t="s">
        <v>1758</v>
      </c>
      <c r="G261" s="346" t="s">
        <v>1759</v>
      </c>
      <c r="H261" s="346" t="s">
        <v>1760</v>
      </c>
      <c r="I261" s="346">
        <v>265328.2</v>
      </c>
      <c r="J261" s="346" t="s">
        <v>572</v>
      </c>
      <c r="K261" s="346" t="s">
        <v>1761</v>
      </c>
      <c r="L261" s="346"/>
      <c r="M261" s="346" t="s">
        <v>1761</v>
      </c>
      <c r="N261" s="346">
        <v>0.9</v>
      </c>
      <c r="O261" s="346">
        <v>6.53</v>
      </c>
      <c r="P261" s="346">
        <v>7.43</v>
      </c>
      <c r="Q261" s="346" t="s">
        <v>1765</v>
      </c>
      <c r="R261" s="458">
        <v>44352</v>
      </c>
    </row>
    <row r="262" spans="1:18" x14ac:dyDescent="0.25">
      <c r="A262" s="458">
        <v>44680</v>
      </c>
      <c r="B262" s="346">
        <v>2200000173</v>
      </c>
      <c r="C262" s="346" t="s">
        <v>2161</v>
      </c>
      <c r="D262" s="346" t="s">
        <v>1756</v>
      </c>
      <c r="E262" s="346" t="s">
        <v>1757</v>
      </c>
      <c r="F262" s="346" t="s">
        <v>1758</v>
      </c>
      <c r="G262" s="346" t="s">
        <v>1759</v>
      </c>
      <c r="H262" s="346" t="s">
        <v>1760</v>
      </c>
      <c r="I262" s="346">
        <v>509243.11</v>
      </c>
      <c r="J262" s="346" t="s">
        <v>572</v>
      </c>
      <c r="K262" s="346" t="s">
        <v>1761</v>
      </c>
      <c r="L262" s="346"/>
      <c r="M262" s="346" t="s">
        <v>1761</v>
      </c>
      <c r="N262" s="346">
        <v>0.1</v>
      </c>
      <c r="O262" s="346">
        <v>5.57</v>
      </c>
      <c r="P262" s="346">
        <v>6.32</v>
      </c>
      <c r="Q262" s="346" t="s">
        <v>1762</v>
      </c>
      <c r="R262" s="458">
        <v>1</v>
      </c>
    </row>
    <row r="263" spans="1:18" x14ac:dyDescent="0.25">
      <c r="A263" s="458">
        <v>44680</v>
      </c>
      <c r="B263" s="346">
        <v>2200000178</v>
      </c>
      <c r="C263" s="346" t="s">
        <v>2143</v>
      </c>
      <c r="D263" s="346" t="s">
        <v>1756</v>
      </c>
      <c r="E263" s="346" t="s">
        <v>1757</v>
      </c>
      <c r="F263" s="346" t="s">
        <v>1758</v>
      </c>
      <c r="G263" s="346" t="s">
        <v>1759</v>
      </c>
      <c r="H263" s="346" t="s">
        <v>1760</v>
      </c>
      <c r="I263" s="346">
        <v>3128276.26</v>
      </c>
      <c r="J263" s="346" t="s">
        <v>572</v>
      </c>
      <c r="K263" s="346" t="s">
        <v>1761</v>
      </c>
      <c r="L263" s="346"/>
      <c r="M263" s="346" t="s">
        <v>1761</v>
      </c>
      <c r="N263" s="346">
        <v>0.78</v>
      </c>
      <c r="O263" s="346">
        <v>5.83</v>
      </c>
      <c r="P263" s="346">
        <v>6.61</v>
      </c>
      <c r="Q263" s="346" t="s">
        <v>1765</v>
      </c>
      <c r="R263" s="458">
        <v>44352</v>
      </c>
    </row>
    <row r="264" spans="1:18" x14ac:dyDescent="0.25">
      <c r="A264" s="458">
        <v>44680</v>
      </c>
      <c r="B264" s="346">
        <v>2200000179</v>
      </c>
      <c r="C264" s="346" t="s">
        <v>2144</v>
      </c>
      <c r="D264" s="346" t="s">
        <v>1756</v>
      </c>
      <c r="E264" s="346" t="s">
        <v>1757</v>
      </c>
      <c r="F264" s="346" t="s">
        <v>1758</v>
      </c>
      <c r="G264" s="346" t="s">
        <v>1759</v>
      </c>
      <c r="H264" s="346" t="s">
        <v>1760</v>
      </c>
      <c r="I264" s="346">
        <v>563404</v>
      </c>
      <c r="J264" s="346" t="s">
        <v>572</v>
      </c>
      <c r="K264" s="346" t="s">
        <v>1761</v>
      </c>
      <c r="L264" s="346"/>
      <c r="M264" s="346" t="s">
        <v>1761</v>
      </c>
      <c r="N264" s="346">
        <v>0.78</v>
      </c>
      <c r="O264" s="346">
        <v>5.83</v>
      </c>
      <c r="P264" s="346">
        <v>6.61</v>
      </c>
      <c r="Q264" s="346" t="s">
        <v>1765</v>
      </c>
      <c r="R264" s="458">
        <v>44352</v>
      </c>
    </row>
    <row r="265" spans="1:18" x14ac:dyDescent="0.25">
      <c r="A265" s="458">
        <v>44680</v>
      </c>
      <c r="B265" s="346">
        <v>2200000162</v>
      </c>
      <c r="C265" s="346" t="s">
        <v>2157</v>
      </c>
      <c r="D265" s="346" t="s">
        <v>1756</v>
      </c>
      <c r="E265" s="346" t="s">
        <v>1757</v>
      </c>
      <c r="F265" s="346" t="s">
        <v>1758</v>
      </c>
      <c r="G265" s="346" t="s">
        <v>1759</v>
      </c>
      <c r="H265" s="346" t="s">
        <v>1760</v>
      </c>
      <c r="I265" s="346">
        <v>750001</v>
      </c>
      <c r="J265" s="346" t="s">
        <v>572</v>
      </c>
      <c r="K265" s="346" t="s">
        <v>1761</v>
      </c>
      <c r="L265" s="346"/>
      <c r="M265" s="346" t="s">
        <v>1761</v>
      </c>
      <c r="N265" s="346">
        <v>0.1</v>
      </c>
      <c r="O265" s="346">
        <v>5.97</v>
      </c>
      <c r="P265" s="346">
        <v>6.72</v>
      </c>
      <c r="Q265" s="346" t="s">
        <v>1762</v>
      </c>
      <c r="R265" s="458">
        <v>1</v>
      </c>
    </row>
    <row r="266" spans="1:18" x14ac:dyDescent="0.25">
      <c r="A266" s="458">
        <v>44680</v>
      </c>
      <c r="B266" s="346">
        <v>2200000174</v>
      </c>
      <c r="C266" s="346" t="s">
        <v>2149</v>
      </c>
      <c r="D266" s="346" t="s">
        <v>1756</v>
      </c>
      <c r="E266" s="346" t="s">
        <v>1757</v>
      </c>
      <c r="F266" s="346" t="s">
        <v>1758</v>
      </c>
      <c r="G266" s="346" t="s">
        <v>1759</v>
      </c>
      <c r="H266" s="346" t="s">
        <v>1760</v>
      </c>
      <c r="I266" s="346">
        <v>411697</v>
      </c>
      <c r="J266" s="346" t="s">
        <v>572</v>
      </c>
      <c r="K266" s="346" t="s">
        <v>1761</v>
      </c>
      <c r="L266" s="346"/>
      <c r="M266" s="346" t="s">
        <v>1761</v>
      </c>
      <c r="N266" s="346">
        <v>0.1</v>
      </c>
      <c r="O266" s="346">
        <v>6.77</v>
      </c>
      <c r="P266" s="346">
        <v>7.52</v>
      </c>
      <c r="Q266" s="346" t="s">
        <v>1762</v>
      </c>
      <c r="R266" s="458">
        <v>1</v>
      </c>
    </row>
    <row r="267" spans="1:18" x14ac:dyDescent="0.25">
      <c r="A267" s="458">
        <v>44680</v>
      </c>
      <c r="B267" s="346">
        <v>2200000166</v>
      </c>
      <c r="C267" s="346" t="s">
        <v>2152</v>
      </c>
      <c r="D267" s="346" t="s">
        <v>1756</v>
      </c>
      <c r="E267" s="346" t="s">
        <v>1757</v>
      </c>
      <c r="F267" s="346" t="s">
        <v>1758</v>
      </c>
      <c r="G267" s="346" t="s">
        <v>1759</v>
      </c>
      <c r="H267" s="346" t="s">
        <v>1760</v>
      </c>
      <c r="I267" s="346">
        <v>133967.15</v>
      </c>
      <c r="J267" s="346" t="s">
        <v>572</v>
      </c>
      <c r="K267" s="346" t="s">
        <v>1761</v>
      </c>
      <c r="L267" s="346"/>
      <c r="M267" s="346" t="s">
        <v>1761</v>
      </c>
      <c r="N267" s="346">
        <v>0.1</v>
      </c>
      <c r="O267" s="346">
        <v>5.78</v>
      </c>
      <c r="P267" s="346">
        <v>6.53</v>
      </c>
      <c r="Q267" s="346" t="s">
        <v>1762</v>
      </c>
      <c r="R267" s="458">
        <v>1</v>
      </c>
    </row>
    <row r="268" spans="1:18" x14ac:dyDescent="0.25">
      <c r="A268" s="458">
        <v>44680</v>
      </c>
      <c r="B268" s="346">
        <v>4100000187</v>
      </c>
      <c r="C268" s="346" t="s">
        <v>2162</v>
      </c>
      <c r="D268" s="346" t="s">
        <v>1756</v>
      </c>
      <c r="E268" s="346" t="s">
        <v>1757</v>
      </c>
      <c r="F268" s="346" t="s">
        <v>1758</v>
      </c>
      <c r="G268" s="346" t="s">
        <v>1764</v>
      </c>
      <c r="H268" s="346" t="s">
        <v>1250</v>
      </c>
      <c r="I268" s="346">
        <v>5000000</v>
      </c>
      <c r="J268" s="346" t="s">
        <v>572</v>
      </c>
      <c r="K268" s="346" t="s">
        <v>1761</v>
      </c>
      <c r="L268" s="346"/>
      <c r="M268" s="346" t="s">
        <v>1761</v>
      </c>
      <c r="N268" s="346">
        <v>0.25</v>
      </c>
      <c r="O268" s="346">
        <v>4</v>
      </c>
      <c r="P268" s="346">
        <v>4.75</v>
      </c>
      <c r="Q268" s="346" t="s">
        <v>1765</v>
      </c>
      <c r="R268" s="458">
        <v>44318</v>
      </c>
    </row>
    <row r="269" spans="1:18" x14ac:dyDescent="0.25">
      <c r="A269" s="458">
        <v>44680</v>
      </c>
      <c r="B269" s="346">
        <v>4100000194</v>
      </c>
      <c r="C269" s="346" t="s">
        <v>2163</v>
      </c>
      <c r="D269" s="346" t="s">
        <v>1756</v>
      </c>
      <c r="E269" s="346" t="s">
        <v>1757</v>
      </c>
      <c r="F269" s="346" t="s">
        <v>1758</v>
      </c>
      <c r="G269" s="346" t="s">
        <v>1764</v>
      </c>
      <c r="H269" s="346" t="s">
        <v>1250</v>
      </c>
      <c r="I269" s="346">
        <v>1155000</v>
      </c>
      <c r="J269" s="346" t="s">
        <v>572</v>
      </c>
      <c r="K269" s="346" t="s">
        <v>1761</v>
      </c>
      <c r="L269" s="346"/>
      <c r="M269" s="346" t="s">
        <v>1761</v>
      </c>
      <c r="N269" s="346">
        <v>0.62</v>
      </c>
      <c r="O269" s="346">
        <v>4</v>
      </c>
      <c r="P269" s="346">
        <v>4.75</v>
      </c>
      <c r="Q269" s="346" t="s">
        <v>1765</v>
      </c>
      <c r="R269" s="458">
        <v>44345</v>
      </c>
    </row>
    <row r="270" spans="1:18" x14ac:dyDescent="0.25">
      <c r="A270" s="458">
        <v>44680</v>
      </c>
      <c r="B270" s="346">
        <v>4100000191</v>
      </c>
      <c r="C270" s="346" t="s">
        <v>2164</v>
      </c>
      <c r="D270" s="346" t="s">
        <v>1756</v>
      </c>
      <c r="E270" s="346" t="s">
        <v>1757</v>
      </c>
      <c r="F270" s="346" t="s">
        <v>1758</v>
      </c>
      <c r="G270" s="346" t="s">
        <v>1764</v>
      </c>
      <c r="H270" s="346" t="s">
        <v>1250</v>
      </c>
      <c r="I270" s="346">
        <v>345000</v>
      </c>
      <c r="J270" s="346" t="s">
        <v>572</v>
      </c>
      <c r="K270" s="346" t="s">
        <v>1761</v>
      </c>
      <c r="L270" s="346"/>
      <c r="M270" s="346" t="s">
        <v>1761</v>
      </c>
      <c r="N270" s="346">
        <v>0.62</v>
      </c>
      <c r="O270" s="346">
        <v>4</v>
      </c>
      <c r="P270" s="346">
        <v>4.75</v>
      </c>
      <c r="Q270" s="346" t="s">
        <v>1765</v>
      </c>
      <c r="R270" s="458">
        <v>44345</v>
      </c>
    </row>
    <row r="271" spans="1:18" x14ac:dyDescent="0.25">
      <c r="A271" s="458">
        <v>44680</v>
      </c>
      <c r="B271" s="346">
        <v>4100000190</v>
      </c>
      <c r="C271" s="346" t="s">
        <v>2165</v>
      </c>
      <c r="D271" s="346" t="s">
        <v>1756</v>
      </c>
      <c r="E271" s="346" t="s">
        <v>1757</v>
      </c>
      <c r="F271" s="346" t="s">
        <v>1758</v>
      </c>
      <c r="G271" s="346" t="s">
        <v>1764</v>
      </c>
      <c r="H271" s="346" t="s">
        <v>1250</v>
      </c>
      <c r="I271" s="346">
        <v>1100000</v>
      </c>
      <c r="J271" s="346" t="s">
        <v>572</v>
      </c>
      <c r="K271" s="346" t="s">
        <v>1761</v>
      </c>
      <c r="L271" s="346"/>
      <c r="M271" s="346" t="s">
        <v>1761</v>
      </c>
      <c r="N271" s="346">
        <v>0.77</v>
      </c>
      <c r="O271" s="346">
        <v>2.75</v>
      </c>
      <c r="P271" s="346">
        <v>3.52</v>
      </c>
      <c r="Q271" s="346" t="s">
        <v>1765</v>
      </c>
      <c r="R271" s="458">
        <v>44318</v>
      </c>
    </row>
    <row r="272" spans="1:18" x14ac:dyDescent="0.25">
      <c r="A272" s="458">
        <v>44680</v>
      </c>
      <c r="B272" s="346">
        <v>4100000183</v>
      </c>
      <c r="C272" s="346" t="s">
        <v>2166</v>
      </c>
      <c r="D272" s="346" t="s">
        <v>1756</v>
      </c>
      <c r="E272" s="346" t="s">
        <v>1757</v>
      </c>
      <c r="F272" s="346" t="s">
        <v>1758</v>
      </c>
      <c r="G272" s="346" t="s">
        <v>1764</v>
      </c>
      <c r="H272" s="346" t="s">
        <v>1250</v>
      </c>
      <c r="I272" s="346">
        <v>1200000</v>
      </c>
      <c r="J272" s="346" t="s">
        <v>572</v>
      </c>
      <c r="K272" s="346" t="s">
        <v>1761</v>
      </c>
      <c r="L272" s="346"/>
      <c r="M272" s="346" t="s">
        <v>1761</v>
      </c>
      <c r="N272" s="346">
        <v>0.8</v>
      </c>
      <c r="O272" s="346">
        <v>4</v>
      </c>
      <c r="P272" s="346">
        <v>4.8</v>
      </c>
      <c r="Q272" s="346" t="s">
        <v>1765</v>
      </c>
      <c r="R272" s="458">
        <v>44318</v>
      </c>
    </row>
    <row r="273" spans="1:18" x14ac:dyDescent="0.25">
      <c r="A273" s="458">
        <v>44680</v>
      </c>
      <c r="B273" s="346">
        <v>4100000199</v>
      </c>
      <c r="C273" s="346" t="s">
        <v>2167</v>
      </c>
      <c r="D273" s="346" t="s">
        <v>1756</v>
      </c>
      <c r="E273" s="346" t="s">
        <v>1757</v>
      </c>
      <c r="F273" s="346" t="s">
        <v>1758</v>
      </c>
      <c r="G273" s="346" t="s">
        <v>1764</v>
      </c>
      <c r="H273" s="346" t="s">
        <v>1250</v>
      </c>
      <c r="I273" s="346">
        <v>1100906.75</v>
      </c>
      <c r="J273" s="346" t="s">
        <v>572</v>
      </c>
      <c r="K273" s="346" t="s">
        <v>1761</v>
      </c>
      <c r="L273" s="346"/>
      <c r="M273" s="346" t="s">
        <v>1761</v>
      </c>
      <c r="N273" s="346">
        <v>0.76</v>
      </c>
      <c r="O273" s="346">
        <v>4.43</v>
      </c>
      <c r="P273" s="346">
        <v>5.19</v>
      </c>
      <c r="Q273" s="346" t="s">
        <v>1765</v>
      </c>
      <c r="R273" s="458">
        <v>44352</v>
      </c>
    </row>
    <row r="274" spans="1:18" x14ac:dyDescent="0.25">
      <c r="A274" s="458">
        <v>44680</v>
      </c>
      <c r="B274" s="346">
        <v>4100000197</v>
      </c>
      <c r="C274" s="346" t="s">
        <v>2168</v>
      </c>
      <c r="D274" s="346" t="s">
        <v>1756</v>
      </c>
      <c r="E274" s="346" t="s">
        <v>1757</v>
      </c>
      <c r="F274" s="346" t="s">
        <v>1758</v>
      </c>
      <c r="G274" s="346" t="s">
        <v>1764</v>
      </c>
      <c r="H274" s="346" t="s">
        <v>1250</v>
      </c>
      <c r="I274" s="346">
        <v>1637439.1</v>
      </c>
      <c r="J274" s="346" t="s">
        <v>572</v>
      </c>
      <c r="K274" s="346" t="s">
        <v>1761</v>
      </c>
      <c r="L274" s="346"/>
      <c r="M274" s="346" t="s">
        <v>1761</v>
      </c>
      <c r="N274" s="346">
        <v>0.81</v>
      </c>
      <c r="O274" s="346">
        <v>4</v>
      </c>
      <c r="P274" s="346">
        <v>4.8099999999999996</v>
      </c>
      <c r="Q274" s="346" t="s">
        <v>1765</v>
      </c>
      <c r="R274" s="458">
        <v>44352</v>
      </c>
    </row>
    <row r="275" spans="1:18" x14ac:dyDescent="0.25">
      <c r="A275" s="458">
        <v>44680</v>
      </c>
      <c r="B275" s="346">
        <v>4100000024</v>
      </c>
      <c r="C275" s="346" t="s">
        <v>2169</v>
      </c>
      <c r="D275" s="346" t="s">
        <v>1281</v>
      </c>
      <c r="E275" s="346" t="s">
        <v>1757</v>
      </c>
      <c r="F275" s="346" t="s">
        <v>1758</v>
      </c>
      <c r="G275" s="346" t="s">
        <v>1764</v>
      </c>
      <c r="H275" s="346" t="s">
        <v>1250</v>
      </c>
      <c r="I275" s="346">
        <v>25108373</v>
      </c>
      <c r="J275" s="346" t="s">
        <v>572</v>
      </c>
      <c r="K275" s="346" t="s">
        <v>1761</v>
      </c>
      <c r="L275" s="346"/>
      <c r="M275" s="346" t="s">
        <v>1761</v>
      </c>
      <c r="N275" s="346">
        <v>0.1</v>
      </c>
      <c r="O275" s="346">
        <v>3.88</v>
      </c>
      <c r="P275" s="346">
        <v>4.63</v>
      </c>
      <c r="Q275" s="346" t="s">
        <v>1765</v>
      </c>
      <c r="R275" s="458">
        <v>44177</v>
      </c>
    </row>
    <row r="276" spans="1:18" x14ac:dyDescent="0.25">
      <c r="A276" s="458">
        <v>44680</v>
      </c>
      <c r="B276" s="346">
        <v>4100000198</v>
      </c>
      <c r="C276" s="346" t="s">
        <v>2170</v>
      </c>
      <c r="D276" s="346" t="s">
        <v>1756</v>
      </c>
      <c r="E276" s="346" t="s">
        <v>1757</v>
      </c>
      <c r="F276" s="346" t="s">
        <v>1758</v>
      </c>
      <c r="G276" s="346" t="s">
        <v>1764</v>
      </c>
      <c r="H276" s="346" t="s">
        <v>1250</v>
      </c>
      <c r="I276" s="346">
        <v>22660800</v>
      </c>
      <c r="J276" s="346" t="s">
        <v>572</v>
      </c>
      <c r="K276" s="346" t="s">
        <v>1761</v>
      </c>
      <c r="L276" s="346"/>
      <c r="M276" s="346" t="s">
        <v>1761</v>
      </c>
      <c r="N276" s="346">
        <v>0.75</v>
      </c>
      <c r="O276" s="346">
        <v>4</v>
      </c>
      <c r="P276" s="346">
        <v>4.75</v>
      </c>
      <c r="Q276" s="346" t="s">
        <v>1765</v>
      </c>
      <c r="R276" s="458">
        <v>44352</v>
      </c>
    </row>
    <row r="277" spans="1:18" x14ac:dyDescent="0.25">
      <c r="A277" s="458">
        <v>44680</v>
      </c>
      <c r="B277" s="346">
        <v>4100000201</v>
      </c>
      <c r="C277" s="346" t="s">
        <v>2171</v>
      </c>
      <c r="D277" s="346" t="s">
        <v>1756</v>
      </c>
      <c r="E277" s="346" t="s">
        <v>1757</v>
      </c>
      <c r="F277" s="346" t="s">
        <v>1758</v>
      </c>
      <c r="G277" s="346" t="s">
        <v>1764</v>
      </c>
      <c r="H277" s="346" t="s">
        <v>1250</v>
      </c>
      <c r="I277" s="346">
        <v>2339200</v>
      </c>
      <c r="J277" s="346" t="s">
        <v>572</v>
      </c>
      <c r="K277" s="346" t="s">
        <v>1761</v>
      </c>
      <c r="L277" s="346"/>
      <c r="M277" s="346" t="s">
        <v>1761</v>
      </c>
      <c r="N277" s="346">
        <v>0.75</v>
      </c>
      <c r="O277" s="346">
        <v>4</v>
      </c>
      <c r="P277" s="346">
        <v>4.75</v>
      </c>
      <c r="Q277" s="346" t="s">
        <v>1765</v>
      </c>
      <c r="R277" s="458">
        <v>44352</v>
      </c>
    </row>
    <row r="278" spans="1:18" x14ac:dyDescent="0.25">
      <c r="A278" s="458">
        <v>44680</v>
      </c>
      <c r="B278" s="346">
        <v>4100000023</v>
      </c>
      <c r="C278" s="346" t="s">
        <v>2172</v>
      </c>
      <c r="D278" s="346" t="s">
        <v>1756</v>
      </c>
      <c r="E278" s="346" t="s">
        <v>1757</v>
      </c>
      <c r="F278" s="346" t="s">
        <v>1758</v>
      </c>
      <c r="G278" s="346" t="s">
        <v>1764</v>
      </c>
      <c r="H278" s="346" t="s">
        <v>1250</v>
      </c>
      <c r="I278" s="346">
        <v>3209500</v>
      </c>
      <c r="J278" s="346" t="s">
        <v>572</v>
      </c>
      <c r="K278" s="346" t="s">
        <v>1761</v>
      </c>
      <c r="L278" s="346"/>
      <c r="M278" s="346" t="s">
        <v>1761</v>
      </c>
      <c r="N278" s="346">
        <v>0.5</v>
      </c>
      <c r="O278" s="346">
        <v>4.5999999999999996</v>
      </c>
      <c r="P278" s="346">
        <v>5.35</v>
      </c>
      <c r="Q278" s="346" t="s">
        <v>1765</v>
      </c>
      <c r="R278" s="458">
        <v>44177</v>
      </c>
    </row>
    <row r="279" spans="1:18" x14ac:dyDescent="0.25">
      <c r="A279" s="458">
        <v>44680</v>
      </c>
      <c r="B279" s="346">
        <v>4100000185</v>
      </c>
      <c r="C279" s="346" t="s">
        <v>2173</v>
      </c>
      <c r="D279" s="346" t="s">
        <v>1756</v>
      </c>
      <c r="E279" s="346" t="s">
        <v>1757</v>
      </c>
      <c r="F279" s="346" t="s">
        <v>1758</v>
      </c>
      <c r="G279" s="346" t="s">
        <v>1764</v>
      </c>
      <c r="H279" s="346" t="s">
        <v>1250</v>
      </c>
      <c r="I279" s="346">
        <v>1755000</v>
      </c>
      <c r="J279" s="346" t="s">
        <v>572</v>
      </c>
      <c r="K279" s="346" t="s">
        <v>1761</v>
      </c>
      <c r="L279" s="346"/>
      <c r="M279" s="346" t="s">
        <v>1761</v>
      </c>
      <c r="N279" s="346">
        <v>0.52</v>
      </c>
      <c r="O279" s="346">
        <v>4.5</v>
      </c>
      <c r="P279" s="346">
        <v>5.25</v>
      </c>
      <c r="Q279" s="346" t="s">
        <v>1765</v>
      </c>
      <c r="R279" s="458">
        <v>44318</v>
      </c>
    </row>
    <row r="280" spans="1:18" x14ac:dyDescent="0.25">
      <c r="A280" s="458">
        <v>44680</v>
      </c>
      <c r="B280" s="346">
        <v>4100000200</v>
      </c>
      <c r="C280" s="346" t="s">
        <v>2174</v>
      </c>
      <c r="D280" s="346" t="s">
        <v>1756</v>
      </c>
      <c r="E280" s="346" t="s">
        <v>1763</v>
      </c>
      <c r="F280" s="346" t="s">
        <v>1758</v>
      </c>
      <c r="G280" s="346" t="s">
        <v>1764</v>
      </c>
      <c r="H280" s="346" t="s">
        <v>1250</v>
      </c>
      <c r="I280" s="346">
        <v>0</v>
      </c>
      <c r="J280" s="346" t="s">
        <v>572</v>
      </c>
      <c r="K280" s="346" t="s">
        <v>1761</v>
      </c>
      <c r="L280" s="346"/>
      <c r="M280" s="346" t="s">
        <v>1761</v>
      </c>
      <c r="N280" s="346">
        <v>0.9</v>
      </c>
      <c r="O280" s="346">
        <v>5</v>
      </c>
      <c r="P280" s="346">
        <v>5.9</v>
      </c>
      <c r="Q280" s="346" t="s">
        <v>1765</v>
      </c>
      <c r="R280" s="458">
        <v>44352</v>
      </c>
    </row>
    <row r="281" spans="1:18" x14ac:dyDescent="0.25">
      <c r="A281" s="458">
        <v>44680</v>
      </c>
      <c r="B281" s="346">
        <v>4100000192</v>
      </c>
      <c r="C281" s="346" t="s">
        <v>2175</v>
      </c>
      <c r="D281" s="346" t="s">
        <v>1756</v>
      </c>
      <c r="E281" s="346" t="s">
        <v>1757</v>
      </c>
      <c r="F281" s="346" t="s">
        <v>1758</v>
      </c>
      <c r="G281" s="346" t="s">
        <v>1764</v>
      </c>
      <c r="H281" s="346" t="s">
        <v>1250</v>
      </c>
      <c r="I281" s="346">
        <v>2186991.56</v>
      </c>
      <c r="J281" s="346" t="s">
        <v>572</v>
      </c>
      <c r="K281" s="346" t="s">
        <v>1761</v>
      </c>
      <c r="L281" s="346"/>
      <c r="M281" s="346" t="s">
        <v>1761</v>
      </c>
      <c r="N281" s="346">
        <v>0.52</v>
      </c>
      <c r="O281" s="346">
        <v>4</v>
      </c>
      <c r="P281" s="346">
        <v>4.75</v>
      </c>
      <c r="Q281" s="346" t="s">
        <v>1765</v>
      </c>
      <c r="R281" s="458">
        <v>44345</v>
      </c>
    </row>
    <row r="282" spans="1:18" x14ac:dyDescent="0.25">
      <c r="A282" s="458">
        <v>44680</v>
      </c>
      <c r="B282" s="346">
        <v>5200000152</v>
      </c>
      <c r="C282" s="346" t="s">
        <v>2177</v>
      </c>
      <c r="D282" s="346" t="s">
        <v>1756</v>
      </c>
      <c r="E282" s="346" t="s">
        <v>1757</v>
      </c>
      <c r="F282" s="346" t="s">
        <v>1758</v>
      </c>
      <c r="G282" s="346" t="s">
        <v>1768</v>
      </c>
      <c r="H282" s="346" t="s">
        <v>1769</v>
      </c>
      <c r="I282" s="346">
        <v>2390644</v>
      </c>
      <c r="J282" s="346" t="s">
        <v>572</v>
      </c>
      <c r="K282" s="346" t="s">
        <v>1761</v>
      </c>
      <c r="L282" s="346"/>
      <c r="M282" s="346" t="s">
        <v>1761</v>
      </c>
      <c r="N282" s="346">
        <v>0.1</v>
      </c>
      <c r="O282" s="346">
        <v>5.61</v>
      </c>
      <c r="P282" s="346">
        <v>6.36</v>
      </c>
      <c r="Q282" s="346" t="s">
        <v>1762</v>
      </c>
      <c r="R282" s="458">
        <v>1</v>
      </c>
    </row>
    <row r="283" spans="1:18" x14ac:dyDescent="0.25">
      <c r="A283" s="458">
        <v>44680</v>
      </c>
      <c r="B283" s="346">
        <v>5200000149</v>
      </c>
      <c r="C283" s="346" t="s">
        <v>2178</v>
      </c>
      <c r="D283" s="346" t="s">
        <v>1756</v>
      </c>
      <c r="E283" s="346" t="s">
        <v>1757</v>
      </c>
      <c r="F283" s="346" t="s">
        <v>1758</v>
      </c>
      <c r="G283" s="346" t="s">
        <v>1768</v>
      </c>
      <c r="H283" s="346" t="s">
        <v>1769</v>
      </c>
      <c r="I283" s="346">
        <v>931596</v>
      </c>
      <c r="J283" s="346" t="s">
        <v>572</v>
      </c>
      <c r="K283" s="346" t="s">
        <v>1761</v>
      </c>
      <c r="L283" s="346"/>
      <c r="M283" s="346" t="s">
        <v>1761</v>
      </c>
      <c r="N283" s="346">
        <v>0.1</v>
      </c>
      <c r="O283" s="346">
        <v>5.83</v>
      </c>
      <c r="P283" s="346">
        <v>6.58</v>
      </c>
      <c r="Q283" s="346" t="s">
        <v>1762</v>
      </c>
      <c r="R283" s="458">
        <v>1</v>
      </c>
    </row>
    <row r="284" spans="1:18" x14ac:dyDescent="0.25">
      <c r="A284" s="458">
        <v>44680</v>
      </c>
      <c r="B284" s="346">
        <v>5200000155</v>
      </c>
      <c r="C284" s="346" t="s">
        <v>2179</v>
      </c>
      <c r="D284" s="346" t="s">
        <v>1756</v>
      </c>
      <c r="E284" s="346" t="s">
        <v>1757</v>
      </c>
      <c r="F284" s="346" t="s">
        <v>1758</v>
      </c>
      <c r="G284" s="346" t="s">
        <v>1768</v>
      </c>
      <c r="H284" s="346" t="s">
        <v>1769</v>
      </c>
      <c r="I284" s="346">
        <v>275687.53999999998</v>
      </c>
      <c r="J284" s="346" t="s">
        <v>572</v>
      </c>
      <c r="K284" s="346" t="s">
        <v>1761</v>
      </c>
      <c r="L284" s="346"/>
      <c r="M284" s="346" t="s">
        <v>1761</v>
      </c>
      <c r="N284" s="346">
        <v>0.1</v>
      </c>
      <c r="O284" s="346">
        <v>5.63</v>
      </c>
      <c r="P284" s="346">
        <v>6.38</v>
      </c>
      <c r="Q284" s="346" t="s">
        <v>1762</v>
      </c>
      <c r="R284" s="458">
        <v>1</v>
      </c>
    </row>
    <row r="285" spans="1:18" x14ac:dyDescent="0.25">
      <c r="A285" s="458">
        <v>44680</v>
      </c>
      <c r="B285" s="346">
        <v>5200000157</v>
      </c>
      <c r="C285" s="346" t="s">
        <v>2180</v>
      </c>
      <c r="D285" s="346" t="s">
        <v>1756</v>
      </c>
      <c r="E285" s="346" t="s">
        <v>1757</v>
      </c>
      <c r="F285" s="346" t="s">
        <v>1758</v>
      </c>
      <c r="G285" s="346" t="s">
        <v>1768</v>
      </c>
      <c r="H285" s="346" t="s">
        <v>1769</v>
      </c>
      <c r="I285" s="346">
        <v>4566566.6900000004</v>
      </c>
      <c r="J285" s="346" t="s">
        <v>572</v>
      </c>
      <c r="K285" s="346" t="s">
        <v>1761</v>
      </c>
      <c r="L285" s="346"/>
      <c r="M285" s="346" t="s">
        <v>1761</v>
      </c>
      <c r="N285" s="346">
        <v>0.1</v>
      </c>
      <c r="O285" s="346">
        <v>5.78</v>
      </c>
      <c r="P285" s="346">
        <v>6.53</v>
      </c>
      <c r="Q285" s="346" t="s">
        <v>1762</v>
      </c>
      <c r="R285" s="458">
        <v>1</v>
      </c>
    </row>
    <row r="286" spans="1:18" x14ac:dyDescent="0.25">
      <c r="A286" s="458">
        <v>44680</v>
      </c>
      <c r="B286" s="346">
        <v>5200000009</v>
      </c>
      <c r="C286" s="346" t="s">
        <v>2181</v>
      </c>
      <c r="D286" s="346" t="s">
        <v>1756</v>
      </c>
      <c r="E286" s="346" t="s">
        <v>1757</v>
      </c>
      <c r="F286" s="346" t="s">
        <v>1758</v>
      </c>
      <c r="G286" s="346" t="s">
        <v>1768</v>
      </c>
      <c r="H286" s="346" t="s">
        <v>1769</v>
      </c>
      <c r="I286" s="346">
        <v>4973200</v>
      </c>
      <c r="J286" s="346" t="s">
        <v>572</v>
      </c>
      <c r="K286" s="346" t="s">
        <v>1761</v>
      </c>
      <c r="L286" s="346"/>
      <c r="M286" s="346" t="s">
        <v>1761</v>
      </c>
      <c r="N286" s="346">
        <v>0.18</v>
      </c>
      <c r="O286" s="346">
        <v>5.76</v>
      </c>
      <c r="P286" s="346">
        <v>6.51</v>
      </c>
      <c r="Q286" s="346" t="s">
        <v>1765</v>
      </c>
      <c r="R286" s="458">
        <v>44177</v>
      </c>
    </row>
    <row r="287" spans="1:18" x14ac:dyDescent="0.25">
      <c r="A287" s="458">
        <v>44680</v>
      </c>
      <c r="B287" s="346">
        <v>5200000005</v>
      </c>
      <c r="C287" s="346" t="s">
        <v>2182</v>
      </c>
      <c r="D287" s="346" t="s">
        <v>1756</v>
      </c>
      <c r="E287" s="346" t="s">
        <v>1757</v>
      </c>
      <c r="F287" s="346" t="s">
        <v>1758</v>
      </c>
      <c r="G287" s="346" t="s">
        <v>1768</v>
      </c>
      <c r="H287" s="346" t="s">
        <v>1769</v>
      </c>
      <c r="I287" s="346">
        <v>253477.24</v>
      </c>
      <c r="J287" s="346" t="s">
        <v>572</v>
      </c>
      <c r="K287" s="346" t="s">
        <v>1761</v>
      </c>
      <c r="L287" s="346"/>
      <c r="M287" s="346" t="s">
        <v>1761</v>
      </c>
      <c r="N287" s="346">
        <v>0.25</v>
      </c>
      <c r="O287" s="346">
        <v>5.9</v>
      </c>
      <c r="P287" s="346">
        <v>6.64</v>
      </c>
      <c r="Q287" s="346" t="s">
        <v>1765</v>
      </c>
      <c r="R287" s="458">
        <v>44177</v>
      </c>
    </row>
    <row r="288" spans="1:18" x14ac:dyDescent="0.25">
      <c r="A288" s="458">
        <v>44680</v>
      </c>
      <c r="B288" s="346">
        <v>5200000153</v>
      </c>
      <c r="C288" s="346" t="s">
        <v>2183</v>
      </c>
      <c r="D288" s="346" t="s">
        <v>1756</v>
      </c>
      <c r="E288" s="346" t="s">
        <v>1757</v>
      </c>
      <c r="F288" s="346" t="s">
        <v>1758</v>
      </c>
      <c r="G288" s="346" t="s">
        <v>1768</v>
      </c>
      <c r="H288" s="346" t="s">
        <v>1769</v>
      </c>
      <c r="I288" s="346">
        <v>1655646.32</v>
      </c>
      <c r="J288" s="346" t="s">
        <v>572</v>
      </c>
      <c r="K288" s="346" t="s">
        <v>1761</v>
      </c>
      <c r="L288" s="346"/>
      <c r="M288" s="346" t="s">
        <v>1761</v>
      </c>
      <c r="N288" s="346">
        <v>0.25</v>
      </c>
      <c r="O288" s="346">
        <v>5.35</v>
      </c>
      <c r="P288" s="346">
        <v>6.1</v>
      </c>
      <c r="Q288" s="346" t="s">
        <v>1762</v>
      </c>
      <c r="R288" s="458">
        <v>1</v>
      </c>
    </row>
    <row r="289" spans="1:18" x14ac:dyDescent="0.25">
      <c r="A289" s="458">
        <v>44680</v>
      </c>
      <c r="B289" s="346">
        <v>5200000150</v>
      </c>
      <c r="C289" s="346" t="s">
        <v>2184</v>
      </c>
      <c r="D289" s="346" t="s">
        <v>1756</v>
      </c>
      <c r="E289" s="346" t="s">
        <v>1757</v>
      </c>
      <c r="F289" s="346" t="s">
        <v>1758</v>
      </c>
      <c r="G289" s="346" t="s">
        <v>1768</v>
      </c>
      <c r="H289" s="346" t="s">
        <v>1769</v>
      </c>
      <c r="I289" s="346">
        <v>238769.1</v>
      </c>
      <c r="J289" s="346" t="s">
        <v>572</v>
      </c>
      <c r="K289" s="346" t="s">
        <v>1761</v>
      </c>
      <c r="L289" s="346"/>
      <c r="M289" s="346" t="s">
        <v>1761</v>
      </c>
      <c r="N289" s="346">
        <v>0.28000000000000003</v>
      </c>
      <c r="O289" s="346">
        <v>5.58</v>
      </c>
      <c r="P289" s="346">
        <v>6.33</v>
      </c>
      <c r="Q289" s="346" t="s">
        <v>1762</v>
      </c>
      <c r="R289" s="458">
        <v>1</v>
      </c>
    </row>
    <row r="290" spans="1:18" x14ac:dyDescent="0.25">
      <c r="A290" s="458">
        <v>44680</v>
      </c>
      <c r="B290" s="346">
        <v>5200000156</v>
      </c>
      <c r="C290" s="346" t="s">
        <v>2176</v>
      </c>
      <c r="D290" s="346" t="s">
        <v>1756</v>
      </c>
      <c r="E290" s="346" t="s">
        <v>1757</v>
      </c>
      <c r="F290" s="346" t="s">
        <v>1758</v>
      </c>
      <c r="G290" s="346" t="s">
        <v>1768</v>
      </c>
      <c r="H290" s="346" t="s">
        <v>1769</v>
      </c>
      <c r="I290" s="346">
        <v>145570.06</v>
      </c>
      <c r="J290" s="346" t="s">
        <v>572</v>
      </c>
      <c r="K290" s="346" t="s">
        <v>1761</v>
      </c>
      <c r="L290" s="346"/>
      <c r="M290" s="346" t="s">
        <v>1761</v>
      </c>
      <c r="N290" s="346">
        <v>0.75</v>
      </c>
      <c r="O290" s="346">
        <v>5.9</v>
      </c>
      <c r="P290" s="346">
        <v>6.65</v>
      </c>
      <c r="Q290" s="346" t="s">
        <v>1762</v>
      </c>
      <c r="R290" s="458">
        <v>1</v>
      </c>
    </row>
    <row r="291" spans="1:18" x14ac:dyDescent="0.25">
      <c r="A291" s="458">
        <v>44680</v>
      </c>
      <c r="B291" s="346">
        <v>1100000193</v>
      </c>
      <c r="C291" s="346" t="s">
        <v>2185</v>
      </c>
      <c r="D291" s="346" t="s">
        <v>1756</v>
      </c>
      <c r="E291" s="346" t="s">
        <v>1757</v>
      </c>
      <c r="F291" s="346" t="s">
        <v>1758</v>
      </c>
      <c r="G291" s="346" t="s">
        <v>1771</v>
      </c>
      <c r="H291" s="346" t="s">
        <v>1237</v>
      </c>
      <c r="I291" s="346">
        <v>2500000</v>
      </c>
      <c r="J291" s="346" t="s">
        <v>572</v>
      </c>
      <c r="K291" s="346" t="s">
        <v>1761</v>
      </c>
      <c r="L291" s="346"/>
      <c r="M291" s="346" t="s">
        <v>1761</v>
      </c>
      <c r="N291" s="346">
        <v>0.1</v>
      </c>
      <c r="O291" s="346">
        <v>5.25</v>
      </c>
      <c r="P291" s="346">
        <v>6</v>
      </c>
      <c r="Q291" s="346" t="s">
        <v>1762</v>
      </c>
      <c r="R291" s="458">
        <v>1</v>
      </c>
    </row>
    <row r="292" spans="1:18" x14ac:dyDescent="0.25">
      <c r="A292" s="458">
        <v>44680</v>
      </c>
      <c r="B292" s="346">
        <v>1100000014</v>
      </c>
      <c r="C292" s="346" t="s">
        <v>1972</v>
      </c>
      <c r="D292" s="346" t="s">
        <v>1281</v>
      </c>
      <c r="E292" s="346" t="s">
        <v>1757</v>
      </c>
      <c r="F292" s="346" t="s">
        <v>1770</v>
      </c>
      <c r="G292" s="346" t="s">
        <v>1771</v>
      </c>
      <c r="H292" s="346" t="s">
        <v>1237</v>
      </c>
      <c r="I292" s="346">
        <v>0</v>
      </c>
      <c r="J292" s="346" t="s">
        <v>572</v>
      </c>
      <c r="K292" s="346" t="s">
        <v>1761</v>
      </c>
      <c r="L292" s="346"/>
      <c r="M292" s="346" t="s">
        <v>1761</v>
      </c>
      <c r="N292" s="346">
        <v>0.1</v>
      </c>
      <c r="O292" s="346">
        <v>5.29</v>
      </c>
      <c r="P292" s="346">
        <v>6.04</v>
      </c>
      <c r="Q292" s="346" t="s">
        <v>1765</v>
      </c>
      <c r="R292" s="458">
        <v>44177</v>
      </c>
    </row>
    <row r="293" spans="1:18" x14ac:dyDescent="0.25">
      <c r="A293" s="458">
        <v>44680</v>
      </c>
      <c r="B293" s="346">
        <v>1100000189</v>
      </c>
      <c r="C293" s="346" t="s">
        <v>2187</v>
      </c>
      <c r="D293" s="346" t="s">
        <v>1756</v>
      </c>
      <c r="E293" s="346" t="s">
        <v>1763</v>
      </c>
      <c r="F293" s="346" t="s">
        <v>1758</v>
      </c>
      <c r="G293" s="346" t="s">
        <v>1771</v>
      </c>
      <c r="H293" s="346" t="s">
        <v>1237</v>
      </c>
      <c r="I293" s="346">
        <v>0</v>
      </c>
      <c r="J293" s="346" t="s">
        <v>572</v>
      </c>
      <c r="K293" s="346" t="s">
        <v>1761</v>
      </c>
      <c r="L293" s="346"/>
      <c r="M293" s="346" t="s">
        <v>1761</v>
      </c>
      <c r="N293" s="346">
        <v>0.1</v>
      </c>
      <c r="O293" s="346">
        <v>5.98</v>
      </c>
      <c r="P293" s="346">
        <v>6.73</v>
      </c>
      <c r="Q293" s="346" t="s">
        <v>1762</v>
      </c>
      <c r="R293" s="458">
        <v>1</v>
      </c>
    </row>
    <row r="294" spans="1:18" x14ac:dyDescent="0.25">
      <c r="A294" s="458">
        <v>44680</v>
      </c>
      <c r="B294" s="346">
        <v>1100000195</v>
      </c>
      <c r="C294" s="346" t="s">
        <v>2188</v>
      </c>
      <c r="D294" s="346" t="s">
        <v>1281</v>
      </c>
      <c r="E294" s="346" t="s">
        <v>1757</v>
      </c>
      <c r="F294" s="346" t="s">
        <v>1758</v>
      </c>
      <c r="G294" s="346" t="s">
        <v>1771</v>
      </c>
      <c r="H294" s="346" t="s">
        <v>1237</v>
      </c>
      <c r="I294" s="346">
        <v>3000000</v>
      </c>
      <c r="J294" s="346" t="s">
        <v>572</v>
      </c>
      <c r="K294" s="346" t="s">
        <v>1761</v>
      </c>
      <c r="L294" s="346"/>
      <c r="M294" s="346" t="s">
        <v>1761</v>
      </c>
      <c r="N294" s="346"/>
      <c r="O294" s="346">
        <v>4.75</v>
      </c>
      <c r="P294" s="346">
        <v>5.5</v>
      </c>
      <c r="Q294" s="346" t="s">
        <v>1762</v>
      </c>
      <c r="R294" s="458">
        <v>1</v>
      </c>
    </row>
    <row r="295" spans="1:18" x14ac:dyDescent="0.25">
      <c r="A295" s="458">
        <v>44680</v>
      </c>
      <c r="B295" s="346">
        <v>1100000202</v>
      </c>
      <c r="C295" s="346" t="s">
        <v>2190</v>
      </c>
      <c r="D295" s="346" t="s">
        <v>1756</v>
      </c>
      <c r="E295" s="346" t="s">
        <v>1757</v>
      </c>
      <c r="F295" s="346" t="s">
        <v>1758</v>
      </c>
      <c r="G295" s="346" t="s">
        <v>1771</v>
      </c>
      <c r="H295" s="346" t="s">
        <v>1237</v>
      </c>
      <c r="I295" s="346">
        <v>1882422.31</v>
      </c>
      <c r="J295" s="346" t="s">
        <v>572</v>
      </c>
      <c r="K295" s="346" t="s">
        <v>1761</v>
      </c>
      <c r="L295" s="346"/>
      <c r="M295" s="346" t="s">
        <v>1761</v>
      </c>
      <c r="N295" s="346">
        <v>0.77</v>
      </c>
      <c r="O295" s="346">
        <v>5.6</v>
      </c>
      <c r="P295" s="346">
        <v>6.37</v>
      </c>
      <c r="Q295" s="346" t="s">
        <v>1765</v>
      </c>
      <c r="R295" s="458">
        <v>44352</v>
      </c>
    </row>
    <row r="296" spans="1:18" x14ac:dyDescent="0.25">
      <c r="A296" s="458">
        <v>44680</v>
      </c>
      <c r="B296" s="346">
        <v>1100000192</v>
      </c>
      <c r="C296" s="346" t="s">
        <v>2191</v>
      </c>
      <c r="D296" s="346" t="s">
        <v>1756</v>
      </c>
      <c r="E296" s="346" t="s">
        <v>1757</v>
      </c>
      <c r="F296" s="346" t="s">
        <v>1758</v>
      </c>
      <c r="G296" s="346" t="s">
        <v>1771</v>
      </c>
      <c r="H296" s="346" t="s">
        <v>1237</v>
      </c>
      <c r="I296" s="346">
        <v>3527448</v>
      </c>
      <c r="J296" s="346" t="s">
        <v>572</v>
      </c>
      <c r="K296" s="346" t="s">
        <v>1761</v>
      </c>
      <c r="L296" s="346"/>
      <c r="M296" s="346" t="s">
        <v>1761</v>
      </c>
      <c r="N296" s="346">
        <v>0.1</v>
      </c>
      <c r="O296" s="346">
        <v>7</v>
      </c>
      <c r="P296" s="346">
        <v>7.75</v>
      </c>
      <c r="Q296" s="346" t="s">
        <v>1762</v>
      </c>
      <c r="R296" s="458">
        <v>1</v>
      </c>
    </row>
    <row r="297" spans="1:18" x14ac:dyDescent="0.25">
      <c r="A297" s="458">
        <v>44680</v>
      </c>
      <c r="B297" s="346">
        <v>1100000190</v>
      </c>
      <c r="C297" s="346" t="s">
        <v>2192</v>
      </c>
      <c r="D297" s="346" t="s">
        <v>1756</v>
      </c>
      <c r="E297" s="346" t="s">
        <v>1757</v>
      </c>
      <c r="F297" s="346" t="s">
        <v>1758</v>
      </c>
      <c r="G297" s="346" t="s">
        <v>1771</v>
      </c>
      <c r="H297" s="346" t="s">
        <v>1237</v>
      </c>
      <c r="I297" s="346">
        <v>16000000</v>
      </c>
      <c r="J297" s="346" t="s">
        <v>572</v>
      </c>
      <c r="K297" s="346" t="s">
        <v>1761</v>
      </c>
      <c r="L297" s="346"/>
      <c r="M297" s="346" t="s">
        <v>1761</v>
      </c>
      <c r="N297" s="346">
        <v>0.64</v>
      </c>
      <c r="O297" s="346">
        <v>5.5</v>
      </c>
      <c r="P297" s="346">
        <v>6.25</v>
      </c>
      <c r="Q297" s="346" t="s">
        <v>1765</v>
      </c>
      <c r="R297" s="458">
        <v>44345</v>
      </c>
    </row>
    <row r="298" spans="1:18" x14ac:dyDescent="0.25">
      <c r="A298" s="458">
        <v>44680</v>
      </c>
      <c r="B298" s="346">
        <v>1100000191</v>
      </c>
      <c r="C298" s="346" t="s">
        <v>2193</v>
      </c>
      <c r="D298" s="346" t="s">
        <v>1756</v>
      </c>
      <c r="E298" s="346" t="s">
        <v>1763</v>
      </c>
      <c r="F298" s="346" t="s">
        <v>1758</v>
      </c>
      <c r="G298" s="346" t="s">
        <v>1771</v>
      </c>
      <c r="H298" s="346" t="s">
        <v>1237</v>
      </c>
      <c r="I298" s="346">
        <v>0</v>
      </c>
      <c r="J298" s="346" t="s">
        <v>572</v>
      </c>
      <c r="K298" s="346" t="s">
        <v>1761</v>
      </c>
      <c r="L298" s="346"/>
      <c r="M298" s="346" t="s">
        <v>1761</v>
      </c>
      <c r="N298" s="346">
        <v>0.64</v>
      </c>
      <c r="O298" s="346">
        <v>6.5</v>
      </c>
      <c r="P298" s="346">
        <v>7.25</v>
      </c>
      <c r="Q298" s="346" t="s">
        <v>1765</v>
      </c>
      <c r="R298" s="458">
        <v>44345</v>
      </c>
    </row>
    <row r="299" spans="1:18" x14ac:dyDescent="0.25">
      <c r="A299" s="458">
        <v>44680</v>
      </c>
      <c r="B299" s="346">
        <v>1100000196</v>
      </c>
      <c r="C299" s="346" t="s">
        <v>2194</v>
      </c>
      <c r="D299" s="346" t="s">
        <v>1756</v>
      </c>
      <c r="E299" s="346" t="s">
        <v>1757</v>
      </c>
      <c r="F299" s="346" t="s">
        <v>1758</v>
      </c>
      <c r="G299" s="346" t="s">
        <v>1771</v>
      </c>
      <c r="H299" s="346" t="s">
        <v>1237</v>
      </c>
      <c r="I299" s="346">
        <v>4143361.51</v>
      </c>
      <c r="J299" s="346" t="s">
        <v>572</v>
      </c>
      <c r="K299" s="346" t="s">
        <v>1761</v>
      </c>
      <c r="L299" s="346"/>
      <c r="M299" s="346" t="s">
        <v>1761</v>
      </c>
      <c r="N299" s="346">
        <v>0.1</v>
      </c>
      <c r="O299" s="346">
        <v>6</v>
      </c>
      <c r="P299" s="346">
        <v>6.75</v>
      </c>
      <c r="Q299" s="346" t="s">
        <v>1762</v>
      </c>
      <c r="R299" s="458">
        <v>1</v>
      </c>
    </row>
    <row r="300" spans="1:18" x14ac:dyDescent="0.25">
      <c r="A300" s="458">
        <v>44680</v>
      </c>
      <c r="B300" s="346">
        <v>1100000198</v>
      </c>
      <c r="C300" s="346" t="s">
        <v>2195</v>
      </c>
      <c r="D300" s="346" t="s">
        <v>1756</v>
      </c>
      <c r="E300" s="346" t="s">
        <v>1757</v>
      </c>
      <c r="F300" s="346" t="s">
        <v>1758</v>
      </c>
      <c r="G300" s="346" t="s">
        <v>1771</v>
      </c>
      <c r="H300" s="346" t="s">
        <v>1237</v>
      </c>
      <c r="I300" s="346">
        <v>750000</v>
      </c>
      <c r="J300" s="346" t="s">
        <v>572</v>
      </c>
      <c r="K300" s="346" t="s">
        <v>1761</v>
      </c>
      <c r="L300" s="346"/>
      <c r="M300" s="346" t="s">
        <v>1761</v>
      </c>
      <c r="N300" s="346">
        <v>0.53</v>
      </c>
      <c r="O300" s="346">
        <v>5.95</v>
      </c>
      <c r="P300" s="346">
        <v>6.7</v>
      </c>
      <c r="Q300" s="346" t="s">
        <v>1765</v>
      </c>
      <c r="R300" s="458">
        <v>44352</v>
      </c>
    </row>
    <row r="301" spans="1:18" x14ac:dyDescent="0.25">
      <c r="A301" s="458">
        <v>44680</v>
      </c>
      <c r="B301" s="346">
        <v>1100000199</v>
      </c>
      <c r="C301" s="346" t="s">
        <v>2196</v>
      </c>
      <c r="D301" s="346" t="s">
        <v>1756</v>
      </c>
      <c r="E301" s="346" t="s">
        <v>1757</v>
      </c>
      <c r="F301" s="346" t="s">
        <v>1758</v>
      </c>
      <c r="G301" s="346" t="s">
        <v>1771</v>
      </c>
      <c r="H301" s="346" t="s">
        <v>1237</v>
      </c>
      <c r="I301" s="346">
        <v>552635</v>
      </c>
      <c r="J301" s="346" t="s">
        <v>572</v>
      </c>
      <c r="K301" s="346" t="s">
        <v>1761</v>
      </c>
      <c r="L301" s="346"/>
      <c r="M301" s="346" t="s">
        <v>1761</v>
      </c>
      <c r="N301" s="346">
        <v>0.53</v>
      </c>
      <c r="O301" s="346">
        <v>5.95</v>
      </c>
      <c r="P301" s="346">
        <v>6.7</v>
      </c>
      <c r="Q301" s="346" t="s">
        <v>1765</v>
      </c>
      <c r="R301" s="458">
        <v>44352</v>
      </c>
    </row>
    <row r="302" spans="1:18" x14ac:dyDescent="0.25">
      <c r="A302" s="458">
        <v>44680</v>
      </c>
      <c r="B302" s="346">
        <v>1100000188</v>
      </c>
      <c r="C302" s="346" t="s">
        <v>2197</v>
      </c>
      <c r="D302" s="346" t="s">
        <v>1281</v>
      </c>
      <c r="E302" s="346" t="s">
        <v>1757</v>
      </c>
      <c r="F302" s="346" t="s">
        <v>1758</v>
      </c>
      <c r="G302" s="346" t="s">
        <v>1771</v>
      </c>
      <c r="H302" s="346" t="s">
        <v>1237</v>
      </c>
      <c r="I302" s="346">
        <v>550845</v>
      </c>
      <c r="J302" s="346" t="s">
        <v>572</v>
      </c>
      <c r="K302" s="346" t="s">
        <v>1761</v>
      </c>
      <c r="L302" s="346"/>
      <c r="M302" s="346" t="s">
        <v>1761</v>
      </c>
      <c r="N302" s="346">
        <v>0.5</v>
      </c>
      <c r="O302" s="346">
        <v>4.6500000000000004</v>
      </c>
      <c r="P302" s="346">
        <v>5.4</v>
      </c>
      <c r="Q302" s="346" t="s">
        <v>1765</v>
      </c>
      <c r="R302" s="458">
        <v>44318</v>
      </c>
    </row>
    <row r="303" spans="1:18" x14ac:dyDescent="0.25">
      <c r="A303" s="458">
        <v>44680</v>
      </c>
      <c r="B303" s="346">
        <v>1100000203</v>
      </c>
      <c r="C303" s="346" t="s">
        <v>2189</v>
      </c>
      <c r="D303" s="346" t="s">
        <v>1756</v>
      </c>
      <c r="E303" s="346" t="s">
        <v>1757</v>
      </c>
      <c r="F303" s="346" t="s">
        <v>1758</v>
      </c>
      <c r="G303" s="346" t="s">
        <v>1771</v>
      </c>
      <c r="H303" s="346" t="s">
        <v>1237</v>
      </c>
      <c r="I303" s="346">
        <v>425750.4</v>
      </c>
      <c r="J303" s="346" t="s">
        <v>572</v>
      </c>
      <c r="K303" s="346" t="s">
        <v>1761</v>
      </c>
      <c r="L303" s="346"/>
      <c r="M303" s="346" t="s">
        <v>1761</v>
      </c>
      <c r="N303" s="346">
        <v>0.78</v>
      </c>
      <c r="O303" s="346">
        <v>4.75</v>
      </c>
      <c r="P303" s="346">
        <v>5.53</v>
      </c>
      <c r="Q303" s="346" t="s">
        <v>1765</v>
      </c>
      <c r="R303" s="458">
        <v>44352</v>
      </c>
    </row>
    <row r="304" spans="1:18" x14ac:dyDescent="0.25">
      <c r="A304" s="458">
        <v>44680</v>
      </c>
      <c r="B304" s="346">
        <v>1100000013</v>
      </c>
      <c r="C304" s="346" t="s">
        <v>2186</v>
      </c>
      <c r="D304" s="346" t="s">
        <v>1281</v>
      </c>
      <c r="E304" s="346" t="s">
        <v>1757</v>
      </c>
      <c r="F304" s="346" t="s">
        <v>1770</v>
      </c>
      <c r="G304" s="346" t="s">
        <v>1771</v>
      </c>
      <c r="H304" s="346" t="s">
        <v>1237</v>
      </c>
      <c r="I304" s="346">
        <v>0</v>
      </c>
      <c r="J304" s="346" t="s">
        <v>572</v>
      </c>
      <c r="K304" s="346" t="s">
        <v>1761</v>
      </c>
      <c r="L304" s="346"/>
      <c r="M304" s="346" t="s">
        <v>1761</v>
      </c>
      <c r="N304" s="346">
        <v>0.1</v>
      </c>
      <c r="O304" s="346">
        <v>5.29</v>
      </c>
      <c r="P304" s="346">
        <v>6.04</v>
      </c>
      <c r="Q304" s="346" t="s">
        <v>1765</v>
      </c>
      <c r="R304" s="458">
        <v>44177</v>
      </c>
    </row>
    <row r="305" spans="1:18" x14ac:dyDescent="0.25">
      <c r="A305" s="458">
        <v>44680</v>
      </c>
      <c r="B305" s="346">
        <v>6100000160</v>
      </c>
      <c r="C305" s="346" t="s">
        <v>2198</v>
      </c>
      <c r="D305" s="346" t="s">
        <v>1281</v>
      </c>
      <c r="E305" s="346" t="s">
        <v>1757</v>
      </c>
      <c r="F305" s="346" t="s">
        <v>1770</v>
      </c>
      <c r="G305" s="346" t="s">
        <v>1772</v>
      </c>
      <c r="H305" s="346" t="s">
        <v>1773</v>
      </c>
      <c r="I305" s="346">
        <v>2915288.13</v>
      </c>
      <c r="J305" s="346" t="s">
        <v>572</v>
      </c>
      <c r="K305" s="346" t="s">
        <v>1761</v>
      </c>
      <c r="L305" s="346"/>
      <c r="M305" s="346" t="s">
        <v>1761</v>
      </c>
      <c r="N305" s="346">
        <v>0.1</v>
      </c>
      <c r="O305" s="346">
        <v>6.15</v>
      </c>
      <c r="P305" s="346">
        <v>6.9</v>
      </c>
      <c r="Q305" s="346" t="s">
        <v>1762</v>
      </c>
      <c r="R305" s="458">
        <v>1</v>
      </c>
    </row>
    <row r="306" spans="1:18" x14ac:dyDescent="0.25">
      <c r="A306" s="458">
        <v>44680</v>
      </c>
      <c r="B306" s="346">
        <v>6100000155</v>
      </c>
      <c r="C306" s="346" t="s">
        <v>2091</v>
      </c>
      <c r="D306" s="346" t="s">
        <v>1281</v>
      </c>
      <c r="E306" s="346" t="s">
        <v>1757</v>
      </c>
      <c r="F306" s="346" t="s">
        <v>1770</v>
      </c>
      <c r="G306" s="346" t="s">
        <v>1772</v>
      </c>
      <c r="H306" s="346" t="s">
        <v>1773</v>
      </c>
      <c r="I306" s="346">
        <v>169763.7</v>
      </c>
      <c r="J306" s="346" t="s">
        <v>572</v>
      </c>
      <c r="K306" s="346" t="s">
        <v>1761</v>
      </c>
      <c r="L306" s="346"/>
      <c r="M306" s="346" t="s">
        <v>1761</v>
      </c>
      <c r="N306" s="346">
        <v>0.85</v>
      </c>
      <c r="O306" s="346">
        <v>5.62</v>
      </c>
      <c r="P306" s="346">
        <v>6.47</v>
      </c>
      <c r="Q306" s="346" t="s">
        <v>1762</v>
      </c>
      <c r="R306" s="458">
        <v>1</v>
      </c>
    </row>
    <row r="307" spans="1:18" x14ac:dyDescent="0.25">
      <c r="A307" s="458">
        <v>44680</v>
      </c>
      <c r="B307" s="346">
        <v>6100000156</v>
      </c>
      <c r="C307" s="346" t="s">
        <v>2093</v>
      </c>
      <c r="D307" s="346" t="s">
        <v>1281</v>
      </c>
      <c r="E307" s="346" t="s">
        <v>1757</v>
      </c>
      <c r="F307" s="346" t="s">
        <v>1770</v>
      </c>
      <c r="G307" s="346" t="s">
        <v>1772</v>
      </c>
      <c r="H307" s="346" t="s">
        <v>1773</v>
      </c>
      <c r="I307" s="346">
        <v>42747.45</v>
      </c>
      <c r="J307" s="346" t="s">
        <v>572</v>
      </c>
      <c r="K307" s="346" t="s">
        <v>1761</v>
      </c>
      <c r="L307" s="346"/>
      <c r="M307" s="346" t="s">
        <v>1761</v>
      </c>
      <c r="N307" s="346">
        <v>0.85</v>
      </c>
      <c r="O307" s="346">
        <v>5.62</v>
      </c>
      <c r="P307" s="346">
        <v>6.47</v>
      </c>
      <c r="Q307" s="346" t="s">
        <v>1762</v>
      </c>
      <c r="R307" s="458">
        <v>1</v>
      </c>
    </row>
    <row r="308" spans="1:18" x14ac:dyDescent="0.25">
      <c r="A308" s="458">
        <v>44680</v>
      </c>
      <c r="B308" s="346">
        <v>6100000157</v>
      </c>
      <c r="C308" s="346" t="s">
        <v>2088</v>
      </c>
      <c r="D308" s="346" t="s">
        <v>1281</v>
      </c>
      <c r="E308" s="346" t="s">
        <v>1757</v>
      </c>
      <c r="F308" s="346" t="s">
        <v>1770</v>
      </c>
      <c r="G308" s="346" t="s">
        <v>1772</v>
      </c>
      <c r="H308" s="346" t="s">
        <v>1773</v>
      </c>
      <c r="I308" s="346">
        <v>383832.21</v>
      </c>
      <c r="J308" s="346" t="s">
        <v>572</v>
      </c>
      <c r="K308" s="346" t="s">
        <v>1761</v>
      </c>
      <c r="L308" s="346"/>
      <c r="M308" s="346" t="s">
        <v>1761</v>
      </c>
      <c r="N308" s="346">
        <v>0.85</v>
      </c>
      <c r="O308" s="346">
        <v>5.62</v>
      </c>
      <c r="P308" s="346">
        <v>6.47</v>
      </c>
      <c r="Q308" s="346" t="s">
        <v>1762</v>
      </c>
      <c r="R308" s="458">
        <v>1</v>
      </c>
    </row>
    <row r="309" spans="1:18" x14ac:dyDescent="0.25">
      <c r="A309" s="458">
        <v>44680</v>
      </c>
      <c r="B309" s="346">
        <v>6100000162</v>
      </c>
      <c r="C309" s="346" t="s">
        <v>2087</v>
      </c>
      <c r="D309" s="346" t="s">
        <v>1281</v>
      </c>
      <c r="E309" s="346" t="s">
        <v>1757</v>
      </c>
      <c r="F309" s="346" t="s">
        <v>1770</v>
      </c>
      <c r="G309" s="346" t="s">
        <v>1772</v>
      </c>
      <c r="H309" s="346" t="s">
        <v>1773</v>
      </c>
      <c r="I309" s="346">
        <v>85693.16</v>
      </c>
      <c r="J309" s="346" t="s">
        <v>572</v>
      </c>
      <c r="K309" s="346" t="s">
        <v>1761</v>
      </c>
      <c r="L309" s="346"/>
      <c r="M309" s="346" t="s">
        <v>1761</v>
      </c>
      <c r="N309" s="346">
        <v>0.85</v>
      </c>
      <c r="O309" s="346">
        <v>5.62</v>
      </c>
      <c r="P309" s="346">
        <v>6.47</v>
      </c>
      <c r="Q309" s="346" t="s">
        <v>1762</v>
      </c>
      <c r="R309" s="458">
        <v>1</v>
      </c>
    </row>
    <row r="310" spans="1:18" x14ac:dyDescent="0.25">
      <c r="A310" s="458">
        <v>44680</v>
      </c>
      <c r="B310" s="346">
        <v>6100000163</v>
      </c>
      <c r="C310" s="346" t="s">
        <v>2086</v>
      </c>
      <c r="D310" s="346" t="s">
        <v>1281</v>
      </c>
      <c r="E310" s="346" t="s">
        <v>1757</v>
      </c>
      <c r="F310" s="346" t="s">
        <v>1770</v>
      </c>
      <c r="G310" s="346" t="s">
        <v>1772</v>
      </c>
      <c r="H310" s="346" t="s">
        <v>1773</v>
      </c>
      <c r="I310" s="346">
        <v>147522.12</v>
      </c>
      <c r="J310" s="346" t="s">
        <v>572</v>
      </c>
      <c r="K310" s="346" t="s">
        <v>1761</v>
      </c>
      <c r="L310" s="346"/>
      <c r="M310" s="346" t="s">
        <v>1761</v>
      </c>
      <c r="N310" s="346">
        <v>0.85</v>
      </c>
      <c r="O310" s="346">
        <v>5.62</v>
      </c>
      <c r="P310" s="346">
        <v>6.47</v>
      </c>
      <c r="Q310" s="346" t="s">
        <v>1762</v>
      </c>
      <c r="R310" s="458">
        <v>1</v>
      </c>
    </row>
    <row r="311" spans="1:18" x14ac:dyDescent="0.25">
      <c r="A311" s="458">
        <v>44680</v>
      </c>
      <c r="B311" s="346">
        <v>6100000164</v>
      </c>
      <c r="C311" s="346" t="s">
        <v>2091</v>
      </c>
      <c r="D311" s="346" t="s">
        <v>1281</v>
      </c>
      <c r="E311" s="346" t="s">
        <v>1757</v>
      </c>
      <c r="F311" s="346" t="s">
        <v>1770</v>
      </c>
      <c r="G311" s="346" t="s">
        <v>1772</v>
      </c>
      <c r="H311" s="346" t="s">
        <v>1773</v>
      </c>
      <c r="I311" s="346">
        <v>140222.88</v>
      </c>
      <c r="J311" s="346" t="s">
        <v>572</v>
      </c>
      <c r="K311" s="346" t="s">
        <v>1761</v>
      </c>
      <c r="L311" s="346"/>
      <c r="M311" s="346" t="s">
        <v>1761</v>
      </c>
      <c r="N311" s="346">
        <v>0.85</v>
      </c>
      <c r="O311" s="346">
        <v>5.62</v>
      </c>
      <c r="P311" s="346">
        <v>6.47</v>
      </c>
      <c r="Q311" s="346" t="s">
        <v>1762</v>
      </c>
      <c r="R311" s="458">
        <v>1</v>
      </c>
    </row>
    <row r="312" spans="1:18" x14ac:dyDescent="0.25">
      <c r="A312" s="458">
        <v>44680</v>
      </c>
      <c r="B312" s="346">
        <v>6100000158</v>
      </c>
      <c r="C312" s="346" t="s">
        <v>2092</v>
      </c>
      <c r="D312" s="346" t="s">
        <v>1281</v>
      </c>
      <c r="E312" s="346" t="s">
        <v>1757</v>
      </c>
      <c r="F312" s="346" t="s">
        <v>1770</v>
      </c>
      <c r="G312" s="346" t="s">
        <v>1772</v>
      </c>
      <c r="H312" s="346" t="s">
        <v>1773</v>
      </c>
      <c r="I312" s="346">
        <v>215347.5</v>
      </c>
      <c r="J312" s="346" t="s">
        <v>572</v>
      </c>
      <c r="K312" s="346" t="s">
        <v>1761</v>
      </c>
      <c r="L312" s="346"/>
      <c r="M312" s="346" t="s">
        <v>1761</v>
      </c>
      <c r="N312" s="346">
        <v>0.85</v>
      </c>
      <c r="O312" s="346">
        <v>5.62</v>
      </c>
      <c r="P312" s="346">
        <v>6.47</v>
      </c>
      <c r="Q312" s="346" t="s">
        <v>1762</v>
      </c>
      <c r="R312" s="458">
        <v>1</v>
      </c>
    </row>
    <row r="313" spans="1:18" x14ac:dyDescent="0.25">
      <c r="A313" s="458">
        <v>44680</v>
      </c>
      <c r="B313" s="346">
        <v>6100000161</v>
      </c>
      <c r="C313" s="346" t="s">
        <v>2199</v>
      </c>
      <c r="D313" s="346" t="s">
        <v>1281</v>
      </c>
      <c r="E313" s="346" t="s">
        <v>1763</v>
      </c>
      <c r="F313" s="346" t="s">
        <v>1770</v>
      </c>
      <c r="G313" s="346" t="s">
        <v>1772</v>
      </c>
      <c r="H313" s="346" t="s">
        <v>1773</v>
      </c>
      <c r="I313" s="346">
        <v>0</v>
      </c>
      <c r="J313" s="346" t="s">
        <v>572</v>
      </c>
      <c r="K313" s="346" t="s">
        <v>1761</v>
      </c>
      <c r="L313" s="346"/>
      <c r="M313" s="346" t="s">
        <v>1761</v>
      </c>
      <c r="N313" s="346">
        <v>0.1</v>
      </c>
      <c r="O313" s="346">
        <v>6.15</v>
      </c>
      <c r="P313" s="346">
        <v>6.9</v>
      </c>
      <c r="Q313" s="346" t="s">
        <v>1762</v>
      </c>
      <c r="R313" s="458">
        <v>1</v>
      </c>
    </row>
    <row r="314" spans="1:18" x14ac:dyDescent="0.25">
      <c r="A314" s="458">
        <v>44680</v>
      </c>
      <c r="B314" s="346">
        <v>2100000169</v>
      </c>
      <c r="C314" s="346" t="s">
        <v>2207</v>
      </c>
      <c r="D314" s="346" t="s">
        <v>1281</v>
      </c>
      <c r="E314" s="346" t="s">
        <v>1757</v>
      </c>
      <c r="F314" s="346" t="s">
        <v>1758</v>
      </c>
      <c r="G314" s="346" t="s">
        <v>1774</v>
      </c>
      <c r="H314" s="346" t="s">
        <v>1245</v>
      </c>
      <c r="I314" s="346">
        <v>1982344.54</v>
      </c>
      <c r="J314" s="346" t="s">
        <v>572</v>
      </c>
      <c r="K314" s="346" t="s">
        <v>1761</v>
      </c>
      <c r="L314" s="346"/>
      <c r="M314" s="346" t="s">
        <v>1761</v>
      </c>
      <c r="N314" s="346">
        <v>0.25</v>
      </c>
      <c r="O314" s="346">
        <v>6.69</v>
      </c>
      <c r="P314" s="346">
        <v>7.44</v>
      </c>
      <c r="Q314" s="346" t="s">
        <v>1765</v>
      </c>
      <c r="R314" s="458">
        <v>44318</v>
      </c>
    </row>
    <row r="315" spans="1:18" x14ac:dyDescent="0.25">
      <c r="A315" s="458">
        <v>44680</v>
      </c>
      <c r="B315" s="346">
        <v>2100000170</v>
      </c>
      <c r="C315" s="346" t="s">
        <v>2208</v>
      </c>
      <c r="D315" s="346" t="s">
        <v>1281</v>
      </c>
      <c r="E315" s="346" t="s">
        <v>1757</v>
      </c>
      <c r="F315" s="346" t="s">
        <v>1758</v>
      </c>
      <c r="G315" s="346" t="s">
        <v>1774</v>
      </c>
      <c r="H315" s="346" t="s">
        <v>1245</v>
      </c>
      <c r="I315" s="346">
        <v>8910180.9700000007</v>
      </c>
      <c r="J315" s="346" t="s">
        <v>572</v>
      </c>
      <c r="K315" s="346" t="s">
        <v>1761</v>
      </c>
      <c r="L315" s="346"/>
      <c r="M315" s="346" t="s">
        <v>1761</v>
      </c>
      <c r="N315" s="346">
        <v>0.25</v>
      </c>
      <c r="O315" s="346">
        <v>6.69</v>
      </c>
      <c r="P315" s="346">
        <v>7.44</v>
      </c>
      <c r="Q315" s="346" t="s">
        <v>1765</v>
      </c>
      <c r="R315" s="458">
        <v>44318</v>
      </c>
    </row>
    <row r="316" spans="1:18" x14ac:dyDescent="0.25">
      <c r="A316" s="458">
        <v>44680</v>
      </c>
      <c r="B316" s="346">
        <v>2100000171</v>
      </c>
      <c r="C316" s="346" t="s">
        <v>2209</v>
      </c>
      <c r="D316" s="346" t="s">
        <v>1281</v>
      </c>
      <c r="E316" s="346" t="s">
        <v>1757</v>
      </c>
      <c r="F316" s="346" t="s">
        <v>1758</v>
      </c>
      <c r="G316" s="346" t="s">
        <v>1774</v>
      </c>
      <c r="H316" s="346" t="s">
        <v>1245</v>
      </c>
      <c r="I316" s="346">
        <v>4413864.16</v>
      </c>
      <c r="J316" s="346" t="s">
        <v>572</v>
      </c>
      <c r="K316" s="346" t="s">
        <v>1761</v>
      </c>
      <c r="L316" s="346"/>
      <c r="M316" s="346" t="s">
        <v>1761</v>
      </c>
      <c r="N316" s="346">
        <v>0.25</v>
      </c>
      <c r="O316" s="346">
        <v>6.69</v>
      </c>
      <c r="P316" s="346">
        <v>7.44</v>
      </c>
      <c r="Q316" s="346" t="s">
        <v>1765</v>
      </c>
      <c r="R316" s="458">
        <v>44318</v>
      </c>
    </row>
    <row r="317" spans="1:18" x14ac:dyDescent="0.25">
      <c r="A317" s="458">
        <v>44680</v>
      </c>
      <c r="B317" s="346">
        <v>2100000172</v>
      </c>
      <c r="C317" s="346" t="s">
        <v>2210</v>
      </c>
      <c r="D317" s="346" t="s">
        <v>1281</v>
      </c>
      <c r="E317" s="346" t="s">
        <v>1757</v>
      </c>
      <c r="F317" s="346" t="s">
        <v>1758</v>
      </c>
      <c r="G317" s="346" t="s">
        <v>1774</v>
      </c>
      <c r="H317" s="346" t="s">
        <v>1245</v>
      </c>
      <c r="I317" s="346">
        <v>9752713.6199999992</v>
      </c>
      <c r="J317" s="346" t="s">
        <v>572</v>
      </c>
      <c r="K317" s="346" t="s">
        <v>1761</v>
      </c>
      <c r="L317" s="346"/>
      <c r="M317" s="346" t="s">
        <v>1761</v>
      </c>
      <c r="N317" s="346">
        <v>0.25</v>
      </c>
      <c r="O317" s="346">
        <v>6.69</v>
      </c>
      <c r="P317" s="346">
        <v>7.44</v>
      </c>
      <c r="Q317" s="346" t="s">
        <v>1765</v>
      </c>
      <c r="R317" s="458">
        <v>44318</v>
      </c>
    </row>
    <row r="318" spans="1:18" x14ac:dyDescent="0.25">
      <c r="A318" s="458">
        <v>44680</v>
      </c>
      <c r="B318" s="346">
        <v>2100000174</v>
      </c>
      <c r="C318" s="346" t="s">
        <v>2211</v>
      </c>
      <c r="D318" s="346" t="s">
        <v>1281</v>
      </c>
      <c r="E318" s="346" t="s">
        <v>1757</v>
      </c>
      <c r="F318" s="346" t="s">
        <v>1758</v>
      </c>
      <c r="G318" s="346" t="s">
        <v>1774</v>
      </c>
      <c r="H318" s="346" t="s">
        <v>1245</v>
      </c>
      <c r="I318" s="346">
        <v>5006222.63</v>
      </c>
      <c r="J318" s="346" t="s">
        <v>572</v>
      </c>
      <c r="K318" s="346" t="s">
        <v>1761</v>
      </c>
      <c r="L318" s="346"/>
      <c r="M318" s="346" t="s">
        <v>1761</v>
      </c>
      <c r="N318" s="346">
        <v>0.25</v>
      </c>
      <c r="O318" s="346">
        <v>6.69</v>
      </c>
      <c r="P318" s="346">
        <v>7.44</v>
      </c>
      <c r="Q318" s="346" t="s">
        <v>1765</v>
      </c>
      <c r="R318" s="458">
        <v>44318</v>
      </c>
    </row>
    <row r="319" spans="1:18" x14ac:dyDescent="0.25">
      <c r="A319" s="458">
        <v>44680</v>
      </c>
      <c r="B319" s="346">
        <v>2100000175</v>
      </c>
      <c r="C319" s="346" t="s">
        <v>2212</v>
      </c>
      <c r="D319" s="346" t="s">
        <v>1281</v>
      </c>
      <c r="E319" s="346" t="s">
        <v>1757</v>
      </c>
      <c r="F319" s="346" t="s">
        <v>1758</v>
      </c>
      <c r="G319" s="346" t="s">
        <v>1774</v>
      </c>
      <c r="H319" s="346" t="s">
        <v>1245</v>
      </c>
      <c r="I319" s="346">
        <v>7581953.9199999999</v>
      </c>
      <c r="J319" s="346" t="s">
        <v>572</v>
      </c>
      <c r="K319" s="346" t="s">
        <v>1761</v>
      </c>
      <c r="L319" s="346"/>
      <c r="M319" s="346" t="s">
        <v>1761</v>
      </c>
      <c r="N319" s="346">
        <v>0.25</v>
      </c>
      <c r="O319" s="346">
        <v>6.69</v>
      </c>
      <c r="P319" s="346">
        <v>7.44</v>
      </c>
      <c r="Q319" s="346" t="s">
        <v>1765</v>
      </c>
      <c r="R319" s="458">
        <v>44318</v>
      </c>
    </row>
    <row r="320" spans="1:18" x14ac:dyDescent="0.25">
      <c r="A320" s="458">
        <v>44680</v>
      </c>
      <c r="B320" s="346">
        <v>2100000207</v>
      </c>
      <c r="C320" s="346" t="s">
        <v>2213</v>
      </c>
      <c r="D320" s="346" t="s">
        <v>1756</v>
      </c>
      <c r="E320" s="346" t="s">
        <v>1757</v>
      </c>
      <c r="F320" s="346" t="s">
        <v>1758</v>
      </c>
      <c r="G320" s="346" t="s">
        <v>1774</v>
      </c>
      <c r="H320" s="346" t="s">
        <v>1245</v>
      </c>
      <c r="I320" s="346">
        <v>2655480.42</v>
      </c>
      <c r="J320" s="346" t="s">
        <v>572</v>
      </c>
      <c r="K320" s="346" t="s">
        <v>1761</v>
      </c>
      <c r="L320" s="346"/>
      <c r="M320" s="346" t="s">
        <v>1761</v>
      </c>
      <c r="N320" s="346">
        <v>0.78</v>
      </c>
      <c r="O320" s="346">
        <v>6.5</v>
      </c>
      <c r="P320" s="346">
        <v>7.28</v>
      </c>
      <c r="Q320" s="346" t="s">
        <v>1765</v>
      </c>
      <c r="R320" s="458">
        <v>44352</v>
      </c>
    </row>
    <row r="321" spans="1:18" x14ac:dyDescent="0.25">
      <c r="A321" s="458">
        <v>44680</v>
      </c>
      <c r="B321" s="346">
        <v>2100000177</v>
      </c>
      <c r="C321" s="346" t="s">
        <v>2216</v>
      </c>
      <c r="D321" s="346" t="s">
        <v>1756</v>
      </c>
      <c r="E321" s="346" t="s">
        <v>1757</v>
      </c>
      <c r="F321" s="346" t="s">
        <v>1758</v>
      </c>
      <c r="G321" s="346" t="s">
        <v>1774</v>
      </c>
      <c r="H321" s="346" t="s">
        <v>1245</v>
      </c>
      <c r="I321" s="346">
        <v>12463804.869999999</v>
      </c>
      <c r="J321" s="346" t="s">
        <v>572</v>
      </c>
      <c r="K321" s="346" t="s">
        <v>1761</v>
      </c>
      <c r="L321" s="346"/>
      <c r="M321" s="346" t="s">
        <v>1761</v>
      </c>
      <c r="N321" s="346">
        <v>0.79</v>
      </c>
      <c r="O321" s="346">
        <v>6.83</v>
      </c>
      <c r="P321" s="346">
        <v>7.62</v>
      </c>
      <c r="Q321" s="346" t="s">
        <v>1765</v>
      </c>
      <c r="R321" s="458">
        <v>44318</v>
      </c>
    </row>
    <row r="322" spans="1:18" x14ac:dyDescent="0.25">
      <c r="A322" s="458">
        <v>44680</v>
      </c>
      <c r="B322" s="346">
        <v>2100000180</v>
      </c>
      <c r="C322" s="346" t="s">
        <v>2217</v>
      </c>
      <c r="D322" s="346" t="s">
        <v>1756</v>
      </c>
      <c r="E322" s="346" t="s">
        <v>1757</v>
      </c>
      <c r="F322" s="346" t="s">
        <v>1758</v>
      </c>
      <c r="G322" s="346" t="s">
        <v>1774</v>
      </c>
      <c r="H322" s="346" t="s">
        <v>1245</v>
      </c>
      <c r="I322" s="346">
        <v>4956171.57</v>
      </c>
      <c r="J322" s="346" t="s">
        <v>572</v>
      </c>
      <c r="K322" s="346" t="s">
        <v>1761</v>
      </c>
      <c r="L322" s="346"/>
      <c r="M322" s="346" t="s">
        <v>1761</v>
      </c>
      <c r="N322" s="346">
        <v>0.8</v>
      </c>
      <c r="O322" s="346">
        <v>5.03</v>
      </c>
      <c r="P322" s="346">
        <v>5.83</v>
      </c>
      <c r="Q322" s="346" t="s">
        <v>1765</v>
      </c>
      <c r="R322" s="458">
        <v>44318</v>
      </c>
    </row>
    <row r="323" spans="1:18" x14ac:dyDescent="0.25">
      <c r="A323" s="458">
        <v>44680</v>
      </c>
      <c r="B323" s="346">
        <v>2100000179</v>
      </c>
      <c r="C323" s="346" t="s">
        <v>2221</v>
      </c>
      <c r="D323" s="346" t="s">
        <v>1756</v>
      </c>
      <c r="E323" s="346" t="s">
        <v>1757</v>
      </c>
      <c r="F323" s="346" t="s">
        <v>1758</v>
      </c>
      <c r="G323" s="346" t="s">
        <v>1774</v>
      </c>
      <c r="H323" s="346" t="s">
        <v>1245</v>
      </c>
      <c r="I323" s="346">
        <v>18178040.670000002</v>
      </c>
      <c r="J323" s="346" t="s">
        <v>572</v>
      </c>
      <c r="K323" s="346" t="s">
        <v>1761</v>
      </c>
      <c r="L323" s="346"/>
      <c r="M323" s="346" t="s">
        <v>1761</v>
      </c>
      <c r="N323" s="346">
        <v>0.36</v>
      </c>
      <c r="O323" s="346">
        <v>6.5</v>
      </c>
      <c r="P323" s="346">
        <v>7.25</v>
      </c>
      <c r="Q323" s="346" t="s">
        <v>1765</v>
      </c>
      <c r="R323" s="458">
        <v>44318</v>
      </c>
    </row>
    <row r="324" spans="1:18" x14ac:dyDescent="0.25">
      <c r="A324" s="458">
        <v>44680</v>
      </c>
      <c r="B324" s="346">
        <v>2100000191</v>
      </c>
      <c r="C324" s="346" t="s">
        <v>2222</v>
      </c>
      <c r="D324" s="346" t="s">
        <v>1756</v>
      </c>
      <c r="E324" s="346" t="s">
        <v>1763</v>
      </c>
      <c r="F324" s="346" t="s">
        <v>1758</v>
      </c>
      <c r="G324" s="346" t="s">
        <v>1774</v>
      </c>
      <c r="H324" s="346" t="s">
        <v>1245</v>
      </c>
      <c r="I324" s="346">
        <v>0</v>
      </c>
      <c r="J324" s="346" t="s">
        <v>572</v>
      </c>
      <c r="K324" s="346" t="s">
        <v>1761</v>
      </c>
      <c r="L324" s="346"/>
      <c r="M324" s="346" t="s">
        <v>1761</v>
      </c>
      <c r="N324" s="346">
        <v>0.1</v>
      </c>
      <c r="O324" s="346">
        <v>6.75</v>
      </c>
      <c r="P324" s="346">
        <v>7.5</v>
      </c>
      <c r="Q324" s="346" t="s">
        <v>1762</v>
      </c>
      <c r="R324" s="458">
        <v>1</v>
      </c>
    </row>
    <row r="325" spans="1:18" x14ac:dyDescent="0.25">
      <c r="A325" s="458">
        <v>44680</v>
      </c>
      <c r="B325" s="346">
        <v>2100000206</v>
      </c>
      <c r="C325" s="346" t="s">
        <v>2223</v>
      </c>
      <c r="D325" s="346" t="s">
        <v>1756</v>
      </c>
      <c r="E325" s="346" t="s">
        <v>1757</v>
      </c>
      <c r="F325" s="346" t="s">
        <v>1758</v>
      </c>
      <c r="G325" s="346" t="s">
        <v>1774</v>
      </c>
      <c r="H325" s="346" t="s">
        <v>1245</v>
      </c>
      <c r="I325" s="346">
        <v>2518697.0099999998</v>
      </c>
      <c r="J325" s="346" t="s">
        <v>572</v>
      </c>
      <c r="K325" s="346" t="s">
        <v>1761</v>
      </c>
      <c r="L325" s="346"/>
      <c r="M325" s="346" t="s">
        <v>1761</v>
      </c>
      <c r="N325" s="346">
        <v>0.9</v>
      </c>
      <c r="O325" s="346">
        <v>5.5</v>
      </c>
      <c r="P325" s="346">
        <v>6.4</v>
      </c>
      <c r="Q325" s="346" t="s">
        <v>1765</v>
      </c>
      <c r="R325" s="458">
        <v>44352</v>
      </c>
    </row>
    <row r="326" spans="1:18" x14ac:dyDescent="0.25">
      <c r="A326" s="458">
        <v>44680</v>
      </c>
      <c r="B326" s="346">
        <v>2100000202</v>
      </c>
      <c r="C326" s="346" t="s">
        <v>2224</v>
      </c>
      <c r="D326" s="346" t="s">
        <v>1756</v>
      </c>
      <c r="E326" s="346" t="s">
        <v>1757</v>
      </c>
      <c r="F326" s="346" t="s">
        <v>1758</v>
      </c>
      <c r="G326" s="346" t="s">
        <v>1774</v>
      </c>
      <c r="H326" s="346" t="s">
        <v>1245</v>
      </c>
      <c r="I326" s="346">
        <v>41129.89</v>
      </c>
      <c r="J326" s="346" t="s">
        <v>572</v>
      </c>
      <c r="K326" s="346" t="s">
        <v>1761</v>
      </c>
      <c r="L326" s="346"/>
      <c r="M326" s="346" t="s">
        <v>1761</v>
      </c>
      <c r="N326" s="346">
        <v>0.1</v>
      </c>
      <c r="O326" s="346">
        <v>6.48</v>
      </c>
      <c r="P326" s="346">
        <v>7.23</v>
      </c>
      <c r="Q326" s="346" t="s">
        <v>1762</v>
      </c>
      <c r="R326" s="458">
        <v>1</v>
      </c>
    </row>
    <row r="327" spans="1:18" x14ac:dyDescent="0.25">
      <c r="A327" s="458">
        <v>44680</v>
      </c>
      <c r="B327" s="346">
        <v>2100000187</v>
      </c>
      <c r="C327" s="346" t="s">
        <v>2219</v>
      </c>
      <c r="D327" s="346" t="s">
        <v>1756</v>
      </c>
      <c r="E327" s="346" t="s">
        <v>1757</v>
      </c>
      <c r="F327" s="346" t="s">
        <v>1758</v>
      </c>
      <c r="G327" s="346" t="s">
        <v>1774</v>
      </c>
      <c r="H327" s="346" t="s">
        <v>1245</v>
      </c>
      <c r="I327" s="346">
        <v>20821507.43</v>
      </c>
      <c r="J327" s="346" t="s">
        <v>572</v>
      </c>
      <c r="K327" s="346" t="s">
        <v>1761</v>
      </c>
      <c r="L327" s="346"/>
      <c r="M327" s="346" t="s">
        <v>1761</v>
      </c>
      <c r="N327" s="346">
        <v>0.6</v>
      </c>
      <c r="O327" s="346">
        <v>9.34</v>
      </c>
      <c r="P327" s="346">
        <v>10.09</v>
      </c>
      <c r="Q327" s="346" t="s">
        <v>1765</v>
      </c>
      <c r="R327" s="458">
        <v>44318</v>
      </c>
    </row>
    <row r="328" spans="1:18" x14ac:dyDescent="0.25">
      <c r="A328" s="458">
        <v>44680</v>
      </c>
      <c r="B328" s="346">
        <v>2100000208</v>
      </c>
      <c r="C328" s="346" t="s">
        <v>2215</v>
      </c>
      <c r="D328" s="346" t="s">
        <v>1756</v>
      </c>
      <c r="E328" s="346" t="s">
        <v>1757</v>
      </c>
      <c r="F328" s="346" t="s">
        <v>1758</v>
      </c>
      <c r="G328" s="346" t="s">
        <v>1774</v>
      </c>
      <c r="H328" s="346" t="s">
        <v>1245</v>
      </c>
      <c r="I328" s="346">
        <v>598505.03</v>
      </c>
      <c r="J328" s="346" t="s">
        <v>572</v>
      </c>
      <c r="K328" s="346" t="s">
        <v>1761</v>
      </c>
      <c r="L328" s="346"/>
      <c r="M328" s="346" t="s">
        <v>1761</v>
      </c>
      <c r="N328" s="346">
        <v>0.78</v>
      </c>
      <c r="O328" s="346">
        <v>7</v>
      </c>
      <c r="P328" s="346">
        <v>7.78</v>
      </c>
      <c r="Q328" s="346" t="s">
        <v>1765</v>
      </c>
      <c r="R328" s="458">
        <v>44352</v>
      </c>
    </row>
    <row r="329" spans="1:18" x14ac:dyDescent="0.25">
      <c r="A329" s="458">
        <v>44680</v>
      </c>
      <c r="B329" s="346">
        <v>2100000194</v>
      </c>
      <c r="C329" s="346" t="s">
        <v>2214</v>
      </c>
      <c r="D329" s="346" t="s">
        <v>1756</v>
      </c>
      <c r="E329" s="346" t="s">
        <v>1763</v>
      </c>
      <c r="F329" s="346" t="s">
        <v>1758</v>
      </c>
      <c r="G329" s="346" t="s">
        <v>1774</v>
      </c>
      <c r="H329" s="346" t="s">
        <v>1245</v>
      </c>
      <c r="I329" s="346">
        <v>0</v>
      </c>
      <c r="J329" s="346" t="s">
        <v>572</v>
      </c>
      <c r="K329" s="346" t="s">
        <v>1761</v>
      </c>
      <c r="L329" s="346"/>
      <c r="M329" s="346" t="s">
        <v>1761</v>
      </c>
      <c r="N329" s="346">
        <v>0.1</v>
      </c>
      <c r="O329" s="346">
        <v>7.25</v>
      </c>
      <c r="P329" s="346">
        <v>8</v>
      </c>
      <c r="Q329" s="346" t="s">
        <v>1762</v>
      </c>
      <c r="R329" s="458">
        <v>1</v>
      </c>
    </row>
    <row r="330" spans="1:18" x14ac:dyDescent="0.25">
      <c r="A330" s="458">
        <v>44680</v>
      </c>
      <c r="B330" s="346">
        <v>2100000182</v>
      </c>
      <c r="C330" s="346" t="s">
        <v>2220</v>
      </c>
      <c r="D330" s="346" t="s">
        <v>1756</v>
      </c>
      <c r="E330" s="346" t="s">
        <v>1757</v>
      </c>
      <c r="F330" s="346" t="s">
        <v>1758</v>
      </c>
      <c r="G330" s="346" t="s">
        <v>1774</v>
      </c>
      <c r="H330" s="346" t="s">
        <v>1245</v>
      </c>
      <c r="I330" s="346">
        <v>2028146.19</v>
      </c>
      <c r="J330" s="346" t="s">
        <v>572</v>
      </c>
      <c r="K330" s="346" t="s">
        <v>1761</v>
      </c>
      <c r="L330" s="346"/>
      <c r="M330" s="346" t="s">
        <v>1761</v>
      </c>
      <c r="N330" s="346">
        <v>0.79</v>
      </c>
      <c r="O330" s="346">
        <v>6.68</v>
      </c>
      <c r="P330" s="346">
        <v>7.47</v>
      </c>
      <c r="Q330" s="346" t="s">
        <v>1765</v>
      </c>
      <c r="R330" s="458">
        <v>44318</v>
      </c>
    </row>
    <row r="331" spans="1:18" x14ac:dyDescent="0.25">
      <c r="A331" s="458">
        <v>44680</v>
      </c>
      <c r="B331" s="346">
        <v>2100000186</v>
      </c>
      <c r="C331" s="346" t="s">
        <v>2204</v>
      </c>
      <c r="D331" s="346" t="s">
        <v>1756</v>
      </c>
      <c r="E331" s="346" t="s">
        <v>1757</v>
      </c>
      <c r="F331" s="346" t="s">
        <v>1758</v>
      </c>
      <c r="G331" s="346" t="s">
        <v>1774</v>
      </c>
      <c r="H331" s="346" t="s">
        <v>1245</v>
      </c>
      <c r="I331" s="346">
        <v>24546877.289999999</v>
      </c>
      <c r="J331" s="346" t="s">
        <v>572</v>
      </c>
      <c r="K331" s="346" t="s">
        <v>1761</v>
      </c>
      <c r="L331" s="346"/>
      <c r="M331" s="346" t="s">
        <v>1761</v>
      </c>
      <c r="N331" s="346">
        <v>0.5</v>
      </c>
      <c r="O331" s="346">
        <v>5.75</v>
      </c>
      <c r="P331" s="346">
        <v>6.5</v>
      </c>
      <c r="Q331" s="346" t="s">
        <v>1765</v>
      </c>
      <c r="R331" s="458">
        <v>44318</v>
      </c>
    </row>
    <row r="332" spans="1:18" x14ac:dyDescent="0.25">
      <c r="A332" s="458">
        <v>44680</v>
      </c>
      <c r="B332" s="346">
        <v>2100000176</v>
      </c>
      <c r="C332" s="346" t="s">
        <v>2218</v>
      </c>
      <c r="D332" s="346" t="s">
        <v>1756</v>
      </c>
      <c r="E332" s="346" t="s">
        <v>1757</v>
      </c>
      <c r="F332" s="346" t="s">
        <v>1758</v>
      </c>
      <c r="G332" s="346" t="s">
        <v>1774</v>
      </c>
      <c r="H332" s="346" t="s">
        <v>1245</v>
      </c>
      <c r="I332" s="346">
        <v>17167214.800000001</v>
      </c>
      <c r="J332" s="346" t="s">
        <v>572</v>
      </c>
      <c r="K332" s="346" t="s">
        <v>1761</v>
      </c>
      <c r="L332" s="346"/>
      <c r="M332" s="346" t="s">
        <v>1761</v>
      </c>
      <c r="N332" s="346">
        <v>0.79</v>
      </c>
      <c r="O332" s="346">
        <v>6.5</v>
      </c>
      <c r="P332" s="346">
        <v>7.29</v>
      </c>
      <c r="Q332" s="346" t="s">
        <v>1765</v>
      </c>
      <c r="R332" s="458">
        <v>44318</v>
      </c>
    </row>
    <row r="333" spans="1:18" x14ac:dyDescent="0.25">
      <c r="A333" s="458">
        <v>44680</v>
      </c>
      <c r="B333" s="346">
        <v>5100000129</v>
      </c>
      <c r="C333" s="346" t="s">
        <v>2225</v>
      </c>
      <c r="D333" s="346" t="s">
        <v>1756</v>
      </c>
      <c r="E333" s="346" t="s">
        <v>1757</v>
      </c>
      <c r="F333" s="346" t="s">
        <v>1758</v>
      </c>
      <c r="G333" s="346" t="s">
        <v>1775</v>
      </c>
      <c r="H333" s="346" t="s">
        <v>1288</v>
      </c>
      <c r="I333" s="346">
        <v>2328289</v>
      </c>
      <c r="J333" s="346" t="s">
        <v>572</v>
      </c>
      <c r="K333" s="346" t="s">
        <v>1761</v>
      </c>
      <c r="L333" s="346"/>
      <c r="M333" s="346" t="s">
        <v>1761</v>
      </c>
      <c r="N333" s="346">
        <v>0.91</v>
      </c>
      <c r="O333" s="346">
        <v>5.5</v>
      </c>
      <c r="P333" s="346">
        <v>6.41</v>
      </c>
      <c r="Q333" s="346" t="s">
        <v>1765</v>
      </c>
      <c r="R333" s="458">
        <v>44352</v>
      </c>
    </row>
    <row r="334" spans="1:18" x14ac:dyDescent="0.25">
      <c r="A334" s="458">
        <v>44680</v>
      </c>
      <c r="B334" s="346">
        <v>5100000126</v>
      </c>
      <c r="C334" s="346" t="s">
        <v>2226</v>
      </c>
      <c r="D334" s="346" t="s">
        <v>1756</v>
      </c>
      <c r="E334" s="346" t="s">
        <v>1757</v>
      </c>
      <c r="F334" s="346" t="s">
        <v>1758</v>
      </c>
      <c r="G334" s="346" t="s">
        <v>1775</v>
      </c>
      <c r="H334" s="346" t="s">
        <v>1288</v>
      </c>
      <c r="I334" s="346">
        <v>46110638.719999999</v>
      </c>
      <c r="J334" s="346" t="s">
        <v>572</v>
      </c>
      <c r="K334" s="346" t="s">
        <v>1761</v>
      </c>
      <c r="L334" s="346"/>
      <c r="M334" s="346" t="s">
        <v>1761</v>
      </c>
      <c r="N334" s="346">
        <v>0.76</v>
      </c>
      <c r="O334" s="346">
        <v>5.25</v>
      </c>
      <c r="P334" s="346">
        <v>6.01</v>
      </c>
      <c r="Q334" s="346" t="s">
        <v>1765</v>
      </c>
      <c r="R334" s="458">
        <v>44345</v>
      </c>
    </row>
    <row r="335" spans="1:18" x14ac:dyDescent="0.25">
      <c r="A335" s="458">
        <v>44680</v>
      </c>
      <c r="B335" s="346">
        <v>5100000007</v>
      </c>
      <c r="C335" s="346" t="s">
        <v>2227</v>
      </c>
      <c r="D335" s="346" t="s">
        <v>1756</v>
      </c>
      <c r="E335" s="346" t="s">
        <v>1757</v>
      </c>
      <c r="F335" s="346" t="s">
        <v>1758</v>
      </c>
      <c r="G335" s="346" t="s">
        <v>1775</v>
      </c>
      <c r="H335" s="346" t="s">
        <v>1288</v>
      </c>
      <c r="I335" s="346">
        <v>899478.61</v>
      </c>
      <c r="J335" s="346" t="s">
        <v>572</v>
      </c>
      <c r="K335" s="346" t="s">
        <v>1761</v>
      </c>
      <c r="L335" s="346"/>
      <c r="M335" s="346" t="s">
        <v>1761</v>
      </c>
      <c r="N335" s="346">
        <v>0.18</v>
      </c>
      <c r="O335" s="346">
        <v>5.95</v>
      </c>
      <c r="P335" s="346">
        <v>6.7</v>
      </c>
      <c r="Q335" s="346" t="s">
        <v>1765</v>
      </c>
      <c r="R335" s="458">
        <v>44177</v>
      </c>
    </row>
    <row r="336" spans="1:18" x14ac:dyDescent="0.25">
      <c r="A336" s="458">
        <v>44680</v>
      </c>
      <c r="B336" s="346">
        <v>5100000124</v>
      </c>
      <c r="C336" s="346" t="s">
        <v>2228</v>
      </c>
      <c r="D336" s="346" t="s">
        <v>1756</v>
      </c>
      <c r="E336" s="346" t="s">
        <v>1757</v>
      </c>
      <c r="F336" s="346" t="s">
        <v>1758</v>
      </c>
      <c r="G336" s="346" t="s">
        <v>1775</v>
      </c>
      <c r="H336" s="346" t="s">
        <v>1288</v>
      </c>
      <c r="I336" s="346">
        <v>13214.3</v>
      </c>
      <c r="J336" s="346" t="s">
        <v>572</v>
      </c>
      <c r="K336" s="346" t="s">
        <v>1761</v>
      </c>
      <c r="L336" s="346"/>
      <c r="M336" s="346" t="s">
        <v>1761</v>
      </c>
      <c r="N336" s="346">
        <v>0.28000000000000003</v>
      </c>
      <c r="O336" s="346">
        <v>6.22</v>
      </c>
      <c r="P336" s="346">
        <v>6.97</v>
      </c>
      <c r="Q336" s="346" t="s">
        <v>1762</v>
      </c>
      <c r="R336" s="458">
        <v>1</v>
      </c>
    </row>
    <row r="337" spans="1:18" x14ac:dyDescent="0.25">
      <c r="A337" s="458">
        <v>44680</v>
      </c>
      <c r="B337" s="346">
        <v>5200000151</v>
      </c>
      <c r="C337" s="346" t="s">
        <v>2229</v>
      </c>
      <c r="D337" s="346" t="s">
        <v>1756</v>
      </c>
      <c r="E337" s="346" t="s">
        <v>1757</v>
      </c>
      <c r="F337" s="346" t="s">
        <v>1758</v>
      </c>
      <c r="G337" s="346" t="s">
        <v>1775</v>
      </c>
      <c r="H337" s="346" t="s">
        <v>1288</v>
      </c>
      <c r="I337" s="346">
        <v>1005810.98</v>
      </c>
      <c r="J337" s="346" t="s">
        <v>572</v>
      </c>
      <c r="K337" s="346" t="s">
        <v>1761</v>
      </c>
      <c r="L337" s="346"/>
      <c r="M337" s="346" t="s">
        <v>1761</v>
      </c>
      <c r="N337" s="346">
        <v>0.28000000000000003</v>
      </c>
      <c r="O337" s="346">
        <v>6.22</v>
      </c>
      <c r="P337" s="346">
        <v>6.97</v>
      </c>
      <c r="Q337" s="346" t="s">
        <v>1762</v>
      </c>
      <c r="R337" s="458">
        <v>1</v>
      </c>
    </row>
    <row r="338" spans="1:18" x14ac:dyDescent="0.25">
      <c r="A338" s="458">
        <v>44680</v>
      </c>
      <c r="B338" s="346">
        <v>3200000117</v>
      </c>
      <c r="C338" s="346" t="s">
        <v>2230</v>
      </c>
      <c r="D338" s="346" t="s">
        <v>1756</v>
      </c>
      <c r="E338" s="346" t="s">
        <v>1757</v>
      </c>
      <c r="F338" s="346" t="s">
        <v>1758</v>
      </c>
      <c r="G338" s="346" t="s">
        <v>1776</v>
      </c>
      <c r="H338" s="346" t="s">
        <v>1777</v>
      </c>
      <c r="I338" s="346">
        <v>1083500</v>
      </c>
      <c r="J338" s="346" t="s">
        <v>572</v>
      </c>
      <c r="K338" s="346" t="s">
        <v>1761</v>
      </c>
      <c r="L338" s="346"/>
      <c r="M338" s="346" t="s">
        <v>1761</v>
      </c>
      <c r="N338" s="346">
        <v>0.1</v>
      </c>
      <c r="O338" s="346">
        <v>6.15</v>
      </c>
      <c r="P338" s="346">
        <v>6.9</v>
      </c>
      <c r="Q338" s="346" t="s">
        <v>1762</v>
      </c>
      <c r="R338" s="458">
        <v>1</v>
      </c>
    </row>
    <row r="339" spans="1:18" x14ac:dyDescent="0.25">
      <c r="A339" s="458">
        <v>44680</v>
      </c>
      <c r="B339" s="346">
        <v>3200000121</v>
      </c>
      <c r="C339" s="346" t="s">
        <v>2231</v>
      </c>
      <c r="D339" s="346" t="s">
        <v>1756</v>
      </c>
      <c r="E339" s="346" t="s">
        <v>1757</v>
      </c>
      <c r="F339" s="346" t="s">
        <v>1758</v>
      </c>
      <c r="G339" s="346" t="s">
        <v>1776</v>
      </c>
      <c r="H339" s="346" t="s">
        <v>1777</v>
      </c>
      <c r="I339" s="346">
        <v>110000</v>
      </c>
      <c r="J339" s="346" t="s">
        <v>572</v>
      </c>
      <c r="K339" s="346" t="s">
        <v>1761</v>
      </c>
      <c r="L339" s="346"/>
      <c r="M339" s="346" t="s">
        <v>1761</v>
      </c>
      <c r="N339" s="346">
        <v>0.81</v>
      </c>
      <c r="O339" s="346">
        <v>5.93</v>
      </c>
      <c r="P339" s="346">
        <v>6.74</v>
      </c>
      <c r="Q339" s="346" t="s">
        <v>1765</v>
      </c>
      <c r="R339" s="458">
        <v>44352</v>
      </c>
    </row>
    <row r="340" spans="1:18" x14ac:dyDescent="0.25">
      <c r="A340" s="458">
        <v>44680</v>
      </c>
      <c r="B340" s="346">
        <v>3200000119</v>
      </c>
      <c r="C340" s="346" t="s">
        <v>2232</v>
      </c>
      <c r="D340" s="346" t="s">
        <v>1756</v>
      </c>
      <c r="E340" s="346" t="s">
        <v>1757</v>
      </c>
      <c r="F340" s="346" t="s">
        <v>1758</v>
      </c>
      <c r="G340" s="346" t="s">
        <v>1776</v>
      </c>
      <c r="H340" s="346" t="s">
        <v>1777</v>
      </c>
      <c r="I340" s="346">
        <v>1000000</v>
      </c>
      <c r="J340" s="346" t="s">
        <v>572</v>
      </c>
      <c r="K340" s="346" t="s">
        <v>1761</v>
      </c>
      <c r="L340" s="346"/>
      <c r="M340" s="346" t="s">
        <v>1761</v>
      </c>
      <c r="N340" s="346">
        <v>0.81</v>
      </c>
      <c r="O340" s="346">
        <v>4</v>
      </c>
      <c r="P340" s="346">
        <v>4.8099999999999996</v>
      </c>
      <c r="Q340" s="346" t="s">
        <v>1765</v>
      </c>
      <c r="R340" s="458">
        <v>44352</v>
      </c>
    </row>
    <row r="341" spans="1:18" x14ac:dyDescent="0.25">
      <c r="A341" s="458">
        <v>44680</v>
      </c>
      <c r="B341" s="346">
        <v>3200000114</v>
      </c>
      <c r="C341" s="346" t="s">
        <v>2233</v>
      </c>
      <c r="D341" s="346" t="s">
        <v>1756</v>
      </c>
      <c r="E341" s="346" t="s">
        <v>1757</v>
      </c>
      <c r="F341" s="346" t="s">
        <v>1758</v>
      </c>
      <c r="G341" s="346" t="s">
        <v>1776</v>
      </c>
      <c r="H341" s="346" t="s">
        <v>1777</v>
      </c>
      <c r="I341" s="346">
        <v>3250000</v>
      </c>
      <c r="J341" s="346" t="s">
        <v>572</v>
      </c>
      <c r="K341" s="346" t="s">
        <v>1761</v>
      </c>
      <c r="L341" s="346"/>
      <c r="M341" s="346" t="s">
        <v>1761</v>
      </c>
      <c r="N341" s="346">
        <v>0.1</v>
      </c>
      <c r="O341" s="346">
        <v>5.55</v>
      </c>
      <c r="P341" s="346">
        <v>6.3</v>
      </c>
      <c r="Q341" s="346" t="s">
        <v>1762</v>
      </c>
      <c r="R341" s="458">
        <v>1</v>
      </c>
    </row>
    <row r="342" spans="1:18" x14ac:dyDescent="0.25">
      <c r="A342" s="458">
        <v>44680</v>
      </c>
      <c r="B342" s="346">
        <v>3200000113</v>
      </c>
      <c r="C342" s="346" t="s">
        <v>2234</v>
      </c>
      <c r="D342" s="346" t="s">
        <v>1756</v>
      </c>
      <c r="E342" s="346" t="s">
        <v>1757</v>
      </c>
      <c r="F342" s="346" t="s">
        <v>1758</v>
      </c>
      <c r="G342" s="346" t="s">
        <v>1776</v>
      </c>
      <c r="H342" s="346" t="s">
        <v>1777</v>
      </c>
      <c r="I342" s="346">
        <v>2819576</v>
      </c>
      <c r="J342" s="346" t="s">
        <v>572</v>
      </c>
      <c r="K342" s="346" t="s">
        <v>1761</v>
      </c>
      <c r="L342" s="346"/>
      <c r="M342" s="346" t="s">
        <v>1761</v>
      </c>
      <c r="N342" s="346">
        <v>0.1</v>
      </c>
      <c r="O342" s="346">
        <v>5.54</v>
      </c>
      <c r="P342" s="346">
        <v>6.29</v>
      </c>
      <c r="Q342" s="346" t="s">
        <v>1762</v>
      </c>
      <c r="R342" s="458">
        <v>1</v>
      </c>
    </row>
    <row r="343" spans="1:18" x14ac:dyDescent="0.25">
      <c r="A343" s="458">
        <v>44680</v>
      </c>
      <c r="B343" s="346">
        <v>3200000115</v>
      </c>
      <c r="C343" s="346" t="s">
        <v>2235</v>
      </c>
      <c r="D343" s="346" t="s">
        <v>1756</v>
      </c>
      <c r="E343" s="346" t="s">
        <v>1757</v>
      </c>
      <c r="F343" s="346" t="s">
        <v>1758</v>
      </c>
      <c r="G343" s="346" t="s">
        <v>1776</v>
      </c>
      <c r="H343" s="346" t="s">
        <v>1777</v>
      </c>
      <c r="I343" s="346">
        <v>3625000</v>
      </c>
      <c r="J343" s="346" t="s">
        <v>572</v>
      </c>
      <c r="K343" s="346" t="s">
        <v>1761</v>
      </c>
      <c r="L343" s="346"/>
      <c r="M343" s="346" t="s">
        <v>1761</v>
      </c>
      <c r="N343" s="346">
        <v>0.1</v>
      </c>
      <c r="O343" s="346">
        <v>5.24</v>
      </c>
      <c r="P343" s="346">
        <v>5.99</v>
      </c>
      <c r="Q343" s="346" t="s">
        <v>1762</v>
      </c>
      <c r="R343" s="458">
        <v>1</v>
      </c>
    </row>
    <row r="344" spans="1:18" x14ac:dyDescent="0.25">
      <c r="A344" s="458">
        <v>44680</v>
      </c>
      <c r="B344" s="346">
        <v>3200000120</v>
      </c>
      <c r="C344" s="346" t="s">
        <v>2236</v>
      </c>
      <c r="D344" s="346" t="s">
        <v>1756</v>
      </c>
      <c r="E344" s="346" t="s">
        <v>1757</v>
      </c>
      <c r="F344" s="346" t="s">
        <v>1758</v>
      </c>
      <c r="G344" s="346" t="s">
        <v>1776</v>
      </c>
      <c r="H344" s="346" t="s">
        <v>1777</v>
      </c>
      <c r="I344" s="346">
        <v>286400</v>
      </c>
      <c r="J344" s="346" t="s">
        <v>572</v>
      </c>
      <c r="K344" s="346" t="s">
        <v>1761</v>
      </c>
      <c r="L344" s="346"/>
      <c r="M344" s="346" t="s">
        <v>1761</v>
      </c>
      <c r="N344" s="346">
        <v>0.75</v>
      </c>
      <c r="O344" s="346">
        <v>6.76</v>
      </c>
      <c r="P344" s="346">
        <v>7.51</v>
      </c>
      <c r="Q344" s="346" t="s">
        <v>1765</v>
      </c>
      <c r="R344" s="458">
        <v>44352</v>
      </c>
    </row>
    <row r="345" spans="1:18" x14ac:dyDescent="0.25">
      <c r="A345" s="458">
        <v>44680</v>
      </c>
      <c r="B345" s="346">
        <v>3200000116</v>
      </c>
      <c r="C345" s="346" t="s">
        <v>2237</v>
      </c>
      <c r="D345" s="346" t="s">
        <v>1756</v>
      </c>
      <c r="E345" s="346" t="s">
        <v>1757</v>
      </c>
      <c r="F345" s="346" t="s">
        <v>1758</v>
      </c>
      <c r="G345" s="346" t="s">
        <v>1776</v>
      </c>
      <c r="H345" s="346" t="s">
        <v>1777</v>
      </c>
      <c r="I345" s="346">
        <v>2160000</v>
      </c>
      <c r="J345" s="346" t="s">
        <v>572</v>
      </c>
      <c r="K345" s="346" t="s">
        <v>1761</v>
      </c>
      <c r="L345" s="346"/>
      <c r="M345" s="346" t="s">
        <v>1761</v>
      </c>
      <c r="N345" s="346">
        <v>0.1</v>
      </c>
      <c r="O345" s="346">
        <v>4.9800000000000004</v>
      </c>
      <c r="P345" s="346">
        <v>5.73</v>
      </c>
      <c r="Q345" s="346" t="s">
        <v>1762</v>
      </c>
      <c r="R345" s="458">
        <v>1</v>
      </c>
    </row>
    <row r="346" spans="1:18" x14ac:dyDescent="0.25">
      <c r="A346" s="458">
        <v>44680</v>
      </c>
      <c r="B346" s="346">
        <v>3200000118</v>
      </c>
      <c r="C346" s="346" t="s">
        <v>2238</v>
      </c>
      <c r="D346" s="346" t="s">
        <v>1756</v>
      </c>
      <c r="E346" s="346" t="s">
        <v>1757</v>
      </c>
      <c r="F346" s="346" t="s">
        <v>1758</v>
      </c>
      <c r="G346" s="346" t="s">
        <v>1776</v>
      </c>
      <c r="H346" s="346" t="s">
        <v>1777</v>
      </c>
      <c r="I346" s="346">
        <v>3000000</v>
      </c>
      <c r="J346" s="346" t="s">
        <v>572</v>
      </c>
      <c r="K346" s="346" t="s">
        <v>1761</v>
      </c>
      <c r="L346" s="346"/>
      <c r="M346" s="346" t="s">
        <v>1761</v>
      </c>
      <c r="N346" s="346">
        <v>0.52</v>
      </c>
      <c r="O346" s="346">
        <v>5.0999999999999996</v>
      </c>
      <c r="P346" s="346">
        <v>5.85</v>
      </c>
      <c r="Q346" s="346" t="s">
        <v>1765</v>
      </c>
      <c r="R346" s="458">
        <v>44345</v>
      </c>
    </row>
    <row r="347" spans="1:18" x14ac:dyDescent="0.25">
      <c r="A347" s="458">
        <v>44680</v>
      </c>
      <c r="B347" s="346">
        <v>7200000104</v>
      </c>
      <c r="C347" s="346" t="s">
        <v>2239</v>
      </c>
      <c r="D347" s="346" t="s">
        <v>1756</v>
      </c>
      <c r="E347" s="346" t="s">
        <v>1757</v>
      </c>
      <c r="F347" s="346" t="s">
        <v>1758</v>
      </c>
      <c r="G347" s="346" t="s">
        <v>1782</v>
      </c>
      <c r="H347" s="346" t="s">
        <v>1783</v>
      </c>
      <c r="I347" s="346">
        <v>904352</v>
      </c>
      <c r="J347" s="346" t="s">
        <v>572</v>
      </c>
      <c r="K347" s="346" t="s">
        <v>1761</v>
      </c>
      <c r="L347" s="346"/>
      <c r="M347" s="346" t="s">
        <v>1761</v>
      </c>
      <c r="N347" s="346">
        <v>0.1</v>
      </c>
      <c r="O347" s="346">
        <v>5.24</v>
      </c>
      <c r="P347" s="346">
        <v>5.99</v>
      </c>
      <c r="Q347" s="346" t="s">
        <v>1762</v>
      </c>
      <c r="R347" s="458">
        <v>1</v>
      </c>
    </row>
    <row r="348" spans="1:18" x14ac:dyDescent="0.25">
      <c r="A348" s="458">
        <v>44680</v>
      </c>
      <c r="B348" s="346">
        <v>1200000139</v>
      </c>
      <c r="C348" s="346" t="s">
        <v>2240</v>
      </c>
      <c r="D348" s="346" t="s">
        <v>1756</v>
      </c>
      <c r="E348" s="346" t="s">
        <v>1757</v>
      </c>
      <c r="F348" s="346" t="s">
        <v>1758</v>
      </c>
      <c r="G348" s="346" t="s">
        <v>1778</v>
      </c>
      <c r="H348" s="346" t="s">
        <v>1779</v>
      </c>
      <c r="I348" s="346">
        <v>5000000</v>
      </c>
      <c r="J348" s="346" t="s">
        <v>572</v>
      </c>
      <c r="K348" s="346" t="s">
        <v>1761</v>
      </c>
      <c r="L348" s="346"/>
      <c r="M348" s="346" t="s">
        <v>1761</v>
      </c>
      <c r="N348" s="346">
        <v>0.1</v>
      </c>
      <c r="O348" s="346">
        <v>5.99</v>
      </c>
      <c r="P348" s="346">
        <v>6.74</v>
      </c>
      <c r="Q348" s="346" t="s">
        <v>1762</v>
      </c>
      <c r="R348" s="458">
        <v>1</v>
      </c>
    </row>
    <row r="349" spans="1:18" x14ac:dyDescent="0.25">
      <c r="A349" s="458">
        <v>44680</v>
      </c>
      <c r="B349" s="346">
        <v>1200000136</v>
      </c>
      <c r="C349" s="346" t="s">
        <v>2241</v>
      </c>
      <c r="D349" s="346" t="s">
        <v>1756</v>
      </c>
      <c r="E349" s="346" t="s">
        <v>1757</v>
      </c>
      <c r="F349" s="346" t="s">
        <v>1758</v>
      </c>
      <c r="G349" s="346" t="s">
        <v>1778</v>
      </c>
      <c r="H349" s="346" t="s">
        <v>1779</v>
      </c>
      <c r="I349" s="346">
        <v>3212310.47</v>
      </c>
      <c r="J349" s="346" t="s">
        <v>572</v>
      </c>
      <c r="K349" s="346" t="s">
        <v>1761</v>
      </c>
      <c r="L349" s="346"/>
      <c r="M349" s="346" t="s">
        <v>1761</v>
      </c>
      <c r="N349" s="346">
        <v>0.1</v>
      </c>
      <c r="O349" s="346">
        <v>6.1</v>
      </c>
      <c r="P349" s="346">
        <v>6.85</v>
      </c>
      <c r="Q349" s="346" t="s">
        <v>1762</v>
      </c>
      <c r="R349" s="458">
        <v>1</v>
      </c>
    </row>
    <row r="350" spans="1:18" x14ac:dyDescent="0.25">
      <c r="A350" s="458">
        <v>44680</v>
      </c>
      <c r="B350" s="346">
        <v>1200000140</v>
      </c>
      <c r="C350" s="346" t="s">
        <v>2244</v>
      </c>
      <c r="D350" s="346" t="s">
        <v>1756</v>
      </c>
      <c r="E350" s="346" t="s">
        <v>1757</v>
      </c>
      <c r="F350" s="346" t="s">
        <v>1758</v>
      </c>
      <c r="G350" s="346" t="s">
        <v>1778</v>
      </c>
      <c r="H350" s="346" t="s">
        <v>1779</v>
      </c>
      <c r="I350" s="346">
        <v>1622082.08</v>
      </c>
      <c r="J350" s="346" t="s">
        <v>572</v>
      </c>
      <c r="K350" s="346" t="s">
        <v>1761</v>
      </c>
      <c r="L350" s="346"/>
      <c r="M350" s="346" t="s">
        <v>1761</v>
      </c>
      <c r="N350" s="346">
        <v>0.1</v>
      </c>
      <c r="O350" s="346">
        <v>6.03</v>
      </c>
      <c r="P350" s="346">
        <v>6.78</v>
      </c>
      <c r="Q350" s="346" t="s">
        <v>1762</v>
      </c>
      <c r="R350" s="458">
        <v>1</v>
      </c>
    </row>
    <row r="351" spans="1:18" x14ac:dyDescent="0.25">
      <c r="A351" s="458">
        <v>44680</v>
      </c>
      <c r="B351" s="346">
        <v>1200000147</v>
      </c>
      <c r="C351" s="346" t="s">
        <v>2246</v>
      </c>
      <c r="D351" s="346" t="s">
        <v>1756</v>
      </c>
      <c r="E351" s="346" t="s">
        <v>1757</v>
      </c>
      <c r="F351" s="346" t="s">
        <v>1758</v>
      </c>
      <c r="G351" s="346" t="s">
        <v>1778</v>
      </c>
      <c r="H351" s="346" t="s">
        <v>1779</v>
      </c>
      <c r="I351" s="346">
        <v>4762825.24</v>
      </c>
      <c r="J351" s="346" t="s">
        <v>572</v>
      </c>
      <c r="K351" s="346" t="s">
        <v>1761</v>
      </c>
      <c r="L351" s="346"/>
      <c r="M351" s="346" t="s">
        <v>1761</v>
      </c>
      <c r="N351" s="346">
        <v>0.77</v>
      </c>
      <c r="O351" s="346">
        <v>6.7</v>
      </c>
      <c r="P351" s="346">
        <v>7.47</v>
      </c>
      <c r="Q351" s="346" t="s">
        <v>1765</v>
      </c>
      <c r="R351" s="458">
        <v>44352</v>
      </c>
    </row>
    <row r="352" spans="1:18" x14ac:dyDescent="0.25">
      <c r="A352" s="458">
        <v>44680</v>
      </c>
      <c r="B352" s="346">
        <v>1200000142</v>
      </c>
      <c r="C352" s="346" t="s">
        <v>2247</v>
      </c>
      <c r="D352" s="346" t="s">
        <v>1756</v>
      </c>
      <c r="E352" s="346" t="s">
        <v>1757</v>
      </c>
      <c r="F352" s="346" t="s">
        <v>1758</v>
      </c>
      <c r="G352" s="346" t="s">
        <v>1778</v>
      </c>
      <c r="H352" s="346" t="s">
        <v>1779</v>
      </c>
      <c r="I352" s="346">
        <v>867000</v>
      </c>
      <c r="J352" s="346" t="s">
        <v>572</v>
      </c>
      <c r="K352" s="346" t="s">
        <v>1761</v>
      </c>
      <c r="L352" s="346"/>
      <c r="M352" s="346" t="s">
        <v>1761</v>
      </c>
      <c r="N352" s="346">
        <v>0.63</v>
      </c>
      <c r="O352" s="346">
        <v>6.69</v>
      </c>
      <c r="P352" s="346">
        <v>7.44</v>
      </c>
      <c r="Q352" s="346" t="s">
        <v>1762</v>
      </c>
      <c r="R352" s="458">
        <v>1</v>
      </c>
    </row>
    <row r="353" spans="1:18" x14ac:dyDescent="0.25">
      <c r="A353" s="458">
        <v>44680</v>
      </c>
      <c r="B353" s="346">
        <v>1200000146</v>
      </c>
      <c r="C353" s="346" t="s">
        <v>2248</v>
      </c>
      <c r="D353" s="346" t="s">
        <v>1756</v>
      </c>
      <c r="E353" s="346" t="s">
        <v>1757</v>
      </c>
      <c r="F353" s="346" t="s">
        <v>1758</v>
      </c>
      <c r="G353" s="346" t="s">
        <v>1778</v>
      </c>
      <c r="H353" s="346" t="s">
        <v>1779</v>
      </c>
      <c r="I353" s="346">
        <v>2100000</v>
      </c>
      <c r="J353" s="346" t="s">
        <v>572</v>
      </c>
      <c r="K353" s="346" t="s">
        <v>1761</v>
      </c>
      <c r="L353" s="346"/>
      <c r="M353" s="346" t="s">
        <v>1761</v>
      </c>
      <c r="N353" s="346">
        <v>0.53</v>
      </c>
      <c r="O353" s="346">
        <v>6.49</v>
      </c>
      <c r="P353" s="346">
        <v>7.24</v>
      </c>
      <c r="Q353" s="346" t="s">
        <v>1765</v>
      </c>
      <c r="R353" s="458">
        <v>44352</v>
      </c>
    </row>
    <row r="354" spans="1:18" x14ac:dyDescent="0.25">
      <c r="A354" s="458">
        <v>44680</v>
      </c>
      <c r="B354" s="346">
        <v>1200000143</v>
      </c>
      <c r="C354" s="346" t="s">
        <v>2250</v>
      </c>
      <c r="D354" s="346" t="s">
        <v>1756</v>
      </c>
      <c r="E354" s="346" t="s">
        <v>1757</v>
      </c>
      <c r="F354" s="346" t="s">
        <v>1758</v>
      </c>
      <c r="G354" s="346" t="s">
        <v>1778</v>
      </c>
      <c r="H354" s="346" t="s">
        <v>1779</v>
      </c>
      <c r="I354" s="346">
        <v>2462727.33</v>
      </c>
      <c r="J354" s="346" t="s">
        <v>572</v>
      </c>
      <c r="K354" s="346" t="s">
        <v>1761</v>
      </c>
      <c r="L354" s="346"/>
      <c r="M354" s="346" t="s">
        <v>1761</v>
      </c>
      <c r="N354" s="346">
        <v>0.9</v>
      </c>
      <c r="O354" s="346">
        <v>5.58</v>
      </c>
      <c r="P354" s="346">
        <v>6.48</v>
      </c>
      <c r="Q354" s="346" t="s">
        <v>1762</v>
      </c>
      <c r="R354" s="458">
        <v>1</v>
      </c>
    </row>
    <row r="355" spans="1:18" x14ac:dyDescent="0.25">
      <c r="A355" s="458">
        <v>44680</v>
      </c>
      <c r="B355" s="346">
        <v>1200000135</v>
      </c>
      <c r="C355" s="346" t="s">
        <v>4529</v>
      </c>
      <c r="D355" s="346" t="s">
        <v>1756</v>
      </c>
      <c r="E355" s="346" t="s">
        <v>1757</v>
      </c>
      <c r="F355" s="346" t="s">
        <v>1758</v>
      </c>
      <c r="G355" s="346" t="s">
        <v>1778</v>
      </c>
      <c r="H355" s="346" t="s">
        <v>1779</v>
      </c>
      <c r="I355" s="346">
        <v>4178175.14</v>
      </c>
      <c r="J355" s="346" t="s">
        <v>572</v>
      </c>
      <c r="K355" s="346" t="s">
        <v>1761</v>
      </c>
      <c r="L355" s="346"/>
      <c r="M355" s="346" t="s">
        <v>1761</v>
      </c>
      <c r="N355" s="346">
        <v>0.76</v>
      </c>
      <c r="O355" s="346">
        <v>6.35</v>
      </c>
      <c r="P355" s="346">
        <v>7.11</v>
      </c>
      <c r="Q355" s="346" t="s">
        <v>1765</v>
      </c>
      <c r="R355" s="458">
        <v>44318</v>
      </c>
    </row>
    <row r="356" spans="1:18" x14ac:dyDescent="0.25">
      <c r="A356" s="458">
        <v>44680</v>
      </c>
      <c r="B356" s="346">
        <v>1200000148</v>
      </c>
      <c r="C356" s="346" t="s">
        <v>2249</v>
      </c>
      <c r="D356" s="346" t="s">
        <v>1756</v>
      </c>
      <c r="E356" s="346" t="s">
        <v>1757</v>
      </c>
      <c r="F356" s="346" t="s">
        <v>1758</v>
      </c>
      <c r="G356" s="346" t="s">
        <v>1778</v>
      </c>
      <c r="H356" s="346" t="s">
        <v>1779</v>
      </c>
      <c r="I356" s="346">
        <v>2000000</v>
      </c>
      <c r="J356" s="346" t="s">
        <v>572</v>
      </c>
      <c r="K356" s="346" t="s">
        <v>1761</v>
      </c>
      <c r="L356" s="346"/>
      <c r="M356" s="346" t="s">
        <v>1761</v>
      </c>
      <c r="N356" s="346">
        <v>0.54</v>
      </c>
      <c r="O356" s="346">
        <v>7.8</v>
      </c>
      <c r="P356" s="346">
        <v>8.5500000000000007</v>
      </c>
      <c r="Q356" s="346" t="s">
        <v>1765</v>
      </c>
      <c r="R356" s="458">
        <v>44352</v>
      </c>
    </row>
    <row r="357" spans="1:18" x14ac:dyDescent="0.25">
      <c r="A357" s="458">
        <v>44680</v>
      </c>
      <c r="B357" s="346">
        <v>1200000144</v>
      </c>
      <c r="C357" s="346" t="s">
        <v>2245</v>
      </c>
      <c r="D357" s="346" t="s">
        <v>1756</v>
      </c>
      <c r="E357" s="346" t="s">
        <v>1757</v>
      </c>
      <c r="F357" s="346" t="s">
        <v>1758</v>
      </c>
      <c r="G357" s="346" t="s">
        <v>1778</v>
      </c>
      <c r="H357" s="346" t="s">
        <v>1779</v>
      </c>
      <c r="I357" s="346">
        <v>203978</v>
      </c>
      <c r="J357" s="346" t="s">
        <v>572</v>
      </c>
      <c r="K357" s="346" t="s">
        <v>1761</v>
      </c>
      <c r="L357" s="346"/>
      <c r="M357" s="346" t="s">
        <v>1761</v>
      </c>
      <c r="N357" s="346">
        <v>0.8</v>
      </c>
      <c r="O357" s="346">
        <v>6.54</v>
      </c>
      <c r="P357" s="346">
        <v>7.34</v>
      </c>
      <c r="Q357" s="346" t="s">
        <v>1762</v>
      </c>
      <c r="R357" s="458">
        <v>1</v>
      </c>
    </row>
    <row r="358" spans="1:18" x14ac:dyDescent="0.25">
      <c r="A358" s="458">
        <v>44680</v>
      </c>
      <c r="B358" s="346">
        <v>1200000137</v>
      </c>
      <c r="C358" s="346" t="s">
        <v>2242</v>
      </c>
      <c r="D358" s="346" t="s">
        <v>1756</v>
      </c>
      <c r="E358" s="346" t="s">
        <v>1757</v>
      </c>
      <c r="F358" s="346" t="s">
        <v>1758</v>
      </c>
      <c r="G358" s="346" t="s">
        <v>1778</v>
      </c>
      <c r="H358" s="346" t="s">
        <v>1779</v>
      </c>
      <c r="I358" s="346">
        <v>1141302.73</v>
      </c>
      <c r="J358" s="346" t="s">
        <v>572</v>
      </c>
      <c r="K358" s="346" t="s">
        <v>1761</v>
      </c>
      <c r="L358" s="346"/>
      <c r="M358" s="346" t="s">
        <v>1761</v>
      </c>
      <c r="N358" s="346">
        <v>0.3</v>
      </c>
      <c r="O358" s="346">
        <v>6.45</v>
      </c>
      <c r="P358" s="346">
        <v>7.2</v>
      </c>
      <c r="Q358" s="346" t="s">
        <v>1762</v>
      </c>
      <c r="R358" s="458">
        <v>1</v>
      </c>
    </row>
    <row r="359" spans="1:18" x14ac:dyDescent="0.25">
      <c r="A359" s="458">
        <v>44680</v>
      </c>
      <c r="B359" s="346">
        <v>1200000138</v>
      </c>
      <c r="C359" s="346" t="s">
        <v>2243</v>
      </c>
      <c r="D359" s="346" t="s">
        <v>1756</v>
      </c>
      <c r="E359" s="346" t="s">
        <v>1757</v>
      </c>
      <c r="F359" s="346" t="s">
        <v>1758</v>
      </c>
      <c r="G359" s="346" t="s">
        <v>1778</v>
      </c>
      <c r="H359" s="346" t="s">
        <v>1779</v>
      </c>
      <c r="I359" s="346">
        <v>50000</v>
      </c>
      <c r="J359" s="346" t="s">
        <v>572</v>
      </c>
      <c r="K359" s="346" t="s">
        <v>1761</v>
      </c>
      <c r="L359" s="346"/>
      <c r="M359" s="346" t="s">
        <v>1761</v>
      </c>
      <c r="N359" s="346">
        <v>0.3</v>
      </c>
      <c r="O359" s="346">
        <v>6.44</v>
      </c>
      <c r="P359" s="346">
        <v>7.19</v>
      </c>
      <c r="Q359" s="346" t="s">
        <v>1762</v>
      </c>
      <c r="R359" s="458">
        <v>1</v>
      </c>
    </row>
    <row r="360" spans="1:18" x14ac:dyDescent="0.25">
      <c r="A360" s="458">
        <v>44680</v>
      </c>
      <c r="B360" s="346">
        <v>4200000104</v>
      </c>
      <c r="C360" s="346" t="s">
        <v>2251</v>
      </c>
      <c r="D360" s="346" t="s">
        <v>1756</v>
      </c>
      <c r="E360" s="346" t="s">
        <v>1757</v>
      </c>
      <c r="F360" s="346" t="s">
        <v>1758</v>
      </c>
      <c r="G360" s="346" t="s">
        <v>1784</v>
      </c>
      <c r="H360" s="346" t="s">
        <v>1785</v>
      </c>
      <c r="I360" s="346">
        <v>735563.37</v>
      </c>
      <c r="J360" s="346" t="s">
        <v>572</v>
      </c>
      <c r="K360" s="346" t="s">
        <v>1761</v>
      </c>
      <c r="L360" s="346"/>
      <c r="M360" s="346" t="s">
        <v>1761</v>
      </c>
      <c r="N360" s="346">
        <v>0.1</v>
      </c>
      <c r="O360" s="346">
        <v>6.31</v>
      </c>
      <c r="P360" s="346">
        <v>7.06</v>
      </c>
      <c r="Q360" s="346" t="s">
        <v>1765</v>
      </c>
      <c r="R360" s="458">
        <v>44352</v>
      </c>
    </row>
    <row r="361" spans="1:18" x14ac:dyDescent="0.25">
      <c r="A361" s="458">
        <v>44680</v>
      </c>
      <c r="B361" s="346">
        <v>3100000114</v>
      </c>
      <c r="C361" s="346" t="s">
        <v>2252</v>
      </c>
      <c r="D361" s="346" t="s">
        <v>1756</v>
      </c>
      <c r="E361" s="346" t="s">
        <v>1757</v>
      </c>
      <c r="F361" s="346" t="s">
        <v>1758</v>
      </c>
      <c r="G361" s="346" t="s">
        <v>1780</v>
      </c>
      <c r="H361" s="346" t="s">
        <v>1233</v>
      </c>
      <c r="I361" s="346">
        <v>3430897.78</v>
      </c>
      <c r="J361" s="346" t="s">
        <v>572</v>
      </c>
      <c r="K361" s="346" t="s">
        <v>1761</v>
      </c>
      <c r="L361" s="346"/>
      <c r="M361" s="346" t="s">
        <v>1761</v>
      </c>
      <c r="N361" s="346">
        <v>0.1</v>
      </c>
      <c r="O361" s="346">
        <v>6</v>
      </c>
      <c r="P361" s="346">
        <v>6.75</v>
      </c>
      <c r="Q361" s="346" t="s">
        <v>1762</v>
      </c>
      <c r="R361" s="458">
        <v>1</v>
      </c>
    </row>
    <row r="362" spans="1:18" x14ac:dyDescent="0.25">
      <c r="A362" s="458">
        <v>44680</v>
      </c>
      <c r="B362" s="346">
        <v>3100000119</v>
      </c>
      <c r="C362" s="346" t="s">
        <v>2254</v>
      </c>
      <c r="D362" s="346" t="s">
        <v>1756</v>
      </c>
      <c r="E362" s="346" t="s">
        <v>1757</v>
      </c>
      <c r="F362" s="346" t="s">
        <v>1758</v>
      </c>
      <c r="G362" s="346" t="s">
        <v>1780</v>
      </c>
      <c r="H362" s="346" t="s">
        <v>1233</v>
      </c>
      <c r="I362" s="346">
        <v>9089838.4000000004</v>
      </c>
      <c r="J362" s="346" t="s">
        <v>572</v>
      </c>
      <c r="K362" s="346" t="s">
        <v>1761</v>
      </c>
      <c r="L362" s="346"/>
      <c r="M362" s="346" t="s">
        <v>1761</v>
      </c>
      <c r="N362" s="346">
        <v>0.31</v>
      </c>
      <c r="O362" s="346">
        <v>6.25</v>
      </c>
      <c r="P362" s="346">
        <v>7</v>
      </c>
      <c r="Q362" s="346" t="s">
        <v>1765</v>
      </c>
      <c r="R362" s="458">
        <v>44352</v>
      </c>
    </row>
    <row r="363" spans="1:18" x14ac:dyDescent="0.25">
      <c r="A363" s="458">
        <v>44680</v>
      </c>
      <c r="B363" s="346">
        <v>3100000118</v>
      </c>
      <c r="C363" s="346" t="s">
        <v>2253</v>
      </c>
      <c r="D363" s="346" t="s">
        <v>1756</v>
      </c>
      <c r="E363" s="346" t="s">
        <v>1757</v>
      </c>
      <c r="F363" s="346" t="s">
        <v>1758</v>
      </c>
      <c r="G363" s="346" t="s">
        <v>1780</v>
      </c>
      <c r="H363" s="346" t="s">
        <v>1233</v>
      </c>
      <c r="I363" s="346">
        <v>9950000</v>
      </c>
      <c r="J363" s="346" t="s">
        <v>572</v>
      </c>
      <c r="K363" s="346" t="s">
        <v>1761</v>
      </c>
      <c r="L363" s="346"/>
      <c r="M363" s="346" t="s">
        <v>1761</v>
      </c>
      <c r="N363" s="346">
        <v>0</v>
      </c>
      <c r="O363" s="346">
        <v>5.98</v>
      </c>
      <c r="P363" s="346">
        <v>6.73</v>
      </c>
      <c r="Q363" s="346" t="s">
        <v>1765</v>
      </c>
      <c r="R363" s="458">
        <v>44352</v>
      </c>
    </row>
    <row r="364" spans="1:18" x14ac:dyDescent="0.25">
      <c r="A364" s="458">
        <v>44680</v>
      </c>
      <c r="B364" s="346">
        <v>7100000103</v>
      </c>
      <c r="C364" s="346" t="s">
        <v>2255</v>
      </c>
      <c r="D364" s="346" t="s">
        <v>1756</v>
      </c>
      <c r="E364" s="346" t="s">
        <v>1757</v>
      </c>
      <c r="F364" s="346" t="s">
        <v>1758</v>
      </c>
      <c r="G364" s="346" t="s">
        <v>1786</v>
      </c>
      <c r="H364" s="346" t="s">
        <v>1258</v>
      </c>
      <c r="I364" s="346">
        <v>2059511.37</v>
      </c>
      <c r="J364" s="346" t="s">
        <v>572</v>
      </c>
      <c r="K364" s="346" t="s">
        <v>1761</v>
      </c>
      <c r="L364" s="346"/>
      <c r="M364" s="346" t="s">
        <v>1761</v>
      </c>
      <c r="N364" s="346">
        <v>0.52</v>
      </c>
      <c r="O364" s="346">
        <v>6.47</v>
      </c>
      <c r="P364" s="346">
        <v>7.22</v>
      </c>
      <c r="Q364" s="346" t="s">
        <v>1765</v>
      </c>
      <c r="R364" s="458">
        <v>44352</v>
      </c>
    </row>
    <row r="365" spans="1:18" x14ac:dyDescent="0.25">
      <c r="A365" s="458">
        <v>44680</v>
      </c>
      <c r="B365" s="346">
        <v>2200000185</v>
      </c>
      <c r="C365" s="346" t="s">
        <v>2256</v>
      </c>
      <c r="D365" s="346" t="s">
        <v>1756</v>
      </c>
      <c r="E365" s="346" t="s">
        <v>1757</v>
      </c>
      <c r="F365" s="346" t="s">
        <v>1758</v>
      </c>
      <c r="G365" s="346" t="s">
        <v>1759</v>
      </c>
      <c r="H365" s="346" t="s">
        <v>1760</v>
      </c>
      <c r="I365" s="346">
        <v>450368.96</v>
      </c>
      <c r="J365" s="346" t="s">
        <v>572</v>
      </c>
      <c r="K365" s="346" t="s">
        <v>1761</v>
      </c>
      <c r="L365" s="346"/>
      <c r="M365" s="346" t="s">
        <v>1761</v>
      </c>
      <c r="N365" s="346">
        <v>0.89</v>
      </c>
      <c r="O365" s="346">
        <v>6.41</v>
      </c>
      <c r="P365" s="346">
        <v>7.3</v>
      </c>
      <c r="Q365" s="346" t="s">
        <v>1765</v>
      </c>
      <c r="R365" s="458">
        <v>44373</v>
      </c>
    </row>
    <row r="366" spans="1:18" x14ac:dyDescent="0.25">
      <c r="A366" s="458">
        <v>44680</v>
      </c>
      <c r="B366" s="346">
        <v>2200000187</v>
      </c>
      <c r="C366" s="346" t="s">
        <v>2257</v>
      </c>
      <c r="D366" s="346" t="s">
        <v>1756</v>
      </c>
      <c r="E366" s="346" t="s">
        <v>1757</v>
      </c>
      <c r="F366" s="346" t="s">
        <v>1758</v>
      </c>
      <c r="G366" s="346" t="s">
        <v>1759</v>
      </c>
      <c r="H366" s="346" t="s">
        <v>1760</v>
      </c>
      <c r="I366" s="346">
        <v>2320000</v>
      </c>
      <c r="J366" s="346" t="s">
        <v>572</v>
      </c>
      <c r="K366" s="346" t="s">
        <v>1761</v>
      </c>
      <c r="L366" s="346"/>
      <c r="M366" s="346" t="s">
        <v>1761</v>
      </c>
      <c r="N366" s="346">
        <v>0.79</v>
      </c>
      <c r="O366" s="346">
        <v>6.15</v>
      </c>
      <c r="P366" s="346">
        <v>6.94</v>
      </c>
      <c r="Q366" s="346" t="s">
        <v>1762</v>
      </c>
      <c r="R366" s="458">
        <v>1</v>
      </c>
    </row>
    <row r="367" spans="1:18" x14ac:dyDescent="0.25">
      <c r="A367" s="458">
        <v>44680</v>
      </c>
      <c r="B367" s="346">
        <v>2200000186</v>
      </c>
      <c r="C367" s="346" t="s">
        <v>2259</v>
      </c>
      <c r="D367" s="346" t="s">
        <v>1756</v>
      </c>
      <c r="E367" s="346" t="s">
        <v>1757</v>
      </c>
      <c r="F367" s="346" t="s">
        <v>1758</v>
      </c>
      <c r="G367" s="346" t="s">
        <v>1759</v>
      </c>
      <c r="H367" s="346" t="s">
        <v>1760</v>
      </c>
      <c r="I367" s="346">
        <v>233984.38</v>
      </c>
      <c r="J367" s="346" t="s">
        <v>572</v>
      </c>
      <c r="K367" s="346" t="s">
        <v>1761</v>
      </c>
      <c r="L367" s="346"/>
      <c r="M367" s="346" t="s">
        <v>1761</v>
      </c>
      <c r="N367" s="346">
        <v>0.89</v>
      </c>
      <c r="O367" s="346">
        <v>6.41</v>
      </c>
      <c r="P367" s="346">
        <v>7.3</v>
      </c>
      <c r="Q367" s="346" t="s">
        <v>1765</v>
      </c>
      <c r="R367" s="458">
        <v>44373</v>
      </c>
    </row>
    <row r="368" spans="1:18" x14ac:dyDescent="0.25">
      <c r="A368" s="458">
        <v>44680</v>
      </c>
      <c r="B368" s="346">
        <v>2200000184</v>
      </c>
      <c r="C368" s="346" t="s">
        <v>2260</v>
      </c>
      <c r="D368" s="346" t="s">
        <v>1756</v>
      </c>
      <c r="E368" s="346" t="s">
        <v>1757</v>
      </c>
      <c r="F368" s="346" t="s">
        <v>1758</v>
      </c>
      <c r="G368" s="346" t="s">
        <v>1759</v>
      </c>
      <c r="H368" s="346" t="s">
        <v>1760</v>
      </c>
      <c r="I368" s="346">
        <v>285674.5</v>
      </c>
      <c r="J368" s="346" t="s">
        <v>572</v>
      </c>
      <c r="K368" s="346" t="s">
        <v>1761</v>
      </c>
      <c r="L368" s="346"/>
      <c r="M368" s="346" t="s">
        <v>1761</v>
      </c>
      <c r="N368" s="346">
        <v>0.53</v>
      </c>
      <c r="O368" s="346">
        <v>6.6</v>
      </c>
      <c r="P368" s="346">
        <v>7.35</v>
      </c>
      <c r="Q368" s="346" t="s">
        <v>1765</v>
      </c>
      <c r="R368" s="458">
        <v>44373</v>
      </c>
    </row>
    <row r="369" spans="1:18" x14ac:dyDescent="0.25">
      <c r="A369" s="458">
        <v>44680</v>
      </c>
      <c r="B369" s="346">
        <v>2200000181</v>
      </c>
      <c r="C369" s="346" t="s">
        <v>2258</v>
      </c>
      <c r="D369" s="346" t="s">
        <v>1756</v>
      </c>
      <c r="E369" s="346" t="s">
        <v>1757</v>
      </c>
      <c r="F369" s="346" t="s">
        <v>1758</v>
      </c>
      <c r="G369" s="346" t="s">
        <v>1759</v>
      </c>
      <c r="H369" s="346" t="s">
        <v>1760</v>
      </c>
      <c r="I369" s="346">
        <v>250150</v>
      </c>
      <c r="J369" s="346" t="s">
        <v>572</v>
      </c>
      <c r="K369" s="346" t="s">
        <v>1761</v>
      </c>
      <c r="L369" s="346"/>
      <c r="M369" s="346" t="s">
        <v>1761</v>
      </c>
      <c r="N369" s="346">
        <v>0.62</v>
      </c>
      <c r="O369" s="346">
        <v>6.35</v>
      </c>
      <c r="P369" s="346">
        <v>7.1</v>
      </c>
      <c r="Q369" s="346" t="s">
        <v>1765</v>
      </c>
      <c r="R369" s="458">
        <v>44352</v>
      </c>
    </row>
    <row r="370" spans="1:18" x14ac:dyDescent="0.25">
      <c r="A370" s="458">
        <v>44680</v>
      </c>
      <c r="B370" s="346">
        <v>2200000182</v>
      </c>
      <c r="C370" s="346" t="s">
        <v>2261</v>
      </c>
      <c r="D370" s="346" t="s">
        <v>1756</v>
      </c>
      <c r="E370" s="346" t="s">
        <v>1757</v>
      </c>
      <c r="F370" s="346" t="s">
        <v>1758</v>
      </c>
      <c r="G370" s="346" t="s">
        <v>1759</v>
      </c>
      <c r="H370" s="346" t="s">
        <v>1760</v>
      </c>
      <c r="I370" s="346">
        <v>4960999.24</v>
      </c>
      <c r="J370" s="346" t="s">
        <v>572</v>
      </c>
      <c r="K370" s="346" t="s">
        <v>1761</v>
      </c>
      <c r="L370" s="346"/>
      <c r="M370" s="346" t="s">
        <v>1761</v>
      </c>
      <c r="N370" s="346">
        <v>0.78</v>
      </c>
      <c r="O370" s="346">
        <v>6.26</v>
      </c>
      <c r="P370" s="346">
        <v>7.04</v>
      </c>
      <c r="Q370" s="346" t="s">
        <v>1765</v>
      </c>
      <c r="R370" s="458">
        <v>44352</v>
      </c>
    </row>
    <row r="371" spans="1:18" x14ac:dyDescent="0.25">
      <c r="A371" s="458">
        <v>44680</v>
      </c>
      <c r="B371" s="346">
        <v>4100000224</v>
      </c>
      <c r="C371" s="346" t="s">
        <v>2262</v>
      </c>
      <c r="D371" s="346" t="s">
        <v>1756</v>
      </c>
      <c r="E371" s="346" t="s">
        <v>1757</v>
      </c>
      <c r="F371" s="346" t="s">
        <v>1758</v>
      </c>
      <c r="G371" s="346" t="s">
        <v>1764</v>
      </c>
      <c r="H371" s="346" t="s">
        <v>1250</v>
      </c>
      <c r="I371" s="346">
        <v>4933447.0599999996</v>
      </c>
      <c r="J371" s="346" t="s">
        <v>572</v>
      </c>
      <c r="K371" s="346" t="s">
        <v>1761</v>
      </c>
      <c r="L371" s="346"/>
      <c r="M371" s="346" t="s">
        <v>1761</v>
      </c>
      <c r="N371" s="346">
        <v>0.78</v>
      </c>
      <c r="O371" s="346">
        <v>4.3499999999999996</v>
      </c>
      <c r="P371" s="346">
        <v>5.13</v>
      </c>
      <c r="Q371" s="346" t="s">
        <v>1765</v>
      </c>
      <c r="R371" s="458">
        <v>44312</v>
      </c>
    </row>
    <row r="372" spans="1:18" x14ac:dyDescent="0.25">
      <c r="A372" s="458">
        <v>44680</v>
      </c>
      <c r="B372" s="346">
        <v>4100000211</v>
      </c>
      <c r="C372" s="346" t="s">
        <v>2263</v>
      </c>
      <c r="D372" s="346" t="s">
        <v>1756</v>
      </c>
      <c r="E372" s="346" t="s">
        <v>1757</v>
      </c>
      <c r="F372" s="346" t="s">
        <v>1758</v>
      </c>
      <c r="G372" s="346" t="s">
        <v>1764</v>
      </c>
      <c r="H372" s="346" t="s">
        <v>1250</v>
      </c>
      <c r="I372" s="346">
        <v>6667730.9199999999</v>
      </c>
      <c r="J372" s="346" t="s">
        <v>572</v>
      </c>
      <c r="K372" s="346" t="s">
        <v>1761</v>
      </c>
      <c r="L372" s="346"/>
      <c r="M372" s="346" t="s">
        <v>1761</v>
      </c>
      <c r="N372" s="346">
        <v>0.1</v>
      </c>
      <c r="O372" s="346">
        <v>3.75</v>
      </c>
      <c r="P372" s="346">
        <v>4.5</v>
      </c>
      <c r="Q372" s="346" t="s">
        <v>1762</v>
      </c>
      <c r="R372" s="458">
        <v>1</v>
      </c>
    </row>
    <row r="373" spans="1:18" x14ac:dyDescent="0.25">
      <c r="A373" s="458">
        <v>44680</v>
      </c>
      <c r="B373" s="346">
        <v>4100000233</v>
      </c>
      <c r="C373" s="346" t="s">
        <v>1672</v>
      </c>
      <c r="D373" s="346" t="s">
        <v>1756</v>
      </c>
      <c r="E373" s="346" t="s">
        <v>1757</v>
      </c>
      <c r="F373" s="346" t="s">
        <v>1758</v>
      </c>
      <c r="G373" s="346" t="s">
        <v>1764</v>
      </c>
      <c r="H373" s="346" t="s">
        <v>1250</v>
      </c>
      <c r="I373" s="346">
        <v>42928354</v>
      </c>
      <c r="J373" s="346" t="s">
        <v>572</v>
      </c>
      <c r="K373" s="346" t="s">
        <v>1761</v>
      </c>
      <c r="L373" s="346"/>
      <c r="M373" s="346" t="s">
        <v>1761</v>
      </c>
      <c r="N373" s="346">
        <v>0.1</v>
      </c>
      <c r="O373" s="346">
        <v>3.25</v>
      </c>
      <c r="P373" s="346">
        <v>4</v>
      </c>
      <c r="Q373" s="346" t="s">
        <v>1762</v>
      </c>
      <c r="R373" s="458">
        <v>1</v>
      </c>
    </row>
    <row r="374" spans="1:18" x14ac:dyDescent="0.25">
      <c r="A374" s="458">
        <v>44680</v>
      </c>
      <c r="B374" s="346">
        <v>4100000234</v>
      </c>
      <c r="C374" s="346" t="s">
        <v>2267</v>
      </c>
      <c r="D374" s="346" t="s">
        <v>1756</v>
      </c>
      <c r="E374" s="346" t="s">
        <v>1757</v>
      </c>
      <c r="F374" s="346" t="s">
        <v>1758</v>
      </c>
      <c r="G374" s="346" t="s">
        <v>1764</v>
      </c>
      <c r="H374" s="346" t="s">
        <v>1250</v>
      </c>
      <c r="I374" s="346">
        <v>8302268</v>
      </c>
      <c r="J374" s="346" t="s">
        <v>572</v>
      </c>
      <c r="K374" s="346" t="s">
        <v>1761</v>
      </c>
      <c r="L374" s="346"/>
      <c r="M374" s="346" t="s">
        <v>1761</v>
      </c>
      <c r="N374" s="346">
        <v>0.1</v>
      </c>
      <c r="O374" s="346">
        <v>3.75</v>
      </c>
      <c r="P374" s="346">
        <v>4.5</v>
      </c>
      <c r="Q374" s="346" t="s">
        <v>1762</v>
      </c>
      <c r="R374" s="458">
        <v>1</v>
      </c>
    </row>
    <row r="375" spans="1:18" x14ac:dyDescent="0.25">
      <c r="A375" s="458">
        <v>44680</v>
      </c>
      <c r="B375" s="346">
        <v>4100000235</v>
      </c>
      <c r="C375" s="346" t="s">
        <v>1673</v>
      </c>
      <c r="D375" s="346" t="s">
        <v>1756</v>
      </c>
      <c r="E375" s="346" t="s">
        <v>1757</v>
      </c>
      <c r="F375" s="346" t="s">
        <v>1758</v>
      </c>
      <c r="G375" s="346" t="s">
        <v>1764</v>
      </c>
      <c r="H375" s="346" t="s">
        <v>1250</v>
      </c>
      <c r="I375" s="346">
        <v>1868628</v>
      </c>
      <c r="J375" s="346" t="s">
        <v>572</v>
      </c>
      <c r="K375" s="346" t="s">
        <v>1761</v>
      </c>
      <c r="L375" s="346"/>
      <c r="M375" s="346" t="s">
        <v>1761</v>
      </c>
      <c r="N375" s="346">
        <v>0.1</v>
      </c>
      <c r="O375" s="346">
        <v>5</v>
      </c>
      <c r="P375" s="346">
        <v>5.75</v>
      </c>
      <c r="Q375" s="346" t="s">
        <v>1762</v>
      </c>
      <c r="R375" s="458">
        <v>1</v>
      </c>
    </row>
    <row r="376" spans="1:18" x14ac:dyDescent="0.25">
      <c r="A376" s="458">
        <v>44680</v>
      </c>
      <c r="B376" s="346">
        <v>4100000208</v>
      </c>
      <c r="C376" s="346" t="s">
        <v>2268</v>
      </c>
      <c r="D376" s="346" t="s">
        <v>1756</v>
      </c>
      <c r="E376" s="346" t="s">
        <v>1757</v>
      </c>
      <c r="F376" s="346" t="s">
        <v>1758</v>
      </c>
      <c r="G376" s="346" t="s">
        <v>1764</v>
      </c>
      <c r="H376" s="346" t="s">
        <v>1250</v>
      </c>
      <c r="I376" s="346">
        <v>1137526.31</v>
      </c>
      <c r="J376" s="346" t="s">
        <v>572</v>
      </c>
      <c r="K376" s="346" t="s">
        <v>1761</v>
      </c>
      <c r="L376" s="346"/>
      <c r="M376" s="346" t="s">
        <v>1761</v>
      </c>
      <c r="N376" s="346">
        <v>0.26</v>
      </c>
      <c r="O376" s="346">
        <v>4.16</v>
      </c>
      <c r="P376" s="346">
        <v>4.91</v>
      </c>
      <c r="Q376" s="346" t="s">
        <v>1765</v>
      </c>
      <c r="R376" s="458">
        <v>44352</v>
      </c>
    </row>
    <row r="377" spans="1:18" x14ac:dyDescent="0.25">
      <c r="A377" s="458">
        <v>44680</v>
      </c>
      <c r="B377" s="346">
        <v>4100000237</v>
      </c>
      <c r="C377" s="346" t="s">
        <v>2269</v>
      </c>
      <c r="D377" s="346" t="s">
        <v>1756</v>
      </c>
      <c r="E377" s="346" t="s">
        <v>1757</v>
      </c>
      <c r="F377" s="346" t="s">
        <v>1758</v>
      </c>
      <c r="G377" s="346" t="s">
        <v>1764</v>
      </c>
      <c r="H377" s="346" t="s">
        <v>1250</v>
      </c>
      <c r="I377" s="346">
        <v>6880000</v>
      </c>
      <c r="J377" s="346" t="s">
        <v>572</v>
      </c>
      <c r="K377" s="346" t="s">
        <v>1761</v>
      </c>
      <c r="L377" s="346"/>
      <c r="M377" s="346" t="s">
        <v>1761</v>
      </c>
      <c r="N377" s="346">
        <v>0.55000000000000004</v>
      </c>
      <c r="O377" s="346">
        <v>5</v>
      </c>
      <c r="P377" s="346">
        <v>5.75</v>
      </c>
      <c r="Q377" s="346" t="s">
        <v>1762</v>
      </c>
      <c r="R377" s="458">
        <v>1</v>
      </c>
    </row>
    <row r="378" spans="1:18" x14ac:dyDescent="0.25">
      <c r="A378" s="458">
        <v>44680</v>
      </c>
      <c r="B378" s="346">
        <v>4100000215</v>
      </c>
      <c r="C378" s="346" t="s">
        <v>2270</v>
      </c>
      <c r="D378" s="346" t="s">
        <v>1756</v>
      </c>
      <c r="E378" s="346" t="s">
        <v>1757</v>
      </c>
      <c r="F378" s="346" t="s">
        <v>1758</v>
      </c>
      <c r="G378" s="346" t="s">
        <v>1764</v>
      </c>
      <c r="H378" s="346" t="s">
        <v>1250</v>
      </c>
      <c r="I378" s="346">
        <v>2593514.4700000002</v>
      </c>
      <c r="J378" s="346" t="s">
        <v>572</v>
      </c>
      <c r="K378" s="346" t="s">
        <v>1761</v>
      </c>
      <c r="L378" s="346"/>
      <c r="M378" s="346" t="s">
        <v>1761</v>
      </c>
      <c r="N378" s="346">
        <v>0.78</v>
      </c>
      <c r="O378" s="346">
        <v>5.24</v>
      </c>
      <c r="P378" s="346">
        <v>6.02</v>
      </c>
      <c r="Q378" s="346" t="s">
        <v>1762</v>
      </c>
      <c r="R378" s="458">
        <v>1</v>
      </c>
    </row>
    <row r="379" spans="1:18" x14ac:dyDescent="0.25">
      <c r="A379" s="458">
        <v>44680</v>
      </c>
      <c r="B379" s="346">
        <v>4100000238</v>
      </c>
      <c r="C379" s="346" t="s">
        <v>2273</v>
      </c>
      <c r="D379" s="346" t="s">
        <v>1756</v>
      </c>
      <c r="E379" s="346" t="s">
        <v>1757</v>
      </c>
      <c r="F379" s="346" t="s">
        <v>1758</v>
      </c>
      <c r="G379" s="346" t="s">
        <v>1764</v>
      </c>
      <c r="H379" s="346" t="s">
        <v>1250</v>
      </c>
      <c r="I379" s="346">
        <v>808080</v>
      </c>
      <c r="J379" s="346" t="s">
        <v>572</v>
      </c>
      <c r="K379" s="346" t="s">
        <v>1761</v>
      </c>
      <c r="L379" s="346"/>
      <c r="M379" s="346" t="s">
        <v>1761</v>
      </c>
      <c r="N379" s="346">
        <v>0.1</v>
      </c>
      <c r="O379" s="346">
        <v>4.25</v>
      </c>
      <c r="P379" s="346">
        <v>5</v>
      </c>
      <c r="Q379" s="346" t="s">
        <v>1762</v>
      </c>
      <c r="R379" s="458">
        <v>1</v>
      </c>
    </row>
    <row r="380" spans="1:18" x14ac:dyDescent="0.25">
      <c r="A380" s="458">
        <v>44680</v>
      </c>
      <c r="B380" s="346">
        <v>4100000239</v>
      </c>
      <c r="C380" s="346" t="s">
        <v>2274</v>
      </c>
      <c r="D380" s="346" t="s">
        <v>1756</v>
      </c>
      <c r="E380" s="346" t="s">
        <v>1757</v>
      </c>
      <c r="F380" s="346" t="s">
        <v>1758</v>
      </c>
      <c r="G380" s="346" t="s">
        <v>1764</v>
      </c>
      <c r="H380" s="346" t="s">
        <v>1250</v>
      </c>
      <c r="I380" s="346">
        <v>7000000</v>
      </c>
      <c r="J380" s="346" t="s">
        <v>572</v>
      </c>
      <c r="K380" s="346" t="s">
        <v>1761</v>
      </c>
      <c r="L380" s="346"/>
      <c r="M380" s="346" t="s">
        <v>1761</v>
      </c>
      <c r="N380" s="346">
        <v>0.1</v>
      </c>
      <c r="O380" s="346">
        <v>4.9000000000000004</v>
      </c>
      <c r="P380" s="346">
        <v>5.65</v>
      </c>
      <c r="Q380" s="346" t="s">
        <v>1762</v>
      </c>
      <c r="R380" s="458">
        <v>1</v>
      </c>
    </row>
    <row r="381" spans="1:18" x14ac:dyDescent="0.25">
      <c r="A381" s="458">
        <v>44680</v>
      </c>
      <c r="B381" s="346">
        <v>4100000228</v>
      </c>
      <c r="C381" s="346" t="s">
        <v>2264</v>
      </c>
      <c r="D381" s="346" t="s">
        <v>1756</v>
      </c>
      <c r="E381" s="346" t="s">
        <v>1757</v>
      </c>
      <c r="F381" s="346" t="s">
        <v>1758</v>
      </c>
      <c r="G381" s="346" t="s">
        <v>1764</v>
      </c>
      <c r="H381" s="346" t="s">
        <v>1250</v>
      </c>
      <c r="I381" s="346">
        <v>2464292</v>
      </c>
      <c r="J381" s="346" t="s">
        <v>572</v>
      </c>
      <c r="K381" s="346" t="s">
        <v>1761</v>
      </c>
      <c r="L381" s="346"/>
      <c r="M381" s="346" t="s">
        <v>1761</v>
      </c>
      <c r="N381" s="346">
        <v>0.5</v>
      </c>
      <c r="O381" s="346">
        <v>3.5</v>
      </c>
      <c r="P381" s="346">
        <v>4.25</v>
      </c>
      <c r="Q381" s="346" t="s">
        <v>1762</v>
      </c>
      <c r="R381" s="458">
        <v>1</v>
      </c>
    </row>
    <row r="382" spans="1:18" x14ac:dyDescent="0.25">
      <c r="A382" s="458">
        <v>44680</v>
      </c>
      <c r="B382" s="346">
        <v>4100000229</v>
      </c>
      <c r="C382" s="346" t="s">
        <v>2265</v>
      </c>
      <c r="D382" s="346" t="s">
        <v>1756</v>
      </c>
      <c r="E382" s="346" t="s">
        <v>1763</v>
      </c>
      <c r="F382" s="346" t="s">
        <v>1758</v>
      </c>
      <c r="G382" s="346" t="s">
        <v>1764</v>
      </c>
      <c r="H382" s="346" t="s">
        <v>1250</v>
      </c>
      <c r="I382" s="346">
        <v>0</v>
      </c>
      <c r="J382" s="346" t="s">
        <v>572</v>
      </c>
      <c r="K382" s="346" t="s">
        <v>1761</v>
      </c>
      <c r="L382" s="346"/>
      <c r="M382" s="346" t="s">
        <v>1761</v>
      </c>
      <c r="N382" s="346">
        <v>0.1</v>
      </c>
      <c r="O382" s="346">
        <v>5.5</v>
      </c>
      <c r="P382" s="346">
        <v>6.25</v>
      </c>
      <c r="Q382" s="346" t="s">
        <v>1762</v>
      </c>
      <c r="R382" s="458">
        <v>1</v>
      </c>
    </row>
    <row r="383" spans="1:18" x14ac:dyDescent="0.25">
      <c r="A383" s="458">
        <v>44680</v>
      </c>
      <c r="B383" s="346">
        <v>4100000210</v>
      </c>
      <c r="C383" s="346" t="s">
        <v>2271</v>
      </c>
      <c r="D383" s="346" t="s">
        <v>1756</v>
      </c>
      <c r="E383" s="346" t="s">
        <v>1757</v>
      </c>
      <c r="F383" s="346" t="s">
        <v>1758</v>
      </c>
      <c r="G383" s="346" t="s">
        <v>1764</v>
      </c>
      <c r="H383" s="346" t="s">
        <v>1250</v>
      </c>
      <c r="I383" s="346">
        <v>1295015.94</v>
      </c>
      <c r="J383" s="346" t="s">
        <v>572</v>
      </c>
      <c r="K383" s="346" t="s">
        <v>1761</v>
      </c>
      <c r="L383" s="346"/>
      <c r="M383" s="346" t="s">
        <v>1761</v>
      </c>
      <c r="N383" s="346">
        <v>0.8</v>
      </c>
      <c r="O383" s="346">
        <v>4.0999999999999996</v>
      </c>
      <c r="P383" s="346">
        <v>4.9000000000000004</v>
      </c>
      <c r="Q383" s="346" t="s">
        <v>1765</v>
      </c>
      <c r="R383" s="458">
        <v>44352</v>
      </c>
    </row>
    <row r="384" spans="1:18" x14ac:dyDescent="0.25">
      <c r="A384" s="458">
        <v>44680</v>
      </c>
      <c r="B384" s="346">
        <v>4100000207</v>
      </c>
      <c r="C384" s="346" t="s">
        <v>2272</v>
      </c>
      <c r="D384" s="346" t="s">
        <v>1756</v>
      </c>
      <c r="E384" s="346" t="s">
        <v>1757</v>
      </c>
      <c r="F384" s="346" t="s">
        <v>1758</v>
      </c>
      <c r="G384" s="346" t="s">
        <v>1764</v>
      </c>
      <c r="H384" s="346" t="s">
        <v>1250</v>
      </c>
      <c r="I384" s="346">
        <v>692096.82</v>
      </c>
      <c r="J384" s="346" t="s">
        <v>572</v>
      </c>
      <c r="K384" s="346" t="s">
        <v>1761</v>
      </c>
      <c r="L384" s="346"/>
      <c r="M384" s="346" t="s">
        <v>1761</v>
      </c>
      <c r="N384" s="346">
        <v>0.8</v>
      </c>
      <c r="O384" s="346">
        <v>4.0999999999999996</v>
      </c>
      <c r="P384" s="346">
        <v>4.9000000000000004</v>
      </c>
      <c r="Q384" s="346" t="s">
        <v>1765</v>
      </c>
      <c r="R384" s="458">
        <v>44352</v>
      </c>
    </row>
    <row r="385" spans="1:18" x14ac:dyDescent="0.25">
      <c r="A385" s="458">
        <v>44680</v>
      </c>
      <c r="B385" s="346">
        <v>4100000225</v>
      </c>
      <c r="C385" s="346" t="s">
        <v>2266</v>
      </c>
      <c r="D385" s="346" t="s">
        <v>1756</v>
      </c>
      <c r="E385" s="346" t="s">
        <v>1757</v>
      </c>
      <c r="F385" s="346" t="s">
        <v>1758</v>
      </c>
      <c r="G385" s="346" t="s">
        <v>1764</v>
      </c>
      <c r="H385" s="346" t="s">
        <v>1250</v>
      </c>
      <c r="I385" s="346">
        <v>10193688</v>
      </c>
      <c r="J385" s="346" t="s">
        <v>572</v>
      </c>
      <c r="K385" s="346" t="s">
        <v>1761</v>
      </c>
      <c r="L385" s="346"/>
      <c r="M385" s="346" t="s">
        <v>1761</v>
      </c>
      <c r="N385" s="346">
        <v>0.1</v>
      </c>
      <c r="O385" s="346">
        <v>6</v>
      </c>
      <c r="P385" s="346">
        <v>6.75</v>
      </c>
      <c r="Q385" s="346" t="s">
        <v>1762</v>
      </c>
      <c r="R385" s="458">
        <v>1</v>
      </c>
    </row>
    <row r="386" spans="1:18" x14ac:dyDescent="0.25">
      <c r="A386" s="458">
        <v>44680</v>
      </c>
      <c r="B386" s="346">
        <v>1100000220</v>
      </c>
      <c r="C386" s="346" t="s">
        <v>1972</v>
      </c>
      <c r="D386" s="346" t="s">
        <v>1281</v>
      </c>
      <c r="E386" s="346" t="s">
        <v>1757</v>
      </c>
      <c r="F386" s="346" t="s">
        <v>1770</v>
      </c>
      <c r="G386" s="346" t="s">
        <v>1771</v>
      </c>
      <c r="H386" s="346" t="s">
        <v>1237</v>
      </c>
      <c r="I386" s="346">
        <v>0</v>
      </c>
      <c r="J386" s="346" t="s">
        <v>572</v>
      </c>
      <c r="K386" s="346" t="s">
        <v>1761</v>
      </c>
      <c r="L386" s="346"/>
      <c r="M386" s="346" t="s">
        <v>1761</v>
      </c>
      <c r="N386" s="346">
        <v>0.1</v>
      </c>
      <c r="O386" s="346">
        <v>5.29</v>
      </c>
      <c r="P386" s="346">
        <v>6.04</v>
      </c>
      <c r="Q386" s="346" t="s">
        <v>1762</v>
      </c>
      <c r="R386" s="458">
        <v>1</v>
      </c>
    </row>
    <row r="387" spans="1:18" x14ac:dyDescent="0.25">
      <c r="A387" s="458">
        <v>44680</v>
      </c>
      <c r="B387" s="346">
        <v>1100000219</v>
      </c>
      <c r="C387" s="346" t="s">
        <v>2186</v>
      </c>
      <c r="D387" s="346" t="s">
        <v>1281</v>
      </c>
      <c r="E387" s="346" t="s">
        <v>1757</v>
      </c>
      <c r="F387" s="346" t="s">
        <v>1770</v>
      </c>
      <c r="G387" s="346" t="s">
        <v>1771</v>
      </c>
      <c r="H387" s="346" t="s">
        <v>1237</v>
      </c>
      <c r="I387" s="346">
        <v>0</v>
      </c>
      <c r="J387" s="346" t="s">
        <v>572</v>
      </c>
      <c r="K387" s="346" t="s">
        <v>1761</v>
      </c>
      <c r="L387" s="346"/>
      <c r="M387" s="346" t="s">
        <v>1761</v>
      </c>
      <c r="N387" s="346">
        <v>0.1</v>
      </c>
      <c r="O387" s="346">
        <v>5.29</v>
      </c>
      <c r="P387" s="346">
        <v>6.04</v>
      </c>
      <c r="Q387" s="346" t="s">
        <v>1762</v>
      </c>
      <c r="R387" s="458">
        <v>1</v>
      </c>
    </row>
    <row r="388" spans="1:18" x14ac:dyDescent="0.25">
      <c r="A388" s="458">
        <v>44680</v>
      </c>
      <c r="B388" s="346">
        <v>1100000223</v>
      </c>
      <c r="C388" s="346" t="s">
        <v>2275</v>
      </c>
      <c r="D388" s="346" t="s">
        <v>1756</v>
      </c>
      <c r="E388" s="346" t="s">
        <v>1757</v>
      </c>
      <c r="F388" s="346" t="s">
        <v>1758</v>
      </c>
      <c r="G388" s="346" t="s">
        <v>1771</v>
      </c>
      <c r="H388" s="346" t="s">
        <v>1237</v>
      </c>
      <c r="I388" s="346">
        <v>25500000</v>
      </c>
      <c r="J388" s="346" t="s">
        <v>572</v>
      </c>
      <c r="K388" s="346" t="s">
        <v>1761</v>
      </c>
      <c r="L388" s="346"/>
      <c r="M388" s="346" t="s">
        <v>1761</v>
      </c>
      <c r="N388" s="346">
        <v>0.77</v>
      </c>
      <c r="O388" s="346">
        <v>5.5</v>
      </c>
      <c r="P388" s="346">
        <v>6.27</v>
      </c>
      <c r="Q388" s="346" t="s">
        <v>1765</v>
      </c>
      <c r="R388" s="458">
        <v>44373</v>
      </c>
    </row>
    <row r="389" spans="1:18" x14ac:dyDescent="0.25">
      <c r="A389" s="458">
        <v>44680</v>
      </c>
      <c r="B389" s="346">
        <v>1100000218</v>
      </c>
      <c r="C389" s="346" t="s">
        <v>2276</v>
      </c>
      <c r="D389" s="346" t="s">
        <v>1756</v>
      </c>
      <c r="E389" s="346" t="s">
        <v>1757</v>
      </c>
      <c r="F389" s="346" t="s">
        <v>1758</v>
      </c>
      <c r="G389" s="346" t="s">
        <v>1771</v>
      </c>
      <c r="H389" s="346" t="s">
        <v>1237</v>
      </c>
      <c r="I389" s="346">
        <v>35000000</v>
      </c>
      <c r="J389" s="346" t="s">
        <v>572</v>
      </c>
      <c r="K389" s="346" t="s">
        <v>1761</v>
      </c>
      <c r="L389" s="346"/>
      <c r="M389" s="346" t="s">
        <v>1761</v>
      </c>
      <c r="N389" s="346">
        <v>0.1</v>
      </c>
      <c r="O389" s="346">
        <v>5.0199999999999996</v>
      </c>
      <c r="P389" s="346">
        <v>5.77</v>
      </c>
      <c r="Q389" s="346" t="s">
        <v>1762</v>
      </c>
      <c r="R389" s="458">
        <v>1</v>
      </c>
    </row>
    <row r="390" spans="1:18" x14ac:dyDescent="0.25">
      <c r="A390" s="458">
        <v>44680</v>
      </c>
      <c r="B390" s="346">
        <v>1100000229</v>
      </c>
      <c r="C390" s="346" t="s">
        <v>1973</v>
      </c>
      <c r="D390" s="346" t="s">
        <v>1281</v>
      </c>
      <c r="E390" s="346" t="s">
        <v>1757</v>
      </c>
      <c r="F390" s="346" t="s">
        <v>1770</v>
      </c>
      <c r="G390" s="346" t="s">
        <v>1771</v>
      </c>
      <c r="H390" s="346" t="s">
        <v>1237</v>
      </c>
      <c r="I390" s="346">
        <v>0</v>
      </c>
      <c r="J390" s="346" t="s">
        <v>572</v>
      </c>
      <c r="K390" s="346" t="s">
        <v>1761</v>
      </c>
      <c r="L390" s="346"/>
      <c r="M390" s="346" t="s">
        <v>1761</v>
      </c>
      <c r="N390" s="346">
        <v>0.1</v>
      </c>
      <c r="O390" s="346">
        <v>5.29</v>
      </c>
      <c r="P390" s="346">
        <v>6.04</v>
      </c>
      <c r="Q390" s="346" t="s">
        <v>1762</v>
      </c>
      <c r="R390" s="458">
        <v>1</v>
      </c>
    </row>
    <row r="391" spans="1:18" x14ac:dyDescent="0.25">
      <c r="A391" s="458">
        <v>44680</v>
      </c>
      <c r="B391" s="346">
        <v>1100000230</v>
      </c>
      <c r="C391" s="346" t="s">
        <v>2279</v>
      </c>
      <c r="D391" s="346" t="s">
        <v>1281</v>
      </c>
      <c r="E391" s="346" t="s">
        <v>1757</v>
      </c>
      <c r="F391" s="346" t="s">
        <v>1758</v>
      </c>
      <c r="G391" s="346" t="s">
        <v>1771</v>
      </c>
      <c r="H391" s="346" t="s">
        <v>1237</v>
      </c>
      <c r="I391" s="346">
        <v>5000000</v>
      </c>
      <c r="J391" s="346" t="s">
        <v>572</v>
      </c>
      <c r="K391" s="346" t="s">
        <v>1761</v>
      </c>
      <c r="L391" s="346"/>
      <c r="M391" s="346" t="s">
        <v>1761</v>
      </c>
      <c r="N391" s="346">
        <v>0.6</v>
      </c>
      <c r="O391" s="346">
        <v>4.33</v>
      </c>
      <c r="P391" s="346">
        <v>5.08</v>
      </c>
      <c r="Q391" s="346" t="s">
        <v>1762</v>
      </c>
      <c r="R391" s="458">
        <v>1</v>
      </c>
    </row>
    <row r="392" spans="1:18" x14ac:dyDescent="0.25">
      <c r="A392" s="458">
        <v>44680</v>
      </c>
      <c r="B392" s="346">
        <v>1100000226</v>
      </c>
      <c r="C392" s="346" t="s">
        <v>2281</v>
      </c>
      <c r="D392" s="346" t="s">
        <v>1756</v>
      </c>
      <c r="E392" s="346" t="s">
        <v>1757</v>
      </c>
      <c r="F392" s="346" t="s">
        <v>1758</v>
      </c>
      <c r="G392" s="346" t="s">
        <v>1771</v>
      </c>
      <c r="H392" s="346" t="s">
        <v>1237</v>
      </c>
      <c r="I392" s="346">
        <v>41800000</v>
      </c>
      <c r="J392" s="346" t="s">
        <v>572</v>
      </c>
      <c r="K392" s="346" t="s">
        <v>1761</v>
      </c>
      <c r="L392" s="346"/>
      <c r="M392" s="346" t="s">
        <v>1761</v>
      </c>
      <c r="N392" s="346">
        <v>0.1</v>
      </c>
      <c r="O392" s="346">
        <v>4.75</v>
      </c>
      <c r="P392" s="346">
        <v>5.5</v>
      </c>
      <c r="Q392" s="346" t="s">
        <v>1762</v>
      </c>
      <c r="R392" s="458">
        <v>1</v>
      </c>
    </row>
    <row r="393" spans="1:18" x14ac:dyDescent="0.25">
      <c r="A393" s="458">
        <v>44680</v>
      </c>
      <c r="B393" s="346">
        <v>1100000225</v>
      </c>
      <c r="C393" s="346" t="s">
        <v>2283</v>
      </c>
      <c r="D393" s="346" t="s">
        <v>1756</v>
      </c>
      <c r="E393" s="346" t="s">
        <v>1757</v>
      </c>
      <c r="F393" s="346" t="s">
        <v>1758</v>
      </c>
      <c r="G393" s="346" t="s">
        <v>1771</v>
      </c>
      <c r="H393" s="346" t="s">
        <v>1237</v>
      </c>
      <c r="I393" s="346">
        <v>15000000</v>
      </c>
      <c r="J393" s="346" t="s">
        <v>572</v>
      </c>
      <c r="K393" s="346" t="s">
        <v>1761</v>
      </c>
      <c r="L393" s="346"/>
      <c r="M393" s="346" t="s">
        <v>1761</v>
      </c>
      <c r="N393" s="346">
        <v>0.11</v>
      </c>
      <c r="O393" s="346">
        <v>7.25</v>
      </c>
      <c r="P393" s="346">
        <v>8</v>
      </c>
      <c r="Q393" s="346" t="s">
        <v>1762</v>
      </c>
      <c r="R393" s="458">
        <v>1</v>
      </c>
    </row>
    <row r="394" spans="1:18" x14ac:dyDescent="0.25">
      <c r="A394" s="458">
        <v>44680</v>
      </c>
      <c r="B394" s="346">
        <v>1100000209</v>
      </c>
      <c r="C394" s="346" t="s">
        <v>2284</v>
      </c>
      <c r="D394" s="346" t="s">
        <v>1281</v>
      </c>
      <c r="E394" s="346" t="s">
        <v>1757</v>
      </c>
      <c r="F394" s="346" t="s">
        <v>1758</v>
      </c>
      <c r="G394" s="346" t="s">
        <v>1771</v>
      </c>
      <c r="H394" s="346" t="s">
        <v>1237</v>
      </c>
      <c r="I394" s="346">
        <v>0</v>
      </c>
      <c r="J394" s="346" t="s">
        <v>572</v>
      </c>
      <c r="K394" s="346" t="s">
        <v>1761</v>
      </c>
      <c r="L394" s="346"/>
      <c r="M394" s="346" t="s">
        <v>1761</v>
      </c>
      <c r="N394" s="346">
        <v>0.1</v>
      </c>
      <c r="O394" s="346">
        <v>5.25</v>
      </c>
      <c r="P394" s="346">
        <v>6</v>
      </c>
      <c r="Q394" s="346" t="s">
        <v>1765</v>
      </c>
      <c r="R394" s="458">
        <v>44352</v>
      </c>
    </row>
    <row r="395" spans="1:18" x14ac:dyDescent="0.25">
      <c r="A395" s="458">
        <v>44680</v>
      </c>
      <c r="B395" s="346">
        <v>1100000234</v>
      </c>
      <c r="C395" s="346" t="s">
        <v>2285</v>
      </c>
      <c r="D395" s="346" t="s">
        <v>1756</v>
      </c>
      <c r="E395" s="346" t="s">
        <v>1757</v>
      </c>
      <c r="F395" s="346" t="s">
        <v>1758</v>
      </c>
      <c r="G395" s="346" t="s">
        <v>1771</v>
      </c>
      <c r="H395" s="346" t="s">
        <v>1237</v>
      </c>
      <c r="I395" s="346">
        <v>4800000</v>
      </c>
      <c r="J395" s="346" t="s">
        <v>572</v>
      </c>
      <c r="K395" s="346" t="s">
        <v>1761</v>
      </c>
      <c r="L395" s="346"/>
      <c r="M395" s="346" t="s">
        <v>1761</v>
      </c>
      <c r="N395" s="346">
        <v>0.1</v>
      </c>
      <c r="O395" s="346">
        <v>5.5</v>
      </c>
      <c r="P395" s="346">
        <v>6.25</v>
      </c>
      <c r="Q395" s="346" t="s">
        <v>1762</v>
      </c>
      <c r="R395" s="458">
        <v>1</v>
      </c>
    </row>
    <row r="396" spans="1:18" x14ac:dyDescent="0.25">
      <c r="A396" s="458">
        <v>44680</v>
      </c>
      <c r="B396" s="346">
        <v>1100000233</v>
      </c>
      <c r="C396" s="346" t="s">
        <v>2286</v>
      </c>
      <c r="D396" s="346" t="s">
        <v>1281</v>
      </c>
      <c r="E396" s="346" t="s">
        <v>1757</v>
      </c>
      <c r="F396" s="346" t="s">
        <v>1758</v>
      </c>
      <c r="G396" s="346" t="s">
        <v>1771</v>
      </c>
      <c r="H396" s="346" t="s">
        <v>1237</v>
      </c>
      <c r="I396" s="346">
        <v>0</v>
      </c>
      <c r="J396" s="346" t="s">
        <v>572</v>
      </c>
      <c r="K396" s="346" t="s">
        <v>1761</v>
      </c>
      <c r="L396" s="346"/>
      <c r="M396" s="346" t="s">
        <v>1761</v>
      </c>
      <c r="N396" s="346">
        <v>0.1</v>
      </c>
      <c r="O396" s="346">
        <v>5.5</v>
      </c>
      <c r="P396" s="346">
        <v>6.25</v>
      </c>
      <c r="Q396" s="346" t="s">
        <v>1762</v>
      </c>
      <c r="R396" s="458">
        <v>1</v>
      </c>
    </row>
    <row r="397" spans="1:18" x14ac:dyDescent="0.25">
      <c r="A397" s="458">
        <v>44680</v>
      </c>
      <c r="B397" s="346">
        <v>1100000236</v>
      </c>
      <c r="C397" s="346" t="s">
        <v>2287</v>
      </c>
      <c r="D397" s="346" t="s">
        <v>1756</v>
      </c>
      <c r="E397" s="346" t="s">
        <v>1757</v>
      </c>
      <c r="F397" s="346" t="s">
        <v>1758</v>
      </c>
      <c r="G397" s="346" t="s">
        <v>1771</v>
      </c>
      <c r="H397" s="346" t="s">
        <v>1237</v>
      </c>
      <c r="I397" s="66">
        <v>6750000</v>
      </c>
      <c r="J397" s="346" t="s">
        <v>572</v>
      </c>
      <c r="K397" s="346" t="s">
        <v>1761</v>
      </c>
      <c r="L397" s="346"/>
      <c r="M397" s="346" t="s">
        <v>1761</v>
      </c>
      <c r="N397" s="346">
        <v>0.1</v>
      </c>
      <c r="O397" s="346">
        <v>5.25</v>
      </c>
      <c r="P397" s="346">
        <v>6</v>
      </c>
      <c r="Q397" s="346" t="s">
        <v>1762</v>
      </c>
      <c r="R397" s="458">
        <v>1</v>
      </c>
    </row>
    <row r="398" spans="1:18" x14ac:dyDescent="0.25">
      <c r="A398" s="458">
        <v>44680</v>
      </c>
      <c r="B398" s="346">
        <v>1100000237</v>
      </c>
      <c r="C398" s="346" t="s">
        <v>2288</v>
      </c>
      <c r="D398" s="346" t="s">
        <v>1756</v>
      </c>
      <c r="E398" s="346" t="s">
        <v>1757</v>
      </c>
      <c r="F398" s="346" t="s">
        <v>1758</v>
      </c>
      <c r="G398" s="346" t="s">
        <v>1771</v>
      </c>
      <c r="H398" s="346" t="s">
        <v>1237</v>
      </c>
      <c r="I398" s="66">
        <v>7500000</v>
      </c>
      <c r="J398" s="346" t="s">
        <v>572</v>
      </c>
      <c r="K398" s="346" t="s">
        <v>1761</v>
      </c>
      <c r="L398" s="346"/>
      <c r="M398" s="346" t="s">
        <v>1761</v>
      </c>
      <c r="N398" s="346">
        <v>0.1</v>
      </c>
      <c r="O398" s="346">
        <v>5.5</v>
      </c>
      <c r="P398" s="346">
        <v>6.25</v>
      </c>
      <c r="Q398" s="346" t="s">
        <v>1762</v>
      </c>
      <c r="R398" s="458">
        <v>1</v>
      </c>
    </row>
    <row r="399" spans="1:18" x14ac:dyDescent="0.25">
      <c r="A399" s="458">
        <v>44680</v>
      </c>
      <c r="B399" s="346">
        <v>1100000238</v>
      </c>
      <c r="C399" s="346" t="s">
        <v>2289</v>
      </c>
      <c r="D399" s="346" t="s">
        <v>1281</v>
      </c>
      <c r="E399" s="346" t="s">
        <v>1757</v>
      </c>
      <c r="F399" s="346" t="s">
        <v>1758</v>
      </c>
      <c r="G399" s="346" t="s">
        <v>1771</v>
      </c>
      <c r="H399" s="346" t="s">
        <v>1237</v>
      </c>
      <c r="I399" s="66">
        <v>0</v>
      </c>
      <c r="J399" s="346" t="s">
        <v>572</v>
      </c>
      <c r="K399" s="346" t="s">
        <v>1761</v>
      </c>
      <c r="L399" s="346"/>
      <c r="M399" s="346" t="s">
        <v>1761</v>
      </c>
      <c r="N399" s="346">
        <v>0.1</v>
      </c>
      <c r="O399" s="346">
        <v>5</v>
      </c>
      <c r="P399" s="346">
        <v>5.75</v>
      </c>
      <c r="Q399" s="346" t="s">
        <v>1762</v>
      </c>
      <c r="R399" s="458">
        <v>1</v>
      </c>
    </row>
    <row r="400" spans="1:18" x14ac:dyDescent="0.25">
      <c r="A400" s="458">
        <v>44680</v>
      </c>
      <c r="B400" s="346">
        <v>1100000224</v>
      </c>
      <c r="C400" s="346" t="s">
        <v>2291</v>
      </c>
      <c r="D400" s="346" t="s">
        <v>1756</v>
      </c>
      <c r="E400" s="346" t="s">
        <v>1757</v>
      </c>
      <c r="F400" s="346" t="s">
        <v>1758</v>
      </c>
      <c r="G400" s="346" t="s">
        <v>1771</v>
      </c>
      <c r="H400" s="346" t="s">
        <v>1237</v>
      </c>
      <c r="I400" s="346">
        <v>32000000</v>
      </c>
      <c r="J400" s="346" t="s">
        <v>572</v>
      </c>
      <c r="K400" s="346" t="s">
        <v>1761</v>
      </c>
      <c r="L400" s="346"/>
      <c r="M400" s="346" t="s">
        <v>1761</v>
      </c>
      <c r="N400" s="346">
        <v>0.1</v>
      </c>
      <c r="O400" s="346">
        <v>5.75</v>
      </c>
      <c r="P400" s="346">
        <v>6.5</v>
      </c>
      <c r="Q400" s="346" t="s">
        <v>1762</v>
      </c>
      <c r="R400" s="458">
        <v>1</v>
      </c>
    </row>
    <row r="401" spans="1:18" x14ac:dyDescent="0.25">
      <c r="A401" s="458">
        <v>44680</v>
      </c>
      <c r="B401" s="346">
        <v>1100000241</v>
      </c>
      <c r="C401" s="346" t="s">
        <v>2293</v>
      </c>
      <c r="D401" s="346" t="s">
        <v>1756</v>
      </c>
      <c r="E401" s="346" t="s">
        <v>1757</v>
      </c>
      <c r="F401" s="346" t="s">
        <v>1758</v>
      </c>
      <c r="G401" s="346" t="s">
        <v>1771</v>
      </c>
      <c r="H401" s="346" t="s">
        <v>1237</v>
      </c>
      <c r="I401" s="346">
        <v>4964987</v>
      </c>
      <c r="J401" s="346" t="s">
        <v>572</v>
      </c>
      <c r="K401" s="346" t="s">
        <v>1761</v>
      </c>
      <c r="L401" s="346"/>
      <c r="M401" s="346" t="s">
        <v>1761</v>
      </c>
      <c r="N401" s="346">
        <v>0.1</v>
      </c>
      <c r="O401" s="346">
        <v>4.8499999999999996</v>
      </c>
      <c r="P401" s="346">
        <v>5.6</v>
      </c>
      <c r="Q401" s="346" t="s">
        <v>1762</v>
      </c>
      <c r="R401" s="458">
        <v>1</v>
      </c>
    </row>
    <row r="402" spans="1:18" x14ac:dyDescent="0.25">
      <c r="A402" s="458">
        <v>44680</v>
      </c>
      <c r="B402" s="346">
        <v>1100000242</v>
      </c>
      <c r="C402" s="346" t="s">
        <v>2294</v>
      </c>
      <c r="D402" s="346" t="s">
        <v>1756</v>
      </c>
      <c r="E402" s="346" t="s">
        <v>1757</v>
      </c>
      <c r="F402" s="346" t="s">
        <v>1758</v>
      </c>
      <c r="G402" s="346" t="s">
        <v>1771</v>
      </c>
      <c r="H402" s="346" t="s">
        <v>1237</v>
      </c>
      <c r="I402" s="346">
        <v>1695102</v>
      </c>
      <c r="J402" s="346" t="s">
        <v>572</v>
      </c>
      <c r="K402" s="346" t="s">
        <v>1761</v>
      </c>
      <c r="L402" s="346"/>
      <c r="M402" s="346" t="s">
        <v>1761</v>
      </c>
      <c r="N402" s="346">
        <v>0.1</v>
      </c>
      <c r="O402" s="346">
        <v>4.8499999999999996</v>
      </c>
      <c r="P402" s="346">
        <v>5.6</v>
      </c>
      <c r="Q402" s="346" t="s">
        <v>1762</v>
      </c>
      <c r="R402" s="458">
        <v>1</v>
      </c>
    </row>
    <row r="403" spans="1:18" x14ac:dyDescent="0.25">
      <c r="A403" s="458">
        <v>44680</v>
      </c>
      <c r="B403" s="346">
        <v>1100000244</v>
      </c>
      <c r="C403" s="346" t="s">
        <v>2295</v>
      </c>
      <c r="D403" s="346" t="s">
        <v>1756</v>
      </c>
      <c r="E403" s="346" t="s">
        <v>1757</v>
      </c>
      <c r="F403" s="346" t="s">
        <v>1758</v>
      </c>
      <c r="G403" s="346" t="s">
        <v>1771</v>
      </c>
      <c r="H403" s="346" t="s">
        <v>1237</v>
      </c>
      <c r="I403" s="346">
        <v>2886554</v>
      </c>
      <c r="J403" s="346" t="s">
        <v>572</v>
      </c>
      <c r="K403" s="346" t="s">
        <v>1761</v>
      </c>
      <c r="L403" s="346"/>
      <c r="M403" s="346" t="s">
        <v>1761</v>
      </c>
      <c r="N403" s="346">
        <v>0.1</v>
      </c>
      <c r="O403" s="346">
        <v>4.8499999999999996</v>
      </c>
      <c r="P403" s="346">
        <v>5.6</v>
      </c>
      <c r="Q403" s="346" t="s">
        <v>1762</v>
      </c>
      <c r="R403" s="458">
        <v>1</v>
      </c>
    </row>
    <row r="404" spans="1:18" x14ac:dyDescent="0.25">
      <c r="A404" s="458">
        <v>44680</v>
      </c>
      <c r="B404" s="346">
        <v>1100000245</v>
      </c>
      <c r="C404" s="346" t="s">
        <v>2296</v>
      </c>
      <c r="D404" s="346" t="s">
        <v>1756</v>
      </c>
      <c r="E404" s="346" t="s">
        <v>1757</v>
      </c>
      <c r="F404" s="346" t="s">
        <v>1758</v>
      </c>
      <c r="G404" s="346" t="s">
        <v>1771</v>
      </c>
      <c r="H404" s="346" t="s">
        <v>1237</v>
      </c>
      <c r="I404" s="346">
        <v>2383856</v>
      </c>
      <c r="J404" s="346" t="s">
        <v>572</v>
      </c>
      <c r="K404" s="346" t="s">
        <v>1761</v>
      </c>
      <c r="L404" s="346"/>
      <c r="M404" s="346" t="s">
        <v>1761</v>
      </c>
      <c r="N404" s="346">
        <v>0.1</v>
      </c>
      <c r="O404" s="346">
        <v>4.8499999999999996</v>
      </c>
      <c r="P404" s="346">
        <v>5.6</v>
      </c>
      <c r="Q404" s="346" t="s">
        <v>1762</v>
      </c>
      <c r="R404" s="458">
        <v>1</v>
      </c>
    </row>
    <row r="405" spans="1:18" x14ac:dyDescent="0.25">
      <c r="A405" s="458">
        <v>44680</v>
      </c>
      <c r="B405" s="346">
        <v>1100000235</v>
      </c>
      <c r="C405" s="346" t="s">
        <v>2297</v>
      </c>
      <c r="D405" s="346" t="s">
        <v>1756</v>
      </c>
      <c r="E405" s="346" t="s">
        <v>1757</v>
      </c>
      <c r="F405" s="346" t="s">
        <v>1758</v>
      </c>
      <c r="G405" s="346" t="s">
        <v>1771</v>
      </c>
      <c r="H405" s="346" t="s">
        <v>1237</v>
      </c>
      <c r="I405" s="346">
        <v>5750000</v>
      </c>
      <c r="J405" s="346" t="s">
        <v>572</v>
      </c>
      <c r="K405" s="346" t="s">
        <v>1761</v>
      </c>
      <c r="L405" s="346"/>
      <c r="M405" s="346" t="s">
        <v>1761</v>
      </c>
      <c r="N405" s="346">
        <v>0.1</v>
      </c>
      <c r="O405" s="346">
        <v>5.85</v>
      </c>
      <c r="P405" s="346">
        <v>6.6</v>
      </c>
      <c r="Q405" s="346" t="s">
        <v>1762</v>
      </c>
      <c r="R405" s="458">
        <v>1</v>
      </c>
    </row>
    <row r="406" spans="1:18" x14ac:dyDescent="0.25">
      <c r="A406" s="458">
        <v>44680</v>
      </c>
      <c r="B406" s="346">
        <v>1100000243</v>
      </c>
      <c r="C406" s="346" t="s">
        <v>2298</v>
      </c>
      <c r="D406" s="346" t="s">
        <v>1756</v>
      </c>
      <c r="E406" s="346" t="s">
        <v>1757</v>
      </c>
      <c r="F406" s="346" t="s">
        <v>1758</v>
      </c>
      <c r="G406" s="346" t="s">
        <v>1771</v>
      </c>
      <c r="H406" s="346" t="s">
        <v>1237</v>
      </c>
      <c r="I406" s="346">
        <v>3704020</v>
      </c>
      <c r="J406" s="346" t="s">
        <v>572</v>
      </c>
      <c r="K406" s="346" t="s">
        <v>1761</v>
      </c>
      <c r="L406" s="346"/>
      <c r="M406" s="346" t="s">
        <v>1761</v>
      </c>
      <c r="N406" s="346">
        <v>0.1</v>
      </c>
      <c r="O406" s="346">
        <v>4.8499999999999996</v>
      </c>
      <c r="P406" s="346">
        <v>5.6</v>
      </c>
      <c r="Q406" s="346" t="s">
        <v>1762</v>
      </c>
      <c r="R406" s="458">
        <v>1</v>
      </c>
    </row>
    <row r="407" spans="1:18" x14ac:dyDescent="0.25">
      <c r="A407" s="458">
        <v>44680</v>
      </c>
      <c r="B407" s="346">
        <v>1100000205</v>
      </c>
      <c r="C407" s="346" t="s">
        <v>2292</v>
      </c>
      <c r="D407" s="346" t="s">
        <v>1756</v>
      </c>
      <c r="E407" s="346" t="s">
        <v>1757</v>
      </c>
      <c r="F407" s="346" t="s">
        <v>1758</v>
      </c>
      <c r="G407" s="346" t="s">
        <v>1771</v>
      </c>
      <c r="H407" s="346" t="s">
        <v>1237</v>
      </c>
      <c r="I407" s="346">
        <v>2333331.0099999998</v>
      </c>
      <c r="J407" s="346" t="s">
        <v>572</v>
      </c>
      <c r="K407" s="346" t="s">
        <v>1761</v>
      </c>
      <c r="L407" s="346"/>
      <c r="M407" s="346" t="s">
        <v>1761</v>
      </c>
      <c r="N407" s="346">
        <v>0.54</v>
      </c>
      <c r="O407" s="346">
        <v>5.47</v>
      </c>
      <c r="P407" s="346">
        <v>6.22</v>
      </c>
      <c r="Q407" s="346" t="s">
        <v>1765</v>
      </c>
      <c r="R407" s="458">
        <v>44352</v>
      </c>
    </row>
    <row r="408" spans="1:18" x14ac:dyDescent="0.25">
      <c r="A408" s="458">
        <v>44680</v>
      </c>
      <c r="B408" s="346">
        <v>1100000215</v>
      </c>
      <c r="C408" s="346" t="s">
        <v>2290</v>
      </c>
      <c r="D408" s="346" t="s">
        <v>1756</v>
      </c>
      <c r="E408" s="346" t="s">
        <v>1757</v>
      </c>
      <c r="F408" s="346" t="s">
        <v>1758</v>
      </c>
      <c r="G408" s="346" t="s">
        <v>1771</v>
      </c>
      <c r="H408" s="346" t="s">
        <v>1237</v>
      </c>
      <c r="I408" s="346">
        <v>11339041.380000001</v>
      </c>
      <c r="J408" s="346" t="s">
        <v>572</v>
      </c>
      <c r="K408" s="346" t="s">
        <v>1761</v>
      </c>
      <c r="L408" s="346"/>
      <c r="M408" s="346" t="s">
        <v>1761</v>
      </c>
      <c r="N408" s="346">
        <v>0.79</v>
      </c>
      <c r="O408" s="346">
        <v>6.15</v>
      </c>
      <c r="P408" s="346">
        <v>6.94</v>
      </c>
      <c r="Q408" s="346" t="s">
        <v>1765</v>
      </c>
      <c r="R408" s="458">
        <v>44352</v>
      </c>
    </row>
    <row r="409" spans="1:18" x14ac:dyDescent="0.25">
      <c r="A409" s="458">
        <v>44680</v>
      </c>
      <c r="B409" s="346">
        <v>1100000222</v>
      </c>
      <c r="C409" s="346" t="s">
        <v>2277</v>
      </c>
      <c r="D409" s="346" t="s">
        <v>1281</v>
      </c>
      <c r="E409" s="346" t="s">
        <v>1757</v>
      </c>
      <c r="F409" s="346" t="s">
        <v>1758</v>
      </c>
      <c r="G409" s="346" t="s">
        <v>1771</v>
      </c>
      <c r="H409" s="346" t="s">
        <v>1237</v>
      </c>
      <c r="I409" s="346">
        <v>19476.13</v>
      </c>
      <c r="J409" s="346" t="s">
        <v>572</v>
      </c>
      <c r="K409" s="346" t="s">
        <v>1761</v>
      </c>
      <c r="L409" s="346"/>
      <c r="M409" s="346" t="s">
        <v>1761</v>
      </c>
      <c r="N409" s="346">
        <v>0.53</v>
      </c>
      <c r="O409" s="346">
        <v>10.5</v>
      </c>
      <c r="P409" s="346">
        <v>11.25</v>
      </c>
      <c r="Q409" s="346" t="s">
        <v>1765</v>
      </c>
      <c r="R409" s="458">
        <v>44373</v>
      </c>
    </row>
    <row r="410" spans="1:18" x14ac:dyDescent="0.25">
      <c r="A410" s="458">
        <v>44680</v>
      </c>
      <c r="B410" s="346">
        <v>1100000217</v>
      </c>
      <c r="C410" s="346" t="s">
        <v>2282</v>
      </c>
      <c r="D410" s="346" t="s">
        <v>1756</v>
      </c>
      <c r="E410" s="346" t="s">
        <v>1757</v>
      </c>
      <c r="F410" s="346" t="s">
        <v>1758</v>
      </c>
      <c r="G410" s="346" t="s">
        <v>1771</v>
      </c>
      <c r="H410" s="346" t="s">
        <v>1237</v>
      </c>
      <c r="I410" s="346">
        <v>1000000</v>
      </c>
      <c r="J410" s="346" t="s">
        <v>572</v>
      </c>
      <c r="K410" s="346" t="s">
        <v>1761</v>
      </c>
      <c r="L410" s="346"/>
      <c r="M410" s="346" t="s">
        <v>1761</v>
      </c>
      <c r="N410" s="346">
        <v>0.1</v>
      </c>
      <c r="O410" s="346">
        <v>7</v>
      </c>
      <c r="P410" s="346">
        <v>7.75</v>
      </c>
      <c r="Q410" s="346" t="s">
        <v>1762</v>
      </c>
      <c r="R410" s="458">
        <v>1</v>
      </c>
    </row>
    <row r="411" spans="1:18" x14ac:dyDescent="0.25">
      <c r="A411" s="458">
        <v>44680</v>
      </c>
      <c r="B411" s="346">
        <v>1100000231</v>
      </c>
      <c r="C411" s="346" t="s">
        <v>2280</v>
      </c>
      <c r="D411" s="346" t="s">
        <v>1756</v>
      </c>
      <c r="E411" s="346" t="s">
        <v>1757</v>
      </c>
      <c r="F411" s="346" t="s">
        <v>1758</v>
      </c>
      <c r="G411" s="346" t="s">
        <v>1771</v>
      </c>
      <c r="H411" s="346" t="s">
        <v>1237</v>
      </c>
      <c r="I411" s="346">
        <v>5489823.0499999998</v>
      </c>
      <c r="J411" s="346" t="s">
        <v>572</v>
      </c>
      <c r="K411" s="346" t="s">
        <v>1761</v>
      </c>
      <c r="L411" s="346"/>
      <c r="M411" s="346" t="s">
        <v>1761</v>
      </c>
      <c r="N411" s="346">
        <v>0.1</v>
      </c>
      <c r="O411" s="346">
        <v>6.85</v>
      </c>
      <c r="P411" s="346">
        <v>7.6</v>
      </c>
      <c r="Q411" s="346" t="s">
        <v>1762</v>
      </c>
      <c r="R411" s="458">
        <v>1</v>
      </c>
    </row>
    <row r="412" spans="1:18" x14ac:dyDescent="0.25">
      <c r="A412" s="458">
        <v>44680</v>
      </c>
      <c r="B412" s="346">
        <v>1100000232</v>
      </c>
      <c r="C412" s="346" t="s">
        <v>2278</v>
      </c>
      <c r="D412" s="346" t="s">
        <v>1756</v>
      </c>
      <c r="E412" s="346" t="s">
        <v>1763</v>
      </c>
      <c r="F412" s="346" t="s">
        <v>1758</v>
      </c>
      <c r="G412" s="346" t="s">
        <v>1771</v>
      </c>
      <c r="H412" s="346" t="s">
        <v>1237</v>
      </c>
      <c r="I412" s="346">
        <v>0</v>
      </c>
      <c r="J412" s="346" t="s">
        <v>572</v>
      </c>
      <c r="K412" s="346" t="s">
        <v>1761</v>
      </c>
      <c r="L412" s="346"/>
      <c r="M412" s="346" t="s">
        <v>1761</v>
      </c>
      <c r="N412" s="346">
        <v>0.1</v>
      </c>
      <c r="O412" s="346">
        <v>6.25</v>
      </c>
      <c r="P412" s="346">
        <v>7</v>
      </c>
      <c r="Q412" s="346" t="s">
        <v>1762</v>
      </c>
      <c r="R412" s="458">
        <v>1</v>
      </c>
    </row>
    <row r="413" spans="1:18" x14ac:dyDescent="0.25">
      <c r="A413" s="458">
        <v>44680</v>
      </c>
      <c r="B413" s="346">
        <v>6100000170</v>
      </c>
      <c r="C413" s="346" t="s">
        <v>2299</v>
      </c>
      <c r="D413" s="346" t="s">
        <v>1281</v>
      </c>
      <c r="E413" s="346" t="s">
        <v>1757</v>
      </c>
      <c r="F413" s="346" t="s">
        <v>1770</v>
      </c>
      <c r="G413" s="346" t="s">
        <v>1772</v>
      </c>
      <c r="H413" s="346" t="s">
        <v>1773</v>
      </c>
      <c r="I413" s="346">
        <v>800000</v>
      </c>
      <c r="J413" s="346" t="s">
        <v>572</v>
      </c>
      <c r="K413" s="346" t="s">
        <v>1761</v>
      </c>
      <c r="L413" s="346"/>
      <c r="M413" s="346" t="s">
        <v>1761</v>
      </c>
      <c r="N413" s="346">
        <v>0.1</v>
      </c>
      <c r="O413" s="346">
        <v>6.15</v>
      </c>
      <c r="P413" s="346">
        <v>6.9</v>
      </c>
      <c r="Q413" s="346" t="s">
        <v>1762</v>
      </c>
      <c r="R413" s="458">
        <v>1</v>
      </c>
    </row>
    <row r="414" spans="1:18" x14ac:dyDescent="0.25">
      <c r="A414" s="458">
        <v>44680</v>
      </c>
      <c r="B414" s="346">
        <v>6100000172</v>
      </c>
      <c r="C414" s="346" t="s">
        <v>2092</v>
      </c>
      <c r="D414" s="346" t="s">
        <v>1281</v>
      </c>
      <c r="E414" s="346" t="s">
        <v>1757</v>
      </c>
      <c r="F414" s="346" t="s">
        <v>1770</v>
      </c>
      <c r="G414" s="346" t="s">
        <v>1772</v>
      </c>
      <c r="H414" s="346" t="s">
        <v>1773</v>
      </c>
      <c r="I414" s="346">
        <v>305484.48</v>
      </c>
      <c r="J414" s="346" t="s">
        <v>572</v>
      </c>
      <c r="K414" s="346" t="s">
        <v>1761</v>
      </c>
      <c r="L414" s="346"/>
      <c r="M414" s="346" t="s">
        <v>1761</v>
      </c>
      <c r="N414" s="346">
        <v>0.85</v>
      </c>
      <c r="O414" s="346">
        <v>5.62</v>
      </c>
      <c r="P414" s="346">
        <v>6.47</v>
      </c>
      <c r="Q414" s="346" t="s">
        <v>1762</v>
      </c>
      <c r="R414" s="458">
        <v>1</v>
      </c>
    </row>
    <row r="415" spans="1:18" x14ac:dyDescent="0.25">
      <c r="A415" s="458">
        <v>44680</v>
      </c>
      <c r="B415" s="346">
        <v>6100000171</v>
      </c>
      <c r="C415" s="346" t="s">
        <v>2094</v>
      </c>
      <c r="D415" s="346" t="s">
        <v>1281</v>
      </c>
      <c r="E415" s="346" t="s">
        <v>1757</v>
      </c>
      <c r="F415" s="346" t="s">
        <v>1770</v>
      </c>
      <c r="G415" s="346" t="s">
        <v>1772</v>
      </c>
      <c r="H415" s="346" t="s">
        <v>1773</v>
      </c>
      <c r="I415" s="346">
        <v>400000</v>
      </c>
      <c r="J415" s="346" t="s">
        <v>572</v>
      </c>
      <c r="K415" s="346" t="s">
        <v>1761</v>
      </c>
      <c r="L415" s="346"/>
      <c r="M415" s="346" t="s">
        <v>1761</v>
      </c>
      <c r="N415" s="346">
        <v>0.1</v>
      </c>
      <c r="O415" s="346">
        <v>5.98</v>
      </c>
      <c r="P415" s="346">
        <v>6.73</v>
      </c>
      <c r="Q415" s="346" t="s">
        <v>1762</v>
      </c>
      <c r="R415" s="458">
        <v>1</v>
      </c>
    </row>
    <row r="416" spans="1:18" x14ac:dyDescent="0.25">
      <c r="A416" s="458">
        <v>44680</v>
      </c>
      <c r="B416" s="346">
        <v>6100000175</v>
      </c>
      <c r="C416" s="346" t="s">
        <v>2088</v>
      </c>
      <c r="D416" s="346" t="s">
        <v>1281</v>
      </c>
      <c r="E416" s="346" t="s">
        <v>1757</v>
      </c>
      <c r="F416" s="346" t="s">
        <v>1770</v>
      </c>
      <c r="G416" s="346" t="s">
        <v>1772</v>
      </c>
      <c r="H416" s="346" t="s">
        <v>1773</v>
      </c>
      <c r="I416" s="346">
        <v>190551.41</v>
      </c>
      <c r="J416" s="346" t="s">
        <v>572</v>
      </c>
      <c r="K416" s="346" t="s">
        <v>1761</v>
      </c>
      <c r="L416" s="346"/>
      <c r="M416" s="346" t="s">
        <v>1761</v>
      </c>
      <c r="N416" s="346">
        <v>0.85</v>
      </c>
      <c r="O416" s="346">
        <v>5.62</v>
      </c>
      <c r="P416" s="346">
        <v>6.47</v>
      </c>
      <c r="Q416" s="346" t="s">
        <v>1762</v>
      </c>
      <c r="R416" s="458">
        <v>1</v>
      </c>
    </row>
    <row r="417" spans="1:18" x14ac:dyDescent="0.25">
      <c r="A417" s="458">
        <v>44680</v>
      </c>
      <c r="B417" s="346">
        <v>6100000177</v>
      </c>
      <c r="C417" s="346" t="s">
        <v>2301</v>
      </c>
      <c r="D417" s="346" t="s">
        <v>1281</v>
      </c>
      <c r="E417" s="346" t="s">
        <v>1757</v>
      </c>
      <c r="F417" s="346" t="s">
        <v>1770</v>
      </c>
      <c r="G417" s="346" t="s">
        <v>1772</v>
      </c>
      <c r="H417" s="346" t="s">
        <v>1773</v>
      </c>
      <c r="I417" s="346">
        <v>984000</v>
      </c>
      <c r="J417" s="346" t="s">
        <v>572</v>
      </c>
      <c r="K417" s="346" t="s">
        <v>1761</v>
      </c>
      <c r="L417" s="346"/>
      <c r="M417" s="346" t="s">
        <v>1761</v>
      </c>
      <c r="N417" s="346">
        <v>0.1</v>
      </c>
      <c r="O417" s="346">
        <v>6.15</v>
      </c>
      <c r="P417" s="346">
        <v>6.9</v>
      </c>
      <c r="Q417" s="346" t="s">
        <v>1762</v>
      </c>
      <c r="R417" s="458">
        <v>1</v>
      </c>
    </row>
    <row r="418" spans="1:18" x14ac:dyDescent="0.25">
      <c r="A418" s="458">
        <v>44680</v>
      </c>
      <c r="B418" s="346">
        <v>6100000176</v>
      </c>
      <c r="C418" s="346" t="s">
        <v>2086</v>
      </c>
      <c r="D418" s="346" t="s">
        <v>1281</v>
      </c>
      <c r="E418" s="346" t="s">
        <v>1757</v>
      </c>
      <c r="F418" s="346" t="s">
        <v>1770</v>
      </c>
      <c r="G418" s="346" t="s">
        <v>1772</v>
      </c>
      <c r="H418" s="346" t="s">
        <v>1773</v>
      </c>
      <c r="I418" s="346">
        <v>99909.14</v>
      </c>
      <c r="J418" s="346" t="s">
        <v>572</v>
      </c>
      <c r="K418" s="346" t="s">
        <v>1761</v>
      </c>
      <c r="L418" s="346"/>
      <c r="M418" s="346" t="s">
        <v>1761</v>
      </c>
      <c r="N418" s="346">
        <v>0.85</v>
      </c>
      <c r="O418" s="346">
        <v>5.62</v>
      </c>
      <c r="P418" s="346">
        <v>6.47</v>
      </c>
      <c r="Q418" s="346" t="s">
        <v>1762</v>
      </c>
      <c r="R418" s="458">
        <v>1</v>
      </c>
    </row>
    <row r="419" spans="1:18" x14ac:dyDescent="0.25">
      <c r="A419" s="458">
        <v>44680</v>
      </c>
      <c r="B419" s="346">
        <v>6100000178</v>
      </c>
      <c r="C419" s="346" t="s">
        <v>2302</v>
      </c>
      <c r="D419" s="346" t="s">
        <v>1281</v>
      </c>
      <c r="E419" s="346" t="s">
        <v>1757</v>
      </c>
      <c r="F419" s="346" t="s">
        <v>1770</v>
      </c>
      <c r="G419" s="346" t="s">
        <v>1772</v>
      </c>
      <c r="H419" s="346" t="s">
        <v>1773</v>
      </c>
      <c r="I419" s="346">
        <v>288179.88</v>
      </c>
      <c r="J419" s="346" t="s">
        <v>572</v>
      </c>
      <c r="K419" s="346" t="s">
        <v>1761</v>
      </c>
      <c r="L419" s="346"/>
      <c r="M419" s="346" t="s">
        <v>1761</v>
      </c>
      <c r="N419" s="346">
        <v>0.85</v>
      </c>
      <c r="O419" s="346">
        <v>5.62</v>
      </c>
      <c r="P419" s="346">
        <v>6.47</v>
      </c>
      <c r="Q419" s="346" t="s">
        <v>1762</v>
      </c>
      <c r="R419" s="458">
        <v>1</v>
      </c>
    </row>
    <row r="420" spans="1:18" x14ac:dyDescent="0.25">
      <c r="A420" s="458">
        <v>44680</v>
      </c>
      <c r="B420" s="346">
        <v>6100000181</v>
      </c>
      <c r="C420" s="346" t="s">
        <v>2087</v>
      </c>
      <c r="D420" s="346" t="s">
        <v>1281</v>
      </c>
      <c r="E420" s="346" t="s">
        <v>1757</v>
      </c>
      <c r="F420" s="346" t="s">
        <v>1770</v>
      </c>
      <c r="G420" s="346" t="s">
        <v>1772</v>
      </c>
      <c r="H420" s="346" t="s">
        <v>1773</v>
      </c>
      <c r="I420" s="346">
        <v>72369.2</v>
      </c>
      <c r="J420" s="346" t="s">
        <v>572</v>
      </c>
      <c r="K420" s="346" t="s">
        <v>1761</v>
      </c>
      <c r="L420" s="346"/>
      <c r="M420" s="346" t="s">
        <v>1761</v>
      </c>
      <c r="N420" s="346">
        <v>0.85</v>
      </c>
      <c r="O420" s="346">
        <v>5.62</v>
      </c>
      <c r="P420" s="346">
        <v>6.47</v>
      </c>
      <c r="Q420" s="346" t="s">
        <v>1762</v>
      </c>
      <c r="R420" s="458">
        <v>1</v>
      </c>
    </row>
    <row r="421" spans="1:18" x14ac:dyDescent="0.25">
      <c r="A421" s="458">
        <v>44680</v>
      </c>
      <c r="B421" s="346">
        <v>6100000183</v>
      </c>
      <c r="C421" s="346" t="s">
        <v>2091</v>
      </c>
      <c r="D421" s="346" t="s">
        <v>1281</v>
      </c>
      <c r="E421" s="346" t="s">
        <v>1757</v>
      </c>
      <c r="F421" s="346" t="s">
        <v>1770</v>
      </c>
      <c r="G421" s="346" t="s">
        <v>1772</v>
      </c>
      <c r="H421" s="346" t="s">
        <v>1773</v>
      </c>
      <c r="I421" s="346">
        <v>140639.26999999999</v>
      </c>
      <c r="J421" s="346" t="s">
        <v>572</v>
      </c>
      <c r="K421" s="346" t="s">
        <v>1761</v>
      </c>
      <c r="L421" s="346"/>
      <c r="M421" s="346" t="s">
        <v>1761</v>
      </c>
      <c r="N421" s="346">
        <v>0.85</v>
      </c>
      <c r="O421" s="346">
        <v>5.62</v>
      </c>
      <c r="P421" s="346">
        <v>6.47</v>
      </c>
      <c r="Q421" s="346" t="s">
        <v>1762</v>
      </c>
      <c r="R421" s="458">
        <v>1</v>
      </c>
    </row>
    <row r="422" spans="1:18" x14ac:dyDescent="0.25">
      <c r="A422" s="458">
        <v>44680</v>
      </c>
      <c r="B422" s="346">
        <v>6100000184</v>
      </c>
      <c r="C422" s="346" t="s">
        <v>2088</v>
      </c>
      <c r="D422" s="346" t="s">
        <v>1281</v>
      </c>
      <c r="E422" s="346" t="s">
        <v>1757</v>
      </c>
      <c r="F422" s="346" t="s">
        <v>1770</v>
      </c>
      <c r="G422" s="346" t="s">
        <v>1772</v>
      </c>
      <c r="H422" s="346" t="s">
        <v>1773</v>
      </c>
      <c r="I422" s="346">
        <v>284362.43</v>
      </c>
      <c r="J422" s="346" t="s">
        <v>572</v>
      </c>
      <c r="K422" s="346" t="s">
        <v>1761</v>
      </c>
      <c r="L422" s="346"/>
      <c r="M422" s="346" t="s">
        <v>1761</v>
      </c>
      <c r="N422" s="346">
        <v>0.85</v>
      </c>
      <c r="O422" s="346">
        <v>5.62</v>
      </c>
      <c r="P422" s="346">
        <v>6.47</v>
      </c>
      <c r="Q422" s="346" t="s">
        <v>1762</v>
      </c>
      <c r="R422" s="458">
        <v>1</v>
      </c>
    </row>
    <row r="423" spans="1:18" x14ac:dyDescent="0.25">
      <c r="A423" s="458">
        <v>44680</v>
      </c>
      <c r="B423" s="346">
        <v>6100000187</v>
      </c>
      <c r="C423" s="346" t="s">
        <v>2093</v>
      </c>
      <c r="D423" s="346" t="s">
        <v>1281</v>
      </c>
      <c r="E423" s="346" t="s">
        <v>1757</v>
      </c>
      <c r="F423" s="346" t="s">
        <v>1770</v>
      </c>
      <c r="G423" s="346" t="s">
        <v>1772</v>
      </c>
      <c r="H423" s="346" t="s">
        <v>1773</v>
      </c>
      <c r="I423" s="346">
        <v>100316.17</v>
      </c>
      <c r="J423" s="346" t="s">
        <v>572</v>
      </c>
      <c r="K423" s="346" t="s">
        <v>1761</v>
      </c>
      <c r="L423" s="346"/>
      <c r="M423" s="346" t="s">
        <v>1761</v>
      </c>
      <c r="N423" s="346">
        <v>0.85</v>
      </c>
      <c r="O423" s="346">
        <v>5.62</v>
      </c>
      <c r="P423" s="346">
        <v>6.47</v>
      </c>
      <c r="Q423" s="346" t="s">
        <v>1762</v>
      </c>
      <c r="R423" s="458">
        <v>1</v>
      </c>
    </row>
    <row r="424" spans="1:18" x14ac:dyDescent="0.25">
      <c r="A424" s="458">
        <v>44680</v>
      </c>
      <c r="B424" s="346">
        <v>6100000186</v>
      </c>
      <c r="C424" s="346" t="s">
        <v>2092</v>
      </c>
      <c r="D424" s="346" t="s">
        <v>1281</v>
      </c>
      <c r="E424" s="346" t="s">
        <v>1757</v>
      </c>
      <c r="F424" s="346" t="s">
        <v>1770</v>
      </c>
      <c r="G424" s="346" t="s">
        <v>1772</v>
      </c>
      <c r="H424" s="346" t="s">
        <v>1773</v>
      </c>
      <c r="I424" s="346">
        <v>370024.84</v>
      </c>
      <c r="J424" s="346" t="s">
        <v>572</v>
      </c>
      <c r="K424" s="346" t="s">
        <v>1761</v>
      </c>
      <c r="L424" s="346"/>
      <c r="M424" s="346" t="s">
        <v>1761</v>
      </c>
      <c r="N424" s="346">
        <v>0.85</v>
      </c>
      <c r="O424" s="346">
        <v>5.62</v>
      </c>
      <c r="P424" s="346">
        <v>6.47</v>
      </c>
      <c r="Q424" s="346" t="s">
        <v>1762</v>
      </c>
      <c r="R424" s="458">
        <v>1</v>
      </c>
    </row>
    <row r="425" spans="1:18" x14ac:dyDescent="0.25">
      <c r="A425" s="458">
        <v>44680</v>
      </c>
      <c r="B425" s="346">
        <v>6100000188</v>
      </c>
      <c r="C425" s="346" t="s">
        <v>2303</v>
      </c>
      <c r="D425" s="346" t="s">
        <v>1281</v>
      </c>
      <c r="E425" s="346" t="s">
        <v>1757</v>
      </c>
      <c r="F425" s="346" t="s">
        <v>1770</v>
      </c>
      <c r="G425" s="346" t="s">
        <v>1772</v>
      </c>
      <c r="H425" s="346" t="s">
        <v>1773</v>
      </c>
      <c r="I425" s="346">
        <v>1250000</v>
      </c>
      <c r="J425" s="346" t="s">
        <v>572</v>
      </c>
      <c r="K425" s="346" t="s">
        <v>1761</v>
      </c>
      <c r="L425" s="346"/>
      <c r="M425" s="346" t="s">
        <v>1761</v>
      </c>
      <c r="N425" s="346">
        <v>0.1</v>
      </c>
      <c r="O425" s="346">
        <v>6.15</v>
      </c>
      <c r="P425" s="346">
        <v>6.9</v>
      </c>
      <c r="Q425" s="346" t="s">
        <v>1762</v>
      </c>
      <c r="R425" s="458">
        <v>1</v>
      </c>
    </row>
    <row r="426" spans="1:18" x14ac:dyDescent="0.25">
      <c r="A426" s="458">
        <v>44680</v>
      </c>
      <c r="B426" s="346">
        <v>6100000189</v>
      </c>
      <c r="C426" s="346" t="s">
        <v>2090</v>
      </c>
      <c r="D426" s="346" t="s">
        <v>1281</v>
      </c>
      <c r="E426" s="346" t="s">
        <v>1757</v>
      </c>
      <c r="F426" s="346" t="s">
        <v>1770</v>
      </c>
      <c r="G426" s="346" t="s">
        <v>1772</v>
      </c>
      <c r="H426" s="346" t="s">
        <v>1773</v>
      </c>
      <c r="I426" s="346">
        <v>56225.34</v>
      </c>
      <c r="J426" s="346" t="s">
        <v>572</v>
      </c>
      <c r="K426" s="346" t="s">
        <v>1761</v>
      </c>
      <c r="L426" s="346"/>
      <c r="M426" s="346" t="s">
        <v>1761</v>
      </c>
      <c r="N426" s="346">
        <v>0.85</v>
      </c>
      <c r="O426" s="346">
        <v>5.62</v>
      </c>
      <c r="P426" s="346">
        <v>6.47</v>
      </c>
      <c r="Q426" s="346" t="s">
        <v>1762</v>
      </c>
      <c r="R426" s="458">
        <v>1</v>
      </c>
    </row>
    <row r="427" spans="1:18" x14ac:dyDescent="0.25">
      <c r="A427" s="458">
        <v>44680</v>
      </c>
      <c r="B427" s="346">
        <v>6100000192</v>
      </c>
      <c r="C427" s="346" t="s">
        <v>2086</v>
      </c>
      <c r="D427" s="346" t="s">
        <v>1281</v>
      </c>
      <c r="E427" s="346" t="s">
        <v>1757</v>
      </c>
      <c r="F427" s="346" t="s">
        <v>1770</v>
      </c>
      <c r="G427" s="346" t="s">
        <v>1772</v>
      </c>
      <c r="H427" s="346" t="s">
        <v>1773</v>
      </c>
      <c r="I427" s="346">
        <v>146908.26999999999</v>
      </c>
      <c r="J427" s="346" t="s">
        <v>572</v>
      </c>
      <c r="K427" s="346" t="s">
        <v>1761</v>
      </c>
      <c r="L427" s="346"/>
      <c r="M427" s="346" t="s">
        <v>1761</v>
      </c>
      <c r="N427" s="346">
        <v>0.85</v>
      </c>
      <c r="O427" s="346">
        <v>5.62</v>
      </c>
      <c r="P427" s="346">
        <v>6.47</v>
      </c>
      <c r="Q427" s="346" t="s">
        <v>1762</v>
      </c>
      <c r="R427" s="458">
        <v>1</v>
      </c>
    </row>
    <row r="428" spans="1:18" x14ac:dyDescent="0.25">
      <c r="A428" s="458">
        <v>44680</v>
      </c>
      <c r="B428" s="346">
        <v>6100000193</v>
      </c>
      <c r="C428" s="346" t="s">
        <v>2090</v>
      </c>
      <c r="D428" s="346" t="s">
        <v>1281</v>
      </c>
      <c r="E428" s="346" t="s">
        <v>1757</v>
      </c>
      <c r="F428" s="346" t="s">
        <v>1770</v>
      </c>
      <c r="G428" s="346" t="s">
        <v>1772</v>
      </c>
      <c r="H428" s="346" t="s">
        <v>1773</v>
      </c>
      <c r="I428" s="346">
        <v>74601.34</v>
      </c>
      <c r="J428" s="346" t="s">
        <v>572</v>
      </c>
      <c r="K428" s="346" t="s">
        <v>1761</v>
      </c>
      <c r="L428" s="346"/>
      <c r="M428" s="346" t="s">
        <v>1761</v>
      </c>
      <c r="N428" s="346">
        <v>0.85</v>
      </c>
      <c r="O428" s="346">
        <v>5.62</v>
      </c>
      <c r="P428" s="346">
        <v>6.47</v>
      </c>
      <c r="Q428" s="346" t="s">
        <v>1762</v>
      </c>
      <c r="R428" s="458">
        <v>1</v>
      </c>
    </row>
    <row r="429" spans="1:18" x14ac:dyDescent="0.25">
      <c r="A429" s="458">
        <v>44680</v>
      </c>
      <c r="B429" s="346">
        <v>6100000194</v>
      </c>
      <c r="C429" s="346" t="s">
        <v>2093</v>
      </c>
      <c r="D429" s="346" t="s">
        <v>1281</v>
      </c>
      <c r="E429" s="346" t="s">
        <v>1757</v>
      </c>
      <c r="F429" s="346" t="s">
        <v>1770</v>
      </c>
      <c r="G429" s="346" t="s">
        <v>1772</v>
      </c>
      <c r="H429" s="346" t="s">
        <v>1773</v>
      </c>
      <c r="I429" s="346">
        <v>45609.11</v>
      </c>
      <c r="J429" s="346" t="s">
        <v>572</v>
      </c>
      <c r="K429" s="346" t="s">
        <v>1761</v>
      </c>
      <c r="L429" s="346"/>
      <c r="M429" s="346" t="s">
        <v>1761</v>
      </c>
      <c r="N429" s="346">
        <v>0.85</v>
      </c>
      <c r="O429" s="346">
        <v>5.62</v>
      </c>
      <c r="P429" s="346">
        <v>6.47</v>
      </c>
      <c r="Q429" s="346" t="s">
        <v>1762</v>
      </c>
      <c r="R429" s="458">
        <v>1</v>
      </c>
    </row>
    <row r="430" spans="1:18" x14ac:dyDescent="0.25">
      <c r="A430" s="458">
        <v>44680</v>
      </c>
      <c r="B430" s="346">
        <v>6100000190</v>
      </c>
      <c r="C430" s="346" t="s">
        <v>1686</v>
      </c>
      <c r="D430" s="346" t="s">
        <v>1756</v>
      </c>
      <c r="E430" s="346" t="s">
        <v>1757</v>
      </c>
      <c r="F430" s="346" t="s">
        <v>1758</v>
      </c>
      <c r="G430" s="346" t="s">
        <v>1772</v>
      </c>
      <c r="H430" s="346" t="s">
        <v>1773</v>
      </c>
      <c r="I430" s="346">
        <v>5360510.7</v>
      </c>
      <c r="J430" s="346" t="s">
        <v>572</v>
      </c>
      <c r="K430" s="346" t="s">
        <v>1761</v>
      </c>
      <c r="L430" s="346"/>
      <c r="M430" s="346" t="s">
        <v>1761</v>
      </c>
      <c r="N430" s="346">
        <v>0.1</v>
      </c>
      <c r="O430" s="346">
        <v>5.25</v>
      </c>
      <c r="P430" s="346">
        <v>6</v>
      </c>
      <c r="Q430" s="346" t="s">
        <v>1762</v>
      </c>
      <c r="R430" s="458">
        <v>1</v>
      </c>
    </row>
    <row r="431" spans="1:18" x14ac:dyDescent="0.25">
      <c r="A431" s="458">
        <v>44680</v>
      </c>
      <c r="B431" s="346">
        <v>6100000196</v>
      </c>
      <c r="C431" s="346" t="s">
        <v>2092</v>
      </c>
      <c r="D431" s="346" t="s">
        <v>1281</v>
      </c>
      <c r="E431" s="346" t="s">
        <v>1757</v>
      </c>
      <c r="F431" s="346" t="s">
        <v>1770</v>
      </c>
      <c r="G431" s="346" t="s">
        <v>1772</v>
      </c>
      <c r="H431" s="346" t="s">
        <v>1773</v>
      </c>
      <c r="I431" s="346">
        <v>418415.62</v>
      </c>
      <c r="J431" s="346" t="s">
        <v>572</v>
      </c>
      <c r="K431" s="346" t="s">
        <v>1761</v>
      </c>
      <c r="L431" s="346"/>
      <c r="M431" s="346" t="s">
        <v>1761</v>
      </c>
      <c r="N431" s="346">
        <v>0.85</v>
      </c>
      <c r="O431" s="346">
        <v>5.62</v>
      </c>
      <c r="P431" s="346">
        <v>6.47</v>
      </c>
      <c r="Q431" s="346" t="s">
        <v>1762</v>
      </c>
      <c r="R431" s="458">
        <v>1</v>
      </c>
    </row>
    <row r="432" spans="1:18" x14ac:dyDescent="0.25">
      <c r="A432" s="458">
        <v>44680</v>
      </c>
      <c r="B432" s="346">
        <v>6100000195</v>
      </c>
      <c r="C432" s="346" t="s">
        <v>2304</v>
      </c>
      <c r="D432" s="346" t="s">
        <v>1281</v>
      </c>
      <c r="E432" s="346" t="s">
        <v>1757</v>
      </c>
      <c r="F432" s="346" t="s">
        <v>1770</v>
      </c>
      <c r="G432" s="346" t="s">
        <v>1772</v>
      </c>
      <c r="H432" s="346" t="s">
        <v>1773</v>
      </c>
      <c r="I432" s="346">
        <v>257179.51999999999</v>
      </c>
      <c r="J432" s="346" t="s">
        <v>572</v>
      </c>
      <c r="K432" s="346" t="s">
        <v>1761</v>
      </c>
      <c r="L432" s="346"/>
      <c r="M432" s="346" t="s">
        <v>1761</v>
      </c>
      <c r="N432" s="346">
        <v>0.85</v>
      </c>
      <c r="O432" s="346">
        <v>5.62</v>
      </c>
      <c r="P432" s="346">
        <v>6.47</v>
      </c>
      <c r="Q432" s="346" t="s">
        <v>1762</v>
      </c>
      <c r="R432" s="458">
        <v>1</v>
      </c>
    </row>
    <row r="433" spans="1:18" x14ac:dyDescent="0.25">
      <c r="A433" s="458">
        <v>44680</v>
      </c>
      <c r="B433" s="346">
        <v>6100000198</v>
      </c>
      <c r="C433" s="346" t="s">
        <v>2087</v>
      </c>
      <c r="D433" s="346" t="s">
        <v>1281</v>
      </c>
      <c r="E433" s="346" t="s">
        <v>1757</v>
      </c>
      <c r="F433" s="346" t="s">
        <v>1770</v>
      </c>
      <c r="G433" s="346" t="s">
        <v>1772</v>
      </c>
      <c r="H433" s="346" t="s">
        <v>1773</v>
      </c>
      <c r="I433" s="346">
        <v>62780.39</v>
      </c>
      <c r="J433" s="346" t="s">
        <v>572</v>
      </c>
      <c r="K433" s="346" t="s">
        <v>1761</v>
      </c>
      <c r="L433" s="346"/>
      <c r="M433" s="346" t="s">
        <v>1761</v>
      </c>
      <c r="N433" s="346">
        <v>0.85</v>
      </c>
      <c r="O433" s="346">
        <v>5.62</v>
      </c>
      <c r="P433" s="346">
        <v>6.47</v>
      </c>
      <c r="Q433" s="346" t="s">
        <v>1762</v>
      </c>
      <c r="R433" s="458">
        <v>1</v>
      </c>
    </row>
    <row r="434" spans="1:18" x14ac:dyDescent="0.25">
      <c r="A434" s="458">
        <v>44680</v>
      </c>
      <c r="B434" s="346">
        <v>6100000197</v>
      </c>
      <c r="C434" s="346" t="s">
        <v>2091</v>
      </c>
      <c r="D434" s="346" t="s">
        <v>1281</v>
      </c>
      <c r="E434" s="346" t="s">
        <v>1757</v>
      </c>
      <c r="F434" s="346" t="s">
        <v>1770</v>
      </c>
      <c r="G434" s="346" t="s">
        <v>1772</v>
      </c>
      <c r="H434" s="346" t="s">
        <v>1773</v>
      </c>
      <c r="I434" s="346">
        <v>145494.57999999999</v>
      </c>
      <c r="J434" s="346" t="s">
        <v>572</v>
      </c>
      <c r="K434" s="346" t="s">
        <v>1761</v>
      </c>
      <c r="L434" s="346"/>
      <c r="M434" s="346" t="s">
        <v>1761</v>
      </c>
      <c r="N434" s="346">
        <v>0.85</v>
      </c>
      <c r="O434" s="346">
        <v>5.62</v>
      </c>
      <c r="P434" s="346">
        <v>6.47</v>
      </c>
      <c r="Q434" s="346" t="s">
        <v>1762</v>
      </c>
      <c r="R434" s="458">
        <v>1</v>
      </c>
    </row>
    <row r="435" spans="1:18" x14ac:dyDescent="0.25">
      <c r="A435" s="458">
        <v>44680</v>
      </c>
      <c r="B435" s="346">
        <v>6100000191</v>
      </c>
      <c r="C435" s="346" t="s">
        <v>2307</v>
      </c>
      <c r="D435" s="346" t="s">
        <v>1756</v>
      </c>
      <c r="E435" s="346" t="s">
        <v>1757</v>
      </c>
      <c r="F435" s="346" t="s">
        <v>1758</v>
      </c>
      <c r="G435" s="346" t="s">
        <v>1772</v>
      </c>
      <c r="H435" s="346" t="s">
        <v>1773</v>
      </c>
      <c r="I435" s="346">
        <v>8715744.2799999993</v>
      </c>
      <c r="J435" s="346" t="s">
        <v>572</v>
      </c>
      <c r="K435" s="346" t="s">
        <v>1761</v>
      </c>
      <c r="L435" s="346"/>
      <c r="M435" s="346" t="s">
        <v>1761</v>
      </c>
      <c r="N435" s="346">
        <v>0.1</v>
      </c>
      <c r="O435" s="346">
        <v>5</v>
      </c>
      <c r="P435" s="346">
        <v>5.75</v>
      </c>
      <c r="Q435" s="346" t="s">
        <v>1762</v>
      </c>
      <c r="R435" s="458">
        <v>1</v>
      </c>
    </row>
    <row r="436" spans="1:18" x14ac:dyDescent="0.25">
      <c r="A436" s="458">
        <v>44680</v>
      </c>
      <c r="B436" s="346">
        <v>6100000173</v>
      </c>
      <c r="C436" s="346" t="s">
        <v>2300</v>
      </c>
      <c r="D436" s="346" t="s">
        <v>1756</v>
      </c>
      <c r="E436" s="346" t="s">
        <v>1757</v>
      </c>
      <c r="F436" s="346" t="s">
        <v>1758</v>
      </c>
      <c r="G436" s="346" t="s">
        <v>1772</v>
      </c>
      <c r="H436" s="346" t="s">
        <v>1773</v>
      </c>
      <c r="I436" s="346">
        <v>6554374.1200000001</v>
      </c>
      <c r="J436" s="346" t="s">
        <v>572</v>
      </c>
      <c r="K436" s="346" t="s">
        <v>1761</v>
      </c>
      <c r="L436" s="346"/>
      <c r="M436" s="346" t="s">
        <v>1761</v>
      </c>
      <c r="N436" s="346">
        <v>0.75</v>
      </c>
      <c r="O436" s="346">
        <v>5.15</v>
      </c>
      <c r="P436" s="346">
        <v>5.9</v>
      </c>
      <c r="Q436" s="346" t="s">
        <v>1765</v>
      </c>
      <c r="R436" s="458">
        <v>44373</v>
      </c>
    </row>
    <row r="437" spans="1:18" x14ac:dyDescent="0.25">
      <c r="A437" s="458">
        <v>44680</v>
      </c>
      <c r="B437" s="346">
        <v>6100000169</v>
      </c>
      <c r="C437" s="346" t="s">
        <v>2305</v>
      </c>
      <c r="D437" s="346" t="s">
        <v>1756</v>
      </c>
      <c r="E437" s="346" t="s">
        <v>1757</v>
      </c>
      <c r="F437" s="346" t="s">
        <v>1758</v>
      </c>
      <c r="G437" s="346" t="s">
        <v>1772</v>
      </c>
      <c r="H437" s="346" t="s">
        <v>1773</v>
      </c>
      <c r="I437" s="346">
        <v>3000000</v>
      </c>
      <c r="J437" s="346" t="s">
        <v>572</v>
      </c>
      <c r="K437" s="346" t="s">
        <v>1761</v>
      </c>
      <c r="L437" s="346"/>
      <c r="M437" s="346" t="s">
        <v>1761</v>
      </c>
      <c r="N437" s="346">
        <v>0.5</v>
      </c>
      <c r="O437" s="346">
        <v>4.6500000000000004</v>
      </c>
      <c r="P437" s="346">
        <v>5.4</v>
      </c>
      <c r="Q437" s="346" t="s">
        <v>1765</v>
      </c>
      <c r="R437" s="458">
        <v>44352</v>
      </c>
    </row>
    <row r="438" spans="1:18" x14ac:dyDescent="0.25">
      <c r="A438" s="458">
        <v>44680</v>
      </c>
      <c r="B438" s="346">
        <v>6100000166</v>
      </c>
      <c r="C438" s="346" t="s">
        <v>2306</v>
      </c>
      <c r="D438" s="346" t="s">
        <v>1756</v>
      </c>
      <c r="E438" s="346" t="s">
        <v>1757</v>
      </c>
      <c r="F438" s="346" t="s">
        <v>1758</v>
      </c>
      <c r="G438" s="346" t="s">
        <v>1772</v>
      </c>
      <c r="H438" s="346" t="s">
        <v>1773</v>
      </c>
      <c r="I438" s="346">
        <v>250000</v>
      </c>
      <c r="J438" s="346" t="s">
        <v>572</v>
      </c>
      <c r="K438" s="346" t="s">
        <v>1761</v>
      </c>
      <c r="L438" s="346"/>
      <c r="M438" s="346" t="s">
        <v>1761</v>
      </c>
      <c r="N438" s="346">
        <v>0.5</v>
      </c>
      <c r="O438" s="346">
        <v>4.6500000000000004</v>
      </c>
      <c r="P438" s="346">
        <v>5.4</v>
      </c>
      <c r="Q438" s="346" t="s">
        <v>1765</v>
      </c>
      <c r="R438" s="458">
        <v>44352</v>
      </c>
    </row>
    <row r="439" spans="1:18" x14ac:dyDescent="0.25">
      <c r="A439" s="458">
        <v>44680</v>
      </c>
      <c r="B439" s="346">
        <v>2100000212</v>
      </c>
      <c r="C439" s="346" t="s">
        <v>2308</v>
      </c>
      <c r="D439" s="346" t="s">
        <v>1756</v>
      </c>
      <c r="E439" s="346" t="s">
        <v>1757</v>
      </c>
      <c r="F439" s="346" t="s">
        <v>1758</v>
      </c>
      <c r="G439" s="346" t="s">
        <v>1774</v>
      </c>
      <c r="H439" s="346" t="s">
        <v>1245</v>
      </c>
      <c r="I439" s="346">
        <v>6038893.21</v>
      </c>
      <c r="J439" s="346" t="s">
        <v>572</v>
      </c>
      <c r="K439" s="346" t="s">
        <v>1761</v>
      </c>
      <c r="L439" s="346"/>
      <c r="M439" s="346" t="s">
        <v>1761</v>
      </c>
      <c r="N439" s="346">
        <v>0.79</v>
      </c>
      <c r="O439" s="346">
        <v>5.01</v>
      </c>
      <c r="P439" s="346">
        <v>5.8</v>
      </c>
      <c r="Q439" s="346" t="s">
        <v>1765</v>
      </c>
      <c r="R439" s="458">
        <v>44352</v>
      </c>
    </row>
    <row r="440" spans="1:18" x14ac:dyDescent="0.25">
      <c r="A440" s="458">
        <v>44680</v>
      </c>
      <c r="B440" s="346">
        <v>2100000216</v>
      </c>
      <c r="C440" s="346" t="s">
        <v>2309</v>
      </c>
      <c r="D440" s="346" t="s">
        <v>1756</v>
      </c>
      <c r="E440" s="346" t="s">
        <v>1757</v>
      </c>
      <c r="F440" s="346" t="s">
        <v>1758</v>
      </c>
      <c r="G440" s="346" t="s">
        <v>1774</v>
      </c>
      <c r="H440" s="346" t="s">
        <v>1245</v>
      </c>
      <c r="I440" s="346">
        <v>749431</v>
      </c>
      <c r="J440" s="346" t="s">
        <v>1787</v>
      </c>
      <c r="K440" s="346" t="s">
        <v>1761</v>
      </c>
      <c r="L440" s="346"/>
      <c r="M440" s="346" t="s">
        <v>1761</v>
      </c>
      <c r="N440" s="346"/>
      <c r="O440" s="346">
        <v>12</v>
      </c>
      <c r="P440" s="346">
        <v>12</v>
      </c>
      <c r="Q440" s="346" t="s">
        <v>1762</v>
      </c>
      <c r="R440" s="458">
        <v>1</v>
      </c>
    </row>
    <row r="441" spans="1:18" x14ac:dyDescent="0.25">
      <c r="A441" s="458">
        <v>44680</v>
      </c>
      <c r="B441" s="346">
        <v>2100000221</v>
      </c>
      <c r="C441" s="346" t="s">
        <v>2310</v>
      </c>
      <c r="D441" s="346" t="s">
        <v>1756</v>
      </c>
      <c r="E441" s="346" t="s">
        <v>1757</v>
      </c>
      <c r="F441" s="346" t="s">
        <v>1758</v>
      </c>
      <c r="G441" s="346" t="s">
        <v>1774</v>
      </c>
      <c r="H441" s="346" t="s">
        <v>1245</v>
      </c>
      <c r="I441" s="346">
        <v>9914742.5999999996</v>
      </c>
      <c r="J441" s="346" t="s">
        <v>572</v>
      </c>
      <c r="K441" s="346" t="s">
        <v>1761</v>
      </c>
      <c r="L441" s="346"/>
      <c r="M441" s="346" t="s">
        <v>1761</v>
      </c>
      <c r="N441" s="346">
        <v>0.25</v>
      </c>
      <c r="O441" s="346">
        <v>6.7</v>
      </c>
      <c r="P441" s="346">
        <v>7.45</v>
      </c>
      <c r="Q441" s="346" t="s">
        <v>1765</v>
      </c>
      <c r="R441" s="458">
        <v>44196</v>
      </c>
    </row>
    <row r="442" spans="1:18" x14ac:dyDescent="0.25">
      <c r="A442" s="458">
        <v>44680</v>
      </c>
      <c r="B442" s="346">
        <v>2100000241</v>
      </c>
      <c r="C442" s="346" t="s">
        <v>2311</v>
      </c>
      <c r="D442" s="346" t="s">
        <v>1756</v>
      </c>
      <c r="E442" s="346" t="s">
        <v>1763</v>
      </c>
      <c r="F442" s="346" t="s">
        <v>1758</v>
      </c>
      <c r="G442" s="346" t="s">
        <v>1774</v>
      </c>
      <c r="H442" s="346" t="s">
        <v>1245</v>
      </c>
      <c r="I442" s="346">
        <v>0</v>
      </c>
      <c r="J442" s="346" t="s">
        <v>572</v>
      </c>
      <c r="K442" s="346" t="s">
        <v>1761</v>
      </c>
      <c r="L442" s="346"/>
      <c r="M442" s="346" t="s">
        <v>1761</v>
      </c>
      <c r="N442" s="346">
        <v>0.1</v>
      </c>
      <c r="O442" s="346">
        <v>6.85</v>
      </c>
      <c r="P442" s="346">
        <v>7.6</v>
      </c>
      <c r="Q442" s="346" t="s">
        <v>1762</v>
      </c>
      <c r="R442" s="458">
        <v>1</v>
      </c>
    </row>
    <row r="443" spans="1:18" x14ac:dyDescent="0.25">
      <c r="A443" s="458">
        <v>44680</v>
      </c>
      <c r="B443" s="346">
        <v>2100000228</v>
      </c>
      <c r="C443" s="346" t="s">
        <v>2312</v>
      </c>
      <c r="D443" s="346" t="s">
        <v>1756</v>
      </c>
      <c r="E443" s="346" t="s">
        <v>1757</v>
      </c>
      <c r="F443" s="346" t="s">
        <v>1758</v>
      </c>
      <c r="G443" s="346" t="s">
        <v>1774</v>
      </c>
      <c r="H443" s="346" t="s">
        <v>1245</v>
      </c>
      <c r="I443" s="346">
        <v>799405</v>
      </c>
      <c r="J443" s="346" t="s">
        <v>1787</v>
      </c>
      <c r="K443" s="346" t="s">
        <v>1761</v>
      </c>
      <c r="L443" s="346"/>
      <c r="M443" s="346" t="s">
        <v>1761</v>
      </c>
      <c r="N443" s="346">
        <v>0</v>
      </c>
      <c r="O443" s="346">
        <v>6</v>
      </c>
      <c r="P443" s="346">
        <v>6</v>
      </c>
      <c r="Q443" s="346" t="s">
        <v>1765</v>
      </c>
      <c r="R443" s="458">
        <v>44373</v>
      </c>
    </row>
    <row r="444" spans="1:18" x14ac:dyDescent="0.25">
      <c r="A444" s="458">
        <v>44680</v>
      </c>
      <c r="B444" s="346">
        <v>2100000243</v>
      </c>
      <c r="C444" s="346" t="s">
        <v>2314</v>
      </c>
      <c r="D444" s="346" t="s">
        <v>1756</v>
      </c>
      <c r="E444" s="346" t="s">
        <v>1757</v>
      </c>
      <c r="F444" s="346" t="s">
        <v>1758</v>
      </c>
      <c r="G444" s="346" t="s">
        <v>1774</v>
      </c>
      <c r="H444" s="346" t="s">
        <v>1245</v>
      </c>
      <c r="I444" s="346">
        <v>1041463.14</v>
      </c>
      <c r="J444" s="346" t="s">
        <v>572</v>
      </c>
      <c r="K444" s="346" t="s">
        <v>1761</v>
      </c>
      <c r="L444" s="346"/>
      <c r="M444" s="346" t="s">
        <v>1761</v>
      </c>
      <c r="N444" s="346">
        <v>0.78</v>
      </c>
      <c r="O444" s="346">
        <v>6.75</v>
      </c>
      <c r="P444" s="346">
        <v>7.53</v>
      </c>
      <c r="Q444" s="346" t="s">
        <v>1762</v>
      </c>
      <c r="R444" s="458">
        <v>1</v>
      </c>
    </row>
    <row r="445" spans="1:18" x14ac:dyDescent="0.25">
      <c r="A445" s="458">
        <v>44680</v>
      </c>
      <c r="B445" s="346">
        <v>2100000244</v>
      </c>
      <c r="C445" s="346" t="s">
        <v>2315</v>
      </c>
      <c r="D445" s="346" t="s">
        <v>1756</v>
      </c>
      <c r="E445" s="346" t="s">
        <v>1757</v>
      </c>
      <c r="F445" s="346" t="s">
        <v>1758</v>
      </c>
      <c r="G445" s="346" t="s">
        <v>1774</v>
      </c>
      <c r="H445" s="346" t="s">
        <v>1245</v>
      </c>
      <c r="I445" s="346">
        <v>1722371.88</v>
      </c>
      <c r="J445" s="346" t="s">
        <v>572</v>
      </c>
      <c r="K445" s="346" t="s">
        <v>1761</v>
      </c>
      <c r="L445" s="346"/>
      <c r="M445" s="346" t="s">
        <v>1761</v>
      </c>
      <c r="N445" s="346">
        <v>0.78</v>
      </c>
      <c r="O445" s="346">
        <v>6.75</v>
      </c>
      <c r="P445" s="346">
        <v>7.53</v>
      </c>
      <c r="Q445" s="346" t="s">
        <v>1762</v>
      </c>
      <c r="R445" s="458">
        <v>1</v>
      </c>
    </row>
    <row r="446" spans="1:18" x14ac:dyDescent="0.25">
      <c r="A446" s="458">
        <v>44680</v>
      </c>
      <c r="B446" s="346">
        <v>2100000262</v>
      </c>
      <c r="C446" s="346" t="s">
        <v>2317</v>
      </c>
      <c r="D446" s="346" t="s">
        <v>1756</v>
      </c>
      <c r="E446" s="346" t="s">
        <v>1757</v>
      </c>
      <c r="F446" s="346" t="s">
        <v>1758</v>
      </c>
      <c r="G446" s="346" t="s">
        <v>1774</v>
      </c>
      <c r="H446" s="346" t="s">
        <v>1245</v>
      </c>
      <c r="I446" s="346">
        <v>37500252.960000001</v>
      </c>
      <c r="J446" s="346" t="s">
        <v>1761</v>
      </c>
      <c r="K446" s="346" t="s">
        <v>1761</v>
      </c>
      <c r="L446" s="346"/>
      <c r="M446" s="346" t="s">
        <v>1761</v>
      </c>
      <c r="N446" s="346">
        <v>0</v>
      </c>
      <c r="O446" s="346">
        <v>3.37</v>
      </c>
      <c r="P446" s="346">
        <v>4.0599999999999996</v>
      </c>
      <c r="Q446" s="346" t="s">
        <v>1762</v>
      </c>
      <c r="R446" s="458">
        <v>1</v>
      </c>
    </row>
    <row r="447" spans="1:18" x14ac:dyDescent="0.25">
      <c r="A447" s="458">
        <v>44680</v>
      </c>
      <c r="B447" s="346">
        <v>2100000260</v>
      </c>
      <c r="C447" s="346" t="s">
        <v>2318</v>
      </c>
      <c r="D447" s="346" t="s">
        <v>1756</v>
      </c>
      <c r="E447" s="346" t="s">
        <v>1757</v>
      </c>
      <c r="F447" s="346" t="s">
        <v>1758</v>
      </c>
      <c r="G447" s="346" t="s">
        <v>1774</v>
      </c>
      <c r="H447" s="346" t="s">
        <v>1245</v>
      </c>
      <c r="I447" s="346">
        <v>10627520.5</v>
      </c>
      <c r="J447" s="346" t="s">
        <v>572</v>
      </c>
      <c r="K447" s="346" t="s">
        <v>1761</v>
      </c>
      <c r="L447" s="346"/>
      <c r="M447" s="346" t="s">
        <v>1761</v>
      </c>
      <c r="N447" s="346">
        <v>0.1</v>
      </c>
      <c r="O447" s="346">
        <v>5.25</v>
      </c>
      <c r="P447" s="346">
        <v>6</v>
      </c>
      <c r="Q447" s="346" t="s">
        <v>1762</v>
      </c>
      <c r="R447" s="458">
        <v>1</v>
      </c>
    </row>
    <row r="448" spans="1:18" x14ac:dyDescent="0.25">
      <c r="A448" s="458">
        <v>44680</v>
      </c>
      <c r="B448" s="346">
        <v>2100000267</v>
      </c>
      <c r="C448" s="346" t="s">
        <v>2319</v>
      </c>
      <c r="D448" s="346" t="s">
        <v>1756</v>
      </c>
      <c r="E448" s="346" t="s">
        <v>1757</v>
      </c>
      <c r="F448" s="346" t="s">
        <v>1758</v>
      </c>
      <c r="G448" s="346" t="s">
        <v>1774</v>
      </c>
      <c r="H448" s="346" t="s">
        <v>1245</v>
      </c>
      <c r="I448" s="346">
        <v>1891585.01</v>
      </c>
      <c r="J448" s="346" t="s">
        <v>572</v>
      </c>
      <c r="K448" s="346" t="s">
        <v>1761</v>
      </c>
      <c r="L448" s="346"/>
      <c r="M448" s="346" t="s">
        <v>1761</v>
      </c>
      <c r="N448" s="346">
        <v>0.1</v>
      </c>
      <c r="O448" s="346">
        <v>6</v>
      </c>
      <c r="P448" s="346">
        <v>6.75</v>
      </c>
      <c r="Q448" s="346" t="s">
        <v>1762</v>
      </c>
      <c r="R448" s="458">
        <v>1</v>
      </c>
    </row>
    <row r="449" spans="1:18" x14ac:dyDescent="0.25">
      <c r="A449" s="458">
        <v>44680</v>
      </c>
      <c r="B449" s="346">
        <v>2100000254</v>
      </c>
      <c r="C449" s="346" t="s">
        <v>2320</v>
      </c>
      <c r="D449" s="346" t="s">
        <v>1756</v>
      </c>
      <c r="E449" s="346" t="s">
        <v>1757</v>
      </c>
      <c r="F449" s="346" t="s">
        <v>1758</v>
      </c>
      <c r="G449" s="346" t="s">
        <v>1774</v>
      </c>
      <c r="H449" s="346" t="s">
        <v>1245</v>
      </c>
      <c r="I449" s="346">
        <v>2397611.7799999998</v>
      </c>
      <c r="J449" s="346" t="s">
        <v>572</v>
      </c>
      <c r="K449" s="346" t="s">
        <v>1761</v>
      </c>
      <c r="L449" s="346"/>
      <c r="M449" s="346" t="s">
        <v>1761</v>
      </c>
      <c r="N449" s="346">
        <v>0.1</v>
      </c>
      <c r="O449" s="346">
        <v>7</v>
      </c>
      <c r="P449" s="346">
        <v>7.75</v>
      </c>
      <c r="Q449" s="346" t="s">
        <v>1762</v>
      </c>
      <c r="R449" s="458">
        <v>1</v>
      </c>
    </row>
    <row r="450" spans="1:18" x14ac:dyDescent="0.25">
      <c r="A450" s="458">
        <v>44680</v>
      </c>
      <c r="B450" s="346">
        <v>2100000253</v>
      </c>
      <c r="C450" s="346" t="s">
        <v>2321</v>
      </c>
      <c r="D450" s="346" t="s">
        <v>1281</v>
      </c>
      <c r="E450" s="346" t="s">
        <v>1757</v>
      </c>
      <c r="F450" s="346" t="s">
        <v>1758</v>
      </c>
      <c r="G450" s="346" t="s">
        <v>1774</v>
      </c>
      <c r="H450" s="346" t="s">
        <v>1245</v>
      </c>
      <c r="I450" s="346">
        <v>1093454.3600000001</v>
      </c>
      <c r="J450" s="346" t="s">
        <v>572</v>
      </c>
      <c r="K450" s="346" t="s">
        <v>1761</v>
      </c>
      <c r="L450" s="346"/>
      <c r="M450" s="346" t="s">
        <v>1761</v>
      </c>
      <c r="N450" s="346">
        <v>0.25</v>
      </c>
      <c r="O450" s="346">
        <v>6.69</v>
      </c>
      <c r="P450" s="346">
        <v>7.44</v>
      </c>
      <c r="Q450" s="346" t="s">
        <v>1762</v>
      </c>
      <c r="R450" s="458">
        <v>1</v>
      </c>
    </row>
    <row r="451" spans="1:18" x14ac:dyDescent="0.25">
      <c r="A451" s="458">
        <v>44680</v>
      </c>
      <c r="B451" s="346">
        <v>2100000256</v>
      </c>
      <c r="C451" s="346" t="s">
        <v>2323</v>
      </c>
      <c r="D451" s="346" t="s">
        <v>1756</v>
      </c>
      <c r="E451" s="346" t="s">
        <v>1757</v>
      </c>
      <c r="F451" s="346" t="s">
        <v>1758</v>
      </c>
      <c r="G451" s="346" t="s">
        <v>1774</v>
      </c>
      <c r="H451" s="346" t="s">
        <v>1245</v>
      </c>
      <c r="I451" s="346">
        <v>2137122.2400000002</v>
      </c>
      <c r="J451" s="346" t="s">
        <v>572</v>
      </c>
      <c r="K451" s="346" t="s">
        <v>1761</v>
      </c>
      <c r="L451" s="346"/>
      <c r="M451" s="346" t="s">
        <v>1761</v>
      </c>
      <c r="N451" s="346">
        <v>0.1</v>
      </c>
      <c r="O451" s="346">
        <v>6.75</v>
      </c>
      <c r="P451" s="346">
        <v>7.5</v>
      </c>
      <c r="Q451" s="346" t="s">
        <v>1762</v>
      </c>
      <c r="R451" s="458">
        <v>1</v>
      </c>
    </row>
    <row r="452" spans="1:18" x14ac:dyDescent="0.25">
      <c r="A452" s="458">
        <v>44680</v>
      </c>
      <c r="B452" s="346">
        <v>2100000270</v>
      </c>
      <c r="C452" s="346" t="s">
        <v>2324</v>
      </c>
      <c r="D452" s="346" t="s">
        <v>1756</v>
      </c>
      <c r="E452" s="346" t="s">
        <v>1757</v>
      </c>
      <c r="F452" s="346" t="s">
        <v>1758</v>
      </c>
      <c r="G452" s="346" t="s">
        <v>1774</v>
      </c>
      <c r="H452" s="346" t="s">
        <v>1245</v>
      </c>
      <c r="I452" s="346">
        <v>784480.18</v>
      </c>
      <c r="J452" s="346" t="s">
        <v>572</v>
      </c>
      <c r="K452" s="346" t="s">
        <v>1761</v>
      </c>
      <c r="L452" s="346"/>
      <c r="M452" s="346" t="s">
        <v>1761</v>
      </c>
      <c r="N452" s="346">
        <v>0.1</v>
      </c>
      <c r="O452" s="346">
        <v>6.75</v>
      </c>
      <c r="P452" s="346">
        <v>7.5</v>
      </c>
      <c r="Q452" s="346" t="s">
        <v>1762</v>
      </c>
      <c r="R452" s="458">
        <v>1</v>
      </c>
    </row>
    <row r="453" spans="1:18" x14ac:dyDescent="0.25">
      <c r="A453" s="458">
        <v>44680</v>
      </c>
      <c r="B453" s="346">
        <v>2100000266</v>
      </c>
      <c r="C453" s="346" t="s">
        <v>2325</v>
      </c>
      <c r="D453" s="346" t="s">
        <v>1756</v>
      </c>
      <c r="E453" s="346" t="s">
        <v>1757</v>
      </c>
      <c r="F453" s="346" t="s">
        <v>1770</v>
      </c>
      <c r="G453" s="346" t="s">
        <v>1774</v>
      </c>
      <c r="H453" s="346" t="s">
        <v>1245</v>
      </c>
      <c r="I453" s="346">
        <v>0</v>
      </c>
      <c r="J453" s="346" t="s">
        <v>572</v>
      </c>
      <c r="K453" s="346" t="s">
        <v>1761</v>
      </c>
      <c r="L453" s="346"/>
      <c r="M453" s="346" t="s">
        <v>1761</v>
      </c>
      <c r="N453" s="346">
        <v>0.1</v>
      </c>
      <c r="O453" s="346">
        <v>8.6999999999999993</v>
      </c>
      <c r="P453" s="346">
        <v>9.4499999999999993</v>
      </c>
      <c r="Q453" s="346" t="s">
        <v>1762</v>
      </c>
      <c r="R453" s="458">
        <v>1</v>
      </c>
    </row>
    <row r="454" spans="1:18" x14ac:dyDescent="0.25">
      <c r="A454" s="458">
        <v>44680</v>
      </c>
      <c r="B454" s="346">
        <v>2100000271</v>
      </c>
      <c r="C454" s="346" t="s">
        <v>2326</v>
      </c>
      <c r="D454" s="346" t="s">
        <v>1756</v>
      </c>
      <c r="E454" s="346" t="s">
        <v>1757</v>
      </c>
      <c r="F454" s="346" t="s">
        <v>1758</v>
      </c>
      <c r="G454" s="346" t="s">
        <v>1774</v>
      </c>
      <c r="H454" s="346" t="s">
        <v>1245</v>
      </c>
      <c r="I454" s="346">
        <v>1011256.51</v>
      </c>
      <c r="J454" s="346" t="s">
        <v>572</v>
      </c>
      <c r="K454" s="346" t="s">
        <v>1761</v>
      </c>
      <c r="L454" s="346"/>
      <c r="M454" s="346" t="s">
        <v>1761</v>
      </c>
      <c r="N454" s="346">
        <v>0.1</v>
      </c>
      <c r="O454" s="346">
        <v>6</v>
      </c>
      <c r="P454" s="346">
        <v>6.75</v>
      </c>
      <c r="Q454" s="346" t="s">
        <v>1762</v>
      </c>
      <c r="R454" s="458">
        <v>1</v>
      </c>
    </row>
    <row r="455" spans="1:18" x14ac:dyDescent="0.25">
      <c r="A455" s="458">
        <v>44680</v>
      </c>
      <c r="B455" s="346">
        <v>2100000230</v>
      </c>
      <c r="C455" s="346" t="s">
        <v>2328</v>
      </c>
      <c r="D455" s="346" t="s">
        <v>1756</v>
      </c>
      <c r="E455" s="346" t="s">
        <v>1757</v>
      </c>
      <c r="F455" s="346" t="s">
        <v>1758</v>
      </c>
      <c r="G455" s="346" t="s">
        <v>1774</v>
      </c>
      <c r="H455" s="346" t="s">
        <v>1245</v>
      </c>
      <c r="I455" s="346">
        <v>0</v>
      </c>
      <c r="J455" s="346" t="s">
        <v>572</v>
      </c>
      <c r="K455" s="346" t="s">
        <v>1761</v>
      </c>
      <c r="L455" s="346"/>
      <c r="M455" s="346" t="s">
        <v>1761</v>
      </c>
      <c r="N455" s="346">
        <v>0.53</v>
      </c>
      <c r="O455" s="346">
        <v>6.35</v>
      </c>
      <c r="P455" s="346">
        <v>7.1</v>
      </c>
      <c r="Q455" s="346" t="s">
        <v>1765</v>
      </c>
      <c r="R455" s="458">
        <v>44373</v>
      </c>
    </row>
    <row r="456" spans="1:18" x14ac:dyDescent="0.25">
      <c r="A456" s="458">
        <v>44680</v>
      </c>
      <c r="B456" s="346">
        <v>2100000257</v>
      </c>
      <c r="C456" s="346" t="s">
        <v>2329</v>
      </c>
      <c r="D456" s="346" t="s">
        <v>1756</v>
      </c>
      <c r="E456" s="346" t="s">
        <v>1757</v>
      </c>
      <c r="F456" s="346" t="s">
        <v>1758</v>
      </c>
      <c r="G456" s="346" t="s">
        <v>1774</v>
      </c>
      <c r="H456" s="346" t="s">
        <v>1245</v>
      </c>
      <c r="I456" s="346">
        <v>246280.43</v>
      </c>
      <c r="J456" s="346" t="s">
        <v>572</v>
      </c>
      <c r="K456" s="346" t="s">
        <v>1761</v>
      </c>
      <c r="L456" s="346"/>
      <c r="M456" s="346" t="s">
        <v>1761</v>
      </c>
      <c r="N456" s="346">
        <v>0.53</v>
      </c>
      <c r="O456" s="346">
        <v>6.35</v>
      </c>
      <c r="P456" s="346">
        <v>7.1</v>
      </c>
      <c r="Q456" s="346" t="s">
        <v>1762</v>
      </c>
      <c r="R456" s="458">
        <v>1</v>
      </c>
    </row>
    <row r="457" spans="1:18" x14ac:dyDescent="0.25">
      <c r="A457" s="458">
        <v>44680</v>
      </c>
      <c r="B457" s="346">
        <v>2100000272</v>
      </c>
      <c r="C457" s="346" t="s">
        <v>2331</v>
      </c>
      <c r="D457" s="346" t="s">
        <v>1756</v>
      </c>
      <c r="E457" s="346" t="s">
        <v>1757</v>
      </c>
      <c r="F457" s="346" t="s">
        <v>1758</v>
      </c>
      <c r="G457" s="346" t="s">
        <v>1774</v>
      </c>
      <c r="H457" s="346" t="s">
        <v>1245</v>
      </c>
      <c r="I457" s="346">
        <v>1449605.59</v>
      </c>
      <c r="J457" s="346" t="s">
        <v>572</v>
      </c>
      <c r="K457" s="346" t="s">
        <v>1761</v>
      </c>
      <c r="L457" s="346"/>
      <c r="M457" s="346" t="s">
        <v>1761</v>
      </c>
      <c r="N457" s="346">
        <v>0.1</v>
      </c>
      <c r="O457" s="346">
        <v>6.75</v>
      </c>
      <c r="P457" s="346">
        <v>7.5</v>
      </c>
      <c r="Q457" s="346" t="s">
        <v>1762</v>
      </c>
      <c r="R457" s="458">
        <v>1</v>
      </c>
    </row>
    <row r="458" spans="1:18" x14ac:dyDescent="0.25">
      <c r="A458" s="458">
        <v>44680</v>
      </c>
      <c r="B458" s="346">
        <v>2100000237</v>
      </c>
      <c r="C458" s="346" t="s">
        <v>2332</v>
      </c>
      <c r="D458" s="346" t="s">
        <v>1756</v>
      </c>
      <c r="E458" s="346" t="s">
        <v>1757</v>
      </c>
      <c r="F458" s="346" t="s">
        <v>1758</v>
      </c>
      <c r="G458" s="346" t="s">
        <v>1774</v>
      </c>
      <c r="H458" s="346" t="s">
        <v>1245</v>
      </c>
      <c r="I458" s="346">
        <v>14117801.93</v>
      </c>
      <c r="J458" s="346" t="s">
        <v>572</v>
      </c>
      <c r="K458" s="346" t="s">
        <v>1761</v>
      </c>
      <c r="L458" s="346"/>
      <c r="M458" s="346" t="s">
        <v>1761</v>
      </c>
      <c r="N458" s="346">
        <v>0.6</v>
      </c>
      <c r="O458" s="346">
        <v>6.5</v>
      </c>
      <c r="P458" s="346">
        <v>7.25</v>
      </c>
      <c r="Q458" s="346" t="s">
        <v>1765</v>
      </c>
      <c r="R458" s="458">
        <v>44373</v>
      </c>
    </row>
    <row r="459" spans="1:18" x14ac:dyDescent="0.25">
      <c r="A459" s="458">
        <v>44680</v>
      </c>
      <c r="B459" s="346">
        <v>2100000236</v>
      </c>
      <c r="C459" s="346" t="s">
        <v>2333</v>
      </c>
      <c r="D459" s="346" t="s">
        <v>1756</v>
      </c>
      <c r="E459" s="346" t="s">
        <v>1757</v>
      </c>
      <c r="F459" s="346" t="s">
        <v>1758</v>
      </c>
      <c r="G459" s="346" t="s">
        <v>1774</v>
      </c>
      <c r="H459" s="346" t="s">
        <v>1245</v>
      </c>
      <c r="I459" s="346">
        <v>3628028.43</v>
      </c>
      <c r="J459" s="346" t="s">
        <v>572</v>
      </c>
      <c r="K459" s="346" t="s">
        <v>1761</v>
      </c>
      <c r="L459" s="346"/>
      <c r="M459" s="346" t="s">
        <v>1761</v>
      </c>
      <c r="N459" s="346">
        <v>0.6</v>
      </c>
      <c r="O459" s="346">
        <v>6.5</v>
      </c>
      <c r="P459" s="346">
        <v>7.25</v>
      </c>
      <c r="Q459" s="346" t="s">
        <v>1765</v>
      </c>
      <c r="R459" s="458">
        <v>44373</v>
      </c>
    </row>
    <row r="460" spans="1:18" x14ac:dyDescent="0.25">
      <c r="A460" s="458">
        <v>44680</v>
      </c>
      <c r="B460" s="346">
        <v>2100000214</v>
      </c>
      <c r="C460" s="346" t="s">
        <v>2334</v>
      </c>
      <c r="D460" s="346" t="s">
        <v>1756</v>
      </c>
      <c r="E460" s="346" t="s">
        <v>1757</v>
      </c>
      <c r="F460" s="346" t="s">
        <v>1758</v>
      </c>
      <c r="G460" s="346" t="s">
        <v>1774</v>
      </c>
      <c r="H460" s="346" t="s">
        <v>1245</v>
      </c>
      <c r="I460" s="346">
        <v>4557917.5599999996</v>
      </c>
      <c r="J460" s="346" t="s">
        <v>572</v>
      </c>
      <c r="K460" s="346" t="s">
        <v>1761</v>
      </c>
      <c r="L460" s="346"/>
      <c r="M460" s="346" t="s">
        <v>1761</v>
      </c>
      <c r="N460" s="346">
        <v>0.8</v>
      </c>
      <c r="O460" s="346">
        <v>7</v>
      </c>
      <c r="P460" s="346">
        <v>7.8</v>
      </c>
      <c r="Q460" s="346" t="s">
        <v>1765</v>
      </c>
      <c r="R460" s="458">
        <v>44352</v>
      </c>
    </row>
    <row r="461" spans="1:18" x14ac:dyDescent="0.25">
      <c r="A461" s="458">
        <v>44680</v>
      </c>
      <c r="B461" s="346">
        <v>2100000238</v>
      </c>
      <c r="C461" s="346" t="s">
        <v>2335</v>
      </c>
      <c r="D461" s="346" t="s">
        <v>1756</v>
      </c>
      <c r="E461" s="346" t="s">
        <v>1757</v>
      </c>
      <c r="F461" s="346" t="s">
        <v>1758</v>
      </c>
      <c r="G461" s="346" t="s">
        <v>1774</v>
      </c>
      <c r="H461" s="346" t="s">
        <v>1245</v>
      </c>
      <c r="I461" s="346">
        <v>2018776.65</v>
      </c>
      <c r="J461" s="346" t="s">
        <v>572</v>
      </c>
      <c r="K461" s="346" t="s">
        <v>1761</v>
      </c>
      <c r="L461" s="346"/>
      <c r="M461" s="346" t="s">
        <v>1761</v>
      </c>
      <c r="N461" s="346">
        <v>0.85</v>
      </c>
      <c r="O461" s="346">
        <v>5.03</v>
      </c>
      <c r="P461" s="346">
        <v>5.88</v>
      </c>
      <c r="Q461" s="346" t="s">
        <v>1765</v>
      </c>
      <c r="R461" s="458">
        <v>44373</v>
      </c>
    </row>
    <row r="462" spans="1:18" x14ac:dyDescent="0.25">
      <c r="A462" s="458">
        <v>44680</v>
      </c>
      <c r="B462" s="346">
        <v>2100000250</v>
      </c>
      <c r="C462" s="346" t="s">
        <v>2337</v>
      </c>
      <c r="D462" s="346" t="s">
        <v>1756</v>
      </c>
      <c r="E462" s="346" t="s">
        <v>1757</v>
      </c>
      <c r="F462" s="346" t="s">
        <v>1758</v>
      </c>
      <c r="G462" s="346" t="s">
        <v>1774</v>
      </c>
      <c r="H462" s="346" t="s">
        <v>1245</v>
      </c>
      <c r="I462" s="346">
        <v>2127482.67</v>
      </c>
      <c r="J462" s="346" t="s">
        <v>572</v>
      </c>
      <c r="K462" s="346" t="s">
        <v>1761</v>
      </c>
      <c r="L462" s="346"/>
      <c r="M462" s="346" t="s">
        <v>1761</v>
      </c>
      <c r="N462" s="346">
        <v>0.1</v>
      </c>
      <c r="O462" s="346">
        <v>6.25</v>
      </c>
      <c r="P462" s="346">
        <v>7</v>
      </c>
      <c r="Q462" s="346" t="s">
        <v>1762</v>
      </c>
      <c r="R462" s="458">
        <v>1</v>
      </c>
    </row>
    <row r="463" spans="1:18" x14ac:dyDescent="0.25">
      <c r="A463" s="458">
        <v>44680</v>
      </c>
      <c r="B463" s="346">
        <v>2100000258</v>
      </c>
      <c r="C463" s="346" t="s">
        <v>2338</v>
      </c>
      <c r="D463" s="346" t="s">
        <v>1756</v>
      </c>
      <c r="E463" s="346" t="s">
        <v>1757</v>
      </c>
      <c r="F463" s="346" t="s">
        <v>1758</v>
      </c>
      <c r="G463" s="346" t="s">
        <v>1774</v>
      </c>
      <c r="H463" s="346" t="s">
        <v>1245</v>
      </c>
      <c r="I463" s="346">
        <v>4141846.53</v>
      </c>
      <c r="J463" s="346" t="s">
        <v>572</v>
      </c>
      <c r="K463" s="346" t="s">
        <v>1761</v>
      </c>
      <c r="L463" s="346"/>
      <c r="M463" s="346" t="s">
        <v>1761</v>
      </c>
      <c r="N463" s="346">
        <v>0.1</v>
      </c>
      <c r="O463" s="346">
        <v>6.5</v>
      </c>
      <c r="P463" s="346">
        <v>7.25</v>
      </c>
      <c r="Q463" s="346" t="s">
        <v>1762</v>
      </c>
      <c r="R463" s="458">
        <v>1</v>
      </c>
    </row>
    <row r="464" spans="1:18" x14ac:dyDescent="0.25">
      <c r="A464" s="458">
        <v>44680</v>
      </c>
      <c r="B464" s="346">
        <v>2100000261</v>
      </c>
      <c r="C464" s="346" t="s">
        <v>2342</v>
      </c>
      <c r="D464" s="346" t="s">
        <v>1756</v>
      </c>
      <c r="E464" s="346" t="s">
        <v>1757</v>
      </c>
      <c r="F464" s="346" t="s">
        <v>1758</v>
      </c>
      <c r="G464" s="346" t="s">
        <v>1774</v>
      </c>
      <c r="H464" s="346" t="s">
        <v>1245</v>
      </c>
      <c r="I464" s="346">
        <v>4990418.32</v>
      </c>
      <c r="J464" s="346" t="s">
        <v>572</v>
      </c>
      <c r="K464" s="346" t="s">
        <v>1761</v>
      </c>
      <c r="L464" s="346"/>
      <c r="M464" s="346" t="s">
        <v>1761</v>
      </c>
      <c r="N464" s="346">
        <v>0.1</v>
      </c>
      <c r="O464" s="346">
        <v>5.5</v>
      </c>
      <c r="P464" s="346">
        <v>6.25</v>
      </c>
      <c r="Q464" s="346" t="s">
        <v>1762</v>
      </c>
      <c r="R464" s="458">
        <v>1</v>
      </c>
    </row>
    <row r="465" spans="1:18" x14ac:dyDescent="0.25">
      <c r="A465" s="458">
        <v>44680</v>
      </c>
      <c r="B465" s="346">
        <v>2100000263</v>
      </c>
      <c r="C465" s="346" t="s">
        <v>2343</v>
      </c>
      <c r="D465" s="346" t="s">
        <v>1756</v>
      </c>
      <c r="E465" s="346" t="s">
        <v>1757</v>
      </c>
      <c r="F465" s="346" t="s">
        <v>1758</v>
      </c>
      <c r="G465" s="346" t="s">
        <v>1774</v>
      </c>
      <c r="H465" s="346" t="s">
        <v>1245</v>
      </c>
      <c r="I465" s="346">
        <v>255054.95</v>
      </c>
      <c r="J465" s="346" t="s">
        <v>572</v>
      </c>
      <c r="K465" s="346" t="s">
        <v>1761</v>
      </c>
      <c r="L465" s="346"/>
      <c r="M465" s="346" t="s">
        <v>1761</v>
      </c>
      <c r="N465" s="346">
        <v>0.1</v>
      </c>
      <c r="O465" s="346">
        <v>6.95</v>
      </c>
      <c r="P465" s="346">
        <v>7.7</v>
      </c>
      <c r="Q465" s="346" t="s">
        <v>1762</v>
      </c>
      <c r="R465" s="458">
        <v>1</v>
      </c>
    </row>
    <row r="466" spans="1:18" x14ac:dyDescent="0.25">
      <c r="A466" s="458">
        <v>44680</v>
      </c>
      <c r="B466" s="346">
        <v>2100000222</v>
      </c>
      <c r="C466" s="346" t="s">
        <v>2344</v>
      </c>
      <c r="D466" s="346" t="s">
        <v>1756</v>
      </c>
      <c r="E466" s="346" t="s">
        <v>1757</v>
      </c>
      <c r="F466" s="346" t="s">
        <v>1758</v>
      </c>
      <c r="G466" s="346" t="s">
        <v>1774</v>
      </c>
      <c r="H466" s="346" t="s">
        <v>1245</v>
      </c>
      <c r="I466" s="346">
        <v>8684479.7899999991</v>
      </c>
      <c r="J466" s="346" t="s">
        <v>572</v>
      </c>
      <c r="K466" s="346" t="s">
        <v>1761</v>
      </c>
      <c r="L466" s="346"/>
      <c r="M466" s="346" t="s">
        <v>1761</v>
      </c>
      <c r="N466" s="346">
        <v>0.11</v>
      </c>
      <c r="O466" s="346">
        <v>6.5</v>
      </c>
      <c r="P466" s="346">
        <v>7.25</v>
      </c>
      <c r="Q466" s="346" t="s">
        <v>1762</v>
      </c>
      <c r="R466" s="458">
        <v>1</v>
      </c>
    </row>
    <row r="467" spans="1:18" x14ac:dyDescent="0.25">
      <c r="A467" s="458">
        <v>44680</v>
      </c>
      <c r="B467" s="346">
        <v>2100000215</v>
      </c>
      <c r="C467" s="346" t="s">
        <v>2345</v>
      </c>
      <c r="D467" s="346" t="s">
        <v>1281</v>
      </c>
      <c r="E467" s="346" t="s">
        <v>1757</v>
      </c>
      <c r="F467" s="346" t="s">
        <v>1758</v>
      </c>
      <c r="G467" s="346" t="s">
        <v>1774</v>
      </c>
      <c r="H467" s="346" t="s">
        <v>1245</v>
      </c>
      <c r="I467" s="346">
        <v>5241967.99</v>
      </c>
      <c r="J467" s="346" t="s">
        <v>572</v>
      </c>
      <c r="K467" s="346" t="s">
        <v>1761</v>
      </c>
      <c r="L467" s="346"/>
      <c r="M467" s="346" t="s">
        <v>1761</v>
      </c>
      <c r="N467" s="346">
        <v>0.25</v>
      </c>
      <c r="O467" s="346">
        <v>6.69</v>
      </c>
      <c r="P467" s="346">
        <v>7.44</v>
      </c>
      <c r="Q467" s="346" t="s">
        <v>1762</v>
      </c>
      <c r="R467" s="458">
        <v>1</v>
      </c>
    </row>
    <row r="468" spans="1:18" x14ac:dyDescent="0.25">
      <c r="A468" s="458">
        <v>44680</v>
      </c>
      <c r="B468" s="346">
        <v>2100000240</v>
      </c>
      <c r="C468" s="346" t="s">
        <v>2346</v>
      </c>
      <c r="D468" s="346" t="s">
        <v>1756</v>
      </c>
      <c r="E468" s="346" t="s">
        <v>1757</v>
      </c>
      <c r="F468" s="346" t="s">
        <v>1758</v>
      </c>
      <c r="G468" s="346" t="s">
        <v>1774</v>
      </c>
      <c r="H468" s="346" t="s">
        <v>1245</v>
      </c>
      <c r="I468" s="346">
        <v>5977114.2999999998</v>
      </c>
      <c r="J468" s="346" t="s">
        <v>572</v>
      </c>
      <c r="K468" s="346" t="s">
        <v>1761</v>
      </c>
      <c r="L468" s="346"/>
      <c r="M468" s="346" t="s">
        <v>1761</v>
      </c>
      <c r="N468" s="346">
        <v>0.1</v>
      </c>
      <c r="O468" s="346">
        <v>5.5</v>
      </c>
      <c r="P468" s="346">
        <v>6.25</v>
      </c>
      <c r="Q468" s="346" t="s">
        <v>1762</v>
      </c>
      <c r="R468" s="458">
        <v>1</v>
      </c>
    </row>
    <row r="469" spans="1:18" x14ac:dyDescent="0.25">
      <c r="A469" s="458">
        <v>44680</v>
      </c>
      <c r="B469" s="346">
        <v>2100000245</v>
      </c>
      <c r="C469" s="346" t="s">
        <v>2316</v>
      </c>
      <c r="D469" s="346" t="s">
        <v>1756</v>
      </c>
      <c r="E469" s="346" t="s">
        <v>1757</v>
      </c>
      <c r="F469" s="346" t="s">
        <v>1758</v>
      </c>
      <c r="G469" s="346" t="s">
        <v>1774</v>
      </c>
      <c r="H469" s="346" t="s">
        <v>1245</v>
      </c>
      <c r="I469" s="346">
        <v>17172964.199999999</v>
      </c>
      <c r="J469" s="346" t="s">
        <v>572</v>
      </c>
      <c r="K469" s="346" t="s">
        <v>1761</v>
      </c>
      <c r="L469" s="346"/>
      <c r="M469" s="346" t="s">
        <v>1761</v>
      </c>
      <c r="N469" s="346">
        <v>0.1</v>
      </c>
      <c r="O469" s="346">
        <v>5.5</v>
      </c>
      <c r="P469" s="346">
        <v>6.25</v>
      </c>
      <c r="Q469" s="346" t="s">
        <v>1762</v>
      </c>
      <c r="R469" s="458">
        <v>1</v>
      </c>
    </row>
    <row r="470" spans="1:18" x14ac:dyDescent="0.25">
      <c r="A470" s="458">
        <v>44680</v>
      </c>
      <c r="B470" s="346">
        <v>2100000273</v>
      </c>
      <c r="C470" s="346" t="s">
        <v>2347</v>
      </c>
      <c r="D470" s="346" t="s">
        <v>1756</v>
      </c>
      <c r="E470" s="346" t="s">
        <v>1757</v>
      </c>
      <c r="F470" s="346" t="s">
        <v>1758</v>
      </c>
      <c r="G470" s="346" t="s">
        <v>1774</v>
      </c>
      <c r="H470" s="346" t="s">
        <v>1245</v>
      </c>
      <c r="I470" s="346">
        <v>1948777.8</v>
      </c>
      <c r="J470" s="346" t="s">
        <v>572</v>
      </c>
      <c r="K470" s="346" t="s">
        <v>1761</v>
      </c>
      <c r="L470" s="346"/>
      <c r="M470" s="346" t="s">
        <v>1761</v>
      </c>
      <c r="N470" s="346">
        <v>0.1</v>
      </c>
      <c r="O470" s="346">
        <v>6.5</v>
      </c>
      <c r="P470" s="346">
        <v>7.25</v>
      </c>
      <c r="Q470" s="346" t="s">
        <v>1762</v>
      </c>
      <c r="R470" s="458">
        <v>1</v>
      </c>
    </row>
    <row r="471" spans="1:18" x14ac:dyDescent="0.25">
      <c r="A471" s="458">
        <v>44680</v>
      </c>
      <c r="B471" s="346">
        <v>2100000251</v>
      </c>
      <c r="C471" s="346" t="s">
        <v>2313</v>
      </c>
      <c r="D471" s="346" t="s">
        <v>1281</v>
      </c>
      <c r="E471" s="346" t="s">
        <v>1757</v>
      </c>
      <c r="F471" s="346" t="s">
        <v>1758</v>
      </c>
      <c r="G471" s="346" t="s">
        <v>1774</v>
      </c>
      <c r="H471" s="346" t="s">
        <v>1245</v>
      </c>
      <c r="I471" s="346">
        <v>4558103.38</v>
      </c>
      <c r="J471" s="346" t="s">
        <v>572</v>
      </c>
      <c r="K471" s="346" t="s">
        <v>1761</v>
      </c>
      <c r="L471" s="346"/>
      <c r="M471" s="346" t="s">
        <v>1761</v>
      </c>
      <c r="N471" s="346">
        <v>0.25</v>
      </c>
      <c r="O471" s="346">
        <v>6.69</v>
      </c>
      <c r="P471" s="346">
        <v>7.44</v>
      </c>
      <c r="Q471" s="346" t="s">
        <v>1762</v>
      </c>
      <c r="R471" s="458">
        <v>1</v>
      </c>
    </row>
    <row r="472" spans="1:18" x14ac:dyDescent="0.25">
      <c r="A472" s="458">
        <v>44680</v>
      </c>
      <c r="B472" s="346">
        <v>2100000225</v>
      </c>
      <c r="C472" s="346" t="s">
        <v>2336</v>
      </c>
      <c r="D472" s="346" t="s">
        <v>1756</v>
      </c>
      <c r="E472" s="346" t="s">
        <v>1757</v>
      </c>
      <c r="F472" s="346" t="s">
        <v>1770</v>
      </c>
      <c r="G472" s="346" t="s">
        <v>1774</v>
      </c>
      <c r="H472" s="346" t="s">
        <v>1245</v>
      </c>
      <c r="I472" s="346">
        <v>0</v>
      </c>
      <c r="J472" s="346" t="s">
        <v>572</v>
      </c>
      <c r="K472" s="346" t="s">
        <v>1761</v>
      </c>
      <c r="L472" s="346"/>
      <c r="M472" s="346" t="s">
        <v>1761</v>
      </c>
      <c r="N472" s="346">
        <v>0.62</v>
      </c>
      <c r="O472" s="346">
        <v>7</v>
      </c>
      <c r="P472" s="346">
        <v>7.75</v>
      </c>
      <c r="Q472" s="346" t="s">
        <v>1765</v>
      </c>
      <c r="R472" s="458">
        <v>44373</v>
      </c>
    </row>
    <row r="473" spans="1:18" x14ac:dyDescent="0.25">
      <c r="A473" s="458">
        <v>44680</v>
      </c>
      <c r="B473" s="346">
        <v>2100000246</v>
      </c>
      <c r="C473" s="346" t="s">
        <v>2339</v>
      </c>
      <c r="D473" s="346" t="s">
        <v>1756</v>
      </c>
      <c r="E473" s="346" t="s">
        <v>1757</v>
      </c>
      <c r="F473" s="346" t="s">
        <v>1758</v>
      </c>
      <c r="G473" s="346" t="s">
        <v>1774</v>
      </c>
      <c r="H473" s="346" t="s">
        <v>1245</v>
      </c>
      <c r="I473" s="346">
        <v>1199511.67</v>
      </c>
      <c r="J473" s="346" t="s">
        <v>572</v>
      </c>
      <c r="K473" s="346" t="s">
        <v>1761</v>
      </c>
      <c r="L473" s="346"/>
      <c r="M473" s="346" t="s">
        <v>1761</v>
      </c>
      <c r="N473" s="346">
        <v>0.8</v>
      </c>
      <c r="O473" s="346">
        <v>6.66</v>
      </c>
      <c r="P473" s="346">
        <v>7.46</v>
      </c>
      <c r="Q473" s="346" t="s">
        <v>1762</v>
      </c>
      <c r="R473" s="458">
        <v>1</v>
      </c>
    </row>
    <row r="474" spans="1:18" x14ac:dyDescent="0.25">
      <c r="A474" s="458">
        <v>44680</v>
      </c>
      <c r="B474" s="346">
        <v>2100000247</v>
      </c>
      <c r="C474" s="346" t="s">
        <v>2340</v>
      </c>
      <c r="D474" s="346" t="s">
        <v>1756</v>
      </c>
      <c r="E474" s="346" t="s">
        <v>1757</v>
      </c>
      <c r="F474" s="346" t="s">
        <v>1758</v>
      </c>
      <c r="G474" s="346" t="s">
        <v>1774</v>
      </c>
      <c r="H474" s="346" t="s">
        <v>1245</v>
      </c>
      <c r="I474" s="346">
        <v>16928500.350000001</v>
      </c>
      <c r="J474" s="346" t="s">
        <v>572</v>
      </c>
      <c r="K474" s="346" t="s">
        <v>1761</v>
      </c>
      <c r="L474" s="346"/>
      <c r="M474" s="346" t="s">
        <v>1761</v>
      </c>
      <c r="N474" s="346">
        <v>0.8</v>
      </c>
      <c r="O474" s="346">
        <v>6.66</v>
      </c>
      <c r="P474" s="346">
        <v>7.46</v>
      </c>
      <c r="Q474" s="346" t="s">
        <v>1762</v>
      </c>
      <c r="R474" s="458">
        <v>1</v>
      </c>
    </row>
    <row r="475" spans="1:18" x14ac:dyDescent="0.25">
      <c r="A475" s="458">
        <v>44680</v>
      </c>
      <c r="B475" s="346">
        <v>2100000248</v>
      </c>
      <c r="C475" s="346" t="s">
        <v>2341</v>
      </c>
      <c r="D475" s="346" t="s">
        <v>1756</v>
      </c>
      <c r="E475" s="346" t="s">
        <v>1757</v>
      </c>
      <c r="F475" s="346" t="s">
        <v>1758</v>
      </c>
      <c r="G475" s="346" t="s">
        <v>1774</v>
      </c>
      <c r="H475" s="346" t="s">
        <v>1245</v>
      </c>
      <c r="I475" s="346">
        <v>15048232.859999999</v>
      </c>
      <c r="J475" s="346" t="s">
        <v>572</v>
      </c>
      <c r="K475" s="346" t="s">
        <v>1761</v>
      </c>
      <c r="L475" s="346"/>
      <c r="M475" s="346" t="s">
        <v>1761</v>
      </c>
      <c r="N475" s="346">
        <v>0.8</v>
      </c>
      <c r="O475" s="346">
        <v>6.66</v>
      </c>
      <c r="P475" s="346">
        <v>7.46</v>
      </c>
      <c r="Q475" s="346" t="s">
        <v>1762</v>
      </c>
      <c r="R475" s="458">
        <v>1</v>
      </c>
    </row>
    <row r="476" spans="1:18" x14ac:dyDescent="0.25">
      <c r="A476" s="458">
        <v>44680</v>
      </c>
      <c r="B476" s="346">
        <v>2100000213</v>
      </c>
      <c r="C476" s="346" t="s">
        <v>2322</v>
      </c>
      <c r="D476" s="346" t="s">
        <v>1756</v>
      </c>
      <c r="E476" s="346" t="s">
        <v>1757</v>
      </c>
      <c r="F476" s="346" t="s">
        <v>1758</v>
      </c>
      <c r="G476" s="346" t="s">
        <v>1774</v>
      </c>
      <c r="H476" s="346" t="s">
        <v>1245</v>
      </c>
      <c r="I476" s="346">
        <v>1683263.03</v>
      </c>
      <c r="J476" s="346" t="s">
        <v>572</v>
      </c>
      <c r="K476" s="346" t="s">
        <v>1761</v>
      </c>
      <c r="L476" s="346"/>
      <c r="M476" s="346" t="s">
        <v>1761</v>
      </c>
      <c r="N476" s="346">
        <v>0.62</v>
      </c>
      <c r="O476" s="346">
        <v>6.54</v>
      </c>
      <c r="P476" s="346">
        <v>7.29</v>
      </c>
      <c r="Q476" s="346" t="s">
        <v>1765</v>
      </c>
      <c r="R476" s="458">
        <v>44352</v>
      </c>
    </row>
    <row r="477" spans="1:18" x14ac:dyDescent="0.25">
      <c r="A477" s="458">
        <v>44680</v>
      </c>
      <c r="B477" s="346">
        <v>2100000239</v>
      </c>
      <c r="C477" s="346" t="s">
        <v>2350</v>
      </c>
      <c r="D477" s="346" t="s">
        <v>1756</v>
      </c>
      <c r="E477" s="346" t="s">
        <v>1757</v>
      </c>
      <c r="F477" s="346" t="s">
        <v>1758</v>
      </c>
      <c r="G477" s="346" t="s">
        <v>1774</v>
      </c>
      <c r="H477" s="346" t="s">
        <v>1245</v>
      </c>
      <c r="I477" s="346">
        <v>27590054.449999999</v>
      </c>
      <c r="J477" s="346" t="s">
        <v>572</v>
      </c>
      <c r="K477" s="346" t="s">
        <v>1761</v>
      </c>
      <c r="L477" s="346"/>
      <c r="M477" s="346" t="s">
        <v>1761</v>
      </c>
      <c r="N477" s="346">
        <v>0.85</v>
      </c>
      <c r="O477" s="346">
        <v>5.03</v>
      </c>
      <c r="P477" s="346">
        <v>5.88</v>
      </c>
      <c r="Q477" s="346" t="s">
        <v>1765</v>
      </c>
      <c r="R477" s="458">
        <v>44373</v>
      </c>
    </row>
    <row r="478" spans="1:18" x14ac:dyDescent="0.25">
      <c r="A478" s="458">
        <v>44680</v>
      </c>
      <c r="B478" s="346">
        <v>2100000210</v>
      </c>
      <c r="C478" s="346" t="s">
        <v>2330</v>
      </c>
      <c r="D478" s="346" t="s">
        <v>1756</v>
      </c>
      <c r="E478" s="346" t="s">
        <v>1757</v>
      </c>
      <c r="F478" s="346" t="s">
        <v>1758</v>
      </c>
      <c r="G478" s="346" t="s">
        <v>1774</v>
      </c>
      <c r="H478" s="346" t="s">
        <v>1245</v>
      </c>
      <c r="I478" s="346">
        <v>7954663.5999999996</v>
      </c>
      <c r="J478" s="346" t="s">
        <v>572</v>
      </c>
      <c r="K478" s="346" t="s">
        <v>1761</v>
      </c>
      <c r="L478" s="346"/>
      <c r="M478" s="346" t="s">
        <v>1761</v>
      </c>
      <c r="N478" s="346">
        <v>0.78</v>
      </c>
      <c r="O478" s="346">
        <v>6</v>
      </c>
      <c r="P478" s="346">
        <v>6.78</v>
      </c>
      <c r="Q478" s="346" t="s">
        <v>1765</v>
      </c>
      <c r="R478" s="458">
        <v>44352</v>
      </c>
    </row>
    <row r="479" spans="1:18" x14ac:dyDescent="0.25">
      <c r="A479" s="458">
        <v>44680</v>
      </c>
      <c r="B479" s="346">
        <v>2100000234</v>
      </c>
      <c r="C479" s="346" t="s">
        <v>2348</v>
      </c>
      <c r="D479" s="346" t="s">
        <v>1756</v>
      </c>
      <c r="E479" s="346" t="s">
        <v>1757</v>
      </c>
      <c r="F479" s="346" t="s">
        <v>1758</v>
      </c>
      <c r="G479" s="346" t="s">
        <v>1774</v>
      </c>
      <c r="H479" s="346" t="s">
        <v>1245</v>
      </c>
      <c r="I479" s="346">
        <v>1422886.23</v>
      </c>
      <c r="J479" s="346" t="s">
        <v>572</v>
      </c>
      <c r="K479" s="346" t="s">
        <v>1761</v>
      </c>
      <c r="L479" s="346"/>
      <c r="M479" s="346" t="s">
        <v>1761</v>
      </c>
      <c r="N479" s="346">
        <v>0.66</v>
      </c>
      <c r="O479" s="346">
        <v>8.4</v>
      </c>
      <c r="P479" s="346">
        <v>9.15</v>
      </c>
      <c r="Q479" s="346" t="s">
        <v>1765</v>
      </c>
      <c r="R479" s="458">
        <v>44373</v>
      </c>
    </row>
    <row r="480" spans="1:18" x14ac:dyDescent="0.25">
      <c r="A480" s="458">
        <v>44680</v>
      </c>
      <c r="B480" s="346">
        <v>2100000232</v>
      </c>
      <c r="C480" s="346" t="s">
        <v>2349</v>
      </c>
      <c r="D480" s="346" t="s">
        <v>1756</v>
      </c>
      <c r="E480" s="346" t="s">
        <v>1757</v>
      </c>
      <c r="F480" s="346" t="s">
        <v>1758</v>
      </c>
      <c r="G480" s="346" t="s">
        <v>1774</v>
      </c>
      <c r="H480" s="346" t="s">
        <v>1245</v>
      </c>
      <c r="I480" s="346">
        <v>9954250.0399999991</v>
      </c>
      <c r="J480" s="346" t="s">
        <v>572</v>
      </c>
      <c r="K480" s="346" t="s">
        <v>1761</v>
      </c>
      <c r="L480" s="346"/>
      <c r="M480" s="346" t="s">
        <v>1761</v>
      </c>
      <c r="N480" s="346">
        <v>0.66</v>
      </c>
      <c r="O480" s="346">
        <v>6.92</v>
      </c>
      <c r="P480" s="346">
        <v>7.67</v>
      </c>
      <c r="Q480" s="346" t="s">
        <v>1765</v>
      </c>
      <c r="R480" s="458">
        <v>44373</v>
      </c>
    </row>
    <row r="481" spans="1:18" x14ac:dyDescent="0.25">
      <c r="A481" s="458">
        <v>44680</v>
      </c>
      <c r="B481" s="346">
        <v>2100000211</v>
      </c>
      <c r="C481" s="346" t="s">
        <v>2327</v>
      </c>
      <c r="D481" s="346" t="s">
        <v>1756</v>
      </c>
      <c r="E481" s="346" t="s">
        <v>1757</v>
      </c>
      <c r="F481" s="346" t="s">
        <v>1758</v>
      </c>
      <c r="G481" s="346" t="s">
        <v>1774</v>
      </c>
      <c r="H481" s="346" t="s">
        <v>1245</v>
      </c>
      <c r="I481" s="346">
        <v>16428031.4</v>
      </c>
      <c r="J481" s="346" t="s">
        <v>572</v>
      </c>
      <c r="K481" s="346" t="s">
        <v>1761</v>
      </c>
      <c r="L481" s="346"/>
      <c r="M481" s="346" t="s">
        <v>1761</v>
      </c>
      <c r="N481" s="346">
        <v>0.79</v>
      </c>
      <c r="O481" s="346">
        <v>6.5</v>
      </c>
      <c r="P481" s="346">
        <v>7.29</v>
      </c>
      <c r="Q481" s="346" t="s">
        <v>1765</v>
      </c>
      <c r="R481" s="458">
        <v>44352</v>
      </c>
    </row>
    <row r="482" spans="1:18" x14ac:dyDescent="0.25">
      <c r="A482" s="458">
        <v>44680</v>
      </c>
      <c r="B482" s="346">
        <v>5100000136</v>
      </c>
      <c r="C482" s="346" t="s">
        <v>2351</v>
      </c>
      <c r="D482" s="346" t="s">
        <v>1756</v>
      </c>
      <c r="E482" s="346" t="s">
        <v>1757</v>
      </c>
      <c r="F482" s="346" t="s">
        <v>1770</v>
      </c>
      <c r="G482" s="346" t="s">
        <v>1775</v>
      </c>
      <c r="H482" s="346" t="s">
        <v>1288</v>
      </c>
      <c r="I482" s="346">
        <v>584483.61</v>
      </c>
      <c r="J482" s="346" t="s">
        <v>572</v>
      </c>
      <c r="K482" s="346" t="s">
        <v>1761</v>
      </c>
      <c r="L482" s="346"/>
      <c r="M482" s="346" t="s">
        <v>1761</v>
      </c>
      <c r="N482" s="346">
        <v>0.89</v>
      </c>
      <c r="O482" s="346">
        <v>6</v>
      </c>
      <c r="P482" s="346">
        <v>6.89</v>
      </c>
      <c r="Q482" s="346" t="s">
        <v>1762</v>
      </c>
      <c r="R482" s="458">
        <v>1</v>
      </c>
    </row>
    <row r="483" spans="1:18" x14ac:dyDescent="0.25">
      <c r="A483" s="458">
        <v>44680</v>
      </c>
      <c r="B483" s="346">
        <v>5100000134</v>
      </c>
      <c r="C483" s="346" t="s">
        <v>2352</v>
      </c>
      <c r="D483" s="346" t="s">
        <v>1756</v>
      </c>
      <c r="E483" s="346" t="s">
        <v>1757</v>
      </c>
      <c r="F483" s="346" t="s">
        <v>1770</v>
      </c>
      <c r="G483" s="346" t="s">
        <v>1775</v>
      </c>
      <c r="H483" s="346" t="s">
        <v>1288</v>
      </c>
      <c r="I483" s="346">
        <v>1852702.78</v>
      </c>
      <c r="J483" s="346" t="s">
        <v>572</v>
      </c>
      <c r="K483" s="346" t="s">
        <v>1761</v>
      </c>
      <c r="L483" s="346"/>
      <c r="M483" s="346" t="s">
        <v>1761</v>
      </c>
      <c r="N483" s="346">
        <v>0.89</v>
      </c>
      <c r="O483" s="346">
        <v>9</v>
      </c>
      <c r="P483" s="346">
        <v>9.89</v>
      </c>
      <c r="Q483" s="346" t="s">
        <v>1762</v>
      </c>
      <c r="R483" s="458">
        <v>1</v>
      </c>
    </row>
    <row r="484" spans="1:18" x14ac:dyDescent="0.25">
      <c r="A484" s="458">
        <v>44680</v>
      </c>
      <c r="B484" s="346">
        <v>5100000133</v>
      </c>
      <c r="C484" s="346" t="s">
        <v>2353</v>
      </c>
      <c r="D484" s="346" t="s">
        <v>1756</v>
      </c>
      <c r="E484" s="346" t="s">
        <v>1757</v>
      </c>
      <c r="F484" s="346" t="s">
        <v>1758</v>
      </c>
      <c r="G484" s="346" t="s">
        <v>1775</v>
      </c>
      <c r="H484" s="346" t="s">
        <v>1288</v>
      </c>
      <c r="I484" s="346">
        <v>4000000</v>
      </c>
      <c r="J484" s="346" t="s">
        <v>572</v>
      </c>
      <c r="K484" s="346" t="s">
        <v>1761</v>
      </c>
      <c r="L484" s="346"/>
      <c r="M484" s="346" t="s">
        <v>1761</v>
      </c>
      <c r="N484" s="346">
        <v>0.1</v>
      </c>
      <c r="O484" s="346">
        <v>7.42</v>
      </c>
      <c r="P484" s="346">
        <v>8.17</v>
      </c>
      <c r="Q484" s="346" t="s">
        <v>1762</v>
      </c>
      <c r="R484" s="458">
        <v>1</v>
      </c>
    </row>
    <row r="485" spans="1:18" x14ac:dyDescent="0.25">
      <c r="A485" s="458">
        <v>44680</v>
      </c>
      <c r="B485" s="346">
        <v>5100000131</v>
      </c>
      <c r="C485" s="346" t="s">
        <v>2355</v>
      </c>
      <c r="D485" s="346" t="s">
        <v>1756</v>
      </c>
      <c r="E485" s="346" t="s">
        <v>1757</v>
      </c>
      <c r="F485" s="346" t="s">
        <v>1758</v>
      </c>
      <c r="G485" s="346" t="s">
        <v>1775</v>
      </c>
      <c r="H485" s="346" t="s">
        <v>1288</v>
      </c>
      <c r="I485" s="346">
        <v>20000000</v>
      </c>
      <c r="J485" s="346" t="s">
        <v>572</v>
      </c>
      <c r="K485" s="346" t="s">
        <v>1761</v>
      </c>
      <c r="L485" s="346"/>
      <c r="M485" s="346" t="s">
        <v>1761</v>
      </c>
      <c r="N485" s="346">
        <v>0.1</v>
      </c>
      <c r="O485" s="346">
        <v>5.75</v>
      </c>
      <c r="P485" s="346">
        <v>6.5</v>
      </c>
      <c r="Q485" s="346" t="s">
        <v>1762</v>
      </c>
      <c r="R485" s="458">
        <v>1</v>
      </c>
    </row>
    <row r="486" spans="1:18" x14ac:dyDescent="0.25">
      <c r="A486" s="458">
        <v>44680</v>
      </c>
      <c r="B486" s="346">
        <v>2100000242</v>
      </c>
      <c r="C486" s="346" t="s">
        <v>2357</v>
      </c>
      <c r="D486" s="346" t="s">
        <v>1756</v>
      </c>
      <c r="E486" s="346" t="s">
        <v>1757</v>
      </c>
      <c r="F486" s="346" t="s">
        <v>1758</v>
      </c>
      <c r="G486" s="346" t="s">
        <v>1775</v>
      </c>
      <c r="H486" s="346" t="s">
        <v>1288</v>
      </c>
      <c r="I486" s="346">
        <v>168191.24</v>
      </c>
      <c r="J486" s="346" t="s">
        <v>572</v>
      </c>
      <c r="K486" s="346" t="s">
        <v>1761</v>
      </c>
      <c r="L486" s="346"/>
      <c r="M486" s="346" t="s">
        <v>1761</v>
      </c>
      <c r="N486" s="346">
        <v>0.1</v>
      </c>
      <c r="O486" s="346">
        <v>4.5</v>
      </c>
      <c r="P486" s="346">
        <v>5.25</v>
      </c>
      <c r="Q486" s="346" t="s">
        <v>1762</v>
      </c>
      <c r="R486" s="458">
        <v>1</v>
      </c>
    </row>
    <row r="487" spans="1:18" x14ac:dyDescent="0.25">
      <c r="A487" s="458">
        <v>44680</v>
      </c>
      <c r="B487" s="346">
        <v>5100000135</v>
      </c>
      <c r="C487" s="346" t="s">
        <v>2356</v>
      </c>
      <c r="D487" s="346" t="s">
        <v>1756</v>
      </c>
      <c r="E487" s="346" t="s">
        <v>1757</v>
      </c>
      <c r="F487" s="346" t="s">
        <v>1758</v>
      </c>
      <c r="G487" s="346" t="s">
        <v>1775</v>
      </c>
      <c r="H487" s="346" t="s">
        <v>1288</v>
      </c>
      <c r="I487" s="346">
        <v>0</v>
      </c>
      <c r="J487" s="346" t="s">
        <v>572</v>
      </c>
      <c r="K487" s="346" t="s">
        <v>1761</v>
      </c>
      <c r="L487" s="346"/>
      <c r="M487" s="346" t="s">
        <v>1761</v>
      </c>
      <c r="N487" s="346">
        <v>0.8</v>
      </c>
      <c r="O487" s="346">
        <v>6</v>
      </c>
      <c r="P487" s="346">
        <v>6.8</v>
      </c>
      <c r="Q487" s="346" t="s">
        <v>1762</v>
      </c>
      <c r="R487" s="458">
        <v>1</v>
      </c>
    </row>
    <row r="488" spans="1:18" x14ac:dyDescent="0.25">
      <c r="A488" s="458">
        <v>44680</v>
      </c>
      <c r="B488" s="346">
        <v>5100000138</v>
      </c>
      <c r="C488" s="346" t="s">
        <v>2354</v>
      </c>
      <c r="D488" s="346" t="s">
        <v>1756</v>
      </c>
      <c r="E488" s="346" t="s">
        <v>1757</v>
      </c>
      <c r="F488" s="346" t="s">
        <v>1758</v>
      </c>
      <c r="G488" s="346" t="s">
        <v>1775</v>
      </c>
      <c r="H488" s="346" t="s">
        <v>1288</v>
      </c>
      <c r="I488" s="346">
        <v>3489246.86</v>
      </c>
      <c r="J488" s="346" t="s">
        <v>572</v>
      </c>
      <c r="K488" s="346" t="s">
        <v>1761</v>
      </c>
      <c r="L488" s="346"/>
      <c r="M488" s="346" t="s">
        <v>1761</v>
      </c>
      <c r="N488" s="346">
        <v>0.1</v>
      </c>
      <c r="O488" s="346">
        <v>4.9000000000000004</v>
      </c>
      <c r="P488" s="346">
        <v>5.65</v>
      </c>
      <c r="Q488" s="346" t="s">
        <v>1762</v>
      </c>
      <c r="R488" s="458">
        <v>1</v>
      </c>
    </row>
    <row r="489" spans="1:18" x14ac:dyDescent="0.25">
      <c r="A489" s="458">
        <v>44680</v>
      </c>
      <c r="B489" s="346">
        <v>3200000123</v>
      </c>
      <c r="C489" s="346" t="s">
        <v>2358</v>
      </c>
      <c r="D489" s="346" t="s">
        <v>1756</v>
      </c>
      <c r="E489" s="346" t="s">
        <v>1757</v>
      </c>
      <c r="F489" s="346" t="s">
        <v>1758</v>
      </c>
      <c r="G489" s="346" t="s">
        <v>1776</v>
      </c>
      <c r="H489" s="346" t="s">
        <v>1777</v>
      </c>
      <c r="I489" s="346">
        <v>2924000</v>
      </c>
      <c r="J489" s="346" t="s">
        <v>572</v>
      </c>
      <c r="K489" s="346" t="s">
        <v>1761</v>
      </c>
      <c r="L489" s="346"/>
      <c r="M489" s="346" t="s">
        <v>1761</v>
      </c>
      <c r="N489" s="346">
        <v>0.1</v>
      </c>
      <c r="O489" s="346">
        <v>5.7</v>
      </c>
      <c r="P489" s="346">
        <v>6.45</v>
      </c>
      <c r="Q489" s="346" t="s">
        <v>1762</v>
      </c>
      <c r="R489" s="458">
        <v>1</v>
      </c>
    </row>
    <row r="490" spans="1:18" x14ac:dyDescent="0.25">
      <c r="A490" s="458">
        <v>44680</v>
      </c>
      <c r="B490" s="346">
        <v>3200000122</v>
      </c>
      <c r="C490" s="346" t="s">
        <v>2359</v>
      </c>
      <c r="D490" s="346" t="s">
        <v>1756</v>
      </c>
      <c r="E490" s="346" t="s">
        <v>1757</v>
      </c>
      <c r="F490" s="346" t="s">
        <v>1758</v>
      </c>
      <c r="G490" s="346" t="s">
        <v>1776</v>
      </c>
      <c r="H490" s="346" t="s">
        <v>1777</v>
      </c>
      <c r="I490" s="346">
        <v>406000</v>
      </c>
      <c r="J490" s="346" t="s">
        <v>572</v>
      </c>
      <c r="K490" s="346" t="s">
        <v>1761</v>
      </c>
      <c r="L490" s="346"/>
      <c r="M490" s="346" t="s">
        <v>1761</v>
      </c>
      <c r="N490" s="346">
        <v>0.1</v>
      </c>
      <c r="O490" s="346">
        <v>5.7</v>
      </c>
      <c r="P490" s="346">
        <v>6.45</v>
      </c>
      <c r="Q490" s="346" t="s">
        <v>1762</v>
      </c>
      <c r="R490" s="458">
        <v>1</v>
      </c>
    </row>
    <row r="491" spans="1:18" x14ac:dyDescent="0.25">
      <c r="A491" s="458">
        <v>44680</v>
      </c>
      <c r="B491" s="346">
        <v>3200000126</v>
      </c>
      <c r="C491" s="346" t="s">
        <v>2360</v>
      </c>
      <c r="D491" s="346" t="s">
        <v>1756</v>
      </c>
      <c r="E491" s="346" t="s">
        <v>1757</v>
      </c>
      <c r="F491" s="346" t="s">
        <v>1758</v>
      </c>
      <c r="G491" s="346" t="s">
        <v>1776</v>
      </c>
      <c r="H491" s="346" t="s">
        <v>1777</v>
      </c>
      <c r="I491" s="346">
        <v>1500000</v>
      </c>
      <c r="J491" s="346" t="s">
        <v>572</v>
      </c>
      <c r="K491" s="346" t="s">
        <v>1761</v>
      </c>
      <c r="L491" s="346"/>
      <c r="M491" s="346" t="s">
        <v>1761</v>
      </c>
      <c r="N491" s="346">
        <v>0.55000000000000004</v>
      </c>
      <c r="O491" s="346">
        <v>6.68</v>
      </c>
      <c r="P491" s="346">
        <v>7.43</v>
      </c>
      <c r="Q491" s="346" t="s">
        <v>1762</v>
      </c>
      <c r="R491" s="458">
        <v>1</v>
      </c>
    </row>
    <row r="492" spans="1:18" x14ac:dyDescent="0.25">
      <c r="A492" s="458">
        <v>44680</v>
      </c>
      <c r="B492" s="346">
        <v>1200000156</v>
      </c>
      <c r="C492" s="346" t="s">
        <v>2361</v>
      </c>
      <c r="D492" s="346" t="s">
        <v>1756</v>
      </c>
      <c r="E492" s="346" t="s">
        <v>1757</v>
      </c>
      <c r="F492" s="346" t="s">
        <v>1758</v>
      </c>
      <c r="G492" s="346" t="s">
        <v>1778</v>
      </c>
      <c r="H492" s="346" t="s">
        <v>1779</v>
      </c>
      <c r="I492" s="346">
        <v>3175426.88</v>
      </c>
      <c r="J492" s="346" t="s">
        <v>572</v>
      </c>
      <c r="K492" s="346" t="s">
        <v>1761</v>
      </c>
      <c r="L492" s="346"/>
      <c r="M492" s="346" t="s">
        <v>1761</v>
      </c>
      <c r="N492" s="346">
        <v>0.1</v>
      </c>
      <c r="O492" s="346">
        <v>6.99</v>
      </c>
      <c r="P492" s="346">
        <v>7.74</v>
      </c>
      <c r="Q492" s="346" t="s">
        <v>1762</v>
      </c>
      <c r="R492" s="458">
        <v>1</v>
      </c>
    </row>
    <row r="493" spans="1:18" x14ac:dyDescent="0.25">
      <c r="A493" s="458">
        <v>44680</v>
      </c>
      <c r="B493" s="346">
        <v>1200000152</v>
      </c>
      <c r="C493" s="346" t="s">
        <v>2362</v>
      </c>
      <c r="D493" s="346" t="s">
        <v>1756</v>
      </c>
      <c r="E493" s="346" t="s">
        <v>1757</v>
      </c>
      <c r="F493" s="346" t="s">
        <v>1758</v>
      </c>
      <c r="G493" s="346" t="s">
        <v>1778</v>
      </c>
      <c r="H493" s="346" t="s">
        <v>1779</v>
      </c>
      <c r="I493" s="346">
        <v>3500000</v>
      </c>
      <c r="J493" s="346" t="s">
        <v>572</v>
      </c>
      <c r="K493" s="346" t="s">
        <v>1761</v>
      </c>
      <c r="L493" s="346"/>
      <c r="M493" s="346" t="s">
        <v>1761</v>
      </c>
      <c r="N493" s="346">
        <v>0.1</v>
      </c>
      <c r="O493" s="346">
        <v>6.84</v>
      </c>
      <c r="P493" s="346">
        <v>7.59</v>
      </c>
      <c r="Q493" s="346" t="s">
        <v>1765</v>
      </c>
      <c r="R493" s="458">
        <v>44352</v>
      </c>
    </row>
    <row r="494" spans="1:18" x14ac:dyDescent="0.25">
      <c r="A494" s="458">
        <v>44680</v>
      </c>
      <c r="B494" s="346">
        <v>1200000157</v>
      </c>
      <c r="C494" s="346" t="s">
        <v>2366</v>
      </c>
      <c r="D494" s="346" t="s">
        <v>1756</v>
      </c>
      <c r="E494" s="346" t="s">
        <v>1757</v>
      </c>
      <c r="F494" s="346" t="s">
        <v>1758</v>
      </c>
      <c r="G494" s="346" t="s">
        <v>1778</v>
      </c>
      <c r="H494" s="346" t="s">
        <v>1779</v>
      </c>
      <c r="I494" s="346">
        <v>1932432.43</v>
      </c>
      <c r="J494" s="346" t="s">
        <v>572</v>
      </c>
      <c r="K494" s="346" t="s">
        <v>1761</v>
      </c>
      <c r="L494" s="346"/>
      <c r="M494" s="346" t="s">
        <v>1761</v>
      </c>
      <c r="N494" s="346">
        <v>0.14000000000000001</v>
      </c>
      <c r="O494" s="346">
        <v>7.04</v>
      </c>
      <c r="P494" s="346">
        <v>7.79</v>
      </c>
      <c r="Q494" s="346" t="s">
        <v>1762</v>
      </c>
      <c r="R494" s="458">
        <v>1</v>
      </c>
    </row>
    <row r="495" spans="1:18" x14ac:dyDescent="0.25">
      <c r="A495" s="458">
        <v>44680</v>
      </c>
      <c r="B495" s="346">
        <v>1200000149</v>
      </c>
      <c r="C495" s="346" t="s">
        <v>2365</v>
      </c>
      <c r="D495" s="346" t="s">
        <v>1756</v>
      </c>
      <c r="E495" s="346" t="s">
        <v>1757</v>
      </c>
      <c r="F495" s="346" t="s">
        <v>1758</v>
      </c>
      <c r="G495" s="346" t="s">
        <v>1778</v>
      </c>
      <c r="H495" s="346" t="s">
        <v>1779</v>
      </c>
      <c r="I495" s="346">
        <v>998648</v>
      </c>
      <c r="J495" s="346" t="s">
        <v>572</v>
      </c>
      <c r="K495" s="346" t="s">
        <v>1761</v>
      </c>
      <c r="L495" s="346"/>
      <c r="M495" s="346" t="s">
        <v>1761</v>
      </c>
      <c r="N495" s="346">
        <v>0.2</v>
      </c>
      <c r="O495" s="346">
        <v>7.15</v>
      </c>
      <c r="P495" s="346">
        <v>7.9</v>
      </c>
      <c r="Q495" s="346" t="s">
        <v>1765</v>
      </c>
      <c r="R495" s="458">
        <v>44352</v>
      </c>
    </row>
    <row r="496" spans="1:18" x14ac:dyDescent="0.25">
      <c r="A496" s="458">
        <v>44680</v>
      </c>
      <c r="B496" s="346">
        <v>1200000154</v>
      </c>
      <c r="C496" s="346" t="s">
        <v>2363</v>
      </c>
      <c r="D496" s="346" t="s">
        <v>1756</v>
      </c>
      <c r="E496" s="346" t="s">
        <v>1757</v>
      </c>
      <c r="F496" s="346" t="s">
        <v>1758</v>
      </c>
      <c r="G496" s="346" t="s">
        <v>1778</v>
      </c>
      <c r="H496" s="346" t="s">
        <v>1779</v>
      </c>
      <c r="I496" s="346">
        <v>2202457.79</v>
      </c>
      <c r="J496" s="346" t="s">
        <v>572</v>
      </c>
      <c r="K496" s="346" t="s">
        <v>1761</v>
      </c>
      <c r="L496" s="346"/>
      <c r="M496" s="346" t="s">
        <v>1761</v>
      </c>
      <c r="N496" s="346">
        <v>0.79</v>
      </c>
      <c r="O496" s="346">
        <v>6.75</v>
      </c>
      <c r="P496" s="346">
        <v>7.54</v>
      </c>
      <c r="Q496" s="346" t="s">
        <v>1765</v>
      </c>
      <c r="R496" s="458">
        <v>44352</v>
      </c>
    </row>
    <row r="497" spans="1:18" x14ac:dyDescent="0.25">
      <c r="A497" s="458">
        <v>44680</v>
      </c>
      <c r="B497" s="346">
        <v>1200000153</v>
      </c>
      <c r="C497" s="346" t="s">
        <v>2364</v>
      </c>
      <c r="D497" s="346" t="s">
        <v>1756</v>
      </c>
      <c r="E497" s="346" t="s">
        <v>1757</v>
      </c>
      <c r="F497" s="346" t="s">
        <v>1758</v>
      </c>
      <c r="G497" s="346" t="s">
        <v>1778</v>
      </c>
      <c r="H497" s="346" t="s">
        <v>1779</v>
      </c>
      <c r="I497" s="346">
        <v>1640373</v>
      </c>
      <c r="J497" s="346" t="s">
        <v>572</v>
      </c>
      <c r="K497" s="346" t="s">
        <v>1761</v>
      </c>
      <c r="L497" s="346"/>
      <c r="M497" s="346" t="s">
        <v>1761</v>
      </c>
      <c r="N497" s="346">
        <v>0.79</v>
      </c>
      <c r="O497" s="346">
        <v>6.75</v>
      </c>
      <c r="P497" s="346">
        <v>7.54</v>
      </c>
      <c r="Q497" s="346" t="s">
        <v>1765</v>
      </c>
      <c r="R497" s="458">
        <v>44352</v>
      </c>
    </row>
    <row r="498" spans="1:18" x14ac:dyDescent="0.25">
      <c r="A498" s="458">
        <v>44680</v>
      </c>
      <c r="B498" s="346">
        <v>3100000122</v>
      </c>
      <c r="C498" s="346" t="s">
        <v>2367</v>
      </c>
      <c r="D498" s="346" t="s">
        <v>1756</v>
      </c>
      <c r="E498" s="346" t="s">
        <v>1757</v>
      </c>
      <c r="F498" s="346" t="s">
        <v>1758</v>
      </c>
      <c r="G498" s="346" t="s">
        <v>1780</v>
      </c>
      <c r="H498" s="346" t="s">
        <v>1233</v>
      </c>
      <c r="I498" s="346">
        <v>1487345.08</v>
      </c>
      <c r="J498" s="346" t="s">
        <v>572</v>
      </c>
      <c r="K498" s="346" t="s">
        <v>1761</v>
      </c>
      <c r="L498" s="346"/>
      <c r="M498" s="346" t="s">
        <v>1761</v>
      </c>
      <c r="N498" s="346">
        <v>0.71</v>
      </c>
      <c r="O498" s="346">
        <v>7.6</v>
      </c>
      <c r="P498" s="346">
        <v>8.35</v>
      </c>
      <c r="Q498" s="346" t="s">
        <v>1762</v>
      </c>
      <c r="R498" s="458">
        <v>1</v>
      </c>
    </row>
    <row r="499" spans="1:18" x14ac:dyDescent="0.25">
      <c r="A499" s="458">
        <v>44680</v>
      </c>
      <c r="B499" s="346">
        <v>3100000124</v>
      </c>
      <c r="C499" s="346" t="s">
        <v>2368</v>
      </c>
      <c r="D499" s="346" t="s">
        <v>1756</v>
      </c>
      <c r="E499" s="346" t="s">
        <v>1757</v>
      </c>
      <c r="F499" s="346" t="s">
        <v>1758</v>
      </c>
      <c r="G499" s="346" t="s">
        <v>1780</v>
      </c>
      <c r="H499" s="346" t="s">
        <v>1233</v>
      </c>
      <c r="I499" s="346">
        <v>10717359.380000001</v>
      </c>
      <c r="J499" s="346" t="s">
        <v>572</v>
      </c>
      <c r="K499" s="346" t="s">
        <v>1761</v>
      </c>
      <c r="L499" s="346"/>
      <c r="M499" s="346" t="s">
        <v>1761</v>
      </c>
      <c r="N499" s="346">
        <v>0.1</v>
      </c>
      <c r="O499" s="346">
        <v>5.2</v>
      </c>
      <c r="P499" s="346">
        <v>5.95</v>
      </c>
      <c r="Q499" s="346" t="s">
        <v>1762</v>
      </c>
      <c r="R499" s="458">
        <v>1</v>
      </c>
    </row>
    <row r="500" spans="1:18" x14ac:dyDescent="0.25">
      <c r="A500" s="458">
        <v>44680</v>
      </c>
      <c r="B500" s="346">
        <v>7100000105</v>
      </c>
      <c r="C500" s="346" t="s">
        <v>2369</v>
      </c>
      <c r="D500" s="346" t="s">
        <v>1756</v>
      </c>
      <c r="E500" s="346" t="s">
        <v>1757</v>
      </c>
      <c r="F500" s="346" t="s">
        <v>1758</v>
      </c>
      <c r="G500" s="346" t="s">
        <v>1786</v>
      </c>
      <c r="H500" s="346" t="s">
        <v>1258</v>
      </c>
      <c r="I500" s="346">
        <v>22750000</v>
      </c>
      <c r="J500" s="346" t="s">
        <v>572</v>
      </c>
      <c r="K500" s="346" t="s">
        <v>1761</v>
      </c>
      <c r="L500" s="346"/>
      <c r="M500" s="346" t="s">
        <v>1761</v>
      </c>
      <c r="N500" s="346">
        <v>0.1</v>
      </c>
      <c r="O500" s="346">
        <v>5.0199999999999996</v>
      </c>
      <c r="P500" s="346">
        <v>5.77</v>
      </c>
      <c r="Q500" s="346" t="s">
        <v>1762</v>
      </c>
      <c r="R500" s="458">
        <v>1</v>
      </c>
    </row>
    <row r="501" spans="1:18" x14ac:dyDescent="0.25">
      <c r="A501" s="458">
        <v>44680</v>
      </c>
      <c r="B501" s="346">
        <v>1300000001</v>
      </c>
      <c r="C501" s="346" t="s">
        <v>2370</v>
      </c>
      <c r="D501" s="346" t="s">
        <v>1756</v>
      </c>
      <c r="E501" s="346" t="s">
        <v>1757</v>
      </c>
      <c r="F501" s="346" t="s">
        <v>1758</v>
      </c>
      <c r="G501" s="346" t="s">
        <v>1789</v>
      </c>
      <c r="H501" s="346" t="s">
        <v>1790</v>
      </c>
      <c r="I501" s="346">
        <v>2822433</v>
      </c>
      <c r="J501" s="346" t="s">
        <v>572</v>
      </c>
      <c r="K501" s="346" t="s">
        <v>1761</v>
      </c>
      <c r="L501" s="346"/>
      <c r="M501" s="346" t="s">
        <v>1761</v>
      </c>
      <c r="N501" s="346">
        <v>0.8</v>
      </c>
      <c r="O501" s="346">
        <v>6.07</v>
      </c>
      <c r="P501" s="346">
        <v>6.87</v>
      </c>
      <c r="Q501" s="346" t="s">
        <v>1762</v>
      </c>
      <c r="R501" s="458">
        <v>1</v>
      </c>
    </row>
    <row r="502" spans="1:18" x14ac:dyDescent="0.25">
      <c r="A502" s="458">
        <v>44680</v>
      </c>
      <c r="B502" s="346">
        <v>2200000004</v>
      </c>
      <c r="C502" s="346" t="s">
        <v>2372</v>
      </c>
      <c r="D502" s="346" t="s">
        <v>1756</v>
      </c>
      <c r="E502" s="346" t="s">
        <v>1757</v>
      </c>
      <c r="F502" s="346" t="s">
        <v>1758</v>
      </c>
      <c r="G502" s="346" t="s">
        <v>1759</v>
      </c>
      <c r="H502" s="346" t="s">
        <v>1760</v>
      </c>
      <c r="I502" s="346">
        <v>1176091.1000000001</v>
      </c>
      <c r="J502" s="346" t="s">
        <v>572</v>
      </c>
      <c r="K502" s="346" t="s">
        <v>1761</v>
      </c>
      <c r="L502" s="346"/>
      <c r="M502" s="346" t="s">
        <v>1761</v>
      </c>
      <c r="N502" s="346">
        <v>0.1</v>
      </c>
      <c r="O502" s="346">
        <v>6</v>
      </c>
      <c r="P502" s="346">
        <v>6.75</v>
      </c>
      <c r="Q502" s="346" t="s">
        <v>1765</v>
      </c>
      <c r="R502" s="458">
        <v>44177</v>
      </c>
    </row>
    <row r="503" spans="1:18" x14ac:dyDescent="0.25">
      <c r="A503" s="458">
        <v>44680</v>
      </c>
      <c r="B503" s="346">
        <v>2200000008</v>
      </c>
      <c r="C503" s="346" t="s">
        <v>2381</v>
      </c>
      <c r="D503" s="346" t="s">
        <v>1756</v>
      </c>
      <c r="E503" s="346" t="s">
        <v>1757</v>
      </c>
      <c r="F503" s="346" t="s">
        <v>1758</v>
      </c>
      <c r="G503" s="346" t="s">
        <v>1759</v>
      </c>
      <c r="H503" s="346" t="s">
        <v>1760</v>
      </c>
      <c r="I503" s="346">
        <v>4975813</v>
      </c>
      <c r="J503" s="346" t="s">
        <v>572</v>
      </c>
      <c r="K503" s="346" t="s">
        <v>1761</v>
      </c>
      <c r="L503" s="346"/>
      <c r="M503" s="346" t="s">
        <v>1761</v>
      </c>
      <c r="N503" s="346">
        <v>0.1</v>
      </c>
      <c r="O503" s="346">
        <v>6.45</v>
      </c>
      <c r="P503" s="346">
        <v>7.2</v>
      </c>
      <c r="Q503" s="346" t="s">
        <v>1765</v>
      </c>
      <c r="R503" s="458">
        <v>44177</v>
      </c>
    </row>
    <row r="504" spans="1:18" x14ac:dyDescent="0.25">
      <c r="A504" s="458">
        <v>44680</v>
      </c>
      <c r="B504" s="346">
        <v>2200000188</v>
      </c>
      <c r="C504" s="346" t="s">
        <v>2378</v>
      </c>
      <c r="D504" s="346" t="s">
        <v>1756</v>
      </c>
      <c r="E504" s="346" t="s">
        <v>1757</v>
      </c>
      <c r="F504" s="346" t="s">
        <v>1758</v>
      </c>
      <c r="G504" s="346" t="s">
        <v>1759</v>
      </c>
      <c r="H504" s="346" t="s">
        <v>1760</v>
      </c>
      <c r="I504" s="346">
        <v>332500</v>
      </c>
      <c r="J504" s="346" t="s">
        <v>572</v>
      </c>
      <c r="K504" s="346" t="s">
        <v>1761</v>
      </c>
      <c r="L504" s="346"/>
      <c r="M504" s="346" t="s">
        <v>1761</v>
      </c>
      <c r="N504" s="346">
        <v>0.1</v>
      </c>
      <c r="O504" s="346">
        <v>5.97</v>
      </c>
      <c r="P504" s="346">
        <v>6.72</v>
      </c>
      <c r="Q504" s="346" t="s">
        <v>1762</v>
      </c>
      <c r="R504" s="458">
        <v>1</v>
      </c>
    </row>
    <row r="505" spans="1:18" x14ac:dyDescent="0.25">
      <c r="A505" s="458">
        <v>44680</v>
      </c>
      <c r="B505" s="346">
        <v>4100000025</v>
      </c>
      <c r="C505" s="346" t="s">
        <v>2383</v>
      </c>
      <c r="D505" s="346" t="s">
        <v>1756</v>
      </c>
      <c r="E505" s="346" t="s">
        <v>1757</v>
      </c>
      <c r="F505" s="346" t="s">
        <v>1758</v>
      </c>
      <c r="G505" s="346" t="s">
        <v>1764</v>
      </c>
      <c r="H505" s="346" t="s">
        <v>1250</v>
      </c>
      <c r="I505" s="346">
        <v>307500</v>
      </c>
      <c r="J505" s="346" t="s">
        <v>572</v>
      </c>
      <c r="K505" s="346" t="s">
        <v>1761</v>
      </c>
      <c r="L505" s="346"/>
      <c r="M505" s="346" t="s">
        <v>1761</v>
      </c>
      <c r="N505" s="346">
        <v>0.64</v>
      </c>
      <c r="O505" s="346">
        <v>4.07</v>
      </c>
      <c r="P505" s="346">
        <v>4.82</v>
      </c>
      <c r="Q505" s="346" t="s">
        <v>1765</v>
      </c>
      <c r="R505" s="458">
        <v>44177</v>
      </c>
    </row>
    <row r="506" spans="1:18" x14ac:dyDescent="0.25">
      <c r="A506" s="458">
        <v>44680</v>
      </c>
      <c r="B506" s="346">
        <v>4100000244</v>
      </c>
      <c r="C506" s="346" t="s">
        <v>2384</v>
      </c>
      <c r="D506" s="346" t="s">
        <v>1756</v>
      </c>
      <c r="E506" s="346" t="s">
        <v>1757</v>
      </c>
      <c r="F506" s="346" t="s">
        <v>1758</v>
      </c>
      <c r="G506" s="346" t="s">
        <v>1764</v>
      </c>
      <c r="H506" s="346" t="s">
        <v>1250</v>
      </c>
      <c r="I506" s="346">
        <v>1242500</v>
      </c>
      <c r="J506" s="346" t="s">
        <v>572</v>
      </c>
      <c r="K506" s="346" t="s">
        <v>1761</v>
      </c>
      <c r="L506" s="346"/>
      <c r="M506" s="346" t="s">
        <v>1761</v>
      </c>
      <c r="N506" s="346">
        <v>0.1</v>
      </c>
      <c r="O506" s="346">
        <v>4.5</v>
      </c>
      <c r="P506" s="346">
        <v>5.25</v>
      </c>
      <c r="Q506" s="346" t="s">
        <v>1762</v>
      </c>
      <c r="R506" s="458">
        <v>1</v>
      </c>
    </row>
    <row r="507" spans="1:18" x14ac:dyDescent="0.25">
      <c r="A507" s="458">
        <v>44680</v>
      </c>
      <c r="B507" s="346">
        <v>4100000240</v>
      </c>
      <c r="C507" s="346" t="s">
        <v>2385</v>
      </c>
      <c r="D507" s="346" t="s">
        <v>1756</v>
      </c>
      <c r="E507" s="346" t="s">
        <v>1757</v>
      </c>
      <c r="F507" s="346" t="s">
        <v>1758</v>
      </c>
      <c r="G507" s="346" t="s">
        <v>1764</v>
      </c>
      <c r="H507" s="346" t="s">
        <v>1250</v>
      </c>
      <c r="I507" s="346">
        <v>8000000</v>
      </c>
      <c r="J507" s="346" t="s">
        <v>572</v>
      </c>
      <c r="K507" s="346" t="s">
        <v>1761</v>
      </c>
      <c r="L507" s="346"/>
      <c r="M507" s="346" t="s">
        <v>1761</v>
      </c>
      <c r="N507" s="346">
        <v>0.1</v>
      </c>
      <c r="O507" s="346">
        <v>5.75</v>
      </c>
      <c r="P507" s="346">
        <v>6.5</v>
      </c>
      <c r="Q507" s="346" t="s">
        <v>1762</v>
      </c>
      <c r="R507" s="458">
        <v>1</v>
      </c>
    </row>
    <row r="508" spans="1:18" x14ac:dyDescent="0.25">
      <c r="A508" s="458">
        <v>44680</v>
      </c>
      <c r="B508" s="346">
        <v>4100000245</v>
      </c>
      <c r="C508" s="346" t="s">
        <v>2386</v>
      </c>
      <c r="D508" s="346" t="s">
        <v>1756</v>
      </c>
      <c r="E508" s="346" t="s">
        <v>1757</v>
      </c>
      <c r="F508" s="346" t="s">
        <v>1758</v>
      </c>
      <c r="G508" s="346" t="s">
        <v>1764</v>
      </c>
      <c r="H508" s="346" t="s">
        <v>1250</v>
      </c>
      <c r="I508" s="346">
        <v>2720568.5</v>
      </c>
      <c r="J508" s="346" t="s">
        <v>572</v>
      </c>
      <c r="K508" s="346" t="s">
        <v>1761</v>
      </c>
      <c r="L508" s="346"/>
      <c r="M508" s="346" t="s">
        <v>1761</v>
      </c>
      <c r="N508" s="346">
        <v>0.1</v>
      </c>
      <c r="O508" s="346">
        <v>3.3</v>
      </c>
      <c r="P508" s="346">
        <v>4.05</v>
      </c>
      <c r="Q508" s="346" t="s">
        <v>1762</v>
      </c>
      <c r="R508" s="458">
        <v>1</v>
      </c>
    </row>
    <row r="509" spans="1:18" x14ac:dyDescent="0.25">
      <c r="A509" s="458">
        <v>44680</v>
      </c>
      <c r="B509" s="346">
        <v>4100000246</v>
      </c>
      <c r="C509" s="346" t="s">
        <v>2388</v>
      </c>
      <c r="D509" s="346" t="s">
        <v>1756</v>
      </c>
      <c r="E509" s="346" t="s">
        <v>1757</v>
      </c>
      <c r="F509" s="346" t="s">
        <v>1758</v>
      </c>
      <c r="G509" s="346" t="s">
        <v>1764</v>
      </c>
      <c r="H509" s="346" t="s">
        <v>1250</v>
      </c>
      <c r="I509" s="346">
        <v>5000000</v>
      </c>
      <c r="J509" s="346" t="s">
        <v>572</v>
      </c>
      <c r="K509" s="346" t="s">
        <v>1761</v>
      </c>
      <c r="L509" s="346"/>
      <c r="M509" s="346" t="s">
        <v>1761</v>
      </c>
      <c r="N509" s="346">
        <v>0.1</v>
      </c>
      <c r="O509" s="346">
        <v>5.5</v>
      </c>
      <c r="P509" s="346">
        <v>6.25</v>
      </c>
      <c r="Q509" s="346" t="s">
        <v>1762</v>
      </c>
      <c r="R509" s="458">
        <v>1</v>
      </c>
    </row>
    <row r="510" spans="1:18" x14ac:dyDescent="0.25">
      <c r="A510" s="458">
        <v>44680</v>
      </c>
      <c r="B510" s="346">
        <v>4100000247</v>
      </c>
      <c r="C510" s="346" t="s">
        <v>2389</v>
      </c>
      <c r="D510" s="346" t="s">
        <v>1756</v>
      </c>
      <c r="E510" s="346" t="s">
        <v>1757</v>
      </c>
      <c r="F510" s="346" t="s">
        <v>1758</v>
      </c>
      <c r="G510" s="346" t="s">
        <v>1764</v>
      </c>
      <c r="H510" s="346" t="s">
        <v>1250</v>
      </c>
      <c r="I510" s="346">
        <v>7860000</v>
      </c>
      <c r="J510" s="346" t="s">
        <v>572</v>
      </c>
      <c r="K510" s="346" t="s">
        <v>1761</v>
      </c>
      <c r="L510" s="346"/>
      <c r="M510" s="346" t="s">
        <v>1761</v>
      </c>
      <c r="N510" s="346">
        <v>0.1</v>
      </c>
      <c r="O510" s="346">
        <v>5.25</v>
      </c>
      <c r="P510" s="346">
        <v>6</v>
      </c>
      <c r="Q510" s="346" t="s">
        <v>1762</v>
      </c>
      <c r="R510" s="458">
        <v>1</v>
      </c>
    </row>
    <row r="511" spans="1:18" x14ac:dyDescent="0.25">
      <c r="A511" s="458">
        <v>44680</v>
      </c>
      <c r="B511" s="346">
        <v>4100000026</v>
      </c>
      <c r="C511" s="346" t="s">
        <v>2391</v>
      </c>
      <c r="D511" s="346" t="s">
        <v>1756</v>
      </c>
      <c r="E511" s="346" t="s">
        <v>1757</v>
      </c>
      <c r="F511" s="346" t="s">
        <v>1758</v>
      </c>
      <c r="G511" s="346" t="s">
        <v>1764</v>
      </c>
      <c r="H511" s="346" t="s">
        <v>1250</v>
      </c>
      <c r="I511" s="346">
        <v>3029000</v>
      </c>
      <c r="J511" s="346" t="s">
        <v>572</v>
      </c>
      <c r="K511" s="346" t="s">
        <v>1761</v>
      </c>
      <c r="L511" s="346"/>
      <c r="M511" s="346" t="s">
        <v>1761</v>
      </c>
      <c r="N511" s="346">
        <v>0.1</v>
      </c>
      <c r="O511" s="346">
        <v>5.92</v>
      </c>
      <c r="P511" s="346">
        <v>6.67</v>
      </c>
      <c r="Q511" s="346" t="s">
        <v>1765</v>
      </c>
      <c r="R511" s="458">
        <v>44177</v>
      </c>
    </row>
    <row r="512" spans="1:18" x14ac:dyDescent="0.25">
      <c r="A512" s="458">
        <v>44680</v>
      </c>
      <c r="B512" s="346">
        <v>4100000252</v>
      </c>
      <c r="C512" s="346" t="s">
        <v>2392</v>
      </c>
      <c r="D512" s="346" t="s">
        <v>1756</v>
      </c>
      <c r="E512" s="346" t="s">
        <v>1757</v>
      </c>
      <c r="F512" s="346" t="s">
        <v>1758</v>
      </c>
      <c r="G512" s="346" t="s">
        <v>1764</v>
      </c>
      <c r="H512" s="346" t="s">
        <v>1250</v>
      </c>
      <c r="I512" s="346">
        <v>2763819</v>
      </c>
      <c r="J512" s="346" t="s">
        <v>572</v>
      </c>
      <c r="K512" s="346" t="s">
        <v>1761</v>
      </c>
      <c r="L512" s="346"/>
      <c r="M512" s="346" t="s">
        <v>1761</v>
      </c>
      <c r="N512" s="346">
        <v>0.25</v>
      </c>
      <c r="O512" s="346">
        <v>5</v>
      </c>
      <c r="P512" s="346">
        <v>5.75</v>
      </c>
      <c r="Q512" s="346" t="s">
        <v>1762</v>
      </c>
      <c r="R512" s="458">
        <v>1</v>
      </c>
    </row>
    <row r="513" spans="1:18" x14ac:dyDescent="0.25">
      <c r="A513" s="458">
        <v>44680</v>
      </c>
      <c r="B513" s="346">
        <v>4100000250</v>
      </c>
      <c r="C513" s="346" t="s">
        <v>2393</v>
      </c>
      <c r="D513" s="346" t="s">
        <v>1756</v>
      </c>
      <c r="E513" s="346" t="s">
        <v>1757</v>
      </c>
      <c r="F513" s="346" t="s">
        <v>1758</v>
      </c>
      <c r="G513" s="346" t="s">
        <v>1764</v>
      </c>
      <c r="H513" s="346" t="s">
        <v>1250</v>
      </c>
      <c r="I513" s="346">
        <v>2190000</v>
      </c>
      <c r="J513" s="346" t="s">
        <v>572</v>
      </c>
      <c r="K513" s="346" t="s">
        <v>1761</v>
      </c>
      <c r="L513" s="346"/>
      <c r="M513" s="346" t="s">
        <v>1761</v>
      </c>
      <c r="N513" s="346">
        <v>0.25</v>
      </c>
      <c r="O513" s="346">
        <v>4.75</v>
      </c>
      <c r="P513" s="346">
        <v>5.5</v>
      </c>
      <c r="Q513" s="346" t="s">
        <v>1762</v>
      </c>
      <c r="R513" s="458">
        <v>1</v>
      </c>
    </row>
    <row r="514" spans="1:18" x14ac:dyDescent="0.25">
      <c r="A514" s="458">
        <v>44680</v>
      </c>
      <c r="B514" s="346">
        <v>4100000248</v>
      </c>
      <c r="C514" s="346" t="s">
        <v>2395</v>
      </c>
      <c r="D514" s="346" t="s">
        <v>1756</v>
      </c>
      <c r="E514" s="346" t="s">
        <v>1757</v>
      </c>
      <c r="F514" s="346" t="s">
        <v>1758</v>
      </c>
      <c r="G514" s="346" t="s">
        <v>1764</v>
      </c>
      <c r="H514" s="346" t="s">
        <v>1250</v>
      </c>
      <c r="I514" s="346">
        <v>8640243.7799999993</v>
      </c>
      <c r="J514" s="346" t="s">
        <v>572</v>
      </c>
      <c r="K514" s="346" t="s">
        <v>1761</v>
      </c>
      <c r="L514" s="346"/>
      <c r="M514" s="346" t="s">
        <v>1761</v>
      </c>
      <c r="N514" s="346">
        <v>0.1</v>
      </c>
      <c r="O514" s="346">
        <v>6</v>
      </c>
      <c r="P514" s="346">
        <v>6.75</v>
      </c>
      <c r="Q514" s="346" t="s">
        <v>1762</v>
      </c>
      <c r="R514" s="458">
        <v>1</v>
      </c>
    </row>
    <row r="515" spans="1:18" x14ac:dyDescent="0.25">
      <c r="A515" s="458">
        <v>44680</v>
      </c>
      <c r="B515" s="346">
        <v>4100000254</v>
      </c>
      <c r="C515" s="346" t="s">
        <v>4530</v>
      </c>
      <c r="D515" s="346" t="s">
        <v>1756</v>
      </c>
      <c r="E515" s="346" t="s">
        <v>1757</v>
      </c>
      <c r="F515" s="346" t="s">
        <v>1758</v>
      </c>
      <c r="G515" s="346" t="s">
        <v>1764</v>
      </c>
      <c r="H515" s="346" t="s">
        <v>1250</v>
      </c>
      <c r="I515" s="346">
        <v>0</v>
      </c>
      <c r="J515" s="346" t="s">
        <v>1761</v>
      </c>
      <c r="K515" s="346" t="s">
        <v>1767</v>
      </c>
      <c r="L515" s="458">
        <v>44651</v>
      </c>
      <c r="M515" s="346" t="s">
        <v>2396</v>
      </c>
      <c r="N515" s="346">
        <v>0</v>
      </c>
      <c r="O515" s="346">
        <v>3</v>
      </c>
      <c r="P515" s="346">
        <v>3</v>
      </c>
      <c r="Q515" s="346" t="s">
        <v>1762</v>
      </c>
      <c r="R515" s="458">
        <v>1</v>
      </c>
    </row>
    <row r="516" spans="1:18" x14ac:dyDescent="0.25">
      <c r="A516" s="458">
        <v>44680</v>
      </c>
      <c r="B516" s="346">
        <v>4100000242</v>
      </c>
      <c r="C516" s="346" t="s">
        <v>2397</v>
      </c>
      <c r="D516" s="346" t="s">
        <v>1756</v>
      </c>
      <c r="E516" s="346" t="s">
        <v>1757</v>
      </c>
      <c r="F516" s="346" t="s">
        <v>1758</v>
      </c>
      <c r="G516" s="346" t="s">
        <v>1764</v>
      </c>
      <c r="H516" s="346" t="s">
        <v>1250</v>
      </c>
      <c r="I516" s="346">
        <v>7716095.9000000004</v>
      </c>
      <c r="J516" s="346" t="s">
        <v>572</v>
      </c>
      <c r="K516" s="346" t="s">
        <v>1761</v>
      </c>
      <c r="L516" s="346"/>
      <c r="M516" s="346" t="s">
        <v>1761</v>
      </c>
      <c r="N516" s="346">
        <v>0.1</v>
      </c>
      <c r="O516" s="346">
        <v>4.5</v>
      </c>
      <c r="P516" s="346">
        <v>5.25</v>
      </c>
      <c r="Q516" s="346" t="s">
        <v>1762</v>
      </c>
      <c r="R516" s="458">
        <v>1</v>
      </c>
    </row>
    <row r="517" spans="1:18" x14ac:dyDescent="0.25">
      <c r="A517" s="458">
        <v>44680</v>
      </c>
      <c r="B517" s="346">
        <v>4100000241</v>
      </c>
      <c r="C517" s="346" t="s">
        <v>2398</v>
      </c>
      <c r="D517" s="346" t="s">
        <v>1756</v>
      </c>
      <c r="E517" s="346" t="s">
        <v>1757</v>
      </c>
      <c r="F517" s="346" t="s">
        <v>1758</v>
      </c>
      <c r="G517" s="346" t="s">
        <v>1764</v>
      </c>
      <c r="H517" s="346" t="s">
        <v>1250</v>
      </c>
      <c r="I517" s="346">
        <v>7716095.9000000004</v>
      </c>
      <c r="J517" s="346" t="s">
        <v>572</v>
      </c>
      <c r="K517" s="346" t="s">
        <v>1761</v>
      </c>
      <c r="L517" s="346"/>
      <c r="M517" s="346" t="s">
        <v>1761</v>
      </c>
      <c r="N517" s="346">
        <v>0.1</v>
      </c>
      <c r="O517" s="346">
        <v>4.5</v>
      </c>
      <c r="P517" s="346">
        <v>5.25</v>
      </c>
      <c r="Q517" s="346" t="s">
        <v>1762</v>
      </c>
      <c r="R517" s="458">
        <v>1</v>
      </c>
    </row>
    <row r="518" spans="1:18" x14ac:dyDescent="0.25">
      <c r="A518" s="458">
        <v>44680</v>
      </c>
      <c r="B518" s="346">
        <v>4100000255</v>
      </c>
      <c r="C518" s="346" t="s">
        <v>2399</v>
      </c>
      <c r="D518" s="346" t="s">
        <v>1756</v>
      </c>
      <c r="E518" s="346" t="s">
        <v>1757</v>
      </c>
      <c r="F518" s="346" t="s">
        <v>1758</v>
      </c>
      <c r="G518" s="346" t="s">
        <v>1764</v>
      </c>
      <c r="H518" s="346" t="s">
        <v>1250</v>
      </c>
      <c r="I518" s="346">
        <v>2590845</v>
      </c>
      <c r="J518" s="346" t="s">
        <v>572</v>
      </c>
      <c r="K518" s="346" t="s">
        <v>1761</v>
      </c>
      <c r="L518" s="346"/>
      <c r="M518" s="346" t="s">
        <v>1761</v>
      </c>
      <c r="N518" s="346">
        <v>0.25</v>
      </c>
      <c r="O518" s="346">
        <v>5</v>
      </c>
      <c r="P518" s="346">
        <v>5.75</v>
      </c>
      <c r="Q518" s="346" t="s">
        <v>1762</v>
      </c>
      <c r="R518" s="458">
        <v>1</v>
      </c>
    </row>
    <row r="519" spans="1:18" x14ac:dyDescent="0.25">
      <c r="A519" s="458">
        <v>44680</v>
      </c>
      <c r="B519" s="346">
        <v>4100000258</v>
      </c>
      <c r="C519" s="346" t="s">
        <v>4359</v>
      </c>
      <c r="D519" s="346" t="s">
        <v>1756</v>
      </c>
      <c r="E519" s="346" t="s">
        <v>1763</v>
      </c>
      <c r="F519" s="346" t="s">
        <v>1758</v>
      </c>
      <c r="G519" s="346" t="s">
        <v>1764</v>
      </c>
      <c r="H519" s="346" t="s">
        <v>1250</v>
      </c>
      <c r="I519" s="346">
        <v>0</v>
      </c>
      <c r="J519" s="346" t="s">
        <v>572</v>
      </c>
      <c r="K519" s="346" t="s">
        <v>1761</v>
      </c>
      <c r="L519" s="346"/>
      <c r="M519" s="346" t="s">
        <v>1761</v>
      </c>
      <c r="N519" s="346">
        <v>0.5</v>
      </c>
      <c r="O519" s="346">
        <v>5.25</v>
      </c>
      <c r="P519" s="346">
        <v>6</v>
      </c>
      <c r="Q519" s="346" t="s">
        <v>1762</v>
      </c>
      <c r="R519" s="458">
        <v>1</v>
      </c>
    </row>
    <row r="520" spans="1:18" x14ac:dyDescent="0.25">
      <c r="A520" s="458">
        <v>44680</v>
      </c>
      <c r="B520" s="346">
        <v>4100000243</v>
      </c>
      <c r="C520" s="346" t="s">
        <v>2387</v>
      </c>
      <c r="D520" s="346" t="s">
        <v>1756</v>
      </c>
      <c r="E520" s="346" t="s">
        <v>1757</v>
      </c>
      <c r="F520" s="346" t="s">
        <v>1758</v>
      </c>
      <c r="G520" s="346" t="s">
        <v>1764</v>
      </c>
      <c r="H520" s="346" t="s">
        <v>1250</v>
      </c>
      <c r="I520" s="346">
        <v>3835875.46</v>
      </c>
      <c r="J520" s="346" t="s">
        <v>572</v>
      </c>
      <c r="K520" s="346" t="s">
        <v>1761</v>
      </c>
      <c r="L520" s="346"/>
      <c r="M520" s="346" t="s">
        <v>1761</v>
      </c>
      <c r="N520" s="346">
        <v>0.1</v>
      </c>
      <c r="O520" s="346">
        <v>4.75</v>
      </c>
      <c r="P520" s="346">
        <v>5.5</v>
      </c>
      <c r="Q520" s="346" t="s">
        <v>1762</v>
      </c>
      <c r="R520" s="458">
        <v>1</v>
      </c>
    </row>
    <row r="521" spans="1:18" x14ac:dyDescent="0.25">
      <c r="A521" s="458">
        <v>44680</v>
      </c>
      <c r="B521" s="346">
        <v>4100000253</v>
      </c>
      <c r="C521" s="346" t="s">
        <v>2394</v>
      </c>
      <c r="D521" s="346" t="s">
        <v>1756</v>
      </c>
      <c r="E521" s="346" t="s">
        <v>1757</v>
      </c>
      <c r="F521" s="346" t="s">
        <v>1758</v>
      </c>
      <c r="G521" s="346" t="s">
        <v>1764</v>
      </c>
      <c r="H521" s="346" t="s">
        <v>1250</v>
      </c>
      <c r="I521" s="346">
        <v>2240396</v>
      </c>
      <c r="J521" s="346" t="s">
        <v>572</v>
      </c>
      <c r="K521" s="346" t="s">
        <v>1761</v>
      </c>
      <c r="L521" s="346"/>
      <c r="M521" s="346" t="s">
        <v>1761</v>
      </c>
      <c r="N521" s="346">
        <v>0.5</v>
      </c>
      <c r="O521" s="346">
        <v>3.75</v>
      </c>
      <c r="P521" s="346">
        <v>4.5</v>
      </c>
      <c r="Q521" s="346" t="s">
        <v>1762</v>
      </c>
      <c r="R521" s="458">
        <v>1</v>
      </c>
    </row>
    <row r="522" spans="1:18" x14ac:dyDescent="0.25">
      <c r="A522" s="458">
        <v>44680</v>
      </c>
      <c r="B522" s="346">
        <v>4100000260</v>
      </c>
      <c r="C522" s="346" t="s">
        <v>4531</v>
      </c>
      <c r="D522" s="346" t="s">
        <v>1756</v>
      </c>
      <c r="E522" s="346" t="s">
        <v>1757</v>
      </c>
      <c r="F522" s="346" t="s">
        <v>1758</v>
      </c>
      <c r="G522" s="346" t="s">
        <v>1764</v>
      </c>
      <c r="H522" s="346" t="s">
        <v>1250</v>
      </c>
      <c r="I522" s="346">
        <v>24214626.93</v>
      </c>
      <c r="J522" s="346" t="s">
        <v>572</v>
      </c>
      <c r="K522" s="346" t="s">
        <v>1761</v>
      </c>
      <c r="L522" s="346"/>
      <c r="M522" s="346" t="s">
        <v>1761</v>
      </c>
      <c r="N522" s="346">
        <v>0.75</v>
      </c>
      <c r="O522" s="346">
        <v>4</v>
      </c>
      <c r="P522" s="346">
        <v>4.75</v>
      </c>
      <c r="Q522" s="346" t="s">
        <v>1762</v>
      </c>
      <c r="R522" s="458">
        <v>1</v>
      </c>
    </row>
    <row r="523" spans="1:18" x14ac:dyDescent="0.25">
      <c r="A523" s="458">
        <v>44680</v>
      </c>
      <c r="B523" s="346">
        <v>4100000259</v>
      </c>
      <c r="C523" s="346" t="s">
        <v>4532</v>
      </c>
      <c r="D523" s="346" t="s">
        <v>1756</v>
      </c>
      <c r="E523" s="346" t="s">
        <v>1757</v>
      </c>
      <c r="F523" s="346" t="s">
        <v>1758</v>
      </c>
      <c r="G523" s="346" t="s">
        <v>1764</v>
      </c>
      <c r="H523" s="346" t="s">
        <v>1250</v>
      </c>
      <c r="I523" s="346">
        <v>2490930.08</v>
      </c>
      <c r="J523" s="346" t="s">
        <v>572</v>
      </c>
      <c r="K523" s="346" t="s">
        <v>1761</v>
      </c>
      <c r="L523" s="346"/>
      <c r="M523" s="346" t="s">
        <v>1761</v>
      </c>
      <c r="N523" s="346">
        <v>0.5</v>
      </c>
      <c r="O523" s="346">
        <v>4.75</v>
      </c>
      <c r="P523" s="346">
        <v>5.5</v>
      </c>
      <c r="Q523" s="346" t="s">
        <v>1762</v>
      </c>
      <c r="R523" s="458">
        <v>1</v>
      </c>
    </row>
    <row r="524" spans="1:18" x14ac:dyDescent="0.25">
      <c r="A524" s="458">
        <v>44680</v>
      </c>
      <c r="B524" s="346">
        <v>4100000249</v>
      </c>
      <c r="C524" s="346" t="s">
        <v>2390</v>
      </c>
      <c r="D524" s="346" t="s">
        <v>1756</v>
      </c>
      <c r="E524" s="346" t="s">
        <v>1757</v>
      </c>
      <c r="F524" s="346" t="s">
        <v>1758</v>
      </c>
      <c r="G524" s="346" t="s">
        <v>1764</v>
      </c>
      <c r="H524" s="346" t="s">
        <v>1250</v>
      </c>
      <c r="I524" s="346">
        <v>20500000</v>
      </c>
      <c r="J524" s="346" t="s">
        <v>572</v>
      </c>
      <c r="K524" s="346" t="s">
        <v>1761</v>
      </c>
      <c r="L524" s="346"/>
      <c r="M524" s="346" t="s">
        <v>1761</v>
      </c>
      <c r="N524" s="346">
        <v>0.25</v>
      </c>
      <c r="O524" s="346">
        <v>5.5</v>
      </c>
      <c r="P524" s="346">
        <v>6.25</v>
      </c>
      <c r="Q524" s="346" t="s">
        <v>1762</v>
      </c>
      <c r="R524" s="458">
        <v>1</v>
      </c>
    </row>
    <row r="525" spans="1:18" x14ac:dyDescent="0.25">
      <c r="A525" s="458">
        <v>44680</v>
      </c>
      <c r="B525" s="346">
        <v>4100000256</v>
      </c>
      <c r="C525" s="346" t="s">
        <v>4533</v>
      </c>
      <c r="D525" s="346" t="s">
        <v>1756</v>
      </c>
      <c r="E525" s="346" t="s">
        <v>1757</v>
      </c>
      <c r="F525" s="346" t="s">
        <v>1758</v>
      </c>
      <c r="G525" s="346" t="s">
        <v>1764</v>
      </c>
      <c r="H525" s="346" t="s">
        <v>1250</v>
      </c>
      <c r="I525" s="346">
        <v>3500000</v>
      </c>
      <c r="J525" s="346" t="s">
        <v>572</v>
      </c>
      <c r="K525" s="346" t="s">
        <v>1761</v>
      </c>
      <c r="L525" s="346"/>
      <c r="M525" s="346" t="s">
        <v>1761</v>
      </c>
      <c r="N525" s="346">
        <v>0.1</v>
      </c>
      <c r="O525" s="346">
        <v>3.75</v>
      </c>
      <c r="P525" s="346">
        <v>4.5</v>
      </c>
      <c r="Q525" s="346" t="s">
        <v>1762</v>
      </c>
      <c r="R525" s="458">
        <v>1</v>
      </c>
    </row>
    <row r="526" spans="1:18" x14ac:dyDescent="0.25">
      <c r="A526" s="458">
        <v>44680</v>
      </c>
      <c r="B526" s="346">
        <v>4100000257</v>
      </c>
      <c r="C526" s="346" t="s">
        <v>4534</v>
      </c>
      <c r="D526" s="346" t="s">
        <v>1756</v>
      </c>
      <c r="E526" s="346" t="s">
        <v>1763</v>
      </c>
      <c r="F526" s="346" t="s">
        <v>1758</v>
      </c>
      <c r="G526" s="346" t="s">
        <v>1764</v>
      </c>
      <c r="H526" s="346" t="s">
        <v>1250</v>
      </c>
      <c r="I526" s="346">
        <v>0</v>
      </c>
      <c r="J526" s="346" t="s">
        <v>572</v>
      </c>
      <c r="K526" s="346" t="s">
        <v>1761</v>
      </c>
      <c r="L526" s="346"/>
      <c r="M526" s="346" t="s">
        <v>1761</v>
      </c>
      <c r="N526" s="346">
        <v>0.1</v>
      </c>
      <c r="O526" s="346">
        <v>4.95</v>
      </c>
      <c r="P526" s="346">
        <v>5.7</v>
      </c>
      <c r="Q526" s="346" t="s">
        <v>1762</v>
      </c>
      <c r="R526" s="458">
        <v>1</v>
      </c>
    </row>
    <row r="527" spans="1:18" x14ac:dyDescent="0.25">
      <c r="A527" s="458">
        <v>44680</v>
      </c>
      <c r="B527" s="346">
        <v>5200000011</v>
      </c>
      <c r="C527" s="346" t="s">
        <v>2402</v>
      </c>
      <c r="D527" s="346" t="s">
        <v>1756</v>
      </c>
      <c r="E527" s="346" t="s">
        <v>1757</v>
      </c>
      <c r="F527" s="346" t="s">
        <v>1758</v>
      </c>
      <c r="G527" s="346" t="s">
        <v>1768</v>
      </c>
      <c r="H527" s="346" t="s">
        <v>1769</v>
      </c>
      <c r="I527" s="346">
        <v>1647525.23</v>
      </c>
      <c r="J527" s="346" t="s">
        <v>572</v>
      </c>
      <c r="K527" s="346" t="s">
        <v>1761</v>
      </c>
      <c r="L527" s="346"/>
      <c r="M527" s="346" t="s">
        <v>1761</v>
      </c>
      <c r="N527" s="346">
        <v>0.1</v>
      </c>
      <c r="O527" s="346">
        <v>5.58</v>
      </c>
      <c r="P527" s="346">
        <v>6.33</v>
      </c>
      <c r="Q527" s="346" t="s">
        <v>1765</v>
      </c>
      <c r="R527" s="458">
        <v>44177</v>
      </c>
    </row>
    <row r="528" spans="1:18" x14ac:dyDescent="0.25">
      <c r="A528" s="458">
        <v>44680</v>
      </c>
      <c r="B528" s="346">
        <v>1100000247</v>
      </c>
      <c r="C528" s="346" t="s">
        <v>2405</v>
      </c>
      <c r="D528" s="346" t="s">
        <v>1756</v>
      </c>
      <c r="E528" s="346" t="s">
        <v>1763</v>
      </c>
      <c r="F528" s="346" t="s">
        <v>1758</v>
      </c>
      <c r="G528" s="346" t="s">
        <v>1771</v>
      </c>
      <c r="H528" s="346" t="s">
        <v>1237</v>
      </c>
      <c r="I528" s="346">
        <v>0</v>
      </c>
      <c r="J528" s="346" t="s">
        <v>572</v>
      </c>
      <c r="K528" s="346" t="s">
        <v>1761</v>
      </c>
      <c r="L528" s="346"/>
      <c r="M528" s="346" t="s">
        <v>1761</v>
      </c>
      <c r="N528" s="346">
        <v>0.1</v>
      </c>
      <c r="O528" s="346">
        <v>5.95</v>
      </c>
      <c r="P528" s="346">
        <v>6.7</v>
      </c>
      <c r="Q528" s="346" t="s">
        <v>1762</v>
      </c>
      <c r="R528" s="458">
        <v>1</v>
      </c>
    </row>
    <row r="529" spans="1:18" x14ac:dyDescent="0.25">
      <c r="A529" s="458">
        <v>44680</v>
      </c>
      <c r="B529" s="346">
        <v>1100000246</v>
      </c>
      <c r="C529" s="346" t="s">
        <v>2406</v>
      </c>
      <c r="D529" s="346" t="s">
        <v>1756</v>
      </c>
      <c r="E529" s="346" t="s">
        <v>1757</v>
      </c>
      <c r="F529" s="346" t="s">
        <v>1758</v>
      </c>
      <c r="G529" s="346" t="s">
        <v>1771</v>
      </c>
      <c r="H529" s="346" t="s">
        <v>1237</v>
      </c>
      <c r="I529" s="346">
        <v>4340292</v>
      </c>
      <c r="J529" s="346" t="s">
        <v>572</v>
      </c>
      <c r="K529" s="346" t="s">
        <v>1761</v>
      </c>
      <c r="L529" s="346"/>
      <c r="M529" s="346" t="s">
        <v>1761</v>
      </c>
      <c r="N529" s="346">
        <v>0.1</v>
      </c>
      <c r="O529" s="346">
        <v>5.95</v>
      </c>
      <c r="P529" s="346">
        <v>6.7</v>
      </c>
      <c r="Q529" s="346" t="s">
        <v>1762</v>
      </c>
      <c r="R529" s="458">
        <v>1</v>
      </c>
    </row>
    <row r="530" spans="1:18" x14ac:dyDescent="0.25">
      <c r="A530" s="458">
        <v>44680</v>
      </c>
      <c r="B530" s="346">
        <v>1100000248</v>
      </c>
      <c r="C530" s="346" t="s">
        <v>2407</v>
      </c>
      <c r="D530" s="346" t="s">
        <v>1756</v>
      </c>
      <c r="E530" s="346" t="s">
        <v>1757</v>
      </c>
      <c r="F530" s="346" t="s">
        <v>1758</v>
      </c>
      <c r="G530" s="346" t="s">
        <v>1771</v>
      </c>
      <c r="H530" s="346" t="s">
        <v>1237</v>
      </c>
      <c r="I530" s="346">
        <v>17992725.920000002</v>
      </c>
      <c r="J530" s="346" t="s">
        <v>572</v>
      </c>
      <c r="K530" s="346" t="s">
        <v>1761</v>
      </c>
      <c r="L530" s="346"/>
      <c r="M530" s="346" t="s">
        <v>1761</v>
      </c>
      <c r="N530" s="346">
        <v>0.1</v>
      </c>
      <c r="O530" s="346">
        <v>4.95</v>
      </c>
      <c r="P530" s="346">
        <v>5.7</v>
      </c>
      <c r="Q530" s="346" t="s">
        <v>1762</v>
      </c>
      <c r="R530" s="458">
        <v>1</v>
      </c>
    </row>
    <row r="531" spans="1:18" x14ac:dyDescent="0.25">
      <c r="A531" s="458">
        <v>44680</v>
      </c>
      <c r="B531" s="346">
        <v>1100000263</v>
      </c>
      <c r="C531" s="346" t="s">
        <v>2186</v>
      </c>
      <c r="D531" s="346" t="s">
        <v>1281</v>
      </c>
      <c r="E531" s="346" t="s">
        <v>1757</v>
      </c>
      <c r="F531" s="346" t="s">
        <v>1770</v>
      </c>
      <c r="G531" s="346" t="s">
        <v>1771</v>
      </c>
      <c r="H531" s="346" t="s">
        <v>1237</v>
      </c>
      <c r="I531" s="346">
        <v>0</v>
      </c>
      <c r="J531" s="346" t="s">
        <v>572</v>
      </c>
      <c r="K531" s="346" t="s">
        <v>1761</v>
      </c>
      <c r="L531" s="346"/>
      <c r="M531" s="346" t="s">
        <v>1761</v>
      </c>
      <c r="N531" s="346">
        <v>0.1</v>
      </c>
      <c r="O531" s="346">
        <v>5.29</v>
      </c>
      <c r="P531" s="346">
        <v>6.04</v>
      </c>
      <c r="Q531" s="346" t="s">
        <v>1762</v>
      </c>
      <c r="R531" s="458">
        <v>1</v>
      </c>
    </row>
    <row r="532" spans="1:18" x14ac:dyDescent="0.25">
      <c r="A532" s="458">
        <v>44680</v>
      </c>
      <c r="B532" s="346">
        <v>1100000258</v>
      </c>
      <c r="C532" s="346" t="s">
        <v>2411</v>
      </c>
      <c r="D532" s="346" t="s">
        <v>1756</v>
      </c>
      <c r="E532" s="346" t="s">
        <v>1757</v>
      </c>
      <c r="F532" s="346" t="s">
        <v>1758</v>
      </c>
      <c r="G532" s="346" t="s">
        <v>1771</v>
      </c>
      <c r="H532" s="346" t="s">
        <v>1237</v>
      </c>
      <c r="I532" s="346">
        <v>0</v>
      </c>
      <c r="J532" s="346" t="s">
        <v>572</v>
      </c>
      <c r="K532" s="346" t="s">
        <v>1761</v>
      </c>
      <c r="L532" s="346"/>
      <c r="M532" s="346" t="s">
        <v>1761</v>
      </c>
      <c r="N532" s="346">
        <v>0.1</v>
      </c>
      <c r="O532" s="346">
        <v>5.45</v>
      </c>
      <c r="P532" s="346">
        <v>6.2</v>
      </c>
      <c r="Q532" s="346" t="s">
        <v>1762</v>
      </c>
      <c r="R532" s="458">
        <v>1</v>
      </c>
    </row>
    <row r="533" spans="1:18" x14ac:dyDescent="0.25">
      <c r="A533" s="458">
        <v>44680</v>
      </c>
      <c r="B533" s="346">
        <v>1100000259</v>
      </c>
      <c r="C533" s="346" t="s">
        <v>2412</v>
      </c>
      <c r="D533" s="346" t="s">
        <v>1756</v>
      </c>
      <c r="E533" s="346" t="s">
        <v>1757</v>
      </c>
      <c r="F533" s="346" t="s">
        <v>1758</v>
      </c>
      <c r="G533" s="346" t="s">
        <v>1771</v>
      </c>
      <c r="H533" s="346" t="s">
        <v>1237</v>
      </c>
      <c r="I533" s="346">
        <v>2450000</v>
      </c>
      <c r="J533" s="346" t="s">
        <v>572</v>
      </c>
      <c r="K533" s="346" t="s">
        <v>1761</v>
      </c>
      <c r="L533" s="346"/>
      <c r="M533" s="346" t="s">
        <v>1761</v>
      </c>
      <c r="N533" s="346">
        <v>0.1</v>
      </c>
      <c r="O533" s="346">
        <v>5.45</v>
      </c>
      <c r="P533" s="346">
        <v>6.2</v>
      </c>
      <c r="Q533" s="346" t="s">
        <v>1762</v>
      </c>
      <c r="R533" s="458">
        <v>1</v>
      </c>
    </row>
    <row r="534" spans="1:18" x14ac:dyDescent="0.25">
      <c r="A534" s="458">
        <v>44680</v>
      </c>
      <c r="B534" s="346">
        <v>1100000257</v>
      </c>
      <c r="C534" s="346" t="s">
        <v>2413</v>
      </c>
      <c r="D534" s="346" t="s">
        <v>1756</v>
      </c>
      <c r="E534" s="346" t="s">
        <v>1757</v>
      </c>
      <c r="F534" s="346" t="s">
        <v>1758</v>
      </c>
      <c r="G534" s="346" t="s">
        <v>1771</v>
      </c>
      <c r="H534" s="346" t="s">
        <v>1237</v>
      </c>
      <c r="I534" s="346">
        <v>0</v>
      </c>
      <c r="J534" s="346" t="s">
        <v>572</v>
      </c>
      <c r="K534" s="346" t="s">
        <v>1761</v>
      </c>
      <c r="L534" s="346"/>
      <c r="M534" s="346" t="s">
        <v>1761</v>
      </c>
      <c r="N534" s="346">
        <v>0.1</v>
      </c>
      <c r="O534" s="346">
        <v>5.45</v>
      </c>
      <c r="P534" s="346">
        <v>6.2</v>
      </c>
      <c r="Q534" s="346" t="s">
        <v>1762</v>
      </c>
      <c r="R534" s="458">
        <v>1</v>
      </c>
    </row>
    <row r="535" spans="1:18" x14ac:dyDescent="0.25">
      <c r="A535" s="458">
        <v>44680</v>
      </c>
      <c r="B535" s="346">
        <v>1100000256</v>
      </c>
      <c r="C535" s="346" t="s">
        <v>2414</v>
      </c>
      <c r="D535" s="346" t="s">
        <v>1756</v>
      </c>
      <c r="E535" s="346" t="s">
        <v>1757</v>
      </c>
      <c r="F535" s="346" t="s">
        <v>1758</v>
      </c>
      <c r="G535" s="346" t="s">
        <v>1771</v>
      </c>
      <c r="H535" s="346" t="s">
        <v>1237</v>
      </c>
      <c r="I535" s="346">
        <v>1000000</v>
      </c>
      <c r="J535" s="346" t="s">
        <v>572</v>
      </c>
      <c r="K535" s="346" t="s">
        <v>1761</v>
      </c>
      <c r="L535" s="346"/>
      <c r="M535" s="346" t="s">
        <v>1761</v>
      </c>
      <c r="N535" s="346">
        <v>0.1</v>
      </c>
      <c r="O535" s="346">
        <v>5.45</v>
      </c>
      <c r="P535" s="346">
        <v>6.2</v>
      </c>
      <c r="Q535" s="346" t="s">
        <v>1762</v>
      </c>
      <c r="R535" s="458">
        <v>1</v>
      </c>
    </row>
    <row r="536" spans="1:18" x14ac:dyDescent="0.25">
      <c r="A536" s="458">
        <v>44680</v>
      </c>
      <c r="B536" s="346">
        <v>1100000255</v>
      </c>
      <c r="C536" s="346" t="s">
        <v>2415</v>
      </c>
      <c r="D536" s="346" t="s">
        <v>1756</v>
      </c>
      <c r="E536" s="346" t="s">
        <v>1757</v>
      </c>
      <c r="F536" s="346" t="s">
        <v>1758</v>
      </c>
      <c r="G536" s="346" t="s">
        <v>1771</v>
      </c>
      <c r="H536" s="346" t="s">
        <v>1237</v>
      </c>
      <c r="I536" s="346">
        <v>0</v>
      </c>
      <c r="J536" s="346" t="s">
        <v>572</v>
      </c>
      <c r="K536" s="346" t="s">
        <v>1761</v>
      </c>
      <c r="L536" s="346"/>
      <c r="M536" s="346" t="s">
        <v>1761</v>
      </c>
      <c r="N536" s="346">
        <v>0.1</v>
      </c>
      <c r="O536" s="346">
        <v>5.45</v>
      </c>
      <c r="P536" s="346">
        <v>6.2</v>
      </c>
      <c r="Q536" s="346" t="s">
        <v>1762</v>
      </c>
      <c r="R536" s="458">
        <v>1</v>
      </c>
    </row>
    <row r="537" spans="1:18" x14ac:dyDescent="0.25">
      <c r="A537" s="458">
        <v>44680</v>
      </c>
      <c r="B537" s="346">
        <v>1100000254</v>
      </c>
      <c r="C537" s="346" t="s">
        <v>2416</v>
      </c>
      <c r="D537" s="346" t="s">
        <v>1756</v>
      </c>
      <c r="E537" s="346" t="s">
        <v>1757</v>
      </c>
      <c r="F537" s="346" t="s">
        <v>1758</v>
      </c>
      <c r="G537" s="346" t="s">
        <v>1771</v>
      </c>
      <c r="H537" s="346" t="s">
        <v>1237</v>
      </c>
      <c r="I537" s="346">
        <v>0</v>
      </c>
      <c r="J537" s="346" t="s">
        <v>572</v>
      </c>
      <c r="K537" s="346" t="s">
        <v>1761</v>
      </c>
      <c r="L537" s="346"/>
      <c r="M537" s="346" t="s">
        <v>1761</v>
      </c>
      <c r="N537" s="346">
        <v>0.1</v>
      </c>
      <c r="O537" s="346">
        <v>5.45</v>
      </c>
      <c r="P537" s="346">
        <v>6.2</v>
      </c>
      <c r="Q537" s="346" t="s">
        <v>1762</v>
      </c>
      <c r="R537" s="458">
        <v>1</v>
      </c>
    </row>
    <row r="538" spans="1:18" x14ac:dyDescent="0.25">
      <c r="A538" s="458">
        <v>44680</v>
      </c>
      <c r="B538" s="346">
        <v>1100000253</v>
      </c>
      <c r="C538" s="346" t="s">
        <v>2417</v>
      </c>
      <c r="D538" s="346" t="s">
        <v>1756</v>
      </c>
      <c r="E538" s="346" t="s">
        <v>1757</v>
      </c>
      <c r="F538" s="346" t="s">
        <v>1758</v>
      </c>
      <c r="G538" s="346" t="s">
        <v>1771</v>
      </c>
      <c r="H538" s="346" t="s">
        <v>1237</v>
      </c>
      <c r="I538" s="346">
        <v>0</v>
      </c>
      <c r="J538" s="346" t="s">
        <v>572</v>
      </c>
      <c r="K538" s="346" t="s">
        <v>1761</v>
      </c>
      <c r="L538" s="346"/>
      <c r="M538" s="346" t="s">
        <v>1761</v>
      </c>
      <c r="N538" s="346">
        <v>0.1</v>
      </c>
      <c r="O538" s="346">
        <v>5.45</v>
      </c>
      <c r="P538" s="346">
        <v>6.2</v>
      </c>
      <c r="Q538" s="346" t="s">
        <v>1762</v>
      </c>
      <c r="R538" s="458">
        <v>1</v>
      </c>
    </row>
    <row r="539" spans="1:18" x14ac:dyDescent="0.25">
      <c r="A539" s="458">
        <v>44680</v>
      </c>
      <c r="B539" s="346">
        <v>1100000252</v>
      </c>
      <c r="C539" s="346" t="s">
        <v>2418</v>
      </c>
      <c r="D539" s="346" t="s">
        <v>1756</v>
      </c>
      <c r="E539" s="346" t="s">
        <v>1757</v>
      </c>
      <c r="F539" s="346" t="s">
        <v>1758</v>
      </c>
      <c r="G539" s="346" t="s">
        <v>1771</v>
      </c>
      <c r="H539" s="346" t="s">
        <v>1237</v>
      </c>
      <c r="I539" s="346">
        <v>0</v>
      </c>
      <c r="J539" s="346" t="s">
        <v>572</v>
      </c>
      <c r="K539" s="346" t="s">
        <v>1761</v>
      </c>
      <c r="L539" s="346"/>
      <c r="M539" s="346" t="s">
        <v>1761</v>
      </c>
      <c r="N539" s="346">
        <v>0.1</v>
      </c>
      <c r="O539" s="346">
        <v>5.45</v>
      </c>
      <c r="P539" s="346">
        <v>6.2</v>
      </c>
      <c r="Q539" s="346" t="s">
        <v>1762</v>
      </c>
      <c r="R539" s="458">
        <v>1</v>
      </c>
    </row>
    <row r="540" spans="1:18" x14ac:dyDescent="0.25">
      <c r="A540" s="458">
        <v>44680</v>
      </c>
      <c r="B540" s="346">
        <v>1100000251</v>
      </c>
      <c r="C540" s="346" t="s">
        <v>2419</v>
      </c>
      <c r="D540" s="346" t="s">
        <v>1756</v>
      </c>
      <c r="E540" s="346" t="s">
        <v>1757</v>
      </c>
      <c r="F540" s="346" t="s">
        <v>1758</v>
      </c>
      <c r="G540" s="346" t="s">
        <v>1771</v>
      </c>
      <c r="H540" s="346" t="s">
        <v>1237</v>
      </c>
      <c r="I540" s="346">
        <v>0</v>
      </c>
      <c r="J540" s="346" t="s">
        <v>572</v>
      </c>
      <c r="K540" s="346" t="s">
        <v>1761</v>
      </c>
      <c r="L540" s="346"/>
      <c r="M540" s="346" t="s">
        <v>1761</v>
      </c>
      <c r="N540" s="346">
        <v>0.1</v>
      </c>
      <c r="O540" s="346">
        <v>5.45</v>
      </c>
      <c r="P540" s="346">
        <v>6.2</v>
      </c>
      <c r="Q540" s="346" t="s">
        <v>1762</v>
      </c>
      <c r="R540" s="458">
        <v>1</v>
      </c>
    </row>
    <row r="541" spans="1:18" x14ac:dyDescent="0.25">
      <c r="A541" s="458">
        <v>44680</v>
      </c>
      <c r="B541" s="346">
        <v>1100000250</v>
      </c>
      <c r="C541" s="346" t="s">
        <v>2420</v>
      </c>
      <c r="D541" s="346" t="s">
        <v>1756</v>
      </c>
      <c r="E541" s="346" t="s">
        <v>1757</v>
      </c>
      <c r="F541" s="346" t="s">
        <v>1758</v>
      </c>
      <c r="G541" s="346" t="s">
        <v>1771</v>
      </c>
      <c r="H541" s="346" t="s">
        <v>1237</v>
      </c>
      <c r="I541" s="346">
        <v>0</v>
      </c>
      <c r="J541" s="346" t="s">
        <v>572</v>
      </c>
      <c r="K541" s="346" t="s">
        <v>1761</v>
      </c>
      <c r="L541" s="346"/>
      <c r="M541" s="346" t="s">
        <v>1761</v>
      </c>
      <c r="N541" s="346">
        <v>0.1</v>
      </c>
      <c r="O541" s="346">
        <v>5.45</v>
      </c>
      <c r="P541" s="346">
        <v>6.2</v>
      </c>
      <c r="Q541" s="346" t="s">
        <v>1762</v>
      </c>
      <c r="R541" s="458">
        <v>1</v>
      </c>
    </row>
    <row r="542" spans="1:18" x14ac:dyDescent="0.25">
      <c r="A542" s="458">
        <v>44680</v>
      </c>
      <c r="B542" s="346">
        <v>1100000249</v>
      </c>
      <c r="C542" s="346" t="s">
        <v>2421</v>
      </c>
      <c r="D542" s="346" t="s">
        <v>1756</v>
      </c>
      <c r="E542" s="346" t="s">
        <v>1757</v>
      </c>
      <c r="F542" s="346" t="s">
        <v>1758</v>
      </c>
      <c r="G542" s="346" t="s">
        <v>1771</v>
      </c>
      <c r="H542" s="346" t="s">
        <v>1237</v>
      </c>
      <c r="I542" s="346">
        <v>2800000</v>
      </c>
      <c r="J542" s="346" t="s">
        <v>572</v>
      </c>
      <c r="K542" s="346" t="s">
        <v>1761</v>
      </c>
      <c r="L542" s="346"/>
      <c r="M542" s="346" t="s">
        <v>1761</v>
      </c>
      <c r="N542" s="346">
        <v>0.1</v>
      </c>
      <c r="O542" s="346">
        <v>5.45</v>
      </c>
      <c r="P542" s="346">
        <v>6.2</v>
      </c>
      <c r="Q542" s="346" t="s">
        <v>1762</v>
      </c>
      <c r="R542" s="458">
        <v>1</v>
      </c>
    </row>
    <row r="543" spans="1:18" x14ac:dyDescent="0.25">
      <c r="A543" s="458">
        <v>44680</v>
      </c>
      <c r="B543" s="346">
        <v>1100000268</v>
      </c>
      <c r="C543" s="346" t="s">
        <v>2423</v>
      </c>
      <c r="D543" s="346" t="s">
        <v>1756</v>
      </c>
      <c r="E543" s="346" t="s">
        <v>1757</v>
      </c>
      <c r="F543" s="346" t="s">
        <v>1758</v>
      </c>
      <c r="G543" s="346" t="s">
        <v>1771</v>
      </c>
      <c r="H543" s="346" t="s">
        <v>1237</v>
      </c>
      <c r="I543" s="346">
        <v>5000000</v>
      </c>
      <c r="J543" s="346" t="s">
        <v>572</v>
      </c>
      <c r="K543" s="346" t="s">
        <v>1761</v>
      </c>
      <c r="L543" s="346"/>
      <c r="M543" s="346" t="s">
        <v>1761</v>
      </c>
      <c r="N543" s="346">
        <v>0.25</v>
      </c>
      <c r="O543" s="346">
        <v>5.25</v>
      </c>
      <c r="P543" s="346">
        <v>6</v>
      </c>
      <c r="Q543" s="346" t="s">
        <v>1762</v>
      </c>
      <c r="R543" s="458">
        <v>1</v>
      </c>
    </row>
    <row r="544" spans="1:18" x14ac:dyDescent="0.25">
      <c r="A544" s="458">
        <v>44680</v>
      </c>
      <c r="B544" s="346">
        <v>1100000269</v>
      </c>
      <c r="C544" s="346" t="s">
        <v>2424</v>
      </c>
      <c r="D544" s="346" t="s">
        <v>1756</v>
      </c>
      <c r="E544" s="346" t="s">
        <v>1763</v>
      </c>
      <c r="F544" s="346" t="s">
        <v>1758</v>
      </c>
      <c r="G544" s="346" t="s">
        <v>1771</v>
      </c>
      <c r="H544" s="346" t="s">
        <v>1237</v>
      </c>
      <c r="I544" s="346">
        <v>0</v>
      </c>
      <c r="J544" s="346" t="s">
        <v>572</v>
      </c>
      <c r="K544" s="346" t="s">
        <v>1761</v>
      </c>
      <c r="L544" s="346"/>
      <c r="M544" s="346" t="s">
        <v>1761</v>
      </c>
      <c r="N544" s="346">
        <v>0.25</v>
      </c>
      <c r="O544" s="346">
        <v>5.25</v>
      </c>
      <c r="P544" s="346">
        <v>6</v>
      </c>
      <c r="Q544" s="346" t="s">
        <v>1762</v>
      </c>
      <c r="R544" s="458">
        <v>1</v>
      </c>
    </row>
    <row r="545" spans="1:18" x14ac:dyDescent="0.25">
      <c r="A545" s="458">
        <v>44680</v>
      </c>
      <c r="B545" s="346">
        <v>1100000270</v>
      </c>
      <c r="C545" s="346" t="s">
        <v>2425</v>
      </c>
      <c r="D545" s="346" t="s">
        <v>1281</v>
      </c>
      <c r="E545" s="346" t="s">
        <v>1763</v>
      </c>
      <c r="F545" s="346" t="s">
        <v>1758</v>
      </c>
      <c r="G545" s="346" t="s">
        <v>1771</v>
      </c>
      <c r="H545" s="346" t="s">
        <v>1237</v>
      </c>
      <c r="I545" s="346">
        <v>0</v>
      </c>
      <c r="J545" s="346" t="s">
        <v>572</v>
      </c>
      <c r="K545" s="346" t="s">
        <v>1761</v>
      </c>
      <c r="L545" s="346"/>
      <c r="M545" s="346" t="s">
        <v>1761</v>
      </c>
      <c r="N545" s="346">
        <v>0.25</v>
      </c>
      <c r="O545" s="346">
        <v>5.25</v>
      </c>
      <c r="P545" s="346">
        <v>6</v>
      </c>
      <c r="Q545" s="346" t="s">
        <v>1762</v>
      </c>
      <c r="R545" s="458">
        <v>1</v>
      </c>
    </row>
    <row r="546" spans="1:18" x14ac:dyDescent="0.25">
      <c r="A546" s="458">
        <v>44680</v>
      </c>
      <c r="B546" s="346">
        <v>1100000266</v>
      </c>
      <c r="C546" s="346" t="s">
        <v>2426</v>
      </c>
      <c r="D546" s="346" t="s">
        <v>1756</v>
      </c>
      <c r="E546" s="346" t="s">
        <v>1757</v>
      </c>
      <c r="F546" s="346" t="s">
        <v>1758</v>
      </c>
      <c r="G546" s="346" t="s">
        <v>1771</v>
      </c>
      <c r="H546" s="346" t="s">
        <v>1237</v>
      </c>
      <c r="I546" s="346">
        <v>6000000</v>
      </c>
      <c r="J546" s="346" t="s">
        <v>572</v>
      </c>
      <c r="K546" s="346" t="s">
        <v>1761</v>
      </c>
      <c r="L546" s="346"/>
      <c r="M546" s="346" t="s">
        <v>1761</v>
      </c>
      <c r="N546" s="346">
        <v>0.25</v>
      </c>
      <c r="O546" s="346">
        <v>5.35</v>
      </c>
      <c r="P546" s="346">
        <v>6.1</v>
      </c>
      <c r="Q546" s="346" t="s">
        <v>1762</v>
      </c>
      <c r="R546" s="458">
        <v>1</v>
      </c>
    </row>
    <row r="547" spans="1:18" x14ac:dyDescent="0.25">
      <c r="A547" s="458">
        <v>44680</v>
      </c>
      <c r="B547" s="346">
        <v>1100000267</v>
      </c>
      <c r="C547" s="346" t="s">
        <v>2427</v>
      </c>
      <c r="D547" s="346" t="s">
        <v>1756</v>
      </c>
      <c r="E547" s="346" t="s">
        <v>1757</v>
      </c>
      <c r="F547" s="346" t="s">
        <v>1758</v>
      </c>
      <c r="G547" s="346" t="s">
        <v>1771</v>
      </c>
      <c r="H547" s="346" t="s">
        <v>1237</v>
      </c>
      <c r="I547" s="346">
        <v>9000000</v>
      </c>
      <c r="J547" s="346" t="s">
        <v>572</v>
      </c>
      <c r="K547" s="346" t="s">
        <v>1761</v>
      </c>
      <c r="L547" s="346"/>
      <c r="M547" s="346" t="s">
        <v>1761</v>
      </c>
      <c r="N547" s="346">
        <v>0.25</v>
      </c>
      <c r="O547" s="346">
        <v>5.55</v>
      </c>
      <c r="P547" s="346">
        <v>6.3</v>
      </c>
      <c r="Q547" s="346" t="s">
        <v>1762</v>
      </c>
      <c r="R547" s="458">
        <v>1</v>
      </c>
    </row>
    <row r="548" spans="1:18" x14ac:dyDescent="0.25">
      <c r="A548" s="458">
        <v>44680</v>
      </c>
      <c r="B548" s="346">
        <v>1100000271</v>
      </c>
      <c r="C548" s="346" t="s">
        <v>4535</v>
      </c>
      <c r="D548" s="346" t="s">
        <v>1756</v>
      </c>
      <c r="E548" s="346" t="s">
        <v>1757</v>
      </c>
      <c r="F548" s="346" t="s">
        <v>1758</v>
      </c>
      <c r="G548" s="346" t="s">
        <v>1771</v>
      </c>
      <c r="H548" s="346" t="s">
        <v>1237</v>
      </c>
      <c r="I548" s="346">
        <v>10000000</v>
      </c>
      <c r="J548" s="346" t="s">
        <v>572</v>
      </c>
      <c r="K548" s="346" t="s">
        <v>1761</v>
      </c>
      <c r="L548" s="346"/>
      <c r="M548" s="346" t="s">
        <v>1761</v>
      </c>
      <c r="N548" s="346">
        <v>0.25</v>
      </c>
      <c r="O548" s="346">
        <v>5.5</v>
      </c>
      <c r="P548" s="346">
        <v>6.25</v>
      </c>
      <c r="Q548" s="346" t="s">
        <v>1762</v>
      </c>
      <c r="R548" s="458">
        <v>1</v>
      </c>
    </row>
    <row r="549" spans="1:18" x14ac:dyDescent="0.25">
      <c r="A549" s="458">
        <v>44680</v>
      </c>
      <c r="B549" s="346">
        <v>1100000272</v>
      </c>
      <c r="C549" s="346" t="s">
        <v>4536</v>
      </c>
      <c r="D549" s="346" t="s">
        <v>1756</v>
      </c>
      <c r="E549" s="346" t="s">
        <v>1757</v>
      </c>
      <c r="F549" s="346" t="s">
        <v>1758</v>
      </c>
      <c r="G549" s="346" t="s">
        <v>1771</v>
      </c>
      <c r="H549" s="346" t="s">
        <v>1237</v>
      </c>
      <c r="I549" s="346">
        <v>5000000</v>
      </c>
      <c r="J549" s="346" t="s">
        <v>572</v>
      </c>
      <c r="K549" s="346" t="s">
        <v>1761</v>
      </c>
      <c r="L549" s="346"/>
      <c r="M549" s="346" t="s">
        <v>1761</v>
      </c>
      <c r="N549" s="346">
        <v>0.25</v>
      </c>
      <c r="O549" s="346">
        <v>6</v>
      </c>
      <c r="P549" s="346">
        <v>6.75</v>
      </c>
      <c r="Q549" s="346" t="s">
        <v>1762</v>
      </c>
      <c r="R549" s="458">
        <v>1</v>
      </c>
    </row>
    <row r="550" spans="1:18" x14ac:dyDescent="0.25">
      <c r="A550" s="458">
        <v>44680</v>
      </c>
      <c r="B550" s="346">
        <v>1100000274</v>
      </c>
      <c r="C550" s="346" t="s">
        <v>4537</v>
      </c>
      <c r="D550" s="346" t="s">
        <v>1756</v>
      </c>
      <c r="E550" s="346" t="s">
        <v>1763</v>
      </c>
      <c r="F550" s="346" t="s">
        <v>1758</v>
      </c>
      <c r="G550" s="346" t="s">
        <v>1771</v>
      </c>
      <c r="H550" s="346" t="s">
        <v>1237</v>
      </c>
      <c r="I550" s="346">
        <v>0</v>
      </c>
      <c r="J550" s="346" t="s">
        <v>572</v>
      </c>
      <c r="K550" s="346" t="s">
        <v>1761</v>
      </c>
      <c r="L550" s="346"/>
      <c r="M550" s="346" t="s">
        <v>1761</v>
      </c>
      <c r="N550" s="346">
        <v>0.25</v>
      </c>
      <c r="O550" s="346">
        <v>6.25</v>
      </c>
      <c r="P550" s="346">
        <v>7</v>
      </c>
      <c r="Q550" s="346" t="s">
        <v>1762</v>
      </c>
      <c r="R550" s="458">
        <v>1</v>
      </c>
    </row>
    <row r="551" spans="1:18" x14ac:dyDescent="0.25">
      <c r="A551" s="458">
        <v>44680</v>
      </c>
      <c r="B551" s="346">
        <v>1100000273</v>
      </c>
      <c r="C551" s="346" t="s">
        <v>4538</v>
      </c>
      <c r="D551" s="346" t="s">
        <v>1281</v>
      </c>
      <c r="E551" s="346" t="s">
        <v>1763</v>
      </c>
      <c r="F551" s="346" t="s">
        <v>1758</v>
      </c>
      <c r="G551" s="346" t="s">
        <v>1771</v>
      </c>
      <c r="H551" s="346" t="s">
        <v>1237</v>
      </c>
      <c r="I551" s="346">
        <v>0</v>
      </c>
      <c r="J551" s="346" t="s">
        <v>572</v>
      </c>
      <c r="K551" s="346" t="s">
        <v>1761</v>
      </c>
      <c r="L551" s="346"/>
      <c r="M551" s="346" t="s">
        <v>1761</v>
      </c>
      <c r="N551" s="346">
        <v>0.25</v>
      </c>
      <c r="O551" s="346">
        <v>6.25</v>
      </c>
      <c r="P551" s="346">
        <v>7</v>
      </c>
      <c r="Q551" s="346" t="s">
        <v>1762</v>
      </c>
      <c r="R551" s="458">
        <v>1</v>
      </c>
    </row>
    <row r="552" spans="1:18" x14ac:dyDescent="0.25">
      <c r="A552" s="458">
        <v>44680</v>
      </c>
      <c r="B552" s="346">
        <v>1100000275</v>
      </c>
      <c r="C552" s="346" t="s">
        <v>4539</v>
      </c>
      <c r="D552" s="346" t="s">
        <v>1756</v>
      </c>
      <c r="E552" s="346" t="s">
        <v>1763</v>
      </c>
      <c r="F552" s="346" t="s">
        <v>1758</v>
      </c>
      <c r="G552" s="346" t="s">
        <v>1771</v>
      </c>
      <c r="H552" s="346" t="s">
        <v>1237</v>
      </c>
      <c r="I552" s="346">
        <v>0</v>
      </c>
      <c r="J552" s="346" t="s">
        <v>572</v>
      </c>
      <c r="K552" s="346" t="s">
        <v>1761</v>
      </c>
      <c r="L552" s="346"/>
      <c r="M552" s="346" t="s">
        <v>1761</v>
      </c>
      <c r="N552" s="346">
        <v>0.25</v>
      </c>
      <c r="O552" s="346">
        <v>6.25</v>
      </c>
      <c r="P552" s="346">
        <v>7</v>
      </c>
      <c r="Q552" s="346" t="s">
        <v>1762</v>
      </c>
      <c r="R552" s="458">
        <v>1</v>
      </c>
    </row>
    <row r="553" spans="1:18" x14ac:dyDescent="0.25">
      <c r="A553" s="458">
        <v>44680</v>
      </c>
      <c r="B553" s="346">
        <v>1100000276</v>
      </c>
      <c r="C553" s="346" t="s">
        <v>4540</v>
      </c>
      <c r="D553" s="346" t="s">
        <v>1756</v>
      </c>
      <c r="E553" s="346" t="s">
        <v>1757</v>
      </c>
      <c r="F553" s="346" t="s">
        <v>1758</v>
      </c>
      <c r="G553" s="346" t="s">
        <v>1771</v>
      </c>
      <c r="H553" s="346" t="s">
        <v>1237</v>
      </c>
      <c r="I553" s="346">
        <v>35846</v>
      </c>
      <c r="J553" s="346" t="s">
        <v>572</v>
      </c>
      <c r="K553" s="346" t="s">
        <v>1761</v>
      </c>
      <c r="L553" s="346"/>
      <c r="M553" s="346" t="s">
        <v>1761</v>
      </c>
      <c r="N553" s="346">
        <v>0.5</v>
      </c>
      <c r="O553" s="346">
        <v>12</v>
      </c>
      <c r="P553" s="346">
        <v>12.75</v>
      </c>
      <c r="Q553" s="346" t="s">
        <v>1762</v>
      </c>
      <c r="R553" s="458">
        <v>1</v>
      </c>
    </row>
    <row r="554" spans="1:18" x14ac:dyDescent="0.25">
      <c r="A554" s="458">
        <v>44680</v>
      </c>
      <c r="B554" s="346">
        <v>1100000264</v>
      </c>
      <c r="C554" s="346" t="s">
        <v>2410</v>
      </c>
      <c r="D554" s="346" t="s">
        <v>1756</v>
      </c>
      <c r="E554" s="346" t="s">
        <v>1757</v>
      </c>
      <c r="F554" s="346" t="s">
        <v>1758</v>
      </c>
      <c r="G554" s="346" t="s">
        <v>1771</v>
      </c>
      <c r="H554" s="346" t="s">
        <v>1237</v>
      </c>
      <c r="I554" s="346">
        <v>4348666.67</v>
      </c>
      <c r="J554" s="346" t="s">
        <v>572</v>
      </c>
      <c r="K554" s="346" t="s">
        <v>1761</v>
      </c>
      <c r="L554" s="346"/>
      <c r="M554" s="346" t="s">
        <v>1761</v>
      </c>
      <c r="N554" s="346">
        <v>0.1</v>
      </c>
      <c r="O554" s="346">
        <v>5.5</v>
      </c>
      <c r="P554" s="346">
        <v>6.25</v>
      </c>
      <c r="Q554" s="346" t="s">
        <v>1762</v>
      </c>
      <c r="R554" s="458">
        <v>1</v>
      </c>
    </row>
    <row r="555" spans="1:18" x14ac:dyDescent="0.25">
      <c r="A555" s="458">
        <v>44680</v>
      </c>
      <c r="B555" s="346">
        <v>1100000279</v>
      </c>
      <c r="C555" s="346" t="s">
        <v>4415</v>
      </c>
      <c r="D555" s="346" t="s">
        <v>1756</v>
      </c>
      <c r="E555" s="346" t="s">
        <v>1763</v>
      </c>
      <c r="F555" s="346" t="s">
        <v>1758</v>
      </c>
      <c r="G555" s="346" t="s">
        <v>1771</v>
      </c>
      <c r="H555" s="346" t="s">
        <v>1237</v>
      </c>
      <c r="I555" s="346">
        <v>0</v>
      </c>
      <c r="J555" s="346" t="s">
        <v>572</v>
      </c>
      <c r="K555" s="346" t="s">
        <v>1761</v>
      </c>
      <c r="L555" s="346"/>
      <c r="M555" s="346" t="s">
        <v>1761</v>
      </c>
      <c r="N555" s="346">
        <v>0.5</v>
      </c>
      <c r="O555" s="346">
        <v>4.4800000000000004</v>
      </c>
      <c r="P555" s="346">
        <v>5.23</v>
      </c>
      <c r="Q555" s="346" t="s">
        <v>1762</v>
      </c>
      <c r="R555" s="458">
        <v>1</v>
      </c>
    </row>
    <row r="556" spans="1:18" x14ac:dyDescent="0.25">
      <c r="A556" s="458">
        <v>44680</v>
      </c>
      <c r="B556" s="346">
        <v>1100000280</v>
      </c>
      <c r="C556" s="346" t="s">
        <v>4541</v>
      </c>
      <c r="D556" s="346" t="s">
        <v>1756</v>
      </c>
      <c r="E556" s="346" t="s">
        <v>1757</v>
      </c>
      <c r="F556" s="346" t="s">
        <v>1758</v>
      </c>
      <c r="G556" s="346" t="s">
        <v>1771</v>
      </c>
      <c r="H556" s="346" t="s">
        <v>1237</v>
      </c>
      <c r="I556" s="346">
        <v>21564716</v>
      </c>
      <c r="J556" s="346" t="s">
        <v>572</v>
      </c>
      <c r="K556" s="346" t="s">
        <v>1761</v>
      </c>
      <c r="L556" s="346"/>
      <c r="M556" s="346" t="s">
        <v>1761</v>
      </c>
      <c r="N556" s="346">
        <v>0.5</v>
      </c>
      <c r="O556" s="346">
        <v>5.59</v>
      </c>
      <c r="P556" s="346">
        <v>6.34</v>
      </c>
      <c r="Q556" s="346" t="s">
        <v>1762</v>
      </c>
      <c r="R556" s="458">
        <v>1</v>
      </c>
    </row>
    <row r="557" spans="1:18" x14ac:dyDescent="0.25">
      <c r="A557" s="458">
        <v>44680</v>
      </c>
      <c r="B557" s="346">
        <v>1100000277</v>
      </c>
      <c r="C557" s="346" t="s">
        <v>4542</v>
      </c>
      <c r="D557" s="346" t="s">
        <v>1756</v>
      </c>
      <c r="E557" s="346" t="s">
        <v>1757</v>
      </c>
      <c r="F557" s="346" t="s">
        <v>1758</v>
      </c>
      <c r="G557" s="346" t="s">
        <v>1771</v>
      </c>
      <c r="H557" s="346" t="s">
        <v>1237</v>
      </c>
      <c r="I557" s="346">
        <v>14500000</v>
      </c>
      <c r="J557" s="346" t="s">
        <v>572</v>
      </c>
      <c r="K557" s="346" t="s">
        <v>1761</v>
      </c>
      <c r="L557" s="346"/>
      <c r="M557" s="346" t="s">
        <v>1761</v>
      </c>
      <c r="N557" s="346">
        <v>0.4</v>
      </c>
      <c r="O557" s="346">
        <v>5.95</v>
      </c>
      <c r="P557" s="346">
        <v>6.7</v>
      </c>
      <c r="Q557" s="346" t="s">
        <v>1762</v>
      </c>
      <c r="R557" s="458">
        <v>1</v>
      </c>
    </row>
    <row r="558" spans="1:18" x14ac:dyDescent="0.25">
      <c r="A558" s="458">
        <v>44680</v>
      </c>
      <c r="B558" s="346">
        <v>1100000265</v>
      </c>
      <c r="C558" s="346" t="s">
        <v>2422</v>
      </c>
      <c r="D558" s="346" t="s">
        <v>1756</v>
      </c>
      <c r="E558" s="346" t="s">
        <v>1763</v>
      </c>
      <c r="F558" s="346" t="s">
        <v>1758</v>
      </c>
      <c r="G558" s="346" t="s">
        <v>1771</v>
      </c>
      <c r="H558" s="346" t="s">
        <v>1237</v>
      </c>
      <c r="I558" s="346">
        <v>0</v>
      </c>
      <c r="J558" s="346" t="s">
        <v>572</v>
      </c>
      <c r="K558" s="346" t="s">
        <v>1761</v>
      </c>
      <c r="L558" s="346"/>
      <c r="M558" s="346" t="s">
        <v>1761</v>
      </c>
      <c r="N558" s="346">
        <v>0.25</v>
      </c>
      <c r="O558" s="346">
        <v>6.75</v>
      </c>
      <c r="P558" s="346">
        <v>7.5</v>
      </c>
      <c r="Q558" s="346" t="s">
        <v>1762</v>
      </c>
      <c r="R558" s="458">
        <v>1</v>
      </c>
    </row>
    <row r="559" spans="1:18" x14ac:dyDescent="0.25">
      <c r="A559" s="458">
        <v>44680</v>
      </c>
      <c r="B559" s="346">
        <v>1100000262</v>
      </c>
      <c r="C559" s="346" t="s">
        <v>2408</v>
      </c>
      <c r="D559" s="346" t="s">
        <v>1756</v>
      </c>
      <c r="E559" s="346" t="s">
        <v>1757</v>
      </c>
      <c r="F559" s="346" t="s">
        <v>1758</v>
      </c>
      <c r="G559" s="346" t="s">
        <v>1771</v>
      </c>
      <c r="H559" s="346" t="s">
        <v>1237</v>
      </c>
      <c r="I559" s="346">
        <v>1234698.3400000001</v>
      </c>
      <c r="J559" s="346" t="s">
        <v>572</v>
      </c>
      <c r="K559" s="346" t="s">
        <v>1761</v>
      </c>
      <c r="L559" s="346"/>
      <c r="M559" s="346" t="s">
        <v>1761</v>
      </c>
      <c r="N559" s="346">
        <v>0.1</v>
      </c>
      <c r="O559" s="346">
        <v>6</v>
      </c>
      <c r="P559" s="346">
        <v>6.75</v>
      </c>
      <c r="Q559" s="346" t="s">
        <v>1762</v>
      </c>
      <c r="R559" s="458">
        <v>1</v>
      </c>
    </row>
    <row r="560" spans="1:18" x14ac:dyDescent="0.25">
      <c r="A560" s="458">
        <v>44680</v>
      </c>
      <c r="B560" s="346">
        <v>1100000261</v>
      </c>
      <c r="C560" s="346" t="s">
        <v>2409</v>
      </c>
      <c r="D560" s="346" t="s">
        <v>1756</v>
      </c>
      <c r="E560" s="346" t="s">
        <v>1763</v>
      </c>
      <c r="F560" s="346" t="s">
        <v>1758</v>
      </c>
      <c r="G560" s="346" t="s">
        <v>1771</v>
      </c>
      <c r="H560" s="346" t="s">
        <v>1237</v>
      </c>
      <c r="I560" s="346">
        <v>0</v>
      </c>
      <c r="J560" s="346" t="s">
        <v>572</v>
      </c>
      <c r="K560" s="346" t="s">
        <v>1761</v>
      </c>
      <c r="L560" s="346"/>
      <c r="M560" s="346" t="s">
        <v>1761</v>
      </c>
      <c r="N560" s="346">
        <v>0.1</v>
      </c>
      <c r="O560" s="346">
        <v>5.5</v>
      </c>
      <c r="P560" s="346">
        <v>6.25</v>
      </c>
      <c r="Q560" s="346" t="s">
        <v>1762</v>
      </c>
      <c r="R560" s="458">
        <v>1</v>
      </c>
    </row>
    <row r="561" spans="1:18" x14ac:dyDescent="0.25">
      <c r="A561" s="458">
        <v>44680</v>
      </c>
      <c r="B561" s="346">
        <v>6100000199</v>
      </c>
      <c r="C561" s="346" t="s">
        <v>2428</v>
      </c>
      <c r="D561" s="346" t="s">
        <v>1281</v>
      </c>
      <c r="E561" s="346" t="s">
        <v>1757</v>
      </c>
      <c r="F561" s="346" t="s">
        <v>1770</v>
      </c>
      <c r="G561" s="346" t="s">
        <v>1772</v>
      </c>
      <c r="H561" s="346" t="s">
        <v>1773</v>
      </c>
      <c r="I561" s="346">
        <v>856591.34</v>
      </c>
      <c r="J561" s="346" t="s">
        <v>572</v>
      </c>
      <c r="K561" s="346" t="s">
        <v>1761</v>
      </c>
      <c r="L561" s="346"/>
      <c r="M561" s="346" t="s">
        <v>1761</v>
      </c>
      <c r="N561" s="346">
        <v>0.85</v>
      </c>
      <c r="O561" s="346">
        <v>5.62</v>
      </c>
      <c r="P561" s="346">
        <v>6.47</v>
      </c>
      <c r="Q561" s="346" t="s">
        <v>1762</v>
      </c>
      <c r="R561" s="458">
        <v>1</v>
      </c>
    </row>
    <row r="562" spans="1:18" x14ac:dyDescent="0.25">
      <c r="A562" s="458">
        <v>44680</v>
      </c>
      <c r="B562" s="346">
        <v>6100000200</v>
      </c>
      <c r="C562" s="346" t="s">
        <v>2429</v>
      </c>
      <c r="D562" s="346" t="s">
        <v>1281</v>
      </c>
      <c r="E562" s="346" t="s">
        <v>1757</v>
      </c>
      <c r="F562" s="346" t="s">
        <v>1770</v>
      </c>
      <c r="G562" s="346" t="s">
        <v>1772</v>
      </c>
      <c r="H562" s="346" t="s">
        <v>1773</v>
      </c>
      <c r="I562" s="346">
        <v>2689299.64</v>
      </c>
      <c r="J562" s="346" t="s">
        <v>572</v>
      </c>
      <c r="K562" s="346" t="s">
        <v>1761</v>
      </c>
      <c r="L562" s="346"/>
      <c r="M562" s="346" t="s">
        <v>1761</v>
      </c>
      <c r="N562" s="346">
        <v>0.1</v>
      </c>
      <c r="O562" s="346">
        <v>6.15</v>
      </c>
      <c r="P562" s="346">
        <v>6.9</v>
      </c>
      <c r="Q562" s="346" t="s">
        <v>1762</v>
      </c>
      <c r="R562" s="458">
        <v>1</v>
      </c>
    </row>
    <row r="563" spans="1:18" x14ac:dyDescent="0.25">
      <c r="A563" s="458">
        <v>44680</v>
      </c>
      <c r="B563" s="346">
        <v>6100000201</v>
      </c>
      <c r="C563" s="346" t="s">
        <v>2430</v>
      </c>
      <c r="D563" s="346" t="s">
        <v>1281</v>
      </c>
      <c r="E563" s="346" t="s">
        <v>1757</v>
      </c>
      <c r="F563" s="346" t="s">
        <v>1770</v>
      </c>
      <c r="G563" s="346" t="s">
        <v>1772</v>
      </c>
      <c r="H563" s="346" t="s">
        <v>1773</v>
      </c>
      <c r="I563" s="346">
        <v>58320.28</v>
      </c>
      <c r="J563" s="346" t="s">
        <v>572</v>
      </c>
      <c r="K563" s="346" t="s">
        <v>1761</v>
      </c>
      <c r="L563" s="346"/>
      <c r="M563" s="346" t="s">
        <v>1761</v>
      </c>
      <c r="N563" s="346">
        <v>0.85</v>
      </c>
      <c r="O563" s="346">
        <v>5.62</v>
      </c>
      <c r="P563" s="346">
        <v>6.47</v>
      </c>
      <c r="Q563" s="346" t="s">
        <v>1762</v>
      </c>
      <c r="R563" s="458">
        <v>1</v>
      </c>
    </row>
    <row r="564" spans="1:18" x14ac:dyDescent="0.25">
      <c r="A564" s="458">
        <v>44680</v>
      </c>
      <c r="B564" s="346">
        <v>6100000202</v>
      </c>
      <c r="C564" s="346" t="s">
        <v>2431</v>
      </c>
      <c r="D564" s="346" t="s">
        <v>1281</v>
      </c>
      <c r="E564" s="346" t="s">
        <v>1757</v>
      </c>
      <c r="F564" s="346" t="s">
        <v>1770</v>
      </c>
      <c r="G564" s="346" t="s">
        <v>1772</v>
      </c>
      <c r="H564" s="346" t="s">
        <v>1773</v>
      </c>
      <c r="I564" s="346">
        <v>37207.949999999997</v>
      </c>
      <c r="J564" s="346" t="s">
        <v>572</v>
      </c>
      <c r="K564" s="346" t="s">
        <v>1761</v>
      </c>
      <c r="L564" s="346"/>
      <c r="M564" s="346" t="s">
        <v>1761</v>
      </c>
      <c r="N564" s="346">
        <v>0.85</v>
      </c>
      <c r="O564" s="346">
        <v>5.62</v>
      </c>
      <c r="P564" s="346">
        <v>6.47</v>
      </c>
      <c r="Q564" s="346" t="s">
        <v>1762</v>
      </c>
      <c r="R564" s="458">
        <v>1</v>
      </c>
    </row>
    <row r="565" spans="1:18" x14ac:dyDescent="0.25">
      <c r="A565" s="458">
        <v>44680</v>
      </c>
      <c r="B565" s="346">
        <v>6100000203</v>
      </c>
      <c r="C565" s="346" t="s">
        <v>2304</v>
      </c>
      <c r="D565" s="346" t="s">
        <v>1281</v>
      </c>
      <c r="E565" s="346" t="s">
        <v>1757</v>
      </c>
      <c r="F565" s="346" t="s">
        <v>1770</v>
      </c>
      <c r="G565" s="346" t="s">
        <v>1772</v>
      </c>
      <c r="H565" s="346" t="s">
        <v>1773</v>
      </c>
      <c r="I565" s="346">
        <v>235292.78</v>
      </c>
      <c r="J565" s="346" t="s">
        <v>572</v>
      </c>
      <c r="K565" s="346" t="s">
        <v>1761</v>
      </c>
      <c r="L565" s="346"/>
      <c r="M565" s="346" t="s">
        <v>1761</v>
      </c>
      <c r="N565" s="346">
        <v>0.85</v>
      </c>
      <c r="O565" s="346">
        <v>5.62</v>
      </c>
      <c r="P565" s="346">
        <v>6.47</v>
      </c>
      <c r="Q565" s="346" t="s">
        <v>1762</v>
      </c>
      <c r="R565" s="458">
        <v>1</v>
      </c>
    </row>
    <row r="566" spans="1:18" x14ac:dyDescent="0.25">
      <c r="A566" s="458">
        <v>44680</v>
      </c>
      <c r="B566" s="346">
        <v>6100000205</v>
      </c>
      <c r="C566" s="346" t="s">
        <v>2094</v>
      </c>
      <c r="D566" s="346" t="s">
        <v>1281</v>
      </c>
      <c r="E566" s="346" t="s">
        <v>1757</v>
      </c>
      <c r="F566" s="346" t="s">
        <v>1770</v>
      </c>
      <c r="G566" s="346" t="s">
        <v>1772</v>
      </c>
      <c r="H566" s="346" t="s">
        <v>1773</v>
      </c>
      <c r="I566" s="346">
        <v>1100000</v>
      </c>
      <c r="J566" s="346" t="s">
        <v>572</v>
      </c>
      <c r="K566" s="346" t="s">
        <v>1761</v>
      </c>
      <c r="L566" s="346"/>
      <c r="M566" s="346" t="s">
        <v>1761</v>
      </c>
      <c r="N566" s="346">
        <v>0.1</v>
      </c>
      <c r="O566" s="346">
        <v>5.98</v>
      </c>
      <c r="P566" s="346">
        <v>6.73</v>
      </c>
      <c r="Q566" s="346" t="s">
        <v>1762</v>
      </c>
      <c r="R566" s="458">
        <v>1</v>
      </c>
    </row>
    <row r="567" spans="1:18" x14ac:dyDescent="0.25">
      <c r="A567" s="458">
        <v>44680</v>
      </c>
      <c r="B567" s="346">
        <v>6100000204</v>
      </c>
      <c r="C567" s="346" t="s">
        <v>2092</v>
      </c>
      <c r="D567" s="346" t="s">
        <v>1281</v>
      </c>
      <c r="E567" s="346" t="s">
        <v>1757</v>
      </c>
      <c r="F567" s="346" t="s">
        <v>1770</v>
      </c>
      <c r="G567" s="346" t="s">
        <v>1772</v>
      </c>
      <c r="H567" s="346" t="s">
        <v>1773</v>
      </c>
      <c r="I567" s="346">
        <v>177292.33</v>
      </c>
      <c r="J567" s="346" t="s">
        <v>572</v>
      </c>
      <c r="K567" s="346" t="s">
        <v>1761</v>
      </c>
      <c r="L567" s="346"/>
      <c r="M567" s="346" t="s">
        <v>1761</v>
      </c>
      <c r="N567" s="346">
        <v>0.85</v>
      </c>
      <c r="O567" s="346">
        <v>5.62</v>
      </c>
      <c r="P567" s="346">
        <v>6.47</v>
      </c>
      <c r="Q567" s="346" t="s">
        <v>1762</v>
      </c>
      <c r="R567" s="458">
        <v>1</v>
      </c>
    </row>
    <row r="568" spans="1:18" x14ac:dyDescent="0.25">
      <c r="A568" s="458">
        <v>44680</v>
      </c>
      <c r="B568" s="346">
        <v>6100000206</v>
      </c>
      <c r="C568" s="346" t="s">
        <v>2091</v>
      </c>
      <c r="D568" s="346" t="s">
        <v>1281</v>
      </c>
      <c r="E568" s="346" t="s">
        <v>1757</v>
      </c>
      <c r="F568" s="346" t="s">
        <v>1770</v>
      </c>
      <c r="G568" s="346" t="s">
        <v>1772</v>
      </c>
      <c r="H568" s="346" t="s">
        <v>1773</v>
      </c>
      <c r="I568" s="346">
        <v>195637.96</v>
      </c>
      <c r="J568" s="346" t="s">
        <v>572</v>
      </c>
      <c r="K568" s="346" t="s">
        <v>1761</v>
      </c>
      <c r="L568" s="346"/>
      <c r="M568" s="346" t="s">
        <v>1761</v>
      </c>
      <c r="N568" s="346">
        <v>0.85</v>
      </c>
      <c r="O568" s="346">
        <v>5.62</v>
      </c>
      <c r="P568" s="346">
        <v>6.47</v>
      </c>
      <c r="Q568" s="346" t="s">
        <v>1762</v>
      </c>
      <c r="R568" s="458">
        <v>1</v>
      </c>
    </row>
    <row r="569" spans="1:18" x14ac:dyDescent="0.25">
      <c r="A569" s="458">
        <v>44680</v>
      </c>
      <c r="B569" s="346">
        <v>6100000208</v>
      </c>
      <c r="C569" s="346" t="s">
        <v>2432</v>
      </c>
      <c r="D569" s="346" t="s">
        <v>1281</v>
      </c>
      <c r="E569" s="346" t="s">
        <v>1757</v>
      </c>
      <c r="F569" s="346" t="s">
        <v>1770</v>
      </c>
      <c r="G569" s="346" t="s">
        <v>1772</v>
      </c>
      <c r="H569" s="346" t="s">
        <v>1773</v>
      </c>
      <c r="I569" s="346">
        <v>322967.5</v>
      </c>
      <c r="J569" s="346" t="s">
        <v>572</v>
      </c>
      <c r="K569" s="346" t="s">
        <v>1761</v>
      </c>
      <c r="L569" s="346"/>
      <c r="M569" s="346" t="s">
        <v>1761</v>
      </c>
      <c r="N569" s="346">
        <v>0.85</v>
      </c>
      <c r="O569" s="346">
        <v>5.62</v>
      </c>
      <c r="P569" s="346">
        <v>6.47</v>
      </c>
      <c r="Q569" s="346" t="s">
        <v>1762</v>
      </c>
      <c r="R569" s="458">
        <v>1</v>
      </c>
    </row>
    <row r="570" spans="1:18" x14ac:dyDescent="0.25">
      <c r="A570" s="458">
        <v>44680</v>
      </c>
      <c r="B570" s="346">
        <v>6100000210</v>
      </c>
      <c r="C570" s="346" t="s">
        <v>2433</v>
      </c>
      <c r="D570" s="346" t="s">
        <v>1281</v>
      </c>
      <c r="E570" s="346" t="s">
        <v>1757</v>
      </c>
      <c r="F570" s="346" t="s">
        <v>1770</v>
      </c>
      <c r="G570" s="346" t="s">
        <v>1772</v>
      </c>
      <c r="H570" s="346" t="s">
        <v>1773</v>
      </c>
      <c r="I570" s="346">
        <v>104029.58</v>
      </c>
      <c r="J570" s="346" t="s">
        <v>572</v>
      </c>
      <c r="K570" s="346" t="s">
        <v>1761</v>
      </c>
      <c r="L570" s="346"/>
      <c r="M570" s="346" t="s">
        <v>1761</v>
      </c>
      <c r="N570" s="346">
        <v>0.85</v>
      </c>
      <c r="O570" s="346">
        <v>5.62</v>
      </c>
      <c r="P570" s="346">
        <v>6.47</v>
      </c>
      <c r="Q570" s="346" t="s">
        <v>1762</v>
      </c>
      <c r="R570" s="458">
        <v>1</v>
      </c>
    </row>
    <row r="571" spans="1:18" x14ac:dyDescent="0.25">
      <c r="A571" s="458">
        <v>44680</v>
      </c>
      <c r="B571" s="346">
        <v>6100000211</v>
      </c>
      <c r="C571" s="346" t="s">
        <v>2304</v>
      </c>
      <c r="D571" s="346" t="s">
        <v>1281</v>
      </c>
      <c r="E571" s="346" t="s">
        <v>1757</v>
      </c>
      <c r="F571" s="346" t="s">
        <v>1770</v>
      </c>
      <c r="G571" s="346" t="s">
        <v>1772</v>
      </c>
      <c r="H571" s="346" t="s">
        <v>1773</v>
      </c>
      <c r="I571" s="346">
        <v>349530.93</v>
      </c>
      <c r="J571" s="346" t="s">
        <v>572</v>
      </c>
      <c r="K571" s="346" t="s">
        <v>1761</v>
      </c>
      <c r="L571" s="346"/>
      <c r="M571" s="346" t="s">
        <v>1761</v>
      </c>
      <c r="N571" s="346">
        <v>0.85</v>
      </c>
      <c r="O571" s="346">
        <v>5.62</v>
      </c>
      <c r="P571" s="346">
        <v>6.47</v>
      </c>
      <c r="Q571" s="346" t="s">
        <v>1762</v>
      </c>
      <c r="R571" s="458">
        <v>1</v>
      </c>
    </row>
    <row r="572" spans="1:18" x14ac:dyDescent="0.25">
      <c r="A572" s="458">
        <v>44680</v>
      </c>
      <c r="B572" s="346">
        <v>6100000212</v>
      </c>
      <c r="C572" s="346" t="s">
        <v>2434</v>
      </c>
      <c r="D572" s="346" t="s">
        <v>1281</v>
      </c>
      <c r="E572" s="346" t="s">
        <v>1757</v>
      </c>
      <c r="F572" s="346" t="s">
        <v>1770</v>
      </c>
      <c r="G572" s="346" t="s">
        <v>1772</v>
      </c>
      <c r="H572" s="346" t="s">
        <v>1773</v>
      </c>
      <c r="I572" s="346">
        <v>32665.24</v>
      </c>
      <c r="J572" s="346" t="s">
        <v>572</v>
      </c>
      <c r="K572" s="346" t="s">
        <v>1761</v>
      </c>
      <c r="L572" s="346"/>
      <c r="M572" s="346" t="s">
        <v>1761</v>
      </c>
      <c r="N572" s="346">
        <v>0.85</v>
      </c>
      <c r="O572" s="346">
        <v>5.62</v>
      </c>
      <c r="P572" s="346">
        <v>6.47</v>
      </c>
      <c r="Q572" s="346" t="s">
        <v>1762</v>
      </c>
      <c r="R572" s="458">
        <v>1</v>
      </c>
    </row>
    <row r="573" spans="1:18" x14ac:dyDescent="0.25">
      <c r="A573" s="458">
        <v>44680</v>
      </c>
      <c r="B573" s="346">
        <v>6100000214</v>
      </c>
      <c r="C573" s="346" t="s">
        <v>2435</v>
      </c>
      <c r="D573" s="346" t="s">
        <v>1281</v>
      </c>
      <c r="E573" s="346" t="s">
        <v>1757</v>
      </c>
      <c r="F573" s="346" t="s">
        <v>1770</v>
      </c>
      <c r="G573" s="346" t="s">
        <v>1772</v>
      </c>
      <c r="H573" s="346" t="s">
        <v>1773</v>
      </c>
      <c r="I573" s="346">
        <v>320013.3</v>
      </c>
      <c r="J573" s="346" t="s">
        <v>572</v>
      </c>
      <c r="K573" s="346" t="s">
        <v>1761</v>
      </c>
      <c r="L573" s="346"/>
      <c r="M573" s="346" t="s">
        <v>1761</v>
      </c>
      <c r="N573" s="346">
        <v>0.85</v>
      </c>
      <c r="O573" s="346">
        <v>5.62</v>
      </c>
      <c r="P573" s="346">
        <v>6.47</v>
      </c>
      <c r="Q573" s="346" t="s">
        <v>1762</v>
      </c>
      <c r="R573" s="458">
        <v>1</v>
      </c>
    </row>
    <row r="574" spans="1:18" x14ac:dyDescent="0.25">
      <c r="A574" s="458">
        <v>44680</v>
      </c>
      <c r="B574" s="346">
        <v>6100000216</v>
      </c>
      <c r="C574" s="346" t="s">
        <v>2090</v>
      </c>
      <c r="D574" s="346" t="s">
        <v>1281</v>
      </c>
      <c r="E574" s="346" t="s">
        <v>1757</v>
      </c>
      <c r="F574" s="346" t="s">
        <v>1770</v>
      </c>
      <c r="G574" s="346" t="s">
        <v>1772</v>
      </c>
      <c r="H574" s="346" t="s">
        <v>1773</v>
      </c>
      <c r="I574" s="346">
        <v>175933.68</v>
      </c>
      <c r="J574" s="346" t="s">
        <v>572</v>
      </c>
      <c r="K574" s="346" t="s">
        <v>1761</v>
      </c>
      <c r="L574" s="346"/>
      <c r="M574" s="346" t="s">
        <v>1761</v>
      </c>
      <c r="N574" s="346">
        <v>0.85</v>
      </c>
      <c r="O574" s="346">
        <v>5.62</v>
      </c>
      <c r="P574" s="346">
        <v>6.47</v>
      </c>
      <c r="Q574" s="346" t="s">
        <v>1762</v>
      </c>
      <c r="R574" s="458">
        <v>1</v>
      </c>
    </row>
    <row r="575" spans="1:18" x14ac:dyDescent="0.25">
      <c r="A575" s="458">
        <v>44680</v>
      </c>
      <c r="B575" s="346">
        <v>6100000217</v>
      </c>
      <c r="C575" s="346" t="s">
        <v>2436</v>
      </c>
      <c r="D575" s="346" t="s">
        <v>1281</v>
      </c>
      <c r="E575" s="346" t="s">
        <v>1757</v>
      </c>
      <c r="F575" s="346" t="s">
        <v>1770</v>
      </c>
      <c r="G575" s="346" t="s">
        <v>1772</v>
      </c>
      <c r="H575" s="346" t="s">
        <v>1773</v>
      </c>
      <c r="I575" s="346">
        <v>101440.93</v>
      </c>
      <c r="J575" s="346" t="s">
        <v>572</v>
      </c>
      <c r="K575" s="346" t="s">
        <v>1761</v>
      </c>
      <c r="L575" s="346"/>
      <c r="M575" s="346" t="s">
        <v>1761</v>
      </c>
      <c r="N575" s="346">
        <v>0.85</v>
      </c>
      <c r="O575" s="346">
        <v>5.62</v>
      </c>
      <c r="P575" s="346">
        <v>6.47</v>
      </c>
      <c r="Q575" s="346" t="s">
        <v>1762</v>
      </c>
      <c r="R575" s="458">
        <v>1</v>
      </c>
    </row>
    <row r="576" spans="1:18" x14ac:dyDescent="0.25">
      <c r="A576" s="458">
        <v>44680</v>
      </c>
      <c r="B576" s="346">
        <v>6100000220</v>
      </c>
      <c r="C576" s="346" t="s">
        <v>2437</v>
      </c>
      <c r="D576" s="346" t="s">
        <v>1281</v>
      </c>
      <c r="E576" s="346" t="s">
        <v>1757</v>
      </c>
      <c r="F576" s="346" t="s">
        <v>1770</v>
      </c>
      <c r="G576" s="346" t="s">
        <v>1772</v>
      </c>
      <c r="H576" s="346" t="s">
        <v>1773</v>
      </c>
      <c r="I576" s="346">
        <v>48516.63</v>
      </c>
      <c r="J576" s="346" t="s">
        <v>572</v>
      </c>
      <c r="K576" s="346" t="s">
        <v>1761</v>
      </c>
      <c r="L576" s="346"/>
      <c r="M576" s="346" t="s">
        <v>1761</v>
      </c>
      <c r="N576" s="346">
        <v>0.85</v>
      </c>
      <c r="O576" s="346">
        <v>5.62</v>
      </c>
      <c r="P576" s="346">
        <v>6.47</v>
      </c>
      <c r="Q576" s="346" t="s">
        <v>1762</v>
      </c>
      <c r="R576" s="458">
        <v>1</v>
      </c>
    </row>
    <row r="577" spans="1:18" x14ac:dyDescent="0.25">
      <c r="A577" s="458">
        <v>44680</v>
      </c>
      <c r="B577" s="346">
        <v>6100000215</v>
      </c>
      <c r="C577" s="346" t="s">
        <v>2438</v>
      </c>
      <c r="D577" s="346" t="s">
        <v>1281</v>
      </c>
      <c r="E577" s="346" t="s">
        <v>1757</v>
      </c>
      <c r="F577" s="346" t="s">
        <v>1770</v>
      </c>
      <c r="G577" s="346" t="s">
        <v>1772</v>
      </c>
      <c r="H577" s="346" t="s">
        <v>1773</v>
      </c>
      <c r="I577" s="346">
        <v>202343.85</v>
      </c>
      <c r="J577" s="346" t="s">
        <v>572</v>
      </c>
      <c r="K577" s="346" t="s">
        <v>1761</v>
      </c>
      <c r="L577" s="346"/>
      <c r="M577" s="346" t="s">
        <v>1761</v>
      </c>
      <c r="N577" s="346">
        <v>0.85</v>
      </c>
      <c r="O577" s="346">
        <v>5.62</v>
      </c>
      <c r="P577" s="346">
        <v>6.47</v>
      </c>
      <c r="Q577" s="346" t="s">
        <v>1762</v>
      </c>
      <c r="R577" s="458">
        <v>1</v>
      </c>
    </row>
    <row r="578" spans="1:18" x14ac:dyDescent="0.25">
      <c r="A578" s="458">
        <v>44680</v>
      </c>
      <c r="B578" s="346">
        <v>6100000222</v>
      </c>
      <c r="C578" s="346" t="s">
        <v>2439</v>
      </c>
      <c r="D578" s="346" t="s">
        <v>1281</v>
      </c>
      <c r="E578" s="346" t="s">
        <v>1757</v>
      </c>
      <c r="F578" s="346" t="s">
        <v>1770</v>
      </c>
      <c r="G578" s="346" t="s">
        <v>1772</v>
      </c>
      <c r="H578" s="346" t="s">
        <v>1773</v>
      </c>
      <c r="I578" s="346">
        <v>4290000</v>
      </c>
      <c r="J578" s="346" t="s">
        <v>572</v>
      </c>
      <c r="K578" s="346" t="s">
        <v>1761</v>
      </c>
      <c r="L578" s="346"/>
      <c r="M578" s="346" t="s">
        <v>1761</v>
      </c>
      <c r="N578" s="346">
        <v>0.1</v>
      </c>
      <c r="O578" s="346">
        <v>5.69</v>
      </c>
      <c r="P578" s="346">
        <v>6.44</v>
      </c>
      <c r="Q578" s="346" t="s">
        <v>1762</v>
      </c>
      <c r="R578" s="458">
        <v>1</v>
      </c>
    </row>
    <row r="579" spans="1:18" x14ac:dyDescent="0.25">
      <c r="A579" s="458">
        <v>44680</v>
      </c>
      <c r="B579" s="346">
        <v>6100000224</v>
      </c>
      <c r="C579" s="346" t="s">
        <v>2094</v>
      </c>
      <c r="D579" s="346" t="s">
        <v>1281</v>
      </c>
      <c r="E579" s="346" t="s">
        <v>1757</v>
      </c>
      <c r="F579" s="346" t="s">
        <v>1770</v>
      </c>
      <c r="G579" s="346" t="s">
        <v>1772</v>
      </c>
      <c r="H579" s="346" t="s">
        <v>1773</v>
      </c>
      <c r="I579" s="346">
        <v>200000</v>
      </c>
      <c r="J579" s="346" t="s">
        <v>572</v>
      </c>
      <c r="K579" s="346" t="s">
        <v>1761</v>
      </c>
      <c r="L579" s="346"/>
      <c r="M579" s="346" t="s">
        <v>1761</v>
      </c>
      <c r="N579" s="346">
        <v>0.1</v>
      </c>
      <c r="O579" s="346">
        <v>5.98</v>
      </c>
      <c r="P579" s="346">
        <v>6.73</v>
      </c>
      <c r="Q579" s="346" t="s">
        <v>1762</v>
      </c>
      <c r="R579" s="458">
        <v>1</v>
      </c>
    </row>
    <row r="580" spans="1:18" x14ac:dyDescent="0.25">
      <c r="A580" s="458">
        <v>44680</v>
      </c>
      <c r="B580" s="346">
        <v>6100000225</v>
      </c>
      <c r="C580" s="346" t="s">
        <v>2440</v>
      </c>
      <c r="D580" s="346" t="s">
        <v>1281</v>
      </c>
      <c r="E580" s="346" t="s">
        <v>1757</v>
      </c>
      <c r="F580" s="346" t="s">
        <v>1770</v>
      </c>
      <c r="G580" s="346" t="s">
        <v>1772</v>
      </c>
      <c r="H580" s="346" t="s">
        <v>1773</v>
      </c>
      <c r="I580" s="346">
        <v>596990.35</v>
      </c>
      <c r="J580" s="346" t="s">
        <v>572</v>
      </c>
      <c r="K580" s="346" t="s">
        <v>1761</v>
      </c>
      <c r="L580" s="346"/>
      <c r="M580" s="346" t="s">
        <v>1761</v>
      </c>
      <c r="N580" s="346">
        <v>0.1</v>
      </c>
      <c r="O580" s="346">
        <v>6.15</v>
      </c>
      <c r="P580" s="346">
        <v>6.9</v>
      </c>
      <c r="Q580" s="346" t="s">
        <v>1762</v>
      </c>
      <c r="R580" s="458">
        <v>1</v>
      </c>
    </row>
    <row r="581" spans="1:18" x14ac:dyDescent="0.25">
      <c r="A581" s="458">
        <v>44680</v>
      </c>
      <c r="B581" s="346">
        <v>6100000226</v>
      </c>
      <c r="C581" s="346" t="s">
        <v>2441</v>
      </c>
      <c r="D581" s="346" t="s">
        <v>1281</v>
      </c>
      <c r="E581" s="346" t="s">
        <v>1757</v>
      </c>
      <c r="F581" s="346" t="s">
        <v>1770</v>
      </c>
      <c r="G581" s="346" t="s">
        <v>1772</v>
      </c>
      <c r="H581" s="346" t="s">
        <v>1773</v>
      </c>
      <c r="I581" s="346">
        <v>294874.49</v>
      </c>
      <c r="J581" s="346" t="s">
        <v>572</v>
      </c>
      <c r="K581" s="346" t="s">
        <v>1761</v>
      </c>
      <c r="L581" s="346"/>
      <c r="M581" s="346" t="s">
        <v>1761</v>
      </c>
      <c r="N581" s="346">
        <v>0.85</v>
      </c>
      <c r="O581" s="346">
        <v>5.62</v>
      </c>
      <c r="P581" s="346">
        <v>6.47</v>
      </c>
      <c r="Q581" s="346" t="s">
        <v>1762</v>
      </c>
      <c r="R581" s="458">
        <v>1</v>
      </c>
    </row>
    <row r="582" spans="1:18" x14ac:dyDescent="0.25">
      <c r="A582" s="458">
        <v>44680</v>
      </c>
      <c r="B582" s="346">
        <v>6100000227</v>
      </c>
      <c r="C582" s="346" t="s">
        <v>2442</v>
      </c>
      <c r="D582" s="346" t="s">
        <v>1281</v>
      </c>
      <c r="E582" s="346" t="s">
        <v>1757</v>
      </c>
      <c r="F582" s="346" t="s">
        <v>1770</v>
      </c>
      <c r="G582" s="346" t="s">
        <v>1772</v>
      </c>
      <c r="H582" s="346" t="s">
        <v>1773</v>
      </c>
      <c r="I582" s="346">
        <v>1375000</v>
      </c>
      <c r="J582" s="346" t="s">
        <v>572</v>
      </c>
      <c r="K582" s="346" t="s">
        <v>1761</v>
      </c>
      <c r="L582" s="346"/>
      <c r="M582" s="346" t="s">
        <v>1761</v>
      </c>
      <c r="N582" s="346">
        <v>0.1</v>
      </c>
      <c r="O582" s="346">
        <v>6.15</v>
      </c>
      <c r="P582" s="346">
        <v>6.9</v>
      </c>
      <c r="Q582" s="346" t="s">
        <v>1762</v>
      </c>
      <c r="R582" s="458">
        <v>1</v>
      </c>
    </row>
    <row r="583" spans="1:18" x14ac:dyDescent="0.25">
      <c r="A583" s="458">
        <v>44680</v>
      </c>
      <c r="B583" s="346">
        <v>6100000228</v>
      </c>
      <c r="C583" s="346" t="s">
        <v>2443</v>
      </c>
      <c r="D583" s="346" t="s">
        <v>1281</v>
      </c>
      <c r="E583" s="346" t="s">
        <v>1757</v>
      </c>
      <c r="F583" s="346" t="s">
        <v>1770</v>
      </c>
      <c r="G583" s="346" t="s">
        <v>1772</v>
      </c>
      <c r="H583" s="346" t="s">
        <v>1773</v>
      </c>
      <c r="I583" s="346">
        <v>2246075.5</v>
      </c>
      <c r="J583" s="346" t="s">
        <v>572</v>
      </c>
      <c r="K583" s="346" t="s">
        <v>1761</v>
      </c>
      <c r="L583" s="346"/>
      <c r="M583" s="346" t="s">
        <v>1761</v>
      </c>
      <c r="N583" s="346">
        <v>0.1</v>
      </c>
      <c r="O583" s="346">
        <v>6.15</v>
      </c>
      <c r="P583" s="346">
        <v>6.9</v>
      </c>
      <c r="Q583" s="346" t="s">
        <v>1762</v>
      </c>
      <c r="R583" s="458">
        <v>1</v>
      </c>
    </row>
    <row r="584" spans="1:18" x14ac:dyDescent="0.25">
      <c r="A584" s="458">
        <v>44680</v>
      </c>
      <c r="B584" s="346">
        <v>6100000235</v>
      </c>
      <c r="C584" s="346" t="s">
        <v>2444</v>
      </c>
      <c r="D584" s="346" t="s">
        <v>1281</v>
      </c>
      <c r="E584" s="346" t="s">
        <v>1757</v>
      </c>
      <c r="F584" s="346" t="s">
        <v>1770</v>
      </c>
      <c r="G584" s="346" t="s">
        <v>1772</v>
      </c>
      <c r="H584" s="346" t="s">
        <v>1773</v>
      </c>
      <c r="I584" s="346">
        <v>37849.86</v>
      </c>
      <c r="J584" s="346" t="s">
        <v>572</v>
      </c>
      <c r="K584" s="346" t="s">
        <v>1761</v>
      </c>
      <c r="L584" s="346"/>
      <c r="M584" s="346" t="s">
        <v>1761</v>
      </c>
      <c r="N584" s="346">
        <v>0.85</v>
      </c>
      <c r="O584" s="346">
        <v>5.62</v>
      </c>
      <c r="P584" s="346">
        <v>6.47</v>
      </c>
      <c r="Q584" s="346" t="s">
        <v>1762</v>
      </c>
      <c r="R584" s="458">
        <v>1</v>
      </c>
    </row>
    <row r="585" spans="1:18" x14ac:dyDescent="0.25">
      <c r="A585" s="458">
        <v>44680</v>
      </c>
      <c r="B585" s="346">
        <v>6100000236</v>
      </c>
      <c r="C585" s="346" t="s">
        <v>2444</v>
      </c>
      <c r="D585" s="346" t="s">
        <v>1281</v>
      </c>
      <c r="E585" s="346" t="s">
        <v>1757</v>
      </c>
      <c r="F585" s="346" t="s">
        <v>1770</v>
      </c>
      <c r="G585" s="346" t="s">
        <v>1772</v>
      </c>
      <c r="H585" s="346" t="s">
        <v>1773</v>
      </c>
      <c r="I585" s="346">
        <v>53343.15</v>
      </c>
      <c r="J585" s="346" t="s">
        <v>572</v>
      </c>
      <c r="K585" s="346" t="s">
        <v>1761</v>
      </c>
      <c r="L585" s="346"/>
      <c r="M585" s="346" t="s">
        <v>1761</v>
      </c>
      <c r="N585" s="346">
        <v>0.85</v>
      </c>
      <c r="O585" s="346">
        <v>5.62</v>
      </c>
      <c r="P585" s="346">
        <v>6.47</v>
      </c>
      <c r="Q585" s="346" t="s">
        <v>1762</v>
      </c>
      <c r="R585" s="458">
        <v>1</v>
      </c>
    </row>
    <row r="586" spans="1:18" x14ac:dyDescent="0.25">
      <c r="A586" s="458">
        <v>44680</v>
      </c>
      <c r="B586" s="346">
        <v>6100000234</v>
      </c>
      <c r="C586" s="346" t="s">
        <v>2435</v>
      </c>
      <c r="D586" s="346" t="s">
        <v>1281</v>
      </c>
      <c r="E586" s="346" t="s">
        <v>1757</v>
      </c>
      <c r="F586" s="346" t="s">
        <v>1770</v>
      </c>
      <c r="G586" s="346" t="s">
        <v>1772</v>
      </c>
      <c r="H586" s="346" t="s">
        <v>1773</v>
      </c>
      <c r="I586" s="346">
        <v>163906.79</v>
      </c>
      <c r="J586" s="346" t="s">
        <v>572</v>
      </c>
      <c r="K586" s="346" t="s">
        <v>1761</v>
      </c>
      <c r="L586" s="346"/>
      <c r="M586" s="346" t="s">
        <v>1761</v>
      </c>
      <c r="N586" s="346">
        <v>0.85</v>
      </c>
      <c r="O586" s="346">
        <v>5.62</v>
      </c>
      <c r="P586" s="346">
        <v>6.47</v>
      </c>
      <c r="Q586" s="346" t="s">
        <v>1762</v>
      </c>
      <c r="R586" s="458">
        <v>1</v>
      </c>
    </row>
    <row r="587" spans="1:18" x14ac:dyDescent="0.25">
      <c r="A587" s="458">
        <v>44680</v>
      </c>
      <c r="B587" s="346">
        <v>6100000209</v>
      </c>
      <c r="C587" s="346" t="s">
        <v>2445</v>
      </c>
      <c r="D587" s="346" t="s">
        <v>1756</v>
      </c>
      <c r="E587" s="346" t="s">
        <v>1757</v>
      </c>
      <c r="F587" s="346" t="s">
        <v>1758</v>
      </c>
      <c r="G587" s="346" t="s">
        <v>1772</v>
      </c>
      <c r="H587" s="346" t="s">
        <v>1773</v>
      </c>
      <c r="I587" s="346">
        <v>7500000</v>
      </c>
      <c r="J587" s="346" t="s">
        <v>572</v>
      </c>
      <c r="K587" s="346" t="s">
        <v>1761</v>
      </c>
      <c r="L587" s="346"/>
      <c r="M587" s="346" t="s">
        <v>1761</v>
      </c>
      <c r="N587" s="346">
        <v>0.1</v>
      </c>
      <c r="O587" s="346">
        <v>5</v>
      </c>
      <c r="P587" s="346">
        <v>5.75</v>
      </c>
      <c r="Q587" s="346" t="s">
        <v>1762</v>
      </c>
      <c r="R587" s="458">
        <v>1</v>
      </c>
    </row>
    <row r="588" spans="1:18" x14ac:dyDescent="0.25">
      <c r="A588" s="458">
        <v>44680</v>
      </c>
      <c r="B588" s="346">
        <v>6100000238</v>
      </c>
      <c r="C588" s="346" t="s">
        <v>2446</v>
      </c>
      <c r="D588" s="346" t="s">
        <v>1281</v>
      </c>
      <c r="E588" s="346" t="s">
        <v>1757</v>
      </c>
      <c r="F588" s="346" t="s">
        <v>1770</v>
      </c>
      <c r="G588" s="346" t="s">
        <v>1772</v>
      </c>
      <c r="H588" s="346" t="s">
        <v>1773</v>
      </c>
      <c r="I588" s="346">
        <v>102236.79</v>
      </c>
      <c r="J588" s="346" t="s">
        <v>572</v>
      </c>
      <c r="K588" s="346" t="s">
        <v>1761</v>
      </c>
      <c r="L588" s="346"/>
      <c r="M588" s="346" t="s">
        <v>1761</v>
      </c>
      <c r="N588" s="346">
        <v>0.85</v>
      </c>
      <c r="O588" s="346">
        <v>5.62</v>
      </c>
      <c r="P588" s="346">
        <v>6.47</v>
      </c>
      <c r="Q588" s="346" t="s">
        <v>1762</v>
      </c>
      <c r="R588" s="458">
        <v>1</v>
      </c>
    </row>
    <row r="589" spans="1:18" x14ac:dyDescent="0.25">
      <c r="A589" s="458">
        <v>44680</v>
      </c>
      <c r="B589" s="346">
        <v>6100000239</v>
      </c>
      <c r="C589" s="346" t="s">
        <v>2447</v>
      </c>
      <c r="D589" s="346" t="s">
        <v>1756</v>
      </c>
      <c r="E589" s="346" t="s">
        <v>1757</v>
      </c>
      <c r="F589" s="346" t="s">
        <v>1758</v>
      </c>
      <c r="G589" s="346" t="s">
        <v>1772</v>
      </c>
      <c r="H589" s="346" t="s">
        <v>1773</v>
      </c>
      <c r="I589" s="346">
        <v>8905358.4299999997</v>
      </c>
      <c r="J589" s="346" t="s">
        <v>572</v>
      </c>
      <c r="K589" s="346" t="s">
        <v>1761</v>
      </c>
      <c r="L589" s="346"/>
      <c r="M589" s="346" t="s">
        <v>1761</v>
      </c>
      <c r="N589" s="346">
        <v>0.25</v>
      </c>
      <c r="O589" s="346">
        <v>5.13</v>
      </c>
      <c r="P589" s="346">
        <v>5.88</v>
      </c>
      <c r="Q589" s="346" t="s">
        <v>1762</v>
      </c>
      <c r="R589" s="458">
        <v>1</v>
      </c>
    </row>
    <row r="590" spans="1:18" x14ac:dyDescent="0.25">
      <c r="A590" s="458">
        <v>44680</v>
      </c>
      <c r="B590" s="346">
        <v>6100000223</v>
      </c>
      <c r="C590" s="346" t="s">
        <v>2448</v>
      </c>
      <c r="D590" s="346" t="s">
        <v>1756</v>
      </c>
      <c r="E590" s="346" t="s">
        <v>1757</v>
      </c>
      <c r="F590" s="346" t="s">
        <v>1758</v>
      </c>
      <c r="G590" s="346" t="s">
        <v>1772</v>
      </c>
      <c r="H590" s="346" t="s">
        <v>1773</v>
      </c>
      <c r="I590" s="346">
        <v>3169339</v>
      </c>
      <c r="J590" s="346" t="s">
        <v>572</v>
      </c>
      <c r="K590" s="346" t="s">
        <v>1761</v>
      </c>
      <c r="L590" s="346"/>
      <c r="M590" s="346" t="s">
        <v>1761</v>
      </c>
      <c r="N590" s="346">
        <v>0.1</v>
      </c>
      <c r="O590" s="346">
        <v>5.5</v>
      </c>
      <c r="P590" s="346">
        <v>6.25</v>
      </c>
      <c r="Q590" s="346" t="s">
        <v>1762</v>
      </c>
      <c r="R590" s="458">
        <v>1</v>
      </c>
    </row>
    <row r="591" spans="1:18" x14ac:dyDescent="0.25">
      <c r="A591" s="458">
        <v>44680</v>
      </c>
      <c r="B591" s="346">
        <v>6100000230</v>
      </c>
      <c r="C591" s="346" t="s">
        <v>2449</v>
      </c>
      <c r="D591" s="346" t="s">
        <v>1756</v>
      </c>
      <c r="E591" s="346" t="s">
        <v>1757</v>
      </c>
      <c r="F591" s="346" t="s">
        <v>1758</v>
      </c>
      <c r="G591" s="346" t="s">
        <v>1772</v>
      </c>
      <c r="H591" s="346" t="s">
        <v>1773</v>
      </c>
      <c r="I591" s="346">
        <v>15000000</v>
      </c>
      <c r="J591" s="346" t="s">
        <v>572</v>
      </c>
      <c r="K591" s="346" t="s">
        <v>1761</v>
      </c>
      <c r="L591" s="346"/>
      <c r="M591" s="346" t="s">
        <v>1761</v>
      </c>
      <c r="N591" s="346">
        <v>0.25</v>
      </c>
      <c r="O591" s="346">
        <v>5</v>
      </c>
      <c r="P591" s="346">
        <v>5.75</v>
      </c>
      <c r="Q591" s="346" t="s">
        <v>1762</v>
      </c>
      <c r="R591" s="458">
        <v>1</v>
      </c>
    </row>
    <row r="592" spans="1:18" x14ac:dyDescent="0.25">
      <c r="A592" s="458">
        <v>44680</v>
      </c>
      <c r="B592" s="346">
        <v>6100000240</v>
      </c>
      <c r="C592" s="346" t="s">
        <v>2450</v>
      </c>
      <c r="D592" s="346" t="s">
        <v>1281</v>
      </c>
      <c r="E592" s="346" t="s">
        <v>1757</v>
      </c>
      <c r="F592" s="346" t="s">
        <v>1770</v>
      </c>
      <c r="G592" s="346" t="s">
        <v>1772</v>
      </c>
      <c r="H592" s="346" t="s">
        <v>1773</v>
      </c>
      <c r="I592" s="346">
        <v>228854.84</v>
      </c>
      <c r="J592" s="346" t="s">
        <v>572</v>
      </c>
      <c r="K592" s="346" t="s">
        <v>1761</v>
      </c>
      <c r="L592" s="346"/>
      <c r="M592" s="346" t="s">
        <v>1761</v>
      </c>
      <c r="N592" s="346">
        <v>0.85</v>
      </c>
      <c r="O592" s="346">
        <v>5.62</v>
      </c>
      <c r="P592" s="346">
        <v>6.47</v>
      </c>
      <c r="Q592" s="346" t="s">
        <v>1762</v>
      </c>
      <c r="R592" s="458">
        <v>1</v>
      </c>
    </row>
    <row r="593" spans="1:18" x14ac:dyDescent="0.25">
      <c r="A593" s="458">
        <v>44680</v>
      </c>
      <c r="B593" s="346">
        <v>6100000242</v>
      </c>
      <c r="C593" s="346" t="s">
        <v>2452</v>
      </c>
      <c r="D593" s="346" t="s">
        <v>1281</v>
      </c>
      <c r="E593" s="346" t="s">
        <v>1757</v>
      </c>
      <c r="F593" s="346" t="s">
        <v>1770</v>
      </c>
      <c r="G593" s="346" t="s">
        <v>1772</v>
      </c>
      <c r="H593" s="346" t="s">
        <v>1773</v>
      </c>
      <c r="I593" s="346">
        <v>572404.64</v>
      </c>
      <c r="J593" s="346" t="s">
        <v>572</v>
      </c>
      <c r="K593" s="346" t="s">
        <v>1761</v>
      </c>
      <c r="L593" s="346"/>
      <c r="M593" s="346" t="s">
        <v>1761</v>
      </c>
      <c r="N593" s="346">
        <v>0.85</v>
      </c>
      <c r="O593" s="346">
        <v>5.62</v>
      </c>
      <c r="P593" s="346">
        <v>6.47</v>
      </c>
      <c r="Q593" s="346" t="s">
        <v>1762</v>
      </c>
      <c r="R593" s="458">
        <v>1</v>
      </c>
    </row>
    <row r="594" spans="1:18" x14ac:dyDescent="0.25">
      <c r="A594" s="458">
        <v>44680</v>
      </c>
      <c r="B594" s="346">
        <v>6100000244</v>
      </c>
      <c r="C594" s="346" t="s">
        <v>2453</v>
      </c>
      <c r="D594" s="346" t="s">
        <v>1281</v>
      </c>
      <c r="E594" s="346" t="s">
        <v>1757</v>
      </c>
      <c r="F594" s="346" t="s">
        <v>1770</v>
      </c>
      <c r="G594" s="346" t="s">
        <v>1772</v>
      </c>
      <c r="H594" s="346" t="s">
        <v>1773</v>
      </c>
      <c r="I594" s="346">
        <v>296718.27</v>
      </c>
      <c r="J594" s="346" t="s">
        <v>572</v>
      </c>
      <c r="K594" s="346" t="s">
        <v>1761</v>
      </c>
      <c r="L594" s="346"/>
      <c r="M594" s="346" t="s">
        <v>1761</v>
      </c>
      <c r="N594" s="346">
        <v>0.85</v>
      </c>
      <c r="O594" s="346">
        <v>5.62</v>
      </c>
      <c r="P594" s="346">
        <v>6.47</v>
      </c>
      <c r="Q594" s="346" t="s">
        <v>1762</v>
      </c>
      <c r="R594" s="458">
        <v>1</v>
      </c>
    </row>
    <row r="595" spans="1:18" x14ac:dyDescent="0.25">
      <c r="A595" s="458">
        <v>44680</v>
      </c>
      <c r="B595" s="346">
        <v>6100000245</v>
      </c>
      <c r="C595" s="346" t="s">
        <v>2454</v>
      </c>
      <c r="D595" s="346" t="s">
        <v>1281</v>
      </c>
      <c r="E595" s="346" t="s">
        <v>1757</v>
      </c>
      <c r="F595" s="346" t="s">
        <v>1770</v>
      </c>
      <c r="G595" s="346" t="s">
        <v>1772</v>
      </c>
      <c r="H595" s="346" t="s">
        <v>1773</v>
      </c>
      <c r="I595" s="346">
        <v>55256.67</v>
      </c>
      <c r="J595" s="346" t="s">
        <v>572</v>
      </c>
      <c r="K595" s="346" t="s">
        <v>1761</v>
      </c>
      <c r="L595" s="346"/>
      <c r="M595" s="346" t="s">
        <v>1761</v>
      </c>
      <c r="N595" s="346">
        <v>0.85</v>
      </c>
      <c r="O595" s="346">
        <v>5.62</v>
      </c>
      <c r="P595" s="346">
        <v>6.47</v>
      </c>
      <c r="Q595" s="346" t="s">
        <v>1762</v>
      </c>
      <c r="R595" s="458">
        <v>1</v>
      </c>
    </row>
    <row r="596" spans="1:18" x14ac:dyDescent="0.25">
      <c r="A596" s="458">
        <v>44680</v>
      </c>
      <c r="B596" s="346">
        <v>6100000243</v>
      </c>
      <c r="C596" s="346" t="s">
        <v>2455</v>
      </c>
      <c r="D596" s="346" t="s">
        <v>1756</v>
      </c>
      <c r="E596" s="346" t="s">
        <v>1757</v>
      </c>
      <c r="F596" s="346" t="s">
        <v>1758</v>
      </c>
      <c r="G596" s="346" t="s">
        <v>1772</v>
      </c>
      <c r="H596" s="346" t="s">
        <v>1773</v>
      </c>
      <c r="I596" s="346">
        <v>5700000</v>
      </c>
      <c r="J596" s="346" t="s">
        <v>572</v>
      </c>
      <c r="K596" s="346" t="s">
        <v>1761</v>
      </c>
      <c r="L596" s="346"/>
      <c r="M596" s="346" t="s">
        <v>1761</v>
      </c>
      <c r="N596" s="346">
        <v>0.25</v>
      </c>
      <c r="O596" s="346">
        <v>5</v>
      </c>
      <c r="P596" s="346">
        <v>5.75</v>
      </c>
      <c r="Q596" s="346" t="s">
        <v>1762</v>
      </c>
      <c r="R596" s="458">
        <v>1</v>
      </c>
    </row>
    <row r="597" spans="1:18" x14ac:dyDescent="0.25">
      <c r="A597" s="458">
        <v>44680</v>
      </c>
      <c r="B597" s="346">
        <v>6100000246</v>
      </c>
      <c r="C597" s="346" t="s">
        <v>2456</v>
      </c>
      <c r="D597" s="346" t="s">
        <v>1281</v>
      </c>
      <c r="E597" s="346" t="s">
        <v>1757</v>
      </c>
      <c r="F597" s="346" t="s">
        <v>1770</v>
      </c>
      <c r="G597" s="346" t="s">
        <v>1772</v>
      </c>
      <c r="H597" s="346" t="s">
        <v>1773</v>
      </c>
      <c r="I597" s="346">
        <v>224874.19</v>
      </c>
      <c r="J597" s="346" t="s">
        <v>572</v>
      </c>
      <c r="K597" s="346" t="s">
        <v>1761</v>
      </c>
      <c r="L597" s="346"/>
      <c r="M597" s="346" t="s">
        <v>1761</v>
      </c>
      <c r="N597" s="346">
        <v>0.85</v>
      </c>
      <c r="O597" s="346">
        <v>5.62</v>
      </c>
      <c r="P597" s="346">
        <v>6.47</v>
      </c>
      <c r="Q597" s="346" t="s">
        <v>1762</v>
      </c>
      <c r="R597" s="458">
        <v>1</v>
      </c>
    </row>
    <row r="598" spans="1:18" x14ac:dyDescent="0.25">
      <c r="A598" s="458">
        <v>44680</v>
      </c>
      <c r="B598" s="346">
        <v>6100000247</v>
      </c>
      <c r="C598" s="346" t="s">
        <v>2452</v>
      </c>
      <c r="D598" s="346" t="s">
        <v>1281</v>
      </c>
      <c r="E598" s="346" t="s">
        <v>1757</v>
      </c>
      <c r="F598" s="346" t="s">
        <v>1770</v>
      </c>
      <c r="G598" s="346" t="s">
        <v>1772</v>
      </c>
      <c r="H598" s="346" t="s">
        <v>1773</v>
      </c>
      <c r="I598" s="346">
        <v>100021.12</v>
      </c>
      <c r="J598" s="346" t="s">
        <v>572</v>
      </c>
      <c r="K598" s="346" t="s">
        <v>1761</v>
      </c>
      <c r="L598" s="346"/>
      <c r="M598" s="346" t="s">
        <v>1761</v>
      </c>
      <c r="N598" s="346">
        <v>0.85</v>
      </c>
      <c r="O598" s="346">
        <v>5.62</v>
      </c>
      <c r="P598" s="346">
        <v>6.47</v>
      </c>
      <c r="Q598" s="346" t="s">
        <v>1762</v>
      </c>
      <c r="R598" s="458">
        <v>1</v>
      </c>
    </row>
    <row r="599" spans="1:18" x14ac:dyDescent="0.25">
      <c r="A599" s="458">
        <v>44680</v>
      </c>
      <c r="B599" s="346">
        <v>6100000248</v>
      </c>
      <c r="C599" s="346" t="s">
        <v>2457</v>
      </c>
      <c r="D599" s="346" t="s">
        <v>1281</v>
      </c>
      <c r="E599" s="346" t="s">
        <v>1757</v>
      </c>
      <c r="F599" s="346" t="s">
        <v>1770</v>
      </c>
      <c r="G599" s="346" t="s">
        <v>1772</v>
      </c>
      <c r="H599" s="346" t="s">
        <v>1773</v>
      </c>
      <c r="I599" s="346">
        <v>328026.78000000003</v>
      </c>
      <c r="J599" s="346" t="s">
        <v>572</v>
      </c>
      <c r="K599" s="346" t="s">
        <v>1761</v>
      </c>
      <c r="L599" s="346"/>
      <c r="M599" s="346" t="s">
        <v>1761</v>
      </c>
      <c r="N599" s="346">
        <v>0.85</v>
      </c>
      <c r="O599" s="346">
        <v>5.62</v>
      </c>
      <c r="P599" s="346">
        <v>6.47</v>
      </c>
      <c r="Q599" s="346" t="s">
        <v>1762</v>
      </c>
      <c r="R599" s="458">
        <v>1</v>
      </c>
    </row>
    <row r="600" spans="1:18" x14ac:dyDescent="0.25">
      <c r="A600" s="458">
        <v>44680</v>
      </c>
      <c r="B600" s="346">
        <v>6100000249</v>
      </c>
      <c r="C600" s="346" t="s">
        <v>2444</v>
      </c>
      <c r="D600" s="346" t="s">
        <v>1281</v>
      </c>
      <c r="E600" s="346" t="s">
        <v>1757</v>
      </c>
      <c r="F600" s="346" t="s">
        <v>1770</v>
      </c>
      <c r="G600" s="346" t="s">
        <v>1772</v>
      </c>
      <c r="H600" s="346" t="s">
        <v>1773</v>
      </c>
      <c r="I600" s="346">
        <v>94145.279999999999</v>
      </c>
      <c r="J600" s="346" t="s">
        <v>572</v>
      </c>
      <c r="K600" s="346" t="s">
        <v>1761</v>
      </c>
      <c r="L600" s="346"/>
      <c r="M600" s="346" t="s">
        <v>1761</v>
      </c>
      <c r="N600" s="346">
        <v>0.85</v>
      </c>
      <c r="O600" s="346">
        <v>5.62</v>
      </c>
      <c r="P600" s="346">
        <v>6.47</v>
      </c>
      <c r="Q600" s="346" t="s">
        <v>1762</v>
      </c>
      <c r="R600" s="458">
        <v>1</v>
      </c>
    </row>
    <row r="601" spans="1:18" x14ac:dyDescent="0.25">
      <c r="A601" s="458">
        <v>44680</v>
      </c>
      <c r="B601" s="346">
        <v>6100000250</v>
      </c>
      <c r="C601" s="346" t="s">
        <v>2435</v>
      </c>
      <c r="D601" s="346" t="s">
        <v>1281</v>
      </c>
      <c r="E601" s="346" t="s">
        <v>1757</v>
      </c>
      <c r="F601" s="346" t="s">
        <v>1770</v>
      </c>
      <c r="G601" s="346" t="s">
        <v>1772</v>
      </c>
      <c r="H601" s="346" t="s">
        <v>1773</v>
      </c>
      <c r="I601" s="346">
        <v>213998.14</v>
      </c>
      <c r="J601" s="346" t="s">
        <v>572</v>
      </c>
      <c r="K601" s="346" t="s">
        <v>1761</v>
      </c>
      <c r="L601" s="346"/>
      <c r="M601" s="346" t="s">
        <v>1761</v>
      </c>
      <c r="N601" s="346">
        <v>0.85</v>
      </c>
      <c r="O601" s="346">
        <v>5.62</v>
      </c>
      <c r="P601" s="346">
        <v>6.47</v>
      </c>
      <c r="Q601" s="346" t="s">
        <v>1762</v>
      </c>
      <c r="R601" s="458">
        <v>1</v>
      </c>
    </row>
    <row r="602" spans="1:18" x14ac:dyDescent="0.25">
      <c r="A602" s="458">
        <v>44680</v>
      </c>
      <c r="B602" s="346">
        <v>6100000251</v>
      </c>
      <c r="C602" s="346" t="s">
        <v>2439</v>
      </c>
      <c r="D602" s="346" t="s">
        <v>1281</v>
      </c>
      <c r="E602" s="346" t="s">
        <v>1757</v>
      </c>
      <c r="F602" s="346" t="s">
        <v>1770</v>
      </c>
      <c r="G602" s="346" t="s">
        <v>1772</v>
      </c>
      <c r="H602" s="346" t="s">
        <v>1773</v>
      </c>
      <c r="I602" s="346">
        <v>1015000</v>
      </c>
      <c r="J602" s="346" t="s">
        <v>572</v>
      </c>
      <c r="K602" s="346" t="s">
        <v>1761</v>
      </c>
      <c r="L602" s="346"/>
      <c r="M602" s="346" t="s">
        <v>1761</v>
      </c>
      <c r="N602" s="346">
        <v>0.1</v>
      </c>
      <c r="O602" s="346">
        <v>5.69</v>
      </c>
      <c r="P602" s="346">
        <v>6.44</v>
      </c>
      <c r="Q602" s="346" t="s">
        <v>1762</v>
      </c>
      <c r="R602" s="458">
        <v>1</v>
      </c>
    </row>
    <row r="603" spans="1:18" x14ac:dyDescent="0.25">
      <c r="A603" s="458">
        <v>44680</v>
      </c>
      <c r="B603" s="346">
        <v>6100000252</v>
      </c>
      <c r="C603" s="346" t="s">
        <v>2458</v>
      </c>
      <c r="D603" s="346" t="s">
        <v>1281</v>
      </c>
      <c r="E603" s="346" t="s">
        <v>1757</v>
      </c>
      <c r="F603" s="346" t="s">
        <v>1770</v>
      </c>
      <c r="G603" s="346" t="s">
        <v>1772</v>
      </c>
      <c r="H603" s="346" t="s">
        <v>1773</v>
      </c>
      <c r="I603" s="346">
        <v>97677.42</v>
      </c>
      <c r="J603" s="346" t="s">
        <v>572</v>
      </c>
      <c r="K603" s="346" t="s">
        <v>1761</v>
      </c>
      <c r="L603" s="346"/>
      <c r="M603" s="346" t="s">
        <v>1761</v>
      </c>
      <c r="N603" s="346">
        <v>0.85</v>
      </c>
      <c r="O603" s="346">
        <v>5.62</v>
      </c>
      <c r="P603" s="346">
        <v>6.47</v>
      </c>
      <c r="Q603" s="346" t="s">
        <v>1762</v>
      </c>
      <c r="R603" s="458">
        <v>1</v>
      </c>
    </row>
    <row r="604" spans="1:18" x14ac:dyDescent="0.25">
      <c r="A604" s="458">
        <v>44680</v>
      </c>
      <c r="B604" s="346">
        <v>6100000253</v>
      </c>
      <c r="C604" s="346" t="s">
        <v>2430</v>
      </c>
      <c r="D604" s="346" t="s">
        <v>1281</v>
      </c>
      <c r="E604" s="346" t="s">
        <v>1757</v>
      </c>
      <c r="F604" s="346" t="s">
        <v>1770</v>
      </c>
      <c r="G604" s="346" t="s">
        <v>1772</v>
      </c>
      <c r="H604" s="346" t="s">
        <v>1773</v>
      </c>
      <c r="I604" s="346">
        <v>19364.04</v>
      </c>
      <c r="J604" s="346" t="s">
        <v>572</v>
      </c>
      <c r="K604" s="346" t="s">
        <v>1761</v>
      </c>
      <c r="L604" s="346"/>
      <c r="M604" s="346" t="s">
        <v>1761</v>
      </c>
      <c r="N604" s="346">
        <v>0.85</v>
      </c>
      <c r="O604" s="346">
        <v>5.62</v>
      </c>
      <c r="P604" s="346">
        <v>6.47</v>
      </c>
      <c r="Q604" s="346" t="s">
        <v>1762</v>
      </c>
      <c r="R604" s="458">
        <v>1</v>
      </c>
    </row>
    <row r="605" spans="1:18" x14ac:dyDescent="0.25">
      <c r="A605" s="458">
        <v>44680</v>
      </c>
      <c r="B605" s="346">
        <v>6100000255</v>
      </c>
      <c r="C605" s="346" t="s">
        <v>4543</v>
      </c>
      <c r="D605" s="346" t="s">
        <v>1281</v>
      </c>
      <c r="E605" s="346" t="s">
        <v>1757</v>
      </c>
      <c r="F605" s="346" t="s">
        <v>1770</v>
      </c>
      <c r="G605" s="346" t="s">
        <v>1772</v>
      </c>
      <c r="H605" s="346" t="s">
        <v>1773</v>
      </c>
      <c r="I605" s="346">
        <v>250450.14</v>
      </c>
      <c r="J605" s="346" t="s">
        <v>572</v>
      </c>
      <c r="K605" s="346" t="s">
        <v>1761</v>
      </c>
      <c r="L605" s="346"/>
      <c r="M605" s="346" t="s">
        <v>1761</v>
      </c>
      <c r="N605" s="346">
        <v>0.85</v>
      </c>
      <c r="O605" s="346">
        <v>5.62</v>
      </c>
      <c r="P605" s="346">
        <v>6.47</v>
      </c>
      <c r="Q605" s="346" t="s">
        <v>1762</v>
      </c>
      <c r="R605" s="458">
        <v>1</v>
      </c>
    </row>
    <row r="606" spans="1:18" x14ac:dyDescent="0.25">
      <c r="A606" s="458">
        <v>44680</v>
      </c>
      <c r="B606" s="346">
        <v>6100000256</v>
      </c>
      <c r="C606" s="346" t="s">
        <v>4544</v>
      </c>
      <c r="D606" s="346" t="s">
        <v>1281</v>
      </c>
      <c r="E606" s="346" t="s">
        <v>1757</v>
      </c>
      <c r="F606" s="346" t="s">
        <v>1770</v>
      </c>
      <c r="G606" s="346" t="s">
        <v>1772</v>
      </c>
      <c r="H606" s="346" t="s">
        <v>1773</v>
      </c>
      <c r="I606" s="346">
        <v>152695.71</v>
      </c>
      <c r="J606" s="346" t="s">
        <v>572</v>
      </c>
      <c r="K606" s="346" t="s">
        <v>1761</v>
      </c>
      <c r="L606" s="346"/>
      <c r="M606" s="346" t="s">
        <v>1761</v>
      </c>
      <c r="N606" s="346">
        <v>0.85</v>
      </c>
      <c r="O606" s="346">
        <v>5.62</v>
      </c>
      <c r="P606" s="346">
        <v>6.47</v>
      </c>
      <c r="Q606" s="346" t="s">
        <v>1762</v>
      </c>
      <c r="R606" s="458">
        <v>1</v>
      </c>
    </row>
    <row r="607" spans="1:18" x14ac:dyDescent="0.25">
      <c r="A607" s="458">
        <v>44680</v>
      </c>
      <c r="B607" s="346">
        <v>6100000257</v>
      </c>
      <c r="C607" s="346" t="s">
        <v>2439</v>
      </c>
      <c r="D607" s="346" t="s">
        <v>1281</v>
      </c>
      <c r="E607" s="346" t="s">
        <v>1757</v>
      </c>
      <c r="F607" s="346" t="s">
        <v>1770</v>
      </c>
      <c r="G607" s="346" t="s">
        <v>1772</v>
      </c>
      <c r="H607" s="346" t="s">
        <v>1773</v>
      </c>
      <c r="I607" s="346">
        <v>396220.62</v>
      </c>
      <c r="J607" s="346" t="s">
        <v>572</v>
      </c>
      <c r="K607" s="346" t="s">
        <v>1761</v>
      </c>
      <c r="L607" s="346"/>
      <c r="M607" s="346" t="s">
        <v>1761</v>
      </c>
      <c r="N607" s="346">
        <v>0.1</v>
      </c>
      <c r="O607" s="346">
        <v>5.69</v>
      </c>
      <c r="P607" s="346">
        <v>6.44</v>
      </c>
      <c r="Q607" s="346" t="s">
        <v>1762</v>
      </c>
      <c r="R607" s="458">
        <v>1</v>
      </c>
    </row>
    <row r="608" spans="1:18" x14ac:dyDescent="0.25">
      <c r="A608" s="458">
        <v>44680</v>
      </c>
      <c r="B608" s="346">
        <v>6100000260</v>
      </c>
      <c r="C608" s="346" t="s">
        <v>4545</v>
      </c>
      <c r="D608" s="346" t="s">
        <v>1281</v>
      </c>
      <c r="E608" s="346" t="s">
        <v>1757</v>
      </c>
      <c r="F608" s="346" t="s">
        <v>1770</v>
      </c>
      <c r="G608" s="346" t="s">
        <v>1772</v>
      </c>
      <c r="H608" s="346" t="s">
        <v>1773</v>
      </c>
      <c r="I608" s="346">
        <v>117468.94</v>
      </c>
      <c r="J608" s="346" t="s">
        <v>572</v>
      </c>
      <c r="K608" s="346" t="s">
        <v>1761</v>
      </c>
      <c r="L608" s="346"/>
      <c r="M608" s="346" t="s">
        <v>1761</v>
      </c>
      <c r="N608" s="346">
        <v>0.85</v>
      </c>
      <c r="O608" s="346">
        <v>5.62</v>
      </c>
      <c r="P608" s="346">
        <v>6.47</v>
      </c>
      <c r="Q608" s="346" t="s">
        <v>1762</v>
      </c>
      <c r="R608" s="458">
        <v>1</v>
      </c>
    </row>
    <row r="609" spans="1:18" x14ac:dyDescent="0.25">
      <c r="A609" s="458">
        <v>44680</v>
      </c>
      <c r="B609" s="346">
        <v>6100000258</v>
      </c>
      <c r="C609" s="346" t="s">
        <v>2304</v>
      </c>
      <c r="D609" s="346" t="s">
        <v>1281</v>
      </c>
      <c r="E609" s="346" t="s">
        <v>1757</v>
      </c>
      <c r="F609" s="346" t="s">
        <v>1770</v>
      </c>
      <c r="G609" s="346" t="s">
        <v>1772</v>
      </c>
      <c r="H609" s="346" t="s">
        <v>1773</v>
      </c>
      <c r="I609" s="346">
        <v>274774.76</v>
      </c>
      <c r="J609" s="346" t="s">
        <v>572</v>
      </c>
      <c r="K609" s="346" t="s">
        <v>1761</v>
      </c>
      <c r="L609" s="346"/>
      <c r="M609" s="346" t="s">
        <v>1761</v>
      </c>
      <c r="N609" s="346">
        <v>0.85</v>
      </c>
      <c r="O609" s="346">
        <v>5.62</v>
      </c>
      <c r="P609" s="346">
        <v>6.47</v>
      </c>
      <c r="Q609" s="346" t="s">
        <v>1762</v>
      </c>
      <c r="R609" s="458">
        <v>1</v>
      </c>
    </row>
    <row r="610" spans="1:18" x14ac:dyDescent="0.25">
      <c r="A610" s="458">
        <v>44680</v>
      </c>
      <c r="B610" s="346">
        <v>6100000259</v>
      </c>
      <c r="C610" s="346" t="s">
        <v>4367</v>
      </c>
      <c r="D610" s="346" t="s">
        <v>1756</v>
      </c>
      <c r="E610" s="346" t="s">
        <v>1757</v>
      </c>
      <c r="F610" s="346" t="s">
        <v>1758</v>
      </c>
      <c r="G610" s="346" t="s">
        <v>1772</v>
      </c>
      <c r="H610" s="346" t="s">
        <v>1773</v>
      </c>
      <c r="I610" s="346">
        <v>2700000</v>
      </c>
      <c r="J610" s="346" t="s">
        <v>572</v>
      </c>
      <c r="K610" s="346" t="s">
        <v>1761</v>
      </c>
      <c r="L610" s="346"/>
      <c r="M610" s="346" t="s">
        <v>1761</v>
      </c>
      <c r="N610" s="346">
        <v>0.5</v>
      </c>
      <c r="O610" s="346">
        <v>5.5</v>
      </c>
      <c r="P610" s="346">
        <v>6.25</v>
      </c>
      <c r="Q610" s="346" t="s">
        <v>1762</v>
      </c>
      <c r="R610" s="458">
        <v>1</v>
      </c>
    </row>
    <row r="611" spans="1:18" x14ac:dyDescent="0.25">
      <c r="A611" s="458">
        <v>44680</v>
      </c>
      <c r="B611" s="346">
        <v>6100000261</v>
      </c>
      <c r="C611" s="346" t="s">
        <v>4546</v>
      </c>
      <c r="D611" s="346" t="s">
        <v>1281</v>
      </c>
      <c r="E611" s="346" t="s">
        <v>1757</v>
      </c>
      <c r="F611" s="346" t="s">
        <v>1770</v>
      </c>
      <c r="G611" s="346" t="s">
        <v>1772</v>
      </c>
      <c r="H611" s="346" t="s">
        <v>1773</v>
      </c>
      <c r="I611" s="346">
        <v>240665.2</v>
      </c>
      <c r="J611" s="346" t="s">
        <v>572</v>
      </c>
      <c r="K611" s="346" t="s">
        <v>1761</v>
      </c>
      <c r="L611" s="346"/>
      <c r="M611" s="346" t="s">
        <v>1761</v>
      </c>
      <c r="N611" s="346">
        <v>0.85</v>
      </c>
      <c r="O611" s="346">
        <v>5.62</v>
      </c>
      <c r="P611" s="346">
        <v>6.47</v>
      </c>
      <c r="Q611" s="346" t="s">
        <v>1762</v>
      </c>
      <c r="R611" s="458">
        <v>1</v>
      </c>
    </row>
    <row r="612" spans="1:18" x14ac:dyDescent="0.25">
      <c r="A612" s="458">
        <v>44680</v>
      </c>
      <c r="B612" s="346">
        <v>6100000262</v>
      </c>
      <c r="C612" s="346" t="s">
        <v>4547</v>
      </c>
      <c r="D612" s="346" t="s">
        <v>1281</v>
      </c>
      <c r="E612" s="346" t="s">
        <v>1757</v>
      </c>
      <c r="F612" s="346" t="s">
        <v>1770</v>
      </c>
      <c r="G612" s="346" t="s">
        <v>1772</v>
      </c>
      <c r="H612" s="346" t="s">
        <v>1773</v>
      </c>
      <c r="I612" s="346">
        <v>15657.59</v>
      </c>
      <c r="J612" s="346" t="s">
        <v>572</v>
      </c>
      <c r="K612" s="346" t="s">
        <v>1761</v>
      </c>
      <c r="L612" s="346"/>
      <c r="M612" s="346" t="s">
        <v>1761</v>
      </c>
      <c r="N612" s="346">
        <v>0.85</v>
      </c>
      <c r="O612" s="346">
        <v>5.62</v>
      </c>
      <c r="P612" s="346">
        <v>6.47</v>
      </c>
      <c r="Q612" s="346" t="s">
        <v>1762</v>
      </c>
      <c r="R612" s="458">
        <v>1</v>
      </c>
    </row>
    <row r="613" spans="1:18" x14ac:dyDescent="0.25">
      <c r="A613" s="458">
        <v>44680</v>
      </c>
      <c r="B613" s="346">
        <v>6100000263</v>
      </c>
      <c r="C613" s="346" t="s">
        <v>4548</v>
      </c>
      <c r="D613" s="346" t="s">
        <v>1281</v>
      </c>
      <c r="E613" s="346" t="s">
        <v>1757</v>
      </c>
      <c r="F613" s="346" t="s">
        <v>1770</v>
      </c>
      <c r="G613" s="346" t="s">
        <v>1772</v>
      </c>
      <c r="H613" s="346" t="s">
        <v>1773</v>
      </c>
      <c r="I613" s="346">
        <v>45269.440000000002</v>
      </c>
      <c r="J613" s="346" t="s">
        <v>572</v>
      </c>
      <c r="K613" s="346" t="s">
        <v>1761</v>
      </c>
      <c r="L613" s="346"/>
      <c r="M613" s="346" t="s">
        <v>1761</v>
      </c>
      <c r="N613" s="346">
        <v>0.85</v>
      </c>
      <c r="O613" s="346">
        <v>5.62</v>
      </c>
      <c r="P613" s="346">
        <v>6.47</v>
      </c>
      <c r="Q613" s="346" t="s">
        <v>1762</v>
      </c>
      <c r="R613" s="458">
        <v>1</v>
      </c>
    </row>
    <row r="614" spans="1:18" x14ac:dyDescent="0.25">
      <c r="A614" s="458">
        <v>44680</v>
      </c>
      <c r="B614" s="346">
        <v>6100000264</v>
      </c>
      <c r="C614" s="346" t="s">
        <v>4549</v>
      </c>
      <c r="D614" s="346" t="s">
        <v>1756</v>
      </c>
      <c r="E614" s="346" t="s">
        <v>1757</v>
      </c>
      <c r="F614" s="346" t="s">
        <v>1758</v>
      </c>
      <c r="G614" s="346" t="s">
        <v>1772</v>
      </c>
      <c r="H614" s="346" t="s">
        <v>1773</v>
      </c>
      <c r="I614" s="346">
        <v>1529800</v>
      </c>
      <c r="J614" s="346" t="s">
        <v>572</v>
      </c>
      <c r="K614" s="346" t="s">
        <v>1761</v>
      </c>
      <c r="L614" s="346"/>
      <c r="M614" s="346" t="s">
        <v>1761</v>
      </c>
      <c r="N614" s="346">
        <v>0.75</v>
      </c>
      <c r="O614" s="346">
        <v>5</v>
      </c>
      <c r="P614" s="346">
        <v>5.75</v>
      </c>
      <c r="Q614" s="346" t="s">
        <v>1762</v>
      </c>
      <c r="R614" s="458">
        <v>1</v>
      </c>
    </row>
    <row r="615" spans="1:18" x14ac:dyDescent="0.25">
      <c r="A615" s="458">
        <v>44680</v>
      </c>
      <c r="B615" s="346">
        <v>6100000265</v>
      </c>
      <c r="C615" s="346" t="s">
        <v>2439</v>
      </c>
      <c r="D615" s="346" t="s">
        <v>1281</v>
      </c>
      <c r="E615" s="346" t="s">
        <v>1757</v>
      </c>
      <c r="F615" s="346" t="s">
        <v>1770</v>
      </c>
      <c r="G615" s="346" t="s">
        <v>1772</v>
      </c>
      <c r="H615" s="346" t="s">
        <v>1773</v>
      </c>
      <c r="I615" s="346">
        <v>163706.85999999999</v>
      </c>
      <c r="J615" s="346" t="s">
        <v>572</v>
      </c>
      <c r="K615" s="346" t="s">
        <v>1761</v>
      </c>
      <c r="L615" s="346"/>
      <c r="M615" s="346" t="s">
        <v>1761</v>
      </c>
      <c r="N615" s="346">
        <v>0.1</v>
      </c>
      <c r="O615" s="346">
        <v>5.69</v>
      </c>
      <c r="P615" s="346">
        <v>6.44</v>
      </c>
      <c r="Q615" s="346" t="s">
        <v>1762</v>
      </c>
      <c r="R615" s="458">
        <v>1</v>
      </c>
    </row>
    <row r="616" spans="1:18" x14ac:dyDescent="0.25">
      <c r="A616" s="458">
        <v>44680</v>
      </c>
      <c r="B616" s="346">
        <v>6100000241</v>
      </c>
      <c r="C616" s="346" t="s">
        <v>2451</v>
      </c>
      <c r="D616" s="346" t="s">
        <v>1756</v>
      </c>
      <c r="E616" s="346" t="s">
        <v>1757</v>
      </c>
      <c r="F616" s="346" t="s">
        <v>1758</v>
      </c>
      <c r="G616" s="346" t="s">
        <v>1772</v>
      </c>
      <c r="H616" s="346" t="s">
        <v>1773</v>
      </c>
      <c r="I616" s="346">
        <v>16500000</v>
      </c>
      <c r="J616" s="346" t="s">
        <v>572</v>
      </c>
      <c r="K616" s="346" t="s">
        <v>1761</v>
      </c>
      <c r="L616" s="346"/>
      <c r="M616" s="346" t="s">
        <v>1761</v>
      </c>
      <c r="N616" s="346">
        <v>0.25</v>
      </c>
      <c r="O616" s="346">
        <v>4.5</v>
      </c>
      <c r="P616" s="346">
        <v>5.25</v>
      </c>
      <c r="Q616" s="346" t="s">
        <v>1762</v>
      </c>
      <c r="R616" s="458">
        <v>1</v>
      </c>
    </row>
    <row r="617" spans="1:18" x14ac:dyDescent="0.25">
      <c r="A617" s="458">
        <v>44680</v>
      </c>
      <c r="B617" s="346">
        <v>6100000254</v>
      </c>
      <c r="C617" s="346" t="s">
        <v>4550</v>
      </c>
      <c r="D617" s="346" t="s">
        <v>1756</v>
      </c>
      <c r="E617" s="346" t="s">
        <v>1757</v>
      </c>
      <c r="F617" s="346" t="s">
        <v>1758</v>
      </c>
      <c r="G617" s="346" t="s">
        <v>1772</v>
      </c>
      <c r="H617" s="346" t="s">
        <v>1773</v>
      </c>
      <c r="I617" s="346">
        <v>23500000</v>
      </c>
      <c r="J617" s="346" t="s">
        <v>572</v>
      </c>
      <c r="K617" s="346" t="s">
        <v>1761</v>
      </c>
      <c r="L617" s="346"/>
      <c r="M617" s="346" t="s">
        <v>1761</v>
      </c>
      <c r="N617" s="346">
        <v>0.5</v>
      </c>
      <c r="O617" s="346">
        <v>5.15</v>
      </c>
      <c r="P617" s="346">
        <v>5.9</v>
      </c>
      <c r="Q617" s="346" t="s">
        <v>1762</v>
      </c>
      <c r="R617" s="458">
        <v>1</v>
      </c>
    </row>
    <row r="618" spans="1:18" x14ac:dyDescent="0.25">
      <c r="A618" s="458">
        <v>44680</v>
      </c>
      <c r="B618" s="346">
        <v>2100000276</v>
      </c>
      <c r="C618" s="346" t="s">
        <v>2460</v>
      </c>
      <c r="D618" s="346" t="s">
        <v>1281</v>
      </c>
      <c r="E618" s="346" t="s">
        <v>1763</v>
      </c>
      <c r="F618" s="346" t="s">
        <v>1758</v>
      </c>
      <c r="G618" s="346" t="s">
        <v>1774</v>
      </c>
      <c r="H618" s="346" t="s">
        <v>1245</v>
      </c>
      <c r="I618" s="346">
        <v>0</v>
      </c>
      <c r="J618" s="346" t="s">
        <v>572</v>
      </c>
      <c r="K618" s="346" t="s">
        <v>1761</v>
      </c>
      <c r="L618" s="346"/>
      <c r="M618" s="346" t="s">
        <v>1761</v>
      </c>
      <c r="N618" s="346">
        <v>0.1</v>
      </c>
      <c r="O618" s="346">
        <v>6.75</v>
      </c>
      <c r="P618" s="346">
        <v>7.5</v>
      </c>
      <c r="Q618" s="346" t="s">
        <v>1762</v>
      </c>
      <c r="R618" s="458">
        <v>1</v>
      </c>
    </row>
    <row r="619" spans="1:18" x14ac:dyDescent="0.25">
      <c r="A619" s="458">
        <v>44680</v>
      </c>
      <c r="B619" s="346">
        <v>2100000278</v>
      </c>
      <c r="C619" s="346" t="s">
        <v>2461</v>
      </c>
      <c r="D619" s="346" t="s">
        <v>1756</v>
      </c>
      <c r="E619" s="346" t="s">
        <v>1763</v>
      </c>
      <c r="F619" s="346" t="s">
        <v>1758</v>
      </c>
      <c r="G619" s="346" t="s">
        <v>1774</v>
      </c>
      <c r="H619" s="346" t="s">
        <v>1245</v>
      </c>
      <c r="I619" s="346">
        <v>0</v>
      </c>
      <c r="J619" s="346" t="s">
        <v>572</v>
      </c>
      <c r="K619" s="346" t="s">
        <v>1761</v>
      </c>
      <c r="L619" s="346"/>
      <c r="M619" s="346" t="s">
        <v>1761</v>
      </c>
      <c r="N619" s="346">
        <v>0.1</v>
      </c>
      <c r="O619" s="346">
        <v>7.5</v>
      </c>
      <c r="P619" s="346">
        <v>8.25</v>
      </c>
      <c r="Q619" s="346" t="s">
        <v>1762</v>
      </c>
      <c r="R619" s="458">
        <v>1</v>
      </c>
    </row>
    <row r="620" spans="1:18" x14ac:dyDescent="0.25">
      <c r="A620" s="458">
        <v>44680</v>
      </c>
      <c r="B620" s="346">
        <v>2100000279</v>
      </c>
      <c r="C620" s="346" t="s">
        <v>2462</v>
      </c>
      <c r="D620" s="346" t="s">
        <v>1756</v>
      </c>
      <c r="E620" s="346" t="s">
        <v>1763</v>
      </c>
      <c r="F620" s="346" t="s">
        <v>1758</v>
      </c>
      <c r="G620" s="346" t="s">
        <v>1774</v>
      </c>
      <c r="H620" s="346" t="s">
        <v>1245</v>
      </c>
      <c r="I620" s="346">
        <v>0</v>
      </c>
      <c r="J620" s="346" t="s">
        <v>572</v>
      </c>
      <c r="K620" s="346" t="s">
        <v>1761</v>
      </c>
      <c r="L620" s="346"/>
      <c r="M620" s="346" t="s">
        <v>1761</v>
      </c>
      <c r="N620" s="346">
        <v>0.1</v>
      </c>
      <c r="O620" s="346">
        <v>8.5</v>
      </c>
      <c r="P620" s="346">
        <v>9.25</v>
      </c>
      <c r="Q620" s="346" t="s">
        <v>1762</v>
      </c>
      <c r="R620" s="458">
        <v>1</v>
      </c>
    </row>
    <row r="621" spans="1:18" x14ac:dyDescent="0.25">
      <c r="A621" s="458">
        <v>44680</v>
      </c>
      <c r="B621" s="346">
        <v>2100000281</v>
      </c>
      <c r="C621" s="346" t="s">
        <v>2463</v>
      </c>
      <c r="D621" s="346" t="s">
        <v>1756</v>
      </c>
      <c r="E621" s="346" t="s">
        <v>1757</v>
      </c>
      <c r="F621" s="346" t="s">
        <v>1758</v>
      </c>
      <c r="G621" s="346" t="s">
        <v>1774</v>
      </c>
      <c r="H621" s="346" t="s">
        <v>1245</v>
      </c>
      <c r="I621" s="346">
        <v>10393104.51</v>
      </c>
      <c r="J621" s="346" t="s">
        <v>572</v>
      </c>
      <c r="K621" s="346" t="s">
        <v>1761</v>
      </c>
      <c r="L621" s="346"/>
      <c r="M621" s="346" t="s">
        <v>1761</v>
      </c>
      <c r="N621" s="346">
        <v>0.1</v>
      </c>
      <c r="O621" s="346">
        <v>5.0999999999999996</v>
      </c>
      <c r="P621" s="346">
        <v>5.85</v>
      </c>
      <c r="Q621" s="346" t="s">
        <v>1762</v>
      </c>
      <c r="R621" s="458">
        <v>1</v>
      </c>
    </row>
    <row r="622" spans="1:18" x14ac:dyDescent="0.25">
      <c r="A622" s="458">
        <v>44680</v>
      </c>
      <c r="B622" s="346">
        <v>2100000282</v>
      </c>
      <c r="C622" s="346" t="s">
        <v>2464</v>
      </c>
      <c r="D622" s="346" t="s">
        <v>1756</v>
      </c>
      <c r="E622" s="346" t="s">
        <v>1763</v>
      </c>
      <c r="F622" s="346" t="s">
        <v>1758</v>
      </c>
      <c r="G622" s="346" t="s">
        <v>1774</v>
      </c>
      <c r="H622" s="346" t="s">
        <v>1245</v>
      </c>
      <c r="I622" s="346">
        <v>0</v>
      </c>
      <c r="J622" s="346" t="s">
        <v>572</v>
      </c>
      <c r="K622" s="346" t="s">
        <v>1761</v>
      </c>
      <c r="L622" s="346"/>
      <c r="M622" s="346" t="s">
        <v>1761</v>
      </c>
      <c r="N622" s="346">
        <v>0.1</v>
      </c>
      <c r="O622" s="346">
        <v>6</v>
      </c>
      <c r="P622" s="346">
        <v>6.75</v>
      </c>
      <c r="Q622" s="346" t="s">
        <v>1762</v>
      </c>
      <c r="R622" s="458">
        <v>1</v>
      </c>
    </row>
    <row r="623" spans="1:18" x14ac:dyDescent="0.25">
      <c r="A623" s="458">
        <v>44680</v>
      </c>
      <c r="B623" s="346">
        <v>2100000287</v>
      </c>
      <c r="C623" s="346" t="s">
        <v>2466</v>
      </c>
      <c r="D623" s="346" t="s">
        <v>1281</v>
      </c>
      <c r="E623" s="346" t="s">
        <v>1757</v>
      </c>
      <c r="F623" s="346" t="s">
        <v>1758</v>
      </c>
      <c r="G623" s="346" t="s">
        <v>1774</v>
      </c>
      <c r="H623" s="346" t="s">
        <v>1245</v>
      </c>
      <c r="I623" s="346">
        <v>2773796.81</v>
      </c>
      <c r="J623" s="346" t="s">
        <v>572</v>
      </c>
      <c r="K623" s="346" t="s">
        <v>1761</v>
      </c>
      <c r="L623" s="346"/>
      <c r="M623" s="346" t="s">
        <v>1761</v>
      </c>
      <c r="N623" s="346">
        <v>0.25</v>
      </c>
      <c r="O623" s="346">
        <v>6.69</v>
      </c>
      <c r="P623" s="346">
        <v>7.44</v>
      </c>
      <c r="Q623" s="346" t="s">
        <v>1762</v>
      </c>
      <c r="R623" s="458">
        <v>1</v>
      </c>
    </row>
    <row r="624" spans="1:18" x14ac:dyDescent="0.25">
      <c r="A624" s="458">
        <v>44680</v>
      </c>
      <c r="B624" s="346">
        <v>2100000288</v>
      </c>
      <c r="C624" s="346" t="s">
        <v>2467</v>
      </c>
      <c r="D624" s="346" t="s">
        <v>1756</v>
      </c>
      <c r="E624" s="346" t="s">
        <v>1757</v>
      </c>
      <c r="F624" s="346" t="s">
        <v>1758</v>
      </c>
      <c r="G624" s="346" t="s">
        <v>1774</v>
      </c>
      <c r="H624" s="346" t="s">
        <v>1245</v>
      </c>
      <c r="I624" s="346">
        <v>667509</v>
      </c>
      <c r="J624" s="346" t="s">
        <v>1787</v>
      </c>
      <c r="K624" s="346" t="s">
        <v>1761</v>
      </c>
      <c r="L624" s="346"/>
      <c r="M624" s="346" t="s">
        <v>1761</v>
      </c>
      <c r="N624" s="346"/>
      <c r="O624" s="346">
        <v>12</v>
      </c>
      <c r="P624" s="346">
        <v>12</v>
      </c>
      <c r="Q624" s="346" t="s">
        <v>1762</v>
      </c>
      <c r="R624" s="458">
        <v>1</v>
      </c>
    </row>
    <row r="625" spans="1:18" x14ac:dyDescent="0.25">
      <c r="A625" s="458">
        <v>44680</v>
      </c>
      <c r="B625" s="346">
        <v>2100000286</v>
      </c>
      <c r="C625" s="346" t="s">
        <v>2468</v>
      </c>
      <c r="D625" s="346" t="s">
        <v>1756</v>
      </c>
      <c r="E625" s="346" t="s">
        <v>1763</v>
      </c>
      <c r="F625" s="346" t="s">
        <v>1758</v>
      </c>
      <c r="G625" s="346" t="s">
        <v>1774</v>
      </c>
      <c r="H625" s="346" t="s">
        <v>1245</v>
      </c>
      <c r="I625" s="346">
        <v>0</v>
      </c>
      <c r="J625" s="346" t="s">
        <v>572</v>
      </c>
      <c r="K625" s="346" t="s">
        <v>1761</v>
      </c>
      <c r="L625" s="346"/>
      <c r="M625" s="346" t="s">
        <v>1761</v>
      </c>
      <c r="N625" s="346">
        <v>0.1</v>
      </c>
      <c r="O625" s="346">
        <v>6.5</v>
      </c>
      <c r="P625" s="346">
        <v>7.25</v>
      </c>
      <c r="Q625" s="346" t="s">
        <v>1762</v>
      </c>
      <c r="R625" s="458">
        <v>1</v>
      </c>
    </row>
    <row r="626" spans="1:18" x14ac:dyDescent="0.25">
      <c r="A626" s="458">
        <v>44680</v>
      </c>
      <c r="B626" s="346">
        <v>2100000284</v>
      </c>
      <c r="C626" s="346" t="s">
        <v>2469</v>
      </c>
      <c r="D626" s="346" t="s">
        <v>1756</v>
      </c>
      <c r="E626" s="346" t="s">
        <v>1757</v>
      </c>
      <c r="F626" s="346" t="s">
        <v>1758</v>
      </c>
      <c r="G626" s="346" t="s">
        <v>1774</v>
      </c>
      <c r="H626" s="346" t="s">
        <v>1245</v>
      </c>
      <c r="I626" s="346">
        <v>6909796.8399999999</v>
      </c>
      <c r="J626" s="346" t="s">
        <v>572</v>
      </c>
      <c r="K626" s="346" t="s">
        <v>1761</v>
      </c>
      <c r="L626" s="346"/>
      <c r="M626" s="346" t="s">
        <v>1761</v>
      </c>
      <c r="N626" s="346">
        <v>0.25</v>
      </c>
      <c r="O626" s="346">
        <v>5.95</v>
      </c>
      <c r="P626" s="346">
        <v>6.7</v>
      </c>
      <c r="Q626" s="346" t="s">
        <v>1762</v>
      </c>
      <c r="R626" s="458">
        <v>1</v>
      </c>
    </row>
    <row r="627" spans="1:18" x14ac:dyDescent="0.25">
      <c r="A627" s="458">
        <v>44680</v>
      </c>
      <c r="B627" s="346">
        <v>2100000285</v>
      </c>
      <c r="C627" s="346" t="s">
        <v>2470</v>
      </c>
      <c r="D627" s="346" t="s">
        <v>1756</v>
      </c>
      <c r="E627" s="346" t="s">
        <v>1757</v>
      </c>
      <c r="F627" s="346" t="s">
        <v>1758</v>
      </c>
      <c r="G627" s="346" t="s">
        <v>1774</v>
      </c>
      <c r="H627" s="346" t="s">
        <v>1245</v>
      </c>
      <c r="I627" s="346">
        <v>0</v>
      </c>
      <c r="J627" s="346" t="s">
        <v>572</v>
      </c>
      <c r="K627" s="346" t="s">
        <v>1761</v>
      </c>
      <c r="L627" s="346"/>
      <c r="M627" s="346" t="s">
        <v>1761</v>
      </c>
      <c r="N627" s="346">
        <v>0.25</v>
      </c>
      <c r="O627" s="346">
        <v>6.25</v>
      </c>
      <c r="P627" s="346">
        <v>7</v>
      </c>
      <c r="Q627" s="346" t="s">
        <v>1762</v>
      </c>
      <c r="R627" s="458">
        <v>1</v>
      </c>
    </row>
    <row r="628" spans="1:18" x14ac:dyDescent="0.25">
      <c r="A628" s="458">
        <v>44680</v>
      </c>
      <c r="B628" s="346">
        <v>2100000290</v>
      </c>
      <c r="C628" s="346" t="s">
        <v>2471</v>
      </c>
      <c r="D628" s="346" t="s">
        <v>1756</v>
      </c>
      <c r="E628" s="346" t="s">
        <v>1763</v>
      </c>
      <c r="F628" s="346" t="s">
        <v>1758</v>
      </c>
      <c r="G628" s="346" t="s">
        <v>1774</v>
      </c>
      <c r="H628" s="346" t="s">
        <v>1245</v>
      </c>
      <c r="I628" s="346">
        <v>0</v>
      </c>
      <c r="J628" s="346" t="s">
        <v>572</v>
      </c>
      <c r="K628" s="346" t="s">
        <v>1761</v>
      </c>
      <c r="L628" s="346"/>
      <c r="M628" s="346" t="s">
        <v>1761</v>
      </c>
      <c r="N628" s="346">
        <v>0.25</v>
      </c>
      <c r="O628" s="346">
        <v>5.5</v>
      </c>
      <c r="P628" s="346">
        <v>6.25</v>
      </c>
      <c r="Q628" s="346" t="s">
        <v>1762</v>
      </c>
      <c r="R628" s="458">
        <v>1</v>
      </c>
    </row>
    <row r="629" spans="1:18" x14ac:dyDescent="0.25">
      <c r="A629" s="458">
        <v>44680</v>
      </c>
      <c r="B629" s="346">
        <v>2100000292</v>
      </c>
      <c r="C629" s="346" t="s">
        <v>2473</v>
      </c>
      <c r="D629" s="346" t="s">
        <v>1756</v>
      </c>
      <c r="E629" s="346" t="s">
        <v>1763</v>
      </c>
      <c r="F629" s="346" t="s">
        <v>1758</v>
      </c>
      <c r="G629" s="346" t="s">
        <v>1774</v>
      </c>
      <c r="H629" s="346" t="s">
        <v>1245</v>
      </c>
      <c r="I629" s="346">
        <v>0</v>
      </c>
      <c r="J629" s="346" t="s">
        <v>572</v>
      </c>
      <c r="K629" s="346" t="s">
        <v>1761</v>
      </c>
      <c r="L629" s="346"/>
      <c r="M629" s="346" t="s">
        <v>1761</v>
      </c>
      <c r="N629" s="346">
        <v>0.25</v>
      </c>
      <c r="O629" s="346">
        <v>6.5</v>
      </c>
      <c r="P629" s="346">
        <v>7.25</v>
      </c>
      <c r="Q629" s="346" t="s">
        <v>1762</v>
      </c>
      <c r="R629" s="458">
        <v>1</v>
      </c>
    </row>
    <row r="630" spans="1:18" x14ac:dyDescent="0.25">
      <c r="A630" s="458">
        <v>44680</v>
      </c>
      <c r="B630" s="346">
        <v>2100000294</v>
      </c>
      <c r="C630" s="346" t="s">
        <v>2474</v>
      </c>
      <c r="D630" s="346" t="s">
        <v>1756</v>
      </c>
      <c r="E630" s="346" t="s">
        <v>1757</v>
      </c>
      <c r="F630" s="346" t="s">
        <v>1758</v>
      </c>
      <c r="G630" s="346" t="s">
        <v>1774</v>
      </c>
      <c r="H630" s="346" t="s">
        <v>1245</v>
      </c>
      <c r="I630" s="346">
        <v>524855.07999999996</v>
      </c>
      <c r="J630" s="346" t="s">
        <v>572</v>
      </c>
      <c r="K630" s="346" t="s">
        <v>1761</v>
      </c>
      <c r="L630" s="346"/>
      <c r="M630" s="346" t="s">
        <v>1761</v>
      </c>
      <c r="N630" s="346">
        <v>0.25</v>
      </c>
      <c r="O630" s="346">
        <v>5</v>
      </c>
      <c r="P630" s="346">
        <v>5.75</v>
      </c>
      <c r="Q630" s="346" t="s">
        <v>1762</v>
      </c>
      <c r="R630" s="458">
        <v>1</v>
      </c>
    </row>
    <row r="631" spans="1:18" x14ac:dyDescent="0.25">
      <c r="A631" s="458">
        <v>44680</v>
      </c>
      <c r="B631" s="346">
        <v>2100000295</v>
      </c>
      <c r="C631" s="346" t="s">
        <v>2475</v>
      </c>
      <c r="D631" s="346" t="s">
        <v>1756</v>
      </c>
      <c r="E631" s="346" t="s">
        <v>1757</v>
      </c>
      <c r="F631" s="346" t="s">
        <v>1758</v>
      </c>
      <c r="G631" s="346" t="s">
        <v>1774</v>
      </c>
      <c r="H631" s="346" t="s">
        <v>1245</v>
      </c>
      <c r="I631" s="346">
        <v>11190.56</v>
      </c>
      <c r="J631" s="346" t="s">
        <v>572</v>
      </c>
      <c r="K631" s="346" t="s">
        <v>1761</v>
      </c>
      <c r="L631" s="346"/>
      <c r="M631" s="346" t="s">
        <v>1761</v>
      </c>
      <c r="N631" s="346">
        <v>0.25</v>
      </c>
      <c r="O631" s="346">
        <v>6.77</v>
      </c>
      <c r="P631" s="346">
        <v>7.52</v>
      </c>
      <c r="Q631" s="346" t="s">
        <v>1762</v>
      </c>
      <c r="R631" s="458">
        <v>1</v>
      </c>
    </row>
    <row r="632" spans="1:18" x14ac:dyDescent="0.25">
      <c r="A632" s="458">
        <v>44680</v>
      </c>
      <c r="B632" s="346">
        <v>2100000019</v>
      </c>
      <c r="C632" s="346" t="s">
        <v>2479</v>
      </c>
      <c r="D632" s="346" t="s">
        <v>1756</v>
      </c>
      <c r="E632" s="346" t="s">
        <v>1757</v>
      </c>
      <c r="F632" s="346" t="s">
        <v>1758</v>
      </c>
      <c r="G632" s="346" t="s">
        <v>1774</v>
      </c>
      <c r="H632" s="346" t="s">
        <v>1245</v>
      </c>
      <c r="I632" s="346">
        <v>7522678.5199999996</v>
      </c>
      <c r="J632" s="346" t="s">
        <v>572</v>
      </c>
      <c r="K632" s="346" t="s">
        <v>1761</v>
      </c>
      <c r="L632" s="346"/>
      <c r="M632" s="346" t="s">
        <v>1761</v>
      </c>
      <c r="N632" s="346">
        <v>0.1</v>
      </c>
      <c r="O632" s="346">
        <v>6.5</v>
      </c>
      <c r="P632" s="346">
        <v>7.25</v>
      </c>
      <c r="Q632" s="346" t="s">
        <v>1765</v>
      </c>
      <c r="R632" s="458">
        <v>44177</v>
      </c>
    </row>
    <row r="633" spans="1:18" x14ac:dyDescent="0.25">
      <c r="A633" s="458">
        <v>44680</v>
      </c>
      <c r="B633" s="346">
        <v>2100000300</v>
      </c>
      <c r="C633" s="346" t="s">
        <v>2478</v>
      </c>
      <c r="D633" s="346" t="s">
        <v>1756</v>
      </c>
      <c r="E633" s="346" t="s">
        <v>1757</v>
      </c>
      <c r="F633" s="346" t="s">
        <v>1758</v>
      </c>
      <c r="G633" s="346" t="s">
        <v>1774</v>
      </c>
      <c r="H633" s="346" t="s">
        <v>1245</v>
      </c>
      <c r="I633" s="346">
        <v>4883822.54</v>
      </c>
      <c r="J633" s="346" t="s">
        <v>572</v>
      </c>
      <c r="K633" s="346" t="s">
        <v>1761</v>
      </c>
      <c r="L633" s="346"/>
      <c r="M633" s="346" t="s">
        <v>1761</v>
      </c>
      <c r="N633" s="346">
        <v>0.5</v>
      </c>
      <c r="O633" s="346">
        <v>7.02</v>
      </c>
      <c r="P633" s="346">
        <v>7.77</v>
      </c>
      <c r="Q633" s="346" t="s">
        <v>1762</v>
      </c>
      <c r="R633" s="458">
        <v>1</v>
      </c>
    </row>
    <row r="634" spans="1:18" x14ac:dyDescent="0.25">
      <c r="A634" s="458">
        <v>44680</v>
      </c>
      <c r="B634" s="346">
        <v>2100000304</v>
      </c>
      <c r="C634" s="346" t="s">
        <v>4551</v>
      </c>
      <c r="D634" s="346" t="s">
        <v>1281</v>
      </c>
      <c r="E634" s="346" t="s">
        <v>1757</v>
      </c>
      <c r="F634" s="346" t="s">
        <v>1758</v>
      </c>
      <c r="G634" s="346" t="s">
        <v>1774</v>
      </c>
      <c r="H634" s="346" t="s">
        <v>1245</v>
      </c>
      <c r="I634" s="346">
        <v>3369081.42</v>
      </c>
      <c r="J634" s="346" t="s">
        <v>572</v>
      </c>
      <c r="K634" s="346" t="s">
        <v>1761</v>
      </c>
      <c r="L634" s="346"/>
      <c r="M634" s="346" t="s">
        <v>1761</v>
      </c>
      <c r="N634" s="346">
        <v>0.25</v>
      </c>
      <c r="O634" s="346">
        <v>6.69</v>
      </c>
      <c r="P634" s="346">
        <v>7.44</v>
      </c>
      <c r="Q634" s="346" t="s">
        <v>1762</v>
      </c>
      <c r="R634" s="458">
        <v>1</v>
      </c>
    </row>
    <row r="635" spans="1:18" x14ac:dyDescent="0.25">
      <c r="A635" s="458">
        <v>44680</v>
      </c>
      <c r="B635" s="346">
        <v>2100000305</v>
      </c>
      <c r="C635" s="346" t="s">
        <v>4552</v>
      </c>
      <c r="D635" s="346" t="s">
        <v>1756</v>
      </c>
      <c r="E635" s="346" t="s">
        <v>1757</v>
      </c>
      <c r="F635" s="346" t="s">
        <v>1758</v>
      </c>
      <c r="G635" s="346" t="s">
        <v>1774</v>
      </c>
      <c r="H635" s="346" t="s">
        <v>1245</v>
      </c>
      <c r="I635" s="346">
        <v>1264223</v>
      </c>
      <c r="J635" s="346" t="s">
        <v>1787</v>
      </c>
      <c r="K635" s="346" t="s">
        <v>1761</v>
      </c>
      <c r="L635" s="346"/>
      <c r="M635" s="346" t="s">
        <v>1761</v>
      </c>
      <c r="N635" s="346"/>
      <c r="O635" s="346">
        <v>12</v>
      </c>
      <c r="P635" s="346">
        <v>12</v>
      </c>
      <c r="Q635" s="346" t="s">
        <v>1762</v>
      </c>
      <c r="R635" s="458">
        <v>1</v>
      </c>
    </row>
    <row r="636" spans="1:18" x14ac:dyDescent="0.25">
      <c r="A636" s="458">
        <v>44680</v>
      </c>
      <c r="B636" s="346">
        <v>2100000301</v>
      </c>
      <c r="C636" s="346" t="s">
        <v>4553</v>
      </c>
      <c r="D636" s="346" t="s">
        <v>1281</v>
      </c>
      <c r="E636" s="346" t="s">
        <v>1757</v>
      </c>
      <c r="F636" s="346" t="s">
        <v>1758</v>
      </c>
      <c r="G636" s="346" t="s">
        <v>1774</v>
      </c>
      <c r="H636" s="346" t="s">
        <v>1245</v>
      </c>
      <c r="I636" s="346">
        <v>2359167.0299999998</v>
      </c>
      <c r="J636" s="346" t="s">
        <v>572</v>
      </c>
      <c r="K636" s="346" t="s">
        <v>1761</v>
      </c>
      <c r="L636" s="346"/>
      <c r="M636" s="346" t="s">
        <v>1761</v>
      </c>
      <c r="N636" s="346">
        <v>0.25</v>
      </c>
      <c r="O636" s="346">
        <v>6.69</v>
      </c>
      <c r="P636" s="346">
        <v>7.44</v>
      </c>
      <c r="Q636" s="346" t="s">
        <v>1762</v>
      </c>
      <c r="R636" s="458">
        <v>1</v>
      </c>
    </row>
    <row r="637" spans="1:18" x14ac:dyDescent="0.25">
      <c r="A637" s="458">
        <v>44680</v>
      </c>
      <c r="B637" s="346">
        <v>2100000307</v>
      </c>
      <c r="C637" s="346" t="s">
        <v>4554</v>
      </c>
      <c r="D637" s="346" t="s">
        <v>1756</v>
      </c>
      <c r="E637" s="346" t="s">
        <v>1757</v>
      </c>
      <c r="F637" s="346" t="s">
        <v>1758</v>
      </c>
      <c r="G637" s="346" t="s">
        <v>1774</v>
      </c>
      <c r="H637" s="346" t="s">
        <v>1245</v>
      </c>
      <c r="I637" s="346">
        <v>491751.18</v>
      </c>
      <c r="J637" s="346" t="s">
        <v>572</v>
      </c>
      <c r="K637" s="346" t="s">
        <v>1761</v>
      </c>
      <c r="L637" s="346"/>
      <c r="M637" s="346" t="s">
        <v>1761</v>
      </c>
      <c r="N637" s="346">
        <v>0.5</v>
      </c>
      <c r="O637" s="346">
        <v>6.4</v>
      </c>
      <c r="P637" s="346">
        <v>7.15</v>
      </c>
      <c r="Q637" s="346" t="s">
        <v>1762</v>
      </c>
      <c r="R637" s="458">
        <v>1</v>
      </c>
    </row>
    <row r="638" spans="1:18" x14ac:dyDescent="0.25">
      <c r="A638" s="458">
        <v>44680</v>
      </c>
      <c r="B638" s="346">
        <v>2100000298</v>
      </c>
      <c r="C638" s="346" t="s">
        <v>2477</v>
      </c>
      <c r="D638" s="346" t="s">
        <v>1756</v>
      </c>
      <c r="E638" s="346" t="s">
        <v>1757</v>
      </c>
      <c r="F638" s="346" t="s">
        <v>1758</v>
      </c>
      <c r="G638" s="346" t="s">
        <v>1774</v>
      </c>
      <c r="H638" s="346" t="s">
        <v>1245</v>
      </c>
      <c r="I638" s="346">
        <v>769497.21</v>
      </c>
      <c r="J638" s="346" t="s">
        <v>572</v>
      </c>
      <c r="K638" s="346" t="s">
        <v>1761</v>
      </c>
      <c r="L638" s="346"/>
      <c r="M638" s="346" t="s">
        <v>1761</v>
      </c>
      <c r="N638" s="346">
        <v>0.78</v>
      </c>
      <c r="O638" s="346">
        <v>7</v>
      </c>
      <c r="P638" s="346">
        <v>7.78</v>
      </c>
      <c r="Q638" s="346" t="s">
        <v>1762</v>
      </c>
      <c r="R638" s="458">
        <v>1</v>
      </c>
    </row>
    <row r="639" spans="1:18" x14ac:dyDescent="0.25">
      <c r="A639" s="458">
        <v>44680</v>
      </c>
      <c r="B639" s="346">
        <v>2100000309</v>
      </c>
      <c r="C639" s="346" t="s">
        <v>4555</v>
      </c>
      <c r="D639" s="346" t="s">
        <v>1756</v>
      </c>
      <c r="E639" s="346" t="s">
        <v>1757</v>
      </c>
      <c r="F639" s="346" t="s">
        <v>1758</v>
      </c>
      <c r="G639" s="346" t="s">
        <v>1774</v>
      </c>
      <c r="H639" s="346" t="s">
        <v>1245</v>
      </c>
      <c r="I639" s="346">
        <v>1098492.1599999999</v>
      </c>
      <c r="J639" s="346" t="s">
        <v>572</v>
      </c>
      <c r="K639" s="346" t="s">
        <v>1761</v>
      </c>
      <c r="L639" s="346"/>
      <c r="M639" s="346" t="s">
        <v>1761</v>
      </c>
      <c r="N639" s="346">
        <v>0.5</v>
      </c>
      <c r="O639" s="346">
        <v>6.25</v>
      </c>
      <c r="P639" s="346">
        <v>7</v>
      </c>
      <c r="Q639" s="346" t="s">
        <v>1762</v>
      </c>
      <c r="R639" s="458">
        <v>1</v>
      </c>
    </row>
    <row r="640" spans="1:18" x14ac:dyDescent="0.25">
      <c r="A640" s="458">
        <v>44680</v>
      </c>
      <c r="B640" s="346">
        <v>2100000312</v>
      </c>
      <c r="C640" s="346" t="s">
        <v>4556</v>
      </c>
      <c r="D640" s="346" t="s">
        <v>1756</v>
      </c>
      <c r="E640" s="346" t="s">
        <v>1763</v>
      </c>
      <c r="F640" s="346" t="s">
        <v>1758</v>
      </c>
      <c r="G640" s="346" t="s">
        <v>1774</v>
      </c>
      <c r="H640" s="346" t="s">
        <v>1245</v>
      </c>
      <c r="I640" s="346">
        <v>0</v>
      </c>
      <c r="J640" s="346" t="s">
        <v>572</v>
      </c>
      <c r="K640" s="346" t="s">
        <v>1761</v>
      </c>
      <c r="L640" s="346"/>
      <c r="M640" s="346" t="s">
        <v>1761</v>
      </c>
      <c r="N640" s="346">
        <v>0.5</v>
      </c>
      <c r="O640" s="346">
        <v>6.5</v>
      </c>
      <c r="P640" s="346">
        <v>7.25</v>
      </c>
      <c r="Q640" s="346" t="s">
        <v>1762</v>
      </c>
      <c r="R640" s="458">
        <v>1</v>
      </c>
    </row>
    <row r="641" spans="1:18" x14ac:dyDescent="0.25">
      <c r="A641" s="458">
        <v>44680</v>
      </c>
      <c r="B641" s="346">
        <v>2100000306</v>
      </c>
      <c r="C641" s="346" t="s">
        <v>4557</v>
      </c>
      <c r="D641" s="346" t="s">
        <v>1756</v>
      </c>
      <c r="E641" s="346" t="s">
        <v>1763</v>
      </c>
      <c r="F641" s="346" t="s">
        <v>1758</v>
      </c>
      <c r="G641" s="346" t="s">
        <v>1774</v>
      </c>
      <c r="H641" s="346" t="s">
        <v>1245</v>
      </c>
      <c r="I641" s="346">
        <v>0</v>
      </c>
      <c r="J641" s="346" t="s">
        <v>572</v>
      </c>
      <c r="K641" s="346" t="s">
        <v>1761</v>
      </c>
      <c r="L641" s="346"/>
      <c r="M641" s="346" t="s">
        <v>1761</v>
      </c>
      <c r="N641" s="346">
        <v>0.5</v>
      </c>
      <c r="O641" s="346">
        <v>6.5</v>
      </c>
      <c r="P641" s="346">
        <v>7.25</v>
      </c>
      <c r="Q641" s="346" t="s">
        <v>1762</v>
      </c>
      <c r="R641" s="458">
        <v>1</v>
      </c>
    </row>
    <row r="642" spans="1:18" x14ac:dyDescent="0.25">
      <c r="A642" s="458">
        <v>44680</v>
      </c>
      <c r="B642" s="346">
        <v>2100000311</v>
      </c>
      <c r="C642" s="346" t="s">
        <v>4558</v>
      </c>
      <c r="D642" s="346" t="s">
        <v>1756</v>
      </c>
      <c r="E642" s="346" t="s">
        <v>1757</v>
      </c>
      <c r="F642" s="346" t="s">
        <v>1758</v>
      </c>
      <c r="G642" s="346" t="s">
        <v>1774</v>
      </c>
      <c r="H642" s="346" t="s">
        <v>1245</v>
      </c>
      <c r="I642" s="346">
        <v>1075297.56</v>
      </c>
      <c r="J642" s="346" t="s">
        <v>572</v>
      </c>
      <c r="K642" s="346" t="s">
        <v>1761</v>
      </c>
      <c r="L642" s="346"/>
      <c r="M642" s="346" t="s">
        <v>1761</v>
      </c>
      <c r="N642" s="346">
        <v>0.75</v>
      </c>
      <c r="O642" s="346">
        <v>5.5</v>
      </c>
      <c r="P642" s="346">
        <v>6.25</v>
      </c>
      <c r="Q642" s="346" t="s">
        <v>1762</v>
      </c>
      <c r="R642" s="458">
        <v>1</v>
      </c>
    </row>
    <row r="643" spans="1:18" x14ac:dyDescent="0.25">
      <c r="A643" s="458">
        <v>44680</v>
      </c>
      <c r="B643" s="346">
        <v>2100000310</v>
      </c>
      <c r="C643" s="346" t="s">
        <v>4559</v>
      </c>
      <c r="D643" s="346" t="s">
        <v>1756</v>
      </c>
      <c r="E643" s="346" t="s">
        <v>1763</v>
      </c>
      <c r="F643" s="346" t="s">
        <v>1758</v>
      </c>
      <c r="G643" s="346" t="s">
        <v>1774</v>
      </c>
      <c r="H643" s="346" t="s">
        <v>1245</v>
      </c>
      <c r="I643" s="346">
        <v>0</v>
      </c>
      <c r="J643" s="346" t="s">
        <v>572</v>
      </c>
      <c r="K643" s="346" t="s">
        <v>1761</v>
      </c>
      <c r="L643" s="346"/>
      <c r="M643" s="346" t="s">
        <v>1761</v>
      </c>
      <c r="N643" s="346">
        <v>0.75</v>
      </c>
      <c r="O643" s="346">
        <v>6.75</v>
      </c>
      <c r="P643" s="346">
        <v>7.5</v>
      </c>
      <c r="Q643" s="346" t="s">
        <v>1762</v>
      </c>
      <c r="R643" s="458">
        <v>1</v>
      </c>
    </row>
    <row r="644" spans="1:18" x14ac:dyDescent="0.25">
      <c r="A644" s="458">
        <v>44680</v>
      </c>
      <c r="B644" s="346">
        <v>2100000316</v>
      </c>
      <c r="C644" s="346" t="s">
        <v>4560</v>
      </c>
      <c r="D644" s="346" t="s">
        <v>1756</v>
      </c>
      <c r="E644" s="346" t="s">
        <v>1757</v>
      </c>
      <c r="F644" s="346" t="s">
        <v>1758</v>
      </c>
      <c r="G644" s="346" t="s">
        <v>1774</v>
      </c>
      <c r="H644" s="346" t="s">
        <v>1245</v>
      </c>
      <c r="I644" s="346">
        <v>0</v>
      </c>
      <c r="J644" s="346" t="s">
        <v>572</v>
      </c>
      <c r="K644" s="346" t="s">
        <v>1761</v>
      </c>
      <c r="L644" s="346"/>
      <c r="M644" s="346" t="s">
        <v>1761</v>
      </c>
      <c r="N644" s="346">
        <v>0.5</v>
      </c>
      <c r="O644" s="346">
        <v>6</v>
      </c>
      <c r="P644" s="346">
        <v>6.75</v>
      </c>
      <c r="Q644" s="346" t="s">
        <v>1762</v>
      </c>
      <c r="R644" s="458">
        <v>1</v>
      </c>
    </row>
    <row r="645" spans="1:18" x14ac:dyDescent="0.25">
      <c r="A645" s="458">
        <v>44680</v>
      </c>
      <c r="B645" s="346">
        <v>2100000317</v>
      </c>
      <c r="C645" s="346" t="s">
        <v>4561</v>
      </c>
      <c r="D645" s="346" t="s">
        <v>1756</v>
      </c>
      <c r="E645" s="346" t="s">
        <v>1757</v>
      </c>
      <c r="F645" s="346" t="s">
        <v>1758</v>
      </c>
      <c r="G645" s="346" t="s">
        <v>1774</v>
      </c>
      <c r="H645" s="346" t="s">
        <v>1245</v>
      </c>
      <c r="I645" s="346">
        <v>0</v>
      </c>
      <c r="J645" s="346" t="s">
        <v>572</v>
      </c>
      <c r="K645" s="346" t="s">
        <v>1761</v>
      </c>
      <c r="L645" s="346"/>
      <c r="M645" s="346" t="s">
        <v>1761</v>
      </c>
      <c r="N645" s="346">
        <v>0.5</v>
      </c>
      <c r="O645" s="346">
        <v>6</v>
      </c>
      <c r="P645" s="346">
        <v>6.75</v>
      </c>
      <c r="Q645" s="346" t="s">
        <v>1762</v>
      </c>
      <c r="R645" s="458">
        <v>1</v>
      </c>
    </row>
    <row r="646" spans="1:18" x14ac:dyDescent="0.25">
      <c r="A646" s="458">
        <v>44680</v>
      </c>
      <c r="B646" s="346">
        <v>2100000299</v>
      </c>
      <c r="C646" s="346" t="s">
        <v>2476</v>
      </c>
      <c r="D646" s="346" t="s">
        <v>1756</v>
      </c>
      <c r="E646" s="346" t="s">
        <v>1757</v>
      </c>
      <c r="F646" s="346" t="s">
        <v>1758</v>
      </c>
      <c r="G646" s="346" t="s">
        <v>1774</v>
      </c>
      <c r="H646" s="346" t="s">
        <v>1245</v>
      </c>
      <c r="I646" s="346">
        <v>12331</v>
      </c>
      <c r="J646" s="346" t="s">
        <v>572</v>
      </c>
      <c r="K646" s="346" t="s">
        <v>1761</v>
      </c>
      <c r="L646" s="346"/>
      <c r="M646" s="346" t="s">
        <v>1761</v>
      </c>
      <c r="N646" s="346">
        <v>0.5</v>
      </c>
      <c r="O646" s="346">
        <v>6.25</v>
      </c>
      <c r="P646" s="346">
        <v>7</v>
      </c>
      <c r="Q646" s="346" t="s">
        <v>1762</v>
      </c>
      <c r="R646" s="458">
        <v>1</v>
      </c>
    </row>
    <row r="647" spans="1:18" x14ac:dyDescent="0.25">
      <c r="A647" s="458">
        <v>44680</v>
      </c>
      <c r="B647" s="346">
        <v>2100000283</v>
      </c>
      <c r="C647" s="346" t="s">
        <v>2465</v>
      </c>
      <c r="D647" s="346" t="s">
        <v>1756</v>
      </c>
      <c r="E647" s="346" t="s">
        <v>1757</v>
      </c>
      <c r="F647" s="346" t="s">
        <v>1758</v>
      </c>
      <c r="G647" s="346" t="s">
        <v>1774</v>
      </c>
      <c r="H647" s="346" t="s">
        <v>1245</v>
      </c>
      <c r="I647" s="346">
        <v>1463205.8</v>
      </c>
      <c r="J647" s="346" t="s">
        <v>572</v>
      </c>
      <c r="K647" s="346" t="s">
        <v>1761</v>
      </c>
      <c r="L647" s="346"/>
      <c r="M647" s="346" t="s">
        <v>1761</v>
      </c>
      <c r="N647" s="346">
        <v>0.5</v>
      </c>
      <c r="O647" s="346">
        <v>6.65</v>
      </c>
      <c r="P647" s="346">
        <v>7.4</v>
      </c>
      <c r="Q647" s="346" t="s">
        <v>1762</v>
      </c>
      <c r="R647" s="458">
        <v>1</v>
      </c>
    </row>
    <row r="648" spans="1:18" x14ac:dyDescent="0.25">
      <c r="A648" s="458">
        <v>44680</v>
      </c>
      <c r="B648" s="346">
        <v>2100000017</v>
      </c>
      <c r="C648" s="346" t="s">
        <v>2459</v>
      </c>
      <c r="D648" s="346" t="s">
        <v>1756</v>
      </c>
      <c r="E648" s="346" t="s">
        <v>1757</v>
      </c>
      <c r="F648" s="346" t="s">
        <v>1758</v>
      </c>
      <c r="G648" s="346" t="s">
        <v>1774</v>
      </c>
      <c r="H648" s="346" t="s">
        <v>1245</v>
      </c>
      <c r="I648" s="346">
        <v>2197786.42</v>
      </c>
      <c r="J648" s="346" t="s">
        <v>572</v>
      </c>
      <c r="K648" s="346" t="s">
        <v>1761</v>
      </c>
      <c r="L648" s="346"/>
      <c r="M648" s="346" t="s">
        <v>1761</v>
      </c>
      <c r="N648" s="346">
        <v>0.1</v>
      </c>
      <c r="O648" s="346">
        <v>6.75</v>
      </c>
      <c r="P648" s="346">
        <v>7.5</v>
      </c>
      <c r="Q648" s="346" t="s">
        <v>1765</v>
      </c>
      <c r="R648" s="458">
        <v>44177</v>
      </c>
    </row>
    <row r="649" spans="1:18" x14ac:dyDescent="0.25">
      <c r="A649" s="458">
        <v>44680</v>
      </c>
      <c r="B649" s="346">
        <v>5100000139</v>
      </c>
      <c r="C649" s="346" t="s">
        <v>2480</v>
      </c>
      <c r="D649" s="346" t="s">
        <v>1756</v>
      </c>
      <c r="E649" s="346" t="s">
        <v>1757</v>
      </c>
      <c r="F649" s="346" t="s">
        <v>1758</v>
      </c>
      <c r="G649" s="346" t="s">
        <v>1775</v>
      </c>
      <c r="H649" s="346" t="s">
        <v>1288</v>
      </c>
      <c r="I649" s="346">
        <v>11091091.789999999</v>
      </c>
      <c r="J649" s="346" t="s">
        <v>572</v>
      </c>
      <c r="K649" s="346" t="s">
        <v>1761</v>
      </c>
      <c r="L649" s="346"/>
      <c r="M649" s="346" t="s">
        <v>1761</v>
      </c>
      <c r="N649" s="346">
        <v>0.1</v>
      </c>
      <c r="O649" s="346">
        <v>5.25</v>
      </c>
      <c r="P649" s="346">
        <v>6</v>
      </c>
      <c r="Q649" s="346" t="s">
        <v>1762</v>
      </c>
      <c r="R649" s="458">
        <v>1</v>
      </c>
    </row>
    <row r="650" spans="1:18" x14ac:dyDescent="0.25">
      <c r="A650" s="458">
        <v>44680</v>
      </c>
      <c r="B650" s="346">
        <v>5100000140</v>
      </c>
      <c r="C650" s="346" t="s">
        <v>2481</v>
      </c>
      <c r="D650" s="346" t="s">
        <v>1756</v>
      </c>
      <c r="E650" s="346" t="s">
        <v>1757</v>
      </c>
      <c r="F650" s="346" t="s">
        <v>1758</v>
      </c>
      <c r="G650" s="346" t="s">
        <v>1775</v>
      </c>
      <c r="H650" s="346" t="s">
        <v>1288</v>
      </c>
      <c r="I650" s="346">
        <v>2500000</v>
      </c>
      <c r="J650" s="346" t="s">
        <v>572</v>
      </c>
      <c r="K650" s="346" t="s">
        <v>1761</v>
      </c>
      <c r="L650" s="346"/>
      <c r="M650" s="346" t="s">
        <v>1761</v>
      </c>
      <c r="N650" s="346">
        <v>0.1</v>
      </c>
      <c r="O650" s="346">
        <v>5.73</v>
      </c>
      <c r="P650" s="346">
        <v>6.48</v>
      </c>
      <c r="Q650" s="346" t="s">
        <v>1762</v>
      </c>
      <c r="R650" s="458">
        <v>1</v>
      </c>
    </row>
    <row r="651" spans="1:18" x14ac:dyDescent="0.25">
      <c r="A651" s="458">
        <v>44680</v>
      </c>
      <c r="B651" s="346">
        <v>5100000144</v>
      </c>
      <c r="C651" s="346" t="s">
        <v>2482</v>
      </c>
      <c r="D651" s="346" t="s">
        <v>1281</v>
      </c>
      <c r="E651" s="346" t="s">
        <v>1757</v>
      </c>
      <c r="F651" s="346" t="s">
        <v>1770</v>
      </c>
      <c r="G651" s="346" t="s">
        <v>1775</v>
      </c>
      <c r="H651" s="346" t="s">
        <v>1288</v>
      </c>
      <c r="I651" s="346">
        <v>1080000</v>
      </c>
      <c r="J651" s="346" t="s">
        <v>572</v>
      </c>
      <c r="K651" s="346" t="s">
        <v>1761</v>
      </c>
      <c r="L651" s="346"/>
      <c r="M651" s="346" t="s">
        <v>1761</v>
      </c>
      <c r="N651" s="346">
        <v>0.85</v>
      </c>
      <c r="O651" s="346">
        <v>6.5</v>
      </c>
      <c r="P651" s="346">
        <v>7.35</v>
      </c>
      <c r="Q651" s="346" t="s">
        <v>1762</v>
      </c>
      <c r="R651" s="458">
        <v>1</v>
      </c>
    </row>
    <row r="652" spans="1:18" x14ac:dyDescent="0.25">
      <c r="A652" s="458">
        <v>44680</v>
      </c>
      <c r="B652" s="346">
        <v>5100000145</v>
      </c>
      <c r="C652" s="346" t="s">
        <v>2483</v>
      </c>
      <c r="D652" s="346" t="s">
        <v>1281</v>
      </c>
      <c r="E652" s="346" t="s">
        <v>1757</v>
      </c>
      <c r="F652" s="346" t="s">
        <v>1770</v>
      </c>
      <c r="G652" s="346" t="s">
        <v>1775</v>
      </c>
      <c r="H652" s="346" t="s">
        <v>1288</v>
      </c>
      <c r="I652" s="346">
        <v>720000</v>
      </c>
      <c r="J652" s="346" t="s">
        <v>572</v>
      </c>
      <c r="K652" s="346" t="s">
        <v>1761</v>
      </c>
      <c r="L652" s="346"/>
      <c r="M652" s="346" t="s">
        <v>1761</v>
      </c>
      <c r="N652" s="346">
        <v>0.85</v>
      </c>
      <c r="O652" s="346">
        <v>6.5</v>
      </c>
      <c r="P652" s="346">
        <v>7.35</v>
      </c>
      <c r="Q652" s="346" t="s">
        <v>1762</v>
      </c>
      <c r="R652" s="458">
        <v>1</v>
      </c>
    </row>
    <row r="653" spans="1:18" x14ac:dyDescent="0.25">
      <c r="A653" s="458">
        <v>44680</v>
      </c>
      <c r="B653" s="346">
        <v>5100000146</v>
      </c>
      <c r="C653" s="346" t="s">
        <v>2484</v>
      </c>
      <c r="D653" s="346" t="s">
        <v>1281</v>
      </c>
      <c r="E653" s="346" t="s">
        <v>1757</v>
      </c>
      <c r="F653" s="346" t="s">
        <v>1770</v>
      </c>
      <c r="G653" s="346" t="s">
        <v>1775</v>
      </c>
      <c r="H653" s="346" t="s">
        <v>1288</v>
      </c>
      <c r="I653" s="346">
        <v>342061</v>
      </c>
      <c r="J653" s="346" t="s">
        <v>572</v>
      </c>
      <c r="K653" s="346" t="s">
        <v>1761</v>
      </c>
      <c r="L653" s="346"/>
      <c r="M653" s="346" t="s">
        <v>1761</v>
      </c>
      <c r="N653" s="346">
        <v>0.85</v>
      </c>
      <c r="O653" s="346">
        <v>6.5</v>
      </c>
      <c r="P653" s="346">
        <v>7.35</v>
      </c>
      <c r="Q653" s="346" t="s">
        <v>1762</v>
      </c>
      <c r="R653" s="458">
        <v>1</v>
      </c>
    </row>
    <row r="654" spans="1:18" x14ac:dyDescent="0.25">
      <c r="A654" s="458">
        <v>44680</v>
      </c>
      <c r="B654" s="346">
        <v>5100000147</v>
      </c>
      <c r="C654" s="346" t="s">
        <v>2485</v>
      </c>
      <c r="D654" s="346" t="s">
        <v>1281</v>
      </c>
      <c r="E654" s="346" t="s">
        <v>1757</v>
      </c>
      <c r="F654" s="346" t="s">
        <v>1770</v>
      </c>
      <c r="G654" s="346" t="s">
        <v>1775</v>
      </c>
      <c r="H654" s="346" t="s">
        <v>1288</v>
      </c>
      <c r="I654" s="346">
        <v>767000</v>
      </c>
      <c r="J654" s="346" t="s">
        <v>572</v>
      </c>
      <c r="K654" s="346" t="s">
        <v>1761</v>
      </c>
      <c r="L654" s="346"/>
      <c r="M654" s="346" t="s">
        <v>1761</v>
      </c>
      <c r="N654" s="346">
        <v>0.85</v>
      </c>
      <c r="O654" s="346">
        <v>6.5</v>
      </c>
      <c r="P654" s="346">
        <v>7.35</v>
      </c>
      <c r="Q654" s="346" t="s">
        <v>1762</v>
      </c>
      <c r="R654" s="458">
        <v>1</v>
      </c>
    </row>
    <row r="655" spans="1:18" x14ac:dyDescent="0.25">
      <c r="A655" s="458">
        <v>44680</v>
      </c>
      <c r="B655" s="346">
        <v>5100000148</v>
      </c>
      <c r="C655" s="346" t="s">
        <v>2486</v>
      </c>
      <c r="D655" s="346" t="s">
        <v>1281</v>
      </c>
      <c r="E655" s="346" t="s">
        <v>1757</v>
      </c>
      <c r="F655" s="346" t="s">
        <v>1770</v>
      </c>
      <c r="G655" s="346" t="s">
        <v>1775</v>
      </c>
      <c r="H655" s="346" t="s">
        <v>1288</v>
      </c>
      <c r="I655" s="346">
        <v>1179000</v>
      </c>
      <c r="J655" s="346" t="s">
        <v>572</v>
      </c>
      <c r="K655" s="346" t="s">
        <v>1761</v>
      </c>
      <c r="L655" s="346"/>
      <c r="M655" s="346" t="s">
        <v>1761</v>
      </c>
      <c r="N655" s="346">
        <v>0.85</v>
      </c>
      <c r="O655" s="346">
        <v>6.5</v>
      </c>
      <c r="P655" s="346">
        <v>7.35</v>
      </c>
      <c r="Q655" s="346" t="s">
        <v>1762</v>
      </c>
      <c r="R655" s="458">
        <v>1</v>
      </c>
    </row>
    <row r="656" spans="1:18" x14ac:dyDescent="0.25">
      <c r="A656" s="458">
        <v>44680</v>
      </c>
      <c r="B656" s="346">
        <v>5100000150</v>
      </c>
      <c r="C656" s="346" t="s">
        <v>2487</v>
      </c>
      <c r="D656" s="346" t="s">
        <v>1281</v>
      </c>
      <c r="E656" s="346" t="s">
        <v>1757</v>
      </c>
      <c r="F656" s="346" t="s">
        <v>1770</v>
      </c>
      <c r="G656" s="346" t="s">
        <v>1775</v>
      </c>
      <c r="H656" s="346" t="s">
        <v>1288</v>
      </c>
      <c r="I656" s="346">
        <v>600000</v>
      </c>
      <c r="J656" s="346" t="s">
        <v>572</v>
      </c>
      <c r="K656" s="346" t="s">
        <v>1761</v>
      </c>
      <c r="L656" s="346"/>
      <c r="M656" s="346" t="s">
        <v>1761</v>
      </c>
      <c r="N656" s="346">
        <v>0.85</v>
      </c>
      <c r="O656" s="346">
        <v>6.5</v>
      </c>
      <c r="P656" s="346">
        <v>7.35</v>
      </c>
      <c r="Q656" s="346" t="s">
        <v>1762</v>
      </c>
      <c r="R656" s="458">
        <v>1</v>
      </c>
    </row>
    <row r="657" spans="1:18" x14ac:dyDescent="0.25">
      <c r="A657" s="458">
        <v>44680</v>
      </c>
      <c r="B657" s="346">
        <v>5100000143</v>
      </c>
      <c r="C657" s="346" t="s">
        <v>2488</v>
      </c>
      <c r="D657" s="346" t="s">
        <v>1281</v>
      </c>
      <c r="E657" s="346" t="s">
        <v>1763</v>
      </c>
      <c r="F657" s="346" t="s">
        <v>1770</v>
      </c>
      <c r="G657" s="346" t="s">
        <v>1775</v>
      </c>
      <c r="H657" s="346" t="s">
        <v>1288</v>
      </c>
      <c r="I657" s="346">
        <v>0</v>
      </c>
      <c r="J657" s="346" t="s">
        <v>572</v>
      </c>
      <c r="K657" s="346" t="s">
        <v>1761</v>
      </c>
      <c r="L657" s="346"/>
      <c r="M657" s="346" t="s">
        <v>1761</v>
      </c>
      <c r="N657" s="346">
        <v>0.85</v>
      </c>
      <c r="O657" s="346">
        <v>6.5</v>
      </c>
      <c r="P657" s="346">
        <v>7.35</v>
      </c>
      <c r="Q657" s="346" t="s">
        <v>1762</v>
      </c>
      <c r="R657" s="458">
        <v>1</v>
      </c>
    </row>
    <row r="658" spans="1:18" x14ac:dyDescent="0.25">
      <c r="A658" s="458">
        <v>44680</v>
      </c>
      <c r="B658" s="346">
        <v>5100000151</v>
      </c>
      <c r="C658" s="346" t="s">
        <v>2352</v>
      </c>
      <c r="D658" s="346" t="s">
        <v>1756</v>
      </c>
      <c r="E658" s="346" t="s">
        <v>1757</v>
      </c>
      <c r="F658" s="346" t="s">
        <v>1770</v>
      </c>
      <c r="G658" s="346" t="s">
        <v>1775</v>
      </c>
      <c r="H658" s="346" t="s">
        <v>1288</v>
      </c>
      <c r="I658" s="346">
        <v>16614.48</v>
      </c>
      <c r="J658" s="346" t="s">
        <v>572</v>
      </c>
      <c r="K658" s="346" t="s">
        <v>1761</v>
      </c>
      <c r="L658" s="346"/>
      <c r="M658" s="346" t="s">
        <v>1761</v>
      </c>
      <c r="N658" s="346">
        <v>0.89</v>
      </c>
      <c r="O658" s="346">
        <v>9</v>
      </c>
      <c r="P658" s="346">
        <v>9.89</v>
      </c>
      <c r="Q658" s="346" t="s">
        <v>1762</v>
      </c>
      <c r="R658" s="458">
        <v>1</v>
      </c>
    </row>
    <row r="659" spans="1:18" x14ac:dyDescent="0.25">
      <c r="A659" s="458">
        <v>44680</v>
      </c>
      <c r="B659" s="346">
        <v>4200000003</v>
      </c>
      <c r="C659" s="346" t="s">
        <v>2489</v>
      </c>
      <c r="D659" s="346" t="s">
        <v>1756</v>
      </c>
      <c r="E659" s="346" t="s">
        <v>1757</v>
      </c>
      <c r="F659" s="346" t="s">
        <v>1758</v>
      </c>
      <c r="G659" s="346" t="s">
        <v>1784</v>
      </c>
      <c r="H659" s="346" t="s">
        <v>1785</v>
      </c>
      <c r="I659" s="346">
        <v>733117.8</v>
      </c>
      <c r="J659" s="346" t="s">
        <v>572</v>
      </c>
      <c r="K659" s="346" t="s">
        <v>1761</v>
      </c>
      <c r="L659" s="346"/>
      <c r="M659" s="346" t="s">
        <v>1761</v>
      </c>
      <c r="N659" s="346">
        <v>0.1</v>
      </c>
      <c r="O659" s="346">
        <v>5.69</v>
      </c>
      <c r="P659" s="346">
        <v>6.44</v>
      </c>
      <c r="Q659" s="346" t="s">
        <v>1765</v>
      </c>
      <c r="R659" s="458">
        <v>44177</v>
      </c>
    </row>
    <row r="660" spans="1:18" x14ac:dyDescent="0.25">
      <c r="A660" s="458">
        <v>44680</v>
      </c>
      <c r="B660" s="346">
        <v>3100000128</v>
      </c>
      <c r="C660" s="346" t="s">
        <v>2491</v>
      </c>
      <c r="D660" s="346" t="s">
        <v>1756</v>
      </c>
      <c r="E660" s="346" t="s">
        <v>1757</v>
      </c>
      <c r="F660" s="346" t="s">
        <v>1758</v>
      </c>
      <c r="G660" s="346" t="s">
        <v>1780</v>
      </c>
      <c r="H660" s="346" t="s">
        <v>1233</v>
      </c>
      <c r="I660" s="346">
        <v>50000000</v>
      </c>
      <c r="J660" s="346" t="s">
        <v>572</v>
      </c>
      <c r="K660" s="346" t="s">
        <v>1761</v>
      </c>
      <c r="L660" s="346"/>
      <c r="M660" s="346" t="s">
        <v>1761</v>
      </c>
      <c r="N660" s="346">
        <v>0.25</v>
      </c>
      <c r="O660" s="346">
        <v>5</v>
      </c>
      <c r="P660" s="346">
        <v>5.75</v>
      </c>
      <c r="Q660" s="346" t="s">
        <v>1762</v>
      </c>
      <c r="R660" s="458">
        <v>1</v>
      </c>
    </row>
    <row r="661" spans="1:18" x14ac:dyDescent="0.25">
      <c r="A661" s="458">
        <v>44680</v>
      </c>
      <c r="B661" s="346">
        <v>3100000129</v>
      </c>
      <c r="C661" s="346" t="s">
        <v>2492</v>
      </c>
      <c r="D661" s="346" t="s">
        <v>1756</v>
      </c>
      <c r="E661" s="346" t="s">
        <v>1757</v>
      </c>
      <c r="F661" s="346" t="s">
        <v>1758</v>
      </c>
      <c r="G661" s="346" t="s">
        <v>1780</v>
      </c>
      <c r="H661" s="346" t="s">
        <v>1233</v>
      </c>
      <c r="I661" s="346">
        <v>5869275.9400000004</v>
      </c>
      <c r="J661" s="346" t="s">
        <v>572</v>
      </c>
      <c r="K661" s="346" t="s">
        <v>1761</v>
      </c>
      <c r="L661" s="346"/>
      <c r="M661" s="346" t="s">
        <v>1761</v>
      </c>
      <c r="N661" s="346">
        <v>0.25</v>
      </c>
      <c r="O661" s="346">
        <v>7</v>
      </c>
      <c r="P661" s="346">
        <v>7.75</v>
      </c>
      <c r="Q661" s="346" t="s">
        <v>1762</v>
      </c>
      <c r="R661" s="458">
        <v>1</v>
      </c>
    </row>
    <row r="662" spans="1:18" x14ac:dyDescent="0.25">
      <c r="A662" s="458">
        <v>44680</v>
      </c>
      <c r="B662" s="346">
        <v>3100000131</v>
      </c>
      <c r="C662" s="346" t="s">
        <v>4372</v>
      </c>
      <c r="D662" s="346" t="s">
        <v>1756</v>
      </c>
      <c r="E662" s="346" t="s">
        <v>1757</v>
      </c>
      <c r="F662" s="346" t="s">
        <v>1758</v>
      </c>
      <c r="G662" s="346" t="s">
        <v>1780</v>
      </c>
      <c r="H662" s="346" t="s">
        <v>1233</v>
      </c>
      <c r="I662" s="346">
        <v>3202046.51</v>
      </c>
      <c r="J662" s="346" t="s">
        <v>572</v>
      </c>
      <c r="K662" s="346" t="s">
        <v>1761</v>
      </c>
      <c r="L662" s="346"/>
      <c r="M662" s="346" t="s">
        <v>1761</v>
      </c>
      <c r="N662" s="346">
        <v>0.25</v>
      </c>
      <c r="O662" s="346">
        <v>5</v>
      </c>
      <c r="P662" s="346">
        <v>5.75</v>
      </c>
      <c r="Q662" s="346" t="s">
        <v>1762</v>
      </c>
      <c r="R662" s="458">
        <v>1</v>
      </c>
    </row>
    <row r="663" spans="1:18" x14ac:dyDescent="0.25">
      <c r="A663" s="458">
        <v>44680</v>
      </c>
      <c r="B663" s="346">
        <v>3100000125</v>
      </c>
      <c r="C663" s="346" t="s">
        <v>2490</v>
      </c>
      <c r="D663" s="346" t="s">
        <v>1756</v>
      </c>
      <c r="E663" s="346" t="s">
        <v>1757</v>
      </c>
      <c r="F663" s="346" t="s">
        <v>1758</v>
      </c>
      <c r="G663" s="346" t="s">
        <v>1780</v>
      </c>
      <c r="H663" s="346" t="s">
        <v>1233</v>
      </c>
      <c r="I663" s="346">
        <v>38773217.799999997</v>
      </c>
      <c r="J663" s="346" t="s">
        <v>572</v>
      </c>
      <c r="K663" s="346" t="s">
        <v>1761</v>
      </c>
      <c r="L663" s="346"/>
      <c r="M663" s="346" t="s">
        <v>1761</v>
      </c>
      <c r="N663" s="346">
        <v>0.1</v>
      </c>
      <c r="O663" s="346">
        <v>5.0999999999999996</v>
      </c>
      <c r="P663" s="346">
        <v>5.85</v>
      </c>
      <c r="Q663" s="346" t="s">
        <v>1762</v>
      </c>
      <c r="R663" s="458">
        <v>1</v>
      </c>
    </row>
    <row r="664" spans="1:18" x14ac:dyDescent="0.25">
      <c r="A664" s="458">
        <v>44680</v>
      </c>
      <c r="B664" s="346">
        <v>3100000127</v>
      </c>
      <c r="C664" s="346" t="s">
        <v>4562</v>
      </c>
      <c r="D664" s="346" t="s">
        <v>1756</v>
      </c>
      <c r="E664" s="346" t="s">
        <v>1757</v>
      </c>
      <c r="F664" s="346" t="s">
        <v>1758</v>
      </c>
      <c r="G664" s="346" t="s">
        <v>1780</v>
      </c>
      <c r="H664" s="346" t="s">
        <v>1233</v>
      </c>
      <c r="I664" s="346">
        <v>2965695</v>
      </c>
      <c r="J664" s="346" t="s">
        <v>1787</v>
      </c>
      <c r="K664" s="346" t="s">
        <v>2493</v>
      </c>
      <c r="L664" s="346"/>
      <c r="M664" s="346" t="s">
        <v>1761</v>
      </c>
      <c r="N664" s="346"/>
      <c r="O664" s="346">
        <v>9</v>
      </c>
      <c r="P664" s="346">
        <v>9</v>
      </c>
      <c r="Q664" s="346" t="s">
        <v>1762</v>
      </c>
      <c r="R664" s="458">
        <v>1</v>
      </c>
    </row>
    <row r="665" spans="1:18" x14ac:dyDescent="0.25">
      <c r="A665" s="458">
        <v>44680</v>
      </c>
      <c r="B665" s="346">
        <v>3100000126</v>
      </c>
      <c r="C665" s="346" t="s">
        <v>4563</v>
      </c>
      <c r="D665" s="346" t="s">
        <v>1756</v>
      </c>
      <c r="E665" s="346" t="s">
        <v>1757</v>
      </c>
      <c r="F665" s="346" t="s">
        <v>1758</v>
      </c>
      <c r="G665" s="346" t="s">
        <v>1780</v>
      </c>
      <c r="H665" s="346" t="s">
        <v>1233</v>
      </c>
      <c r="I665" s="346">
        <v>5900000</v>
      </c>
      <c r="J665" s="346" t="s">
        <v>572</v>
      </c>
      <c r="K665" s="346" t="s">
        <v>1761</v>
      </c>
      <c r="L665" s="346"/>
      <c r="M665" s="346" t="s">
        <v>1761</v>
      </c>
      <c r="N665" s="346">
        <v>0.25</v>
      </c>
      <c r="O665" s="346">
        <v>5.6</v>
      </c>
      <c r="P665" s="346">
        <v>6.35</v>
      </c>
      <c r="Q665" s="346" t="s">
        <v>1762</v>
      </c>
      <c r="R665" s="458">
        <v>1</v>
      </c>
    </row>
    <row r="666" spans="1:18" x14ac:dyDescent="0.25">
      <c r="A666" s="458">
        <v>44680</v>
      </c>
      <c r="B666" s="346">
        <v>1300000002</v>
      </c>
      <c r="C666" s="346" t="s">
        <v>4564</v>
      </c>
      <c r="D666" s="346" t="s">
        <v>1756</v>
      </c>
      <c r="E666" s="346" t="s">
        <v>1757</v>
      </c>
      <c r="F666" s="346" t="s">
        <v>1758</v>
      </c>
      <c r="G666" s="346" t="s">
        <v>1789</v>
      </c>
      <c r="H666" s="346" t="s">
        <v>1790</v>
      </c>
      <c r="I666" s="346">
        <v>750000</v>
      </c>
      <c r="J666" s="346" t="s">
        <v>572</v>
      </c>
      <c r="K666" s="346" t="s">
        <v>1761</v>
      </c>
      <c r="L666" s="346"/>
      <c r="M666" s="346" t="s">
        <v>1761</v>
      </c>
      <c r="N666" s="346">
        <v>0.5</v>
      </c>
      <c r="O666" s="346">
        <v>6.5</v>
      </c>
      <c r="P666" s="346">
        <v>7.25</v>
      </c>
      <c r="Q666" s="346" t="s">
        <v>1762</v>
      </c>
      <c r="R666" s="458">
        <v>1</v>
      </c>
    </row>
    <row r="667" spans="1:18" x14ac:dyDescent="0.25">
      <c r="A667" s="458">
        <v>44680</v>
      </c>
      <c r="B667" s="346">
        <v>2200000115</v>
      </c>
      <c r="C667" s="346" t="s">
        <v>2494</v>
      </c>
      <c r="D667" s="346" t="s">
        <v>1756</v>
      </c>
      <c r="E667" s="346" t="s">
        <v>1757</v>
      </c>
      <c r="F667" s="346" t="s">
        <v>1758</v>
      </c>
      <c r="G667" s="346" t="s">
        <v>1759</v>
      </c>
      <c r="H667" s="346" t="s">
        <v>1760</v>
      </c>
      <c r="I667" s="346">
        <v>4859252.01</v>
      </c>
      <c r="J667" s="346" t="s">
        <v>572</v>
      </c>
      <c r="K667" s="346" t="s">
        <v>1761</v>
      </c>
      <c r="L667" s="346"/>
      <c r="M667" s="346" t="s">
        <v>1761</v>
      </c>
      <c r="N667" s="346">
        <v>0.1</v>
      </c>
      <c r="O667" s="346">
        <v>5.86</v>
      </c>
      <c r="P667" s="346">
        <v>6.61</v>
      </c>
      <c r="Q667" s="346" t="s">
        <v>1762</v>
      </c>
      <c r="R667" s="458">
        <v>1</v>
      </c>
    </row>
    <row r="668" spans="1:18" x14ac:dyDescent="0.25">
      <c r="A668" s="458">
        <v>44680</v>
      </c>
      <c r="B668" s="346">
        <v>2200000116</v>
      </c>
      <c r="C668" s="346" t="s">
        <v>2495</v>
      </c>
      <c r="D668" s="346" t="s">
        <v>1756</v>
      </c>
      <c r="E668" s="346" t="s">
        <v>1757</v>
      </c>
      <c r="F668" s="346" t="s">
        <v>1758</v>
      </c>
      <c r="G668" s="346" t="s">
        <v>1759</v>
      </c>
      <c r="H668" s="346" t="s">
        <v>1760</v>
      </c>
      <c r="I668" s="346">
        <v>1.01</v>
      </c>
      <c r="J668" s="346" t="s">
        <v>572</v>
      </c>
      <c r="K668" s="346" t="s">
        <v>1761</v>
      </c>
      <c r="L668" s="346"/>
      <c r="M668" s="346" t="s">
        <v>1761</v>
      </c>
      <c r="N668" s="346">
        <v>0.1</v>
      </c>
      <c r="O668" s="346">
        <v>6.27</v>
      </c>
      <c r="P668" s="346">
        <v>7.02</v>
      </c>
      <c r="Q668" s="346" t="s">
        <v>1762</v>
      </c>
      <c r="R668" s="458">
        <v>1</v>
      </c>
    </row>
    <row r="669" spans="1:18" x14ac:dyDescent="0.25">
      <c r="A669" s="458">
        <v>44680</v>
      </c>
      <c r="B669" s="346">
        <v>2200000105</v>
      </c>
      <c r="C669" s="346" t="s">
        <v>2497</v>
      </c>
      <c r="D669" s="346" t="s">
        <v>1756</v>
      </c>
      <c r="E669" s="346" t="s">
        <v>1757</v>
      </c>
      <c r="F669" s="346" t="s">
        <v>1758</v>
      </c>
      <c r="G669" s="346" t="s">
        <v>1759</v>
      </c>
      <c r="H669" s="346" t="s">
        <v>1760</v>
      </c>
      <c r="I669" s="346">
        <v>3391815</v>
      </c>
      <c r="J669" s="346" t="s">
        <v>572</v>
      </c>
      <c r="K669" s="346" t="s">
        <v>1761</v>
      </c>
      <c r="L669" s="346"/>
      <c r="M669" s="346" t="s">
        <v>1761</v>
      </c>
      <c r="N669" s="346">
        <v>0.1</v>
      </c>
      <c r="O669" s="346">
        <v>5.79</v>
      </c>
      <c r="P669" s="346">
        <v>6.54</v>
      </c>
      <c r="Q669" s="346" t="s">
        <v>1762</v>
      </c>
      <c r="R669" s="458">
        <v>1</v>
      </c>
    </row>
    <row r="670" spans="1:18" x14ac:dyDescent="0.25">
      <c r="A670" s="458">
        <v>44680</v>
      </c>
      <c r="B670" s="346">
        <v>2200000113</v>
      </c>
      <c r="C670" s="346" t="s">
        <v>2498</v>
      </c>
      <c r="D670" s="346" t="s">
        <v>1756</v>
      </c>
      <c r="E670" s="346" t="s">
        <v>1757</v>
      </c>
      <c r="F670" s="346" t="s">
        <v>1758</v>
      </c>
      <c r="G670" s="346" t="s">
        <v>1759</v>
      </c>
      <c r="H670" s="346" t="s">
        <v>1760</v>
      </c>
      <c r="I670" s="346">
        <v>997172.03</v>
      </c>
      <c r="J670" s="346" t="s">
        <v>572</v>
      </c>
      <c r="K670" s="346" t="s">
        <v>1761</v>
      </c>
      <c r="L670" s="346"/>
      <c r="M670" s="346" t="s">
        <v>1761</v>
      </c>
      <c r="N670" s="346">
        <v>0.1</v>
      </c>
      <c r="O670" s="346">
        <v>5.75</v>
      </c>
      <c r="P670" s="346">
        <v>6.5</v>
      </c>
      <c r="Q670" s="346" t="s">
        <v>1762</v>
      </c>
      <c r="R670" s="458">
        <v>1</v>
      </c>
    </row>
    <row r="671" spans="1:18" x14ac:dyDescent="0.25">
      <c r="A671" s="458">
        <v>44680</v>
      </c>
      <c r="B671" s="346">
        <v>2200000118</v>
      </c>
      <c r="C671" s="346" t="s">
        <v>2499</v>
      </c>
      <c r="D671" s="346" t="s">
        <v>1756</v>
      </c>
      <c r="E671" s="346" t="s">
        <v>1757</v>
      </c>
      <c r="F671" s="346" t="s">
        <v>1758</v>
      </c>
      <c r="G671" s="346" t="s">
        <v>1759</v>
      </c>
      <c r="H671" s="346" t="s">
        <v>1760</v>
      </c>
      <c r="I671" s="346">
        <v>3875765.63</v>
      </c>
      <c r="J671" s="346" t="s">
        <v>572</v>
      </c>
      <c r="K671" s="346" t="s">
        <v>1761</v>
      </c>
      <c r="L671" s="346"/>
      <c r="M671" s="346" t="s">
        <v>1761</v>
      </c>
      <c r="N671" s="346">
        <v>0.1</v>
      </c>
      <c r="O671" s="346">
        <v>5.78</v>
      </c>
      <c r="P671" s="346">
        <v>6.53</v>
      </c>
      <c r="Q671" s="346" t="s">
        <v>1762</v>
      </c>
      <c r="R671" s="458">
        <v>1</v>
      </c>
    </row>
    <row r="672" spans="1:18" x14ac:dyDescent="0.25">
      <c r="A672" s="458">
        <v>44680</v>
      </c>
      <c r="B672" s="346">
        <v>2200000102</v>
      </c>
      <c r="C672" s="346" t="s">
        <v>2373</v>
      </c>
      <c r="D672" s="346" t="s">
        <v>1756</v>
      </c>
      <c r="E672" s="346" t="s">
        <v>1757</v>
      </c>
      <c r="F672" s="346" t="s">
        <v>1758</v>
      </c>
      <c r="G672" s="346" t="s">
        <v>1759</v>
      </c>
      <c r="H672" s="346" t="s">
        <v>1760</v>
      </c>
      <c r="I672" s="346">
        <v>1314560.3400000001</v>
      </c>
      <c r="J672" s="346" t="s">
        <v>572</v>
      </c>
      <c r="K672" s="346" t="s">
        <v>1761</v>
      </c>
      <c r="L672" s="346"/>
      <c r="M672" s="346" t="s">
        <v>1761</v>
      </c>
      <c r="N672" s="346">
        <v>0.1</v>
      </c>
      <c r="O672" s="346">
        <v>6.61</v>
      </c>
      <c r="P672" s="346">
        <v>7.36</v>
      </c>
      <c r="Q672" s="346" t="s">
        <v>1762</v>
      </c>
      <c r="R672" s="458">
        <v>1</v>
      </c>
    </row>
    <row r="673" spans="1:18" x14ac:dyDescent="0.25">
      <c r="A673" s="458">
        <v>44680</v>
      </c>
      <c r="B673" s="346">
        <v>2200000106</v>
      </c>
      <c r="C673" s="346" t="s">
        <v>2500</v>
      </c>
      <c r="D673" s="346" t="s">
        <v>1756</v>
      </c>
      <c r="E673" s="346" t="s">
        <v>1757</v>
      </c>
      <c r="F673" s="346" t="s">
        <v>1758</v>
      </c>
      <c r="G673" s="346" t="s">
        <v>1759</v>
      </c>
      <c r="H673" s="346" t="s">
        <v>1760</v>
      </c>
      <c r="I673" s="346">
        <v>3042288.48</v>
      </c>
      <c r="J673" s="346" t="s">
        <v>572</v>
      </c>
      <c r="K673" s="346" t="s">
        <v>1761</v>
      </c>
      <c r="L673" s="346"/>
      <c r="M673" s="346" t="s">
        <v>1761</v>
      </c>
      <c r="N673" s="346">
        <v>0.11</v>
      </c>
      <c r="O673" s="346">
        <v>6.44</v>
      </c>
      <c r="P673" s="346">
        <v>7.19</v>
      </c>
      <c r="Q673" s="346" t="s">
        <v>1762</v>
      </c>
      <c r="R673" s="458">
        <v>1</v>
      </c>
    </row>
    <row r="674" spans="1:18" x14ac:dyDescent="0.25">
      <c r="A674" s="458">
        <v>44680</v>
      </c>
      <c r="B674" s="346">
        <v>2200000013</v>
      </c>
      <c r="C674" s="346" t="s">
        <v>2374</v>
      </c>
      <c r="D674" s="346" t="s">
        <v>1756</v>
      </c>
      <c r="E674" s="346" t="s">
        <v>1757</v>
      </c>
      <c r="F674" s="346" t="s">
        <v>1758</v>
      </c>
      <c r="G674" s="346" t="s">
        <v>1759</v>
      </c>
      <c r="H674" s="346" t="s">
        <v>1760</v>
      </c>
      <c r="I674" s="346">
        <v>184091.4</v>
      </c>
      <c r="J674" s="346" t="s">
        <v>572</v>
      </c>
      <c r="K674" s="346" t="s">
        <v>1761</v>
      </c>
      <c r="L674" s="346"/>
      <c r="M674" s="346" t="s">
        <v>1761</v>
      </c>
      <c r="N674" s="346">
        <v>0.1</v>
      </c>
      <c r="O674" s="346">
        <v>7.07</v>
      </c>
      <c r="P674" s="346">
        <v>7.82</v>
      </c>
      <c r="Q674" s="346" t="s">
        <v>1765</v>
      </c>
      <c r="R674" s="458">
        <v>44177</v>
      </c>
    </row>
    <row r="675" spans="1:18" x14ac:dyDescent="0.25">
      <c r="A675" s="458">
        <v>44680</v>
      </c>
      <c r="B675" s="346">
        <v>2200000012</v>
      </c>
      <c r="C675" s="346" t="s">
        <v>2375</v>
      </c>
      <c r="D675" s="346" t="s">
        <v>1756</v>
      </c>
      <c r="E675" s="346" t="s">
        <v>1757</v>
      </c>
      <c r="F675" s="346" t="s">
        <v>1758</v>
      </c>
      <c r="G675" s="346" t="s">
        <v>1759</v>
      </c>
      <c r="H675" s="346" t="s">
        <v>1760</v>
      </c>
      <c r="I675" s="346">
        <v>1278218.8600000001</v>
      </c>
      <c r="J675" s="346" t="s">
        <v>572</v>
      </c>
      <c r="K675" s="346" t="s">
        <v>1761</v>
      </c>
      <c r="L675" s="346"/>
      <c r="M675" s="346" t="s">
        <v>1761</v>
      </c>
      <c r="N675" s="346">
        <v>0.1</v>
      </c>
      <c r="O675" s="346">
        <v>7.07</v>
      </c>
      <c r="P675" s="346">
        <v>7.82</v>
      </c>
      <c r="Q675" s="346" t="s">
        <v>1765</v>
      </c>
      <c r="R675" s="458">
        <v>44177</v>
      </c>
    </row>
    <row r="676" spans="1:18" x14ac:dyDescent="0.25">
      <c r="A676" s="458">
        <v>44680</v>
      </c>
      <c r="B676" s="346">
        <v>2200000104</v>
      </c>
      <c r="C676" s="346" t="s">
        <v>2379</v>
      </c>
      <c r="D676" s="346" t="s">
        <v>1756</v>
      </c>
      <c r="E676" s="346" t="s">
        <v>1757</v>
      </c>
      <c r="F676" s="346" t="s">
        <v>1758</v>
      </c>
      <c r="G676" s="346" t="s">
        <v>1759</v>
      </c>
      <c r="H676" s="346" t="s">
        <v>1760</v>
      </c>
      <c r="I676" s="346">
        <v>2800055.59</v>
      </c>
      <c r="J676" s="346" t="s">
        <v>572</v>
      </c>
      <c r="K676" s="346" t="s">
        <v>1761</v>
      </c>
      <c r="L676" s="346"/>
      <c r="M676" s="346" t="s">
        <v>1761</v>
      </c>
      <c r="N676" s="346">
        <v>0.1</v>
      </c>
      <c r="O676" s="346">
        <v>6.01</v>
      </c>
      <c r="P676" s="346">
        <v>6.76</v>
      </c>
      <c r="Q676" s="346" t="s">
        <v>1762</v>
      </c>
      <c r="R676" s="458">
        <v>1</v>
      </c>
    </row>
    <row r="677" spans="1:18" x14ac:dyDescent="0.25">
      <c r="A677" s="458">
        <v>44680</v>
      </c>
      <c r="B677" s="346">
        <v>2200000103</v>
      </c>
      <c r="C677" s="346" t="s">
        <v>2380</v>
      </c>
      <c r="D677" s="346" t="s">
        <v>1756</v>
      </c>
      <c r="E677" s="346" t="s">
        <v>1757</v>
      </c>
      <c r="F677" s="346" t="s">
        <v>1758</v>
      </c>
      <c r="G677" s="346" t="s">
        <v>1759</v>
      </c>
      <c r="H677" s="346" t="s">
        <v>1760</v>
      </c>
      <c r="I677" s="346">
        <v>1614791.81</v>
      </c>
      <c r="J677" s="346" t="s">
        <v>572</v>
      </c>
      <c r="K677" s="346" t="s">
        <v>1761</v>
      </c>
      <c r="L677" s="346"/>
      <c r="M677" s="346" t="s">
        <v>1761</v>
      </c>
      <c r="N677" s="346">
        <v>0.1</v>
      </c>
      <c r="O677" s="346">
        <v>6.21</v>
      </c>
      <c r="P677" s="346">
        <v>6.96</v>
      </c>
      <c r="Q677" s="346" t="s">
        <v>1762</v>
      </c>
      <c r="R677" s="458">
        <v>1</v>
      </c>
    </row>
    <row r="678" spans="1:18" x14ac:dyDescent="0.25">
      <c r="A678" s="458">
        <v>44680</v>
      </c>
      <c r="B678" s="346">
        <v>2200000121</v>
      </c>
      <c r="C678" s="346" t="s">
        <v>2501</v>
      </c>
      <c r="D678" s="346" t="s">
        <v>1756</v>
      </c>
      <c r="E678" s="346" t="s">
        <v>1757</v>
      </c>
      <c r="F678" s="346" t="s">
        <v>1758</v>
      </c>
      <c r="G678" s="346" t="s">
        <v>1759</v>
      </c>
      <c r="H678" s="346" t="s">
        <v>1760</v>
      </c>
      <c r="I678" s="346">
        <v>2574908.19</v>
      </c>
      <c r="J678" s="346" t="s">
        <v>572</v>
      </c>
      <c r="K678" s="346" t="s">
        <v>1761</v>
      </c>
      <c r="L678" s="346"/>
      <c r="M678" s="346" t="s">
        <v>1761</v>
      </c>
      <c r="N678" s="346">
        <v>0.1</v>
      </c>
      <c r="O678" s="346">
        <v>6.29</v>
      </c>
      <c r="P678" s="346">
        <v>7.04</v>
      </c>
      <c r="Q678" s="346" t="s">
        <v>1762</v>
      </c>
      <c r="R678" s="458">
        <v>1</v>
      </c>
    </row>
    <row r="679" spans="1:18" x14ac:dyDescent="0.25">
      <c r="A679" s="458">
        <v>44680</v>
      </c>
      <c r="B679" s="346">
        <v>2200000110</v>
      </c>
      <c r="C679" s="346" t="s">
        <v>2502</v>
      </c>
      <c r="D679" s="346" t="s">
        <v>1756</v>
      </c>
      <c r="E679" s="346" t="s">
        <v>1757</v>
      </c>
      <c r="F679" s="346" t="s">
        <v>1758</v>
      </c>
      <c r="G679" s="346" t="s">
        <v>1759</v>
      </c>
      <c r="H679" s="346" t="s">
        <v>1760</v>
      </c>
      <c r="I679" s="346">
        <v>752500.29</v>
      </c>
      <c r="J679" s="346" t="s">
        <v>572</v>
      </c>
      <c r="K679" s="346" t="s">
        <v>1761</v>
      </c>
      <c r="L679" s="346"/>
      <c r="M679" s="346" t="s">
        <v>1761</v>
      </c>
      <c r="N679" s="346">
        <v>0.1</v>
      </c>
      <c r="O679" s="346">
        <v>6.27</v>
      </c>
      <c r="P679" s="346">
        <v>7.02</v>
      </c>
      <c r="Q679" s="346" t="s">
        <v>1762</v>
      </c>
      <c r="R679" s="458">
        <v>1</v>
      </c>
    </row>
    <row r="680" spans="1:18" x14ac:dyDescent="0.25">
      <c r="A680" s="458">
        <v>44680</v>
      </c>
      <c r="B680" s="346">
        <v>2200000010</v>
      </c>
      <c r="C680" s="346" t="s">
        <v>2376</v>
      </c>
      <c r="D680" s="346" t="s">
        <v>1756</v>
      </c>
      <c r="E680" s="346" t="s">
        <v>1757</v>
      </c>
      <c r="F680" s="346" t="s">
        <v>1758</v>
      </c>
      <c r="G680" s="346" t="s">
        <v>1759</v>
      </c>
      <c r="H680" s="346" t="s">
        <v>1760</v>
      </c>
      <c r="I680" s="346">
        <v>1683090</v>
      </c>
      <c r="J680" s="346" t="s">
        <v>572</v>
      </c>
      <c r="K680" s="346" t="s">
        <v>1761</v>
      </c>
      <c r="L680" s="346"/>
      <c r="M680" s="346" t="s">
        <v>1761</v>
      </c>
      <c r="N680" s="346">
        <v>0.25</v>
      </c>
      <c r="O680" s="346">
        <v>5.91</v>
      </c>
      <c r="P680" s="346">
        <v>6.66</v>
      </c>
      <c r="Q680" s="346" t="s">
        <v>1765</v>
      </c>
      <c r="R680" s="458">
        <v>44177</v>
      </c>
    </row>
    <row r="681" spans="1:18" x14ac:dyDescent="0.25">
      <c r="A681" s="458">
        <v>44680</v>
      </c>
      <c r="B681" s="346">
        <v>2200000101</v>
      </c>
      <c r="C681" s="346" t="s">
        <v>2371</v>
      </c>
      <c r="D681" s="346" t="s">
        <v>1281</v>
      </c>
      <c r="E681" s="346" t="s">
        <v>1757</v>
      </c>
      <c r="F681" s="346" t="s">
        <v>1758</v>
      </c>
      <c r="G681" s="346" t="s">
        <v>1759</v>
      </c>
      <c r="H681" s="346" t="s">
        <v>1760</v>
      </c>
      <c r="I681" s="346">
        <v>2695924.08</v>
      </c>
      <c r="J681" s="346" t="s">
        <v>572</v>
      </c>
      <c r="K681" s="346" t="s">
        <v>1761</v>
      </c>
      <c r="L681" s="346"/>
      <c r="M681" s="346" t="s">
        <v>1761</v>
      </c>
      <c r="N681" s="346">
        <v>0.1</v>
      </c>
      <c r="O681" s="346">
        <v>6.2</v>
      </c>
      <c r="P681" s="346">
        <v>6.95</v>
      </c>
      <c r="Q681" s="346" t="s">
        <v>1762</v>
      </c>
      <c r="R681" s="458">
        <v>1</v>
      </c>
    </row>
    <row r="682" spans="1:18" x14ac:dyDescent="0.25">
      <c r="A682" s="458">
        <v>44680</v>
      </c>
      <c r="B682" s="346">
        <v>2200000107</v>
      </c>
      <c r="C682" s="346" t="s">
        <v>2496</v>
      </c>
      <c r="D682" s="346" t="s">
        <v>1756</v>
      </c>
      <c r="E682" s="346" t="s">
        <v>1757</v>
      </c>
      <c r="F682" s="346" t="s">
        <v>1758</v>
      </c>
      <c r="G682" s="346" t="s">
        <v>1759</v>
      </c>
      <c r="H682" s="346" t="s">
        <v>1760</v>
      </c>
      <c r="I682" s="346">
        <v>1043996</v>
      </c>
      <c r="J682" s="346" t="s">
        <v>572</v>
      </c>
      <c r="K682" s="346" t="s">
        <v>1761</v>
      </c>
      <c r="L682" s="346"/>
      <c r="M682" s="346" t="s">
        <v>1761</v>
      </c>
      <c r="N682" s="346">
        <v>0.1</v>
      </c>
      <c r="O682" s="346">
        <v>5.69</v>
      </c>
      <c r="P682" s="346">
        <v>6.44</v>
      </c>
      <c r="Q682" s="346" t="s">
        <v>1762</v>
      </c>
      <c r="R682" s="458">
        <v>1</v>
      </c>
    </row>
    <row r="683" spans="1:18" x14ac:dyDescent="0.25">
      <c r="A683" s="458">
        <v>44680</v>
      </c>
      <c r="B683" s="346">
        <v>2200000011</v>
      </c>
      <c r="C683" s="346" t="s">
        <v>2377</v>
      </c>
      <c r="D683" s="346" t="s">
        <v>1756</v>
      </c>
      <c r="E683" s="346" t="s">
        <v>1757</v>
      </c>
      <c r="F683" s="346" t="s">
        <v>1758</v>
      </c>
      <c r="G683" s="346" t="s">
        <v>1759</v>
      </c>
      <c r="H683" s="346" t="s">
        <v>1760</v>
      </c>
      <c r="I683" s="346">
        <v>2650525.5</v>
      </c>
      <c r="J683" s="346" t="s">
        <v>572</v>
      </c>
      <c r="K683" s="346" t="s">
        <v>1761</v>
      </c>
      <c r="L683" s="346"/>
      <c r="M683" s="346" t="s">
        <v>1761</v>
      </c>
      <c r="N683" s="346">
        <v>0.25</v>
      </c>
      <c r="O683" s="346">
        <v>5.91</v>
      </c>
      <c r="P683" s="346">
        <v>6.66</v>
      </c>
      <c r="Q683" s="346" t="s">
        <v>1765</v>
      </c>
      <c r="R683" s="458">
        <v>44177</v>
      </c>
    </row>
    <row r="684" spans="1:18" x14ac:dyDescent="0.25">
      <c r="A684" s="458">
        <v>44680</v>
      </c>
      <c r="B684" s="346">
        <v>4100000101</v>
      </c>
      <c r="C684" s="346" t="s">
        <v>2503</v>
      </c>
      <c r="D684" s="346" t="s">
        <v>1756</v>
      </c>
      <c r="E684" s="346" t="s">
        <v>1757</v>
      </c>
      <c r="F684" s="346" t="s">
        <v>1758</v>
      </c>
      <c r="G684" s="346" t="s">
        <v>1764</v>
      </c>
      <c r="H684" s="346" t="s">
        <v>1250</v>
      </c>
      <c r="I684" s="346">
        <v>10479000</v>
      </c>
      <c r="J684" s="346" t="s">
        <v>572</v>
      </c>
      <c r="K684" s="346" t="s">
        <v>1761</v>
      </c>
      <c r="L684" s="346"/>
      <c r="M684" s="346" t="s">
        <v>1761</v>
      </c>
      <c r="N684" s="346">
        <v>0.1</v>
      </c>
      <c r="O684" s="346">
        <v>4.25</v>
      </c>
      <c r="P684" s="346">
        <v>5</v>
      </c>
      <c r="Q684" s="346" t="s">
        <v>1762</v>
      </c>
      <c r="R684" s="458">
        <v>1</v>
      </c>
    </row>
    <row r="685" spans="1:18" x14ac:dyDescent="0.25">
      <c r="A685" s="458">
        <v>44680</v>
      </c>
      <c r="B685" s="346">
        <v>4100000028</v>
      </c>
      <c r="C685" s="346" t="s">
        <v>2382</v>
      </c>
      <c r="D685" s="346" t="s">
        <v>1756</v>
      </c>
      <c r="E685" s="346" t="s">
        <v>1757</v>
      </c>
      <c r="F685" s="346" t="s">
        <v>1758</v>
      </c>
      <c r="G685" s="346" t="s">
        <v>1764</v>
      </c>
      <c r="H685" s="346" t="s">
        <v>1250</v>
      </c>
      <c r="I685" s="346">
        <v>462500</v>
      </c>
      <c r="J685" s="346" t="s">
        <v>572</v>
      </c>
      <c r="K685" s="346" t="s">
        <v>1761</v>
      </c>
      <c r="L685" s="346"/>
      <c r="M685" s="346" t="s">
        <v>1761</v>
      </c>
      <c r="N685" s="346">
        <v>0.64</v>
      </c>
      <c r="O685" s="346">
        <v>4.07</v>
      </c>
      <c r="P685" s="346">
        <v>4.82</v>
      </c>
      <c r="Q685" s="346" t="s">
        <v>1765</v>
      </c>
      <c r="R685" s="458">
        <v>44177</v>
      </c>
    </row>
    <row r="686" spans="1:18" x14ac:dyDescent="0.25">
      <c r="A686" s="458">
        <v>44680</v>
      </c>
      <c r="B686" s="346">
        <v>4100000103</v>
      </c>
      <c r="C686" s="346" t="s">
        <v>2504</v>
      </c>
      <c r="D686" s="346" t="s">
        <v>1756</v>
      </c>
      <c r="E686" s="346" t="s">
        <v>1757</v>
      </c>
      <c r="F686" s="346" t="s">
        <v>1758</v>
      </c>
      <c r="G686" s="346" t="s">
        <v>1764</v>
      </c>
      <c r="H686" s="346" t="s">
        <v>1250</v>
      </c>
      <c r="I686" s="346">
        <v>550000</v>
      </c>
      <c r="J686" s="346" t="s">
        <v>572</v>
      </c>
      <c r="K686" s="346" t="s">
        <v>1761</v>
      </c>
      <c r="L686" s="346"/>
      <c r="M686" s="346" t="s">
        <v>1761</v>
      </c>
      <c r="N686" s="346">
        <v>0.1</v>
      </c>
      <c r="O686" s="346">
        <v>5.4</v>
      </c>
      <c r="P686" s="346">
        <v>6.15</v>
      </c>
      <c r="Q686" s="346" t="s">
        <v>1762</v>
      </c>
      <c r="R686" s="458">
        <v>1</v>
      </c>
    </row>
    <row r="687" spans="1:18" x14ac:dyDescent="0.25">
      <c r="A687" s="458">
        <v>44680</v>
      </c>
      <c r="B687" s="346">
        <v>4100000105</v>
      </c>
      <c r="C687" s="346" t="s">
        <v>2505</v>
      </c>
      <c r="D687" s="346" t="s">
        <v>1756</v>
      </c>
      <c r="E687" s="346" t="s">
        <v>1757</v>
      </c>
      <c r="F687" s="346" t="s">
        <v>1758</v>
      </c>
      <c r="G687" s="346" t="s">
        <v>1764</v>
      </c>
      <c r="H687" s="346" t="s">
        <v>1250</v>
      </c>
      <c r="I687" s="346">
        <v>475000</v>
      </c>
      <c r="J687" s="346" t="s">
        <v>572</v>
      </c>
      <c r="K687" s="346" t="s">
        <v>1761</v>
      </c>
      <c r="L687" s="346"/>
      <c r="M687" s="346" t="s">
        <v>1761</v>
      </c>
      <c r="N687" s="346">
        <v>0.1</v>
      </c>
      <c r="O687" s="346">
        <v>4.17</v>
      </c>
      <c r="P687" s="346">
        <v>4.92</v>
      </c>
      <c r="Q687" s="346" t="s">
        <v>1762</v>
      </c>
      <c r="R687" s="458">
        <v>1</v>
      </c>
    </row>
    <row r="688" spans="1:18" x14ac:dyDescent="0.25">
      <c r="A688" s="458">
        <v>44680</v>
      </c>
      <c r="B688" s="346">
        <v>2100000101</v>
      </c>
      <c r="C688" s="346" t="s">
        <v>4565</v>
      </c>
      <c r="D688" s="346" t="s">
        <v>1756</v>
      </c>
      <c r="E688" s="346" t="s">
        <v>1757</v>
      </c>
      <c r="F688" s="346" t="s">
        <v>1758</v>
      </c>
      <c r="G688" s="346" t="s">
        <v>1764</v>
      </c>
      <c r="H688" s="346" t="s">
        <v>1250</v>
      </c>
      <c r="I688" s="346">
        <v>7597733.79</v>
      </c>
      <c r="J688" s="346" t="s">
        <v>572</v>
      </c>
      <c r="K688" s="346" t="s">
        <v>1761</v>
      </c>
      <c r="L688" s="346"/>
      <c r="M688" s="346" t="s">
        <v>1761</v>
      </c>
      <c r="N688" s="346">
        <v>0.1</v>
      </c>
      <c r="O688" s="346">
        <v>4.5</v>
      </c>
      <c r="P688" s="346">
        <v>5.25</v>
      </c>
      <c r="Q688" s="346" t="s">
        <v>1762</v>
      </c>
      <c r="R688" s="458">
        <v>1</v>
      </c>
    </row>
    <row r="689" spans="1:18" x14ac:dyDescent="0.25">
      <c r="A689" s="458">
        <v>44680</v>
      </c>
      <c r="B689" s="346">
        <v>4100000261</v>
      </c>
      <c r="C689" s="346" t="s">
        <v>4566</v>
      </c>
      <c r="D689" s="346" t="s">
        <v>1756</v>
      </c>
      <c r="E689" s="346" t="s">
        <v>1757</v>
      </c>
      <c r="F689" s="346" t="s">
        <v>1758</v>
      </c>
      <c r="G689" s="346" t="s">
        <v>1764</v>
      </c>
      <c r="H689" s="346" t="s">
        <v>1250</v>
      </c>
      <c r="I689" s="346">
        <v>959596</v>
      </c>
      <c r="J689" s="346" t="s">
        <v>572</v>
      </c>
      <c r="K689" s="346" t="s">
        <v>1761</v>
      </c>
      <c r="L689" s="346"/>
      <c r="M689" s="346" t="s">
        <v>1761</v>
      </c>
      <c r="N689" s="346">
        <v>0.75</v>
      </c>
      <c r="O689" s="346">
        <v>4</v>
      </c>
      <c r="P689" s="346">
        <v>4.75</v>
      </c>
      <c r="Q689" s="346" t="s">
        <v>1762</v>
      </c>
      <c r="R689" s="458">
        <v>1</v>
      </c>
    </row>
    <row r="690" spans="1:18" x14ac:dyDescent="0.25">
      <c r="A690" s="458">
        <v>44680</v>
      </c>
      <c r="B690" s="346">
        <v>4100000262</v>
      </c>
      <c r="C690" s="346" t="s">
        <v>4567</v>
      </c>
      <c r="D690" s="346" t="s">
        <v>1281</v>
      </c>
      <c r="E690" s="346" t="s">
        <v>1757</v>
      </c>
      <c r="F690" s="346" t="s">
        <v>1758</v>
      </c>
      <c r="G690" s="346" t="s">
        <v>1764</v>
      </c>
      <c r="H690" s="346" t="s">
        <v>1250</v>
      </c>
      <c r="I690" s="346">
        <v>8759396</v>
      </c>
      <c r="J690" s="346" t="s">
        <v>572</v>
      </c>
      <c r="K690" s="346" t="s">
        <v>1761</v>
      </c>
      <c r="L690" s="346"/>
      <c r="M690" s="346" t="s">
        <v>1761</v>
      </c>
      <c r="N690" s="346">
        <v>0.75</v>
      </c>
      <c r="O690" s="346">
        <v>5.5</v>
      </c>
      <c r="P690" s="346">
        <v>6.25</v>
      </c>
      <c r="Q690" s="346" t="s">
        <v>1762</v>
      </c>
      <c r="R690" s="458">
        <v>1</v>
      </c>
    </row>
    <row r="691" spans="1:18" x14ac:dyDescent="0.25">
      <c r="A691" s="458">
        <v>44680</v>
      </c>
      <c r="B691" s="346">
        <v>4100000263</v>
      </c>
      <c r="C691" s="346" t="s">
        <v>4568</v>
      </c>
      <c r="D691" s="346" t="s">
        <v>1281</v>
      </c>
      <c r="E691" s="346" t="s">
        <v>1763</v>
      </c>
      <c r="F691" s="346" t="s">
        <v>1758</v>
      </c>
      <c r="G691" s="346" t="s">
        <v>1764</v>
      </c>
      <c r="H691" s="346" t="s">
        <v>1250</v>
      </c>
      <c r="I691" s="346">
        <v>0</v>
      </c>
      <c r="J691" s="346" t="s">
        <v>572</v>
      </c>
      <c r="K691" s="346" t="s">
        <v>1761</v>
      </c>
      <c r="L691" s="346"/>
      <c r="M691" s="346" t="s">
        <v>1761</v>
      </c>
      <c r="N691" s="346">
        <v>0.75</v>
      </c>
      <c r="O691" s="346">
        <v>5.5</v>
      </c>
      <c r="P691" s="346">
        <v>6.25</v>
      </c>
      <c r="Q691" s="346" t="s">
        <v>1762</v>
      </c>
      <c r="R691" s="458">
        <v>1</v>
      </c>
    </row>
    <row r="692" spans="1:18" x14ac:dyDescent="0.25">
      <c r="A692" s="458">
        <v>44680</v>
      </c>
      <c r="B692" s="346">
        <v>4100000264</v>
      </c>
      <c r="C692" s="346" t="s">
        <v>4569</v>
      </c>
      <c r="D692" s="346" t="s">
        <v>1756</v>
      </c>
      <c r="E692" s="346" t="s">
        <v>1757</v>
      </c>
      <c r="F692" s="346" t="s">
        <v>1758</v>
      </c>
      <c r="G692" s="346" t="s">
        <v>1764</v>
      </c>
      <c r="H692" s="346" t="s">
        <v>1250</v>
      </c>
      <c r="I692" s="346">
        <v>2723058</v>
      </c>
      <c r="J692" s="346" t="s">
        <v>572</v>
      </c>
      <c r="K692" s="346" t="s">
        <v>1761</v>
      </c>
      <c r="L692" s="346"/>
      <c r="M692" s="346" t="s">
        <v>1761</v>
      </c>
      <c r="N692" s="346">
        <v>0.77</v>
      </c>
      <c r="O692" s="346">
        <v>4</v>
      </c>
      <c r="P692" s="346">
        <v>4.7699999999999996</v>
      </c>
      <c r="Q692" s="346" t="s">
        <v>1762</v>
      </c>
      <c r="R692" s="458">
        <v>1</v>
      </c>
    </row>
    <row r="693" spans="1:18" x14ac:dyDescent="0.25">
      <c r="A693" s="458">
        <v>44680</v>
      </c>
      <c r="B693" s="346">
        <v>4100000265</v>
      </c>
      <c r="C693" s="346" t="s">
        <v>4570</v>
      </c>
      <c r="D693" s="346" t="s">
        <v>1756</v>
      </c>
      <c r="E693" s="346" t="s">
        <v>1757</v>
      </c>
      <c r="F693" s="346" t="s">
        <v>1758</v>
      </c>
      <c r="G693" s="346" t="s">
        <v>1764</v>
      </c>
      <c r="H693" s="346" t="s">
        <v>1250</v>
      </c>
      <c r="I693" s="346">
        <v>1276942</v>
      </c>
      <c r="J693" s="346" t="s">
        <v>572</v>
      </c>
      <c r="K693" s="346" t="s">
        <v>1761</v>
      </c>
      <c r="L693" s="346"/>
      <c r="M693" s="346" t="s">
        <v>1761</v>
      </c>
      <c r="N693" s="346">
        <v>0.77</v>
      </c>
      <c r="O693" s="346">
        <v>4</v>
      </c>
      <c r="P693" s="346">
        <v>4.7699999999999996</v>
      </c>
      <c r="Q693" s="346" t="s">
        <v>1762</v>
      </c>
      <c r="R693" s="458">
        <v>1</v>
      </c>
    </row>
    <row r="694" spans="1:18" x14ac:dyDescent="0.25">
      <c r="A694" s="458">
        <v>44680</v>
      </c>
      <c r="B694" s="346">
        <v>5200000100</v>
      </c>
      <c r="C694" s="346" t="s">
        <v>2400</v>
      </c>
      <c r="D694" s="346" t="s">
        <v>1756</v>
      </c>
      <c r="E694" s="346" t="s">
        <v>1757</v>
      </c>
      <c r="F694" s="346" t="s">
        <v>1758</v>
      </c>
      <c r="G694" s="346" t="s">
        <v>1768</v>
      </c>
      <c r="H694" s="346" t="s">
        <v>1769</v>
      </c>
      <c r="I694" s="346">
        <v>3068293.64</v>
      </c>
      <c r="J694" s="346" t="s">
        <v>572</v>
      </c>
      <c r="K694" s="346" t="s">
        <v>1761</v>
      </c>
      <c r="L694" s="346"/>
      <c r="M694" s="346" t="s">
        <v>1761</v>
      </c>
      <c r="N694" s="346">
        <v>0.1</v>
      </c>
      <c r="O694" s="346">
        <v>5.92</v>
      </c>
      <c r="P694" s="346">
        <v>6.67</v>
      </c>
      <c r="Q694" s="346" t="s">
        <v>1762</v>
      </c>
      <c r="R694" s="458">
        <v>1</v>
      </c>
    </row>
    <row r="695" spans="1:18" x14ac:dyDescent="0.25">
      <c r="A695" s="458">
        <v>44680</v>
      </c>
      <c r="B695" s="346">
        <v>5200000122</v>
      </c>
      <c r="C695" s="346" t="s">
        <v>2506</v>
      </c>
      <c r="D695" s="346" t="s">
        <v>1756</v>
      </c>
      <c r="E695" s="346" t="s">
        <v>1757</v>
      </c>
      <c r="F695" s="346" t="s">
        <v>1758</v>
      </c>
      <c r="G695" s="346" t="s">
        <v>1768</v>
      </c>
      <c r="H695" s="346" t="s">
        <v>1769</v>
      </c>
      <c r="I695" s="346">
        <v>54150.48</v>
      </c>
      <c r="J695" s="346" t="s">
        <v>572</v>
      </c>
      <c r="K695" s="346" t="s">
        <v>1761</v>
      </c>
      <c r="L695" s="346"/>
      <c r="M695" s="346" t="s">
        <v>1761</v>
      </c>
      <c r="N695" s="346">
        <v>0.1</v>
      </c>
      <c r="O695" s="346">
        <v>5.92</v>
      </c>
      <c r="P695" s="346">
        <v>6.67</v>
      </c>
      <c r="Q695" s="346" t="s">
        <v>1762</v>
      </c>
      <c r="R695" s="458">
        <v>1</v>
      </c>
    </row>
    <row r="696" spans="1:18" x14ac:dyDescent="0.25">
      <c r="A696" s="458">
        <v>44680</v>
      </c>
      <c r="B696" s="346">
        <v>5200000114</v>
      </c>
      <c r="C696" s="346" t="s">
        <v>2507</v>
      </c>
      <c r="D696" s="346" t="s">
        <v>1756</v>
      </c>
      <c r="E696" s="346" t="s">
        <v>1757</v>
      </c>
      <c r="F696" s="346" t="s">
        <v>1758</v>
      </c>
      <c r="G696" s="346" t="s">
        <v>1768</v>
      </c>
      <c r="H696" s="346" t="s">
        <v>1769</v>
      </c>
      <c r="I696" s="346">
        <v>1962024.13</v>
      </c>
      <c r="J696" s="346" t="s">
        <v>572</v>
      </c>
      <c r="K696" s="346" t="s">
        <v>1761</v>
      </c>
      <c r="L696" s="346"/>
      <c r="M696" s="346" t="s">
        <v>1761</v>
      </c>
      <c r="N696" s="346">
        <v>0.1</v>
      </c>
      <c r="O696" s="346">
        <v>6.45</v>
      </c>
      <c r="P696" s="346">
        <v>7.2</v>
      </c>
      <c r="Q696" s="346" t="s">
        <v>1762</v>
      </c>
      <c r="R696" s="458">
        <v>1</v>
      </c>
    </row>
    <row r="697" spans="1:18" x14ac:dyDescent="0.25">
      <c r="A697" s="458">
        <v>44680</v>
      </c>
      <c r="B697" s="346">
        <v>5200000118</v>
      </c>
      <c r="C697" s="346" t="s">
        <v>2508</v>
      </c>
      <c r="D697" s="346" t="s">
        <v>1756</v>
      </c>
      <c r="E697" s="346" t="s">
        <v>1757</v>
      </c>
      <c r="F697" s="346" t="s">
        <v>1758</v>
      </c>
      <c r="G697" s="346" t="s">
        <v>1768</v>
      </c>
      <c r="H697" s="346" t="s">
        <v>1769</v>
      </c>
      <c r="I697" s="346">
        <v>145769.4</v>
      </c>
      <c r="J697" s="346" t="s">
        <v>572</v>
      </c>
      <c r="K697" s="346" t="s">
        <v>1761</v>
      </c>
      <c r="L697" s="346"/>
      <c r="M697" s="346" t="s">
        <v>1761</v>
      </c>
      <c r="N697" s="346">
        <v>0.1</v>
      </c>
      <c r="O697" s="346">
        <v>5.97</v>
      </c>
      <c r="P697" s="346">
        <v>6.72</v>
      </c>
      <c r="Q697" s="346" t="s">
        <v>1762</v>
      </c>
      <c r="R697" s="458">
        <v>1</v>
      </c>
    </row>
    <row r="698" spans="1:18" x14ac:dyDescent="0.25">
      <c r="A698" s="458">
        <v>44680</v>
      </c>
      <c r="B698" s="346">
        <v>5200000103</v>
      </c>
      <c r="C698" s="346" t="s">
        <v>2401</v>
      </c>
      <c r="D698" s="346" t="s">
        <v>1756</v>
      </c>
      <c r="E698" s="346" t="s">
        <v>1757</v>
      </c>
      <c r="F698" s="346" t="s">
        <v>1758</v>
      </c>
      <c r="G698" s="346" t="s">
        <v>1768</v>
      </c>
      <c r="H698" s="346" t="s">
        <v>1769</v>
      </c>
      <c r="I698" s="346">
        <v>1138727.23</v>
      </c>
      <c r="J698" s="346" t="s">
        <v>572</v>
      </c>
      <c r="K698" s="346" t="s">
        <v>1761</v>
      </c>
      <c r="L698" s="346"/>
      <c r="M698" s="346" t="s">
        <v>1761</v>
      </c>
      <c r="N698" s="346">
        <v>0.1</v>
      </c>
      <c r="O698" s="346">
        <v>5.84</v>
      </c>
      <c r="P698" s="346">
        <v>6.59</v>
      </c>
      <c r="Q698" s="346" t="s">
        <v>1762</v>
      </c>
      <c r="R698" s="458">
        <v>1</v>
      </c>
    </row>
    <row r="699" spans="1:18" x14ac:dyDescent="0.25">
      <c r="A699" s="458">
        <v>44680</v>
      </c>
      <c r="B699" s="346">
        <v>1100000024</v>
      </c>
      <c r="C699" s="346" t="s">
        <v>2186</v>
      </c>
      <c r="D699" s="346" t="s">
        <v>1281</v>
      </c>
      <c r="E699" s="346" t="s">
        <v>1757</v>
      </c>
      <c r="F699" s="346" t="s">
        <v>1770</v>
      </c>
      <c r="G699" s="346" t="s">
        <v>1771</v>
      </c>
      <c r="H699" s="346" t="s">
        <v>1237</v>
      </c>
      <c r="I699" s="346">
        <v>0</v>
      </c>
      <c r="J699" s="346" t="s">
        <v>572</v>
      </c>
      <c r="K699" s="346" t="s">
        <v>1761</v>
      </c>
      <c r="L699" s="346"/>
      <c r="M699" s="346" t="s">
        <v>1761</v>
      </c>
      <c r="N699" s="346">
        <v>0.1</v>
      </c>
      <c r="O699" s="346">
        <v>5.29</v>
      </c>
      <c r="P699" s="346">
        <v>6.04</v>
      </c>
      <c r="Q699" s="346" t="s">
        <v>1765</v>
      </c>
      <c r="R699" s="458">
        <v>44177</v>
      </c>
    </row>
    <row r="700" spans="1:18" x14ac:dyDescent="0.25">
      <c r="A700" s="458">
        <v>44680</v>
      </c>
      <c r="B700" s="346">
        <v>1100000114</v>
      </c>
      <c r="C700" s="346" t="s">
        <v>2510</v>
      </c>
      <c r="D700" s="346" t="s">
        <v>1756</v>
      </c>
      <c r="E700" s="346" t="s">
        <v>1763</v>
      </c>
      <c r="F700" s="346" t="s">
        <v>1758</v>
      </c>
      <c r="G700" s="346" t="s">
        <v>1771</v>
      </c>
      <c r="H700" s="346" t="s">
        <v>1237</v>
      </c>
      <c r="I700" s="346">
        <v>0</v>
      </c>
      <c r="J700" s="346" t="s">
        <v>572</v>
      </c>
      <c r="K700" s="346" t="s">
        <v>1761</v>
      </c>
      <c r="L700" s="346"/>
      <c r="M700" s="346" t="s">
        <v>1761</v>
      </c>
      <c r="N700" s="346">
        <v>0.1</v>
      </c>
      <c r="O700" s="346">
        <v>4.75</v>
      </c>
      <c r="P700" s="346">
        <v>5.5</v>
      </c>
      <c r="Q700" s="346" t="s">
        <v>1762</v>
      </c>
      <c r="R700" s="458">
        <v>1</v>
      </c>
    </row>
    <row r="701" spans="1:18" x14ac:dyDescent="0.25">
      <c r="A701" s="458">
        <v>44680</v>
      </c>
      <c r="B701" s="346">
        <v>1100000112</v>
      </c>
      <c r="C701" s="346" t="s">
        <v>2511</v>
      </c>
      <c r="D701" s="346" t="s">
        <v>1756</v>
      </c>
      <c r="E701" s="346" t="s">
        <v>1757</v>
      </c>
      <c r="F701" s="346" t="s">
        <v>1758</v>
      </c>
      <c r="G701" s="346" t="s">
        <v>1771</v>
      </c>
      <c r="H701" s="346" t="s">
        <v>1237</v>
      </c>
      <c r="I701" s="346">
        <v>5890823.4299999997</v>
      </c>
      <c r="J701" s="346" t="s">
        <v>572</v>
      </c>
      <c r="K701" s="346" t="s">
        <v>1761</v>
      </c>
      <c r="L701" s="346"/>
      <c r="M701" s="346" t="s">
        <v>1761</v>
      </c>
      <c r="N701" s="346">
        <v>0.5</v>
      </c>
      <c r="O701" s="346">
        <v>6.5</v>
      </c>
      <c r="P701" s="346">
        <v>7.25</v>
      </c>
      <c r="Q701" s="346" t="s">
        <v>1762</v>
      </c>
      <c r="R701" s="458">
        <v>1</v>
      </c>
    </row>
    <row r="702" spans="1:18" x14ac:dyDescent="0.25">
      <c r="A702" s="458">
        <v>44680</v>
      </c>
      <c r="B702" s="346">
        <v>1100000113</v>
      </c>
      <c r="C702" s="346" t="s">
        <v>2509</v>
      </c>
      <c r="D702" s="346" t="s">
        <v>1756</v>
      </c>
      <c r="E702" s="346" t="s">
        <v>1757</v>
      </c>
      <c r="F702" s="346" t="s">
        <v>1758</v>
      </c>
      <c r="G702" s="346" t="s">
        <v>1771</v>
      </c>
      <c r="H702" s="346" t="s">
        <v>1237</v>
      </c>
      <c r="I702" s="346">
        <v>5577300.96</v>
      </c>
      <c r="J702" s="346" t="s">
        <v>572</v>
      </c>
      <c r="K702" s="346" t="s">
        <v>1761</v>
      </c>
      <c r="L702" s="346"/>
      <c r="M702" s="346" t="s">
        <v>1761</v>
      </c>
      <c r="N702" s="346">
        <v>0.1</v>
      </c>
      <c r="O702" s="346">
        <v>5.25</v>
      </c>
      <c r="P702" s="346">
        <v>6</v>
      </c>
      <c r="Q702" s="346" t="s">
        <v>1762</v>
      </c>
      <c r="R702" s="458">
        <v>1</v>
      </c>
    </row>
    <row r="703" spans="1:18" x14ac:dyDescent="0.25">
      <c r="A703" s="458">
        <v>44680</v>
      </c>
      <c r="B703" s="346">
        <v>1100000111</v>
      </c>
      <c r="C703" s="346" t="s">
        <v>2403</v>
      </c>
      <c r="D703" s="346" t="s">
        <v>1281</v>
      </c>
      <c r="E703" s="346" t="s">
        <v>1757</v>
      </c>
      <c r="F703" s="346" t="s">
        <v>1758</v>
      </c>
      <c r="G703" s="346" t="s">
        <v>1771</v>
      </c>
      <c r="H703" s="346" t="s">
        <v>1237</v>
      </c>
      <c r="I703" s="346">
        <v>1000000</v>
      </c>
      <c r="J703" s="346" t="s">
        <v>572</v>
      </c>
      <c r="K703" s="346" t="s">
        <v>1761</v>
      </c>
      <c r="L703" s="346"/>
      <c r="M703" s="346" t="s">
        <v>1761</v>
      </c>
      <c r="N703" s="346">
        <v>0.1</v>
      </c>
      <c r="O703" s="346">
        <v>5.72</v>
      </c>
      <c r="P703" s="346">
        <v>6.47</v>
      </c>
      <c r="Q703" s="346" t="s">
        <v>1762</v>
      </c>
      <c r="R703" s="458">
        <v>1</v>
      </c>
    </row>
    <row r="704" spans="1:18" x14ac:dyDescent="0.25">
      <c r="A704" s="458">
        <v>44680</v>
      </c>
      <c r="B704" s="346">
        <v>1100000110</v>
      </c>
      <c r="C704" s="346" t="s">
        <v>2404</v>
      </c>
      <c r="D704" s="346" t="s">
        <v>1756</v>
      </c>
      <c r="E704" s="346" t="s">
        <v>1757</v>
      </c>
      <c r="F704" s="346" t="s">
        <v>1758</v>
      </c>
      <c r="G704" s="346" t="s">
        <v>1771</v>
      </c>
      <c r="H704" s="346" t="s">
        <v>1237</v>
      </c>
      <c r="I704" s="346">
        <v>360000</v>
      </c>
      <c r="J704" s="346" t="s">
        <v>572</v>
      </c>
      <c r="K704" s="346" t="s">
        <v>1761</v>
      </c>
      <c r="L704" s="346"/>
      <c r="M704" s="346" t="s">
        <v>1761</v>
      </c>
      <c r="N704" s="346">
        <v>0.1</v>
      </c>
      <c r="O704" s="346">
        <v>6.17</v>
      </c>
      <c r="P704" s="346">
        <v>6.92</v>
      </c>
      <c r="Q704" s="346" t="s">
        <v>1762</v>
      </c>
      <c r="R704" s="458">
        <v>1</v>
      </c>
    </row>
    <row r="705" spans="1:18" x14ac:dyDescent="0.25">
      <c r="A705" s="458">
        <v>44680</v>
      </c>
      <c r="B705" s="346">
        <v>1100000281</v>
      </c>
      <c r="C705" s="346" t="s">
        <v>4571</v>
      </c>
      <c r="D705" s="346" t="s">
        <v>1756</v>
      </c>
      <c r="E705" s="346" t="s">
        <v>1757</v>
      </c>
      <c r="F705" s="346" t="s">
        <v>1770</v>
      </c>
      <c r="G705" s="346" t="s">
        <v>1771</v>
      </c>
      <c r="H705" s="346" t="s">
        <v>1237</v>
      </c>
      <c r="I705" s="346">
        <v>9750000</v>
      </c>
      <c r="J705" s="346" t="s">
        <v>572</v>
      </c>
      <c r="K705" s="346" t="s">
        <v>1761</v>
      </c>
      <c r="L705" s="346"/>
      <c r="M705" s="346" t="s">
        <v>1761</v>
      </c>
      <c r="N705" s="346">
        <v>0.4</v>
      </c>
      <c r="O705" s="346">
        <v>5.25</v>
      </c>
      <c r="P705" s="346">
        <v>6</v>
      </c>
      <c r="Q705" s="346" t="s">
        <v>1762</v>
      </c>
      <c r="R705" s="458">
        <v>1</v>
      </c>
    </row>
    <row r="706" spans="1:18" x14ac:dyDescent="0.25">
      <c r="A706" s="458">
        <v>44680</v>
      </c>
      <c r="B706" s="346">
        <v>1100000282</v>
      </c>
      <c r="C706" s="346" t="s">
        <v>4572</v>
      </c>
      <c r="D706" s="346" t="s">
        <v>1756</v>
      </c>
      <c r="E706" s="346" t="s">
        <v>1763</v>
      </c>
      <c r="F706" s="346" t="s">
        <v>1758</v>
      </c>
      <c r="G706" s="346" t="s">
        <v>1771</v>
      </c>
      <c r="H706" s="346" t="s">
        <v>1237</v>
      </c>
      <c r="I706" s="346">
        <v>0</v>
      </c>
      <c r="J706" s="346" t="s">
        <v>572</v>
      </c>
      <c r="K706" s="346" t="s">
        <v>1761</v>
      </c>
      <c r="L706" s="346"/>
      <c r="M706" s="346" t="s">
        <v>1761</v>
      </c>
      <c r="N706" s="346">
        <v>0.75</v>
      </c>
      <c r="O706" s="346">
        <v>6</v>
      </c>
      <c r="P706" s="346">
        <v>6.75</v>
      </c>
      <c r="Q706" s="346" t="s">
        <v>1762</v>
      </c>
      <c r="R706" s="458">
        <v>1</v>
      </c>
    </row>
    <row r="707" spans="1:18" x14ac:dyDescent="0.25">
      <c r="A707" s="458">
        <v>44680</v>
      </c>
      <c r="B707" s="346">
        <v>6100000266</v>
      </c>
      <c r="C707" s="346" t="s">
        <v>2457</v>
      </c>
      <c r="D707" s="346" t="s">
        <v>1281</v>
      </c>
      <c r="E707" s="346" t="s">
        <v>1757</v>
      </c>
      <c r="F707" s="346" t="s">
        <v>1770</v>
      </c>
      <c r="G707" s="346" t="s">
        <v>1772</v>
      </c>
      <c r="H707" s="346" t="s">
        <v>1773</v>
      </c>
      <c r="I707" s="346">
        <v>199327.62</v>
      </c>
      <c r="J707" s="346" t="s">
        <v>572</v>
      </c>
      <c r="K707" s="346" t="s">
        <v>1761</v>
      </c>
      <c r="L707" s="346"/>
      <c r="M707" s="346" t="s">
        <v>1761</v>
      </c>
      <c r="N707" s="346">
        <v>0.85</v>
      </c>
      <c r="O707" s="346">
        <v>5.62</v>
      </c>
      <c r="P707" s="346">
        <v>6.47</v>
      </c>
      <c r="Q707" s="346" t="s">
        <v>1762</v>
      </c>
      <c r="R707" s="458">
        <v>1</v>
      </c>
    </row>
    <row r="708" spans="1:18" x14ac:dyDescent="0.25">
      <c r="A708" s="458">
        <v>44680</v>
      </c>
      <c r="B708" s="346">
        <v>6100000267</v>
      </c>
      <c r="C708" s="346" t="s">
        <v>4543</v>
      </c>
      <c r="D708" s="346" t="s">
        <v>1281</v>
      </c>
      <c r="E708" s="346" t="s">
        <v>1757</v>
      </c>
      <c r="F708" s="346" t="s">
        <v>1770</v>
      </c>
      <c r="G708" s="346" t="s">
        <v>1772</v>
      </c>
      <c r="H708" s="346" t="s">
        <v>1773</v>
      </c>
      <c r="I708" s="346">
        <v>207872.89</v>
      </c>
      <c r="J708" s="346" t="s">
        <v>572</v>
      </c>
      <c r="K708" s="346" t="s">
        <v>1761</v>
      </c>
      <c r="L708" s="346"/>
      <c r="M708" s="346" t="s">
        <v>1761</v>
      </c>
      <c r="N708" s="346">
        <v>0.85</v>
      </c>
      <c r="O708" s="346">
        <v>5.62</v>
      </c>
      <c r="P708" s="346">
        <v>6.47</v>
      </c>
      <c r="Q708" s="346" t="s">
        <v>1762</v>
      </c>
      <c r="R708" s="458">
        <v>1</v>
      </c>
    </row>
    <row r="709" spans="1:18" x14ac:dyDescent="0.25">
      <c r="A709" s="458">
        <v>44680</v>
      </c>
      <c r="B709" s="346">
        <v>6100000268</v>
      </c>
      <c r="C709" s="346" t="s">
        <v>2453</v>
      </c>
      <c r="D709" s="346" t="s">
        <v>1281</v>
      </c>
      <c r="E709" s="346" t="s">
        <v>1757</v>
      </c>
      <c r="F709" s="346" t="s">
        <v>1770</v>
      </c>
      <c r="G709" s="346" t="s">
        <v>1772</v>
      </c>
      <c r="H709" s="346" t="s">
        <v>1773</v>
      </c>
      <c r="I709" s="346">
        <v>170238.96</v>
      </c>
      <c r="J709" s="346" t="s">
        <v>572</v>
      </c>
      <c r="K709" s="346" t="s">
        <v>1761</v>
      </c>
      <c r="L709" s="346"/>
      <c r="M709" s="346" t="s">
        <v>1761</v>
      </c>
      <c r="N709" s="346">
        <v>0.85</v>
      </c>
      <c r="O709" s="346">
        <v>5.62</v>
      </c>
      <c r="P709" s="346">
        <v>6.47</v>
      </c>
      <c r="Q709" s="346" t="s">
        <v>1762</v>
      </c>
      <c r="R709" s="458">
        <v>1</v>
      </c>
    </row>
    <row r="710" spans="1:18" x14ac:dyDescent="0.25">
      <c r="A710" s="458">
        <v>44680</v>
      </c>
      <c r="B710" s="346">
        <v>6100000269</v>
      </c>
      <c r="C710" s="346" t="s">
        <v>2094</v>
      </c>
      <c r="D710" s="346" t="s">
        <v>1281</v>
      </c>
      <c r="E710" s="346" t="s">
        <v>1757</v>
      </c>
      <c r="F710" s="346" t="s">
        <v>1770</v>
      </c>
      <c r="G710" s="346" t="s">
        <v>1772</v>
      </c>
      <c r="H710" s="346" t="s">
        <v>1773</v>
      </c>
      <c r="I710" s="346">
        <v>500000</v>
      </c>
      <c r="J710" s="346" t="s">
        <v>572</v>
      </c>
      <c r="K710" s="346" t="s">
        <v>1761</v>
      </c>
      <c r="L710" s="346"/>
      <c r="M710" s="346" t="s">
        <v>1761</v>
      </c>
      <c r="N710" s="346">
        <v>0.1</v>
      </c>
      <c r="O710" s="346">
        <v>5.98</v>
      </c>
      <c r="P710" s="346">
        <v>6.73</v>
      </c>
      <c r="Q710" s="346" t="s">
        <v>1762</v>
      </c>
      <c r="R710" s="458">
        <v>1</v>
      </c>
    </row>
    <row r="711" spans="1:18" x14ac:dyDescent="0.25">
      <c r="A711" s="458">
        <v>44680</v>
      </c>
      <c r="B711" s="346">
        <v>6100000270</v>
      </c>
      <c r="C711" s="346" t="s">
        <v>4573</v>
      </c>
      <c r="D711" s="346" t="s">
        <v>1281</v>
      </c>
      <c r="E711" s="346" t="s">
        <v>1757</v>
      </c>
      <c r="F711" s="346" t="s">
        <v>1770</v>
      </c>
      <c r="G711" s="346" t="s">
        <v>1772</v>
      </c>
      <c r="H711" s="346" t="s">
        <v>1773</v>
      </c>
      <c r="I711" s="346">
        <v>2150000</v>
      </c>
      <c r="J711" s="346" t="s">
        <v>572</v>
      </c>
      <c r="K711" s="346" t="s">
        <v>1761</v>
      </c>
      <c r="L711" s="346"/>
      <c r="M711" s="346" t="s">
        <v>1761</v>
      </c>
      <c r="N711" s="346">
        <v>0.1</v>
      </c>
      <c r="O711" s="346">
        <v>6.15</v>
      </c>
      <c r="P711" s="346">
        <v>6.9</v>
      </c>
      <c r="Q711" s="346" t="s">
        <v>1762</v>
      </c>
      <c r="R711" s="458">
        <v>1</v>
      </c>
    </row>
    <row r="712" spans="1:18" x14ac:dyDescent="0.25">
      <c r="A712" s="458">
        <v>44680</v>
      </c>
      <c r="B712" s="346">
        <v>6100000271</v>
      </c>
      <c r="C712" s="346" t="s">
        <v>2090</v>
      </c>
      <c r="D712" s="346" t="s">
        <v>1281</v>
      </c>
      <c r="E712" s="346" t="s">
        <v>1757</v>
      </c>
      <c r="F712" s="346" t="s">
        <v>1770</v>
      </c>
      <c r="G712" s="346" t="s">
        <v>1772</v>
      </c>
      <c r="H712" s="346" t="s">
        <v>1773</v>
      </c>
      <c r="I712" s="346">
        <v>137137.96</v>
      </c>
      <c r="J712" s="346" t="s">
        <v>572</v>
      </c>
      <c r="K712" s="346" t="s">
        <v>1761</v>
      </c>
      <c r="L712" s="346"/>
      <c r="M712" s="346" t="s">
        <v>1761</v>
      </c>
      <c r="N712" s="346">
        <v>0.85</v>
      </c>
      <c r="O712" s="346">
        <v>5.62</v>
      </c>
      <c r="P712" s="346">
        <v>6.47</v>
      </c>
      <c r="Q712" s="346" t="s">
        <v>1762</v>
      </c>
      <c r="R712" s="458">
        <v>1</v>
      </c>
    </row>
    <row r="713" spans="1:18" x14ac:dyDescent="0.25">
      <c r="A713" s="458">
        <v>44680</v>
      </c>
      <c r="B713" s="346">
        <v>6100000272</v>
      </c>
      <c r="C713" s="346" t="s">
        <v>2444</v>
      </c>
      <c r="D713" s="346" t="s">
        <v>1281</v>
      </c>
      <c r="E713" s="346" t="s">
        <v>1757</v>
      </c>
      <c r="F713" s="346" t="s">
        <v>1770</v>
      </c>
      <c r="G713" s="346" t="s">
        <v>1772</v>
      </c>
      <c r="H713" s="346" t="s">
        <v>1773</v>
      </c>
      <c r="I713" s="346">
        <v>121663.5</v>
      </c>
      <c r="J713" s="346" t="s">
        <v>572</v>
      </c>
      <c r="K713" s="346" t="s">
        <v>1761</v>
      </c>
      <c r="L713" s="346"/>
      <c r="M713" s="346" t="s">
        <v>1761</v>
      </c>
      <c r="N713" s="346">
        <v>0.85</v>
      </c>
      <c r="O713" s="346">
        <v>5.62</v>
      </c>
      <c r="P713" s="346">
        <v>6.47</v>
      </c>
      <c r="Q713" s="346" t="s">
        <v>1762</v>
      </c>
      <c r="R713" s="458">
        <v>1</v>
      </c>
    </row>
    <row r="714" spans="1:18" x14ac:dyDescent="0.25">
      <c r="A714" s="458">
        <v>44680</v>
      </c>
      <c r="B714" s="346">
        <v>2100000112</v>
      </c>
      <c r="C714" s="346" t="s">
        <v>2512</v>
      </c>
      <c r="D714" s="346" t="s">
        <v>1756</v>
      </c>
      <c r="E714" s="346" t="s">
        <v>1757</v>
      </c>
      <c r="F714" s="346" t="s">
        <v>1758</v>
      </c>
      <c r="G714" s="346" t="s">
        <v>1774</v>
      </c>
      <c r="H714" s="346" t="s">
        <v>1245</v>
      </c>
      <c r="I714" s="346">
        <v>915025.49</v>
      </c>
      <c r="J714" s="346" t="s">
        <v>572</v>
      </c>
      <c r="K714" s="346" t="s">
        <v>1761</v>
      </c>
      <c r="L714" s="346"/>
      <c r="M714" s="346" t="s">
        <v>1761</v>
      </c>
      <c r="N714" s="346">
        <v>0.1</v>
      </c>
      <c r="O714" s="346">
        <v>6.5</v>
      </c>
      <c r="P714" s="346">
        <v>7.25</v>
      </c>
      <c r="Q714" s="346" t="s">
        <v>1762</v>
      </c>
      <c r="R714" s="458">
        <v>1</v>
      </c>
    </row>
    <row r="715" spans="1:18" x14ac:dyDescent="0.25">
      <c r="A715" s="458">
        <v>44680</v>
      </c>
      <c r="B715" s="346">
        <v>2100000109</v>
      </c>
      <c r="C715" s="346" t="s">
        <v>2515</v>
      </c>
      <c r="D715" s="346" t="s">
        <v>1756</v>
      </c>
      <c r="E715" s="346" t="s">
        <v>1757</v>
      </c>
      <c r="F715" s="346" t="s">
        <v>1758</v>
      </c>
      <c r="G715" s="346" t="s">
        <v>1774</v>
      </c>
      <c r="H715" s="346" t="s">
        <v>1245</v>
      </c>
      <c r="I715" s="346">
        <v>17087516.370000001</v>
      </c>
      <c r="J715" s="346" t="s">
        <v>572</v>
      </c>
      <c r="K715" s="346" t="s">
        <v>1761</v>
      </c>
      <c r="L715" s="346"/>
      <c r="M715" s="346" t="s">
        <v>1761</v>
      </c>
      <c r="N715" s="346">
        <v>0.1</v>
      </c>
      <c r="O715" s="346">
        <v>6.75</v>
      </c>
      <c r="P715" s="346">
        <v>7.5</v>
      </c>
      <c r="Q715" s="346" t="s">
        <v>1762</v>
      </c>
      <c r="R715" s="458">
        <v>1</v>
      </c>
    </row>
    <row r="716" spans="1:18" x14ac:dyDescent="0.25">
      <c r="A716" s="458">
        <v>44680</v>
      </c>
      <c r="B716" s="346">
        <v>2100000108</v>
      </c>
      <c r="C716" s="346" t="s">
        <v>1527</v>
      </c>
      <c r="D716" s="346" t="s">
        <v>1756</v>
      </c>
      <c r="E716" s="346" t="s">
        <v>1757</v>
      </c>
      <c r="F716" s="346" t="s">
        <v>1758</v>
      </c>
      <c r="G716" s="346" t="s">
        <v>1774</v>
      </c>
      <c r="H716" s="346" t="s">
        <v>1245</v>
      </c>
      <c r="I716" s="346">
        <v>5938986.4699999997</v>
      </c>
      <c r="J716" s="346" t="s">
        <v>572</v>
      </c>
      <c r="K716" s="346" t="s">
        <v>1761</v>
      </c>
      <c r="L716" s="346"/>
      <c r="M716" s="346" t="s">
        <v>1761</v>
      </c>
      <c r="N716" s="346">
        <v>0.1</v>
      </c>
      <c r="O716" s="346">
        <v>6.5</v>
      </c>
      <c r="P716" s="346">
        <v>7.25</v>
      </c>
      <c r="Q716" s="346" t="s">
        <v>1762</v>
      </c>
      <c r="R716" s="458">
        <v>1</v>
      </c>
    </row>
    <row r="717" spans="1:18" x14ac:dyDescent="0.25">
      <c r="A717" s="458">
        <v>44680</v>
      </c>
      <c r="B717" s="346">
        <v>2100000114</v>
      </c>
      <c r="C717" s="346" t="s">
        <v>2516</v>
      </c>
      <c r="D717" s="346" t="s">
        <v>1756</v>
      </c>
      <c r="E717" s="346" t="s">
        <v>1763</v>
      </c>
      <c r="F717" s="346" t="s">
        <v>1758</v>
      </c>
      <c r="G717" s="346" t="s">
        <v>1774</v>
      </c>
      <c r="H717" s="346" t="s">
        <v>1245</v>
      </c>
      <c r="I717" s="346">
        <v>0</v>
      </c>
      <c r="J717" s="346" t="s">
        <v>572</v>
      </c>
      <c r="K717" s="346" t="s">
        <v>1761</v>
      </c>
      <c r="L717" s="346"/>
      <c r="M717" s="346" t="s">
        <v>1761</v>
      </c>
      <c r="N717" s="346">
        <v>0.17</v>
      </c>
      <c r="O717" s="346">
        <v>5.25</v>
      </c>
      <c r="P717" s="346">
        <v>6</v>
      </c>
      <c r="Q717" s="346" t="s">
        <v>1762</v>
      </c>
      <c r="R717" s="458">
        <v>1</v>
      </c>
    </row>
    <row r="718" spans="1:18" x14ac:dyDescent="0.25">
      <c r="A718" s="458">
        <v>44680</v>
      </c>
      <c r="B718" s="346">
        <v>2100000107</v>
      </c>
      <c r="C718" s="346" t="s">
        <v>1525</v>
      </c>
      <c r="D718" s="346" t="s">
        <v>1756</v>
      </c>
      <c r="E718" s="346" t="s">
        <v>1757</v>
      </c>
      <c r="F718" s="346" t="s">
        <v>1758</v>
      </c>
      <c r="G718" s="346" t="s">
        <v>1774</v>
      </c>
      <c r="H718" s="346" t="s">
        <v>1245</v>
      </c>
      <c r="I718" s="346">
        <v>13023355.42</v>
      </c>
      <c r="J718" s="346" t="s">
        <v>572</v>
      </c>
      <c r="K718" s="346" t="s">
        <v>1761</v>
      </c>
      <c r="L718" s="346"/>
      <c r="M718" s="346" t="s">
        <v>1761</v>
      </c>
      <c r="N718" s="346">
        <v>0.1</v>
      </c>
      <c r="O718" s="346">
        <v>6.5</v>
      </c>
      <c r="P718" s="346">
        <v>7.25</v>
      </c>
      <c r="Q718" s="346" t="s">
        <v>1762</v>
      </c>
      <c r="R718" s="458">
        <v>1</v>
      </c>
    </row>
    <row r="719" spans="1:18" x14ac:dyDescent="0.25">
      <c r="A719" s="458">
        <v>44680</v>
      </c>
      <c r="B719" s="346">
        <v>2100000022</v>
      </c>
      <c r="C719" s="346" t="s">
        <v>2472</v>
      </c>
      <c r="D719" s="346" t="s">
        <v>1756</v>
      </c>
      <c r="E719" s="346" t="s">
        <v>1757</v>
      </c>
      <c r="F719" s="346" t="s">
        <v>1758</v>
      </c>
      <c r="G719" s="346" t="s">
        <v>1774</v>
      </c>
      <c r="H719" s="346" t="s">
        <v>1245</v>
      </c>
      <c r="I719" s="346">
        <v>4430895.46</v>
      </c>
      <c r="J719" s="346" t="s">
        <v>572</v>
      </c>
      <c r="K719" s="346" t="s">
        <v>1761</v>
      </c>
      <c r="L719" s="346"/>
      <c r="M719" s="346" t="s">
        <v>1761</v>
      </c>
      <c r="N719" s="346">
        <v>0.1</v>
      </c>
      <c r="O719" s="346">
        <v>6</v>
      </c>
      <c r="P719" s="346">
        <v>6.75</v>
      </c>
      <c r="Q719" s="346" t="s">
        <v>1765</v>
      </c>
      <c r="R719" s="458">
        <v>44177</v>
      </c>
    </row>
    <row r="720" spans="1:18" x14ac:dyDescent="0.25">
      <c r="A720" s="458">
        <v>44680</v>
      </c>
      <c r="B720" s="346">
        <v>2100000103</v>
      </c>
      <c r="C720" s="346" t="s">
        <v>2517</v>
      </c>
      <c r="D720" s="346" t="s">
        <v>1756</v>
      </c>
      <c r="E720" s="346" t="s">
        <v>1757</v>
      </c>
      <c r="F720" s="346" t="s">
        <v>1758</v>
      </c>
      <c r="G720" s="346" t="s">
        <v>1774</v>
      </c>
      <c r="H720" s="346" t="s">
        <v>1245</v>
      </c>
      <c r="I720" s="346">
        <v>166875.03</v>
      </c>
      <c r="J720" s="346" t="s">
        <v>572</v>
      </c>
      <c r="K720" s="346" t="s">
        <v>1761</v>
      </c>
      <c r="L720" s="346"/>
      <c r="M720" s="346" t="s">
        <v>1761</v>
      </c>
      <c r="N720" s="346">
        <v>0.1</v>
      </c>
      <c r="O720" s="346">
        <v>6</v>
      </c>
      <c r="P720" s="346">
        <v>6.75</v>
      </c>
      <c r="Q720" s="346" t="s">
        <v>1762</v>
      </c>
      <c r="R720" s="458">
        <v>1</v>
      </c>
    </row>
    <row r="721" spans="1:18" x14ac:dyDescent="0.25">
      <c r="A721" s="458">
        <v>44680</v>
      </c>
      <c r="B721" s="346">
        <v>2100000100</v>
      </c>
      <c r="C721" s="346" t="s">
        <v>2519</v>
      </c>
      <c r="D721" s="346" t="s">
        <v>1756</v>
      </c>
      <c r="E721" s="346" t="s">
        <v>1757</v>
      </c>
      <c r="F721" s="346" t="s">
        <v>1758</v>
      </c>
      <c r="G721" s="346" t="s">
        <v>1774</v>
      </c>
      <c r="H721" s="346" t="s">
        <v>1245</v>
      </c>
      <c r="I721" s="346">
        <v>131713.51999999999</v>
      </c>
      <c r="J721" s="346" t="s">
        <v>572</v>
      </c>
      <c r="K721" s="346" t="s">
        <v>1761</v>
      </c>
      <c r="L721" s="346"/>
      <c r="M721" s="346" t="s">
        <v>1761</v>
      </c>
      <c r="N721" s="346">
        <v>0.1</v>
      </c>
      <c r="O721" s="346">
        <v>6.77</v>
      </c>
      <c r="P721" s="346">
        <v>7.52</v>
      </c>
      <c r="Q721" s="346" t="s">
        <v>1762</v>
      </c>
      <c r="R721" s="458">
        <v>1</v>
      </c>
    </row>
    <row r="722" spans="1:18" x14ac:dyDescent="0.25">
      <c r="A722" s="458">
        <v>44680</v>
      </c>
      <c r="B722" s="346">
        <v>2100000102</v>
      </c>
      <c r="C722" s="346" t="s">
        <v>2520</v>
      </c>
      <c r="D722" s="346" t="s">
        <v>1756</v>
      </c>
      <c r="E722" s="346" t="s">
        <v>1757</v>
      </c>
      <c r="F722" s="346" t="s">
        <v>1758</v>
      </c>
      <c r="G722" s="346" t="s">
        <v>1774</v>
      </c>
      <c r="H722" s="346" t="s">
        <v>1245</v>
      </c>
      <c r="I722" s="346">
        <v>1492393.15</v>
      </c>
      <c r="J722" s="346" t="s">
        <v>572</v>
      </c>
      <c r="K722" s="346" t="s">
        <v>1761</v>
      </c>
      <c r="L722" s="346"/>
      <c r="M722" s="346" t="s">
        <v>1761</v>
      </c>
      <c r="N722" s="346">
        <v>0.1</v>
      </c>
      <c r="O722" s="346">
        <v>6.47</v>
      </c>
      <c r="P722" s="346">
        <v>7.22</v>
      </c>
      <c r="Q722" s="346" t="s">
        <v>1762</v>
      </c>
      <c r="R722" s="458">
        <v>1</v>
      </c>
    </row>
    <row r="723" spans="1:18" x14ac:dyDescent="0.25">
      <c r="A723" s="458">
        <v>44680</v>
      </c>
      <c r="B723" s="346">
        <v>2100000113</v>
      </c>
      <c r="C723" s="346" t="s">
        <v>2521</v>
      </c>
      <c r="D723" s="346" t="s">
        <v>1756</v>
      </c>
      <c r="E723" s="346" t="s">
        <v>1757</v>
      </c>
      <c r="F723" s="346" t="s">
        <v>1758</v>
      </c>
      <c r="G723" s="346" t="s">
        <v>1774</v>
      </c>
      <c r="H723" s="346" t="s">
        <v>1245</v>
      </c>
      <c r="I723" s="346">
        <v>2984665.02</v>
      </c>
      <c r="J723" s="346" t="s">
        <v>572</v>
      </c>
      <c r="K723" s="346" t="s">
        <v>1761</v>
      </c>
      <c r="L723" s="346"/>
      <c r="M723" s="346" t="s">
        <v>1761</v>
      </c>
      <c r="N723" s="346">
        <v>0.1</v>
      </c>
      <c r="O723" s="346">
        <v>6.5</v>
      </c>
      <c r="P723" s="346">
        <v>7.25</v>
      </c>
      <c r="Q723" s="346" t="s">
        <v>1762</v>
      </c>
      <c r="R723" s="458">
        <v>1</v>
      </c>
    </row>
    <row r="724" spans="1:18" x14ac:dyDescent="0.25">
      <c r="A724" s="458">
        <v>44680</v>
      </c>
      <c r="B724" s="346">
        <v>2100000116</v>
      </c>
      <c r="C724" s="346" t="s">
        <v>2514</v>
      </c>
      <c r="D724" s="346" t="s">
        <v>1756</v>
      </c>
      <c r="E724" s="346" t="s">
        <v>1757</v>
      </c>
      <c r="F724" s="346" t="s">
        <v>1758</v>
      </c>
      <c r="G724" s="346" t="s">
        <v>1774</v>
      </c>
      <c r="H724" s="346" t="s">
        <v>1245</v>
      </c>
      <c r="I724" s="346">
        <v>67931.199999999997</v>
      </c>
      <c r="J724" s="346" t="s">
        <v>572</v>
      </c>
      <c r="K724" s="346" t="s">
        <v>1761</v>
      </c>
      <c r="L724" s="346"/>
      <c r="M724" s="346" t="s">
        <v>1761</v>
      </c>
      <c r="N724" s="346">
        <v>0.1</v>
      </c>
      <c r="O724" s="346">
        <v>6.29</v>
      </c>
      <c r="P724" s="346">
        <v>7.04</v>
      </c>
      <c r="Q724" s="346" t="s">
        <v>1762</v>
      </c>
      <c r="R724" s="458">
        <v>1</v>
      </c>
    </row>
    <row r="725" spans="1:18" x14ac:dyDescent="0.25">
      <c r="A725" s="458">
        <v>44680</v>
      </c>
      <c r="B725" s="346">
        <v>2100000104</v>
      </c>
      <c r="C725" s="346" t="s">
        <v>2518</v>
      </c>
      <c r="D725" s="346" t="s">
        <v>1756</v>
      </c>
      <c r="E725" s="346" t="s">
        <v>1757</v>
      </c>
      <c r="F725" s="346" t="s">
        <v>1758</v>
      </c>
      <c r="G725" s="346" t="s">
        <v>1774</v>
      </c>
      <c r="H725" s="346" t="s">
        <v>1245</v>
      </c>
      <c r="I725" s="346">
        <v>11785683.18</v>
      </c>
      <c r="J725" s="346" t="s">
        <v>572</v>
      </c>
      <c r="K725" s="346" t="s">
        <v>1761</v>
      </c>
      <c r="L725" s="346"/>
      <c r="M725" s="346" t="s">
        <v>1761</v>
      </c>
      <c r="N725" s="346">
        <v>0.1</v>
      </c>
      <c r="O725" s="346">
        <v>6.63</v>
      </c>
      <c r="P725" s="346">
        <v>7.38</v>
      </c>
      <c r="Q725" s="346" t="s">
        <v>1762</v>
      </c>
      <c r="R725" s="458">
        <v>1</v>
      </c>
    </row>
    <row r="726" spans="1:18" x14ac:dyDescent="0.25">
      <c r="A726" s="458">
        <v>44680</v>
      </c>
      <c r="B726" s="346">
        <v>2100000326</v>
      </c>
      <c r="C726" s="346" t="s">
        <v>4574</v>
      </c>
      <c r="D726" s="346" t="s">
        <v>1756</v>
      </c>
      <c r="E726" s="346" t="s">
        <v>1757</v>
      </c>
      <c r="F726" s="346" t="s">
        <v>1758</v>
      </c>
      <c r="G726" s="346" t="s">
        <v>1774</v>
      </c>
      <c r="H726" s="346" t="s">
        <v>1245</v>
      </c>
      <c r="I726" s="346">
        <v>1375687.5</v>
      </c>
      <c r="J726" s="346" t="s">
        <v>572</v>
      </c>
      <c r="K726" s="346" t="s">
        <v>1761</v>
      </c>
      <c r="L726" s="346"/>
      <c r="M726" s="346" t="s">
        <v>1761</v>
      </c>
      <c r="N726" s="346">
        <v>0.5</v>
      </c>
      <c r="O726" s="346">
        <v>5.62</v>
      </c>
      <c r="P726" s="346">
        <v>6.37</v>
      </c>
      <c r="Q726" s="346" t="s">
        <v>1762</v>
      </c>
      <c r="R726" s="458">
        <v>1</v>
      </c>
    </row>
    <row r="727" spans="1:18" x14ac:dyDescent="0.25">
      <c r="A727" s="458">
        <v>44680</v>
      </c>
      <c r="B727" s="346">
        <v>2100000106</v>
      </c>
      <c r="C727" s="346" t="s">
        <v>2513</v>
      </c>
      <c r="D727" s="346" t="s">
        <v>1756</v>
      </c>
      <c r="E727" s="346" t="s">
        <v>1757</v>
      </c>
      <c r="F727" s="346" t="s">
        <v>1758</v>
      </c>
      <c r="G727" s="346" t="s">
        <v>1774</v>
      </c>
      <c r="H727" s="346" t="s">
        <v>1245</v>
      </c>
      <c r="I727" s="346">
        <v>15748659.619999999</v>
      </c>
      <c r="J727" s="346" t="s">
        <v>572</v>
      </c>
      <c r="K727" s="346" t="s">
        <v>1761</v>
      </c>
      <c r="L727" s="346"/>
      <c r="M727" s="346" t="s">
        <v>1761</v>
      </c>
      <c r="N727" s="346">
        <v>0.1</v>
      </c>
      <c r="O727" s="346">
        <v>6.75</v>
      </c>
      <c r="P727" s="346">
        <v>7.5</v>
      </c>
      <c r="Q727" s="346" t="s">
        <v>1762</v>
      </c>
      <c r="R727" s="458">
        <v>1</v>
      </c>
    </row>
    <row r="728" spans="1:18" x14ac:dyDescent="0.25">
      <c r="A728" s="458">
        <v>44680</v>
      </c>
      <c r="B728" s="346">
        <v>2100000328</v>
      </c>
      <c r="C728" s="346" t="s">
        <v>4478</v>
      </c>
      <c r="D728" s="346" t="s">
        <v>1756</v>
      </c>
      <c r="E728" s="346" t="s">
        <v>1763</v>
      </c>
      <c r="F728" s="346" t="s">
        <v>1758</v>
      </c>
      <c r="G728" s="346" t="s">
        <v>1774</v>
      </c>
      <c r="H728" s="346" t="s">
        <v>1245</v>
      </c>
      <c r="I728" s="346">
        <v>0</v>
      </c>
      <c r="J728" s="346" t="s">
        <v>572</v>
      </c>
      <c r="K728" s="346" t="s">
        <v>1761</v>
      </c>
      <c r="L728" s="346"/>
      <c r="M728" s="346" t="s">
        <v>1761</v>
      </c>
      <c r="N728" s="346">
        <v>0.75</v>
      </c>
      <c r="O728" s="346">
        <v>6.75</v>
      </c>
      <c r="P728" s="346">
        <v>7.5</v>
      </c>
      <c r="Q728" s="346" t="s">
        <v>1762</v>
      </c>
      <c r="R728" s="458">
        <v>1</v>
      </c>
    </row>
    <row r="729" spans="1:18" x14ac:dyDescent="0.25">
      <c r="A729" s="458">
        <v>44680</v>
      </c>
      <c r="B729" s="346">
        <v>2100000329</v>
      </c>
      <c r="C729" s="346" t="s">
        <v>4575</v>
      </c>
      <c r="D729" s="346" t="s">
        <v>1756</v>
      </c>
      <c r="E729" s="346" t="s">
        <v>1757</v>
      </c>
      <c r="F729" s="346" t="s">
        <v>1758</v>
      </c>
      <c r="G729" s="346" t="s">
        <v>1774</v>
      </c>
      <c r="H729" s="346" t="s">
        <v>1245</v>
      </c>
      <c r="I729" s="346">
        <v>8525500</v>
      </c>
      <c r="J729" s="346" t="s">
        <v>572</v>
      </c>
      <c r="K729" s="346" t="s">
        <v>1761</v>
      </c>
      <c r="L729" s="346"/>
      <c r="M729" s="346" t="s">
        <v>1761</v>
      </c>
      <c r="N729" s="346">
        <v>0.1</v>
      </c>
      <c r="O729" s="346">
        <v>5.5</v>
      </c>
      <c r="P729" s="346">
        <v>6.25</v>
      </c>
      <c r="Q729" s="346" t="s">
        <v>1762</v>
      </c>
      <c r="R729" s="458">
        <v>1</v>
      </c>
    </row>
    <row r="730" spans="1:18" x14ac:dyDescent="0.25">
      <c r="A730" s="458">
        <v>44680</v>
      </c>
      <c r="B730" s="346">
        <v>2100000330</v>
      </c>
      <c r="C730" s="346" t="s">
        <v>4575</v>
      </c>
      <c r="D730" s="346" t="s">
        <v>1756</v>
      </c>
      <c r="E730" s="346" t="s">
        <v>1763</v>
      </c>
      <c r="F730" s="346" t="s">
        <v>1758</v>
      </c>
      <c r="G730" s="346" t="s">
        <v>1774</v>
      </c>
      <c r="H730" s="346" t="s">
        <v>1245</v>
      </c>
      <c r="I730" s="346">
        <v>0</v>
      </c>
      <c r="J730" s="346" t="s">
        <v>572</v>
      </c>
      <c r="K730" s="346" t="s">
        <v>1761</v>
      </c>
      <c r="L730" s="346"/>
      <c r="M730" s="346" t="s">
        <v>1761</v>
      </c>
      <c r="N730" s="346">
        <v>0.1</v>
      </c>
      <c r="O730" s="346">
        <v>5.0999999999999996</v>
      </c>
      <c r="P730" s="346">
        <v>5.85</v>
      </c>
      <c r="Q730" s="346" t="s">
        <v>1762</v>
      </c>
      <c r="R730" s="458">
        <v>1</v>
      </c>
    </row>
    <row r="731" spans="1:18" x14ac:dyDescent="0.25">
      <c r="A731" s="458">
        <v>44680</v>
      </c>
      <c r="B731" s="346">
        <v>2100000327</v>
      </c>
      <c r="C731" s="346" t="s">
        <v>2002</v>
      </c>
      <c r="D731" s="346" t="s">
        <v>1756</v>
      </c>
      <c r="E731" s="346" t="s">
        <v>1757</v>
      </c>
      <c r="F731" s="346" t="s">
        <v>1758</v>
      </c>
      <c r="G731" s="346" t="s">
        <v>1774</v>
      </c>
      <c r="H731" s="346" t="s">
        <v>1245</v>
      </c>
      <c r="I731" s="346">
        <v>2446686.9500000002</v>
      </c>
      <c r="J731" s="346" t="s">
        <v>572</v>
      </c>
      <c r="K731" s="346" t="s">
        <v>1761</v>
      </c>
      <c r="L731" s="346"/>
      <c r="M731" s="346" t="s">
        <v>1761</v>
      </c>
      <c r="N731" s="346">
        <v>0.1</v>
      </c>
      <c r="O731" s="346">
        <v>5.0999999999999996</v>
      </c>
      <c r="P731" s="346">
        <v>5.85</v>
      </c>
      <c r="Q731" s="346" t="s">
        <v>1762</v>
      </c>
      <c r="R731" s="458">
        <v>1</v>
      </c>
    </row>
    <row r="732" spans="1:18" x14ac:dyDescent="0.25">
      <c r="A732" s="458">
        <v>44680</v>
      </c>
      <c r="B732" s="346">
        <v>5100000152</v>
      </c>
      <c r="C732" s="346" t="s">
        <v>4471</v>
      </c>
      <c r="D732" s="346" t="s">
        <v>1756</v>
      </c>
      <c r="E732" s="346" t="s">
        <v>1757</v>
      </c>
      <c r="F732" s="346" t="s">
        <v>1758</v>
      </c>
      <c r="G732" s="346" t="s">
        <v>1775</v>
      </c>
      <c r="H732" s="346" t="s">
        <v>1288</v>
      </c>
      <c r="I732" s="346">
        <v>3000000</v>
      </c>
      <c r="J732" s="346" t="s">
        <v>572</v>
      </c>
      <c r="K732" s="346" t="s">
        <v>1761</v>
      </c>
      <c r="L732" s="346"/>
      <c r="M732" s="346" t="s">
        <v>1761</v>
      </c>
      <c r="N732" s="346">
        <v>0.75</v>
      </c>
      <c r="O732" s="346">
        <v>4.9000000000000004</v>
      </c>
      <c r="P732" s="346">
        <v>5.65</v>
      </c>
      <c r="Q732" s="346" t="s">
        <v>1762</v>
      </c>
      <c r="R732" s="458">
        <v>1</v>
      </c>
    </row>
    <row r="733" spans="1:18" x14ac:dyDescent="0.25">
      <c r="A733" s="458">
        <v>44680</v>
      </c>
      <c r="B733" s="346">
        <v>5100000153</v>
      </c>
      <c r="C733" s="346" t="s">
        <v>4469</v>
      </c>
      <c r="D733" s="346" t="s">
        <v>1756</v>
      </c>
      <c r="E733" s="346" t="s">
        <v>1757</v>
      </c>
      <c r="F733" s="346" t="s">
        <v>1758</v>
      </c>
      <c r="G733" s="346" t="s">
        <v>1775</v>
      </c>
      <c r="H733" s="346" t="s">
        <v>1288</v>
      </c>
      <c r="I733" s="346">
        <v>501979.5</v>
      </c>
      <c r="J733" s="346" t="s">
        <v>572</v>
      </c>
      <c r="K733" s="346" t="s">
        <v>1761</v>
      </c>
      <c r="L733" s="346"/>
      <c r="M733" s="346" t="s">
        <v>1761</v>
      </c>
      <c r="N733" s="346">
        <v>0.75</v>
      </c>
      <c r="O733" s="346">
        <v>4.8899999999999997</v>
      </c>
      <c r="P733" s="346">
        <v>5.64</v>
      </c>
      <c r="Q733" s="346" t="s">
        <v>1762</v>
      </c>
      <c r="R733" s="458">
        <v>1</v>
      </c>
    </row>
    <row r="734" spans="1:18" x14ac:dyDescent="0.25">
      <c r="A734" s="458">
        <v>44680</v>
      </c>
      <c r="B734" s="346">
        <v>1200000105</v>
      </c>
      <c r="C734" s="346" t="s">
        <v>2522</v>
      </c>
      <c r="D734" s="346" t="s">
        <v>1756</v>
      </c>
      <c r="E734" s="346" t="s">
        <v>1757</v>
      </c>
      <c r="F734" s="346" t="s">
        <v>1758</v>
      </c>
      <c r="G734" s="346" t="s">
        <v>1778</v>
      </c>
      <c r="H734" s="346" t="s">
        <v>1779</v>
      </c>
      <c r="I734" s="346">
        <v>1720648.04</v>
      </c>
      <c r="J734" s="346" t="s">
        <v>572</v>
      </c>
      <c r="K734" s="346" t="s">
        <v>1761</v>
      </c>
      <c r="L734" s="346"/>
      <c r="M734" s="346" t="s">
        <v>1761</v>
      </c>
      <c r="N734" s="346">
        <v>0.1</v>
      </c>
      <c r="O734" s="346">
        <v>6.34</v>
      </c>
      <c r="P734" s="346">
        <v>7.09</v>
      </c>
      <c r="Q734" s="346" t="s">
        <v>1762</v>
      </c>
      <c r="R734" s="458">
        <v>1</v>
      </c>
    </row>
    <row r="735" spans="1:18" x14ac:dyDescent="0.25">
      <c r="A735" s="458">
        <v>44680</v>
      </c>
      <c r="B735" s="346">
        <v>1200000102</v>
      </c>
      <c r="C735" s="346" t="s">
        <v>2523</v>
      </c>
      <c r="D735" s="346" t="s">
        <v>1756</v>
      </c>
      <c r="E735" s="346" t="s">
        <v>1757</v>
      </c>
      <c r="F735" s="346" t="s">
        <v>1758</v>
      </c>
      <c r="G735" s="346" t="s">
        <v>1778</v>
      </c>
      <c r="H735" s="346" t="s">
        <v>1779</v>
      </c>
      <c r="I735" s="346">
        <v>5000000</v>
      </c>
      <c r="J735" s="346" t="s">
        <v>572</v>
      </c>
      <c r="K735" s="346" t="s">
        <v>1761</v>
      </c>
      <c r="L735" s="346"/>
      <c r="M735" s="346" t="s">
        <v>1761</v>
      </c>
      <c r="N735" s="346">
        <v>0.1</v>
      </c>
      <c r="O735" s="346">
        <v>5</v>
      </c>
      <c r="P735" s="346">
        <v>5.75</v>
      </c>
      <c r="Q735" s="346" t="s">
        <v>1762</v>
      </c>
      <c r="R735" s="458">
        <v>1</v>
      </c>
    </row>
    <row r="736" spans="1:18" x14ac:dyDescent="0.25">
      <c r="A736" s="458">
        <v>44680</v>
      </c>
      <c r="B736" s="346">
        <v>1200000107</v>
      </c>
      <c r="C736" s="346" t="s">
        <v>2525</v>
      </c>
      <c r="D736" s="346" t="s">
        <v>1756</v>
      </c>
      <c r="E736" s="346" t="s">
        <v>1757</v>
      </c>
      <c r="F736" s="346" t="s">
        <v>1758</v>
      </c>
      <c r="G736" s="346" t="s">
        <v>1778</v>
      </c>
      <c r="H736" s="346" t="s">
        <v>1779</v>
      </c>
      <c r="I736" s="346">
        <v>4887089.54</v>
      </c>
      <c r="J736" s="346" t="s">
        <v>572</v>
      </c>
      <c r="K736" s="346" t="s">
        <v>1761</v>
      </c>
      <c r="L736" s="346"/>
      <c r="M736" s="346" t="s">
        <v>1761</v>
      </c>
      <c r="N736" s="346">
        <v>0.1</v>
      </c>
      <c r="O736" s="346">
        <v>6.36</v>
      </c>
      <c r="P736" s="346">
        <v>7.11</v>
      </c>
      <c r="Q736" s="346" t="s">
        <v>1762</v>
      </c>
      <c r="R736" s="458">
        <v>1</v>
      </c>
    </row>
    <row r="737" spans="1:18" x14ac:dyDescent="0.25">
      <c r="A737" s="458">
        <v>44680</v>
      </c>
      <c r="B737" s="346">
        <v>1200000104</v>
      </c>
      <c r="C737" s="346" t="s">
        <v>2526</v>
      </c>
      <c r="D737" s="346" t="s">
        <v>1756</v>
      </c>
      <c r="E737" s="346" t="s">
        <v>1757</v>
      </c>
      <c r="F737" s="346" t="s">
        <v>1758</v>
      </c>
      <c r="G737" s="346" t="s">
        <v>1778</v>
      </c>
      <c r="H737" s="346" t="s">
        <v>1779</v>
      </c>
      <c r="I737" s="346">
        <v>4190298.21</v>
      </c>
      <c r="J737" s="346" t="s">
        <v>572</v>
      </c>
      <c r="K737" s="346" t="s">
        <v>1761</v>
      </c>
      <c r="L737" s="346"/>
      <c r="M737" s="346" t="s">
        <v>1761</v>
      </c>
      <c r="N737" s="346">
        <v>0.1</v>
      </c>
      <c r="O737" s="346">
        <v>6.3</v>
      </c>
      <c r="P737" s="346">
        <v>7.05</v>
      </c>
      <c r="Q737" s="346" t="s">
        <v>1762</v>
      </c>
      <c r="R737" s="458">
        <v>1</v>
      </c>
    </row>
    <row r="738" spans="1:18" x14ac:dyDescent="0.25">
      <c r="A738" s="458">
        <v>44680</v>
      </c>
      <c r="B738" s="346">
        <v>1200000106</v>
      </c>
      <c r="C738" s="346" t="s">
        <v>2524</v>
      </c>
      <c r="D738" s="346" t="s">
        <v>1756</v>
      </c>
      <c r="E738" s="346" t="s">
        <v>1757</v>
      </c>
      <c r="F738" s="346" t="s">
        <v>1758</v>
      </c>
      <c r="G738" s="346" t="s">
        <v>1778</v>
      </c>
      <c r="H738" s="346" t="s">
        <v>1779</v>
      </c>
      <c r="I738" s="346">
        <v>4176333.67</v>
      </c>
      <c r="J738" s="346" t="s">
        <v>572</v>
      </c>
      <c r="K738" s="346" t="s">
        <v>1761</v>
      </c>
      <c r="L738" s="346"/>
      <c r="M738" s="346" t="s">
        <v>1761</v>
      </c>
      <c r="N738" s="346">
        <v>0.78</v>
      </c>
      <c r="O738" s="346">
        <v>6</v>
      </c>
      <c r="P738" s="346">
        <v>6.78</v>
      </c>
      <c r="Q738" s="346" t="s">
        <v>1762</v>
      </c>
      <c r="R738" s="458">
        <v>1</v>
      </c>
    </row>
    <row r="739" spans="1:18" x14ac:dyDescent="0.25">
      <c r="A739" s="458">
        <v>44680</v>
      </c>
      <c r="B739" s="346">
        <v>4200000100</v>
      </c>
      <c r="C739" s="346" t="s">
        <v>2527</v>
      </c>
      <c r="D739" s="346" t="s">
        <v>1756</v>
      </c>
      <c r="E739" s="346" t="s">
        <v>1757</v>
      </c>
      <c r="F739" s="346" t="s">
        <v>1758</v>
      </c>
      <c r="G739" s="346" t="s">
        <v>1784</v>
      </c>
      <c r="H739" s="346" t="s">
        <v>1785</v>
      </c>
      <c r="I739" s="346">
        <v>1651022</v>
      </c>
      <c r="J739" s="346" t="s">
        <v>572</v>
      </c>
      <c r="K739" s="346" t="s">
        <v>1761</v>
      </c>
      <c r="L739" s="346"/>
      <c r="M739" s="346" t="s">
        <v>1761</v>
      </c>
      <c r="N739" s="346">
        <v>0.1</v>
      </c>
      <c r="O739" s="346">
        <v>5.86</v>
      </c>
      <c r="P739" s="346">
        <v>6.61</v>
      </c>
      <c r="Q739" s="346" t="s">
        <v>1762</v>
      </c>
      <c r="R739" s="458">
        <v>1</v>
      </c>
    </row>
    <row r="740" spans="1:18" x14ac:dyDescent="0.25">
      <c r="A740" s="458">
        <v>44680</v>
      </c>
      <c r="B740" s="346">
        <v>3100000100</v>
      </c>
      <c r="C740" s="346" t="s">
        <v>2528</v>
      </c>
      <c r="D740" s="346" t="s">
        <v>1756</v>
      </c>
      <c r="E740" s="346" t="s">
        <v>1757</v>
      </c>
      <c r="F740" s="346" t="s">
        <v>1758</v>
      </c>
      <c r="G740" s="346" t="s">
        <v>1780</v>
      </c>
      <c r="H740" s="346" t="s">
        <v>1233</v>
      </c>
      <c r="I740" s="346">
        <v>44858473.420000002</v>
      </c>
      <c r="J740" s="346" t="s">
        <v>572</v>
      </c>
      <c r="K740" s="346" t="s">
        <v>1761</v>
      </c>
      <c r="L740" s="346"/>
      <c r="M740" s="346" t="s">
        <v>1761</v>
      </c>
      <c r="N740" s="346">
        <v>0.1</v>
      </c>
      <c r="O740" s="346">
        <v>6.58</v>
      </c>
      <c r="P740" s="346">
        <v>7.33</v>
      </c>
      <c r="Q740" s="346" t="s">
        <v>1762</v>
      </c>
      <c r="R740" s="458">
        <v>1</v>
      </c>
    </row>
    <row r="741" spans="1:18" x14ac:dyDescent="0.25">
      <c r="A741" s="458">
        <v>44680</v>
      </c>
      <c r="B741" s="346">
        <v>2100000318</v>
      </c>
      <c r="C741" s="346" t="s">
        <v>2206</v>
      </c>
      <c r="D741" s="346" t="s">
        <v>1756</v>
      </c>
      <c r="E741" s="346" t="s">
        <v>1757</v>
      </c>
      <c r="F741" s="346" t="s">
        <v>1758</v>
      </c>
      <c r="G741" s="346" t="s">
        <v>1780</v>
      </c>
      <c r="H741" s="346" t="s">
        <v>1233</v>
      </c>
      <c r="I741" s="346">
        <v>860000</v>
      </c>
      <c r="J741" s="346" t="s">
        <v>572</v>
      </c>
      <c r="K741" s="346" t="s">
        <v>1761</v>
      </c>
      <c r="L741" s="346"/>
      <c r="M741" s="346" t="s">
        <v>1761</v>
      </c>
      <c r="N741" s="346">
        <v>0.5</v>
      </c>
      <c r="O741" s="346">
        <v>7</v>
      </c>
      <c r="P741" s="346">
        <v>7.75</v>
      </c>
      <c r="Q741" s="346" t="s">
        <v>1762</v>
      </c>
      <c r="R741" s="458">
        <v>1</v>
      </c>
    </row>
    <row r="742" spans="1:18" x14ac:dyDescent="0.25">
      <c r="A742" s="458">
        <v>44680</v>
      </c>
      <c r="B742" s="346">
        <v>2100000319</v>
      </c>
      <c r="C742" s="346" t="s">
        <v>2205</v>
      </c>
      <c r="D742" s="346" t="s">
        <v>1756</v>
      </c>
      <c r="E742" s="346" t="s">
        <v>1757</v>
      </c>
      <c r="F742" s="346" t="s">
        <v>1758</v>
      </c>
      <c r="G742" s="346" t="s">
        <v>1780</v>
      </c>
      <c r="H742" s="346" t="s">
        <v>1233</v>
      </c>
      <c r="I742" s="346">
        <v>44510.59</v>
      </c>
      <c r="J742" s="346" t="s">
        <v>572</v>
      </c>
      <c r="K742" s="346" t="s">
        <v>1761</v>
      </c>
      <c r="L742" s="346"/>
      <c r="M742" s="346" t="s">
        <v>1761</v>
      </c>
      <c r="N742" s="346">
        <v>0.5</v>
      </c>
      <c r="O742" s="346">
        <v>8</v>
      </c>
      <c r="P742" s="346">
        <v>8.75</v>
      </c>
      <c r="Q742" s="346" t="s">
        <v>1762</v>
      </c>
      <c r="R742" s="458">
        <v>1</v>
      </c>
    </row>
    <row r="743" spans="1:18" x14ac:dyDescent="0.25">
      <c r="A743" s="458">
        <v>44680</v>
      </c>
      <c r="B743" s="346">
        <v>2100000320</v>
      </c>
      <c r="C743" s="346" t="s">
        <v>2200</v>
      </c>
      <c r="D743" s="346" t="s">
        <v>1756</v>
      </c>
      <c r="E743" s="346" t="s">
        <v>1757</v>
      </c>
      <c r="F743" s="346" t="s">
        <v>1758</v>
      </c>
      <c r="G743" s="346" t="s">
        <v>1780</v>
      </c>
      <c r="H743" s="346" t="s">
        <v>1233</v>
      </c>
      <c r="I743" s="346">
        <v>12640000</v>
      </c>
      <c r="J743" s="346" t="s">
        <v>572</v>
      </c>
      <c r="K743" s="346" t="s">
        <v>1761</v>
      </c>
      <c r="L743" s="346"/>
      <c r="M743" s="346" t="s">
        <v>1761</v>
      </c>
      <c r="N743" s="346">
        <v>0.5</v>
      </c>
      <c r="O743" s="346">
        <v>7</v>
      </c>
      <c r="P743" s="346">
        <v>7.75</v>
      </c>
      <c r="Q743" s="346" t="s">
        <v>1762</v>
      </c>
      <c r="R743" s="458">
        <v>1</v>
      </c>
    </row>
    <row r="744" spans="1:18" x14ac:dyDescent="0.25">
      <c r="A744" s="458">
        <v>44680</v>
      </c>
      <c r="B744" s="346">
        <v>2100000321</v>
      </c>
      <c r="C744" s="346" t="s">
        <v>2201</v>
      </c>
      <c r="D744" s="346" t="s">
        <v>1756</v>
      </c>
      <c r="E744" s="346" t="s">
        <v>1757</v>
      </c>
      <c r="F744" s="346" t="s">
        <v>1758</v>
      </c>
      <c r="G744" s="346" t="s">
        <v>1780</v>
      </c>
      <c r="H744" s="346" t="s">
        <v>1233</v>
      </c>
      <c r="I744" s="346">
        <v>2151976.42</v>
      </c>
      <c r="J744" s="346" t="s">
        <v>572</v>
      </c>
      <c r="K744" s="346" t="s">
        <v>1761</v>
      </c>
      <c r="L744" s="346"/>
      <c r="M744" s="346" t="s">
        <v>1761</v>
      </c>
      <c r="N744" s="346">
        <v>0.5</v>
      </c>
      <c r="O744" s="346">
        <v>8</v>
      </c>
      <c r="P744" s="346">
        <v>8.75</v>
      </c>
      <c r="Q744" s="346" t="s">
        <v>1762</v>
      </c>
      <c r="R744" s="458">
        <v>1</v>
      </c>
    </row>
    <row r="745" spans="1:18" x14ac:dyDescent="0.25">
      <c r="A745" s="458">
        <v>44680</v>
      </c>
      <c r="B745" s="346">
        <v>2100000323</v>
      </c>
      <c r="C745" s="346" t="s">
        <v>2202</v>
      </c>
      <c r="D745" s="346" t="s">
        <v>1756</v>
      </c>
      <c r="E745" s="346" t="s">
        <v>1757</v>
      </c>
      <c r="F745" s="346" t="s">
        <v>1758</v>
      </c>
      <c r="G745" s="346" t="s">
        <v>1780</v>
      </c>
      <c r="H745" s="346" t="s">
        <v>1233</v>
      </c>
      <c r="I745" s="346">
        <v>2000000</v>
      </c>
      <c r="J745" s="346" t="s">
        <v>572</v>
      </c>
      <c r="K745" s="346" t="s">
        <v>1761</v>
      </c>
      <c r="L745" s="346"/>
      <c r="M745" s="346" t="s">
        <v>1761</v>
      </c>
      <c r="N745" s="346">
        <v>0.5</v>
      </c>
      <c r="O745" s="346">
        <v>7</v>
      </c>
      <c r="P745" s="346">
        <v>7.75</v>
      </c>
      <c r="Q745" s="346" t="s">
        <v>1762</v>
      </c>
      <c r="R745" s="458">
        <v>1</v>
      </c>
    </row>
    <row r="746" spans="1:18" x14ac:dyDescent="0.25">
      <c r="A746" s="458">
        <v>44680</v>
      </c>
      <c r="B746" s="346">
        <v>2100000322</v>
      </c>
      <c r="C746" s="346" t="s">
        <v>2203</v>
      </c>
      <c r="D746" s="346" t="s">
        <v>1756</v>
      </c>
      <c r="E746" s="346" t="s">
        <v>1757</v>
      </c>
      <c r="F746" s="346" t="s">
        <v>1758</v>
      </c>
      <c r="G746" s="346" t="s">
        <v>1780</v>
      </c>
      <c r="H746" s="346" t="s">
        <v>1233</v>
      </c>
      <c r="I746" s="346">
        <v>262516.11</v>
      </c>
      <c r="J746" s="346" t="s">
        <v>572</v>
      </c>
      <c r="K746" s="346" t="s">
        <v>1761</v>
      </c>
      <c r="L746" s="346"/>
      <c r="M746" s="346" t="s">
        <v>1761</v>
      </c>
      <c r="N746" s="346">
        <v>0.5</v>
      </c>
      <c r="O746" s="346">
        <v>8</v>
      </c>
      <c r="P746" s="346">
        <v>8.75</v>
      </c>
      <c r="Q746" s="346" t="s">
        <v>1762</v>
      </c>
      <c r="R746" s="458">
        <v>1</v>
      </c>
    </row>
    <row r="747" spans="1:18" x14ac:dyDescent="0.25">
      <c r="A747" s="458">
        <v>44680</v>
      </c>
      <c r="B747" s="346">
        <v>2100000324</v>
      </c>
      <c r="C747" s="346" t="s">
        <v>4576</v>
      </c>
      <c r="D747" s="346" t="s">
        <v>1756</v>
      </c>
      <c r="E747" s="346" t="s">
        <v>1757</v>
      </c>
      <c r="F747" s="346" t="s">
        <v>1758</v>
      </c>
      <c r="G747" s="346" t="s">
        <v>1780</v>
      </c>
      <c r="H747" s="346" t="s">
        <v>1233</v>
      </c>
      <c r="I747" s="346">
        <v>5159185.4400000004</v>
      </c>
      <c r="J747" s="346" t="s">
        <v>572</v>
      </c>
      <c r="K747" s="346" t="s">
        <v>1761</v>
      </c>
      <c r="L747" s="346"/>
      <c r="M747" s="346" t="s">
        <v>1761</v>
      </c>
      <c r="N747" s="346">
        <v>0.5</v>
      </c>
      <c r="O747" s="346">
        <v>8</v>
      </c>
      <c r="P747" s="346">
        <v>8.75</v>
      </c>
      <c r="Q747" s="346" t="s">
        <v>1762</v>
      </c>
      <c r="R747" s="458">
        <v>1</v>
      </c>
    </row>
    <row r="748" spans="1:18" s="348" customFormat="1" x14ac:dyDescent="0.25">
      <c r="A748"/>
      <c r="B748">
        <v>1100000283</v>
      </c>
      <c r="C748" t="s">
        <v>5361</v>
      </c>
      <c r="D748" s="346" t="s">
        <v>1756</v>
      </c>
      <c r="E748" s="346" t="s">
        <v>1757</v>
      </c>
      <c r="F748" s="346" t="s">
        <v>1758</v>
      </c>
      <c r="G748" s="346" t="s">
        <v>1771</v>
      </c>
      <c r="H748" s="346" t="s">
        <v>1237</v>
      </c>
      <c r="I748" s="346">
        <v>2408335</v>
      </c>
      <c r="J748" s="346" t="s">
        <v>572</v>
      </c>
      <c r="K748" s="346" t="s">
        <v>1761</v>
      </c>
      <c r="L748" s="346">
        <v>0</v>
      </c>
      <c r="M748" s="346" t="s">
        <v>1761</v>
      </c>
      <c r="N748" s="346">
        <v>0.75</v>
      </c>
      <c r="O748" s="346">
        <v>5.4</v>
      </c>
      <c r="P748" s="56">
        <v>6.4</v>
      </c>
      <c r="Q748" s="346" t="s">
        <v>1762</v>
      </c>
      <c r="R748" s="346">
        <v>1</v>
      </c>
    </row>
    <row r="749" spans="1:18" s="348" customFormat="1" x14ac:dyDescent="0.25">
      <c r="A749"/>
      <c r="B749">
        <v>1100000284</v>
      </c>
      <c r="C749" s="346" t="s">
        <v>5360</v>
      </c>
      <c r="D749" s="346" t="s">
        <v>1756</v>
      </c>
      <c r="E749" s="346" t="s">
        <v>1763</v>
      </c>
      <c r="F749" s="346" t="s">
        <v>1758</v>
      </c>
      <c r="G749" s="346" t="s">
        <v>1771</v>
      </c>
      <c r="H749" s="346" t="s">
        <v>1237</v>
      </c>
      <c r="I749" s="346">
        <v>0</v>
      </c>
      <c r="J749" s="346" t="s">
        <v>572</v>
      </c>
      <c r="K749" s="346" t="s">
        <v>1761</v>
      </c>
      <c r="L749" s="346">
        <v>0</v>
      </c>
      <c r="M749" s="346" t="s">
        <v>1761</v>
      </c>
      <c r="N749" s="346">
        <v>1</v>
      </c>
      <c r="O749" s="346">
        <v>6.24</v>
      </c>
      <c r="P749" s="56">
        <v>7.24</v>
      </c>
      <c r="Q749" s="346" t="s">
        <v>1762</v>
      </c>
      <c r="R749" s="346">
        <v>1</v>
      </c>
    </row>
    <row r="750" spans="1:18" x14ac:dyDescent="0.25">
      <c r="B750">
        <v>1300000003</v>
      </c>
      <c r="C750" s="346" t="s">
        <v>5362</v>
      </c>
      <c r="D750" s="346" t="s">
        <v>1756</v>
      </c>
      <c r="E750" s="346" t="s">
        <v>1763</v>
      </c>
      <c r="F750" s="346" t="s">
        <v>1758</v>
      </c>
      <c r="G750" s="346" t="s">
        <v>1789</v>
      </c>
      <c r="H750" s="346" t="s">
        <v>1790</v>
      </c>
      <c r="I750" s="346">
        <v>0</v>
      </c>
      <c r="J750" s="346" t="s">
        <v>572</v>
      </c>
      <c r="K750" s="346" t="s">
        <v>1761</v>
      </c>
      <c r="L750" s="346">
        <v>0</v>
      </c>
      <c r="M750" s="346" t="s">
        <v>1761</v>
      </c>
      <c r="N750" s="346">
        <v>1</v>
      </c>
      <c r="O750" s="346">
        <v>6.12</v>
      </c>
      <c r="P750" s="56">
        <v>7.12</v>
      </c>
      <c r="Q750" s="346" t="s">
        <v>1762</v>
      </c>
      <c r="R750" s="346">
        <v>1</v>
      </c>
    </row>
    <row r="751" spans="1:18" s="348" customFormat="1" ht="16.5" x14ac:dyDescent="0.3">
      <c r="A751" s="348" t="s">
        <v>5363</v>
      </c>
      <c r="B751" s="432">
        <v>1100000289</v>
      </c>
      <c r="C751" s="348" t="s">
        <v>5313</v>
      </c>
      <c r="P751" s="559">
        <v>6.48</v>
      </c>
    </row>
    <row r="752" spans="1:18" s="348" customFormat="1" x14ac:dyDescent="0.25">
      <c r="A752" s="348" t="s">
        <v>5364</v>
      </c>
      <c r="B752" s="432">
        <v>1300000004</v>
      </c>
      <c r="C752" s="348" t="s">
        <v>5323</v>
      </c>
      <c r="P752" s="348">
        <v>7.84</v>
      </c>
    </row>
    <row r="753" spans="5:18" x14ac:dyDescent="0.25">
      <c r="E753" s="346"/>
      <c r="F753" s="346"/>
      <c r="G753" s="346"/>
      <c r="H753" s="346"/>
      <c r="I753" s="346"/>
      <c r="J753" s="346"/>
      <c r="K753" s="346"/>
      <c r="L753" s="346"/>
      <c r="M753" s="346"/>
      <c r="N753" s="346"/>
      <c r="O753" s="346"/>
      <c r="P753" s="346"/>
      <c r="Q753" s="346"/>
      <c r="R753" s="346"/>
    </row>
  </sheetData>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C7844-D5D4-4FB4-AB75-F6D48FC7D608}">
  <sheetPr codeName="Sheet22"/>
  <dimension ref="A1:I115"/>
  <sheetViews>
    <sheetView zoomScale="80" zoomScaleNormal="80" workbookViewId="0">
      <selection activeCell="E1" sqref="E1"/>
    </sheetView>
  </sheetViews>
  <sheetFormatPr defaultColWidth="8.7109375" defaultRowHeight="15" x14ac:dyDescent="0.25"/>
  <cols>
    <col min="1" max="1" width="21.5703125" customWidth="1"/>
    <col min="2" max="2" width="28" customWidth="1"/>
    <col min="3" max="3" width="18.85546875" customWidth="1"/>
    <col min="4" max="4" width="35.85546875" style="346" customWidth="1"/>
    <col min="5" max="5" width="60" style="346" bestFit="1" customWidth="1"/>
    <col min="6" max="6" width="10.7109375" style="346" bestFit="1" customWidth="1"/>
    <col min="7" max="7" width="21.28515625" style="350" bestFit="1" customWidth="1"/>
    <col min="8" max="8" width="20.140625" customWidth="1"/>
    <col min="9" max="9" width="46.5703125" style="346" bestFit="1" customWidth="1"/>
    <col min="10" max="16384" width="8.7109375" style="346"/>
  </cols>
  <sheetData>
    <row r="1" spans="1:9" x14ac:dyDescent="0.25">
      <c r="A1" s="246" t="s">
        <v>2772</v>
      </c>
      <c r="B1" s="246" t="s">
        <v>1059</v>
      </c>
      <c r="C1" s="246" t="s">
        <v>1788</v>
      </c>
      <c r="D1" s="385" t="s">
        <v>239</v>
      </c>
      <c r="E1" s="385" t="s">
        <v>4586</v>
      </c>
      <c r="F1" s="385" t="s">
        <v>4585</v>
      </c>
      <c r="G1" s="385" t="s">
        <v>4592</v>
      </c>
    </row>
    <row r="2" spans="1:9" x14ac:dyDescent="0.25">
      <c r="A2" s="354">
        <v>1100000141</v>
      </c>
      <c r="B2" s="354" t="s">
        <v>1070</v>
      </c>
      <c r="C2" s="365">
        <v>1.1523140833641017</v>
      </c>
      <c r="D2" s="354" t="s">
        <v>168</v>
      </c>
      <c r="E2" s="354" t="s">
        <v>2790</v>
      </c>
      <c r="F2" s="354" t="s">
        <v>4589</v>
      </c>
      <c r="G2" s="398">
        <v>44661</v>
      </c>
      <c r="I2" s="462" t="s">
        <v>4587</v>
      </c>
    </row>
    <row r="3" spans="1:9" x14ac:dyDescent="0.25">
      <c r="A3" s="354">
        <v>1100000145</v>
      </c>
      <c r="B3" s="354" t="s">
        <v>1075</v>
      </c>
      <c r="C3" s="365">
        <v>0.85</v>
      </c>
      <c r="D3" s="354" t="s">
        <v>211</v>
      </c>
      <c r="E3" s="354" t="s">
        <v>2874</v>
      </c>
      <c r="F3" s="354" t="s">
        <v>4589</v>
      </c>
      <c r="G3" s="398">
        <v>44761</v>
      </c>
    </row>
    <row r="4" spans="1:9" x14ac:dyDescent="0.25">
      <c r="A4" s="354">
        <v>1100000199</v>
      </c>
      <c r="B4" s="354" t="s">
        <v>1078</v>
      </c>
      <c r="C4" s="365">
        <v>0.87</v>
      </c>
      <c r="D4" s="354" t="s">
        <v>135</v>
      </c>
      <c r="E4" s="354" t="s">
        <v>2909</v>
      </c>
      <c r="F4" s="354" t="s">
        <v>4590</v>
      </c>
      <c r="G4" s="398">
        <v>44985</v>
      </c>
    </row>
    <row r="5" spans="1:9" x14ac:dyDescent="0.25">
      <c r="A5" s="354">
        <v>1100000198</v>
      </c>
      <c r="B5" s="354" t="s">
        <v>1078</v>
      </c>
      <c r="C5" s="365">
        <v>0.87</v>
      </c>
      <c r="D5" s="354" t="e">
        <v>#N/A</v>
      </c>
      <c r="E5" s="354" t="s">
        <v>2910</v>
      </c>
      <c r="F5" s="354" t="s">
        <v>4590</v>
      </c>
      <c r="G5" s="398">
        <v>44985</v>
      </c>
    </row>
    <row r="6" spans="1:9" x14ac:dyDescent="0.25">
      <c r="A6" s="354">
        <v>1100000205</v>
      </c>
      <c r="B6" s="354" t="s">
        <v>1080</v>
      </c>
      <c r="C6" s="365">
        <v>0.66190383661082652</v>
      </c>
      <c r="D6" s="354" t="s">
        <v>117</v>
      </c>
      <c r="E6" s="354" t="s">
        <v>2917</v>
      </c>
      <c r="F6" s="354" t="s">
        <v>4589</v>
      </c>
      <c r="G6" s="398">
        <v>44936</v>
      </c>
    </row>
    <row r="7" spans="1:9" x14ac:dyDescent="0.25">
      <c r="A7" s="354">
        <v>1100000168</v>
      </c>
      <c r="B7" s="354" t="s">
        <v>1081</v>
      </c>
      <c r="C7" s="365">
        <v>0.71935355830559344</v>
      </c>
      <c r="D7" s="354" t="s">
        <v>132</v>
      </c>
      <c r="E7" s="354" t="s">
        <v>2934</v>
      </c>
      <c r="F7" s="354" t="s">
        <v>4589</v>
      </c>
      <c r="G7" s="398">
        <v>44761</v>
      </c>
    </row>
    <row r="8" spans="1:9" x14ac:dyDescent="0.25">
      <c r="A8" s="354">
        <v>1100000209</v>
      </c>
      <c r="B8" s="354" t="s">
        <v>1082</v>
      </c>
      <c r="C8" s="365">
        <v>1.01</v>
      </c>
      <c r="D8" s="354" t="s">
        <v>129</v>
      </c>
      <c r="E8" s="354" t="s">
        <v>2960</v>
      </c>
      <c r="F8" s="354" t="s">
        <v>4590</v>
      </c>
      <c r="G8" s="398">
        <v>44979</v>
      </c>
    </row>
    <row r="9" spans="1:9" x14ac:dyDescent="0.25">
      <c r="A9" s="354">
        <v>1100000175</v>
      </c>
      <c r="B9" s="354" t="s">
        <v>2768</v>
      </c>
      <c r="C9" s="365">
        <v>1.1951755713707852</v>
      </c>
      <c r="D9" s="354" t="s">
        <v>198</v>
      </c>
      <c r="E9" s="354" t="s">
        <v>2963</v>
      </c>
      <c r="F9" s="354" t="s">
        <v>149</v>
      </c>
      <c r="G9" s="398">
        <v>44807</v>
      </c>
    </row>
    <row r="10" spans="1:9" x14ac:dyDescent="0.25">
      <c r="A10" s="354">
        <v>1100000144</v>
      </c>
      <c r="B10" s="354" t="s">
        <v>1083</v>
      </c>
      <c r="C10" s="365">
        <v>0.66</v>
      </c>
      <c r="D10" s="354" t="s">
        <v>112</v>
      </c>
      <c r="E10" s="354" t="s">
        <v>2966</v>
      </c>
      <c r="F10" s="354" t="s">
        <v>4590</v>
      </c>
      <c r="G10" s="398" t="e">
        <v>#N/A</v>
      </c>
    </row>
    <row r="11" spans="1:9" x14ac:dyDescent="0.25">
      <c r="A11" s="354">
        <v>1100000143</v>
      </c>
      <c r="B11" s="354" t="s">
        <v>1087</v>
      </c>
      <c r="C11" s="365">
        <v>1.36</v>
      </c>
      <c r="D11" s="354" t="s">
        <v>164</v>
      </c>
      <c r="E11" s="354" t="s">
        <v>3006</v>
      </c>
      <c r="F11" s="354" t="s">
        <v>4590</v>
      </c>
      <c r="G11" s="398">
        <v>44961</v>
      </c>
    </row>
    <row r="12" spans="1:9" x14ac:dyDescent="0.25">
      <c r="A12" s="354">
        <v>1100000153</v>
      </c>
      <c r="B12" s="354" t="s">
        <v>1092</v>
      </c>
      <c r="C12" s="365">
        <v>0.85</v>
      </c>
      <c r="D12" s="354" t="s">
        <v>212</v>
      </c>
      <c r="E12" s="354" t="s">
        <v>3035</v>
      </c>
      <c r="F12" s="354" t="s">
        <v>4589</v>
      </c>
      <c r="G12" s="398">
        <v>44761</v>
      </c>
    </row>
    <row r="13" spans="1:9" x14ac:dyDescent="0.25">
      <c r="A13" s="354">
        <v>1100000151</v>
      </c>
      <c r="B13" s="354" t="s">
        <v>1095</v>
      </c>
      <c r="C13" s="365">
        <v>1.1828351624093423</v>
      </c>
      <c r="D13" s="354" t="s">
        <v>175</v>
      </c>
      <c r="E13" s="354" t="s">
        <v>3062</v>
      </c>
      <c r="F13" s="354" t="s">
        <v>4589</v>
      </c>
      <c r="G13" s="398">
        <v>44744</v>
      </c>
    </row>
    <row r="14" spans="1:9" x14ac:dyDescent="0.25">
      <c r="A14" s="354">
        <v>1100000186</v>
      </c>
      <c r="B14" s="354" t="s">
        <v>1099</v>
      </c>
      <c r="C14" s="365">
        <v>1.37</v>
      </c>
      <c r="D14" s="354" t="s">
        <v>131</v>
      </c>
      <c r="E14" s="354" t="s">
        <v>3115</v>
      </c>
      <c r="F14" s="354" t="s">
        <v>4590</v>
      </c>
      <c r="G14" s="398">
        <v>44964</v>
      </c>
    </row>
    <row r="15" spans="1:9" x14ac:dyDescent="0.25">
      <c r="A15" s="354">
        <v>1100000187</v>
      </c>
      <c r="B15" s="354" t="s">
        <v>1099</v>
      </c>
      <c r="C15" s="365">
        <v>1.37</v>
      </c>
      <c r="D15" s="354" t="s">
        <v>321</v>
      </c>
      <c r="E15" s="354" t="s">
        <v>3116</v>
      </c>
      <c r="F15" s="354" t="s">
        <v>4590</v>
      </c>
      <c r="G15" s="398">
        <v>44964</v>
      </c>
    </row>
    <row r="16" spans="1:9" x14ac:dyDescent="0.25">
      <c r="A16" s="354">
        <v>1100000171</v>
      </c>
      <c r="B16" s="354" t="s">
        <v>2762</v>
      </c>
      <c r="C16" s="365">
        <v>0.65</v>
      </c>
      <c r="D16" s="354" t="s">
        <v>323</v>
      </c>
      <c r="E16" s="354" t="s">
        <v>3165</v>
      </c>
      <c r="F16" s="354" t="s">
        <v>4589</v>
      </c>
      <c r="G16" s="398">
        <v>44985</v>
      </c>
    </row>
    <row r="17" spans="1:7" x14ac:dyDescent="0.25">
      <c r="A17" s="354">
        <v>1100000223</v>
      </c>
      <c r="B17" s="354" t="s">
        <v>3174</v>
      </c>
      <c r="C17" s="365">
        <v>1.1951755713707852</v>
      </c>
      <c r="D17" s="354" t="s">
        <v>202</v>
      </c>
      <c r="E17" s="354" t="s">
        <v>3177</v>
      </c>
      <c r="F17" s="354" t="s">
        <v>4589</v>
      </c>
      <c r="G17" s="398">
        <v>44655</v>
      </c>
    </row>
    <row r="18" spans="1:7" x14ac:dyDescent="0.25">
      <c r="A18" s="354">
        <v>1100000185</v>
      </c>
      <c r="B18" s="354" t="s">
        <v>1102</v>
      </c>
      <c r="C18" s="365">
        <v>1.0605674153852402</v>
      </c>
      <c r="D18" s="354" t="s">
        <v>121</v>
      </c>
      <c r="E18" s="354" t="s">
        <v>3180</v>
      </c>
      <c r="F18" s="354" t="s">
        <v>4589</v>
      </c>
      <c r="G18" s="398">
        <v>44593</v>
      </c>
    </row>
    <row r="19" spans="1:7" x14ac:dyDescent="0.25">
      <c r="A19" s="354">
        <v>1100000152</v>
      </c>
      <c r="B19" s="354" t="s">
        <v>1095</v>
      </c>
      <c r="C19" s="365">
        <v>1.1828351624093423</v>
      </c>
      <c r="D19" s="354" t="s">
        <v>325</v>
      </c>
      <c r="E19" s="354" t="s">
        <v>3181</v>
      </c>
      <c r="F19" s="354" t="s">
        <v>4589</v>
      </c>
      <c r="G19" s="398">
        <v>44744</v>
      </c>
    </row>
    <row r="20" spans="1:7" x14ac:dyDescent="0.25">
      <c r="A20" s="354">
        <v>1100000002</v>
      </c>
      <c r="B20" s="354" t="s">
        <v>3188</v>
      </c>
      <c r="C20" s="365">
        <v>1.1951755713707852</v>
      </c>
      <c r="D20" s="354" t="s">
        <v>203</v>
      </c>
      <c r="E20" s="354" t="s">
        <v>3190</v>
      </c>
      <c r="F20" s="354" t="s">
        <v>4589</v>
      </c>
      <c r="G20" s="398">
        <v>44674</v>
      </c>
    </row>
    <row r="21" spans="1:7" x14ac:dyDescent="0.25">
      <c r="A21" s="354">
        <v>1100000202</v>
      </c>
      <c r="B21" s="354" t="s">
        <v>3191</v>
      </c>
      <c r="C21" s="365">
        <v>0.79</v>
      </c>
      <c r="D21" s="354" t="s">
        <v>1398</v>
      </c>
      <c r="E21" s="354" t="s">
        <v>3193</v>
      </c>
      <c r="F21" s="354" t="s">
        <v>4589</v>
      </c>
      <c r="G21" s="398">
        <v>44624</v>
      </c>
    </row>
    <row r="22" spans="1:7" x14ac:dyDescent="0.25">
      <c r="A22" s="354">
        <v>1100000203</v>
      </c>
      <c r="B22" s="354" t="s">
        <v>1103</v>
      </c>
      <c r="C22" s="365">
        <v>1.89</v>
      </c>
      <c r="D22" s="354" t="s">
        <v>111</v>
      </c>
      <c r="E22" s="463" t="s">
        <v>3211</v>
      </c>
      <c r="F22" s="354" t="s">
        <v>4589</v>
      </c>
      <c r="G22" s="398">
        <v>44652</v>
      </c>
    </row>
    <row r="23" spans="1:7" x14ac:dyDescent="0.25">
      <c r="A23" s="354">
        <v>1100000184</v>
      </c>
      <c r="B23" s="354" t="s">
        <v>1107</v>
      </c>
      <c r="C23" s="365">
        <v>0.76</v>
      </c>
      <c r="D23" s="354" t="s">
        <v>130</v>
      </c>
      <c r="E23" s="354" t="s">
        <v>3266</v>
      </c>
      <c r="F23" s="354" t="s">
        <v>4589</v>
      </c>
      <c r="G23" s="398">
        <v>44649</v>
      </c>
    </row>
    <row r="24" spans="1:7" x14ac:dyDescent="0.25">
      <c r="A24" s="354">
        <v>1100000182</v>
      </c>
      <c r="B24" s="354" t="s">
        <v>1107</v>
      </c>
      <c r="C24" s="365">
        <v>0.76</v>
      </c>
      <c r="D24" s="354" t="e">
        <v>#N/A</v>
      </c>
      <c r="E24" s="354" t="s">
        <v>3267</v>
      </c>
      <c r="F24" s="354" t="s">
        <v>4589</v>
      </c>
      <c r="G24" s="398">
        <v>44649</v>
      </c>
    </row>
    <row r="25" spans="1:7" x14ac:dyDescent="0.25">
      <c r="A25" s="354">
        <v>1100000130</v>
      </c>
      <c r="B25" s="354" t="s">
        <v>1108</v>
      </c>
      <c r="C25" s="365">
        <v>2.6166702291271653</v>
      </c>
      <c r="D25" s="354" t="s">
        <v>171</v>
      </c>
      <c r="E25" s="354" t="s">
        <v>3319</v>
      </c>
      <c r="F25" s="354" t="s">
        <v>4589</v>
      </c>
      <c r="G25" s="398">
        <v>44755</v>
      </c>
    </row>
    <row r="26" spans="1:7" x14ac:dyDescent="0.25">
      <c r="A26" s="354">
        <v>1100000190</v>
      </c>
      <c r="B26" s="354" t="s">
        <v>1110</v>
      </c>
      <c r="C26" s="365">
        <v>0.97415395776533398</v>
      </c>
      <c r="D26" s="354" t="s">
        <v>218</v>
      </c>
      <c r="E26" s="354" t="s">
        <v>3382</v>
      </c>
      <c r="F26" s="354" t="s">
        <v>4589</v>
      </c>
      <c r="G26" s="398">
        <v>44849</v>
      </c>
    </row>
    <row r="27" spans="1:7" x14ac:dyDescent="0.25">
      <c r="A27" s="354">
        <v>1100000191</v>
      </c>
      <c r="B27" s="354" t="s">
        <v>1110</v>
      </c>
      <c r="C27" s="365">
        <v>0.97415395776533398</v>
      </c>
      <c r="D27" s="354" t="e">
        <v>#N/A</v>
      </c>
      <c r="E27" s="354" t="s">
        <v>3383</v>
      </c>
      <c r="F27" s="354" t="s">
        <v>4589</v>
      </c>
      <c r="G27" s="398">
        <v>44849</v>
      </c>
    </row>
    <row r="28" spans="1:7" x14ac:dyDescent="0.25">
      <c r="A28" s="354">
        <v>1100000004</v>
      </c>
      <c r="B28" s="354" t="s">
        <v>1111</v>
      </c>
      <c r="C28" s="365">
        <v>0.58871431438411448</v>
      </c>
      <c r="D28" s="354" t="s">
        <v>965</v>
      </c>
      <c r="E28" s="354" t="s">
        <v>3408</v>
      </c>
      <c r="F28" s="354" t="s">
        <v>4589</v>
      </c>
      <c r="G28" s="398">
        <v>44915</v>
      </c>
    </row>
    <row r="29" spans="1:7" x14ac:dyDescent="0.25">
      <c r="A29" s="354">
        <v>1100000005</v>
      </c>
      <c r="B29" s="354" t="s">
        <v>1113</v>
      </c>
      <c r="C29" s="365">
        <v>1.1661702555310061</v>
      </c>
      <c r="D29" s="354" t="s">
        <v>967</v>
      </c>
      <c r="E29" s="354" t="s">
        <v>3422</v>
      </c>
      <c r="F29" s="354" t="s">
        <v>4589</v>
      </c>
      <c r="G29" s="398">
        <v>45000</v>
      </c>
    </row>
    <row r="30" spans="1:7" x14ac:dyDescent="0.25">
      <c r="A30" s="354">
        <v>1200000152</v>
      </c>
      <c r="B30" s="354" t="s">
        <v>1082</v>
      </c>
      <c r="C30" s="365">
        <v>1.01</v>
      </c>
      <c r="D30" s="354" t="s">
        <v>970</v>
      </c>
      <c r="E30" s="354" t="s">
        <v>3423</v>
      </c>
      <c r="F30" s="354" t="s">
        <v>4590</v>
      </c>
      <c r="G30" s="398">
        <v>44979</v>
      </c>
    </row>
    <row r="31" spans="1:7" x14ac:dyDescent="0.25">
      <c r="A31" s="354">
        <v>1200000128</v>
      </c>
      <c r="B31" s="354" t="s">
        <v>3424</v>
      </c>
      <c r="C31" s="365">
        <v>0.67840752834901008</v>
      </c>
      <c r="D31" s="354" t="s">
        <v>2691</v>
      </c>
      <c r="E31" s="354" t="s">
        <v>3428</v>
      </c>
      <c r="F31" s="354" t="s">
        <v>4589</v>
      </c>
      <c r="G31" s="398">
        <v>44706</v>
      </c>
    </row>
    <row r="32" spans="1:7" x14ac:dyDescent="0.25">
      <c r="A32" s="354">
        <v>1200000130</v>
      </c>
      <c r="B32" s="354" t="s">
        <v>3424</v>
      </c>
      <c r="C32" s="365">
        <v>0.67840752834901008</v>
      </c>
      <c r="D32" s="354" t="s">
        <v>2692</v>
      </c>
      <c r="E32" s="354" t="s">
        <v>3429</v>
      </c>
      <c r="F32" s="354" t="s">
        <v>4589</v>
      </c>
      <c r="G32" s="398">
        <v>44706</v>
      </c>
    </row>
    <row r="33" spans="1:7" x14ac:dyDescent="0.25">
      <c r="A33" s="354">
        <v>1200000001</v>
      </c>
      <c r="B33" s="354" t="s">
        <v>1103</v>
      </c>
      <c r="C33" s="365">
        <v>1.89</v>
      </c>
      <c r="D33" s="354" t="s">
        <v>971</v>
      </c>
      <c r="E33" s="463" t="s">
        <v>3435</v>
      </c>
      <c r="F33" s="354" t="s">
        <v>4589</v>
      </c>
      <c r="G33" s="398">
        <v>44652</v>
      </c>
    </row>
    <row r="34" spans="1:7" x14ac:dyDescent="0.25">
      <c r="A34" s="354">
        <v>1200000131</v>
      </c>
      <c r="B34" s="354" t="s">
        <v>2762</v>
      </c>
      <c r="C34" s="365">
        <v>0.65</v>
      </c>
      <c r="D34" s="354" t="s">
        <v>1476</v>
      </c>
      <c r="E34" s="354" t="s">
        <v>3441</v>
      </c>
      <c r="F34" s="354" t="s">
        <v>4589</v>
      </c>
      <c r="G34" s="398">
        <v>44985</v>
      </c>
    </row>
    <row r="35" spans="1:7" x14ac:dyDescent="0.25">
      <c r="A35" s="354">
        <v>1200000149</v>
      </c>
      <c r="B35" s="354" t="s">
        <v>1080</v>
      </c>
      <c r="C35" s="365">
        <v>0.66190383661082652</v>
      </c>
      <c r="D35" s="354" t="s">
        <v>972</v>
      </c>
      <c r="E35" s="354" t="s">
        <v>3442</v>
      </c>
      <c r="F35" s="354" t="s">
        <v>4589</v>
      </c>
      <c r="G35" s="398">
        <v>44936</v>
      </c>
    </row>
    <row r="36" spans="1:7" x14ac:dyDescent="0.25">
      <c r="A36" s="354">
        <v>1200000148</v>
      </c>
      <c r="B36" s="354" t="s">
        <v>1080</v>
      </c>
      <c r="C36" s="365">
        <v>0.66190383661082652</v>
      </c>
      <c r="D36" s="354" t="e">
        <v>#N/A</v>
      </c>
      <c r="E36" s="354" t="s">
        <v>3443</v>
      </c>
      <c r="F36" s="354" t="s">
        <v>4589</v>
      </c>
      <c r="G36" s="398">
        <v>44936</v>
      </c>
    </row>
    <row r="37" spans="1:7" x14ac:dyDescent="0.25">
      <c r="A37" s="354">
        <v>1200000125</v>
      </c>
      <c r="B37" s="354" t="s">
        <v>1077</v>
      </c>
      <c r="C37" s="365">
        <v>2.1329919239718182</v>
      </c>
      <c r="D37" s="354" t="s">
        <v>973</v>
      </c>
      <c r="E37" s="354" t="s">
        <v>3446</v>
      </c>
      <c r="F37" s="354" t="s">
        <v>4589</v>
      </c>
      <c r="G37" s="398">
        <v>44757</v>
      </c>
    </row>
    <row r="38" spans="1:7" x14ac:dyDescent="0.25">
      <c r="A38" s="354">
        <v>1200000124</v>
      </c>
      <c r="B38" s="354" t="s">
        <v>1077</v>
      </c>
      <c r="C38" s="365">
        <v>2.1329919239718182</v>
      </c>
      <c r="D38" s="354" t="e">
        <v>#N/A</v>
      </c>
      <c r="E38" s="354" t="s">
        <v>3447</v>
      </c>
      <c r="F38" s="354" t="s">
        <v>4589</v>
      </c>
      <c r="G38" s="398">
        <v>44757</v>
      </c>
    </row>
    <row r="39" spans="1:7" x14ac:dyDescent="0.25">
      <c r="A39" s="354">
        <v>1200000127</v>
      </c>
      <c r="B39" s="354" t="s">
        <v>1077</v>
      </c>
      <c r="C39" s="365">
        <v>2.1329919239718182</v>
      </c>
      <c r="D39" s="354" t="e">
        <v>#N/A</v>
      </c>
      <c r="E39" s="354" t="s">
        <v>3448</v>
      </c>
      <c r="F39" s="354" t="s">
        <v>4589</v>
      </c>
      <c r="G39" s="398">
        <v>44757</v>
      </c>
    </row>
    <row r="40" spans="1:7" x14ac:dyDescent="0.25">
      <c r="A40" s="354">
        <v>1200000132</v>
      </c>
      <c r="B40" s="354" t="s">
        <v>2768</v>
      </c>
      <c r="C40" s="365">
        <v>1.1951755713707852</v>
      </c>
      <c r="D40" s="354" t="s">
        <v>1477</v>
      </c>
      <c r="E40" s="354" t="s">
        <v>3450</v>
      </c>
      <c r="F40" s="354" t="s">
        <v>4589</v>
      </c>
      <c r="G40" s="398">
        <v>44807</v>
      </c>
    </row>
    <row r="41" spans="1:7" x14ac:dyDescent="0.25">
      <c r="A41" s="354">
        <v>1200000133</v>
      </c>
      <c r="B41" s="354" t="s">
        <v>2767</v>
      </c>
      <c r="C41" s="365">
        <v>1.8425777267619361</v>
      </c>
      <c r="D41" s="354" t="s">
        <v>1478</v>
      </c>
      <c r="E41" s="354" t="s">
        <v>3456</v>
      </c>
      <c r="F41" s="354" t="s">
        <v>4589</v>
      </c>
      <c r="G41" s="398">
        <v>44742</v>
      </c>
    </row>
    <row r="42" spans="1:7" x14ac:dyDescent="0.25">
      <c r="A42" s="354">
        <v>1200000134</v>
      </c>
      <c r="B42" s="354" t="s">
        <v>2767</v>
      </c>
      <c r="C42" s="365">
        <v>1.8425777267619361</v>
      </c>
      <c r="D42" s="354" t="s">
        <v>1480</v>
      </c>
      <c r="E42" s="354" t="s">
        <v>3457</v>
      </c>
      <c r="F42" s="354" t="s">
        <v>4589</v>
      </c>
      <c r="G42" s="398">
        <v>44742</v>
      </c>
    </row>
    <row r="43" spans="1:7" x14ac:dyDescent="0.25">
      <c r="A43" s="354">
        <v>1200000157</v>
      </c>
      <c r="B43" s="354" t="s">
        <v>1061</v>
      </c>
      <c r="C43" s="365">
        <v>0.85</v>
      </c>
      <c r="D43" s="354" t="s">
        <v>977</v>
      </c>
      <c r="E43" s="354" t="s">
        <v>3465</v>
      </c>
      <c r="F43" s="354" t="s">
        <v>4589</v>
      </c>
      <c r="G43" s="398">
        <v>44792</v>
      </c>
    </row>
    <row r="44" spans="1:7" x14ac:dyDescent="0.25">
      <c r="A44" s="354">
        <v>1200000002</v>
      </c>
      <c r="B44" s="354" t="s">
        <v>1112</v>
      </c>
      <c r="C44" s="365">
        <v>0.85</v>
      </c>
      <c r="D44" s="354" t="s">
        <v>978</v>
      </c>
      <c r="E44" s="354" t="s">
        <v>3468</v>
      </c>
      <c r="F44" s="354" t="s">
        <v>4589</v>
      </c>
      <c r="G44" s="398">
        <v>44838</v>
      </c>
    </row>
    <row r="45" spans="1:7" x14ac:dyDescent="0.25">
      <c r="A45" s="354">
        <v>1100000225</v>
      </c>
      <c r="B45" s="354" t="s">
        <v>1112</v>
      </c>
      <c r="C45" s="365">
        <v>0.85</v>
      </c>
      <c r="D45" s="354" t="e">
        <v>#N/A</v>
      </c>
      <c r="E45" s="354" t="s">
        <v>3469</v>
      </c>
      <c r="F45" s="354" t="s">
        <v>4589</v>
      </c>
      <c r="G45" s="398">
        <v>44838</v>
      </c>
    </row>
    <row r="46" spans="1:7" x14ac:dyDescent="0.25">
      <c r="A46" s="354">
        <v>1100000111</v>
      </c>
      <c r="B46" s="354" t="s">
        <v>1117</v>
      </c>
      <c r="C46" s="365">
        <v>0.85</v>
      </c>
      <c r="D46" s="354" t="s">
        <v>991</v>
      </c>
      <c r="E46" s="354" t="s">
        <v>3564</v>
      </c>
      <c r="F46" s="354" t="s">
        <v>4589</v>
      </c>
      <c r="G46" s="398">
        <v>44683</v>
      </c>
    </row>
    <row r="47" spans="1:7" x14ac:dyDescent="0.25">
      <c r="A47" s="354">
        <v>1100000110</v>
      </c>
      <c r="B47" s="354" t="s">
        <v>1117</v>
      </c>
      <c r="C47" s="365">
        <v>0.85</v>
      </c>
      <c r="D47" s="354" t="e">
        <v>#N/A</v>
      </c>
      <c r="E47" s="354" t="s">
        <v>3565</v>
      </c>
      <c r="F47" s="354" t="s">
        <v>4589</v>
      </c>
      <c r="G47" s="398">
        <v>44683</v>
      </c>
    </row>
    <row r="48" spans="1:7" x14ac:dyDescent="0.25">
      <c r="A48" s="354">
        <v>1200000147</v>
      </c>
      <c r="B48" s="354" t="s">
        <v>3191</v>
      </c>
      <c r="C48" s="365">
        <v>0.79</v>
      </c>
      <c r="D48" s="354" t="s">
        <v>1513</v>
      </c>
      <c r="E48" s="354" t="s">
        <v>3571</v>
      </c>
      <c r="F48" s="354" t="s">
        <v>4589</v>
      </c>
      <c r="G48" s="398">
        <v>44624</v>
      </c>
    </row>
    <row r="49" spans="1:7" x14ac:dyDescent="0.25">
      <c r="A49" s="354">
        <v>1200000146</v>
      </c>
      <c r="B49" s="354" t="s">
        <v>1078</v>
      </c>
      <c r="C49" s="365">
        <v>0.87</v>
      </c>
      <c r="D49" s="354" t="s">
        <v>1018</v>
      </c>
      <c r="E49" s="354" t="s">
        <v>3597</v>
      </c>
      <c r="F49" s="354" t="s">
        <v>4590</v>
      </c>
      <c r="G49" s="398">
        <v>44985</v>
      </c>
    </row>
    <row r="50" spans="1:7" x14ac:dyDescent="0.25">
      <c r="A50" s="354">
        <v>1200000116</v>
      </c>
      <c r="B50" s="354" t="s">
        <v>1119</v>
      </c>
      <c r="C50" s="365">
        <v>0.85</v>
      </c>
      <c r="D50" s="354" t="s">
        <v>1023</v>
      </c>
      <c r="E50" s="354" t="s">
        <v>3608</v>
      </c>
      <c r="F50" s="354" t="s">
        <v>4589</v>
      </c>
      <c r="G50" s="398">
        <v>44852</v>
      </c>
    </row>
    <row r="51" spans="1:7" x14ac:dyDescent="0.25">
      <c r="A51" s="354">
        <v>1200000105</v>
      </c>
      <c r="B51" s="354" t="s">
        <v>1065</v>
      </c>
      <c r="C51" s="365">
        <v>0.85</v>
      </c>
      <c r="D51" s="354" t="s">
        <v>1541</v>
      </c>
      <c r="E51" s="354" t="s">
        <v>1032</v>
      </c>
      <c r="F51" s="354" t="s">
        <v>4589</v>
      </c>
      <c r="G51" s="398">
        <v>44712</v>
      </c>
    </row>
    <row r="52" spans="1:7" x14ac:dyDescent="0.25">
      <c r="A52" s="354">
        <v>1200000106</v>
      </c>
      <c r="B52" s="354" t="s">
        <v>1122</v>
      </c>
      <c r="C52" s="365">
        <v>1.08</v>
      </c>
      <c r="D52" s="354" t="s">
        <v>1542</v>
      </c>
      <c r="E52" s="354" t="s">
        <v>3689</v>
      </c>
      <c r="F52" s="354" t="s">
        <v>4589</v>
      </c>
      <c r="G52" s="398">
        <v>44711</v>
      </c>
    </row>
    <row r="53" spans="1:7" x14ac:dyDescent="0.25">
      <c r="A53" s="354">
        <v>1200000135</v>
      </c>
      <c r="B53" s="354" t="s">
        <v>1102</v>
      </c>
      <c r="C53" s="365">
        <v>1.0605674153852402</v>
      </c>
      <c r="D53" s="354" t="s">
        <v>1546</v>
      </c>
      <c r="E53" s="354" t="s">
        <v>3694</v>
      </c>
      <c r="F53" s="354" t="s">
        <v>4589</v>
      </c>
      <c r="G53" s="398">
        <v>44593</v>
      </c>
    </row>
    <row r="54" spans="1:7" x14ac:dyDescent="0.25">
      <c r="A54" s="354">
        <v>1100000119</v>
      </c>
      <c r="B54" s="354" t="s">
        <v>2765</v>
      </c>
      <c r="C54" s="365">
        <v>1.3625045444878234</v>
      </c>
      <c r="D54" s="354" t="s">
        <v>1552</v>
      </c>
      <c r="E54" s="354" t="s">
        <v>3724</v>
      </c>
      <c r="F54" s="354" t="s">
        <v>4589</v>
      </c>
      <c r="G54" s="398">
        <v>44610</v>
      </c>
    </row>
    <row r="55" spans="1:7" x14ac:dyDescent="0.25">
      <c r="A55" s="354">
        <v>1200000111</v>
      </c>
      <c r="B55" s="354" t="s">
        <v>2760</v>
      </c>
      <c r="C55" s="365">
        <v>2.23</v>
      </c>
      <c r="D55" s="354" t="s">
        <v>1553</v>
      </c>
      <c r="E55" s="354" t="s">
        <v>3726</v>
      </c>
      <c r="F55" s="354" t="s">
        <v>4590</v>
      </c>
      <c r="G55" s="398">
        <v>44945</v>
      </c>
    </row>
    <row r="56" spans="1:7" x14ac:dyDescent="0.25">
      <c r="A56" s="354">
        <v>1200000112</v>
      </c>
      <c r="B56" s="354" t="s">
        <v>2760</v>
      </c>
      <c r="C56" s="365">
        <v>2.23</v>
      </c>
      <c r="D56" s="354" t="e">
        <v>#N/A</v>
      </c>
      <c r="E56" s="354" t="s">
        <v>3727</v>
      </c>
      <c r="F56" s="354" t="s">
        <v>4590</v>
      </c>
      <c r="G56" s="398">
        <v>44945</v>
      </c>
    </row>
    <row r="57" spans="1:7" x14ac:dyDescent="0.25">
      <c r="A57" s="354">
        <v>1200000108</v>
      </c>
      <c r="B57" s="354" t="s">
        <v>1100</v>
      </c>
      <c r="C57" s="365">
        <v>1.38</v>
      </c>
      <c r="D57" s="354" t="s">
        <v>1556</v>
      </c>
      <c r="E57" s="461" t="s">
        <v>3736</v>
      </c>
      <c r="F57" s="354" t="s">
        <v>4589</v>
      </c>
      <c r="G57" s="398">
        <v>44614</v>
      </c>
    </row>
    <row r="58" spans="1:7" x14ac:dyDescent="0.25">
      <c r="A58" s="354">
        <v>1100000126</v>
      </c>
      <c r="B58" s="354" t="s">
        <v>2758</v>
      </c>
      <c r="C58" s="365">
        <v>1.04</v>
      </c>
      <c r="D58" s="354" t="s">
        <v>1568</v>
      </c>
      <c r="E58" s="354" t="s">
        <v>3761</v>
      </c>
      <c r="F58" s="354" t="s">
        <v>4589</v>
      </c>
      <c r="G58" s="398">
        <v>44621</v>
      </c>
    </row>
    <row r="59" spans="1:7" x14ac:dyDescent="0.25">
      <c r="A59" s="354">
        <v>1100000128</v>
      </c>
      <c r="B59" s="354" t="s">
        <v>3787</v>
      </c>
      <c r="C59" s="365">
        <v>1.28</v>
      </c>
      <c r="D59" s="354" t="s">
        <v>1161</v>
      </c>
      <c r="E59" s="354" t="s">
        <v>3789</v>
      </c>
      <c r="F59" s="354" t="s">
        <v>4589</v>
      </c>
      <c r="G59" s="398">
        <v>44636</v>
      </c>
    </row>
    <row r="60" spans="1:7" x14ac:dyDescent="0.25">
      <c r="A60" s="354">
        <v>1100000136</v>
      </c>
      <c r="B60" s="354" t="s">
        <v>2757</v>
      </c>
      <c r="C60" s="365">
        <v>1.3259653369230906</v>
      </c>
      <c r="D60" s="354" t="s">
        <v>1165</v>
      </c>
      <c r="E60" s="354" t="s">
        <v>3803</v>
      </c>
      <c r="F60" s="354" t="s">
        <v>4589</v>
      </c>
      <c r="G60" s="398">
        <v>44646</v>
      </c>
    </row>
    <row r="61" spans="1:7" x14ac:dyDescent="0.25">
      <c r="A61" s="354">
        <v>1200000117</v>
      </c>
      <c r="B61" s="354" t="s">
        <v>2769</v>
      </c>
      <c r="C61" s="365">
        <v>1.0153914978799519</v>
      </c>
      <c r="D61" s="354" t="s">
        <v>1166</v>
      </c>
      <c r="E61" s="354" t="s">
        <v>3847</v>
      </c>
      <c r="F61" s="354" t="s">
        <v>4589</v>
      </c>
      <c r="G61" s="398">
        <v>44735</v>
      </c>
    </row>
    <row r="62" spans="1:7" x14ac:dyDescent="0.25">
      <c r="A62" s="354">
        <v>1100000150</v>
      </c>
      <c r="B62" s="354" t="s">
        <v>2769</v>
      </c>
      <c r="C62" s="365">
        <v>1.0153914978799519</v>
      </c>
      <c r="D62" s="354" t="s">
        <v>1167</v>
      </c>
      <c r="E62" s="354" t="s">
        <v>3848</v>
      </c>
      <c r="F62" s="354" t="s">
        <v>4589</v>
      </c>
      <c r="G62" s="398">
        <v>44735</v>
      </c>
    </row>
    <row r="63" spans="1:7" x14ac:dyDescent="0.25">
      <c r="A63" s="354">
        <v>1200000118</v>
      </c>
      <c r="B63" s="354" t="s">
        <v>3865</v>
      </c>
      <c r="C63" s="365">
        <v>1.174146672397123</v>
      </c>
      <c r="D63" s="354" t="s">
        <v>1603</v>
      </c>
      <c r="E63" s="354" t="s">
        <v>1168</v>
      </c>
      <c r="F63" s="354" t="s">
        <v>4589</v>
      </c>
      <c r="G63" s="398">
        <v>44672</v>
      </c>
    </row>
    <row r="64" spans="1:7" x14ac:dyDescent="0.25">
      <c r="A64" s="354">
        <v>1100000157</v>
      </c>
      <c r="B64" s="354" t="s">
        <v>3865</v>
      </c>
      <c r="C64" s="365">
        <v>1.174146672397123</v>
      </c>
      <c r="D64" s="354" t="s">
        <v>1602</v>
      </c>
      <c r="E64" s="354" t="s">
        <v>1169</v>
      </c>
      <c r="F64" s="354" t="s">
        <v>4589</v>
      </c>
      <c r="G64" s="398">
        <v>44672</v>
      </c>
    </row>
    <row r="65" spans="1:7" x14ac:dyDescent="0.25">
      <c r="A65" s="354">
        <v>1200000119</v>
      </c>
      <c r="B65" s="354" t="s">
        <v>3188</v>
      </c>
      <c r="C65" s="365">
        <v>1.1951755713707852</v>
      </c>
      <c r="D65" s="354" t="s">
        <v>1600</v>
      </c>
      <c r="E65" s="354" t="s">
        <v>3867</v>
      </c>
      <c r="F65" s="354" t="s">
        <v>4589</v>
      </c>
      <c r="G65" s="398">
        <v>44674</v>
      </c>
    </row>
    <row r="66" spans="1:7" x14ac:dyDescent="0.25">
      <c r="A66" s="354">
        <v>1200000120</v>
      </c>
      <c r="B66" s="354" t="s">
        <v>3188</v>
      </c>
      <c r="C66" s="365">
        <v>1.1951755713707852</v>
      </c>
      <c r="D66" s="354" t="s">
        <v>1601</v>
      </c>
      <c r="E66" s="354" t="s">
        <v>3868</v>
      </c>
      <c r="F66" s="354" t="s">
        <v>4589</v>
      </c>
      <c r="G66" s="398">
        <v>44674</v>
      </c>
    </row>
    <row r="67" spans="1:7" x14ac:dyDescent="0.25">
      <c r="A67" s="354">
        <v>1200000121</v>
      </c>
      <c r="B67" s="354" t="s">
        <v>2766</v>
      </c>
      <c r="C67" s="365">
        <v>1.229053529663432</v>
      </c>
      <c r="D67" s="354" t="s">
        <v>1612</v>
      </c>
      <c r="E67" s="354" t="s">
        <v>1170</v>
      </c>
      <c r="F67" s="354" t="s">
        <v>4589</v>
      </c>
      <c r="G67" s="398">
        <v>44677</v>
      </c>
    </row>
    <row r="68" spans="1:7" x14ac:dyDescent="0.25">
      <c r="A68" s="354">
        <v>1200000137</v>
      </c>
      <c r="B68" s="354" t="s">
        <v>1077</v>
      </c>
      <c r="C68" s="365">
        <v>2.1329919239718182</v>
      </c>
      <c r="D68" s="354" t="e">
        <v>#N/A</v>
      </c>
      <c r="E68" s="354" t="s">
        <v>3960</v>
      </c>
      <c r="F68" s="354" t="s">
        <v>4589</v>
      </c>
      <c r="G68" s="398">
        <v>44757</v>
      </c>
    </row>
    <row r="69" spans="1:7" x14ac:dyDescent="0.25">
      <c r="A69" s="354">
        <v>1200000138</v>
      </c>
      <c r="B69" s="354" t="s">
        <v>1077</v>
      </c>
      <c r="C69" s="365">
        <v>2.1329919239718182</v>
      </c>
      <c r="D69" s="354" t="e">
        <v>#N/A</v>
      </c>
      <c r="E69" s="354" t="s">
        <v>3961</v>
      </c>
      <c r="F69" s="354" t="s">
        <v>4589</v>
      </c>
      <c r="G69" s="398">
        <v>44757</v>
      </c>
    </row>
    <row r="70" spans="1:7" x14ac:dyDescent="0.25">
      <c r="A70" s="354">
        <v>1200000142</v>
      </c>
      <c r="B70" s="354" t="s">
        <v>2768</v>
      </c>
      <c r="C70" s="365">
        <v>1.1951755713707852</v>
      </c>
      <c r="D70" s="354" t="s">
        <v>1659</v>
      </c>
      <c r="E70" s="354" t="s">
        <v>4010</v>
      </c>
      <c r="F70" s="354" t="s">
        <v>4589</v>
      </c>
      <c r="G70" s="398">
        <v>44807</v>
      </c>
    </row>
    <row r="71" spans="1:7" x14ac:dyDescent="0.25">
      <c r="A71" s="354">
        <v>1200000143</v>
      </c>
      <c r="B71" s="354" t="s">
        <v>2767</v>
      </c>
      <c r="C71" s="365">
        <v>1.8425777267619361</v>
      </c>
      <c r="D71" s="354" t="s">
        <v>1660</v>
      </c>
      <c r="E71" s="354" t="s">
        <v>4016</v>
      </c>
      <c r="F71" s="354" t="s">
        <v>4589</v>
      </c>
      <c r="G71" s="398">
        <v>44742</v>
      </c>
    </row>
    <row r="72" spans="1:7" x14ac:dyDescent="0.25">
      <c r="A72" s="354">
        <v>1200000144</v>
      </c>
      <c r="B72" s="354" t="s">
        <v>1100</v>
      </c>
      <c r="C72" s="365">
        <v>1.38</v>
      </c>
      <c r="D72" s="354" t="e">
        <v>#N/A</v>
      </c>
      <c r="E72" s="354" t="s">
        <v>4017</v>
      </c>
      <c r="F72" s="354" t="s">
        <v>4589</v>
      </c>
      <c r="G72" s="398">
        <v>44614</v>
      </c>
    </row>
    <row r="73" spans="1:7" x14ac:dyDescent="0.25">
      <c r="A73" s="354">
        <v>1200000139</v>
      </c>
      <c r="B73" s="354" t="s">
        <v>4026</v>
      </c>
      <c r="C73" s="365">
        <v>1.78</v>
      </c>
      <c r="D73" s="354" t="s">
        <v>1196</v>
      </c>
      <c r="E73" s="354" t="s">
        <v>4028</v>
      </c>
      <c r="F73" s="354" t="s">
        <v>4590</v>
      </c>
      <c r="G73" s="398">
        <v>44709</v>
      </c>
    </row>
    <row r="74" spans="1:7" x14ac:dyDescent="0.25">
      <c r="A74" s="354">
        <v>1100000195</v>
      </c>
      <c r="B74" s="354" t="s">
        <v>2759</v>
      </c>
      <c r="C74" s="365">
        <v>2.7477756207255806</v>
      </c>
      <c r="D74" s="354" t="s">
        <v>1208</v>
      </c>
      <c r="E74" s="354" t="s">
        <v>4053</v>
      </c>
      <c r="F74" s="354" t="s">
        <v>4589</v>
      </c>
      <c r="G74" s="398">
        <v>44714</v>
      </c>
    </row>
    <row r="75" spans="1:7" x14ac:dyDescent="0.25">
      <c r="A75" s="354">
        <v>1100000224</v>
      </c>
      <c r="B75" s="354" t="s">
        <v>4077</v>
      </c>
      <c r="C75" s="365">
        <v>0.61490281232571897</v>
      </c>
      <c r="D75" s="354" t="s">
        <v>1215</v>
      </c>
      <c r="E75" s="354" t="s">
        <v>4079</v>
      </c>
      <c r="F75" s="354" t="s">
        <v>4590</v>
      </c>
      <c r="G75" s="398">
        <v>44742</v>
      </c>
    </row>
    <row r="76" spans="1:7" x14ac:dyDescent="0.25">
      <c r="A76" s="354">
        <v>1100000226</v>
      </c>
      <c r="B76" s="354" t="s">
        <v>4097</v>
      </c>
      <c r="C76" s="365">
        <v>1.03</v>
      </c>
      <c r="D76" s="354" t="s">
        <v>1676</v>
      </c>
      <c r="E76" s="354" t="s">
        <v>4101</v>
      </c>
      <c r="F76" s="354" t="s">
        <v>4589</v>
      </c>
      <c r="G76" s="398">
        <v>44749</v>
      </c>
    </row>
    <row r="77" spans="1:7" x14ac:dyDescent="0.25">
      <c r="A77" s="354">
        <v>1300000001</v>
      </c>
      <c r="B77" s="354" t="s">
        <v>1092</v>
      </c>
      <c r="C77" s="365">
        <v>0.85</v>
      </c>
      <c r="D77" s="354" t="s">
        <v>1679</v>
      </c>
      <c r="E77" s="354" t="s">
        <v>4107</v>
      </c>
      <c r="F77" s="354" t="s">
        <v>4589</v>
      </c>
      <c r="G77" s="398">
        <v>44761</v>
      </c>
    </row>
    <row r="78" spans="1:7" x14ac:dyDescent="0.25">
      <c r="A78" s="354">
        <v>1100000234</v>
      </c>
      <c r="B78" s="354" t="s">
        <v>4137</v>
      </c>
      <c r="C78" s="365">
        <v>0.84</v>
      </c>
      <c r="D78" s="354" t="s">
        <v>1690</v>
      </c>
      <c r="E78" s="354" t="s">
        <v>4139</v>
      </c>
      <c r="F78" s="354" t="s">
        <v>4589</v>
      </c>
      <c r="G78" s="398">
        <v>44804</v>
      </c>
    </row>
    <row r="79" spans="1:7" x14ac:dyDescent="0.25">
      <c r="A79" s="354">
        <v>1100000233</v>
      </c>
      <c r="B79" s="354" t="s">
        <v>4137</v>
      </c>
      <c r="C79" s="365">
        <v>0.84</v>
      </c>
      <c r="D79" s="354" t="s">
        <v>1692</v>
      </c>
      <c r="E79" s="354" t="s">
        <v>4140</v>
      </c>
      <c r="F79" s="354" t="s">
        <v>4589</v>
      </c>
      <c r="G79" s="398">
        <v>44804</v>
      </c>
    </row>
    <row r="80" spans="1:7" x14ac:dyDescent="0.25">
      <c r="A80" s="354">
        <v>1100000235</v>
      </c>
      <c r="B80" s="354" t="s">
        <v>2761</v>
      </c>
      <c r="C80" s="365">
        <v>1.31</v>
      </c>
      <c r="D80" s="354" t="s">
        <v>1693</v>
      </c>
      <c r="E80" s="354" t="s">
        <v>4149</v>
      </c>
      <c r="F80" s="354" t="s">
        <v>4589</v>
      </c>
      <c r="G80" s="398">
        <v>44811</v>
      </c>
    </row>
    <row r="81" spans="1:7" x14ac:dyDescent="0.25">
      <c r="A81" s="354">
        <v>1100000238</v>
      </c>
      <c r="B81" s="354" t="s">
        <v>2763</v>
      </c>
      <c r="C81" s="365">
        <v>2.0299999999999998</v>
      </c>
      <c r="D81" s="354" t="s">
        <v>1704</v>
      </c>
      <c r="E81" s="354" t="s">
        <v>4161</v>
      </c>
      <c r="F81" s="354" t="s">
        <v>4589</v>
      </c>
      <c r="G81" s="398">
        <v>44820</v>
      </c>
    </row>
    <row r="82" spans="1:7" x14ac:dyDescent="0.25">
      <c r="A82" s="354">
        <v>1100000236</v>
      </c>
      <c r="B82" s="354" t="s">
        <v>2763</v>
      </c>
      <c r="C82" s="365">
        <v>2.0299999999999998</v>
      </c>
      <c r="D82" s="354" t="s">
        <v>1702</v>
      </c>
      <c r="E82" s="354" t="s">
        <v>4162</v>
      </c>
      <c r="F82" s="354" t="s">
        <v>4589</v>
      </c>
      <c r="G82" s="398">
        <v>44820</v>
      </c>
    </row>
    <row r="83" spans="1:7" x14ac:dyDescent="0.25">
      <c r="A83" s="354">
        <v>1100000237</v>
      </c>
      <c r="B83" s="354" t="s">
        <v>2763</v>
      </c>
      <c r="C83" s="365">
        <v>2.0299999999999998</v>
      </c>
      <c r="D83" s="354" t="s">
        <v>1705</v>
      </c>
      <c r="E83" s="354" t="s">
        <v>4163</v>
      </c>
      <c r="F83" s="354" t="s">
        <v>4589</v>
      </c>
      <c r="G83" s="398">
        <v>44820</v>
      </c>
    </row>
    <row r="84" spans="1:7" x14ac:dyDescent="0.25">
      <c r="A84" s="354">
        <v>1100000241</v>
      </c>
      <c r="B84" s="354" t="s">
        <v>4189</v>
      </c>
      <c r="C84" s="365">
        <v>1.75</v>
      </c>
      <c r="D84" s="354" t="s">
        <v>1728</v>
      </c>
      <c r="E84" s="354" t="s">
        <v>2293</v>
      </c>
      <c r="F84" s="354" t="s">
        <v>4590</v>
      </c>
      <c r="G84" s="398">
        <v>44834</v>
      </c>
    </row>
    <row r="85" spans="1:7" x14ac:dyDescent="0.25">
      <c r="A85" s="354">
        <v>1100000242</v>
      </c>
      <c r="B85" s="354" t="s">
        <v>4193</v>
      </c>
      <c r="C85" s="365">
        <v>1.75</v>
      </c>
      <c r="D85" s="354" t="s">
        <v>1729</v>
      </c>
      <c r="E85" s="354" t="s">
        <v>2294</v>
      </c>
      <c r="F85" s="354" t="s">
        <v>4590</v>
      </c>
      <c r="G85" s="398">
        <v>44834</v>
      </c>
    </row>
    <row r="86" spans="1:7" x14ac:dyDescent="0.25">
      <c r="A86" s="354">
        <v>1100000243</v>
      </c>
      <c r="B86" s="354" t="s">
        <v>4195</v>
      </c>
      <c r="C86" s="365">
        <v>1.75</v>
      </c>
      <c r="D86" s="354" t="s">
        <v>1730</v>
      </c>
      <c r="E86" s="354" t="s">
        <v>2298</v>
      </c>
      <c r="F86" s="354" t="s">
        <v>4590</v>
      </c>
      <c r="G86" s="398">
        <v>44834</v>
      </c>
    </row>
    <row r="87" spans="1:7" x14ac:dyDescent="0.25">
      <c r="A87" s="354">
        <v>1100000245</v>
      </c>
      <c r="B87" s="354" t="s">
        <v>4197</v>
      </c>
      <c r="C87" s="365">
        <v>1.75</v>
      </c>
      <c r="D87" s="354" t="s">
        <v>1731</v>
      </c>
      <c r="E87" s="354" t="s">
        <v>2296</v>
      </c>
      <c r="F87" s="354" t="s">
        <v>4590</v>
      </c>
      <c r="G87" s="398">
        <v>44834</v>
      </c>
    </row>
    <row r="88" spans="1:7" x14ac:dyDescent="0.25">
      <c r="A88" s="354">
        <v>1100000244</v>
      </c>
      <c r="B88" s="354" t="s">
        <v>4199</v>
      </c>
      <c r="C88" s="365">
        <v>1.75</v>
      </c>
      <c r="D88" s="354" t="s">
        <v>1732</v>
      </c>
      <c r="E88" s="354" t="s">
        <v>2295</v>
      </c>
      <c r="F88" s="354" t="s">
        <v>4590</v>
      </c>
      <c r="G88" s="398">
        <v>44834</v>
      </c>
    </row>
    <row r="89" spans="1:7" x14ac:dyDescent="0.25">
      <c r="A89" s="354">
        <v>1100000248</v>
      </c>
      <c r="B89" s="354" t="s">
        <v>1082</v>
      </c>
      <c r="C89" s="365">
        <v>1.01</v>
      </c>
      <c r="D89" s="354" t="s">
        <v>4229</v>
      </c>
      <c r="E89" s="354" t="s">
        <v>4229</v>
      </c>
      <c r="F89" s="354" t="s">
        <v>4590</v>
      </c>
      <c r="G89" s="398">
        <v>44979</v>
      </c>
    </row>
    <row r="90" spans="1:7" x14ac:dyDescent="0.25">
      <c r="A90" s="354">
        <v>1100000249</v>
      </c>
      <c r="B90" s="354" t="s">
        <v>1082</v>
      </c>
      <c r="C90" s="365">
        <v>1.01</v>
      </c>
      <c r="D90" s="354" t="s">
        <v>2421</v>
      </c>
      <c r="E90" s="354" t="s">
        <v>2421</v>
      </c>
      <c r="F90" s="354" t="s">
        <v>4590</v>
      </c>
      <c r="G90" s="398">
        <v>44979</v>
      </c>
    </row>
    <row r="91" spans="1:7" x14ac:dyDescent="0.25">
      <c r="A91" s="354">
        <v>1100000258</v>
      </c>
      <c r="B91" s="354" t="s">
        <v>1082</v>
      </c>
      <c r="C91" s="365">
        <v>1.01</v>
      </c>
      <c r="D91" s="354" t="s">
        <v>2411</v>
      </c>
      <c r="E91" s="354" t="s">
        <v>2411</v>
      </c>
      <c r="F91" s="354" t="s">
        <v>4590</v>
      </c>
      <c r="G91" s="398">
        <v>44979</v>
      </c>
    </row>
    <row r="92" spans="1:7" x14ac:dyDescent="0.25">
      <c r="A92" s="354">
        <v>1100000259</v>
      </c>
      <c r="B92" s="354" t="s">
        <v>1082</v>
      </c>
      <c r="C92" s="365">
        <v>1.01</v>
      </c>
      <c r="D92" s="354" t="s">
        <v>2412</v>
      </c>
      <c r="E92" s="354" t="s">
        <v>2412</v>
      </c>
      <c r="F92" s="354" t="s">
        <v>4590</v>
      </c>
      <c r="G92" s="398">
        <v>44979</v>
      </c>
    </row>
    <row r="93" spans="1:7" x14ac:dyDescent="0.25">
      <c r="A93" s="354">
        <v>1100000253</v>
      </c>
      <c r="B93" s="354" t="s">
        <v>1082</v>
      </c>
      <c r="C93" s="365">
        <v>1.01</v>
      </c>
      <c r="D93" s="354" t="s">
        <v>2417</v>
      </c>
      <c r="E93" s="354" t="s">
        <v>2417</v>
      </c>
      <c r="F93" s="354" t="s">
        <v>4590</v>
      </c>
      <c r="G93" s="398">
        <v>44979</v>
      </c>
    </row>
    <row r="94" spans="1:7" x14ac:dyDescent="0.25">
      <c r="A94" s="354">
        <v>1100000250</v>
      </c>
      <c r="B94" s="354" t="s">
        <v>1082</v>
      </c>
      <c r="C94" s="365">
        <v>1.01</v>
      </c>
      <c r="D94" s="354" t="s">
        <v>2420</v>
      </c>
      <c r="E94" s="354" t="s">
        <v>2420</v>
      </c>
      <c r="F94" s="354" t="s">
        <v>4590</v>
      </c>
      <c r="G94" s="398">
        <v>44979</v>
      </c>
    </row>
    <row r="95" spans="1:7" x14ac:dyDescent="0.25">
      <c r="A95" s="354">
        <v>1100000255</v>
      </c>
      <c r="B95" s="354" t="s">
        <v>1082</v>
      </c>
      <c r="C95" s="365">
        <v>1.01</v>
      </c>
      <c r="D95" s="354" t="s">
        <v>2415</v>
      </c>
      <c r="E95" s="354" t="s">
        <v>2415</v>
      </c>
      <c r="F95" s="354" t="s">
        <v>4590</v>
      </c>
      <c r="G95" s="398">
        <v>44979</v>
      </c>
    </row>
    <row r="96" spans="1:7" x14ac:dyDescent="0.25">
      <c r="A96" s="354">
        <v>1100000252</v>
      </c>
      <c r="B96" s="354" t="s">
        <v>1082</v>
      </c>
      <c r="C96" s="365">
        <v>1.01</v>
      </c>
      <c r="D96" s="354" t="s">
        <v>4230</v>
      </c>
      <c r="E96" s="354" t="s">
        <v>4230</v>
      </c>
      <c r="F96" s="354" t="s">
        <v>4590</v>
      </c>
      <c r="G96" s="398">
        <v>44979</v>
      </c>
    </row>
    <row r="97" spans="1:7" x14ac:dyDescent="0.25">
      <c r="A97" s="354">
        <v>1100000257</v>
      </c>
      <c r="B97" s="354" t="s">
        <v>1082</v>
      </c>
      <c r="C97" s="365">
        <v>1.01</v>
      </c>
      <c r="D97" s="354" t="s">
        <v>2413</v>
      </c>
      <c r="E97" s="354" t="s">
        <v>2413</v>
      </c>
      <c r="F97" s="354" t="s">
        <v>4590</v>
      </c>
      <c r="G97" s="398">
        <v>44979</v>
      </c>
    </row>
    <row r="98" spans="1:7" x14ac:dyDescent="0.25">
      <c r="A98" s="354">
        <v>1100000251</v>
      </c>
      <c r="B98" s="354" t="s">
        <v>1082</v>
      </c>
      <c r="C98" s="365">
        <v>1.01</v>
      </c>
      <c r="D98" s="354" t="s">
        <v>2419</v>
      </c>
      <c r="E98" s="354" t="s">
        <v>2419</v>
      </c>
      <c r="F98" s="354" t="s">
        <v>4590</v>
      </c>
      <c r="G98" s="398">
        <v>44979</v>
      </c>
    </row>
    <row r="99" spans="1:7" x14ac:dyDescent="0.25">
      <c r="A99" s="354">
        <v>1100000254</v>
      </c>
      <c r="B99" s="354" t="s">
        <v>1082</v>
      </c>
      <c r="C99" s="365">
        <v>1.01</v>
      </c>
      <c r="D99" s="354" t="s">
        <v>2416</v>
      </c>
      <c r="E99" s="354" t="s">
        <v>2416</v>
      </c>
      <c r="F99" s="354" t="s">
        <v>4590</v>
      </c>
      <c r="G99" s="398">
        <v>44979</v>
      </c>
    </row>
    <row r="100" spans="1:7" x14ac:dyDescent="0.25">
      <c r="A100" s="354">
        <v>1100000256</v>
      </c>
      <c r="B100" s="354" t="s">
        <v>1082</v>
      </c>
      <c r="C100" s="365">
        <v>1.01</v>
      </c>
      <c r="D100" s="354" t="s">
        <v>2414</v>
      </c>
      <c r="E100" s="354" t="s">
        <v>2414</v>
      </c>
      <c r="F100" s="354" t="s">
        <v>4590</v>
      </c>
      <c r="G100" s="398">
        <v>44979</v>
      </c>
    </row>
    <row r="101" spans="1:7" x14ac:dyDescent="0.25">
      <c r="A101" s="354">
        <v>1100000268</v>
      </c>
      <c r="B101" s="354" t="s">
        <v>4318</v>
      </c>
      <c r="C101" s="365">
        <v>0.78</v>
      </c>
      <c r="D101" s="354" t="s">
        <v>1864</v>
      </c>
      <c r="E101" s="354" t="s">
        <v>4320</v>
      </c>
      <c r="F101" s="354" t="s">
        <v>4590</v>
      </c>
      <c r="G101" s="398">
        <v>44958</v>
      </c>
    </row>
    <row r="102" spans="1:7" x14ac:dyDescent="0.25">
      <c r="A102" s="354">
        <v>1100000269</v>
      </c>
      <c r="B102" s="354" t="s">
        <v>4318</v>
      </c>
      <c r="C102" s="365">
        <v>0.78</v>
      </c>
      <c r="D102" s="354" t="s">
        <v>1865</v>
      </c>
      <c r="E102" s="354" t="s">
        <v>4321</v>
      </c>
      <c r="F102" s="354" t="s">
        <v>4590</v>
      </c>
      <c r="G102" s="398">
        <v>44958</v>
      </c>
    </row>
    <row r="103" spans="1:7" x14ac:dyDescent="0.25">
      <c r="A103" s="354">
        <v>1100000266</v>
      </c>
      <c r="B103" s="354" t="s">
        <v>4330</v>
      </c>
      <c r="C103" s="365">
        <v>0.96</v>
      </c>
      <c r="D103" s="354" t="s">
        <v>1867</v>
      </c>
      <c r="E103" s="354" t="s">
        <v>2426</v>
      </c>
      <c r="F103" s="354" t="s">
        <v>4590</v>
      </c>
      <c r="G103" s="398">
        <v>44961</v>
      </c>
    </row>
    <row r="104" spans="1:7" x14ac:dyDescent="0.25">
      <c r="A104" s="354">
        <v>1100000267</v>
      </c>
      <c r="B104" s="354" t="s">
        <v>4330</v>
      </c>
      <c r="C104" s="365">
        <v>0.96</v>
      </c>
      <c r="D104" s="354" t="s">
        <v>1868</v>
      </c>
      <c r="E104" s="354" t="s">
        <v>2427</v>
      </c>
      <c r="F104" s="354" t="s">
        <v>4590</v>
      </c>
      <c r="G104" s="398">
        <v>44961</v>
      </c>
    </row>
    <row r="105" spans="1:7" x14ac:dyDescent="0.25">
      <c r="A105" s="354">
        <v>1100000270</v>
      </c>
      <c r="B105" s="354" t="s">
        <v>4330</v>
      </c>
      <c r="C105" s="365">
        <v>0.96</v>
      </c>
      <c r="D105" s="354" t="s">
        <v>1866</v>
      </c>
      <c r="E105" s="354" t="s">
        <v>2425</v>
      </c>
      <c r="F105" s="354" t="s">
        <v>4590</v>
      </c>
      <c r="G105" s="398">
        <v>44961</v>
      </c>
    </row>
    <row r="106" spans="1:7" x14ac:dyDescent="0.25">
      <c r="A106" s="354">
        <v>1100000271</v>
      </c>
      <c r="B106" s="354" t="s">
        <v>1073</v>
      </c>
      <c r="C106" s="365">
        <v>0.78908700495327666</v>
      </c>
      <c r="D106" s="354" t="s">
        <v>1873</v>
      </c>
      <c r="E106" s="354" t="s">
        <v>4333</v>
      </c>
      <c r="F106" s="354" t="s">
        <v>4590</v>
      </c>
      <c r="G106" s="398">
        <v>44620</v>
      </c>
    </row>
    <row r="107" spans="1:7" x14ac:dyDescent="0.25">
      <c r="A107" s="354">
        <v>1100000272</v>
      </c>
      <c r="B107" s="354" t="s">
        <v>1073</v>
      </c>
      <c r="C107" s="365">
        <v>0.78908700495327666</v>
      </c>
      <c r="D107" s="354" t="s">
        <v>1874</v>
      </c>
      <c r="E107" s="354" t="s">
        <v>4334</v>
      </c>
      <c r="F107" s="354" t="s">
        <v>4590</v>
      </c>
      <c r="G107" s="398">
        <v>44620</v>
      </c>
    </row>
    <row r="108" spans="1:7" x14ac:dyDescent="0.25">
      <c r="A108" s="354">
        <v>1100000274</v>
      </c>
      <c r="B108" s="354" t="s">
        <v>1073</v>
      </c>
      <c r="C108" s="365">
        <v>0.78908700495327666</v>
      </c>
      <c r="D108" s="354" t="s">
        <v>1875</v>
      </c>
      <c r="E108" s="354" t="s">
        <v>4335</v>
      </c>
      <c r="F108" s="354" t="s">
        <v>4590</v>
      </c>
      <c r="G108" s="398">
        <v>44620</v>
      </c>
    </row>
    <row r="109" spans="1:7" x14ac:dyDescent="0.25">
      <c r="A109" s="354">
        <v>1100000273</v>
      </c>
      <c r="B109" s="354" t="s">
        <v>1073</v>
      </c>
      <c r="C109" s="365">
        <v>0.78908700495327666</v>
      </c>
      <c r="D109" s="354" t="s">
        <v>1877</v>
      </c>
      <c r="E109" s="354" t="s">
        <v>4336</v>
      </c>
      <c r="F109" s="354" t="s">
        <v>4590</v>
      </c>
      <c r="G109" s="398">
        <v>44620</v>
      </c>
    </row>
    <row r="110" spans="1:7" x14ac:dyDescent="0.25">
      <c r="A110" s="354">
        <v>1100000275</v>
      </c>
      <c r="B110" s="354" t="s">
        <v>2764</v>
      </c>
      <c r="C110" s="365">
        <v>0.78908700495327666</v>
      </c>
      <c r="D110" s="354" t="s">
        <v>1876</v>
      </c>
      <c r="E110" s="354" t="s">
        <v>4338</v>
      </c>
      <c r="F110" s="354" t="s">
        <v>4590</v>
      </c>
      <c r="G110" s="398">
        <v>44962</v>
      </c>
    </row>
    <row r="111" spans="1:7" x14ac:dyDescent="0.25">
      <c r="A111" s="354">
        <v>1100000276</v>
      </c>
      <c r="B111" s="354" t="s">
        <v>1102</v>
      </c>
      <c r="C111" s="365">
        <v>1.0605674153852402</v>
      </c>
      <c r="D111" s="354" t="s">
        <v>1878</v>
      </c>
      <c r="E111" s="354" t="s">
        <v>4339</v>
      </c>
      <c r="F111" s="354" t="s">
        <v>4589</v>
      </c>
      <c r="G111" s="398">
        <v>44593</v>
      </c>
    </row>
    <row r="112" spans="1:7" x14ac:dyDescent="0.25">
      <c r="A112" s="354">
        <v>1300000002</v>
      </c>
      <c r="B112" s="354" t="s">
        <v>4340</v>
      </c>
      <c r="C112" s="365">
        <v>4.6399999999999997</v>
      </c>
      <c r="D112" s="354" t="s">
        <v>1871</v>
      </c>
      <c r="E112" s="354" t="s">
        <v>4342</v>
      </c>
      <c r="F112" s="354" t="s">
        <v>4590</v>
      </c>
      <c r="G112" s="398">
        <v>44980</v>
      </c>
    </row>
    <row r="113" spans="1:7" x14ac:dyDescent="0.25">
      <c r="A113" s="354">
        <v>1100000277</v>
      </c>
      <c r="B113" s="354" t="s">
        <v>4384</v>
      </c>
      <c r="C113" s="365">
        <v>1.7349010594599608</v>
      </c>
      <c r="D113" s="354" t="s">
        <v>4389</v>
      </c>
      <c r="E113" s="354" t="s">
        <v>4389</v>
      </c>
      <c r="F113" s="354" t="s">
        <v>4591</v>
      </c>
      <c r="G113" s="398" t="e">
        <v>#N/A</v>
      </c>
    </row>
    <row r="114" spans="1:7" x14ac:dyDescent="0.25">
      <c r="A114" s="354">
        <v>1100000281</v>
      </c>
      <c r="B114" s="354" t="s">
        <v>4384</v>
      </c>
      <c r="C114" s="365">
        <v>1.7349010594599608</v>
      </c>
      <c r="D114" s="354" t="e">
        <v>#N/A</v>
      </c>
      <c r="E114" s="354" t="s">
        <v>4390</v>
      </c>
      <c r="F114" s="354" t="s">
        <v>4591</v>
      </c>
      <c r="G114" s="398" t="e">
        <v>#N/A</v>
      </c>
    </row>
    <row r="115" spans="1:7" x14ac:dyDescent="0.25">
      <c r="A115" s="354">
        <v>1100000279</v>
      </c>
      <c r="B115" s="354" t="s">
        <v>4412</v>
      </c>
      <c r="C115" s="365">
        <v>1.633900580172102</v>
      </c>
      <c r="D115" s="354" t="s">
        <v>4588</v>
      </c>
      <c r="E115" s="354" t="s">
        <v>4417</v>
      </c>
      <c r="F115" s="354" t="s">
        <v>4591</v>
      </c>
      <c r="G115" s="398" t="e">
        <v>#N/A</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AEA90F-79E2-407B-B064-F75095C63D85}">
  <sheetPr codeName="Sheet23"/>
  <dimension ref="A1:AF1970"/>
  <sheetViews>
    <sheetView zoomScale="80" zoomScaleNormal="80" workbookViewId="0">
      <pane xSplit="2" ySplit="2" topLeftCell="K3" activePane="bottomRight" state="frozenSplit"/>
      <selection pane="topRight" activeCell="H1" sqref="H1"/>
      <selection pane="bottomLeft" activeCell="A14" sqref="A14"/>
      <selection pane="bottomRight" activeCell="B2" sqref="B2"/>
    </sheetView>
  </sheetViews>
  <sheetFormatPr defaultColWidth="8.7109375" defaultRowHeight="15" x14ac:dyDescent="0.25"/>
  <cols>
    <col min="1" max="1" width="16.140625" style="166" customWidth="1"/>
    <col min="2" max="2" width="15" style="174" bestFit="1" customWidth="1"/>
    <col min="3" max="3" width="12.140625" style="166" bestFit="1" customWidth="1"/>
    <col min="4" max="4" width="24" style="222" customWidth="1"/>
    <col min="5" max="5" width="13.85546875" style="222" bestFit="1" customWidth="1"/>
    <col min="6" max="6" width="15" style="169" bestFit="1" customWidth="1"/>
    <col min="7" max="7" width="15.85546875" style="169" bestFit="1" customWidth="1"/>
    <col min="8" max="8" width="10.5703125" style="166" bestFit="1" customWidth="1"/>
    <col min="9" max="9" width="13.5703125" style="166" bestFit="1" customWidth="1"/>
    <col min="10" max="10" width="15.5703125" style="166" bestFit="1" customWidth="1"/>
    <col min="11" max="11" width="15.140625" style="166" bestFit="1" customWidth="1"/>
    <col min="12" max="12" width="13" style="168" bestFit="1" customWidth="1"/>
    <col min="13" max="13" width="14.140625" style="168" bestFit="1" customWidth="1"/>
    <col min="14" max="14" width="9.140625" style="168"/>
    <col min="15" max="15" width="16.42578125" style="168" bestFit="1" customWidth="1"/>
    <col min="16" max="16" width="13" style="168" bestFit="1" customWidth="1"/>
    <col min="17" max="17" width="14.140625" style="168" bestFit="1" customWidth="1"/>
    <col min="18" max="18" width="14.140625" style="166" bestFit="1" customWidth="1"/>
    <col min="19" max="19" width="12.7109375" style="166" customWidth="1"/>
    <col min="20" max="20" width="15" style="169" bestFit="1" customWidth="1"/>
    <col min="21" max="21" width="12.140625" style="166" bestFit="1" customWidth="1"/>
    <col min="22" max="22" width="13" style="166" bestFit="1" customWidth="1"/>
    <col min="23" max="24" width="12.28515625" style="166" bestFit="1" customWidth="1"/>
    <col min="25" max="27" width="8.7109375" style="166"/>
    <col min="28" max="28" width="11.5703125" style="218" bestFit="1" customWidth="1"/>
    <col min="29" max="16384" width="8.7109375" style="166"/>
  </cols>
  <sheetData>
    <row r="1" spans="1:29" x14ac:dyDescent="0.25">
      <c r="A1" s="187" t="s">
        <v>346</v>
      </c>
      <c r="B1" s="228" t="s">
        <v>347</v>
      </c>
      <c r="C1" s="180" t="s">
        <v>348</v>
      </c>
      <c r="D1" s="229" t="s">
        <v>350</v>
      </c>
      <c r="E1" s="229" t="s">
        <v>351</v>
      </c>
      <c r="F1" s="230" t="s">
        <v>349</v>
      </c>
      <c r="G1" s="230" t="s">
        <v>352</v>
      </c>
      <c r="H1" s="180" t="s">
        <v>353</v>
      </c>
      <c r="I1" s="230" t="s">
        <v>354</v>
      </c>
      <c r="J1" s="230" t="s">
        <v>355</v>
      </c>
      <c r="K1" s="230" t="s">
        <v>356</v>
      </c>
      <c r="L1" s="231">
        <v>1</v>
      </c>
      <c r="M1" s="231">
        <v>2</v>
      </c>
      <c r="N1" s="231">
        <v>3</v>
      </c>
      <c r="O1" s="231">
        <v>4</v>
      </c>
      <c r="P1" s="232">
        <v>5</v>
      </c>
      <c r="Q1" s="233">
        <v>6</v>
      </c>
      <c r="R1" s="180" t="s">
        <v>363</v>
      </c>
      <c r="S1" s="180" t="s">
        <v>364</v>
      </c>
      <c r="T1" s="234" t="s">
        <v>358</v>
      </c>
      <c r="U1" s="234" t="s">
        <v>357</v>
      </c>
      <c r="V1" s="235" t="s">
        <v>360</v>
      </c>
      <c r="W1" s="235" t="s">
        <v>359</v>
      </c>
      <c r="X1" s="235" t="s">
        <v>361</v>
      </c>
      <c r="Y1" s="236">
        <v>7</v>
      </c>
      <c r="Z1" s="236">
        <v>8</v>
      </c>
      <c r="AA1" s="235" t="s">
        <v>150</v>
      </c>
      <c r="AB1" s="237">
        <v>44712</v>
      </c>
      <c r="AC1" s="166" t="s">
        <v>174</v>
      </c>
    </row>
    <row r="2" spans="1:29" s="357" customFormat="1" x14ac:dyDescent="0.25">
      <c r="A2" s="348"/>
      <c r="B2" s="420">
        <v>44561</v>
      </c>
      <c r="C2" s="421">
        <f t="shared" ref="C2" si="0">(B2-$AB$1)</f>
        <v>-151</v>
      </c>
      <c r="D2" s="348">
        <v>0</v>
      </c>
      <c r="E2" s="348">
        <v>104703.56</v>
      </c>
      <c r="F2" s="422">
        <f t="shared" ref="F2" si="1">D2+E2</f>
        <v>104703.56</v>
      </c>
      <c r="G2" s="422" t="e">
        <f>VLOOKUP($A2,'Ref-Data'!$A:$J,10,FALSE)</f>
        <v>#N/A</v>
      </c>
      <c r="H2" s="423" t="e">
        <f>IF(AC2=1, IF(AND(A2=A1, C2&gt;365, C1&lt;365),1, C2/365.25), C2/365.25)</f>
        <v>#N/A</v>
      </c>
      <c r="I2" s="423" t="e">
        <f t="shared" ref="I2" si="2">1/((1+G2%)^H2)</f>
        <v>#N/A</v>
      </c>
      <c r="J2" s="424">
        <f t="shared" ref="J2" si="3">D2+E2</f>
        <v>104703.56</v>
      </c>
      <c r="K2" s="424" t="e">
        <f t="shared" ref="K2" si="4">J2*I2</f>
        <v>#N/A</v>
      </c>
      <c r="L2" s="425" t="e">
        <f>VLOOKUP($A2,'MacroPD-Cal'!$A:$L,5,FALSE)</f>
        <v>#N/A</v>
      </c>
      <c r="M2" s="425" t="e">
        <f>VLOOKUP($A2,'MacroPD-Cal'!$A:$L,6,FALSE)</f>
        <v>#N/A</v>
      </c>
      <c r="N2" s="425" t="e">
        <f>VLOOKUP($A2,'MacroPD-Cal'!$A:$L,7,FALSE)</f>
        <v>#N/A</v>
      </c>
      <c r="O2" s="425" t="e">
        <f>VLOOKUP($A2,'MacroPD-Cal'!$A:$L,8,FALSE)</f>
        <v>#N/A</v>
      </c>
      <c r="P2" s="425" t="e">
        <f>VLOOKUP($A2,'MacroPD-Cal'!$A:$L,9,FALSE)</f>
        <v>#N/A</v>
      </c>
      <c r="Q2" s="425" t="e">
        <f>VLOOKUP($A2,'MacroPD-Cal'!$A:$L,10,FALSE)</f>
        <v>#N/A</v>
      </c>
      <c r="R2" s="425" t="e">
        <f t="shared" ref="R2" si="5">IF(AND(AA2=1, H2&gt;1), O2, IF(H2&lt;=0.25,1-(1-L2)^(H2/0.25),IF(H2&lt;=0.5,L2+((M2-L2)/(0.5-0.25))*(H2-0.25),IF(H2&lt;=0.75,M2+((N2-M2)/(0.75-0.5))*(H2-0.5),IF(H2&lt;=1,N2+((O2-N2)/(0.5-0.25))*(H2-0.75),IF(H2&lt;=2,1-(((1-P2)/(1-O2))^(H2-1))*(1-O2),IF(H2&lt;=3,1-(((1-Q2)/(1-P2))^(H2-2))*(1-P2),IF(H2&lt;=4,1-(((1-Y2)/(1-Q2))^(H2-3))*(1-Q2),1-(((1-Z2)/(1-Y2))^(H2-4))*(1-Y2)))))))))</f>
        <v>#N/A</v>
      </c>
      <c r="S2" s="425" t="e">
        <f t="shared" ref="S2" si="6">IF(A2=A1,(R2-R1),R2)</f>
        <v>#N/A</v>
      </c>
      <c r="T2" s="422">
        <f t="shared" ref="T2:T33" si="7">SUMIFS(K:K,A:A,A2,H:H,"&gt;="&amp;H2)</f>
        <v>0</v>
      </c>
      <c r="U2" s="426" t="e">
        <f>VLOOKUP(A2,'Ref-Data'!A:N,14,FALSE)</f>
        <v>#N/A</v>
      </c>
      <c r="V2" s="427" t="e">
        <f t="shared" ref="V2" si="8">T2*S2*U2</f>
        <v>#N/A</v>
      </c>
      <c r="W2" s="427">
        <f t="shared" ref="W2:W33" si="9">IF(COUNTIF(A:A, A2)=1, V2, SUMIFS(V:V,A:A,A2,H:H,"&lt;=1"))</f>
        <v>0</v>
      </c>
      <c r="X2" s="427">
        <f t="shared" ref="X2:X33" si="10">SUMIF(A:A,A2,V:V)</f>
        <v>0</v>
      </c>
      <c r="Y2" s="425" t="e">
        <f>VLOOKUP($A2,'MacroPD-Cal'!$A:$L,11,FALSE)</f>
        <v>#N/A</v>
      </c>
      <c r="Z2" s="425" t="e">
        <f>VLOOKUP($A2,'MacroPD-Cal'!$A:$L,12,FALSE)</f>
        <v>#N/A</v>
      </c>
      <c r="AA2" s="421">
        <f t="shared" ref="AA2:AA33" si="11">COUNTIF(A:A,A2)</f>
        <v>0</v>
      </c>
      <c r="AB2" s="172"/>
      <c r="AC2" s="422" t="e">
        <f>VLOOKUP($A2,'Ref-Data'!$A:$J,9,FALSE)</f>
        <v>#N/A</v>
      </c>
    </row>
    <row r="3" spans="1:29" x14ac:dyDescent="0.25">
      <c r="A3" s="346">
        <v>1100000185</v>
      </c>
      <c r="B3" s="268">
        <v>44764</v>
      </c>
      <c r="C3" s="189">
        <f t="shared" ref="C3:C50" si="12">(B3-$AB$1)</f>
        <v>52</v>
      </c>
      <c r="D3">
        <v>0</v>
      </c>
      <c r="E3">
        <v>250729.04</v>
      </c>
      <c r="F3" s="176">
        <f t="shared" ref="F3:F8" si="13">D3+E3</f>
        <v>250729.04</v>
      </c>
      <c r="G3" s="176">
        <f>VLOOKUP(A3,'Ref-Data'!A:J,10,FALSE)</f>
        <v>5.71</v>
      </c>
      <c r="H3" s="224" t="e">
        <f>IF(AC3=1, IF(AND(A3=#REF!, C3&gt;365,#REF!&lt; 365),1, C3/365.25), C3/365.25)</f>
        <v>#REF!</v>
      </c>
      <c r="I3" s="224" t="e">
        <f t="shared" ref="I3:I8" si="14">1/((1+G3%)^H3)</f>
        <v>#REF!</v>
      </c>
      <c r="J3" s="225">
        <f t="shared" ref="J3:J8" si="15">D3+E3</f>
        <v>250729.04</v>
      </c>
      <c r="K3" s="225" t="e">
        <f t="shared" ref="K3:K8" si="16">J3*I3</f>
        <v>#REF!</v>
      </c>
      <c r="L3" s="226">
        <f>VLOOKUP($A3,'MacroPD-Cal'!$A:$L,5,FALSE)</f>
        <v>2.8366842468132019E-2</v>
      </c>
      <c r="M3" s="226">
        <f>VLOOKUP($A3,'MacroPD-Cal'!$A:$L,6,FALSE)</f>
        <v>6.2417988886168341E-2</v>
      </c>
      <c r="N3" s="226">
        <f>VLOOKUP($A3,'MacroPD-Cal'!$A:$L,7,FALSE)</f>
        <v>9.8647826604583044E-2</v>
      </c>
      <c r="O3" s="226">
        <f>VLOOKUP($A3,'MacroPD-Cal'!$A:$L,8,FALSE)</f>
        <v>0.1411</v>
      </c>
      <c r="P3" s="226">
        <f>VLOOKUP($A3,'MacroPD-Cal'!$A:$L,9,FALSE)</f>
        <v>0.20270000000000002</v>
      </c>
      <c r="Q3" s="226">
        <f>VLOOKUP($A3,'MacroPD-Cal'!$A:$L,10,FALSE)</f>
        <v>0.23670000000000002</v>
      </c>
      <c r="R3" s="226" t="e">
        <f t="shared" ref="R3:R8" si="17">IF(AND(AA3=1, H3&gt;1), O3, IF(H3&lt;=0.25,1-(1-L3)^(H3/0.25),IF(H3&lt;=0.5,L3+((M3-L3)/(0.5-0.25))*(H3-0.25),IF(H3&lt;=0.75,M3+((N3-M3)/(0.75-0.5))*(H3-0.5),IF(H3&lt;=1,N3+((O3-N3)/(0.5-0.25))*(H3-0.75),IF(H3&lt;=2,1-(((1-P3)/(1-O3))^(H3-1))*(1-O3),IF(H3&lt;=3,1-(((1-Q3)/(1-P3))^(H3-2))*(1-P3),IF(H3&lt;=4,1-(((1-Y3)/(1-Q3))^(H3-3))*(1-Q3),1-(((1-Z3)/(1-Y3))^(H3-4))*(1-Y3)))))))))</f>
        <v>#REF!</v>
      </c>
      <c r="S3" s="226" t="e">
        <f>IF(A3=#REF!,(R3-#REF!),R3)</f>
        <v>#REF!</v>
      </c>
      <c r="T3" s="176" t="e">
        <f t="shared" si="7"/>
        <v>#REF!</v>
      </c>
      <c r="U3" s="226">
        <f>VLOOKUP(A3,'Ref-Data'!A:N,14,FALSE)</f>
        <v>0.33850601215969001</v>
      </c>
      <c r="V3" s="190" t="e">
        <f t="shared" ref="V3:V49" si="18">T3*S3*U3</f>
        <v>#REF!</v>
      </c>
      <c r="W3" s="190" t="e">
        <f t="shared" si="9"/>
        <v>#REF!</v>
      </c>
      <c r="X3" s="190" t="e">
        <f t="shared" si="10"/>
        <v>#REF!</v>
      </c>
      <c r="Y3" s="226">
        <f>VLOOKUP($A3,'MacroPD-Cal'!$A:$L,11,FALSE)</f>
        <v>0.29139999999999999</v>
      </c>
      <c r="Z3" s="226">
        <f>VLOOKUP($A3,'MacroPD-Cal'!$A:$L,12,FALSE)</f>
        <v>0.33979999999999999</v>
      </c>
      <c r="AA3" s="189">
        <f t="shared" si="11"/>
        <v>2</v>
      </c>
      <c r="AB3" s="227"/>
      <c r="AC3" s="176">
        <v>1</v>
      </c>
    </row>
    <row r="4" spans="1:29" x14ac:dyDescent="0.25">
      <c r="A4" s="346">
        <v>1100000185</v>
      </c>
      <c r="B4" s="268">
        <v>44834</v>
      </c>
      <c r="C4" s="189">
        <f t="shared" si="12"/>
        <v>122</v>
      </c>
      <c r="D4">
        <v>17000000</v>
      </c>
      <c r="E4">
        <v>193986.31</v>
      </c>
      <c r="F4" s="176">
        <f t="shared" si="13"/>
        <v>17193986.309999999</v>
      </c>
      <c r="G4" s="176">
        <f>VLOOKUP(A4,'Ref-Data'!A:J,10,FALSE)</f>
        <v>5.71</v>
      </c>
      <c r="H4" s="224">
        <f t="shared" ref="H4:H8" si="19">IF(AC4=1, IF(AND(A4=A3, C4&gt;365, C3&lt;365),1, C4/365.25), C4/365.25)</f>
        <v>0.33401779603011633</v>
      </c>
      <c r="I4" s="224">
        <f t="shared" si="14"/>
        <v>0.98162317380141106</v>
      </c>
      <c r="J4" s="225">
        <f t="shared" si="15"/>
        <v>17193986.309999999</v>
      </c>
      <c r="K4" s="225">
        <f t="shared" si="16"/>
        <v>16878015.411920212</v>
      </c>
      <c r="L4" s="226">
        <f>VLOOKUP($A4,'MacroPD-Cal'!$A:$L,5,FALSE)</f>
        <v>2.8366842468132019E-2</v>
      </c>
      <c r="M4" s="226">
        <f>VLOOKUP($A4,'MacroPD-Cal'!$A:$L,6,FALSE)</f>
        <v>6.2417988886168341E-2</v>
      </c>
      <c r="N4" s="226">
        <f>VLOOKUP($A4,'MacroPD-Cal'!$A:$L,7,FALSE)</f>
        <v>9.8647826604583044E-2</v>
      </c>
      <c r="O4" s="226">
        <f>VLOOKUP($A4,'MacroPD-Cal'!$A:$L,8,FALSE)</f>
        <v>0.1411</v>
      </c>
      <c r="P4" s="226">
        <f>VLOOKUP($A4,'MacroPD-Cal'!$A:$L,9,FALSE)</f>
        <v>0.20270000000000002</v>
      </c>
      <c r="Q4" s="226">
        <f>VLOOKUP($A4,'MacroPD-Cal'!$A:$L,10,FALSE)</f>
        <v>0.23670000000000002</v>
      </c>
      <c r="R4" s="226">
        <f t="shared" si="17"/>
        <v>3.9810451565500823E-2</v>
      </c>
      <c r="S4" s="226" t="e">
        <f t="shared" ref="S4:S8" si="20">IF(A4=A3,(R4-R3),R4)</f>
        <v>#REF!</v>
      </c>
      <c r="T4" s="176">
        <f t="shared" si="7"/>
        <v>16878015.411920212</v>
      </c>
      <c r="U4" s="191">
        <f>VLOOKUP(A4,'Ref-Data'!A:N,14,FALSE)</f>
        <v>0.33850601215969001</v>
      </c>
      <c r="V4" s="190" t="e">
        <f t="shared" si="18"/>
        <v>#REF!</v>
      </c>
      <c r="W4" s="190" t="e">
        <f t="shared" si="9"/>
        <v>#REF!</v>
      </c>
      <c r="X4" s="190" t="e">
        <f t="shared" si="10"/>
        <v>#REF!</v>
      </c>
      <c r="Y4" s="226">
        <f>VLOOKUP($A4,'MacroPD-Cal'!$A:$L,11,FALSE)</f>
        <v>0.29139999999999999</v>
      </c>
      <c r="Z4" s="226">
        <f>VLOOKUP($A4,'MacroPD-Cal'!$A:$L,12,FALSE)</f>
        <v>0.33979999999999999</v>
      </c>
      <c r="AA4" s="189">
        <f t="shared" si="11"/>
        <v>2</v>
      </c>
      <c r="AB4" s="227"/>
      <c r="AC4" s="176">
        <v>1</v>
      </c>
    </row>
    <row r="5" spans="1:29" x14ac:dyDescent="0.25">
      <c r="A5" s="346">
        <v>1100000276</v>
      </c>
      <c r="B5" s="268">
        <v>44764</v>
      </c>
      <c r="C5" s="189">
        <f t="shared" si="12"/>
        <v>52</v>
      </c>
      <c r="D5">
        <v>0</v>
      </c>
      <c r="E5">
        <v>1158.6199999999999</v>
      </c>
      <c r="F5" s="176">
        <f t="shared" si="13"/>
        <v>1158.6199999999999</v>
      </c>
      <c r="G5" s="176">
        <f>VLOOKUP(A5,'Ref-Data'!A:J,10,FALSE)</f>
        <v>12.75</v>
      </c>
      <c r="H5" s="224">
        <f t="shared" si="19"/>
        <v>0.14236824093086928</v>
      </c>
      <c r="I5" s="224">
        <f t="shared" si="14"/>
        <v>0.98306052750796324</v>
      </c>
      <c r="J5" s="225">
        <f t="shared" si="15"/>
        <v>1158.6199999999999</v>
      </c>
      <c r="K5" s="225">
        <f t="shared" si="16"/>
        <v>1138.9935883812764</v>
      </c>
      <c r="L5" s="226">
        <f>VLOOKUP($A5,'MacroPD-Cal'!$A:$L,5,FALSE)</f>
        <v>2.8366842468132019E-2</v>
      </c>
      <c r="M5" s="226">
        <f>VLOOKUP($A5,'MacroPD-Cal'!$A:$L,6,FALSE)</f>
        <v>6.2417988886168341E-2</v>
      </c>
      <c r="N5" s="226">
        <f>VLOOKUP($A5,'MacroPD-Cal'!$A:$L,7,FALSE)</f>
        <v>9.8647826604583044E-2</v>
      </c>
      <c r="O5" s="226">
        <f>VLOOKUP($A5,'MacroPD-Cal'!$A:$L,8,FALSE)</f>
        <v>0.1411</v>
      </c>
      <c r="P5" s="226">
        <f>VLOOKUP($A5,'MacroPD-Cal'!$A:$L,9,FALSE)</f>
        <v>0.20270000000000002</v>
      </c>
      <c r="Q5" s="226">
        <f>VLOOKUP($A5,'MacroPD-Cal'!$A:$L,10,FALSE)</f>
        <v>0.23670000000000002</v>
      </c>
      <c r="R5" s="226">
        <f t="shared" si="17"/>
        <v>1.6254150434428571E-2</v>
      </c>
      <c r="S5" s="226">
        <f t="shared" si="20"/>
        <v>1.6254150434428571E-2</v>
      </c>
      <c r="T5" s="176">
        <f t="shared" si="7"/>
        <v>36435.167625516748</v>
      </c>
      <c r="U5" s="191">
        <f>VLOOKUP(A5,'Ref-Data'!A:N,14,FALSE)</f>
        <v>0.33850601215969001</v>
      </c>
      <c r="V5" s="190">
        <f t="shared" si="18"/>
        <v>200.47094302806747</v>
      </c>
      <c r="W5" s="190">
        <f t="shared" si="9"/>
        <v>481.92085435923411</v>
      </c>
      <c r="X5" s="190">
        <f t="shared" si="10"/>
        <v>481.92085435923411</v>
      </c>
      <c r="Y5" s="226">
        <f>VLOOKUP($A5,'MacroPD-Cal'!$A:$L,11,FALSE)</f>
        <v>0.29139999999999999</v>
      </c>
      <c r="Z5" s="226">
        <f>VLOOKUP($A5,'MacroPD-Cal'!$A:$L,12,FALSE)</f>
        <v>0.33979999999999999</v>
      </c>
      <c r="AA5" s="189">
        <f t="shared" si="11"/>
        <v>2</v>
      </c>
      <c r="AB5" s="227"/>
      <c r="AC5" s="176">
        <v>1</v>
      </c>
    </row>
    <row r="6" spans="1:29" x14ac:dyDescent="0.25">
      <c r="A6" s="346">
        <v>1100000276</v>
      </c>
      <c r="B6" s="268">
        <v>44834</v>
      </c>
      <c r="C6" s="189">
        <f t="shared" si="12"/>
        <v>122</v>
      </c>
      <c r="D6">
        <v>35846</v>
      </c>
      <c r="E6">
        <v>893.69</v>
      </c>
      <c r="F6" s="176">
        <f t="shared" si="13"/>
        <v>36739.69</v>
      </c>
      <c r="G6" s="176">
        <f>VLOOKUP(A6,'Ref-Data'!A:J,10,FALSE)</f>
        <v>12.75</v>
      </c>
      <c r="H6" s="224">
        <f t="shared" si="19"/>
        <v>0.33401779603011633</v>
      </c>
      <c r="I6" s="224">
        <f t="shared" si="14"/>
        <v>0.96070963138598797</v>
      </c>
      <c r="J6" s="225">
        <f t="shared" si="15"/>
        <v>36739.69</v>
      </c>
      <c r="K6" s="225">
        <f t="shared" si="16"/>
        <v>35296.174037135468</v>
      </c>
      <c r="L6" s="226">
        <f>VLOOKUP($A6,'MacroPD-Cal'!$A:$L,5,FALSE)</f>
        <v>2.8366842468132019E-2</v>
      </c>
      <c r="M6" s="226">
        <f>VLOOKUP($A6,'MacroPD-Cal'!$A:$L,6,FALSE)</f>
        <v>6.2417988886168341E-2</v>
      </c>
      <c r="N6" s="226">
        <f>VLOOKUP($A6,'MacroPD-Cal'!$A:$L,7,FALSE)</f>
        <v>9.8647826604583044E-2</v>
      </c>
      <c r="O6" s="226">
        <f>VLOOKUP($A6,'MacroPD-Cal'!$A:$L,8,FALSE)</f>
        <v>0.1411</v>
      </c>
      <c r="P6" s="226">
        <f>VLOOKUP($A6,'MacroPD-Cal'!$A:$L,9,FALSE)</f>
        <v>0.20270000000000002</v>
      </c>
      <c r="Q6" s="226">
        <f>VLOOKUP($A6,'MacroPD-Cal'!$A:$L,10,FALSE)</f>
        <v>0.23670000000000002</v>
      </c>
      <c r="R6" s="226">
        <f t="shared" si="17"/>
        <v>3.9810451565500823E-2</v>
      </c>
      <c r="S6" s="226">
        <f t="shared" si="20"/>
        <v>2.3556301131072252E-2</v>
      </c>
      <c r="T6" s="176">
        <f t="shared" si="7"/>
        <v>35296.174037135468</v>
      </c>
      <c r="U6" s="191">
        <f>VLOOKUP(A6,'Ref-Data'!A:N,14,FALSE)</f>
        <v>0.33850601215969001</v>
      </c>
      <c r="V6" s="190">
        <f t="shared" si="18"/>
        <v>281.44991133116667</v>
      </c>
      <c r="W6" s="190">
        <f t="shared" si="9"/>
        <v>481.92085435923411</v>
      </c>
      <c r="X6" s="190">
        <f t="shared" si="10"/>
        <v>481.92085435923411</v>
      </c>
      <c r="Y6" s="226">
        <f>VLOOKUP($A6,'MacroPD-Cal'!$A:$L,11,FALSE)</f>
        <v>0.29139999999999999</v>
      </c>
      <c r="Z6" s="226">
        <f>VLOOKUP($A6,'MacroPD-Cal'!$A:$L,12,FALSE)</f>
        <v>0.33979999999999999</v>
      </c>
      <c r="AA6" s="189">
        <f t="shared" si="11"/>
        <v>2</v>
      </c>
      <c r="AB6" s="227"/>
      <c r="AC6" s="176">
        <v>1</v>
      </c>
    </row>
    <row r="7" spans="1:29" x14ac:dyDescent="0.25">
      <c r="A7" s="346">
        <v>1200000135</v>
      </c>
      <c r="B7" s="268">
        <v>44764</v>
      </c>
      <c r="C7" s="189">
        <f t="shared" si="12"/>
        <v>52</v>
      </c>
      <c r="D7">
        <v>0</v>
      </c>
      <c r="E7">
        <v>76206.460000000006</v>
      </c>
      <c r="F7" s="176">
        <f t="shared" si="13"/>
        <v>76206.460000000006</v>
      </c>
      <c r="G7" s="176">
        <f>VLOOKUP(A7,'Ref-Data'!A:J,10,FALSE)</f>
        <v>7.11</v>
      </c>
      <c r="H7" s="224">
        <f t="shared" si="19"/>
        <v>0.14236824093086928</v>
      </c>
      <c r="I7" s="224">
        <f t="shared" si="14"/>
        <v>0.99026892882894169</v>
      </c>
      <c r="J7" s="225">
        <f t="shared" si="15"/>
        <v>76206.460000000006</v>
      </c>
      <c r="K7" s="225">
        <f t="shared" si="16"/>
        <v>75464.889514045601</v>
      </c>
      <c r="L7" s="226">
        <f>VLOOKUP($A7,'MacroPD-Cal'!$A:$L,5,FALSE)</f>
        <v>2.8366842468132019E-2</v>
      </c>
      <c r="M7" s="226">
        <f>VLOOKUP($A7,'MacroPD-Cal'!$A:$L,6,FALSE)</f>
        <v>6.2417988886168341E-2</v>
      </c>
      <c r="N7" s="226">
        <f>VLOOKUP($A7,'MacroPD-Cal'!$A:$L,7,FALSE)</f>
        <v>9.8647826604583044E-2</v>
      </c>
      <c r="O7" s="226">
        <f>VLOOKUP($A7,'MacroPD-Cal'!$A:$L,8,FALSE)</f>
        <v>0.1411</v>
      </c>
      <c r="P7" s="226">
        <f>VLOOKUP($A7,'MacroPD-Cal'!$A:$L,9,FALSE)</f>
        <v>0.20270000000000002</v>
      </c>
      <c r="Q7" s="226">
        <f>VLOOKUP($A7,'MacroPD-Cal'!$A:$L,10,FALSE)</f>
        <v>0.23670000000000002</v>
      </c>
      <c r="R7" s="226">
        <f t="shared" si="17"/>
        <v>1.6254150434428571E-2</v>
      </c>
      <c r="S7" s="226">
        <f t="shared" si="20"/>
        <v>1.6254150434428571E-2</v>
      </c>
      <c r="T7" s="176">
        <f t="shared" si="7"/>
        <v>4216433.1832758244</v>
      </c>
      <c r="U7" s="191">
        <f>VLOOKUP(A7,'Ref-Data'!A:N,14,FALSE)</f>
        <v>0.33850601215969001</v>
      </c>
      <c r="V7" s="190">
        <f t="shared" si="18"/>
        <v>23199.353579319581</v>
      </c>
      <c r="W7" s="190">
        <f t="shared" si="9"/>
        <v>56219.225871376417</v>
      </c>
      <c r="X7" s="190">
        <f t="shared" si="10"/>
        <v>56219.225871376417</v>
      </c>
      <c r="Y7" s="226">
        <f>VLOOKUP($A7,'MacroPD-Cal'!$A:$L,11,FALSE)</f>
        <v>0.29139999999999999</v>
      </c>
      <c r="Z7" s="226">
        <f>VLOOKUP($A7,'MacroPD-Cal'!$A:$L,12,FALSE)</f>
        <v>0.33979999999999999</v>
      </c>
      <c r="AA7" s="189">
        <f t="shared" si="11"/>
        <v>2</v>
      </c>
      <c r="AB7" s="227"/>
      <c r="AC7" s="176">
        <v>1</v>
      </c>
    </row>
    <row r="8" spans="1:29" x14ac:dyDescent="0.25">
      <c r="A8" s="346">
        <v>1200000135</v>
      </c>
      <c r="B8" s="268">
        <v>44834</v>
      </c>
      <c r="C8" s="189">
        <f t="shared" si="12"/>
        <v>122</v>
      </c>
      <c r="D8">
        <v>4178175.14</v>
      </c>
      <c r="E8">
        <v>58895.09</v>
      </c>
      <c r="F8" s="176">
        <f t="shared" si="13"/>
        <v>4237070.2300000004</v>
      </c>
      <c r="G8" s="176">
        <f>VLOOKUP(A8,'Ref-Data'!A:J,10,FALSE)</f>
        <v>7.11</v>
      </c>
      <c r="H8" s="224">
        <f t="shared" si="19"/>
        <v>0.33401779603011633</v>
      </c>
      <c r="I8" s="224">
        <f t="shared" si="14"/>
        <v>0.97731877664953848</v>
      </c>
      <c r="J8" s="225">
        <f t="shared" si="15"/>
        <v>4237070.2300000004</v>
      </c>
      <c r="K8" s="225">
        <f t="shared" si="16"/>
        <v>4140968.2937617791</v>
      </c>
      <c r="L8" s="226">
        <f>VLOOKUP($A8,'MacroPD-Cal'!$A:$L,5,FALSE)</f>
        <v>2.8366842468132019E-2</v>
      </c>
      <c r="M8" s="226">
        <f>VLOOKUP($A8,'MacroPD-Cal'!$A:$L,6,FALSE)</f>
        <v>6.2417988886168341E-2</v>
      </c>
      <c r="N8" s="226">
        <f>VLOOKUP($A8,'MacroPD-Cal'!$A:$L,7,FALSE)</f>
        <v>9.8647826604583044E-2</v>
      </c>
      <c r="O8" s="226">
        <f>VLOOKUP($A8,'MacroPD-Cal'!$A:$L,8,FALSE)</f>
        <v>0.1411</v>
      </c>
      <c r="P8" s="226">
        <f>VLOOKUP($A8,'MacroPD-Cal'!$A:$L,9,FALSE)</f>
        <v>0.20270000000000002</v>
      </c>
      <c r="Q8" s="226">
        <f>VLOOKUP($A8,'MacroPD-Cal'!$A:$L,10,FALSE)</f>
        <v>0.23670000000000002</v>
      </c>
      <c r="R8" s="226">
        <f t="shared" si="17"/>
        <v>3.9810451565500823E-2</v>
      </c>
      <c r="S8" s="226">
        <f t="shared" si="20"/>
        <v>2.3556301131072252E-2</v>
      </c>
      <c r="T8" s="176">
        <f t="shared" si="7"/>
        <v>4140968.2937617791</v>
      </c>
      <c r="U8" s="191">
        <f>VLOOKUP(A8,'Ref-Data'!A:N,14,FALSE)</f>
        <v>0.33850601215969001</v>
      </c>
      <c r="V8" s="190">
        <f t="shared" si="18"/>
        <v>33019.872292056833</v>
      </c>
      <c r="W8" s="190">
        <f t="shared" si="9"/>
        <v>56219.225871376417</v>
      </c>
      <c r="X8" s="190">
        <f t="shared" si="10"/>
        <v>56219.225871376417</v>
      </c>
      <c r="Y8" s="226">
        <f>VLOOKUP($A8,'MacroPD-Cal'!$A:$L,11,FALSE)</f>
        <v>0.29139999999999999</v>
      </c>
      <c r="Z8" s="226">
        <f>VLOOKUP($A8,'MacroPD-Cal'!$A:$L,12,FALSE)</f>
        <v>0.33979999999999999</v>
      </c>
      <c r="AA8" s="189">
        <f t="shared" si="11"/>
        <v>2</v>
      </c>
      <c r="AB8" s="227"/>
      <c r="AC8" s="176">
        <v>1</v>
      </c>
    </row>
    <row r="9" spans="1:29" x14ac:dyDescent="0.25">
      <c r="A9" s="348">
        <v>1200000106</v>
      </c>
      <c r="B9" s="563">
        <v>44728</v>
      </c>
      <c r="C9" s="189">
        <f t="shared" si="12"/>
        <v>16</v>
      </c>
      <c r="D9">
        <v>19480</v>
      </c>
      <c r="E9">
        <v>24713.35</v>
      </c>
      <c r="F9" s="176">
        <f t="shared" ref="F9:F49" si="21">D9+E9</f>
        <v>44193.35</v>
      </c>
      <c r="G9" s="176">
        <f>VLOOKUP(A9,'Ref-Data'!A:J,10,FALSE)</f>
        <v>6.78</v>
      </c>
      <c r="H9" s="224">
        <f t="shared" ref="H9:H49" si="22">IF(AC9=1, IF(AND(A9=A8, C9&gt;365, C8&lt;365),1, C9/365.25), C9/365.25)</f>
        <v>4.380561259411362E-2</v>
      </c>
      <c r="I9" s="224">
        <f t="shared" ref="I9:I49" si="23">1/((1+G9%)^H9)</f>
        <v>0.99713045682320067</v>
      </c>
      <c r="J9" s="225">
        <f t="shared" ref="J9:J49" si="24">D9+E9</f>
        <v>44193.35</v>
      </c>
      <c r="K9" s="225">
        <f t="shared" ref="K9:K49" si="25">J9*I9</f>
        <v>44066.535274047594</v>
      </c>
      <c r="L9" s="226">
        <f>VLOOKUP($A9,'MacroPD-Cal'!$A:$L,5,FALSE)</f>
        <v>2.0181887000557244E-2</v>
      </c>
      <c r="M9" s="226">
        <f>VLOOKUP($A9,'MacroPD-Cal'!$A:$L,6,FALSE)</f>
        <v>4.4906672870860809E-2</v>
      </c>
      <c r="N9" s="226">
        <f>VLOOKUP($A9,'MacroPD-Cal'!$A:$L,7,FALSE)</f>
        <v>7.1631874074090218E-2</v>
      </c>
      <c r="O9" s="226">
        <f>VLOOKUP($A9,'MacroPD-Cal'!$A:$L,8,FALSE)</f>
        <v>0.10360000000000001</v>
      </c>
      <c r="P9" s="226">
        <f>VLOOKUP($A9,'MacroPD-Cal'!$A:$L,9,FALSE)</f>
        <v>0.15080000000000002</v>
      </c>
      <c r="Q9" s="226">
        <f>VLOOKUP($A9,'MacroPD-Cal'!$A:$L,10,FALSE)</f>
        <v>0.17730000000000001</v>
      </c>
      <c r="R9" s="226">
        <f t="shared" ref="R9:R49" si="26">IF(AND(AA9=1, H9&gt;1), O9, IF(H9&lt;=0.25,1-(1-L9)^(H9/0.25),IF(H9&lt;=0.5,L9+((M9-L9)/(0.5-0.25))*(H9-0.25),IF(H9&lt;=0.75,M9+((N9-M9)/(0.75-0.5))*(H9-0.5),IF(H9&lt;=1,N9+((O9-N9)/(0.5-0.25))*(H9-0.75),IF(H9&lt;=2,1-(((1-P9)/(1-O9))^(H9-1))*(1-O9),IF(H9&lt;=3,1-(((1-Q9)/(1-P9))^(H9-2))*(1-P9),IF(H9&lt;=4,1-(((1-Y9)/(1-Q9))^(H9-3))*(1-Q9),1-(((1-Z9)/(1-Y9))^(H9-4))*(1-Y9)))))))))</f>
        <v>3.5661182495762E-3</v>
      </c>
      <c r="S9" s="226">
        <f t="shared" ref="S9:S49" si="27">IF(A9=A8,(R9-R8),R9)</f>
        <v>3.5661182495762E-3</v>
      </c>
      <c r="T9" s="176">
        <f t="shared" si="7"/>
        <v>4197298.3896781504</v>
      </c>
      <c r="U9" s="191">
        <f>VLOOKUP(A9,'Ref-Data'!A:N,14,FALSE)</f>
        <v>0.457881885879943</v>
      </c>
      <c r="V9" s="190">
        <f t="shared" si="18"/>
        <v>6853.6046334296843</v>
      </c>
      <c r="W9" s="190">
        <f t="shared" si="9"/>
        <v>167651.19285157672</v>
      </c>
      <c r="X9" s="190">
        <f t="shared" si="10"/>
        <v>225083.80317543499</v>
      </c>
      <c r="Y9" s="226">
        <f>VLOOKUP($A9,'MacroPD-Cal'!$A:$L,11,FALSE)</f>
        <v>0.2228</v>
      </c>
      <c r="Z9" s="226">
        <f>VLOOKUP($A9,'MacroPD-Cal'!$A:$L,12,FALSE)</f>
        <v>0.26419999999999999</v>
      </c>
      <c r="AA9" s="189">
        <f t="shared" si="11"/>
        <v>41</v>
      </c>
      <c r="AB9" s="227"/>
      <c r="AC9" s="176">
        <v>1</v>
      </c>
    </row>
    <row r="10" spans="1:29" x14ac:dyDescent="0.25">
      <c r="A10" s="346">
        <v>1200000106</v>
      </c>
      <c r="B10" s="268">
        <v>44760</v>
      </c>
      <c r="C10" s="189">
        <f t="shared" si="12"/>
        <v>48</v>
      </c>
      <c r="D10">
        <v>19480</v>
      </c>
      <c r="E10">
        <v>25391.01</v>
      </c>
      <c r="F10" s="176">
        <f t="shared" si="21"/>
        <v>44871.009999999995</v>
      </c>
      <c r="G10" s="176">
        <f>VLOOKUP(A10,'Ref-Data'!A:J,10,FALSE)</f>
        <v>6.78</v>
      </c>
      <c r="H10" s="224">
        <f t="shared" si="22"/>
        <v>0.13141683778234087</v>
      </c>
      <c r="I10" s="224">
        <f t="shared" si="23"/>
        <v>0.99141604967511654</v>
      </c>
      <c r="J10" s="225">
        <f t="shared" si="24"/>
        <v>44871.009999999995</v>
      </c>
      <c r="K10" s="225">
        <f t="shared" si="25"/>
        <v>44485.839479132643</v>
      </c>
      <c r="L10" s="226">
        <f>VLOOKUP($A10,'MacroPD-Cal'!$A:$L,5,FALSE)</f>
        <v>2.0181887000557244E-2</v>
      </c>
      <c r="M10" s="226">
        <f>VLOOKUP($A10,'MacroPD-Cal'!$A:$L,6,FALSE)</f>
        <v>4.4906672870860809E-2</v>
      </c>
      <c r="N10" s="226">
        <f>VLOOKUP($A10,'MacroPD-Cal'!$A:$L,7,FALSE)</f>
        <v>7.1631874074090218E-2</v>
      </c>
      <c r="O10" s="226">
        <f>VLOOKUP($A10,'MacroPD-Cal'!$A:$L,8,FALSE)</f>
        <v>0.10360000000000001</v>
      </c>
      <c r="P10" s="226">
        <f>VLOOKUP($A10,'MacroPD-Cal'!$A:$L,9,FALSE)</f>
        <v>0.15080000000000002</v>
      </c>
      <c r="Q10" s="226">
        <f>VLOOKUP($A10,'MacroPD-Cal'!$A:$L,10,FALSE)</f>
        <v>0.17730000000000001</v>
      </c>
      <c r="R10" s="226">
        <f t="shared" si="26"/>
        <v>1.0660248501655367E-2</v>
      </c>
      <c r="S10" s="226">
        <f t="shared" si="27"/>
        <v>7.0941302520791671E-3</v>
      </c>
      <c r="T10" s="176">
        <f t="shared" si="7"/>
        <v>4153231.8544041025</v>
      </c>
      <c r="U10" s="191">
        <f>VLOOKUP(A10,'Ref-Data'!A:N,14,FALSE)</f>
        <v>0.457881885879943</v>
      </c>
      <c r="V10" s="190">
        <f t="shared" si="18"/>
        <v>13490.833962562354</v>
      </c>
      <c r="W10" s="190">
        <f t="shared" si="9"/>
        <v>167651.19285157672</v>
      </c>
      <c r="X10" s="190">
        <f t="shared" si="10"/>
        <v>225083.80317543499</v>
      </c>
      <c r="Y10" s="226">
        <f>VLOOKUP($A10,'MacroPD-Cal'!$A:$L,11,FALSE)</f>
        <v>0.2228</v>
      </c>
      <c r="Z10" s="226">
        <f>VLOOKUP($A10,'MacroPD-Cal'!$A:$L,12,FALSE)</f>
        <v>0.26419999999999999</v>
      </c>
      <c r="AA10" s="189">
        <f t="shared" si="11"/>
        <v>41</v>
      </c>
      <c r="AB10" s="227"/>
      <c r="AC10" s="176">
        <v>1</v>
      </c>
    </row>
    <row r="11" spans="1:29" x14ac:dyDescent="0.25">
      <c r="A11" s="346">
        <v>1200000106</v>
      </c>
      <c r="B11" s="268">
        <v>44789</v>
      </c>
      <c r="C11" s="189">
        <f t="shared" si="12"/>
        <v>77</v>
      </c>
      <c r="D11">
        <v>19480</v>
      </c>
      <c r="E11">
        <v>22902.26</v>
      </c>
      <c r="F11" s="176">
        <f t="shared" si="21"/>
        <v>42382.259999999995</v>
      </c>
      <c r="G11" s="176">
        <f>VLOOKUP(A11,'Ref-Data'!A:J,10,FALSE)</f>
        <v>6.78</v>
      </c>
      <c r="H11" s="224">
        <f t="shared" si="22"/>
        <v>0.21081451060917181</v>
      </c>
      <c r="I11" s="224">
        <f t="shared" si="23"/>
        <v>0.98626566036020946</v>
      </c>
      <c r="J11" s="225">
        <f t="shared" si="24"/>
        <v>42382.259999999995</v>
      </c>
      <c r="K11" s="225">
        <f t="shared" si="25"/>
        <v>41800.167646458089</v>
      </c>
      <c r="L11" s="226">
        <f>VLOOKUP($A11,'MacroPD-Cal'!$A:$L,5,FALSE)</f>
        <v>2.0181887000557244E-2</v>
      </c>
      <c r="M11" s="226">
        <f>VLOOKUP($A11,'MacroPD-Cal'!$A:$L,6,FALSE)</f>
        <v>4.4906672870860809E-2</v>
      </c>
      <c r="N11" s="226">
        <f>VLOOKUP($A11,'MacroPD-Cal'!$A:$L,7,FALSE)</f>
        <v>7.1631874074090218E-2</v>
      </c>
      <c r="O11" s="226">
        <f>VLOOKUP($A11,'MacroPD-Cal'!$A:$L,8,FALSE)</f>
        <v>0.10360000000000001</v>
      </c>
      <c r="P11" s="226">
        <f>VLOOKUP($A11,'MacroPD-Cal'!$A:$L,9,FALSE)</f>
        <v>0.15080000000000002</v>
      </c>
      <c r="Q11" s="226">
        <f>VLOOKUP($A11,'MacroPD-Cal'!$A:$L,10,FALSE)</f>
        <v>0.17730000000000001</v>
      </c>
      <c r="R11" s="226">
        <f t="shared" si="26"/>
        <v>1.7045668084887722E-2</v>
      </c>
      <c r="S11" s="226">
        <f t="shared" si="27"/>
        <v>6.3854195832323546E-3</v>
      </c>
      <c r="T11" s="176">
        <f t="shared" si="7"/>
        <v>4108746.01492497</v>
      </c>
      <c r="U11" s="191">
        <f>VLOOKUP(A11,'Ref-Data'!A:N,14,FALSE)</f>
        <v>0.457881885879943</v>
      </c>
      <c r="V11" s="190">
        <f t="shared" si="18"/>
        <v>12013.019957934341</v>
      </c>
      <c r="W11" s="190">
        <f t="shared" si="9"/>
        <v>167651.19285157672</v>
      </c>
      <c r="X11" s="190">
        <f t="shared" si="10"/>
        <v>225083.80317543499</v>
      </c>
      <c r="Y11" s="226">
        <f>VLOOKUP($A11,'MacroPD-Cal'!$A:$L,11,FALSE)</f>
        <v>0.2228</v>
      </c>
      <c r="Z11" s="226">
        <f>VLOOKUP($A11,'MacroPD-Cal'!$A:$L,12,FALSE)</f>
        <v>0.26419999999999999</v>
      </c>
      <c r="AA11" s="189">
        <f t="shared" si="11"/>
        <v>41</v>
      </c>
      <c r="AB11" s="227"/>
      <c r="AC11" s="176">
        <v>1</v>
      </c>
    </row>
    <row r="12" spans="1:29" x14ac:dyDescent="0.25">
      <c r="A12" s="346">
        <v>1200000106</v>
      </c>
      <c r="B12" s="268">
        <v>44820</v>
      </c>
      <c r="C12" s="189">
        <f t="shared" si="12"/>
        <v>108</v>
      </c>
      <c r="D12">
        <v>126374.2</v>
      </c>
      <c r="E12">
        <v>24365.91</v>
      </c>
      <c r="F12" s="176">
        <f t="shared" si="21"/>
        <v>150740.10999999999</v>
      </c>
      <c r="G12" s="176">
        <f>VLOOKUP(A12,'Ref-Data'!A:J,10,FALSE)</f>
        <v>6.78</v>
      </c>
      <c r="H12" s="224">
        <f t="shared" si="22"/>
        <v>0.29568788501026694</v>
      </c>
      <c r="I12" s="224">
        <f t="shared" si="23"/>
        <v>0.98078965593880274</v>
      </c>
      <c r="J12" s="225">
        <f t="shared" si="24"/>
        <v>150740.10999999999</v>
      </c>
      <c r="K12" s="225">
        <f t="shared" si="25"/>
        <v>147844.34062307727</v>
      </c>
      <c r="L12" s="226">
        <f>VLOOKUP($A12,'MacroPD-Cal'!$A:$L,5,FALSE)</f>
        <v>2.0181887000557244E-2</v>
      </c>
      <c r="M12" s="226">
        <f>VLOOKUP($A12,'MacroPD-Cal'!$A:$L,6,FALSE)</f>
        <v>4.4906672870860809E-2</v>
      </c>
      <c r="N12" s="226">
        <f>VLOOKUP($A12,'MacroPD-Cal'!$A:$L,7,FALSE)</f>
        <v>7.1631874074090218E-2</v>
      </c>
      <c r="O12" s="226">
        <f>VLOOKUP($A12,'MacroPD-Cal'!$A:$L,8,FALSE)</f>
        <v>0.10360000000000001</v>
      </c>
      <c r="P12" s="226">
        <f>VLOOKUP($A12,'MacroPD-Cal'!$A:$L,9,FALSE)</f>
        <v>0.15080000000000002</v>
      </c>
      <c r="Q12" s="226">
        <f>VLOOKUP($A12,'MacroPD-Cal'!$A:$L,10,FALSE)</f>
        <v>0.17730000000000001</v>
      </c>
      <c r="R12" s="226">
        <f t="shared" si="26"/>
        <v>2.4700379695540852E-2</v>
      </c>
      <c r="S12" s="226">
        <f t="shared" si="27"/>
        <v>7.6547116106531303E-3</v>
      </c>
      <c r="T12" s="176">
        <f t="shared" si="7"/>
        <v>4066945.8472785121</v>
      </c>
      <c r="U12" s="191">
        <f>VLOOKUP(A12,'Ref-Data'!A:N,14,FALSE)</f>
        <v>0.457881885879943</v>
      </c>
      <c r="V12" s="190">
        <f t="shared" si="18"/>
        <v>14254.457253631736</v>
      </c>
      <c r="W12" s="190">
        <f t="shared" si="9"/>
        <v>167651.19285157672</v>
      </c>
      <c r="X12" s="190">
        <f t="shared" si="10"/>
        <v>225083.80317543499</v>
      </c>
      <c r="Y12" s="226">
        <f>VLOOKUP($A12,'MacroPD-Cal'!$A:$L,11,FALSE)</f>
        <v>0.2228</v>
      </c>
      <c r="Z12" s="226">
        <f>VLOOKUP($A12,'MacroPD-Cal'!$A:$L,12,FALSE)</f>
        <v>0.26419999999999999</v>
      </c>
      <c r="AA12" s="189">
        <f t="shared" si="11"/>
        <v>41</v>
      </c>
      <c r="AB12" s="227"/>
      <c r="AC12" s="176">
        <v>1</v>
      </c>
    </row>
    <row r="13" spans="1:29" x14ac:dyDescent="0.25">
      <c r="A13" s="346">
        <v>1200000106</v>
      </c>
      <c r="B13" s="268">
        <v>44851</v>
      </c>
      <c r="C13" s="189">
        <f t="shared" si="12"/>
        <v>139</v>
      </c>
      <c r="D13">
        <v>126374.2</v>
      </c>
      <c r="E13">
        <v>23614.59</v>
      </c>
      <c r="F13" s="176">
        <f t="shared" si="21"/>
        <v>149988.79</v>
      </c>
      <c r="G13" s="176">
        <f>VLOOKUP(A13,'Ref-Data'!A:J,10,FALSE)</f>
        <v>6.78</v>
      </c>
      <c r="H13" s="224">
        <f t="shared" si="22"/>
        <v>0.3805612594113621</v>
      </c>
      <c r="I13" s="224">
        <f t="shared" si="23"/>
        <v>0.97534405572351279</v>
      </c>
      <c r="J13" s="225">
        <f t="shared" si="24"/>
        <v>149988.79</v>
      </c>
      <c r="K13" s="225">
        <f t="shared" si="25"/>
        <v>146290.67475166227</v>
      </c>
      <c r="L13" s="226">
        <f>VLOOKUP($A13,'MacroPD-Cal'!$A:$L,5,FALSE)</f>
        <v>2.0181887000557244E-2</v>
      </c>
      <c r="M13" s="226">
        <f>VLOOKUP($A13,'MacroPD-Cal'!$A:$L,6,FALSE)</f>
        <v>4.4906672870860809E-2</v>
      </c>
      <c r="N13" s="226">
        <f>VLOOKUP($A13,'MacroPD-Cal'!$A:$L,7,FALSE)</f>
        <v>7.1631874074090218E-2</v>
      </c>
      <c r="O13" s="226">
        <f>VLOOKUP($A13,'MacroPD-Cal'!$A:$L,8,FALSE)</f>
        <v>0.10360000000000001</v>
      </c>
      <c r="P13" s="226">
        <f>VLOOKUP($A13,'MacroPD-Cal'!$A:$L,9,FALSE)</f>
        <v>0.15080000000000002</v>
      </c>
      <c r="Q13" s="226">
        <f>VLOOKUP($A13,'MacroPD-Cal'!$A:$L,10,FALSE)</f>
        <v>0.17730000000000001</v>
      </c>
      <c r="R13" s="226">
        <f t="shared" si="26"/>
        <v>3.3094283728169582E-2</v>
      </c>
      <c r="S13" s="226">
        <f t="shared" si="27"/>
        <v>8.3939040326287302E-3</v>
      </c>
      <c r="T13" s="176">
        <f t="shared" si="7"/>
        <v>3919101.5066554346</v>
      </c>
      <c r="U13" s="191">
        <f>VLOOKUP(A13,'Ref-Data'!A:N,14,FALSE)</f>
        <v>0.457881885879943</v>
      </c>
      <c r="V13" s="190">
        <f t="shared" si="18"/>
        <v>15062.739820509782</v>
      </c>
      <c r="W13" s="190">
        <f t="shared" si="9"/>
        <v>167651.19285157672</v>
      </c>
      <c r="X13" s="190">
        <f t="shared" si="10"/>
        <v>225083.80317543499</v>
      </c>
      <c r="Y13" s="226">
        <f>VLOOKUP($A13,'MacroPD-Cal'!$A:$L,11,FALSE)</f>
        <v>0.2228</v>
      </c>
      <c r="Z13" s="226">
        <f>VLOOKUP($A13,'MacroPD-Cal'!$A:$L,12,FALSE)</f>
        <v>0.26419999999999999</v>
      </c>
      <c r="AA13" s="189">
        <f t="shared" si="11"/>
        <v>41</v>
      </c>
      <c r="AB13" s="227"/>
      <c r="AC13" s="176">
        <v>1</v>
      </c>
    </row>
    <row r="14" spans="1:29" x14ac:dyDescent="0.25">
      <c r="A14" s="346">
        <v>1200000106</v>
      </c>
      <c r="B14" s="268">
        <v>44881</v>
      </c>
      <c r="C14" s="189">
        <f t="shared" si="12"/>
        <v>169</v>
      </c>
      <c r="D14">
        <v>126374.2</v>
      </c>
      <c r="E14">
        <v>22125.75</v>
      </c>
      <c r="F14" s="176">
        <f t="shared" si="21"/>
        <v>148499.95000000001</v>
      </c>
      <c r="G14" s="176">
        <f>VLOOKUP(A14,'Ref-Data'!A:J,10,FALSE)</f>
        <v>6.78</v>
      </c>
      <c r="H14" s="224">
        <f t="shared" si="22"/>
        <v>0.46269678302532513</v>
      </c>
      <c r="I14" s="224">
        <f t="shared" si="23"/>
        <v>0.97010290987476999</v>
      </c>
      <c r="J14" s="225">
        <f t="shared" si="24"/>
        <v>148499.95000000001</v>
      </c>
      <c r="K14" s="225">
        <f t="shared" si="25"/>
        <v>144060.23361125786</v>
      </c>
      <c r="L14" s="226">
        <f>VLOOKUP($A14,'MacroPD-Cal'!$A:$L,5,FALSE)</f>
        <v>2.0181887000557244E-2</v>
      </c>
      <c r="M14" s="226">
        <f>VLOOKUP($A14,'MacroPD-Cal'!$A:$L,6,FALSE)</f>
        <v>4.4906672870860809E-2</v>
      </c>
      <c r="N14" s="226">
        <f>VLOOKUP($A14,'MacroPD-Cal'!$A:$L,7,FALSE)</f>
        <v>7.1631874074090218E-2</v>
      </c>
      <c r="O14" s="226">
        <f>VLOOKUP($A14,'MacroPD-Cal'!$A:$L,8,FALSE)</f>
        <v>0.10360000000000001</v>
      </c>
      <c r="P14" s="226">
        <f>VLOOKUP($A14,'MacroPD-Cal'!$A:$L,9,FALSE)</f>
        <v>0.15080000000000002</v>
      </c>
      <c r="Q14" s="226">
        <f>VLOOKUP($A14,'MacroPD-Cal'!$A:$L,10,FALSE)</f>
        <v>0.17730000000000001</v>
      </c>
      <c r="R14" s="226">
        <f t="shared" si="26"/>
        <v>4.1217416662971573E-2</v>
      </c>
      <c r="S14" s="226">
        <f t="shared" si="27"/>
        <v>8.1231329348019909E-3</v>
      </c>
      <c r="T14" s="176">
        <f t="shared" si="7"/>
        <v>3772810.8319037724</v>
      </c>
      <c r="U14" s="191">
        <f>VLOOKUP(A14,'Ref-Data'!A:N,14,FALSE)</f>
        <v>0.457881885879943</v>
      </c>
      <c r="V14" s="190">
        <f t="shared" si="18"/>
        <v>14032.726269214578</v>
      </c>
      <c r="W14" s="190">
        <f t="shared" si="9"/>
        <v>167651.19285157672</v>
      </c>
      <c r="X14" s="190">
        <f t="shared" si="10"/>
        <v>225083.80317543499</v>
      </c>
      <c r="Y14" s="226">
        <f>VLOOKUP($A14,'MacroPD-Cal'!$A:$L,11,FALSE)</f>
        <v>0.2228</v>
      </c>
      <c r="Z14" s="226">
        <f>VLOOKUP($A14,'MacroPD-Cal'!$A:$L,12,FALSE)</f>
        <v>0.26419999999999999</v>
      </c>
      <c r="AA14" s="189">
        <f t="shared" si="11"/>
        <v>41</v>
      </c>
      <c r="AB14" s="227"/>
      <c r="AC14" s="176">
        <v>1</v>
      </c>
    </row>
    <row r="15" spans="1:29" x14ac:dyDescent="0.25">
      <c r="A15" s="346">
        <v>1200000106</v>
      </c>
      <c r="B15" s="268">
        <v>44911</v>
      </c>
      <c r="C15" s="189">
        <f t="shared" si="12"/>
        <v>199</v>
      </c>
      <c r="D15">
        <v>126374.2</v>
      </c>
      <c r="E15">
        <v>21398.66</v>
      </c>
      <c r="F15" s="176">
        <f t="shared" si="21"/>
        <v>147772.85999999999</v>
      </c>
      <c r="G15" s="176">
        <f>VLOOKUP(A15,'Ref-Data'!A:J,10,FALSE)</f>
        <v>6.78</v>
      </c>
      <c r="H15" s="224">
        <f t="shared" si="22"/>
        <v>0.54483230663928817</v>
      </c>
      <c r="I15" s="224">
        <f t="shared" si="23"/>
        <v>0.96488992804635088</v>
      </c>
      <c r="J15" s="225">
        <f t="shared" si="24"/>
        <v>147772.85999999999</v>
      </c>
      <c r="K15" s="225">
        <f t="shared" si="25"/>
        <v>142584.54425260346</v>
      </c>
      <c r="L15" s="226">
        <f>VLOOKUP($A15,'MacroPD-Cal'!$A:$L,5,FALSE)</f>
        <v>2.0181887000557244E-2</v>
      </c>
      <c r="M15" s="226">
        <f>VLOOKUP($A15,'MacroPD-Cal'!$A:$L,6,FALSE)</f>
        <v>4.4906672870860809E-2</v>
      </c>
      <c r="N15" s="226">
        <f>VLOOKUP($A15,'MacroPD-Cal'!$A:$L,7,FALSE)</f>
        <v>7.1631874074090218E-2</v>
      </c>
      <c r="O15" s="226">
        <f>VLOOKUP($A15,'MacroPD-Cal'!$A:$L,8,FALSE)</f>
        <v>0.10360000000000001</v>
      </c>
      <c r="P15" s="226">
        <f>VLOOKUP($A15,'MacroPD-Cal'!$A:$L,9,FALSE)</f>
        <v>0.15080000000000002</v>
      </c>
      <c r="Q15" s="226">
        <f>VLOOKUP($A15,'MacroPD-Cal'!$A:$L,10,FALSE)</f>
        <v>0.17730000000000001</v>
      </c>
      <c r="R15" s="226">
        <f t="shared" si="26"/>
        <v>4.9699282532220224E-2</v>
      </c>
      <c r="S15" s="226">
        <f t="shared" si="27"/>
        <v>8.4818658692486504E-3</v>
      </c>
      <c r="T15" s="176">
        <f t="shared" si="7"/>
        <v>3628750.5982925147</v>
      </c>
      <c r="U15" s="191">
        <f>VLOOKUP(A15,'Ref-Data'!A:N,14,FALSE)</f>
        <v>0.457881885879943</v>
      </c>
      <c r="V15" s="190">
        <f t="shared" si="18"/>
        <v>14092.952353831331</v>
      </c>
      <c r="W15" s="190">
        <f t="shared" si="9"/>
        <v>167651.19285157672</v>
      </c>
      <c r="X15" s="190">
        <f t="shared" si="10"/>
        <v>225083.80317543499</v>
      </c>
      <c r="Y15" s="226">
        <f>VLOOKUP($A15,'MacroPD-Cal'!$A:$L,11,FALSE)</f>
        <v>0.2228</v>
      </c>
      <c r="Z15" s="226">
        <f>VLOOKUP($A15,'MacroPD-Cal'!$A:$L,12,FALSE)</f>
        <v>0.26419999999999999</v>
      </c>
      <c r="AA15" s="189">
        <f t="shared" si="11"/>
        <v>41</v>
      </c>
      <c r="AB15" s="227"/>
      <c r="AC15" s="176">
        <v>1</v>
      </c>
    </row>
    <row r="16" spans="1:29" x14ac:dyDescent="0.25">
      <c r="A16" s="346">
        <v>1200000106</v>
      </c>
      <c r="B16" s="268">
        <v>44942</v>
      </c>
      <c r="C16" s="189">
        <f t="shared" si="12"/>
        <v>230</v>
      </c>
      <c r="D16">
        <v>126374.2</v>
      </c>
      <c r="E16">
        <v>21360.63</v>
      </c>
      <c r="F16" s="176">
        <f t="shared" si="21"/>
        <v>147734.82999999999</v>
      </c>
      <c r="G16" s="176">
        <f>VLOOKUP(A16,'Ref-Data'!A:J,10,FALSE)</f>
        <v>6.78</v>
      </c>
      <c r="H16" s="224">
        <f t="shared" si="22"/>
        <v>0.62970568104038327</v>
      </c>
      <c r="I16" s="224">
        <f t="shared" si="23"/>
        <v>0.95953260727111189</v>
      </c>
      <c r="J16" s="225">
        <f t="shared" si="24"/>
        <v>147734.82999999999</v>
      </c>
      <c r="K16" s="225">
        <f t="shared" si="25"/>
        <v>141756.38661465448</v>
      </c>
      <c r="L16" s="226">
        <f>VLOOKUP($A16,'MacroPD-Cal'!$A:$L,5,FALSE)</f>
        <v>2.0181887000557244E-2</v>
      </c>
      <c r="M16" s="226">
        <f>VLOOKUP($A16,'MacroPD-Cal'!$A:$L,6,FALSE)</f>
        <v>4.4906672870860809E-2</v>
      </c>
      <c r="N16" s="226">
        <f>VLOOKUP($A16,'MacroPD-Cal'!$A:$L,7,FALSE)</f>
        <v>7.1631874074090218E-2</v>
      </c>
      <c r="O16" s="226">
        <f>VLOOKUP($A16,'MacroPD-Cal'!$A:$L,8,FALSE)</f>
        <v>0.10360000000000001</v>
      </c>
      <c r="P16" s="226">
        <f>VLOOKUP($A16,'MacroPD-Cal'!$A:$L,9,FALSE)</f>
        <v>0.15080000000000002</v>
      </c>
      <c r="Q16" s="226">
        <f>VLOOKUP($A16,'MacroPD-Cal'!$A:$L,10,FALSE)</f>
        <v>0.17730000000000001</v>
      </c>
      <c r="R16" s="226">
        <f t="shared" si="26"/>
        <v>5.8772314562885369E-2</v>
      </c>
      <c r="S16" s="226">
        <f t="shared" si="27"/>
        <v>9.0730320306651457E-3</v>
      </c>
      <c r="T16" s="176">
        <f t="shared" si="7"/>
        <v>3486166.0540399114</v>
      </c>
      <c r="U16" s="191">
        <f>VLOOKUP(A16,'Ref-Data'!A:N,14,FALSE)</f>
        <v>0.457881885879943</v>
      </c>
      <c r="V16" s="190">
        <f t="shared" si="18"/>
        <v>14482.848131826362</v>
      </c>
      <c r="W16" s="190">
        <f t="shared" si="9"/>
        <v>167651.19285157672</v>
      </c>
      <c r="X16" s="190">
        <f t="shared" si="10"/>
        <v>225083.80317543499</v>
      </c>
      <c r="Y16" s="226">
        <f>VLOOKUP($A16,'MacroPD-Cal'!$A:$L,11,FALSE)</f>
        <v>0.2228</v>
      </c>
      <c r="Z16" s="226">
        <f>VLOOKUP($A16,'MacroPD-Cal'!$A:$L,12,FALSE)</f>
        <v>0.26419999999999999</v>
      </c>
      <c r="AA16" s="189">
        <f t="shared" si="11"/>
        <v>41</v>
      </c>
      <c r="AB16" s="227"/>
      <c r="AC16" s="176">
        <v>1</v>
      </c>
    </row>
    <row r="17" spans="1:29" x14ac:dyDescent="0.25">
      <c r="A17" s="346">
        <v>1200000106</v>
      </c>
      <c r="B17" s="268">
        <v>44973</v>
      </c>
      <c r="C17" s="189">
        <f t="shared" si="12"/>
        <v>261</v>
      </c>
      <c r="D17">
        <v>126374.2</v>
      </c>
      <c r="E17">
        <v>20609.310000000001</v>
      </c>
      <c r="F17" s="176">
        <f t="shared" si="21"/>
        <v>146983.51</v>
      </c>
      <c r="G17" s="176">
        <f>VLOOKUP(A17,'Ref-Data'!A:J,10,FALSE)</f>
        <v>6.78</v>
      </c>
      <c r="H17" s="224">
        <f t="shared" si="22"/>
        <v>0.71457905544147848</v>
      </c>
      <c r="I17" s="224">
        <f t="shared" si="23"/>
        <v>0.9542050317394023</v>
      </c>
      <c r="J17" s="225">
        <f t="shared" si="24"/>
        <v>146983.51</v>
      </c>
      <c r="K17" s="225">
        <f t="shared" si="25"/>
        <v>140252.40482471877</v>
      </c>
      <c r="L17" s="226">
        <f>VLOOKUP($A17,'MacroPD-Cal'!$A:$L,5,FALSE)</f>
        <v>2.0181887000557244E-2</v>
      </c>
      <c r="M17" s="226">
        <f>VLOOKUP($A17,'MacroPD-Cal'!$A:$L,6,FALSE)</f>
        <v>4.4906672870860809E-2</v>
      </c>
      <c r="N17" s="226">
        <f>VLOOKUP($A17,'MacroPD-Cal'!$A:$L,7,FALSE)</f>
        <v>7.1631874074090218E-2</v>
      </c>
      <c r="O17" s="226">
        <f>VLOOKUP($A17,'MacroPD-Cal'!$A:$L,8,FALSE)</f>
        <v>0.10360000000000001</v>
      </c>
      <c r="P17" s="226">
        <f>VLOOKUP($A17,'MacroPD-Cal'!$A:$L,9,FALSE)</f>
        <v>0.15080000000000002</v>
      </c>
      <c r="Q17" s="226">
        <f>VLOOKUP($A17,'MacroPD-Cal'!$A:$L,10,FALSE)</f>
        <v>0.17730000000000001</v>
      </c>
      <c r="R17" s="226">
        <f t="shared" si="26"/>
        <v>6.7845346593550529E-2</v>
      </c>
      <c r="S17" s="226">
        <f t="shared" si="27"/>
        <v>9.0730320306651596E-3</v>
      </c>
      <c r="T17" s="176">
        <f t="shared" si="7"/>
        <v>3344409.6674252567</v>
      </c>
      <c r="U17" s="191">
        <f>VLOOKUP(A17,'Ref-Data'!A:N,14,FALSE)</f>
        <v>0.457881885879943</v>
      </c>
      <c r="V17" s="190">
        <f t="shared" si="18"/>
        <v>13893.938657282746</v>
      </c>
      <c r="W17" s="190">
        <f t="shared" si="9"/>
        <v>167651.19285157672</v>
      </c>
      <c r="X17" s="190">
        <f t="shared" si="10"/>
        <v>225083.80317543499</v>
      </c>
      <c r="Y17" s="226">
        <f>VLOOKUP($A17,'MacroPD-Cal'!$A:$L,11,FALSE)</f>
        <v>0.2228</v>
      </c>
      <c r="Z17" s="226">
        <f>VLOOKUP($A17,'MacroPD-Cal'!$A:$L,12,FALSE)</f>
        <v>0.26419999999999999</v>
      </c>
      <c r="AA17" s="189">
        <f t="shared" si="11"/>
        <v>41</v>
      </c>
      <c r="AB17" s="227"/>
      <c r="AC17" s="176">
        <v>1</v>
      </c>
    </row>
    <row r="18" spans="1:29" x14ac:dyDescent="0.25">
      <c r="A18" s="346">
        <v>1200000106</v>
      </c>
      <c r="B18" s="268">
        <v>45001</v>
      </c>
      <c r="C18" s="189">
        <f t="shared" si="12"/>
        <v>289</v>
      </c>
      <c r="D18">
        <v>126374.2</v>
      </c>
      <c r="E18">
        <v>17936.240000000002</v>
      </c>
      <c r="F18" s="176">
        <f t="shared" si="21"/>
        <v>144310.44</v>
      </c>
      <c r="G18" s="176">
        <f>VLOOKUP(A18,'Ref-Data'!A:J,10,FALSE)</f>
        <v>6.78</v>
      </c>
      <c r="H18" s="224">
        <f t="shared" si="22"/>
        <v>0.79123887748117727</v>
      </c>
      <c r="I18" s="224">
        <f t="shared" si="23"/>
        <v>0.94941845731249397</v>
      </c>
      <c r="J18" s="225">
        <f t="shared" si="24"/>
        <v>144310.44</v>
      </c>
      <c r="K18" s="225">
        <f t="shared" si="25"/>
        <v>137010.99531888723</v>
      </c>
      <c r="L18" s="226">
        <f>VLOOKUP($A18,'MacroPD-Cal'!$A:$L,5,FALSE)</f>
        <v>2.0181887000557244E-2</v>
      </c>
      <c r="M18" s="226">
        <f>VLOOKUP($A18,'MacroPD-Cal'!$A:$L,6,FALSE)</f>
        <v>4.4906672870860809E-2</v>
      </c>
      <c r="N18" s="226">
        <f>VLOOKUP($A18,'MacroPD-Cal'!$A:$L,7,FALSE)</f>
        <v>7.1631874074090218E-2</v>
      </c>
      <c r="O18" s="226">
        <f>VLOOKUP($A18,'MacroPD-Cal'!$A:$L,8,FALSE)</f>
        <v>0.10360000000000001</v>
      </c>
      <c r="P18" s="226">
        <f>VLOOKUP($A18,'MacroPD-Cal'!$A:$L,9,FALSE)</f>
        <v>0.15080000000000002</v>
      </c>
      <c r="Q18" s="226">
        <f>VLOOKUP($A18,'MacroPD-Cal'!$A:$L,10,FALSE)</f>
        <v>0.17730000000000001</v>
      </c>
      <c r="R18" s="226">
        <f t="shared" si="26"/>
        <v>7.6905192587535975E-2</v>
      </c>
      <c r="S18" s="226">
        <f t="shared" si="27"/>
        <v>9.0598459939854464E-3</v>
      </c>
      <c r="T18" s="176">
        <f t="shared" si="7"/>
        <v>3204157.2626005379</v>
      </c>
      <c r="U18" s="191">
        <f>VLOOKUP(A18,'Ref-Data'!A:N,14,FALSE)</f>
        <v>0.457881885879943</v>
      </c>
      <c r="V18" s="190">
        <f t="shared" si="18"/>
        <v>13291.931718540483</v>
      </c>
      <c r="W18" s="190">
        <f t="shared" si="9"/>
        <v>167651.19285157672</v>
      </c>
      <c r="X18" s="190">
        <f t="shared" si="10"/>
        <v>225083.80317543499</v>
      </c>
      <c r="Y18" s="226">
        <f>VLOOKUP($A18,'MacroPD-Cal'!$A:$L,11,FALSE)</f>
        <v>0.2228</v>
      </c>
      <c r="Z18" s="226">
        <f>VLOOKUP($A18,'MacroPD-Cal'!$A:$L,12,FALSE)</f>
        <v>0.26419999999999999</v>
      </c>
      <c r="AA18" s="189">
        <f t="shared" si="11"/>
        <v>41</v>
      </c>
      <c r="AB18" s="227"/>
      <c r="AC18" s="176">
        <v>1</v>
      </c>
    </row>
    <row r="19" spans="1:29" x14ac:dyDescent="0.25">
      <c r="A19" s="346">
        <v>1200000106</v>
      </c>
      <c r="B19" s="268">
        <v>45033</v>
      </c>
      <c r="C19" s="189">
        <f t="shared" si="12"/>
        <v>321</v>
      </c>
      <c r="D19">
        <v>126374.2</v>
      </c>
      <c r="E19">
        <v>19723.009999999998</v>
      </c>
      <c r="F19" s="176">
        <f t="shared" si="21"/>
        <v>146097.21</v>
      </c>
      <c r="G19" s="176">
        <f>VLOOKUP(A19,'Ref-Data'!A:J,10,FALSE)</f>
        <v>6.78</v>
      </c>
      <c r="H19" s="224">
        <f t="shared" si="22"/>
        <v>0.87885010266940455</v>
      </c>
      <c r="I19" s="224">
        <f t="shared" si="23"/>
        <v>0.94397748057583442</v>
      </c>
      <c r="J19" s="225">
        <f t="shared" si="24"/>
        <v>146097.21</v>
      </c>
      <c r="K19" s="225">
        <f t="shared" si="25"/>
        <v>137912.47621495859</v>
      </c>
      <c r="L19" s="226">
        <f>VLOOKUP($A19,'MacroPD-Cal'!$A:$L,5,FALSE)</f>
        <v>2.0181887000557244E-2</v>
      </c>
      <c r="M19" s="226">
        <f>VLOOKUP($A19,'MacroPD-Cal'!$A:$L,6,FALSE)</f>
        <v>4.4906672870860809E-2</v>
      </c>
      <c r="N19" s="226">
        <f>VLOOKUP($A19,'MacroPD-Cal'!$A:$L,7,FALSE)</f>
        <v>7.1631874074090218E-2</v>
      </c>
      <c r="O19" s="226">
        <f>VLOOKUP($A19,'MacroPD-Cal'!$A:$L,8,FALSE)</f>
        <v>0.10360000000000001</v>
      </c>
      <c r="P19" s="226">
        <f>VLOOKUP($A19,'MacroPD-Cal'!$A:$L,9,FALSE)</f>
        <v>0.15080000000000002</v>
      </c>
      <c r="Q19" s="226">
        <f>VLOOKUP($A19,'MacroPD-Cal'!$A:$L,10,FALSE)</f>
        <v>0.17730000000000001</v>
      </c>
      <c r="R19" s="226">
        <f t="shared" si="26"/>
        <v>8.8108259304897935E-2</v>
      </c>
      <c r="S19" s="226">
        <f t="shared" si="27"/>
        <v>1.1203066717361959E-2</v>
      </c>
      <c r="T19" s="176">
        <f t="shared" si="7"/>
        <v>3067146.267281651</v>
      </c>
      <c r="U19" s="191">
        <f>VLOOKUP(A19,'Ref-Data'!A:N,14,FALSE)</f>
        <v>0.457881885879943</v>
      </c>
      <c r="V19" s="190">
        <f t="shared" si="18"/>
        <v>15733.482901279767</v>
      </c>
      <c r="W19" s="190">
        <f t="shared" si="9"/>
        <v>167651.19285157672</v>
      </c>
      <c r="X19" s="190">
        <f t="shared" si="10"/>
        <v>225083.80317543499</v>
      </c>
      <c r="Y19" s="226">
        <f>VLOOKUP($A19,'MacroPD-Cal'!$A:$L,11,FALSE)</f>
        <v>0.2228</v>
      </c>
      <c r="Z19" s="226">
        <f>VLOOKUP($A19,'MacroPD-Cal'!$A:$L,12,FALSE)</f>
        <v>0.26419999999999999</v>
      </c>
      <c r="AA19" s="189">
        <f t="shared" si="11"/>
        <v>41</v>
      </c>
      <c r="AB19" s="227"/>
      <c r="AC19" s="176">
        <v>1</v>
      </c>
    </row>
    <row r="20" spans="1:29" x14ac:dyDescent="0.25">
      <c r="A20" s="346">
        <v>1200000106</v>
      </c>
      <c r="B20" s="268">
        <v>45062</v>
      </c>
      <c r="C20" s="189">
        <f t="shared" si="12"/>
        <v>350</v>
      </c>
      <c r="D20">
        <v>126374.2</v>
      </c>
      <c r="E20">
        <v>17171.13</v>
      </c>
      <c r="F20" s="176">
        <f t="shared" si="21"/>
        <v>143545.32999999999</v>
      </c>
      <c r="G20" s="176">
        <f>VLOOKUP(A20,'Ref-Data'!A:J,10,FALSE)</f>
        <v>6.78</v>
      </c>
      <c r="H20" s="224">
        <f t="shared" si="22"/>
        <v>0.95824777549623541</v>
      </c>
      <c r="I20" s="224">
        <f t="shared" si="23"/>
        <v>0.93907353381093783</v>
      </c>
      <c r="J20" s="225">
        <f t="shared" si="24"/>
        <v>143545.32999999999</v>
      </c>
      <c r="K20" s="225">
        <f t="shared" si="25"/>
        <v>134799.62030515721</v>
      </c>
      <c r="L20" s="226">
        <f>VLOOKUP($A20,'MacroPD-Cal'!$A:$L,5,FALSE)</f>
        <v>2.0181887000557244E-2</v>
      </c>
      <c r="M20" s="226">
        <f>VLOOKUP($A20,'MacroPD-Cal'!$A:$L,6,FALSE)</f>
        <v>4.4906672870860809E-2</v>
      </c>
      <c r="N20" s="226">
        <f>VLOOKUP($A20,'MacroPD-Cal'!$A:$L,7,FALSE)</f>
        <v>7.1631874074090218E-2</v>
      </c>
      <c r="O20" s="226">
        <f>VLOOKUP($A20,'MacroPD-Cal'!$A:$L,8,FALSE)</f>
        <v>0.10360000000000001</v>
      </c>
      <c r="P20" s="226">
        <f>VLOOKUP($A20,'MacroPD-Cal'!$A:$L,9,FALSE)</f>
        <v>0.15080000000000002</v>
      </c>
      <c r="Q20" s="226">
        <f>VLOOKUP($A20,'MacroPD-Cal'!$A:$L,10,FALSE)</f>
        <v>0.17730000000000001</v>
      </c>
      <c r="R20" s="226">
        <f t="shared" si="26"/>
        <v>9.8261038517507199E-2</v>
      </c>
      <c r="S20" s="226">
        <f t="shared" si="27"/>
        <v>1.0152779212609264E-2</v>
      </c>
      <c r="T20" s="176">
        <f t="shared" si="7"/>
        <v>2929233.7910666927</v>
      </c>
      <c r="U20" s="191">
        <f>VLOOKUP(A20,'Ref-Data'!A:N,14,FALSE)</f>
        <v>0.457881885879943</v>
      </c>
      <c r="V20" s="190">
        <f t="shared" si="18"/>
        <v>13617.344987948842</v>
      </c>
      <c r="W20" s="190">
        <f t="shared" si="9"/>
        <v>167651.19285157672</v>
      </c>
      <c r="X20" s="190">
        <f t="shared" si="10"/>
        <v>225083.80317543499</v>
      </c>
      <c r="Y20" s="226">
        <f>VLOOKUP($A20,'MacroPD-Cal'!$A:$L,11,FALSE)</f>
        <v>0.2228</v>
      </c>
      <c r="Z20" s="226">
        <f>VLOOKUP($A20,'MacroPD-Cal'!$A:$L,12,FALSE)</f>
        <v>0.26419999999999999</v>
      </c>
      <c r="AA20" s="189">
        <f t="shared" si="11"/>
        <v>41</v>
      </c>
      <c r="AB20" s="227"/>
      <c r="AC20" s="176">
        <v>1</v>
      </c>
    </row>
    <row r="21" spans="1:29" x14ac:dyDescent="0.25">
      <c r="A21" s="346">
        <v>1200000106</v>
      </c>
      <c r="B21" s="268">
        <v>45093</v>
      </c>
      <c r="C21" s="189">
        <f t="shared" si="12"/>
        <v>381</v>
      </c>
      <c r="D21">
        <v>126374.2</v>
      </c>
      <c r="E21">
        <v>17604.03</v>
      </c>
      <c r="F21" s="176">
        <f t="shared" si="21"/>
        <v>143978.22999999998</v>
      </c>
      <c r="G21" s="176">
        <f>VLOOKUP(A21,'Ref-Data'!A:J,10,FALSE)</f>
        <v>6.78</v>
      </c>
      <c r="H21" s="224">
        <f t="shared" si="22"/>
        <v>1</v>
      </c>
      <c r="I21" s="224">
        <f t="shared" si="23"/>
        <v>0.93650496347630641</v>
      </c>
      <c r="J21" s="225">
        <f t="shared" si="24"/>
        <v>143978.22999999998</v>
      </c>
      <c r="K21" s="225">
        <f t="shared" si="25"/>
        <v>134836.32702753323</v>
      </c>
      <c r="L21" s="226">
        <f>VLOOKUP($A21,'MacroPD-Cal'!$A:$L,5,FALSE)</f>
        <v>2.0181887000557244E-2</v>
      </c>
      <c r="M21" s="226">
        <f>VLOOKUP($A21,'MacroPD-Cal'!$A:$L,6,FALSE)</f>
        <v>4.4906672870860809E-2</v>
      </c>
      <c r="N21" s="226">
        <f>VLOOKUP($A21,'MacroPD-Cal'!$A:$L,7,FALSE)</f>
        <v>7.1631874074090218E-2</v>
      </c>
      <c r="O21" s="226">
        <f>VLOOKUP($A21,'MacroPD-Cal'!$A:$L,8,FALSE)</f>
        <v>0.10360000000000001</v>
      </c>
      <c r="P21" s="226">
        <f>VLOOKUP($A21,'MacroPD-Cal'!$A:$L,9,FALSE)</f>
        <v>0.15080000000000002</v>
      </c>
      <c r="Q21" s="226">
        <f>VLOOKUP($A21,'MacroPD-Cal'!$A:$L,10,FALSE)</f>
        <v>0.17730000000000001</v>
      </c>
      <c r="R21" s="226">
        <f t="shared" si="26"/>
        <v>0.10360000000000001</v>
      </c>
      <c r="S21" s="226">
        <f t="shared" si="27"/>
        <v>5.3389614824928128E-3</v>
      </c>
      <c r="T21" s="176">
        <f t="shared" si="7"/>
        <v>2794434.1707615354</v>
      </c>
      <c r="U21" s="191">
        <f>VLOOKUP(A21,'Ref-Data'!A:N,14,FALSE)</f>
        <v>0.457881885879943</v>
      </c>
      <c r="V21" s="190">
        <f t="shared" si="18"/>
        <v>6831.3122035847255</v>
      </c>
      <c r="W21" s="190">
        <f t="shared" si="9"/>
        <v>167651.19285157672</v>
      </c>
      <c r="X21" s="190">
        <f t="shared" si="10"/>
        <v>225083.80317543499</v>
      </c>
      <c r="Y21" s="226">
        <f>VLOOKUP($A21,'MacroPD-Cal'!$A:$L,11,FALSE)</f>
        <v>0.2228</v>
      </c>
      <c r="Z21" s="226">
        <f>VLOOKUP($A21,'MacroPD-Cal'!$A:$L,12,FALSE)</f>
        <v>0.26419999999999999</v>
      </c>
      <c r="AA21" s="189">
        <f t="shared" si="11"/>
        <v>41</v>
      </c>
      <c r="AB21" s="227"/>
      <c r="AC21" s="176">
        <v>1</v>
      </c>
    </row>
    <row r="22" spans="1:29" x14ac:dyDescent="0.25">
      <c r="A22" s="346">
        <v>1200000106</v>
      </c>
      <c r="B22" s="268">
        <v>45124</v>
      </c>
      <c r="C22" s="189">
        <f t="shared" si="12"/>
        <v>412</v>
      </c>
      <c r="D22">
        <v>126374.2</v>
      </c>
      <c r="E22">
        <v>16852.71</v>
      </c>
      <c r="F22" s="176">
        <f t="shared" si="21"/>
        <v>143226.91</v>
      </c>
      <c r="G22" s="176">
        <f>VLOOKUP(A22,'Ref-Data'!A:J,10,FALSE)</f>
        <v>6.78</v>
      </c>
      <c r="H22" s="224">
        <f t="shared" si="22"/>
        <v>1.1279945242984257</v>
      </c>
      <c r="I22" s="224">
        <f t="shared" si="23"/>
        <v>0.9286745203673159</v>
      </c>
      <c r="J22" s="225">
        <f t="shared" si="24"/>
        <v>143226.91</v>
      </c>
      <c r="K22" s="225">
        <f t="shared" si="25"/>
        <v>133011.18194794274</v>
      </c>
      <c r="L22" s="226">
        <f>VLOOKUP($A22,'MacroPD-Cal'!$A:$L,5,FALSE)</f>
        <v>2.0181887000557244E-2</v>
      </c>
      <c r="M22" s="226">
        <f>VLOOKUP($A22,'MacroPD-Cal'!$A:$L,6,FALSE)</f>
        <v>4.4906672870860809E-2</v>
      </c>
      <c r="N22" s="226">
        <f>VLOOKUP($A22,'MacroPD-Cal'!$A:$L,7,FALSE)</f>
        <v>7.1631874074090218E-2</v>
      </c>
      <c r="O22" s="226">
        <f>VLOOKUP($A22,'MacroPD-Cal'!$A:$L,8,FALSE)</f>
        <v>0.10360000000000001</v>
      </c>
      <c r="P22" s="226">
        <f>VLOOKUP($A22,'MacroPD-Cal'!$A:$L,9,FALSE)</f>
        <v>0.15080000000000002</v>
      </c>
      <c r="Q22" s="226">
        <f>VLOOKUP($A22,'MacroPD-Cal'!$A:$L,10,FALSE)</f>
        <v>0.17730000000000001</v>
      </c>
      <c r="R22" s="226">
        <f t="shared" si="26"/>
        <v>0.10978477389946284</v>
      </c>
      <c r="S22" s="226">
        <f t="shared" si="27"/>
        <v>6.1847738994628282E-3</v>
      </c>
      <c r="T22" s="176">
        <f t="shared" si="7"/>
        <v>2659597.8437340022</v>
      </c>
      <c r="U22" s="191">
        <f>VLOOKUP(A22,'Ref-Data'!A:N,14,FALSE)</f>
        <v>0.457881885879943</v>
      </c>
      <c r="V22" s="190">
        <f t="shared" si="18"/>
        <v>7531.7043272644069</v>
      </c>
      <c r="W22" s="190">
        <f t="shared" si="9"/>
        <v>167651.19285157672</v>
      </c>
      <c r="X22" s="190">
        <f t="shared" si="10"/>
        <v>225083.80317543499</v>
      </c>
      <c r="Y22" s="226">
        <f>VLOOKUP($A22,'MacroPD-Cal'!$A:$L,11,FALSE)</f>
        <v>0.2228</v>
      </c>
      <c r="Z22" s="226">
        <f>VLOOKUP($A22,'MacroPD-Cal'!$A:$L,12,FALSE)</f>
        <v>0.26419999999999999</v>
      </c>
      <c r="AA22" s="189">
        <f t="shared" si="11"/>
        <v>41</v>
      </c>
      <c r="AB22" s="227"/>
      <c r="AC22" s="176">
        <v>1</v>
      </c>
    </row>
    <row r="23" spans="1:29" x14ac:dyDescent="0.25">
      <c r="A23" s="346">
        <v>1200000106</v>
      </c>
      <c r="B23" s="268">
        <v>45154</v>
      </c>
      <c r="C23" s="189">
        <f t="shared" si="12"/>
        <v>442</v>
      </c>
      <c r="D23">
        <v>126374.2</v>
      </c>
      <c r="E23">
        <v>15581.98</v>
      </c>
      <c r="F23" s="176">
        <f t="shared" si="21"/>
        <v>141956.18</v>
      </c>
      <c r="G23" s="176">
        <f>VLOOKUP(A23,'Ref-Data'!A:J,10,FALSE)</f>
        <v>6.78</v>
      </c>
      <c r="H23" s="224">
        <f t="shared" si="22"/>
        <v>1.2101300479123889</v>
      </c>
      <c r="I23" s="224">
        <f t="shared" si="23"/>
        <v>0.92368415970566631</v>
      </c>
      <c r="J23" s="225">
        <f t="shared" si="24"/>
        <v>141956.18</v>
      </c>
      <c r="K23" s="225">
        <f t="shared" si="25"/>
        <v>131122.67483832632</v>
      </c>
      <c r="L23" s="226">
        <f>VLOOKUP($A23,'MacroPD-Cal'!$A:$L,5,FALSE)</f>
        <v>2.0181887000557244E-2</v>
      </c>
      <c r="M23" s="226">
        <f>VLOOKUP($A23,'MacroPD-Cal'!$A:$L,6,FALSE)</f>
        <v>4.4906672870860809E-2</v>
      </c>
      <c r="N23" s="226">
        <f>VLOOKUP($A23,'MacroPD-Cal'!$A:$L,7,FALSE)</f>
        <v>7.1631874074090218E-2</v>
      </c>
      <c r="O23" s="226">
        <f>VLOOKUP($A23,'MacroPD-Cal'!$A:$L,8,FALSE)</f>
        <v>0.10360000000000001</v>
      </c>
      <c r="P23" s="226">
        <f>VLOOKUP($A23,'MacroPD-Cal'!$A:$L,9,FALSE)</f>
        <v>0.15080000000000002</v>
      </c>
      <c r="Q23" s="226">
        <f>VLOOKUP($A23,'MacroPD-Cal'!$A:$L,10,FALSE)</f>
        <v>0.17730000000000001</v>
      </c>
      <c r="R23" s="226">
        <f t="shared" si="26"/>
        <v>0.11373111648188583</v>
      </c>
      <c r="S23" s="226">
        <f t="shared" si="27"/>
        <v>3.9463425824229903E-3</v>
      </c>
      <c r="T23" s="176">
        <f t="shared" si="7"/>
        <v>2526586.6617860594</v>
      </c>
      <c r="U23" s="191">
        <f>VLOOKUP(A23,'Ref-Data'!A:N,14,FALSE)</f>
        <v>0.457881885879943</v>
      </c>
      <c r="V23" s="190">
        <f t="shared" si="18"/>
        <v>4565.437961971119</v>
      </c>
      <c r="W23" s="190">
        <f t="shared" si="9"/>
        <v>167651.19285157672</v>
      </c>
      <c r="X23" s="190">
        <f t="shared" si="10"/>
        <v>225083.80317543499</v>
      </c>
      <c r="Y23" s="226">
        <f>VLOOKUP($A23,'MacroPD-Cal'!$A:$L,11,FALSE)</f>
        <v>0.2228</v>
      </c>
      <c r="Z23" s="226">
        <f>VLOOKUP($A23,'MacroPD-Cal'!$A:$L,12,FALSE)</f>
        <v>0.26419999999999999</v>
      </c>
      <c r="AA23" s="189">
        <f t="shared" si="11"/>
        <v>41</v>
      </c>
      <c r="AB23" s="227"/>
      <c r="AC23" s="176">
        <v>1</v>
      </c>
    </row>
    <row r="24" spans="1:29" x14ac:dyDescent="0.25">
      <c r="A24" s="346">
        <v>1200000106</v>
      </c>
      <c r="B24" s="268">
        <v>45187</v>
      </c>
      <c r="C24" s="189">
        <f t="shared" si="12"/>
        <v>475</v>
      </c>
      <c r="D24">
        <v>126374.2</v>
      </c>
      <c r="E24">
        <v>16340.39</v>
      </c>
      <c r="F24" s="176">
        <f t="shared" si="21"/>
        <v>142714.59</v>
      </c>
      <c r="G24" s="176">
        <f>VLOOKUP(A24,'Ref-Data'!A:J,10,FALSE)</f>
        <v>6.78</v>
      </c>
      <c r="H24" s="224">
        <f t="shared" si="22"/>
        <v>1.3004791238877482</v>
      </c>
      <c r="I24" s="224">
        <f t="shared" si="23"/>
        <v>0.91822573035542587</v>
      </c>
      <c r="J24" s="225">
        <f t="shared" si="24"/>
        <v>142714.59</v>
      </c>
      <c r="K24" s="225">
        <f t="shared" si="25"/>
        <v>131044.20863512515</v>
      </c>
      <c r="L24" s="226">
        <f>VLOOKUP($A24,'MacroPD-Cal'!$A:$L,5,FALSE)</f>
        <v>2.0181887000557244E-2</v>
      </c>
      <c r="M24" s="226">
        <f>VLOOKUP($A24,'MacroPD-Cal'!$A:$L,6,FALSE)</f>
        <v>4.4906672870860809E-2</v>
      </c>
      <c r="N24" s="226">
        <f>VLOOKUP($A24,'MacroPD-Cal'!$A:$L,7,FALSE)</f>
        <v>7.1631874074090218E-2</v>
      </c>
      <c r="O24" s="226">
        <f>VLOOKUP($A24,'MacroPD-Cal'!$A:$L,8,FALSE)</f>
        <v>0.10360000000000001</v>
      </c>
      <c r="P24" s="226">
        <f>VLOOKUP($A24,'MacroPD-Cal'!$A:$L,9,FALSE)</f>
        <v>0.15080000000000002</v>
      </c>
      <c r="Q24" s="226">
        <f>VLOOKUP($A24,'MacroPD-Cal'!$A:$L,10,FALSE)</f>
        <v>0.17730000000000001</v>
      </c>
      <c r="R24" s="226">
        <f t="shared" si="26"/>
        <v>0.1180518904887975</v>
      </c>
      <c r="S24" s="226">
        <f t="shared" si="27"/>
        <v>4.3207740069116651E-3</v>
      </c>
      <c r="T24" s="176">
        <f t="shared" si="7"/>
        <v>2395463.986947733</v>
      </c>
      <c r="U24" s="191">
        <f>VLOOKUP(A24,'Ref-Data'!A:N,14,FALSE)</f>
        <v>0.457881885879943</v>
      </c>
      <c r="V24" s="190">
        <f t="shared" si="18"/>
        <v>4739.1958947393605</v>
      </c>
      <c r="W24" s="190">
        <f t="shared" si="9"/>
        <v>167651.19285157672</v>
      </c>
      <c r="X24" s="190">
        <f t="shared" si="10"/>
        <v>225083.80317543499</v>
      </c>
      <c r="Y24" s="226">
        <f>VLOOKUP($A24,'MacroPD-Cal'!$A:$L,11,FALSE)</f>
        <v>0.2228</v>
      </c>
      <c r="Z24" s="226">
        <f>VLOOKUP($A24,'MacroPD-Cal'!$A:$L,12,FALSE)</f>
        <v>0.26419999999999999</v>
      </c>
      <c r="AA24" s="189">
        <f t="shared" si="11"/>
        <v>41</v>
      </c>
      <c r="AB24" s="227"/>
      <c r="AC24" s="176">
        <v>1</v>
      </c>
    </row>
    <row r="25" spans="1:29" x14ac:dyDescent="0.25">
      <c r="A25" s="346">
        <v>1200000106</v>
      </c>
      <c r="B25" s="268">
        <v>45215</v>
      </c>
      <c r="C25" s="189">
        <f t="shared" si="12"/>
        <v>503</v>
      </c>
      <c r="D25">
        <v>126374.2</v>
      </c>
      <c r="E25">
        <v>13185.96</v>
      </c>
      <c r="F25" s="176">
        <f t="shared" si="21"/>
        <v>139560.16</v>
      </c>
      <c r="G25" s="176">
        <f>VLOOKUP(A25,'Ref-Data'!A:J,10,FALSE)</f>
        <v>6.78</v>
      </c>
      <c r="H25" s="224">
        <f t="shared" si="22"/>
        <v>1.377138945927447</v>
      </c>
      <c r="I25" s="224">
        <f t="shared" si="23"/>
        <v>0.91361963873690122</v>
      </c>
      <c r="J25" s="225">
        <f t="shared" si="24"/>
        <v>139560.16</v>
      </c>
      <c r="K25" s="225">
        <f t="shared" si="25"/>
        <v>127504.90296126413</v>
      </c>
      <c r="L25" s="226">
        <f>VLOOKUP($A25,'MacroPD-Cal'!$A:$L,5,FALSE)</f>
        <v>2.0181887000557244E-2</v>
      </c>
      <c r="M25" s="226">
        <f>VLOOKUP($A25,'MacroPD-Cal'!$A:$L,6,FALSE)</f>
        <v>4.4906672870860809E-2</v>
      </c>
      <c r="N25" s="226">
        <f>VLOOKUP($A25,'MacroPD-Cal'!$A:$L,7,FALSE)</f>
        <v>7.1631874074090218E-2</v>
      </c>
      <c r="O25" s="226">
        <f>VLOOKUP($A25,'MacroPD-Cal'!$A:$L,8,FALSE)</f>
        <v>0.10360000000000001</v>
      </c>
      <c r="P25" s="226">
        <f>VLOOKUP($A25,'MacroPD-Cal'!$A:$L,9,FALSE)</f>
        <v>0.15080000000000002</v>
      </c>
      <c r="Q25" s="226">
        <f>VLOOKUP($A25,'MacroPD-Cal'!$A:$L,10,FALSE)</f>
        <v>0.17730000000000001</v>
      </c>
      <c r="R25" s="226">
        <f t="shared" si="26"/>
        <v>0.12170147854821911</v>
      </c>
      <c r="S25" s="226">
        <f t="shared" si="27"/>
        <v>3.6495880594216157E-3</v>
      </c>
      <c r="T25" s="176">
        <f t="shared" si="7"/>
        <v>2264419.7783126081</v>
      </c>
      <c r="U25" s="191">
        <f>VLOOKUP(A25,'Ref-Data'!A:N,14,FALSE)</f>
        <v>0.457881885879943</v>
      </c>
      <c r="V25" s="190">
        <f t="shared" si="18"/>
        <v>3784.0271994388395</v>
      </c>
      <c r="W25" s="190">
        <f t="shared" si="9"/>
        <v>167651.19285157672</v>
      </c>
      <c r="X25" s="190">
        <f t="shared" si="10"/>
        <v>225083.80317543499</v>
      </c>
      <c r="Y25" s="226">
        <f>VLOOKUP($A25,'MacroPD-Cal'!$A:$L,11,FALSE)</f>
        <v>0.2228</v>
      </c>
      <c r="Z25" s="226">
        <f>VLOOKUP($A25,'MacroPD-Cal'!$A:$L,12,FALSE)</f>
        <v>0.26419999999999999</v>
      </c>
      <c r="AA25" s="189">
        <f t="shared" si="11"/>
        <v>41</v>
      </c>
      <c r="AB25" s="227"/>
      <c r="AC25" s="176">
        <v>1</v>
      </c>
    </row>
    <row r="26" spans="1:29" x14ac:dyDescent="0.25">
      <c r="A26" s="346">
        <v>1200000106</v>
      </c>
      <c r="B26" s="268">
        <v>45246</v>
      </c>
      <c r="C26" s="189">
        <f t="shared" si="12"/>
        <v>534</v>
      </c>
      <c r="D26">
        <v>126374.2</v>
      </c>
      <c r="E26">
        <v>13847.43</v>
      </c>
      <c r="F26" s="176">
        <f t="shared" si="21"/>
        <v>140221.63</v>
      </c>
      <c r="G26" s="176">
        <f>VLOOKUP(A26,'Ref-Data'!A:J,10,FALSE)</f>
        <v>6.78</v>
      </c>
      <c r="H26" s="224">
        <f t="shared" si="22"/>
        <v>1.462012320328542</v>
      </c>
      <c r="I26" s="224">
        <f t="shared" si="23"/>
        <v>0.90854698399256006</v>
      </c>
      <c r="J26" s="225">
        <f t="shared" si="24"/>
        <v>140221.63</v>
      </c>
      <c r="K26" s="225">
        <f t="shared" si="25"/>
        <v>127397.93902702068</v>
      </c>
      <c r="L26" s="226">
        <f>VLOOKUP($A26,'MacroPD-Cal'!$A:$L,5,FALSE)</f>
        <v>2.0181887000557244E-2</v>
      </c>
      <c r="M26" s="226">
        <f>VLOOKUP($A26,'MacroPD-Cal'!$A:$L,6,FALSE)</f>
        <v>4.4906672870860809E-2</v>
      </c>
      <c r="N26" s="226">
        <f>VLOOKUP($A26,'MacroPD-Cal'!$A:$L,7,FALSE)</f>
        <v>7.1631874074090218E-2</v>
      </c>
      <c r="O26" s="226">
        <f>VLOOKUP($A26,'MacroPD-Cal'!$A:$L,8,FALSE)</f>
        <v>0.10360000000000001</v>
      </c>
      <c r="P26" s="226">
        <f>VLOOKUP($A26,'MacroPD-Cal'!$A:$L,9,FALSE)</f>
        <v>0.15080000000000002</v>
      </c>
      <c r="Q26" s="226">
        <f>VLOOKUP($A26,'MacroPD-Cal'!$A:$L,10,FALSE)</f>
        <v>0.17730000000000001</v>
      </c>
      <c r="R26" s="226">
        <f t="shared" si="26"/>
        <v>0.12572448030256256</v>
      </c>
      <c r="S26" s="226">
        <f t="shared" si="27"/>
        <v>4.0230017543434471E-3</v>
      </c>
      <c r="T26" s="176">
        <f t="shared" si="7"/>
        <v>2136914.8753513442</v>
      </c>
      <c r="U26" s="191">
        <f>VLOOKUP(A26,'Ref-Data'!A:N,14,FALSE)</f>
        <v>0.457881885879943</v>
      </c>
      <c r="V26" s="190">
        <f t="shared" si="18"/>
        <v>3936.3246250096336</v>
      </c>
      <c r="W26" s="190">
        <f t="shared" si="9"/>
        <v>167651.19285157672</v>
      </c>
      <c r="X26" s="190">
        <f t="shared" si="10"/>
        <v>225083.80317543499</v>
      </c>
      <c r="Y26" s="226">
        <f>VLOOKUP($A26,'MacroPD-Cal'!$A:$L,11,FALSE)</f>
        <v>0.2228</v>
      </c>
      <c r="Z26" s="226">
        <f>VLOOKUP($A26,'MacroPD-Cal'!$A:$L,12,FALSE)</f>
        <v>0.26419999999999999</v>
      </c>
      <c r="AA26" s="189">
        <f t="shared" si="11"/>
        <v>41</v>
      </c>
      <c r="AB26" s="227"/>
      <c r="AC26" s="176">
        <v>1</v>
      </c>
    </row>
    <row r="27" spans="1:29" x14ac:dyDescent="0.25">
      <c r="A27" s="346">
        <v>1200000106</v>
      </c>
      <c r="B27" s="268">
        <v>45278</v>
      </c>
      <c r="C27" s="189">
        <f t="shared" si="12"/>
        <v>566</v>
      </c>
      <c r="D27">
        <v>95833</v>
      </c>
      <c r="E27">
        <v>13518.56</v>
      </c>
      <c r="F27" s="176">
        <f t="shared" si="21"/>
        <v>109351.56</v>
      </c>
      <c r="G27" s="176">
        <f>VLOOKUP(A27,'Ref-Data'!A:J,10,FALSE)</f>
        <v>6.78</v>
      </c>
      <c r="H27" s="224">
        <f t="shared" si="22"/>
        <v>1.5496235455167693</v>
      </c>
      <c r="I27" s="224">
        <f t="shared" si="23"/>
        <v>0.90334023562360721</v>
      </c>
      <c r="J27" s="225">
        <f t="shared" si="24"/>
        <v>109351.56</v>
      </c>
      <c r="K27" s="225">
        <f t="shared" si="25"/>
        <v>98781.66397620902</v>
      </c>
      <c r="L27" s="226">
        <f>VLOOKUP($A27,'MacroPD-Cal'!$A:$L,5,FALSE)</f>
        <v>2.0181887000557244E-2</v>
      </c>
      <c r="M27" s="226">
        <f>VLOOKUP($A27,'MacroPD-Cal'!$A:$L,6,FALSE)</f>
        <v>4.4906672870860809E-2</v>
      </c>
      <c r="N27" s="226">
        <f>VLOOKUP($A27,'MacroPD-Cal'!$A:$L,7,FALSE)</f>
        <v>7.1631874074090218E-2</v>
      </c>
      <c r="O27" s="226">
        <f>VLOOKUP($A27,'MacroPD-Cal'!$A:$L,8,FALSE)</f>
        <v>0.10360000000000001</v>
      </c>
      <c r="P27" s="226">
        <f>VLOOKUP($A27,'MacroPD-Cal'!$A:$L,9,FALSE)</f>
        <v>0.15080000000000002</v>
      </c>
      <c r="Q27" s="226">
        <f>VLOOKUP($A27,'MacroPD-Cal'!$A:$L,10,FALSE)</f>
        <v>0.17730000000000001</v>
      </c>
      <c r="R27" s="226">
        <f t="shared" si="26"/>
        <v>0.12985792888089653</v>
      </c>
      <c r="S27" s="226">
        <f t="shared" si="27"/>
        <v>4.1334485783339758E-3</v>
      </c>
      <c r="T27" s="176">
        <f t="shared" si="7"/>
        <v>2009516.9363243233</v>
      </c>
      <c r="U27" s="191">
        <f>VLOOKUP(A27,'Ref-Data'!A:N,14,FALSE)</f>
        <v>0.457881885879943</v>
      </c>
      <c r="V27" s="190">
        <f t="shared" si="18"/>
        <v>3803.2745113742358</v>
      </c>
      <c r="W27" s="190">
        <f t="shared" si="9"/>
        <v>167651.19285157672</v>
      </c>
      <c r="X27" s="190">
        <f t="shared" si="10"/>
        <v>225083.80317543499</v>
      </c>
      <c r="Y27" s="226">
        <f>VLOOKUP($A27,'MacroPD-Cal'!$A:$L,11,FALSE)</f>
        <v>0.2228</v>
      </c>
      <c r="Z27" s="226">
        <f>VLOOKUP($A27,'MacroPD-Cal'!$A:$L,12,FALSE)</f>
        <v>0.26419999999999999</v>
      </c>
      <c r="AA27" s="189">
        <f t="shared" si="11"/>
        <v>41</v>
      </c>
      <c r="AB27" s="227"/>
      <c r="AC27" s="176">
        <v>1</v>
      </c>
    </row>
    <row r="28" spans="1:29" x14ac:dyDescent="0.25">
      <c r="A28" s="346">
        <v>1200000106</v>
      </c>
      <c r="B28" s="268">
        <v>45307</v>
      </c>
      <c r="C28" s="189">
        <f t="shared" si="12"/>
        <v>595</v>
      </c>
      <c r="D28">
        <v>95833</v>
      </c>
      <c r="E28">
        <v>11718.2</v>
      </c>
      <c r="F28" s="176">
        <f t="shared" si="21"/>
        <v>107551.2</v>
      </c>
      <c r="G28" s="176">
        <f>VLOOKUP(A28,'Ref-Data'!A:J,10,FALSE)</f>
        <v>6.78</v>
      </c>
      <c r="H28" s="224">
        <f t="shared" si="22"/>
        <v>1.6290212183436004</v>
      </c>
      <c r="I28" s="224">
        <f t="shared" si="23"/>
        <v>0.89864739864683407</v>
      </c>
      <c r="J28" s="225">
        <f t="shared" si="24"/>
        <v>107551.2</v>
      </c>
      <c r="K28" s="225">
        <f t="shared" si="25"/>
        <v>96650.606101345373</v>
      </c>
      <c r="L28" s="226">
        <f>VLOOKUP($A28,'MacroPD-Cal'!$A:$L,5,FALSE)</f>
        <v>2.0181887000557244E-2</v>
      </c>
      <c r="M28" s="226">
        <f>VLOOKUP($A28,'MacroPD-Cal'!$A:$L,6,FALSE)</f>
        <v>4.4906672870860809E-2</v>
      </c>
      <c r="N28" s="226">
        <f>VLOOKUP($A28,'MacroPD-Cal'!$A:$L,7,FALSE)</f>
        <v>7.1631874074090218E-2</v>
      </c>
      <c r="O28" s="226">
        <f>VLOOKUP($A28,'MacroPD-Cal'!$A:$L,8,FALSE)</f>
        <v>0.10360000000000001</v>
      </c>
      <c r="P28" s="226">
        <f>VLOOKUP($A28,'MacroPD-Cal'!$A:$L,9,FALSE)</f>
        <v>0.15080000000000002</v>
      </c>
      <c r="Q28" s="226">
        <f>VLOOKUP($A28,'MacroPD-Cal'!$A:$L,10,FALSE)</f>
        <v>0.17730000000000001</v>
      </c>
      <c r="R28" s="226">
        <f t="shared" si="26"/>
        <v>0.13358698407236558</v>
      </c>
      <c r="S28" s="226">
        <f t="shared" si="27"/>
        <v>3.729055191469044E-3</v>
      </c>
      <c r="T28" s="176">
        <f t="shared" si="7"/>
        <v>1910735.2723481141</v>
      </c>
      <c r="U28" s="191">
        <f>VLOOKUP(A28,'Ref-Data'!A:N,14,FALSE)</f>
        <v>0.457881885879943</v>
      </c>
      <c r="V28" s="190">
        <f t="shared" si="18"/>
        <v>3262.5170862553841</v>
      </c>
      <c r="W28" s="190">
        <f t="shared" si="9"/>
        <v>167651.19285157672</v>
      </c>
      <c r="X28" s="190">
        <f t="shared" si="10"/>
        <v>225083.80317543499</v>
      </c>
      <c r="Y28" s="226">
        <f>VLOOKUP($A28,'MacroPD-Cal'!$A:$L,11,FALSE)</f>
        <v>0.2228</v>
      </c>
      <c r="Z28" s="226">
        <f>VLOOKUP($A28,'MacroPD-Cal'!$A:$L,12,FALSE)</f>
        <v>0.26419999999999999</v>
      </c>
      <c r="AA28" s="189">
        <f t="shared" si="11"/>
        <v>41</v>
      </c>
      <c r="AB28" s="227"/>
      <c r="AC28" s="176">
        <v>1</v>
      </c>
    </row>
    <row r="29" spans="1:29" x14ac:dyDescent="0.25">
      <c r="A29" s="346">
        <v>1200000106</v>
      </c>
      <c r="B29" s="268">
        <v>45338</v>
      </c>
      <c r="C29" s="189">
        <f t="shared" si="12"/>
        <v>626</v>
      </c>
      <c r="D29">
        <v>95833</v>
      </c>
      <c r="E29">
        <v>11956.61</v>
      </c>
      <c r="F29" s="176">
        <f t="shared" si="21"/>
        <v>107789.61</v>
      </c>
      <c r="G29" s="176">
        <f>VLOOKUP(A29,'Ref-Data'!A:J,10,FALSE)</f>
        <v>6.78</v>
      </c>
      <c r="H29" s="224">
        <f t="shared" si="22"/>
        <v>1.7138945927446954</v>
      </c>
      <c r="I29" s="224">
        <f t="shared" si="23"/>
        <v>0.89365787368813465</v>
      </c>
      <c r="J29" s="225">
        <f t="shared" si="24"/>
        <v>107789.61</v>
      </c>
      <c r="K29" s="225">
        <f t="shared" si="25"/>
        <v>96327.033678273292</v>
      </c>
      <c r="L29" s="226">
        <f>VLOOKUP($A29,'MacroPD-Cal'!$A:$L,5,FALSE)</f>
        <v>2.0181887000557244E-2</v>
      </c>
      <c r="M29" s="226">
        <f>VLOOKUP($A29,'MacroPD-Cal'!$A:$L,6,FALSE)</f>
        <v>4.4906672870860809E-2</v>
      </c>
      <c r="N29" s="226">
        <f>VLOOKUP($A29,'MacroPD-Cal'!$A:$L,7,FALSE)</f>
        <v>7.1631874074090218E-2</v>
      </c>
      <c r="O29" s="226">
        <f>VLOOKUP($A29,'MacroPD-Cal'!$A:$L,8,FALSE)</f>
        <v>0.10360000000000001</v>
      </c>
      <c r="P29" s="226">
        <f>VLOOKUP($A29,'MacroPD-Cal'!$A:$L,9,FALSE)</f>
        <v>0.15080000000000002</v>
      </c>
      <c r="Q29" s="226">
        <f>VLOOKUP($A29,'MacroPD-Cal'!$A:$L,10,FALSE)</f>
        <v>0.17730000000000001</v>
      </c>
      <c r="R29" s="226">
        <f t="shared" si="26"/>
        <v>0.13755554487251498</v>
      </c>
      <c r="S29" s="226">
        <f t="shared" si="27"/>
        <v>3.968560800149401E-3</v>
      </c>
      <c r="T29" s="176">
        <f t="shared" si="7"/>
        <v>1814084.6662467688</v>
      </c>
      <c r="U29" s="191">
        <f>VLOOKUP(A29,'Ref-Data'!A:N,14,FALSE)</f>
        <v>0.457881885879943</v>
      </c>
      <c r="V29" s="190">
        <f t="shared" si="18"/>
        <v>3296.4314853256228</v>
      </c>
      <c r="W29" s="190">
        <f t="shared" si="9"/>
        <v>167651.19285157672</v>
      </c>
      <c r="X29" s="190">
        <f t="shared" si="10"/>
        <v>225083.80317543499</v>
      </c>
      <c r="Y29" s="226">
        <f>VLOOKUP($A29,'MacroPD-Cal'!$A:$L,11,FALSE)</f>
        <v>0.2228</v>
      </c>
      <c r="Z29" s="226">
        <f>VLOOKUP($A29,'MacroPD-Cal'!$A:$L,12,FALSE)</f>
        <v>0.26419999999999999</v>
      </c>
      <c r="AA29" s="189">
        <f t="shared" si="11"/>
        <v>41</v>
      </c>
      <c r="AB29" s="227"/>
      <c r="AC29" s="176">
        <v>1</v>
      </c>
    </row>
    <row r="30" spans="1:29" x14ac:dyDescent="0.25">
      <c r="A30" s="346">
        <v>1200000106</v>
      </c>
      <c r="B30" s="268">
        <v>45369</v>
      </c>
      <c r="C30" s="189">
        <f t="shared" si="12"/>
        <v>657</v>
      </c>
      <c r="D30">
        <v>95833</v>
      </c>
      <c r="E30">
        <v>11386.86</v>
      </c>
      <c r="F30" s="176">
        <f t="shared" si="21"/>
        <v>107219.86</v>
      </c>
      <c r="G30" s="176">
        <f>VLOOKUP(A30,'Ref-Data'!A:J,10,FALSE)</f>
        <v>6.78</v>
      </c>
      <c r="H30" s="224">
        <f t="shared" si="22"/>
        <v>1.7987679671457906</v>
      </c>
      <c r="I30" s="224">
        <f t="shared" si="23"/>
        <v>0.88869605187457401</v>
      </c>
      <c r="J30" s="225">
        <f t="shared" si="24"/>
        <v>107219.86</v>
      </c>
      <c r="K30" s="225">
        <f t="shared" si="25"/>
        <v>95285.866264544558</v>
      </c>
      <c r="L30" s="226">
        <f>VLOOKUP($A30,'MacroPD-Cal'!$A:$L,5,FALSE)</f>
        <v>2.0181887000557244E-2</v>
      </c>
      <c r="M30" s="226">
        <f>VLOOKUP($A30,'MacroPD-Cal'!$A:$L,6,FALSE)</f>
        <v>4.4906672870860809E-2</v>
      </c>
      <c r="N30" s="226">
        <f>VLOOKUP($A30,'MacroPD-Cal'!$A:$L,7,FALSE)</f>
        <v>7.1631874074090218E-2</v>
      </c>
      <c r="O30" s="226">
        <f>VLOOKUP($A30,'MacroPD-Cal'!$A:$L,8,FALSE)</f>
        <v>0.10360000000000001</v>
      </c>
      <c r="P30" s="226">
        <f>VLOOKUP($A30,'MacroPD-Cal'!$A:$L,9,FALSE)</f>
        <v>0.15080000000000002</v>
      </c>
      <c r="Q30" s="226">
        <f>VLOOKUP($A30,'MacroPD-Cal'!$A:$L,10,FALSE)</f>
        <v>0.17730000000000001</v>
      </c>
      <c r="R30" s="226">
        <f t="shared" si="26"/>
        <v>0.1415059278815477</v>
      </c>
      <c r="S30" s="226">
        <f t="shared" si="27"/>
        <v>3.9503830090327208E-3</v>
      </c>
      <c r="T30" s="176">
        <f t="shared" si="7"/>
        <v>1717757.6325684956</v>
      </c>
      <c r="U30" s="191">
        <f>VLOOKUP(A30,'Ref-Data'!A:N,14,FALSE)</f>
        <v>0.457881885879943</v>
      </c>
      <c r="V30" s="190">
        <f t="shared" si="18"/>
        <v>3107.0951600607073</v>
      </c>
      <c r="W30" s="190">
        <f t="shared" si="9"/>
        <v>167651.19285157672</v>
      </c>
      <c r="X30" s="190">
        <f t="shared" si="10"/>
        <v>225083.80317543499</v>
      </c>
      <c r="Y30" s="226">
        <f>VLOOKUP($A30,'MacroPD-Cal'!$A:$L,11,FALSE)</f>
        <v>0.2228</v>
      </c>
      <c r="Z30" s="226">
        <f>VLOOKUP($A30,'MacroPD-Cal'!$A:$L,12,FALSE)</f>
        <v>0.26419999999999999</v>
      </c>
      <c r="AA30" s="189">
        <f t="shared" si="11"/>
        <v>41</v>
      </c>
      <c r="AB30" s="227"/>
      <c r="AC30" s="176">
        <v>1</v>
      </c>
    </row>
    <row r="31" spans="1:29" x14ac:dyDescent="0.25">
      <c r="A31" s="346">
        <v>1200000106</v>
      </c>
      <c r="B31" s="268">
        <v>45398</v>
      </c>
      <c r="C31" s="189">
        <f t="shared" si="12"/>
        <v>686</v>
      </c>
      <c r="D31">
        <v>95833</v>
      </c>
      <c r="E31">
        <v>10119.24</v>
      </c>
      <c r="F31" s="176">
        <f t="shared" si="21"/>
        <v>105952.24</v>
      </c>
      <c r="G31" s="176">
        <f>VLOOKUP(A31,'Ref-Data'!A:J,10,FALSE)</f>
        <v>6.78</v>
      </c>
      <c r="H31" s="224">
        <f t="shared" si="22"/>
        <v>1.8781656399726214</v>
      </c>
      <c r="I31" s="224">
        <f t="shared" si="23"/>
        <v>0.88407929118033779</v>
      </c>
      <c r="J31" s="225">
        <f t="shared" si="24"/>
        <v>105952.24</v>
      </c>
      <c r="K31" s="225">
        <f t="shared" si="25"/>
        <v>93670.18123816904</v>
      </c>
      <c r="L31" s="226">
        <f>VLOOKUP($A31,'MacroPD-Cal'!$A:$L,5,FALSE)</f>
        <v>2.0181887000557244E-2</v>
      </c>
      <c r="M31" s="226">
        <f>VLOOKUP($A31,'MacroPD-Cal'!$A:$L,6,FALSE)</f>
        <v>4.4906672870860809E-2</v>
      </c>
      <c r="N31" s="226">
        <f>VLOOKUP($A31,'MacroPD-Cal'!$A:$L,7,FALSE)</f>
        <v>7.1631874074090218E-2</v>
      </c>
      <c r="O31" s="226">
        <f>VLOOKUP($A31,'MacroPD-Cal'!$A:$L,8,FALSE)</f>
        <v>0.10360000000000001</v>
      </c>
      <c r="P31" s="226">
        <f>VLOOKUP($A31,'MacroPD-Cal'!$A:$L,9,FALSE)</f>
        <v>0.15080000000000002</v>
      </c>
      <c r="Q31" s="226">
        <f>VLOOKUP($A31,'MacroPD-Cal'!$A:$L,10,FALSE)</f>
        <v>0.17730000000000001</v>
      </c>
      <c r="R31" s="226">
        <f t="shared" si="26"/>
        <v>0.14518506475210646</v>
      </c>
      <c r="S31" s="226">
        <f t="shared" si="27"/>
        <v>3.6791368705587635E-3</v>
      </c>
      <c r="T31" s="176">
        <f t="shared" si="7"/>
        <v>1622471.7663039512</v>
      </c>
      <c r="U31" s="191">
        <f>VLOOKUP(A31,'Ref-Data'!A:N,14,FALSE)</f>
        <v>0.457881885879943</v>
      </c>
      <c r="V31" s="190">
        <f t="shared" si="18"/>
        <v>2733.2323710484629</v>
      </c>
      <c r="W31" s="190">
        <f t="shared" si="9"/>
        <v>167651.19285157672</v>
      </c>
      <c r="X31" s="190">
        <f t="shared" si="10"/>
        <v>225083.80317543499</v>
      </c>
      <c r="Y31" s="226">
        <f>VLOOKUP($A31,'MacroPD-Cal'!$A:$L,11,FALSE)</f>
        <v>0.2228</v>
      </c>
      <c r="Z31" s="226">
        <f>VLOOKUP($A31,'MacroPD-Cal'!$A:$L,12,FALSE)</f>
        <v>0.26419999999999999</v>
      </c>
      <c r="AA31" s="189">
        <f t="shared" si="11"/>
        <v>41</v>
      </c>
      <c r="AB31" s="227"/>
      <c r="AC31" s="176">
        <v>1</v>
      </c>
    </row>
    <row r="32" spans="1:29" x14ac:dyDescent="0.25">
      <c r="A32" s="346">
        <v>1200000106</v>
      </c>
      <c r="B32" s="268">
        <v>45428</v>
      </c>
      <c r="C32" s="189">
        <f t="shared" si="12"/>
        <v>716</v>
      </c>
      <c r="D32">
        <v>95833</v>
      </c>
      <c r="E32">
        <v>9916.7999999999993</v>
      </c>
      <c r="F32" s="176">
        <f t="shared" si="21"/>
        <v>105749.8</v>
      </c>
      <c r="G32" s="176">
        <f>VLOOKUP(A32,'Ref-Data'!A:J,10,FALSE)</f>
        <v>6.78</v>
      </c>
      <c r="H32" s="224">
        <f t="shared" si="22"/>
        <v>1.9603011635865846</v>
      </c>
      <c r="I32" s="224">
        <f t="shared" si="23"/>
        <v>0.87932856913539548</v>
      </c>
      <c r="J32" s="225">
        <f t="shared" si="24"/>
        <v>105749.8</v>
      </c>
      <c r="K32" s="225">
        <f t="shared" si="25"/>
        <v>92988.820320354251</v>
      </c>
      <c r="L32" s="226">
        <f>VLOOKUP($A32,'MacroPD-Cal'!$A:$L,5,FALSE)</f>
        <v>2.0181887000557244E-2</v>
      </c>
      <c r="M32" s="226">
        <f>VLOOKUP($A32,'MacroPD-Cal'!$A:$L,6,FALSE)</f>
        <v>4.4906672870860809E-2</v>
      </c>
      <c r="N32" s="226">
        <f>VLOOKUP($A32,'MacroPD-Cal'!$A:$L,7,FALSE)</f>
        <v>7.1631874074090218E-2</v>
      </c>
      <c r="O32" s="226">
        <f>VLOOKUP($A32,'MacroPD-Cal'!$A:$L,8,FALSE)</f>
        <v>0.10360000000000001</v>
      </c>
      <c r="P32" s="226">
        <f>VLOOKUP($A32,'MacroPD-Cal'!$A:$L,9,FALSE)</f>
        <v>0.15080000000000002</v>
      </c>
      <c r="Q32" s="226">
        <f>VLOOKUP($A32,'MacroPD-Cal'!$A:$L,10,FALSE)</f>
        <v>0.17730000000000001</v>
      </c>
      <c r="R32" s="226">
        <f t="shared" si="26"/>
        <v>0.14897447711010059</v>
      </c>
      <c r="S32" s="226">
        <f t="shared" si="27"/>
        <v>3.7894123579941263E-3</v>
      </c>
      <c r="T32" s="176">
        <f t="shared" si="7"/>
        <v>1528801.5850657821</v>
      </c>
      <c r="U32" s="191">
        <f>VLOOKUP(A32,'Ref-Data'!A:N,14,FALSE)</f>
        <v>0.457881885879943</v>
      </c>
      <c r="V32" s="190">
        <f t="shared" si="18"/>
        <v>2652.6286399089281</v>
      </c>
      <c r="W32" s="190">
        <f t="shared" si="9"/>
        <v>167651.19285157672</v>
      </c>
      <c r="X32" s="190">
        <f t="shared" si="10"/>
        <v>225083.80317543499</v>
      </c>
      <c r="Y32" s="226">
        <f>VLOOKUP($A32,'MacroPD-Cal'!$A:$L,11,FALSE)</f>
        <v>0.2228</v>
      </c>
      <c r="Z32" s="226">
        <f>VLOOKUP($A32,'MacroPD-Cal'!$A:$L,12,FALSE)</f>
        <v>0.26419999999999999</v>
      </c>
      <c r="AA32" s="189">
        <f t="shared" si="11"/>
        <v>41</v>
      </c>
      <c r="AB32" s="227"/>
      <c r="AC32" s="176">
        <v>1</v>
      </c>
    </row>
    <row r="33" spans="1:29" x14ac:dyDescent="0.25">
      <c r="A33" s="346">
        <v>1200000106</v>
      </c>
      <c r="B33" s="268">
        <v>45460</v>
      </c>
      <c r="C33" s="189">
        <f t="shared" si="12"/>
        <v>748</v>
      </c>
      <c r="D33">
        <v>95833</v>
      </c>
      <c r="E33">
        <v>9989.81</v>
      </c>
      <c r="F33" s="176">
        <f t="shared" si="21"/>
        <v>105822.81</v>
      </c>
      <c r="G33" s="176">
        <f>VLOOKUP(A33,'Ref-Data'!A:J,10,FALSE)</f>
        <v>6.78</v>
      </c>
      <c r="H33" s="224">
        <f t="shared" si="22"/>
        <v>2.0479123887748116</v>
      </c>
      <c r="I33" s="224">
        <f t="shared" si="23"/>
        <v>0.8742892671798711</v>
      </c>
      <c r="J33" s="225">
        <f t="shared" si="24"/>
        <v>105822.81</v>
      </c>
      <c r="K33" s="225">
        <f t="shared" si="25"/>
        <v>92519.74700581473</v>
      </c>
      <c r="L33" s="226">
        <f>VLOOKUP($A33,'MacroPD-Cal'!$A:$L,5,FALSE)</f>
        <v>2.0181887000557244E-2</v>
      </c>
      <c r="M33" s="226">
        <f>VLOOKUP($A33,'MacroPD-Cal'!$A:$L,6,FALSE)</f>
        <v>4.4906672870860809E-2</v>
      </c>
      <c r="N33" s="226">
        <f>VLOOKUP($A33,'MacroPD-Cal'!$A:$L,7,FALSE)</f>
        <v>7.1631874074090218E-2</v>
      </c>
      <c r="O33" s="226">
        <f>VLOOKUP($A33,'MacroPD-Cal'!$A:$L,8,FALSE)</f>
        <v>0.10360000000000001</v>
      </c>
      <c r="P33" s="226">
        <f>VLOOKUP($A33,'MacroPD-Cal'!$A:$L,9,FALSE)</f>
        <v>0.15080000000000002</v>
      </c>
      <c r="Q33" s="226">
        <f>VLOOKUP($A33,'MacroPD-Cal'!$A:$L,10,FALSE)</f>
        <v>0.17730000000000001</v>
      </c>
      <c r="R33" s="226">
        <f t="shared" si="26"/>
        <v>0.15208893185108163</v>
      </c>
      <c r="S33" s="226">
        <f t="shared" si="27"/>
        <v>3.114454740981043E-3</v>
      </c>
      <c r="T33" s="176">
        <f t="shared" si="7"/>
        <v>1435812.7647454278</v>
      </c>
      <c r="U33" s="191">
        <f>VLOOKUP(A33,'Ref-Data'!A:N,14,FALSE)</f>
        <v>0.457881885879943</v>
      </c>
      <c r="V33" s="190">
        <f t="shared" si="18"/>
        <v>2047.54425388768</v>
      </c>
      <c r="W33" s="190">
        <f t="shared" si="9"/>
        <v>167651.19285157672</v>
      </c>
      <c r="X33" s="190">
        <f t="shared" si="10"/>
        <v>225083.80317543499</v>
      </c>
      <c r="Y33" s="226">
        <f>VLOOKUP($A33,'MacroPD-Cal'!$A:$L,11,FALSE)</f>
        <v>0.2228</v>
      </c>
      <c r="Z33" s="226">
        <f>VLOOKUP($A33,'MacroPD-Cal'!$A:$L,12,FALSE)</f>
        <v>0.26419999999999999</v>
      </c>
      <c r="AA33" s="189">
        <f t="shared" si="11"/>
        <v>41</v>
      </c>
      <c r="AB33" s="227"/>
      <c r="AC33" s="176">
        <v>1</v>
      </c>
    </row>
    <row r="34" spans="1:29" x14ac:dyDescent="0.25">
      <c r="A34" s="346">
        <v>1200000106</v>
      </c>
      <c r="B34" s="268">
        <v>45489</v>
      </c>
      <c r="C34" s="189">
        <f t="shared" si="12"/>
        <v>777</v>
      </c>
      <c r="D34">
        <v>95833</v>
      </c>
      <c r="E34">
        <v>8520.27</v>
      </c>
      <c r="F34" s="176">
        <f t="shared" si="21"/>
        <v>104353.27</v>
      </c>
      <c r="G34" s="176">
        <f>VLOOKUP(A34,'Ref-Data'!A:J,10,FALSE)</f>
        <v>6.78</v>
      </c>
      <c r="H34" s="224">
        <f t="shared" si="22"/>
        <v>2.1273100616016429</v>
      </c>
      <c r="I34" s="224">
        <f t="shared" si="23"/>
        <v>0.8697473494841701</v>
      </c>
      <c r="J34" s="225">
        <f t="shared" si="24"/>
        <v>104353.27</v>
      </c>
      <c r="K34" s="225">
        <f t="shared" si="25"/>
        <v>90760.979992505963</v>
      </c>
      <c r="L34" s="226">
        <f>VLOOKUP($A34,'MacroPD-Cal'!$A:$L,5,FALSE)</f>
        <v>2.0181887000557244E-2</v>
      </c>
      <c r="M34" s="226">
        <f>VLOOKUP($A34,'MacroPD-Cal'!$A:$L,6,FALSE)</f>
        <v>4.4906672870860809E-2</v>
      </c>
      <c r="N34" s="226">
        <f>VLOOKUP($A34,'MacroPD-Cal'!$A:$L,7,FALSE)</f>
        <v>7.1631874074090218E-2</v>
      </c>
      <c r="O34" s="226">
        <f>VLOOKUP($A34,'MacroPD-Cal'!$A:$L,8,FALSE)</f>
        <v>0.10360000000000001</v>
      </c>
      <c r="P34" s="226">
        <f>VLOOKUP($A34,'MacroPD-Cal'!$A:$L,9,FALSE)</f>
        <v>0.15080000000000002</v>
      </c>
      <c r="Q34" s="226">
        <f>VLOOKUP($A34,'MacroPD-Cal'!$A:$L,10,FALSE)</f>
        <v>0.17730000000000001</v>
      </c>
      <c r="R34" s="226">
        <f t="shared" si="26"/>
        <v>0.15422057029618885</v>
      </c>
      <c r="S34" s="226">
        <f t="shared" si="27"/>
        <v>2.1316384451072201E-3</v>
      </c>
      <c r="T34" s="176">
        <f t="shared" ref="T34:T65" si="28">SUMIFS(K:K,A:A,A34,H:H,"&gt;="&amp;H34)</f>
        <v>1343293.0177396133</v>
      </c>
      <c r="U34" s="191">
        <f>VLOOKUP(A34,'Ref-Data'!A:N,14,FALSE)</f>
        <v>0.457881885879943</v>
      </c>
      <c r="V34" s="190">
        <f t="shared" si="18"/>
        <v>1311.1058784155302</v>
      </c>
      <c r="W34" s="190">
        <f t="shared" ref="W34:W65" si="29">IF(COUNTIF(A:A, A34)=1, V34, SUMIFS(V:V,A:A,A34,H:H,"&lt;=1"))</f>
        <v>167651.19285157672</v>
      </c>
      <c r="X34" s="190">
        <f t="shared" ref="X34:X65" si="30">SUMIF(A:A,A34,V:V)</f>
        <v>225083.80317543499</v>
      </c>
      <c r="Y34" s="226">
        <f>VLOOKUP($A34,'MacroPD-Cal'!$A:$L,11,FALSE)</f>
        <v>0.2228</v>
      </c>
      <c r="Z34" s="226">
        <f>VLOOKUP($A34,'MacroPD-Cal'!$A:$L,12,FALSE)</f>
        <v>0.26419999999999999</v>
      </c>
      <c r="AA34" s="189">
        <f t="shared" ref="AA34:AA65" si="31">COUNTIF(A:A,A34)</f>
        <v>41</v>
      </c>
      <c r="AB34" s="227"/>
      <c r="AC34" s="176">
        <v>1</v>
      </c>
    </row>
    <row r="35" spans="1:29" x14ac:dyDescent="0.25">
      <c r="A35" s="346">
        <v>1200000106</v>
      </c>
      <c r="B35" s="268">
        <v>45520</v>
      </c>
      <c r="C35" s="189">
        <f t="shared" si="12"/>
        <v>808</v>
      </c>
      <c r="D35">
        <v>95833</v>
      </c>
      <c r="E35">
        <v>8538.1200000000008</v>
      </c>
      <c r="F35" s="176">
        <f t="shared" si="21"/>
        <v>104371.12</v>
      </c>
      <c r="G35" s="176">
        <f>VLOOKUP(A35,'Ref-Data'!A:J,10,FALSE)</f>
        <v>6.78</v>
      </c>
      <c r="H35" s="224">
        <f t="shared" si="22"/>
        <v>2.2121834360027379</v>
      </c>
      <c r="I35" s="224">
        <f t="shared" si="23"/>
        <v>0.86491828514308533</v>
      </c>
      <c r="J35" s="225">
        <f t="shared" si="24"/>
        <v>104371.12</v>
      </c>
      <c r="K35" s="225">
        <f t="shared" si="25"/>
        <v>90272.490128863166</v>
      </c>
      <c r="L35" s="226">
        <f>VLOOKUP($A35,'MacroPD-Cal'!$A:$L,5,FALSE)</f>
        <v>2.0181887000557244E-2</v>
      </c>
      <c r="M35" s="226">
        <f>VLOOKUP($A35,'MacroPD-Cal'!$A:$L,6,FALSE)</f>
        <v>4.4906672870860809E-2</v>
      </c>
      <c r="N35" s="226">
        <f>VLOOKUP($A35,'MacroPD-Cal'!$A:$L,7,FALSE)</f>
        <v>7.1631874074090218E-2</v>
      </c>
      <c r="O35" s="226">
        <f>VLOOKUP($A35,'MacroPD-Cal'!$A:$L,8,FALSE)</f>
        <v>0.10360000000000001</v>
      </c>
      <c r="P35" s="226">
        <f>VLOOKUP($A35,'MacroPD-Cal'!$A:$L,9,FALSE)</f>
        <v>0.15080000000000002</v>
      </c>
      <c r="Q35" s="226">
        <f>VLOOKUP($A35,'MacroPD-Cal'!$A:$L,10,FALSE)</f>
        <v>0.17730000000000001</v>
      </c>
      <c r="R35" s="226">
        <f t="shared" si="26"/>
        <v>0.15649329260339917</v>
      </c>
      <c r="S35" s="226">
        <f t="shared" si="27"/>
        <v>2.2727223072103175E-3</v>
      </c>
      <c r="T35" s="176">
        <f t="shared" si="28"/>
        <v>1252532.0377471072</v>
      </c>
      <c r="U35" s="191">
        <f>VLOOKUP(A35,'Ref-Data'!A:N,14,FALSE)</f>
        <v>0.457881885879943</v>
      </c>
      <c r="V35" s="190">
        <f t="shared" si="18"/>
        <v>1303.4329057829852</v>
      </c>
      <c r="W35" s="190">
        <f t="shared" si="29"/>
        <v>167651.19285157672</v>
      </c>
      <c r="X35" s="190">
        <f t="shared" si="30"/>
        <v>225083.80317543499</v>
      </c>
      <c r="Y35" s="226">
        <f>VLOOKUP($A35,'MacroPD-Cal'!$A:$L,11,FALSE)</f>
        <v>0.2228</v>
      </c>
      <c r="Z35" s="226">
        <f>VLOOKUP($A35,'MacroPD-Cal'!$A:$L,12,FALSE)</f>
        <v>0.26419999999999999</v>
      </c>
      <c r="AA35" s="189">
        <f t="shared" si="31"/>
        <v>41</v>
      </c>
      <c r="AB35" s="227"/>
      <c r="AC35" s="176">
        <v>1</v>
      </c>
    </row>
    <row r="36" spans="1:29" x14ac:dyDescent="0.25">
      <c r="A36" s="346">
        <v>1200000106</v>
      </c>
      <c r="B36" s="268">
        <v>45551</v>
      </c>
      <c r="C36" s="189">
        <f t="shared" si="12"/>
        <v>839</v>
      </c>
      <c r="D36">
        <v>95833</v>
      </c>
      <c r="E36">
        <v>7968.39</v>
      </c>
      <c r="F36" s="176">
        <f t="shared" si="21"/>
        <v>103801.39</v>
      </c>
      <c r="G36" s="176">
        <f>VLOOKUP(A36,'Ref-Data'!A:J,10,FALSE)</f>
        <v>6.78</v>
      </c>
      <c r="H36" s="224">
        <f t="shared" si="22"/>
        <v>2.2970568104038329</v>
      </c>
      <c r="I36" s="224">
        <f t="shared" si="23"/>
        <v>0.86011603302790063</v>
      </c>
      <c r="J36" s="225">
        <f t="shared" si="24"/>
        <v>103801.39</v>
      </c>
      <c r="K36" s="225">
        <f t="shared" si="25"/>
        <v>89281.239789581989</v>
      </c>
      <c r="L36" s="226">
        <f>VLOOKUP($A36,'MacroPD-Cal'!$A:$L,5,FALSE)</f>
        <v>2.0181887000557244E-2</v>
      </c>
      <c r="M36" s="226">
        <f>VLOOKUP($A36,'MacroPD-Cal'!$A:$L,6,FALSE)</f>
        <v>4.4906672870860809E-2</v>
      </c>
      <c r="N36" s="226">
        <f>VLOOKUP($A36,'MacroPD-Cal'!$A:$L,7,FALSE)</f>
        <v>7.1631874074090218E-2</v>
      </c>
      <c r="O36" s="226">
        <f>VLOOKUP($A36,'MacroPD-Cal'!$A:$L,8,FALSE)</f>
        <v>0.10360000000000001</v>
      </c>
      <c r="P36" s="226">
        <f>VLOOKUP($A36,'MacroPD-Cal'!$A:$L,9,FALSE)</f>
        <v>0.15080000000000002</v>
      </c>
      <c r="Q36" s="226">
        <f>VLOOKUP($A36,'MacroPD-Cal'!$A:$L,10,FALSE)</f>
        <v>0.17730000000000001</v>
      </c>
      <c r="R36" s="226">
        <f t="shared" si="26"/>
        <v>0.15875990780217875</v>
      </c>
      <c r="S36" s="226">
        <f t="shared" si="27"/>
        <v>2.2666151987795757E-3</v>
      </c>
      <c r="T36" s="176">
        <f t="shared" si="28"/>
        <v>1162259.5476182441</v>
      </c>
      <c r="U36" s="191">
        <f>VLOOKUP(A36,'Ref-Data'!A:N,14,FALSE)</f>
        <v>0.457881885879943</v>
      </c>
      <c r="V36" s="190">
        <f t="shared" si="18"/>
        <v>1206.2418219799681</v>
      </c>
      <c r="W36" s="190">
        <f t="shared" si="29"/>
        <v>167651.19285157672</v>
      </c>
      <c r="X36" s="190">
        <f t="shared" si="30"/>
        <v>225083.80317543499</v>
      </c>
      <c r="Y36" s="226">
        <f>VLOOKUP($A36,'MacroPD-Cal'!$A:$L,11,FALSE)</f>
        <v>0.2228</v>
      </c>
      <c r="Z36" s="226">
        <f>VLOOKUP($A36,'MacroPD-Cal'!$A:$L,12,FALSE)</f>
        <v>0.26419999999999999</v>
      </c>
      <c r="AA36" s="189">
        <f t="shared" si="31"/>
        <v>41</v>
      </c>
      <c r="AB36" s="227"/>
      <c r="AC36" s="176">
        <v>1</v>
      </c>
    </row>
    <row r="37" spans="1:29" x14ac:dyDescent="0.25">
      <c r="A37" s="346">
        <v>1200000106</v>
      </c>
      <c r="B37" s="268">
        <v>45581</v>
      </c>
      <c r="C37" s="189">
        <f t="shared" si="12"/>
        <v>869</v>
      </c>
      <c r="D37">
        <v>95833</v>
      </c>
      <c r="E37">
        <v>7159.96</v>
      </c>
      <c r="F37" s="176">
        <f t="shared" si="21"/>
        <v>102992.96000000001</v>
      </c>
      <c r="G37" s="176">
        <f>VLOOKUP(A37,'Ref-Data'!A:J,10,FALSE)</f>
        <v>6.78</v>
      </c>
      <c r="H37" s="224">
        <f t="shared" si="22"/>
        <v>2.3791923340177958</v>
      </c>
      <c r="I37" s="224">
        <f t="shared" si="23"/>
        <v>0.85549408085677969</v>
      </c>
      <c r="J37" s="225">
        <f t="shared" si="24"/>
        <v>102992.96000000001</v>
      </c>
      <c r="K37" s="225">
        <f t="shared" si="25"/>
        <v>88109.867649919077</v>
      </c>
      <c r="L37" s="226">
        <f>VLOOKUP($A37,'MacroPD-Cal'!$A:$L,5,FALSE)</f>
        <v>2.0181887000557244E-2</v>
      </c>
      <c r="M37" s="226">
        <f>VLOOKUP($A37,'MacroPD-Cal'!$A:$L,6,FALSE)</f>
        <v>4.4906672870860809E-2</v>
      </c>
      <c r="N37" s="226">
        <f>VLOOKUP($A37,'MacroPD-Cal'!$A:$L,7,FALSE)</f>
        <v>7.1631874074090218E-2</v>
      </c>
      <c r="O37" s="226">
        <f>VLOOKUP($A37,'MacroPD-Cal'!$A:$L,8,FALSE)</f>
        <v>0.10360000000000001</v>
      </c>
      <c r="P37" s="226">
        <f>VLOOKUP($A37,'MacroPD-Cal'!$A:$L,9,FALSE)</f>
        <v>0.15080000000000002</v>
      </c>
      <c r="Q37" s="226">
        <f>VLOOKUP($A37,'MacroPD-Cal'!$A:$L,10,FALSE)</f>
        <v>0.17730000000000001</v>
      </c>
      <c r="R37" s="226">
        <f t="shared" si="26"/>
        <v>0.16094760705839872</v>
      </c>
      <c r="S37" s="226">
        <f t="shared" si="27"/>
        <v>2.1876992562199771E-3</v>
      </c>
      <c r="T37" s="176">
        <f t="shared" si="28"/>
        <v>1072978.3078286622</v>
      </c>
      <c r="U37" s="191">
        <f>VLOOKUP(A37,'Ref-Data'!A:N,14,FALSE)</f>
        <v>0.457881885879943</v>
      </c>
      <c r="V37" s="190">
        <f t="shared" si="18"/>
        <v>1074.8108058234557</v>
      </c>
      <c r="W37" s="190">
        <f t="shared" si="29"/>
        <v>167651.19285157672</v>
      </c>
      <c r="X37" s="190">
        <f t="shared" si="30"/>
        <v>225083.80317543499</v>
      </c>
      <c r="Y37" s="226">
        <f>VLOOKUP($A37,'MacroPD-Cal'!$A:$L,11,FALSE)</f>
        <v>0.2228</v>
      </c>
      <c r="Z37" s="226">
        <f>VLOOKUP($A37,'MacroPD-Cal'!$A:$L,12,FALSE)</f>
        <v>0.26419999999999999</v>
      </c>
      <c r="AA37" s="189">
        <f t="shared" si="31"/>
        <v>41</v>
      </c>
      <c r="AB37" s="227"/>
      <c r="AC37" s="176">
        <v>1</v>
      </c>
    </row>
    <row r="38" spans="1:29" x14ac:dyDescent="0.25">
      <c r="A38" s="346">
        <v>1200000106</v>
      </c>
      <c r="B38" s="268">
        <v>45614</v>
      </c>
      <c r="C38" s="189">
        <f t="shared" si="12"/>
        <v>902</v>
      </c>
      <c r="D38">
        <v>95833</v>
      </c>
      <c r="E38">
        <v>7269.46</v>
      </c>
      <c r="F38" s="176">
        <f t="shared" si="21"/>
        <v>103102.46</v>
      </c>
      <c r="G38" s="176">
        <f>VLOOKUP(A38,'Ref-Data'!A:J,10,FALSE)</f>
        <v>6.78</v>
      </c>
      <c r="H38" s="224">
        <f t="shared" si="22"/>
        <v>2.4695414099931554</v>
      </c>
      <c r="I38" s="224">
        <f t="shared" si="23"/>
        <v>0.85043861470978654</v>
      </c>
      <c r="J38" s="225">
        <f t="shared" si="24"/>
        <v>103102.46</v>
      </c>
      <c r="K38" s="225">
        <f t="shared" si="25"/>
        <v>87682.313255571178</v>
      </c>
      <c r="L38" s="226">
        <f>VLOOKUP($A38,'MacroPD-Cal'!$A:$L,5,FALSE)</f>
        <v>2.0181887000557244E-2</v>
      </c>
      <c r="M38" s="226">
        <f>VLOOKUP($A38,'MacroPD-Cal'!$A:$L,6,FALSE)</f>
        <v>4.4906672870860809E-2</v>
      </c>
      <c r="N38" s="226">
        <f>VLOOKUP($A38,'MacroPD-Cal'!$A:$L,7,FALSE)</f>
        <v>7.1631874074090218E-2</v>
      </c>
      <c r="O38" s="226">
        <f>VLOOKUP($A38,'MacroPD-Cal'!$A:$L,8,FALSE)</f>
        <v>0.10360000000000001</v>
      </c>
      <c r="P38" s="226">
        <f>VLOOKUP($A38,'MacroPD-Cal'!$A:$L,9,FALSE)</f>
        <v>0.15080000000000002</v>
      </c>
      <c r="Q38" s="226">
        <f>VLOOKUP($A38,'MacroPD-Cal'!$A:$L,10,FALSE)</f>
        <v>0.17730000000000001</v>
      </c>
      <c r="R38" s="226">
        <f t="shared" si="26"/>
        <v>0.16334750572254153</v>
      </c>
      <c r="S38" s="226">
        <f t="shared" si="27"/>
        <v>2.3998986641428077E-3</v>
      </c>
      <c r="T38" s="176">
        <f t="shared" si="28"/>
        <v>984868.44017874287</v>
      </c>
      <c r="U38" s="191">
        <f>VLOOKUP(A38,'Ref-Data'!A:N,14,FALSE)</f>
        <v>0.457881885879943</v>
      </c>
      <c r="V38" s="190">
        <f t="shared" si="18"/>
        <v>1082.2425072071924</v>
      </c>
      <c r="W38" s="190">
        <f t="shared" si="29"/>
        <v>167651.19285157672</v>
      </c>
      <c r="X38" s="190">
        <f t="shared" si="30"/>
        <v>225083.80317543499</v>
      </c>
      <c r="Y38" s="226">
        <f>VLOOKUP($A38,'MacroPD-Cal'!$A:$L,11,FALSE)</f>
        <v>0.2228</v>
      </c>
      <c r="Z38" s="226">
        <f>VLOOKUP($A38,'MacroPD-Cal'!$A:$L,12,FALSE)</f>
        <v>0.26419999999999999</v>
      </c>
      <c r="AA38" s="189">
        <f t="shared" si="31"/>
        <v>41</v>
      </c>
      <c r="AB38" s="227"/>
      <c r="AC38" s="176">
        <v>1</v>
      </c>
    </row>
    <row r="39" spans="1:29" x14ac:dyDescent="0.25">
      <c r="A39" s="346">
        <v>1200000106</v>
      </c>
      <c r="B39" s="268">
        <v>45642</v>
      </c>
      <c r="C39" s="189">
        <f t="shared" si="12"/>
        <v>930</v>
      </c>
      <c r="D39">
        <v>95833</v>
      </c>
      <c r="E39">
        <v>5653.42</v>
      </c>
      <c r="F39" s="176">
        <f t="shared" si="21"/>
        <v>101486.42</v>
      </c>
      <c r="G39" s="176">
        <f>VLOOKUP(A39,'Ref-Data'!A:J,10,FALSE)</f>
        <v>6.78</v>
      </c>
      <c r="H39" s="224">
        <f t="shared" si="22"/>
        <v>2.5462012320328542</v>
      </c>
      <c r="I39" s="224">
        <f t="shared" si="23"/>
        <v>0.84617256329586243</v>
      </c>
      <c r="J39" s="225">
        <f t="shared" si="24"/>
        <v>101486.42</v>
      </c>
      <c r="K39" s="225">
        <f t="shared" si="25"/>
        <v>85875.02415112048</v>
      </c>
      <c r="L39" s="226">
        <f>VLOOKUP($A39,'MacroPD-Cal'!$A:$L,5,FALSE)</f>
        <v>2.0181887000557244E-2</v>
      </c>
      <c r="M39" s="226">
        <f>VLOOKUP($A39,'MacroPD-Cal'!$A:$L,6,FALSE)</f>
        <v>4.4906672870860809E-2</v>
      </c>
      <c r="N39" s="226">
        <f>VLOOKUP($A39,'MacroPD-Cal'!$A:$L,7,FALSE)</f>
        <v>7.1631874074090218E-2</v>
      </c>
      <c r="O39" s="226">
        <f>VLOOKUP($A39,'MacroPD-Cal'!$A:$L,8,FALSE)</f>
        <v>0.10360000000000001</v>
      </c>
      <c r="P39" s="226">
        <f>VLOOKUP($A39,'MacroPD-Cal'!$A:$L,9,FALSE)</f>
        <v>0.15080000000000002</v>
      </c>
      <c r="Q39" s="226">
        <f>VLOOKUP($A39,'MacroPD-Cal'!$A:$L,10,FALSE)</f>
        <v>0.17730000000000001</v>
      </c>
      <c r="R39" s="226">
        <f t="shared" si="26"/>
        <v>0.16537839956971956</v>
      </c>
      <c r="S39" s="226">
        <f t="shared" si="27"/>
        <v>2.030893847178028E-3</v>
      </c>
      <c r="T39" s="176">
        <f t="shared" si="28"/>
        <v>897186.1269231718</v>
      </c>
      <c r="U39" s="191">
        <f>VLOOKUP(A39,'Ref-Data'!A:N,14,FALSE)</f>
        <v>0.457881885879943</v>
      </c>
      <c r="V39" s="190">
        <f t="shared" si="18"/>
        <v>834.30190697171054</v>
      </c>
      <c r="W39" s="190">
        <f t="shared" si="29"/>
        <v>167651.19285157672</v>
      </c>
      <c r="X39" s="190">
        <f t="shared" si="30"/>
        <v>225083.80317543499</v>
      </c>
      <c r="Y39" s="226">
        <f>VLOOKUP($A39,'MacroPD-Cal'!$A:$L,11,FALSE)</f>
        <v>0.2228</v>
      </c>
      <c r="Z39" s="226">
        <f>VLOOKUP($A39,'MacroPD-Cal'!$A:$L,12,FALSE)</f>
        <v>0.26419999999999999</v>
      </c>
      <c r="AA39" s="189">
        <f t="shared" si="31"/>
        <v>41</v>
      </c>
      <c r="AB39" s="227"/>
      <c r="AC39" s="176">
        <v>1</v>
      </c>
    </row>
    <row r="40" spans="1:29" x14ac:dyDescent="0.25">
      <c r="A40" s="346">
        <v>1200000106</v>
      </c>
      <c r="B40" s="268">
        <v>45673</v>
      </c>
      <c r="C40" s="189">
        <f t="shared" si="12"/>
        <v>961</v>
      </c>
      <c r="D40">
        <v>95833</v>
      </c>
      <c r="E40">
        <v>5689.39</v>
      </c>
      <c r="F40" s="176">
        <f t="shared" si="21"/>
        <v>101522.39</v>
      </c>
      <c r="G40" s="176">
        <f>VLOOKUP(A40,'Ref-Data'!A:J,10,FALSE)</f>
        <v>6.78</v>
      </c>
      <c r="H40" s="224">
        <f t="shared" si="22"/>
        <v>2.6310746064339492</v>
      </c>
      <c r="I40" s="224">
        <f t="shared" si="23"/>
        <v>0.84147439232214249</v>
      </c>
      <c r="J40" s="225">
        <f t="shared" si="24"/>
        <v>101522.39</v>
      </c>
      <c r="K40" s="225">
        <f t="shared" si="25"/>
        <v>85428.491432341558</v>
      </c>
      <c r="L40" s="226">
        <f>VLOOKUP($A40,'MacroPD-Cal'!$A:$L,5,FALSE)</f>
        <v>2.0181887000557244E-2</v>
      </c>
      <c r="M40" s="226">
        <f>VLOOKUP($A40,'MacroPD-Cal'!$A:$L,6,FALSE)</f>
        <v>4.4906672870860809E-2</v>
      </c>
      <c r="N40" s="226">
        <f>VLOOKUP($A40,'MacroPD-Cal'!$A:$L,7,FALSE)</f>
        <v>7.1631874074090218E-2</v>
      </c>
      <c r="O40" s="226">
        <f>VLOOKUP($A40,'MacroPD-Cal'!$A:$L,8,FALSE)</f>
        <v>0.10360000000000001</v>
      </c>
      <c r="P40" s="226">
        <f>VLOOKUP($A40,'MacroPD-Cal'!$A:$L,9,FALSE)</f>
        <v>0.15080000000000002</v>
      </c>
      <c r="Q40" s="226">
        <f>VLOOKUP($A40,'MacroPD-Cal'!$A:$L,10,FALSE)</f>
        <v>0.17730000000000001</v>
      </c>
      <c r="R40" s="226">
        <f t="shared" si="26"/>
        <v>0.16762113929920397</v>
      </c>
      <c r="S40" s="226">
        <f t="shared" si="27"/>
        <v>2.2427397294844109E-3</v>
      </c>
      <c r="T40" s="176">
        <f t="shared" si="28"/>
        <v>811311.10277205124</v>
      </c>
      <c r="U40" s="191">
        <f>VLOOKUP(A40,'Ref-Data'!A:N,14,FALSE)</f>
        <v>0.457881885879943</v>
      </c>
      <c r="V40" s="190">
        <f t="shared" si="18"/>
        <v>833.14340088053677</v>
      </c>
      <c r="W40" s="190">
        <f t="shared" si="29"/>
        <v>167651.19285157672</v>
      </c>
      <c r="X40" s="190">
        <f t="shared" si="30"/>
        <v>225083.80317543499</v>
      </c>
      <c r="Y40" s="226">
        <f>VLOOKUP($A40,'MacroPD-Cal'!$A:$L,11,FALSE)</f>
        <v>0.2228</v>
      </c>
      <c r="Z40" s="226">
        <f>VLOOKUP($A40,'MacroPD-Cal'!$A:$L,12,FALSE)</f>
        <v>0.26419999999999999</v>
      </c>
      <c r="AA40" s="189">
        <f t="shared" si="31"/>
        <v>41</v>
      </c>
      <c r="AB40" s="227"/>
      <c r="AC40" s="176">
        <v>1</v>
      </c>
    </row>
    <row r="41" spans="1:29" x14ac:dyDescent="0.25">
      <c r="A41" s="346">
        <v>1200000106</v>
      </c>
      <c r="B41" s="268">
        <v>45705</v>
      </c>
      <c r="C41" s="189">
        <f t="shared" si="12"/>
        <v>993</v>
      </c>
      <c r="D41">
        <v>95833</v>
      </c>
      <c r="E41">
        <v>5284.8</v>
      </c>
      <c r="F41" s="176">
        <f t="shared" si="21"/>
        <v>101117.8</v>
      </c>
      <c r="G41" s="176">
        <f>VLOOKUP(A41,'Ref-Data'!A:J,10,FALSE)</f>
        <v>6.78</v>
      </c>
      <c r="H41" s="224">
        <f t="shared" si="22"/>
        <v>2.7186858316221767</v>
      </c>
      <c r="I41" s="224">
        <f t="shared" si="23"/>
        <v>0.8366520270543768</v>
      </c>
      <c r="J41" s="225">
        <f t="shared" si="24"/>
        <v>101117.8</v>
      </c>
      <c r="K41" s="225">
        <f t="shared" si="25"/>
        <v>84600.412341279065</v>
      </c>
      <c r="L41" s="226">
        <f>VLOOKUP($A41,'MacroPD-Cal'!$A:$L,5,FALSE)</f>
        <v>2.0181887000557244E-2</v>
      </c>
      <c r="M41" s="226">
        <f>VLOOKUP($A41,'MacroPD-Cal'!$A:$L,6,FALSE)</f>
        <v>4.4906672870860809E-2</v>
      </c>
      <c r="N41" s="226">
        <f>VLOOKUP($A41,'MacroPD-Cal'!$A:$L,7,FALSE)</f>
        <v>7.1631874074090218E-2</v>
      </c>
      <c r="O41" s="226">
        <f>VLOOKUP($A41,'MacroPD-Cal'!$A:$L,8,FALSE)</f>
        <v>0.10360000000000001</v>
      </c>
      <c r="P41" s="226">
        <f>VLOOKUP($A41,'MacroPD-Cal'!$A:$L,9,FALSE)</f>
        <v>0.15080000000000002</v>
      </c>
      <c r="Q41" s="226">
        <f>VLOOKUP($A41,'MacroPD-Cal'!$A:$L,10,FALSE)</f>
        <v>0.17730000000000001</v>
      </c>
      <c r="R41" s="226">
        <f t="shared" si="26"/>
        <v>0.16992990437070965</v>
      </c>
      <c r="S41" s="226">
        <f t="shared" si="27"/>
        <v>2.3087650715056807E-3</v>
      </c>
      <c r="T41" s="176">
        <f t="shared" si="28"/>
        <v>725882.61133970972</v>
      </c>
      <c r="U41" s="191">
        <f>VLOOKUP(A41,'Ref-Data'!A:N,14,FALSE)</f>
        <v>0.457881885879943</v>
      </c>
      <c r="V41" s="190">
        <f t="shared" si="18"/>
        <v>767.36078137771131</v>
      </c>
      <c r="W41" s="190">
        <f t="shared" si="29"/>
        <v>167651.19285157672</v>
      </c>
      <c r="X41" s="190">
        <f t="shared" si="30"/>
        <v>225083.80317543499</v>
      </c>
      <c r="Y41" s="226">
        <f>VLOOKUP($A41,'MacroPD-Cal'!$A:$L,11,FALSE)</f>
        <v>0.2228</v>
      </c>
      <c r="Z41" s="226">
        <f>VLOOKUP($A41,'MacroPD-Cal'!$A:$L,12,FALSE)</f>
        <v>0.26419999999999999</v>
      </c>
      <c r="AA41" s="189">
        <f t="shared" si="31"/>
        <v>41</v>
      </c>
      <c r="AB41" s="227"/>
      <c r="AC41" s="176">
        <v>1</v>
      </c>
    </row>
    <row r="42" spans="1:29" x14ac:dyDescent="0.25">
      <c r="A42" s="346">
        <v>1200000106</v>
      </c>
      <c r="B42" s="268">
        <v>45733</v>
      </c>
      <c r="C42" s="189">
        <f t="shared" si="12"/>
        <v>1021</v>
      </c>
      <c r="D42">
        <v>95833</v>
      </c>
      <c r="E42">
        <v>4109.59</v>
      </c>
      <c r="F42" s="176">
        <f t="shared" si="21"/>
        <v>99942.59</v>
      </c>
      <c r="G42" s="176">
        <f>VLOOKUP(A42,'Ref-Data'!A:J,10,FALSE)</f>
        <v>6.78</v>
      </c>
      <c r="H42" s="224">
        <f t="shared" si="22"/>
        <v>2.7953456536618755</v>
      </c>
      <c r="I42" s="224">
        <f t="shared" si="23"/>
        <v>0.83245513323835951</v>
      </c>
      <c r="J42" s="225">
        <f t="shared" si="24"/>
        <v>99942.59</v>
      </c>
      <c r="K42" s="225">
        <f t="shared" si="25"/>
        <v>83197.722074636738</v>
      </c>
      <c r="L42" s="226">
        <f>VLOOKUP($A42,'MacroPD-Cal'!$A:$L,5,FALSE)</f>
        <v>2.0181887000557244E-2</v>
      </c>
      <c r="M42" s="226">
        <f>VLOOKUP($A42,'MacroPD-Cal'!$A:$L,6,FALSE)</f>
        <v>4.4906672870860809E-2</v>
      </c>
      <c r="N42" s="226">
        <f>VLOOKUP($A42,'MacroPD-Cal'!$A:$L,7,FALSE)</f>
        <v>7.1631874074090218E-2</v>
      </c>
      <c r="O42" s="226">
        <f>VLOOKUP($A42,'MacroPD-Cal'!$A:$L,8,FALSE)</f>
        <v>0.10360000000000001</v>
      </c>
      <c r="P42" s="226">
        <f>VLOOKUP($A42,'MacroPD-Cal'!$A:$L,9,FALSE)</f>
        <v>0.15080000000000002</v>
      </c>
      <c r="Q42" s="226">
        <f>VLOOKUP($A42,'MacroPD-Cal'!$A:$L,10,FALSE)</f>
        <v>0.17730000000000001</v>
      </c>
      <c r="R42" s="226">
        <f t="shared" si="26"/>
        <v>0.17194482007522316</v>
      </c>
      <c r="S42" s="226">
        <f t="shared" si="27"/>
        <v>2.0149157045135091E-3</v>
      </c>
      <c r="T42" s="176">
        <f t="shared" si="28"/>
        <v>641282.19899843063</v>
      </c>
      <c r="U42" s="191">
        <f>VLOOKUP(A42,'Ref-Data'!A:N,14,FALSE)</f>
        <v>0.457881885879943</v>
      </c>
      <c r="V42" s="190">
        <f t="shared" si="18"/>
        <v>591.64272604679059</v>
      </c>
      <c r="W42" s="190">
        <f t="shared" si="29"/>
        <v>167651.19285157672</v>
      </c>
      <c r="X42" s="190">
        <f t="shared" si="30"/>
        <v>225083.80317543499</v>
      </c>
      <c r="Y42" s="226">
        <f>VLOOKUP($A42,'MacroPD-Cal'!$A:$L,11,FALSE)</f>
        <v>0.2228</v>
      </c>
      <c r="Z42" s="226">
        <f>VLOOKUP($A42,'MacroPD-Cal'!$A:$L,12,FALSE)</f>
        <v>0.26419999999999999</v>
      </c>
      <c r="AA42" s="189">
        <f t="shared" si="31"/>
        <v>41</v>
      </c>
      <c r="AB42" s="227"/>
      <c r="AC42" s="176">
        <v>1</v>
      </c>
    </row>
    <row r="43" spans="1:29" x14ac:dyDescent="0.25">
      <c r="A43" s="346">
        <v>1200000106</v>
      </c>
      <c r="B43" s="268">
        <v>45763</v>
      </c>
      <c r="C43" s="189">
        <f t="shared" si="12"/>
        <v>1051</v>
      </c>
      <c r="D43">
        <v>95833</v>
      </c>
      <c r="E43">
        <v>3851.76</v>
      </c>
      <c r="F43" s="176">
        <f t="shared" si="21"/>
        <v>99684.76</v>
      </c>
      <c r="G43" s="176">
        <f>VLOOKUP(A43,'Ref-Data'!A:J,10,FALSE)</f>
        <v>6.78</v>
      </c>
      <c r="H43" s="224">
        <f t="shared" si="22"/>
        <v>2.8774811772758384</v>
      </c>
      <c r="I43" s="224">
        <f t="shared" si="23"/>
        <v>0.82798182072854953</v>
      </c>
      <c r="J43" s="225">
        <f t="shared" si="24"/>
        <v>99684.76</v>
      </c>
      <c r="K43" s="225">
        <f t="shared" si="25"/>
        <v>82537.169083688481</v>
      </c>
      <c r="L43" s="226">
        <f>VLOOKUP($A43,'MacroPD-Cal'!$A:$L,5,FALSE)</f>
        <v>2.0181887000557244E-2</v>
      </c>
      <c r="M43" s="226">
        <f>VLOOKUP($A43,'MacroPD-Cal'!$A:$L,6,FALSE)</f>
        <v>4.4906672870860809E-2</v>
      </c>
      <c r="N43" s="226">
        <f>VLOOKUP($A43,'MacroPD-Cal'!$A:$L,7,FALSE)</f>
        <v>7.1631874074090218E-2</v>
      </c>
      <c r="O43" s="226">
        <f>VLOOKUP($A43,'MacroPD-Cal'!$A:$L,8,FALSE)</f>
        <v>0.10360000000000001</v>
      </c>
      <c r="P43" s="226">
        <f>VLOOKUP($A43,'MacroPD-Cal'!$A:$L,9,FALSE)</f>
        <v>0.15080000000000002</v>
      </c>
      <c r="Q43" s="226">
        <f>VLOOKUP($A43,'MacroPD-Cal'!$A:$L,10,FALSE)</f>
        <v>0.17730000000000001</v>
      </c>
      <c r="R43" s="226">
        <f t="shared" si="26"/>
        <v>0.17409823111451128</v>
      </c>
      <c r="S43" s="226">
        <f t="shared" si="27"/>
        <v>2.1534110392881223E-3</v>
      </c>
      <c r="T43" s="176">
        <f t="shared" si="28"/>
        <v>558084.4769237939</v>
      </c>
      <c r="U43" s="191">
        <f>VLOOKUP(A43,'Ref-Data'!A:N,14,FALSE)</f>
        <v>0.457881885879943</v>
      </c>
      <c r="V43" s="190">
        <f t="shared" si="18"/>
        <v>550.27570743599756</v>
      </c>
      <c r="W43" s="190">
        <f t="shared" si="29"/>
        <v>167651.19285157672</v>
      </c>
      <c r="X43" s="190">
        <f t="shared" si="30"/>
        <v>225083.80317543499</v>
      </c>
      <c r="Y43" s="226">
        <f>VLOOKUP($A43,'MacroPD-Cal'!$A:$L,11,FALSE)</f>
        <v>0.2228</v>
      </c>
      <c r="Z43" s="226">
        <f>VLOOKUP($A43,'MacroPD-Cal'!$A:$L,12,FALSE)</f>
        <v>0.26419999999999999</v>
      </c>
      <c r="AA43" s="189">
        <f t="shared" si="31"/>
        <v>41</v>
      </c>
      <c r="AB43" s="227"/>
      <c r="AC43" s="176">
        <v>1</v>
      </c>
    </row>
    <row r="44" spans="1:29" x14ac:dyDescent="0.25">
      <c r="A44" s="346">
        <v>1200000106</v>
      </c>
      <c r="B44" s="268">
        <v>45793</v>
      </c>
      <c r="C44" s="189">
        <f t="shared" si="12"/>
        <v>1081</v>
      </c>
      <c r="D44">
        <v>95833</v>
      </c>
      <c r="E44">
        <v>3300.39</v>
      </c>
      <c r="F44" s="176">
        <f t="shared" si="21"/>
        <v>99133.39</v>
      </c>
      <c r="G44" s="176">
        <f>VLOOKUP(A44,'Ref-Data'!A:J,10,FALSE)</f>
        <v>6.78</v>
      </c>
      <c r="H44" s="224">
        <f t="shared" si="22"/>
        <v>2.9596167008898013</v>
      </c>
      <c r="I44" s="224">
        <f t="shared" si="23"/>
        <v>0.82353254618068072</v>
      </c>
      <c r="J44" s="225">
        <f t="shared" si="24"/>
        <v>99133.39</v>
      </c>
      <c r="K44" s="225">
        <f t="shared" si="25"/>
        <v>81639.573078222427</v>
      </c>
      <c r="L44" s="226">
        <f>VLOOKUP($A44,'MacroPD-Cal'!$A:$L,5,FALSE)</f>
        <v>2.0181887000557244E-2</v>
      </c>
      <c r="M44" s="226">
        <f>VLOOKUP($A44,'MacroPD-Cal'!$A:$L,6,FALSE)</f>
        <v>4.4906672870860809E-2</v>
      </c>
      <c r="N44" s="226">
        <f>VLOOKUP($A44,'MacroPD-Cal'!$A:$L,7,FALSE)</f>
        <v>7.1631874074090218E-2</v>
      </c>
      <c r="O44" s="226">
        <f>VLOOKUP($A44,'MacroPD-Cal'!$A:$L,8,FALSE)</f>
        <v>0.10360000000000001</v>
      </c>
      <c r="P44" s="226">
        <f>VLOOKUP($A44,'MacroPD-Cal'!$A:$L,9,FALSE)</f>
        <v>0.15080000000000002</v>
      </c>
      <c r="Q44" s="226">
        <f>VLOOKUP($A44,'MacroPD-Cal'!$A:$L,10,FALSE)</f>
        <v>0.17730000000000001</v>
      </c>
      <c r="R44" s="226">
        <f t="shared" si="26"/>
        <v>0.1762460420691474</v>
      </c>
      <c r="S44" s="226">
        <f t="shared" si="27"/>
        <v>2.1478109546361202E-3</v>
      </c>
      <c r="T44" s="176">
        <f t="shared" si="28"/>
        <v>475547.30784010538</v>
      </c>
      <c r="U44" s="191">
        <f>VLOOKUP(A44,'Ref-Data'!A:N,14,FALSE)</f>
        <v>0.457881885879943</v>
      </c>
      <c r="V44" s="190">
        <f t="shared" si="18"/>
        <v>467.67401841459667</v>
      </c>
      <c r="W44" s="190">
        <f t="shared" si="29"/>
        <v>167651.19285157672</v>
      </c>
      <c r="X44" s="190">
        <f t="shared" si="30"/>
        <v>225083.80317543499</v>
      </c>
      <c r="Y44" s="226">
        <f>VLOOKUP($A44,'MacroPD-Cal'!$A:$L,11,FALSE)</f>
        <v>0.2228</v>
      </c>
      <c r="Z44" s="226">
        <f>VLOOKUP($A44,'MacroPD-Cal'!$A:$L,12,FALSE)</f>
        <v>0.26419999999999999</v>
      </c>
      <c r="AA44" s="189">
        <f t="shared" si="31"/>
        <v>41</v>
      </c>
      <c r="AB44" s="227"/>
      <c r="AC44" s="176">
        <v>1</v>
      </c>
    </row>
    <row r="45" spans="1:29" x14ac:dyDescent="0.25">
      <c r="A45" s="346">
        <v>1200000106</v>
      </c>
      <c r="B45" s="268">
        <v>45824</v>
      </c>
      <c r="C45" s="189">
        <f t="shared" si="12"/>
        <v>1112</v>
      </c>
      <c r="D45">
        <v>95833</v>
      </c>
      <c r="E45">
        <v>2840.66</v>
      </c>
      <c r="F45" s="176">
        <f t="shared" si="21"/>
        <v>98673.66</v>
      </c>
      <c r="G45" s="176">
        <f>VLOOKUP(A45,'Ref-Data'!A:J,10,FALSE)</f>
        <v>6.78</v>
      </c>
      <c r="H45" s="224">
        <f t="shared" si="22"/>
        <v>3.0444900752908968</v>
      </c>
      <c r="I45" s="224">
        <f t="shared" si="23"/>
        <v>0.81896007849240016</v>
      </c>
      <c r="J45" s="225">
        <f t="shared" si="24"/>
        <v>98673.66</v>
      </c>
      <c r="K45" s="225">
        <f t="shared" si="25"/>
        <v>80809.788338732411</v>
      </c>
      <c r="L45" s="226">
        <f>VLOOKUP($A45,'MacroPD-Cal'!$A:$L,5,FALSE)</f>
        <v>2.0181887000557244E-2</v>
      </c>
      <c r="M45" s="226">
        <f>VLOOKUP($A45,'MacroPD-Cal'!$A:$L,6,FALSE)</f>
        <v>4.4906672870860809E-2</v>
      </c>
      <c r="N45" s="226">
        <f>VLOOKUP($A45,'MacroPD-Cal'!$A:$L,7,FALSE)</f>
        <v>7.1631874074090218E-2</v>
      </c>
      <c r="O45" s="226">
        <f>VLOOKUP($A45,'MacroPD-Cal'!$A:$L,8,FALSE)</f>
        <v>0.10360000000000001</v>
      </c>
      <c r="P45" s="226">
        <f>VLOOKUP($A45,'MacroPD-Cal'!$A:$L,9,FALSE)</f>
        <v>0.15080000000000002</v>
      </c>
      <c r="Q45" s="226">
        <f>VLOOKUP($A45,'MacroPD-Cal'!$A:$L,10,FALSE)</f>
        <v>0.17730000000000001</v>
      </c>
      <c r="R45" s="226">
        <f t="shared" si="26"/>
        <v>0.17937979623440103</v>
      </c>
      <c r="S45" s="226">
        <f t="shared" si="27"/>
        <v>3.1337541652536327E-3</v>
      </c>
      <c r="T45" s="176">
        <f t="shared" si="28"/>
        <v>393907.73476188298</v>
      </c>
      <c r="U45" s="191">
        <f>VLOOKUP(A45,'Ref-Data'!A:N,14,FALSE)</f>
        <v>0.457881885879943</v>
      </c>
      <c r="V45" s="190">
        <f t="shared" si="18"/>
        <v>565.21398082586336</v>
      </c>
      <c r="W45" s="190">
        <f t="shared" si="29"/>
        <v>167651.19285157672</v>
      </c>
      <c r="X45" s="190">
        <f t="shared" si="30"/>
        <v>225083.80317543499</v>
      </c>
      <c r="Y45" s="226">
        <f>VLOOKUP($A45,'MacroPD-Cal'!$A:$L,11,FALSE)</f>
        <v>0.2228</v>
      </c>
      <c r="Z45" s="226">
        <f>VLOOKUP($A45,'MacroPD-Cal'!$A:$L,12,FALSE)</f>
        <v>0.26419999999999999</v>
      </c>
      <c r="AA45" s="189">
        <f t="shared" si="31"/>
        <v>41</v>
      </c>
      <c r="AB45" s="227"/>
      <c r="AC45" s="176">
        <v>1</v>
      </c>
    </row>
    <row r="46" spans="1:29" x14ac:dyDescent="0.25">
      <c r="A46" s="346">
        <v>1200000106</v>
      </c>
      <c r="B46" s="268">
        <v>45854</v>
      </c>
      <c r="C46" s="189">
        <f t="shared" si="12"/>
        <v>1142</v>
      </c>
      <c r="D46">
        <v>95833</v>
      </c>
      <c r="E46">
        <v>2197.66</v>
      </c>
      <c r="F46" s="176">
        <f t="shared" si="21"/>
        <v>98030.66</v>
      </c>
      <c r="G46" s="176">
        <f>VLOOKUP(A46,'Ref-Data'!A:J,10,FALSE)</f>
        <v>6.78</v>
      </c>
      <c r="H46" s="224">
        <f t="shared" si="22"/>
        <v>3.1266255989048597</v>
      </c>
      <c r="I46" s="224">
        <f t="shared" si="23"/>
        <v>0.81455928352114015</v>
      </c>
      <c r="J46" s="225">
        <f t="shared" si="24"/>
        <v>98030.66</v>
      </c>
      <c r="K46" s="225">
        <f t="shared" si="25"/>
        <v>79851.784172704502</v>
      </c>
      <c r="L46" s="226">
        <f>VLOOKUP($A46,'MacroPD-Cal'!$A:$L,5,FALSE)</f>
        <v>2.0181887000557244E-2</v>
      </c>
      <c r="M46" s="226">
        <f>VLOOKUP($A46,'MacroPD-Cal'!$A:$L,6,FALSE)</f>
        <v>4.4906672870860809E-2</v>
      </c>
      <c r="N46" s="226">
        <f>VLOOKUP($A46,'MacroPD-Cal'!$A:$L,7,FALSE)</f>
        <v>7.1631874074090218E-2</v>
      </c>
      <c r="O46" s="226">
        <f>VLOOKUP($A46,'MacroPD-Cal'!$A:$L,8,FALSE)</f>
        <v>0.10360000000000001</v>
      </c>
      <c r="P46" s="226">
        <f>VLOOKUP($A46,'MacroPD-Cal'!$A:$L,9,FALSE)</f>
        <v>0.15080000000000002</v>
      </c>
      <c r="Q46" s="226">
        <f>VLOOKUP($A46,'MacroPD-Cal'!$A:$L,10,FALSE)</f>
        <v>0.17730000000000001</v>
      </c>
      <c r="R46" s="226">
        <f t="shared" si="26"/>
        <v>0.18320561663698653</v>
      </c>
      <c r="S46" s="226">
        <f t="shared" si="27"/>
        <v>3.8258204025855003E-3</v>
      </c>
      <c r="T46" s="176">
        <f t="shared" si="28"/>
        <v>313097.94642315054</v>
      </c>
      <c r="U46" s="191">
        <f>VLOOKUP(A46,'Ref-Data'!A:N,14,FALSE)</f>
        <v>0.457881885879943</v>
      </c>
      <c r="V46" s="190">
        <f t="shared" si="18"/>
        <v>548.47679846865401</v>
      </c>
      <c r="W46" s="190">
        <f t="shared" si="29"/>
        <v>167651.19285157672</v>
      </c>
      <c r="X46" s="190">
        <f t="shared" si="30"/>
        <v>225083.80317543499</v>
      </c>
      <c r="Y46" s="226">
        <f>VLOOKUP($A46,'MacroPD-Cal'!$A:$L,11,FALSE)</f>
        <v>0.2228</v>
      </c>
      <c r="Z46" s="226">
        <f>VLOOKUP($A46,'MacroPD-Cal'!$A:$L,12,FALSE)</f>
        <v>0.26419999999999999</v>
      </c>
      <c r="AA46" s="189">
        <f t="shared" si="31"/>
        <v>41</v>
      </c>
      <c r="AB46" s="227"/>
      <c r="AC46" s="176">
        <v>1</v>
      </c>
    </row>
    <row r="47" spans="1:29" x14ac:dyDescent="0.25">
      <c r="A47" s="346">
        <v>1200000106</v>
      </c>
      <c r="B47" s="268">
        <v>45887</v>
      </c>
      <c r="C47" s="189">
        <f t="shared" si="12"/>
        <v>1175</v>
      </c>
      <c r="D47">
        <v>95833</v>
      </c>
      <c r="E47">
        <v>1810.91</v>
      </c>
      <c r="F47" s="176">
        <f t="shared" si="21"/>
        <v>97643.91</v>
      </c>
      <c r="G47" s="176">
        <f>VLOOKUP(A47,'Ref-Data'!A:J,10,FALSE)</f>
        <v>6.78</v>
      </c>
      <c r="H47" s="224">
        <f t="shared" si="22"/>
        <v>3.2169746748802188</v>
      </c>
      <c r="I47" s="224">
        <f t="shared" si="23"/>
        <v>0.80974571791652961</v>
      </c>
      <c r="J47" s="225">
        <f t="shared" si="24"/>
        <v>97643.91</v>
      </c>
      <c r="K47" s="225">
        <f t="shared" si="25"/>
        <v>79066.738003127</v>
      </c>
      <c r="L47" s="226">
        <f>VLOOKUP($A47,'MacroPD-Cal'!$A:$L,5,FALSE)</f>
        <v>2.0181887000557244E-2</v>
      </c>
      <c r="M47" s="226">
        <f>VLOOKUP($A47,'MacroPD-Cal'!$A:$L,6,FALSE)</f>
        <v>4.4906672870860809E-2</v>
      </c>
      <c r="N47" s="226">
        <f>VLOOKUP($A47,'MacroPD-Cal'!$A:$L,7,FALSE)</f>
        <v>7.1631874074090218E-2</v>
      </c>
      <c r="O47" s="226">
        <f>VLOOKUP($A47,'MacroPD-Cal'!$A:$L,8,FALSE)</f>
        <v>0.10360000000000001</v>
      </c>
      <c r="P47" s="226">
        <f>VLOOKUP($A47,'MacroPD-Cal'!$A:$L,9,FALSE)</f>
        <v>0.15080000000000002</v>
      </c>
      <c r="Q47" s="226">
        <f>VLOOKUP($A47,'MacroPD-Cal'!$A:$L,10,FALSE)</f>
        <v>0.17730000000000001</v>
      </c>
      <c r="R47" s="226">
        <f t="shared" si="26"/>
        <v>0.18739342125456215</v>
      </c>
      <c r="S47" s="226">
        <f t="shared" si="27"/>
        <v>4.1878046175756189E-3</v>
      </c>
      <c r="T47" s="176">
        <f t="shared" si="28"/>
        <v>233246.1622504461</v>
      </c>
      <c r="U47" s="191">
        <f>VLOOKUP(A47,'Ref-Data'!A:N,14,FALSE)</f>
        <v>0.457881885879943</v>
      </c>
      <c r="V47" s="190">
        <f t="shared" si="18"/>
        <v>447.25415211414548</v>
      </c>
      <c r="W47" s="190">
        <f t="shared" si="29"/>
        <v>167651.19285157672</v>
      </c>
      <c r="X47" s="190">
        <f t="shared" si="30"/>
        <v>225083.80317543499</v>
      </c>
      <c r="Y47" s="226">
        <f>VLOOKUP($A47,'MacroPD-Cal'!$A:$L,11,FALSE)</f>
        <v>0.2228</v>
      </c>
      <c r="Z47" s="226">
        <f>VLOOKUP($A47,'MacroPD-Cal'!$A:$L,12,FALSE)</f>
        <v>0.26419999999999999</v>
      </c>
      <c r="AA47" s="189">
        <f t="shared" si="31"/>
        <v>41</v>
      </c>
      <c r="AB47" s="227"/>
      <c r="AC47" s="176">
        <v>1</v>
      </c>
    </row>
    <row r="48" spans="1:29" x14ac:dyDescent="0.25">
      <c r="A48" s="346">
        <v>1200000106</v>
      </c>
      <c r="B48" s="268">
        <v>45916</v>
      </c>
      <c r="C48" s="189">
        <f t="shared" si="12"/>
        <v>1204</v>
      </c>
      <c r="D48">
        <v>95833</v>
      </c>
      <c r="E48">
        <v>1058.43</v>
      </c>
      <c r="F48" s="176">
        <f t="shared" si="21"/>
        <v>96891.43</v>
      </c>
      <c r="G48" s="176">
        <f>VLOOKUP(A48,'Ref-Data'!A:J,10,FALSE)</f>
        <v>6.78</v>
      </c>
      <c r="H48" s="224">
        <f t="shared" si="22"/>
        <v>3.2963723477070501</v>
      </c>
      <c r="I48" s="224">
        <f t="shared" si="23"/>
        <v>0.80553910284839969</v>
      </c>
      <c r="J48" s="225">
        <f t="shared" si="24"/>
        <v>96891.43</v>
      </c>
      <c r="K48" s="225">
        <f t="shared" si="25"/>
        <v>78049.835595898519</v>
      </c>
      <c r="L48" s="226">
        <f>VLOOKUP($A48,'MacroPD-Cal'!$A:$L,5,FALSE)</f>
        <v>2.0181887000557244E-2</v>
      </c>
      <c r="M48" s="226">
        <f>VLOOKUP($A48,'MacroPD-Cal'!$A:$L,6,FALSE)</f>
        <v>4.4906672870860809E-2</v>
      </c>
      <c r="N48" s="226">
        <f>VLOOKUP($A48,'MacroPD-Cal'!$A:$L,7,FALSE)</f>
        <v>7.1631874074090218E-2</v>
      </c>
      <c r="O48" s="226">
        <f>VLOOKUP($A48,'MacroPD-Cal'!$A:$L,8,FALSE)</f>
        <v>0.10360000000000001</v>
      </c>
      <c r="P48" s="226">
        <f>VLOOKUP($A48,'MacroPD-Cal'!$A:$L,9,FALSE)</f>
        <v>0.15080000000000002</v>
      </c>
      <c r="Q48" s="226">
        <f>VLOOKUP($A48,'MacroPD-Cal'!$A:$L,10,FALSE)</f>
        <v>0.17730000000000001</v>
      </c>
      <c r="R48" s="226">
        <f t="shared" si="26"/>
        <v>0.19105588428350795</v>
      </c>
      <c r="S48" s="226">
        <f t="shared" si="27"/>
        <v>3.6624630289457949E-3</v>
      </c>
      <c r="T48" s="176">
        <f t="shared" si="28"/>
        <v>154179.42424731908</v>
      </c>
      <c r="U48" s="191">
        <f>VLOOKUP(A48,'Ref-Data'!A:N,14,FALSE)</f>
        <v>0.457881885879943</v>
      </c>
      <c r="V48" s="190">
        <f t="shared" si="18"/>
        <v>258.55511377655836</v>
      </c>
      <c r="W48" s="190">
        <f t="shared" si="29"/>
        <v>167651.19285157672</v>
      </c>
      <c r="X48" s="190">
        <f t="shared" si="30"/>
        <v>225083.80317543499</v>
      </c>
      <c r="Y48" s="226">
        <f>VLOOKUP($A48,'MacroPD-Cal'!$A:$L,11,FALSE)</f>
        <v>0.2228</v>
      </c>
      <c r="Z48" s="226">
        <f>VLOOKUP($A48,'MacroPD-Cal'!$A:$L,12,FALSE)</f>
        <v>0.26419999999999999</v>
      </c>
      <c r="AA48" s="189">
        <f t="shared" si="31"/>
        <v>41</v>
      </c>
      <c r="AB48" s="227"/>
      <c r="AC48" s="176">
        <v>1</v>
      </c>
    </row>
    <row r="49" spans="1:29" x14ac:dyDescent="0.25">
      <c r="A49" s="346">
        <v>1200000106</v>
      </c>
      <c r="B49" s="268">
        <v>45946</v>
      </c>
      <c r="C49" s="189">
        <f t="shared" si="12"/>
        <v>1234</v>
      </c>
      <c r="D49">
        <v>94474.67</v>
      </c>
      <c r="E49">
        <v>543.54999999999995</v>
      </c>
      <c r="F49" s="176">
        <f t="shared" si="21"/>
        <v>95018.22</v>
      </c>
      <c r="G49" s="176">
        <f>VLOOKUP(A49,'Ref-Data'!A:J,10,FALSE)</f>
        <v>6.78</v>
      </c>
      <c r="H49" s="224">
        <f t="shared" si="22"/>
        <v>3.378507871321013</v>
      </c>
      <c r="I49" s="224">
        <f t="shared" si="23"/>
        <v>0.80121042734141479</v>
      </c>
      <c r="J49" s="225">
        <f t="shared" si="24"/>
        <v>95018.22</v>
      </c>
      <c r="K49" s="225">
        <f t="shared" si="25"/>
        <v>76129.588651420563</v>
      </c>
      <c r="L49" s="226">
        <f>VLOOKUP($A49,'MacroPD-Cal'!$A:$L,5,FALSE)</f>
        <v>2.0181887000557244E-2</v>
      </c>
      <c r="M49" s="226">
        <f>VLOOKUP($A49,'MacroPD-Cal'!$A:$L,6,FALSE)</f>
        <v>4.4906672870860809E-2</v>
      </c>
      <c r="N49" s="226">
        <f>VLOOKUP($A49,'MacroPD-Cal'!$A:$L,7,FALSE)</f>
        <v>7.1631874074090218E-2</v>
      </c>
      <c r="O49" s="226">
        <f>VLOOKUP($A49,'MacroPD-Cal'!$A:$L,8,FALSE)</f>
        <v>0.10360000000000001</v>
      </c>
      <c r="P49" s="226">
        <f>VLOOKUP($A49,'MacroPD-Cal'!$A:$L,9,FALSE)</f>
        <v>0.15080000000000002</v>
      </c>
      <c r="Q49" s="226">
        <f>VLOOKUP($A49,'MacroPD-Cal'!$A:$L,10,FALSE)</f>
        <v>0.17730000000000001</v>
      </c>
      <c r="R49" s="226">
        <f t="shared" si="26"/>
        <v>0.19482726949710405</v>
      </c>
      <c r="S49" s="226">
        <f t="shared" si="27"/>
        <v>3.7713852135961012E-3</v>
      </c>
      <c r="T49" s="176">
        <f t="shared" si="28"/>
        <v>76129.588651420563</v>
      </c>
      <c r="U49" s="191">
        <f>VLOOKUP(A49,'Ref-Data'!A:N,14,FALSE)</f>
        <v>0.457881885879943</v>
      </c>
      <c r="V49" s="190">
        <f t="shared" si="18"/>
        <v>131.46430205230988</v>
      </c>
      <c r="W49" s="190">
        <f t="shared" si="29"/>
        <v>167651.19285157672</v>
      </c>
      <c r="X49" s="190">
        <f t="shared" si="30"/>
        <v>225083.80317543499</v>
      </c>
      <c r="Y49" s="226">
        <f>VLOOKUP($A49,'MacroPD-Cal'!$A:$L,11,FALSE)</f>
        <v>0.2228</v>
      </c>
      <c r="Z49" s="226">
        <f>VLOOKUP($A49,'MacroPD-Cal'!$A:$L,12,FALSE)</f>
        <v>0.26419999999999999</v>
      </c>
      <c r="AA49" s="189">
        <f t="shared" si="31"/>
        <v>41</v>
      </c>
      <c r="AB49" s="227"/>
      <c r="AC49" s="176">
        <v>1</v>
      </c>
    </row>
    <row r="50" spans="1:29" x14ac:dyDescent="0.25">
      <c r="A50" s="346">
        <v>1100000236</v>
      </c>
      <c r="B50" s="268">
        <v>44742</v>
      </c>
      <c r="C50" s="189">
        <f t="shared" si="12"/>
        <v>30</v>
      </c>
      <c r="D50">
        <v>375000</v>
      </c>
      <c r="E50">
        <v>103561.65</v>
      </c>
      <c r="F50" s="176">
        <f t="shared" ref="F50:F103" si="32">D50+E50</f>
        <v>478561.65</v>
      </c>
      <c r="G50" s="176">
        <f>VLOOKUP(A50,'Ref-Data'!A:J,10,FALSE)</f>
        <v>6</v>
      </c>
      <c r="H50" s="224">
        <f t="shared" ref="H50:H103" si="33">IF(AC50=1, IF(AND(A50=A49, C50&gt;365, C49&lt;365),1, C50/365.25), C50/365.25)</f>
        <v>8.2135523613963035E-2</v>
      </c>
      <c r="I50" s="224">
        <f t="shared" ref="I50:I103" si="34">1/((1+G50%)^H50)</f>
        <v>0.99522548711775627</v>
      </c>
      <c r="J50" s="225">
        <f t="shared" ref="J50:J103" si="35">D50+E50</f>
        <v>478561.65</v>
      </c>
      <c r="K50" s="225">
        <f t="shared" ref="K50:K103" si="36">J50*I50</f>
        <v>476276.75123712723</v>
      </c>
      <c r="L50" s="226">
        <f>VLOOKUP($A50,'MacroPD-Cal'!$A:$L,5,FALSE)</f>
        <v>1.4794530011509205E-2</v>
      </c>
      <c r="M50" s="226">
        <f>VLOOKUP($A50,'MacroPD-Cal'!$A:$L,6,FALSE)</f>
        <v>3.3211305442328087E-2</v>
      </c>
      <c r="N50" s="226">
        <f>VLOOKUP($A50,'MacroPD-Cal'!$A:$L,7,FALSE)</f>
        <v>5.3351437527099699E-2</v>
      </c>
      <c r="O50" s="226">
        <f>VLOOKUP($A50,'MacroPD-Cal'!$A:$L,8,FALSE)</f>
        <v>7.7899999999999997E-2</v>
      </c>
      <c r="P50" s="226">
        <f>VLOOKUP($A50,'MacroPD-Cal'!$A:$L,9,FALSE)</f>
        <v>0.11470000000000001</v>
      </c>
      <c r="Q50" s="226">
        <f>VLOOKUP($A50,'MacroPD-Cal'!$A:$L,10,FALSE)</f>
        <v>0.13550000000000001</v>
      </c>
      <c r="R50" s="226">
        <f t="shared" ref="R50:R103" si="37">IF(AND(AA50=1, H50&gt;1), O50, IF(H50&lt;=0.25,1-(1-L50)^(H50/0.25),IF(H50&lt;=0.5,L50+((M50-L50)/(0.5-0.25))*(H50-0.25),IF(H50&lt;=0.75,M50+((N50-M50)/(0.75-0.5))*(H50-0.5),IF(H50&lt;=1,N50+((O50-N50)/(0.5-0.25))*(H50-0.75),IF(H50&lt;=2,1-(((1-P50)/(1-O50))^(H50-1))*(1-O50),IF(H50&lt;=3,1-(((1-Q50)/(1-P50))^(H50-2))*(1-P50),IF(H50&lt;=4,1-(((1-Y50)/(1-Q50))^(H50-3))*(1-Q50),1-(((1-Z50)/(1-Y50))^(H50-4))*(1-Y50)))))))))</f>
        <v>4.8849693621538792E-3</v>
      </c>
      <c r="S50" s="226">
        <f t="shared" ref="S50:S103" si="38">IF(A50=A49,(R50-R49),R50)</f>
        <v>4.8849693621538792E-3</v>
      </c>
      <c r="T50" s="176">
        <f t="shared" si="28"/>
        <v>6873020.673491532</v>
      </c>
      <c r="U50" s="191">
        <f>VLOOKUP(A50,'Ref-Data'!A:N,14,FALSE)</f>
        <v>0.4264</v>
      </c>
      <c r="V50" s="190">
        <f t="shared" ref="V50:V103" si="39">T50*S50*U50</f>
        <v>14316.16484515059</v>
      </c>
      <c r="W50" s="190">
        <f t="shared" si="29"/>
        <v>191724.09916296389</v>
      </c>
      <c r="X50" s="190">
        <f t="shared" si="30"/>
        <v>299871.93944202288</v>
      </c>
      <c r="Y50" s="226">
        <f>VLOOKUP($A50,'MacroPD-Cal'!$A:$L,11,FALSE)</f>
        <v>0.1734</v>
      </c>
      <c r="Z50" s="226">
        <f>VLOOKUP($A50,'MacroPD-Cal'!$A:$L,12,FALSE)</f>
        <v>0.20860000000000001</v>
      </c>
      <c r="AA50" s="189">
        <f t="shared" si="31"/>
        <v>18</v>
      </c>
      <c r="AB50" s="227"/>
      <c r="AC50" s="176">
        <v>1</v>
      </c>
    </row>
    <row r="51" spans="1:29" x14ac:dyDescent="0.25">
      <c r="A51" s="346">
        <v>1100000236</v>
      </c>
      <c r="B51" s="268">
        <v>44834</v>
      </c>
      <c r="C51" s="189">
        <f t="shared" ref="C51:C103" si="40">(B51-$AB$1)</f>
        <v>122</v>
      </c>
      <c r="D51">
        <v>375000</v>
      </c>
      <c r="E51">
        <v>100428.08</v>
      </c>
      <c r="F51" s="176">
        <f t="shared" si="32"/>
        <v>475428.08</v>
      </c>
      <c r="G51" s="176">
        <f>VLOOKUP(A51,'Ref-Data'!A:J,10,FALSE)</f>
        <v>6</v>
      </c>
      <c r="H51" s="224">
        <f t="shared" si="33"/>
        <v>0.33401779603011633</v>
      </c>
      <c r="I51" s="224">
        <f t="shared" si="34"/>
        <v>0.98072532623294195</v>
      </c>
      <c r="J51" s="225">
        <f t="shared" si="35"/>
        <v>475428.08</v>
      </c>
      <c r="K51" s="225">
        <f t="shared" si="36"/>
        <v>466264.35885830125</v>
      </c>
      <c r="L51" s="226">
        <f>VLOOKUP($A51,'MacroPD-Cal'!$A:$L,5,FALSE)</f>
        <v>1.4794530011509205E-2</v>
      </c>
      <c r="M51" s="226">
        <f>VLOOKUP($A51,'MacroPD-Cal'!$A:$L,6,FALSE)</f>
        <v>3.3211305442328087E-2</v>
      </c>
      <c r="N51" s="226">
        <f>VLOOKUP($A51,'MacroPD-Cal'!$A:$L,7,FALSE)</f>
        <v>5.3351437527099699E-2</v>
      </c>
      <c r="O51" s="226">
        <f>VLOOKUP($A51,'MacroPD-Cal'!$A:$L,8,FALSE)</f>
        <v>7.7899999999999997E-2</v>
      </c>
      <c r="P51" s="226">
        <f>VLOOKUP($A51,'MacroPD-Cal'!$A:$L,9,FALSE)</f>
        <v>0.11470000000000001</v>
      </c>
      <c r="Q51" s="226">
        <f>VLOOKUP($A51,'MacroPD-Cal'!$A:$L,10,FALSE)</f>
        <v>0.13550000000000001</v>
      </c>
      <c r="R51" s="226">
        <f t="shared" si="37"/>
        <v>2.0983877538225199E-2</v>
      </c>
      <c r="S51" s="226">
        <f t="shared" si="38"/>
        <v>1.6098908176071319E-2</v>
      </c>
      <c r="T51" s="176">
        <f t="shared" si="28"/>
        <v>6396743.9222544041</v>
      </c>
      <c r="U51" s="191">
        <f>VLOOKUP(A51,'Ref-Data'!A:N,14,FALSE)</f>
        <v>0.4264</v>
      </c>
      <c r="V51" s="190">
        <f t="shared" si="39"/>
        <v>43910.924868084076</v>
      </c>
      <c r="W51" s="190">
        <f t="shared" si="29"/>
        <v>191724.09916296389</v>
      </c>
      <c r="X51" s="190">
        <f t="shared" si="30"/>
        <v>299871.93944202288</v>
      </c>
      <c r="Y51" s="226">
        <f>VLOOKUP($A51,'MacroPD-Cal'!$A:$L,11,FALSE)</f>
        <v>0.1734</v>
      </c>
      <c r="Z51" s="226">
        <f>VLOOKUP($A51,'MacroPD-Cal'!$A:$L,12,FALSE)</f>
        <v>0.20860000000000001</v>
      </c>
      <c r="AA51" s="189">
        <f t="shared" si="31"/>
        <v>18</v>
      </c>
      <c r="AB51" s="227"/>
      <c r="AC51" s="176">
        <v>1</v>
      </c>
    </row>
    <row r="52" spans="1:29" x14ac:dyDescent="0.25">
      <c r="A52" s="346">
        <v>1100000236</v>
      </c>
      <c r="B52" s="268">
        <v>44925</v>
      </c>
      <c r="C52" s="189">
        <f t="shared" si="40"/>
        <v>213</v>
      </c>
      <c r="D52">
        <v>375000</v>
      </c>
      <c r="E52">
        <v>93493.15</v>
      </c>
      <c r="F52" s="176">
        <f t="shared" si="32"/>
        <v>468493.15</v>
      </c>
      <c r="G52" s="176">
        <f>VLOOKUP(A52,'Ref-Data'!A:J,10,FALSE)</f>
        <v>6</v>
      </c>
      <c r="H52" s="224">
        <f t="shared" si="33"/>
        <v>0.58316221765913756</v>
      </c>
      <c r="I52" s="224">
        <f t="shared" si="34"/>
        <v>0.96659061811863733</v>
      </c>
      <c r="J52" s="225">
        <f t="shared" si="35"/>
        <v>468493.15</v>
      </c>
      <c r="K52" s="225">
        <f t="shared" si="36"/>
        <v>452841.08344284748</v>
      </c>
      <c r="L52" s="226">
        <f>VLOOKUP($A52,'MacroPD-Cal'!$A:$L,5,FALSE)</f>
        <v>1.4794530011509205E-2</v>
      </c>
      <c r="M52" s="226">
        <f>VLOOKUP($A52,'MacroPD-Cal'!$A:$L,6,FALSE)</f>
        <v>3.3211305442328087E-2</v>
      </c>
      <c r="N52" s="226">
        <f>VLOOKUP($A52,'MacroPD-Cal'!$A:$L,7,FALSE)</f>
        <v>5.3351437527099699E-2</v>
      </c>
      <c r="O52" s="226">
        <f>VLOOKUP($A52,'MacroPD-Cal'!$A:$L,8,FALSE)</f>
        <v>7.7899999999999997E-2</v>
      </c>
      <c r="P52" s="226">
        <f>VLOOKUP($A52,'MacroPD-Cal'!$A:$L,9,FALSE)</f>
        <v>0.11470000000000001</v>
      </c>
      <c r="Q52" s="226">
        <f>VLOOKUP($A52,'MacroPD-Cal'!$A:$L,10,FALSE)</f>
        <v>0.13550000000000001</v>
      </c>
      <c r="R52" s="226">
        <f t="shared" si="37"/>
        <v>3.9910897634798312E-2</v>
      </c>
      <c r="S52" s="226">
        <f t="shared" si="38"/>
        <v>1.8927020096573113E-2</v>
      </c>
      <c r="T52" s="176">
        <f t="shared" si="28"/>
        <v>5930479.5633961037</v>
      </c>
      <c r="U52" s="191">
        <f>VLOOKUP(A52,'Ref-Data'!A:N,14,FALSE)</f>
        <v>0.4264</v>
      </c>
      <c r="V52" s="190">
        <f t="shared" si="39"/>
        <v>47861.824826683733</v>
      </c>
      <c r="W52" s="190">
        <f t="shared" si="29"/>
        <v>191724.09916296389</v>
      </c>
      <c r="X52" s="190">
        <f t="shared" si="30"/>
        <v>299871.93944202288</v>
      </c>
      <c r="Y52" s="226">
        <f>VLOOKUP($A52,'MacroPD-Cal'!$A:$L,11,FALSE)</f>
        <v>0.1734</v>
      </c>
      <c r="Z52" s="226">
        <f>VLOOKUP($A52,'MacroPD-Cal'!$A:$L,12,FALSE)</f>
        <v>0.20860000000000001</v>
      </c>
      <c r="AA52" s="189">
        <f t="shared" si="31"/>
        <v>18</v>
      </c>
      <c r="AB52" s="227"/>
      <c r="AC52" s="176">
        <v>1</v>
      </c>
    </row>
    <row r="53" spans="1:29" x14ac:dyDescent="0.25">
      <c r="A53" s="346">
        <v>1100000236</v>
      </c>
      <c r="B53" s="268">
        <v>45016</v>
      </c>
      <c r="C53" s="189">
        <f t="shared" si="40"/>
        <v>304</v>
      </c>
      <c r="D53">
        <v>375000</v>
      </c>
      <c r="E53">
        <v>87649.83</v>
      </c>
      <c r="F53" s="176">
        <f t="shared" si="32"/>
        <v>462649.83</v>
      </c>
      <c r="G53" s="176">
        <f>VLOOKUP(A53,'Ref-Data'!A:J,10,FALSE)</f>
        <v>6</v>
      </c>
      <c r="H53" s="224">
        <f t="shared" si="33"/>
        <v>0.83230663928815884</v>
      </c>
      <c r="I53" s="224">
        <f t="shared" si="34"/>
        <v>0.95265962654772407</v>
      </c>
      <c r="J53" s="225">
        <f t="shared" si="35"/>
        <v>462649.83</v>
      </c>
      <c r="K53" s="225">
        <f t="shared" si="36"/>
        <v>440747.81427016802</v>
      </c>
      <c r="L53" s="226">
        <f>VLOOKUP($A53,'MacroPD-Cal'!$A:$L,5,FALSE)</f>
        <v>1.4794530011509205E-2</v>
      </c>
      <c r="M53" s="226">
        <f>VLOOKUP($A53,'MacroPD-Cal'!$A:$L,6,FALSE)</f>
        <v>3.3211305442328087E-2</v>
      </c>
      <c r="N53" s="226">
        <f>VLOOKUP($A53,'MacroPD-Cal'!$A:$L,7,FALSE)</f>
        <v>5.3351437527099699E-2</v>
      </c>
      <c r="O53" s="226">
        <f>VLOOKUP($A53,'MacroPD-Cal'!$A:$L,8,FALSE)</f>
        <v>7.7899999999999997E-2</v>
      </c>
      <c r="P53" s="226">
        <f>VLOOKUP($A53,'MacroPD-Cal'!$A:$L,9,FALSE)</f>
        <v>0.11470000000000001</v>
      </c>
      <c r="Q53" s="226">
        <f>VLOOKUP($A53,'MacroPD-Cal'!$A:$L,10,FALSE)</f>
        <v>0.13550000000000001</v>
      </c>
      <c r="R53" s="226">
        <f t="shared" si="37"/>
        <v>6.1433476233099048E-2</v>
      </c>
      <c r="S53" s="226">
        <f t="shared" si="38"/>
        <v>2.1522578598300736E-2</v>
      </c>
      <c r="T53" s="176">
        <f t="shared" si="28"/>
        <v>5477638.4799532555</v>
      </c>
      <c r="U53" s="191">
        <f>VLOOKUP(A53,'Ref-Data'!A:N,14,FALSE)</f>
        <v>0.4264</v>
      </c>
      <c r="V53" s="190">
        <f t="shared" si="39"/>
        <v>50269.534571699987</v>
      </c>
      <c r="W53" s="190">
        <f t="shared" si="29"/>
        <v>191724.09916296389</v>
      </c>
      <c r="X53" s="190">
        <f t="shared" si="30"/>
        <v>299871.93944202288</v>
      </c>
      <c r="Y53" s="226">
        <f>VLOOKUP($A53,'MacroPD-Cal'!$A:$L,11,FALSE)</f>
        <v>0.1734</v>
      </c>
      <c r="Z53" s="226">
        <f>VLOOKUP($A53,'MacroPD-Cal'!$A:$L,12,FALSE)</f>
        <v>0.20860000000000001</v>
      </c>
      <c r="AA53" s="189">
        <f t="shared" si="31"/>
        <v>18</v>
      </c>
      <c r="AB53" s="227"/>
      <c r="AC53" s="176">
        <v>1</v>
      </c>
    </row>
    <row r="54" spans="1:29" x14ac:dyDescent="0.25">
      <c r="A54" s="346">
        <v>1100000236</v>
      </c>
      <c r="B54" s="268">
        <v>45107</v>
      </c>
      <c r="C54" s="189">
        <f t="shared" si="40"/>
        <v>395</v>
      </c>
      <c r="D54">
        <v>375000</v>
      </c>
      <c r="E54">
        <v>81806.509999999995</v>
      </c>
      <c r="F54" s="176">
        <f t="shared" si="32"/>
        <v>456806.51</v>
      </c>
      <c r="G54" s="176">
        <f>VLOOKUP(A54,'Ref-Data'!A:J,10,FALSE)</f>
        <v>6</v>
      </c>
      <c r="H54" s="224">
        <f t="shared" si="33"/>
        <v>1</v>
      </c>
      <c r="I54" s="224">
        <f t="shared" si="34"/>
        <v>0.94339622641509424</v>
      </c>
      <c r="J54" s="225">
        <f t="shared" si="35"/>
        <v>456806.51</v>
      </c>
      <c r="K54" s="225">
        <f t="shared" si="36"/>
        <v>430949.53773584904</v>
      </c>
      <c r="L54" s="226">
        <f>VLOOKUP($A54,'MacroPD-Cal'!$A:$L,5,FALSE)</f>
        <v>1.4794530011509205E-2</v>
      </c>
      <c r="M54" s="226">
        <f>VLOOKUP($A54,'MacroPD-Cal'!$A:$L,6,FALSE)</f>
        <v>3.3211305442328087E-2</v>
      </c>
      <c r="N54" s="226">
        <f>VLOOKUP($A54,'MacroPD-Cal'!$A:$L,7,FALSE)</f>
        <v>5.3351437527099699E-2</v>
      </c>
      <c r="O54" s="226">
        <f>VLOOKUP($A54,'MacroPD-Cal'!$A:$L,8,FALSE)</f>
        <v>7.7899999999999997E-2</v>
      </c>
      <c r="P54" s="226">
        <f>VLOOKUP($A54,'MacroPD-Cal'!$A:$L,9,FALSE)</f>
        <v>0.11470000000000001</v>
      </c>
      <c r="Q54" s="226">
        <f>VLOOKUP($A54,'MacroPD-Cal'!$A:$L,10,FALSE)</f>
        <v>0.13550000000000001</v>
      </c>
      <c r="R54" s="226">
        <f t="shared" si="37"/>
        <v>7.7899999999999997E-2</v>
      </c>
      <c r="S54" s="226">
        <f t="shared" si="38"/>
        <v>1.6466523766900949E-2</v>
      </c>
      <c r="T54" s="176">
        <f t="shared" si="28"/>
        <v>5036890.665683087</v>
      </c>
      <c r="U54" s="191">
        <f>VLOOKUP(A54,'Ref-Data'!A:N,14,FALSE)</f>
        <v>0.4264</v>
      </c>
      <c r="V54" s="190">
        <f t="shared" si="39"/>
        <v>35365.650051345488</v>
      </c>
      <c r="W54" s="190">
        <f t="shared" si="29"/>
        <v>191724.09916296389</v>
      </c>
      <c r="X54" s="190">
        <f t="shared" si="30"/>
        <v>299871.93944202288</v>
      </c>
      <c r="Y54" s="226">
        <f>VLOOKUP($A54,'MacroPD-Cal'!$A:$L,11,FALSE)</f>
        <v>0.1734</v>
      </c>
      <c r="Z54" s="226">
        <f>VLOOKUP($A54,'MacroPD-Cal'!$A:$L,12,FALSE)</f>
        <v>0.20860000000000001</v>
      </c>
      <c r="AA54" s="189">
        <f t="shared" si="31"/>
        <v>18</v>
      </c>
      <c r="AB54" s="227"/>
      <c r="AC54" s="176">
        <v>1</v>
      </c>
    </row>
    <row r="55" spans="1:29" x14ac:dyDescent="0.25">
      <c r="A55" s="346">
        <v>1100000236</v>
      </c>
      <c r="B55" s="268">
        <v>45198</v>
      </c>
      <c r="C55" s="189">
        <f t="shared" si="40"/>
        <v>486</v>
      </c>
      <c r="D55">
        <v>375000</v>
      </c>
      <c r="E55">
        <v>75963.179999999993</v>
      </c>
      <c r="F55" s="176">
        <f t="shared" si="32"/>
        <v>450963.18</v>
      </c>
      <c r="G55" s="176">
        <f>VLOOKUP(A55,'Ref-Data'!A:J,10,FALSE)</f>
        <v>6</v>
      </c>
      <c r="H55" s="224">
        <f t="shared" si="33"/>
        <v>1.3305954825462012</v>
      </c>
      <c r="I55" s="224">
        <f t="shared" si="34"/>
        <v>0.92539709108978929</v>
      </c>
      <c r="J55" s="225">
        <f t="shared" si="35"/>
        <v>450963.18</v>
      </c>
      <c r="K55" s="225">
        <f t="shared" si="36"/>
        <v>417320.01496060105</v>
      </c>
      <c r="L55" s="226">
        <f>VLOOKUP($A55,'MacroPD-Cal'!$A:$L,5,FALSE)</f>
        <v>1.4794530011509205E-2</v>
      </c>
      <c r="M55" s="226">
        <f>VLOOKUP($A55,'MacroPD-Cal'!$A:$L,6,FALSE)</f>
        <v>3.3211305442328087E-2</v>
      </c>
      <c r="N55" s="226">
        <f>VLOOKUP($A55,'MacroPD-Cal'!$A:$L,7,FALSE)</f>
        <v>5.3351437527099699E-2</v>
      </c>
      <c r="O55" s="226">
        <f>VLOOKUP($A55,'MacroPD-Cal'!$A:$L,8,FALSE)</f>
        <v>7.7899999999999997E-2</v>
      </c>
      <c r="P55" s="226">
        <f>VLOOKUP($A55,'MacroPD-Cal'!$A:$L,9,FALSE)</f>
        <v>0.11470000000000001</v>
      </c>
      <c r="Q55" s="226">
        <f>VLOOKUP($A55,'MacroPD-Cal'!$A:$L,10,FALSE)</f>
        <v>0.13550000000000001</v>
      </c>
      <c r="R55" s="226">
        <f t="shared" si="37"/>
        <v>9.0232129163796193E-2</v>
      </c>
      <c r="S55" s="226">
        <f t="shared" si="38"/>
        <v>1.2332129163796196E-2</v>
      </c>
      <c r="T55" s="176">
        <f t="shared" si="28"/>
        <v>4605941.1279472383</v>
      </c>
      <c r="U55" s="191">
        <f>VLOOKUP(A55,'Ref-Data'!A:N,14,FALSE)</f>
        <v>0.4264</v>
      </c>
      <c r="V55" s="190">
        <f t="shared" si="39"/>
        <v>24219.972372316719</v>
      </c>
      <c r="W55" s="190">
        <f t="shared" si="29"/>
        <v>191724.09916296389</v>
      </c>
      <c r="X55" s="190">
        <f t="shared" si="30"/>
        <v>299871.93944202288</v>
      </c>
      <c r="Y55" s="226">
        <f>VLOOKUP($A55,'MacroPD-Cal'!$A:$L,11,FALSE)</f>
        <v>0.1734</v>
      </c>
      <c r="Z55" s="226">
        <f>VLOOKUP($A55,'MacroPD-Cal'!$A:$L,12,FALSE)</f>
        <v>0.20860000000000001</v>
      </c>
      <c r="AA55" s="189">
        <f t="shared" si="31"/>
        <v>18</v>
      </c>
      <c r="AB55" s="227"/>
      <c r="AC55" s="176">
        <v>1</v>
      </c>
    </row>
    <row r="56" spans="1:29" x14ac:dyDescent="0.25">
      <c r="A56" s="346">
        <v>1100000236</v>
      </c>
      <c r="B56" s="268">
        <v>45289</v>
      </c>
      <c r="C56" s="189">
        <f t="shared" si="40"/>
        <v>577</v>
      </c>
      <c r="D56">
        <v>375000</v>
      </c>
      <c r="E56">
        <v>70119.86</v>
      </c>
      <c r="F56" s="176">
        <f t="shared" si="32"/>
        <v>445119.86</v>
      </c>
      <c r="G56" s="176">
        <f>VLOOKUP(A56,'Ref-Data'!A:J,10,FALSE)</f>
        <v>6</v>
      </c>
      <c r="H56" s="224">
        <f t="shared" si="33"/>
        <v>1.5797399041752225</v>
      </c>
      <c r="I56" s="224">
        <f t="shared" si="34"/>
        <v>0.91205980140989173</v>
      </c>
      <c r="J56" s="225">
        <f t="shared" si="35"/>
        <v>445119.86</v>
      </c>
      <c r="K56" s="225">
        <f t="shared" si="36"/>
        <v>405975.93111519882</v>
      </c>
      <c r="L56" s="226">
        <f>VLOOKUP($A56,'MacroPD-Cal'!$A:$L,5,FALSE)</f>
        <v>1.4794530011509205E-2</v>
      </c>
      <c r="M56" s="226">
        <f>VLOOKUP($A56,'MacroPD-Cal'!$A:$L,6,FALSE)</f>
        <v>3.3211305442328087E-2</v>
      </c>
      <c r="N56" s="226">
        <f>VLOOKUP($A56,'MacroPD-Cal'!$A:$L,7,FALSE)</f>
        <v>5.3351437527099699E-2</v>
      </c>
      <c r="O56" s="226">
        <f>VLOOKUP($A56,'MacroPD-Cal'!$A:$L,8,FALSE)</f>
        <v>7.7899999999999997E-2</v>
      </c>
      <c r="P56" s="226">
        <f>VLOOKUP($A56,'MacroPD-Cal'!$A:$L,9,FALSE)</f>
        <v>0.11470000000000001</v>
      </c>
      <c r="Q56" s="226">
        <f>VLOOKUP($A56,'MacroPD-Cal'!$A:$L,10,FALSE)</f>
        <v>0.13550000000000001</v>
      </c>
      <c r="R56" s="226">
        <f t="shared" si="37"/>
        <v>9.9416804490034649E-2</v>
      </c>
      <c r="S56" s="226">
        <f t="shared" si="38"/>
        <v>9.1846753262384562E-3</v>
      </c>
      <c r="T56" s="176">
        <f t="shared" si="28"/>
        <v>4188621.1129866377</v>
      </c>
      <c r="U56" s="191">
        <f>VLOOKUP(A56,'Ref-Data'!A:N,14,FALSE)</f>
        <v>0.4264</v>
      </c>
      <c r="V56" s="190">
        <f t="shared" si="39"/>
        <v>16404.087694631555</v>
      </c>
      <c r="W56" s="190">
        <f t="shared" si="29"/>
        <v>191724.09916296389</v>
      </c>
      <c r="X56" s="190">
        <f t="shared" si="30"/>
        <v>299871.93944202288</v>
      </c>
      <c r="Y56" s="226">
        <f>VLOOKUP($A56,'MacroPD-Cal'!$A:$L,11,FALSE)</f>
        <v>0.1734</v>
      </c>
      <c r="Z56" s="226">
        <f>VLOOKUP($A56,'MacroPD-Cal'!$A:$L,12,FALSE)</f>
        <v>0.20860000000000001</v>
      </c>
      <c r="AA56" s="189">
        <f t="shared" si="31"/>
        <v>18</v>
      </c>
      <c r="AB56" s="227"/>
      <c r="AC56" s="176">
        <v>1</v>
      </c>
    </row>
    <row r="57" spans="1:29" x14ac:dyDescent="0.25">
      <c r="A57" s="346">
        <v>1100000236</v>
      </c>
      <c r="B57" s="268">
        <v>45379</v>
      </c>
      <c r="C57" s="189">
        <f t="shared" si="40"/>
        <v>667</v>
      </c>
      <c r="D57">
        <v>375000</v>
      </c>
      <c r="E57">
        <v>63570.21</v>
      </c>
      <c r="F57" s="176">
        <f t="shared" si="32"/>
        <v>438570.21</v>
      </c>
      <c r="G57" s="176">
        <f>VLOOKUP(A57,'Ref-Data'!A:J,10,FALSE)</f>
        <v>6</v>
      </c>
      <c r="H57" s="224">
        <f t="shared" si="33"/>
        <v>1.8261464750171115</v>
      </c>
      <c r="I57" s="224">
        <f t="shared" si="34"/>
        <v>0.89905815220052221</v>
      </c>
      <c r="J57" s="225">
        <f t="shared" si="35"/>
        <v>438570.21</v>
      </c>
      <c r="K57" s="225">
        <f t="shared" si="36"/>
        <v>394300.12261279498</v>
      </c>
      <c r="L57" s="226">
        <f>VLOOKUP($A57,'MacroPD-Cal'!$A:$L,5,FALSE)</f>
        <v>1.4794530011509205E-2</v>
      </c>
      <c r="M57" s="226">
        <f>VLOOKUP($A57,'MacroPD-Cal'!$A:$L,6,FALSE)</f>
        <v>3.3211305442328087E-2</v>
      </c>
      <c r="N57" s="226">
        <f>VLOOKUP($A57,'MacroPD-Cal'!$A:$L,7,FALSE)</f>
        <v>5.3351437527099699E-2</v>
      </c>
      <c r="O57" s="226">
        <f>VLOOKUP($A57,'MacroPD-Cal'!$A:$L,8,FALSE)</f>
        <v>7.7899999999999997E-2</v>
      </c>
      <c r="P57" s="226">
        <f>VLOOKUP($A57,'MacroPD-Cal'!$A:$L,9,FALSE)</f>
        <v>0.11470000000000001</v>
      </c>
      <c r="Q57" s="226">
        <f>VLOOKUP($A57,'MacroPD-Cal'!$A:$L,10,FALSE)</f>
        <v>0.13550000000000001</v>
      </c>
      <c r="R57" s="226">
        <f t="shared" si="37"/>
        <v>0.10840934373439526</v>
      </c>
      <c r="S57" s="226">
        <f t="shared" si="38"/>
        <v>8.9925392443606089E-3</v>
      </c>
      <c r="T57" s="176">
        <f t="shared" si="28"/>
        <v>3782645.1818714389</v>
      </c>
      <c r="U57" s="191">
        <f>VLOOKUP(A57,'Ref-Data'!A:N,14,FALSE)</f>
        <v>0.4264</v>
      </c>
      <c r="V57" s="190">
        <f t="shared" si="39"/>
        <v>14504.245548668616</v>
      </c>
      <c r="W57" s="190">
        <f t="shared" si="29"/>
        <v>191724.09916296389</v>
      </c>
      <c r="X57" s="190">
        <f t="shared" si="30"/>
        <v>299871.93944202288</v>
      </c>
      <c r="Y57" s="226">
        <f>VLOOKUP($A57,'MacroPD-Cal'!$A:$L,11,FALSE)</f>
        <v>0.1734</v>
      </c>
      <c r="Z57" s="226">
        <f>VLOOKUP($A57,'MacroPD-Cal'!$A:$L,12,FALSE)</f>
        <v>0.20860000000000001</v>
      </c>
      <c r="AA57" s="189">
        <f t="shared" si="31"/>
        <v>18</v>
      </c>
      <c r="AB57" s="227"/>
      <c r="AC57" s="176">
        <v>1</v>
      </c>
    </row>
    <row r="58" spans="1:29" x14ac:dyDescent="0.25">
      <c r="A58" s="346">
        <v>1100000236</v>
      </c>
      <c r="B58" s="268">
        <v>45471</v>
      </c>
      <c r="C58" s="189">
        <f t="shared" si="40"/>
        <v>759</v>
      </c>
      <c r="D58">
        <v>375000</v>
      </c>
      <c r="E58">
        <v>59075.34</v>
      </c>
      <c r="F58" s="176">
        <f t="shared" si="32"/>
        <v>434075.33999999997</v>
      </c>
      <c r="G58" s="176">
        <f>VLOOKUP(A58,'Ref-Data'!A:J,10,FALSE)</f>
        <v>6</v>
      </c>
      <c r="H58" s="224">
        <f t="shared" si="33"/>
        <v>2.0780287474332648</v>
      </c>
      <c r="I58" s="224">
        <f t="shared" si="34"/>
        <v>0.88595912286450118</v>
      </c>
      <c r="J58" s="225">
        <f t="shared" si="35"/>
        <v>434075.33999999997</v>
      </c>
      <c r="K58" s="225">
        <f t="shared" si="36"/>
        <v>384573.00748351007</v>
      </c>
      <c r="L58" s="226">
        <f>VLOOKUP($A58,'MacroPD-Cal'!$A:$L,5,FALSE)</f>
        <v>1.4794530011509205E-2</v>
      </c>
      <c r="M58" s="226">
        <f>VLOOKUP($A58,'MacroPD-Cal'!$A:$L,6,FALSE)</f>
        <v>3.3211305442328087E-2</v>
      </c>
      <c r="N58" s="226">
        <f>VLOOKUP($A58,'MacroPD-Cal'!$A:$L,7,FALSE)</f>
        <v>5.3351437527099699E-2</v>
      </c>
      <c r="O58" s="226">
        <f>VLOOKUP($A58,'MacroPD-Cal'!$A:$L,8,FALSE)</f>
        <v>7.7899999999999997E-2</v>
      </c>
      <c r="P58" s="226">
        <f>VLOOKUP($A58,'MacroPD-Cal'!$A:$L,9,FALSE)</f>
        <v>0.11470000000000001</v>
      </c>
      <c r="Q58" s="226">
        <f>VLOOKUP($A58,'MacroPD-Cal'!$A:$L,10,FALSE)</f>
        <v>0.13550000000000001</v>
      </c>
      <c r="R58" s="226">
        <f t="shared" si="37"/>
        <v>0.11634084551987578</v>
      </c>
      <c r="S58" s="226">
        <f t="shared" si="38"/>
        <v>7.9315017854805214E-3</v>
      </c>
      <c r="T58" s="176">
        <f t="shared" si="28"/>
        <v>3388345.059258644</v>
      </c>
      <c r="U58" s="191">
        <f>VLOOKUP(A58,'Ref-Data'!A:N,14,FALSE)</f>
        <v>0.4264</v>
      </c>
      <c r="V58" s="190">
        <f t="shared" si="39"/>
        <v>11459.357107959235</v>
      </c>
      <c r="W58" s="190">
        <f t="shared" si="29"/>
        <v>191724.09916296389</v>
      </c>
      <c r="X58" s="190">
        <f t="shared" si="30"/>
        <v>299871.93944202288</v>
      </c>
      <c r="Y58" s="226">
        <f>VLOOKUP($A58,'MacroPD-Cal'!$A:$L,11,FALSE)</f>
        <v>0.1734</v>
      </c>
      <c r="Z58" s="226">
        <f>VLOOKUP($A58,'MacroPD-Cal'!$A:$L,12,FALSE)</f>
        <v>0.20860000000000001</v>
      </c>
      <c r="AA58" s="189">
        <f t="shared" si="31"/>
        <v>18</v>
      </c>
      <c r="AB58" s="227"/>
      <c r="AC58" s="176">
        <v>1</v>
      </c>
    </row>
    <row r="59" spans="1:29" x14ac:dyDescent="0.25">
      <c r="A59" s="346">
        <v>1100000236</v>
      </c>
      <c r="B59" s="268">
        <v>45565</v>
      </c>
      <c r="C59" s="189">
        <f t="shared" si="40"/>
        <v>853</v>
      </c>
      <c r="D59">
        <v>375000</v>
      </c>
      <c r="E59">
        <v>54323.63</v>
      </c>
      <c r="F59" s="176">
        <f t="shared" si="32"/>
        <v>429323.63</v>
      </c>
      <c r="G59" s="176">
        <f>VLOOKUP(A59,'Ref-Data'!A:J,10,FALSE)</f>
        <v>6</v>
      </c>
      <c r="H59" s="224">
        <f t="shared" si="33"/>
        <v>2.3353867214236823</v>
      </c>
      <c r="I59" s="224">
        <f t="shared" si="34"/>
        <v>0.87277242882198824</v>
      </c>
      <c r="J59" s="225">
        <f t="shared" si="35"/>
        <v>429323.63</v>
      </c>
      <c r="K59" s="225">
        <f t="shared" si="36"/>
        <v>374701.82730577263</v>
      </c>
      <c r="L59" s="226">
        <f>VLOOKUP($A59,'MacroPD-Cal'!$A:$L,5,FALSE)</f>
        <v>1.4794530011509205E-2</v>
      </c>
      <c r="M59" s="226">
        <f>VLOOKUP($A59,'MacroPD-Cal'!$A:$L,6,FALSE)</f>
        <v>3.3211305442328087E-2</v>
      </c>
      <c r="N59" s="226">
        <f>VLOOKUP($A59,'MacroPD-Cal'!$A:$L,7,FALSE)</f>
        <v>5.3351437527099699E-2</v>
      </c>
      <c r="O59" s="226">
        <f>VLOOKUP($A59,'MacroPD-Cal'!$A:$L,8,FALSE)</f>
        <v>7.7899999999999997E-2</v>
      </c>
      <c r="P59" s="226">
        <f>VLOOKUP($A59,'MacroPD-Cal'!$A:$L,9,FALSE)</f>
        <v>0.11470000000000001</v>
      </c>
      <c r="Q59" s="226">
        <f>VLOOKUP($A59,'MacroPD-Cal'!$A:$L,10,FALSE)</f>
        <v>0.13550000000000001</v>
      </c>
      <c r="R59" s="226">
        <f t="shared" si="37"/>
        <v>0.12173123060787927</v>
      </c>
      <c r="S59" s="226">
        <f t="shared" si="38"/>
        <v>5.3903850880034909E-3</v>
      </c>
      <c r="T59" s="176">
        <f t="shared" si="28"/>
        <v>3003772.0517751332</v>
      </c>
      <c r="U59" s="191">
        <f>VLOOKUP(A59,'Ref-Data'!A:N,14,FALSE)</f>
        <v>0.4264</v>
      </c>
      <c r="V59" s="190">
        <f t="shared" si="39"/>
        <v>6904.0505154573002</v>
      </c>
      <c r="W59" s="190">
        <f t="shared" si="29"/>
        <v>191724.09916296389</v>
      </c>
      <c r="X59" s="190">
        <f t="shared" si="30"/>
        <v>299871.93944202288</v>
      </c>
      <c r="Y59" s="226">
        <f>VLOOKUP($A59,'MacroPD-Cal'!$A:$L,11,FALSE)</f>
        <v>0.1734</v>
      </c>
      <c r="Z59" s="226">
        <f>VLOOKUP($A59,'MacroPD-Cal'!$A:$L,12,FALSE)</f>
        <v>0.20860000000000001</v>
      </c>
      <c r="AA59" s="189">
        <f t="shared" si="31"/>
        <v>18</v>
      </c>
      <c r="AB59" s="227"/>
      <c r="AC59" s="176">
        <v>1</v>
      </c>
    </row>
    <row r="60" spans="1:29" x14ac:dyDescent="0.25">
      <c r="A60" s="346">
        <v>1100000236</v>
      </c>
      <c r="B60" s="268">
        <v>45657</v>
      </c>
      <c r="C60" s="189">
        <f t="shared" si="40"/>
        <v>945</v>
      </c>
      <c r="D60">
        <v>375000</v>
      </c>
      <c r="E60">
        <v>47260.28</v>
      </c>
      <c r="F60" s="176">
        <f t="shared" si="32"/>
        <v>422260.28</v>
      </c>
      <c r="G60" s="176">
        <f>VLOOKUP(A60,'Ref-Data'!A:J,10,FALSE)</f>
        <v>6</v>
      </c>
      <c r="H60" s="224">
        <f t="shared" si="33"/>
        <v>2.5872689938398357</v>
      </c>
      <c r="I60" s="224">
        <f t="shared" si="34"/>
        <v>0.86005637522653655</v>
      </c>
      <c r="J60" s="225">
        <f t="shared" si="35"/>
        <v>422260.28</v>
      </c>
      <c r="K60" s="225">
        <f t="shared" si="36"/>
        <v>363167.6458189424</v>
      </c>
      <c r="L60" s="226">
        <f>VLOOKUP($A60,'MacroPD-Cal'!$A:$L,5,FALSE)</f>
        <v>1.4794530011509205E-2</v>
      </c>
      <c r="M60" s="226">
        <f>VLOOKUP($A60,'MacroPD-Cal'!$A:$L,6,FALSE)</f>
        <v>3.3211305442328087E-2</v>
      </c>
      <c r="N60" s="226">
        <f>VLOOKUP($A60,'MacroPD-Cal'!$A:$L,7,FALSE)</f>
        <v>5.3351437527099699E-2</v>
      </c>
      <c r="O60" s="226">
        <f>VLOOKUP($A60,'MacroPD-Cal'!$A:$L,8,FALSE)</f>
        <v>7.7899999999999997E-2</v>
      </c>
      <c r="P60" s="226">
        <f>VLOOKUP($A60,'MacroPD-Cal'!$A:$L,9,FALSE)</f>
        <v>0.11470000000000001</v>
      </c>
      <c r="Q60" s="226">
        <f>VLOOKUP($A60,'MacroPD-Cal'!$A:$L,10,FALSE)</f>
        <v>0.13550000000000001</v>
      </c>
      <c r="R60" s="226">
        <f t="shared" si="37"/>
        <v>0.1269750855054731</v>
      </c>
      <c r="S60" s="226">
        <f t="shared" si="38"/>
        <v>5.2438548975938248E-3</v>
      </c>
      <c r="T60" s="176">
        <f t="shared" si="28"/>
        <v>2629070.2244693614</v>
      </c>
      <c r="U60" s="191">
        <f>VLOOKUP(A60,'Ref-Data'!A:N,14,FALSE)</f>
        <v>0.4264</v>
      </c>
      <c r="V60" s="190">
        <f t="shared" si="39"/>
        <v>5878.5477262800296</v>
      </c>
      <c r="W60" s="190">
        <f t="shared" si="29"/>
        <v>191724.09916296389</v>
      </c>
      <c r="X60" s="190">
        <f t="shared" si="30"/>
        <v>299871.93944202288</v>
      </c>
      <c r="Y60" s="226">
        <f>VLOOKUP($A60,'MacroPD-Cal'!$A:$L,11,FALSE)</f>
        <v>0.1734</v>
      </c>
      <c r="Z60" s="226">
        <f>VLOOKUP($A60,'MacroPD-Cal'!$A:$L,12,FALSE)</f>
        <v>0.20860000000000001</v>
      </c>
      <c r="AA60" s="189">
        <f t="shared" si="31"/>
        <v>18</v>
      </c>
      <c r="AB60" s="227"/>
      <c r="AC60" s="176">
        <v>1</v>
      </c>
    </row>
    <row r="61" spans="1:29" x14ac:dyDescent="0.25">
      <c r="A61" s="346">
        <v>1100000236</v>
      </c>
      <c r="B61" s="268">
        <v>45747</v>
      </c>
      <c r="C61" s="189">
        <f t="shared" si="40"/>
        <v>1035</v>
      </c>
      <c r="D61">
        <v>375000</v>
      </c>
      <c r="E61">
        <v>40453.760000000002</v>
      </c>
      <c r="F61" s="176">
        <f t="shared" si="32"/>
        <v>415453.76</v>
      </c>
      <c r="G61" s="176">
        <f>VLOOKUP(A61,'Ref-Data'!A:J,10,FALSE)</f>
        <v>6</v>
      </c>
      <c r="H61" s="224">
        <f t="shared" si="33"/>
        <v>2.8336755646817249</v>
      </c>
      <c r="I61" s="224">
        <f t="shared" si="34"/>
        <v>0.84779604835576383</v>
      </c>
      <c r="J61" s="225">
        <f t="shared" si="35"/>
        <v>415453.76</v>
      </c>
      <c r="K61" s="225">
        <f t="shared" si="36"/>
        <v>352220.05600254389</v>
      </c>
      <c r="L61" s="226">
        <f>VLOOKUP($A61,'MacroPD-Cal'!$A:$L,5,FALSE)</f>
        <v>1.4794530011509205E-2</v>
      </c>
      <c r="M61" s="226">
        <f>VLOOKUP($A61,'MacroPD-Cal'!$A:$L,6,FALSE)</f>
        <v>3.3211305442328087E-2</v>
      </c>
      <c r="N61" s="226">
        <f>VLOOKUP($A61,'MacroPD-Cal'!$A:$L,7,FALSE)</f>
        <v>5.3351437527099699E-2</v>
      </c>
      <c r="O61" s="226">
        <f>VLOOKUP($A61,'MacroPD-Cal'!$A:$L,8,FALSE)</f>
        <v>7.7899999999999997E-2</v>
      </c>
      <c r="P61" s="226">
        <f>VLOOKUP($A61,'MacroPD-Cal'!$A:$L,9,FALSE)</f>
        <v>0.11470000000000001</v>
      </c>
      <c r="Q61" s="226">
        <f>VLOOKUP($A61,'MacroPD-Cal'!$A:$L,10,FALSE)</f>
        <v>0.13550000000000001</v>
      </c>
      <c r="R61" s="226">
        <f t="shared" si="37"/>
        <v>0.13207464646465583</v>
      </c>
      <c r="S61" s="226">
        <f t="shared" si="38"/>
        <v>5.0995609591827362E-3</v>
      </c>
      <c r="T61" s="176">
        <f t="shared" si="28"/>
        <v>2265902.5786504191</v>
      </c>
      <c r="U61" s="191">
        <f>VLOOKUP(A61,'Ref-Data'!A:N,14,FALSE)</f>
        <v>0.4264</v>
      </c>
      <c r="V61" s="190">
        <f t="shared" si="39"/>
        <v>4927.0981908021522</v>
      </c>
      <c r="W61" s="190">
        <f t="shared" si="29"/>
        <v>191724.09916296389</v>
      </c>
      <c r="X61" s="190">
        <f t="shared" si="30"/>
        <v>299871.93944202288</v>
      </c>
      <c r="Y61" s="226">
        <f>VLOOKUP($A61,'MacroPD-Cal'!$A:$L,11,FALSE)</f>
        <v>0.1734</v>
      </c>
      <c r="Z61" s="226">
        <f>VLOOKUP($A61,'MacroPD-Cal'!$A:$L,12,FALSE)</f>
        <v>0.20860000000000001</v>
      </c>
      <c r="AA61" s="189">
        <f t="shared" si="31"/>
        <v>18</v>
      </c>
      <c r="AB61" s="227"/>
      <c r="AC61" s="176">
        <v>1</v>
      </c>
    </row>
    <row r="62" spans="1:29" x14ac:dyDescent="0.25">
      <c r="A62" s="346">
        <v>1100000236</v>
      </c>
      <c r="B62" s="268">
        <v>45838</v>
      </c>
      <c r="C62" s="189">
        <f t="shared" si="40"/>
        <v>1126</v>
      </c>
      <c r="D62">
        <v>375000</v>
      </c>
      <c r="E62">
        <v>35059.94</v>
      </c>
      <c r="F62" s="176">
        <f t="shared" si="32"/>
        <v>410059.94</v>
      </c>
      <c r="G62" s="176">
        <f>VLOOKUP(A62,'Ref-Data'!A:J,10,FALSE)</f>
        <v>6</v>
      </c>
      <c r="H62" s="224">
        <f t="shared" si="33"/>
        <v>3.0828199863107462</v>
      </c>
      <c r="I62" s="224">
        <f t="shared" si="34"/>
        <v>0.83557718404846704</v>
      </c>
      <c r="J62" s="225">
        <f t="shared" si="35"/>
        <v>410059.94</v>
      </c>
      <c r="K62" s="225">
        <f t="shared" si="36"/>
        <v>342636.72995628335</v>
      </c>
      <c r="L62" s="226">
        <f>VLOOKUP($A62,'MacroPD-Cal'!$A:$L,5,FALSE)</f>
        <v>1.4794530011509205E-2</v>
      </c>
      <c r="M62" s="226">
        <f>VLOOKUP($A62,'MacroPD-Cal'!$A:$L,6,FALSE)</f>
        <v>3.3211305442328087E-2</v>
      </c>
      <c r="N62" s="226">
        <f>VLOOKUP($A62,'MacroPD-Cal'!$A:$L,7,FALSE)</f>
        <v>5.3351437527099699E-2</v>
      </c>
      <c r="O62" s="226">
        <f>VLOOKUP($A62,'MacroPD-Cal'!$A:$L,8,FALSE)</f>
        <v>7.7899999999999997E-2</v>
      </c>
      <c r="P62" s="226">
        <f>VLOOKUP($A62,'MacroPD-Cal'!$A:$L,9,FALSE)</f>
        <v>0.11470000000000001</v>
      </c>
      <c r="Q62" s="226">
        <f>VLOOKUP($A62,'MacroPD-Cal'!$A:$L,10,FALSE)</f>
        <v>0.13550000000000001</v>
      </c>
      <c r="R62" s="226">
        <f t="shared" si="37"/>
        <v>0.13870381041578828</v>
      </c>
      <c r="S62" s="226">
        <f t="shared" si="38"/>
        <v>6.6291639511324441E-3</v>
      </c>
      <c r="T62" s="176">
        <f t="shared" si="28"/>
        <v>1913682.5226478751</v>
      </c>
      <c r="U62" s="191">
        <f>VLOOKUP(A62,'Ref-Data'!A:N,14,FALSE)</f>
        <v>0.4264</v>
      </c>
      <c r="V62" s="190">
        <f t="shared" si="39"/>
        <v>5409.3595183163025</v>
      </c>
      <c r="W62" s="190">
        <f t="shared" si="29"/>
        <v>191724.09916296389</v>
      </c>
      <c r="X62" s="190">
        <f t="shared" si="30"/>
        <v>299871.93944202288</v>
      </c>
      <c r="Y62" s="226">
        <f>VLOOKUP($A62,'MacroPD-Cal'!$A:$L,11,FALSE)</f>
        <v>0.1734</v>
      </c>
      <c r="Z62" s="226">
        <f>VLOOKUP($A62,'MacroPD-Cal'!$A:$L,12,FALSE)</f>
        <v>0.20860000000000001</v>
      </c>
      <c r="AA62" s="189">
        <f t="shared" si="31"/>
        <v>18</v>
      </c>
      <c r="AB62" s="227"/>
      <c r="AC62" s="176">
        <v>1</v>
      </c>
    </row>
    <row r="63" spans="1:29" x14ac:dyDescent="0.25">
      <c r="A63" s="346">
        <v>1100000236</v>
      </c>
      <c r="B63" s="268">
        <v>45930</v>
      </c>
      <c r="C63" s="189">
        <f t="shared" si="40"/>
        <v>1218</v>
      </c>
      <c r="D63">
        <v>375000</v>
      </c>
      <c r="E63">
        <v>29537.67</v>
      </c>
      <c r="F63" s="176">
        <f t="shared" si="32"/>
        <v>404537.67</v>
      </c>
      <c r="G63" s="176">
        <f>VLOOKUP(A63,'Ref-Data'!A:J,10,FALSE)</f>
        <v>6</v>
      </c>
      <c r="H63" s="224">
        <f t="shared" si="33"/>
        <v>3.3347022587268995</v>
      </c>
      <c r="I63" s="224">
        <f t="shared" si="34"/>
        <v>0.82340305491169052</v>
      </c>
      <c r="J63" s="225">
        <f t="shared" si="35"/>
        <v>404537.67</v>
      </c>
      <c r="K63" s="225">
        <f t="shared" si="36"/>
        <v>333097.55330485734</v>
      </c>
      <c r="L63" s="226">
        <f>VLOOKUP($A63,'MacroPD-Cal'!$A:$L,5,FALSE)</f>
        <v>1.4794530011509205E-2</v>
      </c>
      <c r="M63" s="226">
        <f>VLOOKUP($A63,'MacroPD-Cal'!$A:$L,6,FALSE)</f>
        <v>3.3211305442328087E-2</v>
      </c>
      <c r="N63" s="226">
        <f>VLOOKUP($A63,'MacroPD-Cal'!$A:$L,7,FALSE)</f>
        <v>5.3351437527099699E-2</v>
      </c>
      <c r="O63" s="226">
        <f>VLOOKUP($A63,'MacroPD-Cal'!$A:$L,8,FALSE)</f>
        <v>7.7899999999999997E-2</v>
      </c>
      <c r="P63" s="226">
        <f>VLOOKUP($A63,'MacroPD-Cal'!$A:$L,9,FALSE)</f>
        <v>0.11470000000000001</v>
      </c>
      <c r="Q63" s="226">
        <f>VLOOKUP($A63,'MacroPD-Cal'!$A:$L,10,FALSE)</f>
        <v>0.13550000000000001</v>
      </c>
      <c r="R63" s="226">
        <f t="shared" si="37"/>
        <v>0.14837484766941766</v>
      </c>
      <c r="S63" s="226">
        <f t="shared" si="38"/>
        <v>9.6710372536293887E-3</v>
      </c>
      <c r="T63" s="176">
        <f t="shared" si="28"/>
        <v>1571045.7926915919</v>
      </c>
      <c r="U63" s="191">
        <f>VLOOKUP(A63,'Ref-Data'!A:N,14,FALSE)</f>
        <v>0.4264</v>
      </c>
      <c r="V63" s="190">
        <f t="shared" si="39"/>
        <v>6478.5691143617814</v>
      </c>
      <c r="W63" s="190">
        <f t="shared" si="29"/>
        <v>191724.09916296389</v>
      </c>
      <c r="X63" s="190">
        <f t="shared" si="30"/>
        <v>299871.93944202288</v>
      </c>
      <c r="Y63" s="226">
        <f>VLOOKUP($A63,'MacroPD-Cal'!$A:$L,11,FALSE)</f>
        <v>0.1734</v>
      </c>
      <c r="Z63" s="226">
        <f>VLOOKUP($A63,'MacroPD-Cal'!$A:$L,12,FALSE)</f>
        <v>0.20860000000000001</v>
      </c>
      <c r="AA63" s="189">
        <f t="shared" si="31"/>
        <v>18</v>
      </c>
      <c r="AB63" s="227"/>
      <c r="AC63" s="176">
        <v>1</v>
      </c>
    </row>
    <row r="64" spans="1:29" x14ac:dyDescent="0.25">
      <c r="A64" s="346">
        <v>1100000236</v>
      </c>
      <c r="B64" s="268">
        <v>46022</v>
      </c>
      <c r="C64" s="189">
        <f t="shared" si="40"/>
        <v>1310</v>
      </c>
      <c r="D64">
        <v>375000</v>
      </c>
      <c r="E64">
        <v>23630.13</v>
      </c>
      <c r="F64" s="176">
        <f t="shared" si="32"/>
        <v>398630.13</v>
      </c>
      <c r="G64" s="176">
        <f>VLOOKUP(A64,'Ref-Data'!A:J,10,FALSE)</f>
        <v>6</v>
      </c>
      <c r="H64" s="224">
        <f t="shared" si="33"/>
        <v>3.5865845311430529</v>
      </c>
      <c r="I64" s="224">
        <f t="shared" si="34"/>
        <v>0.81140629947906517</v>
      </c>
      <c r="J64" s="225">
        <f t="shared" si="35"/>
        <v>398630.13</v>
      </c>
      <c r="K64" s="225">
        <f t="shared" si="36"/>
        <v>323450.99864415871</v>
      </c>
      <c r="L64" s="226">
        <f>VLOOKUP($A64,'MacroPD-Cal'!$A:$L,5,FALSE)</f>
        <v>1.4794530011509205E-2</v>
      </c>
      <c r="M64" s="226">
        <f>VLOOKUP($A64,'MacroPD-Cal'!$A:$L,6,FALSE)</f>
        <v>3.3211305442328087E-2</v>
      </c>
      <c r="N64" s="226">
        <f>VLOOKUP($A64,'MacroPD-Cal'!$A:$L,7,FALSE)</f>
        <v>5.3351437527099699E-2</v>
      </c>
      <c r="O64" s="226">
        <f>VLOOKUP($A64,'MacroPD-Cal'!$A:$L,8,FALSE)</f>
        <v>7.7899999999999997E-2</v>
      </c>
      <c r="P64" s="226">
        <f>VLOOKUP($A64,'MacroPD-Cal'!$A:$L,9,FALSE)</f>
        <v>0.11470000000000001</v>
      </c>
      <c r="Q64" s="226">
        <f>VLOOKUP($A64,'MacroPD-Cal'!$A:$L,10,FALSE)</f>
        <v>0.13550000000000001</v>
      </c>
      <c r="R64" s="226">
        <f t="shared" si="37"/>
        <v>0.15793729398453815</v>
      </c>
      <c r="S64" s="226">
        <f t="shared" si="38"/>
        <v>9.5624463151204875E-3</v>
      </c>
      <c r="T64" s="176">
        <f t="shared" si="28"/>
        <v>1237948.2393867346</v>
      </c>
      <c r="U64" s="191">
        <f>VLOOKUP(A64,'Ref-Data'!A:N,14,FALSE)</f>
        <v>0.4264</v>
      </c>
      <c r="V64" s="190">
        <f t="shared" si="39"/>
        <v>5047.6437105263167</v>
      </c>
      <c r="W64" s="190">
        <f t="shared" si="29"/>
        <v>191724.09916296389</v>
      </c>
      <c r="X64" s="190">
        <f t="shared" si="30"/>
        <v>299871.93944202288</v>
      </c>
      <c r="Y64" s="226">
        <f>VLOOKUP($A64,'MacroPD-Cal'!$A:$L,11,FALSE)</f>
        <v>0.1734</v>
      </c>
      <c r="Z64" s="226">
        <f>VLOOKUP($A64,'MacroPD-Cal'!$A:$L,12,FALSE)</f>
        <v>0.20860000000000001</v>
      </c>
      <c r="AA64" s="189">
        <f t="shared" si="31"/>
        <v>18</v>
      </c>
      <c r="AB64" s="227"/>
      <c r="AC64" s="176">
        <v>1</v>
      </c>
    </row>
    <row r="65" spans="1:29" x14ac:dyDescent="0.25">
      <c r="A65" s="346">
        <v>1100000236</v>
      </c>
      <c r="B65" s="268">
        <v>46112</v>
      </c>
      <c r="C65" s="189">
        <f t="shared" si="40"/>
        <v>1400</v>
      </c>
      <c r="D65">
        <v>375000</v>
      </c>
      <c r="E65">
        <v>17337.330000000002</v>
      </c>
      <c r="F65" s="176">
        <f t="shared" si="32"/>
        <v>392337.33</v>
      </c>
      <c r="G65" s="176">
        <f>VLOOKUP(A65,'Ref-Data'!A:J,10,FALSE)</f>
        <v>6</v>
      </c>
      <c r="H65" s="224">
        <f t="shared" si="33"/>
        <v>3.8329911019849416</v>
      </c>
      <c r="I65" s="224">
        <f t="shared" si="34"/>
        <v>0.79983949206600802</v>
      </c>
      <c r="J65" s="225">
        <f t="shared" si="35"/>
        <v>392337.33</v>
      </c>
      <c r="K65" s="225">
        <f t="shared" si="36"/>
        <v>313806.89074573381</v>
      </c>
      <c r="L65" s="226">
        <f>VLOOKUP($A65,'MacroPD-Cal'!$A:$L,5,FALSE)</f>
        <v>1.4794530011509205E-2</v>
      </c>
      <c r="M65" s="226">
        <f>VLOOKUP($A65,'MacroPD-Cal'!$A:$L,6,FALSE)</f>
        <v>3.3211305442328087E-2</v>
      </c>
      <c r="N65" s="226">
        <f>VLOOKUP($A65,'MacroPD-Cal'!$A:$L,7,FALSE)</f>
        <v>5.3351437527099699E-2</v>
      </c>
      <c r="O65" s="226">
        <f>VLOOKUP($A65,'MacroPD-Cal'!$A:$L,8,FALSE)</f>
        <v>7.7899999999999997E-2</v>
      </c>
      <c r="P65" s="226">
        <f>VLOOKUP($A65,'MacroPD-Cal'!$A:$L,9,FALSE)</f>
        <v>0.11470000000000001</v>
      </c>
      <c r="Q65" s="226">
        <f>VLOOKUP($A65,'MacroPD-Cal'!$A:$L,10,FALSE)</f>
        <v>0.13550000000000001</v>
      </c>
      <c r="R65" s="226">
        <f t="shared" si="37"/>
        <v>0.16718795680285814</v>
      </c>
      <c r="S65" s="226">
        <f t="shared" si="38"/>
        <v>9.2506628183199879E-3</v>
      </c>
      <c r="T65" s="176">
        <f t="shared" si="28"/>
        <v>914497.24074257561</v>
      </c>
      <c r="U65" s="191">
        <f>VLOOKUP(A65,'Ref-Data'!A:N,14,FALSE)</f>
        <v>0.4264</v>
      </c>
      <c r="V65" s="190">
        <f t="shared" si="39"/>
        <v>3607.218477388617</v>
      </c>
      <c r="W65" s="190">
        <f t="shared" si="29"/>
        <v>191724.09916296389</v>
      </c>
      <c r="X65" s="190">
        <f t="shared" si="30"/>
        <v>299871.93944202288</v>
      </c>
      <c r="Y65" s="226">
        <f>VLOOKUP($A65,'MacroPD-Cal'!$A:$L,11,FALSE)</f>
        <v>0.1734</v>
      </c>
      <c r="Z65" s="226">
        <f>VLOOKUP($A65,'MacroPD-Cal'!$A:$L,12,FALSE)</f>
        <v>0.20860000000000001</v>
      </c>
      <c r="AA65" s="189">
        <f t="shared" si="31"/>
        <v>18</v>
      </c>
      <c r="AB65" s="227"/>
      <c r="AC65" s="176">
        <v>1</v>
      </c>
    </row>
    <row r="66" spans="1:29" x14ac:dyDescent="0.25">
      <c r="A66" s="346">
        <v>1100000236</v>
      </c>
      <c r="B66" s="268">
        <v>46203</v>
      </c>
      <c r="C66" s="189">
        <f t="shared" si="40"/>
        <v>1491</v>
      </c>
      <c r="D66">
        <v>375000</v>
      </c>
      <c r="E66">
        <v>11686.65</v>
      </c>
      <c r="F66" s="176">
        <f t="shared" si="32"/>
        <v>386686.65</v>
      </c>
      <c r="G66" s="176">
        <f>VLOOKUP(A66,'Ref-Data'!A:J,10,FALSE)</f>
        <v>6</v>
      </c>
      <c r="H66" s="224">
        <f t="shared" si="33"/>
        <v>4.0821355236139629</v>
      </c>
      <c r="I66" s="224">
        <f t="shared" si="34"/>
        <v>0.788311801838947</v>
      </c>
      <c r="J66" s="225">
        <f t="shared" si="35"/>
        <v>386686.65</v>
      </c>
      <c r="K66" s="225">
        <f t="shared" si="36"/>
        <v>304829.64980856626</v>
      </c>
      <c r="L66" s="226">
        <f>VLOOKUP($A66,'MacroPD-Cal'!$A:$L,5,FALSE)</f>
        <v>1.4794530011509205E-2</v>
      </c>
      <c r="M66" s="226">
        <f>VLOOKUP($A66,'MacroPD-Cal'!$A:$L,6,FALSE)</f>
        <v>3.3211305442328087E-2</v>
      </c>
      <c r="N66" s="226">
        <f>VLOOKUP($A66,'MacroPD-Cal'!$A:$L,7,FALSE)</f>
        <v>5.3351437527099699E-2</v>
      </c>
      <c r="O66" s="226">
        <f>VLOOKUP($A66,'MacroPD-Cal'!$A:$L,8,FALSE)</f>
        <v>7.7899999999999997E-2</v>
      </c>
      <c r="P66" s="226">
        <f>VLOOKUP($A66,'MacroPD-Cal'!$A:$L,9,FALSE)</f>
        <v>0.11470000000000001</v>
      </c>
      <c r="Q66" s="226">
        <f>VLOOKUP($A66,'MacroPD-Cal'!$A:$L,10,FALSE)</f>
        <v>0.13550000000000001</v>
      </c>
      <c r="R66" s="226">
        <f t="shared" si="37"/>
        <v>0.17634926080953384</v>
      </c>
      <c r="S66" s="226">
        <f t="shared" si="38"/>
        <v>9.1613040066756968E-3</v>
      </c>
      <c r="T66" s="176">
        <f t="shared" ref="T66:T97" si="41">SUMIFS(K:K,A:A,A66,H:H,"&gt;="&amp;H66)</f>
        <v>600690.34999684186</v>
      </c>
      <c r="U66" s="191">
        <f>VLOOKUP(A66,'Ref-Data'!A:N,14,FALSE)</f>
        <v>0.4264</v>
      </c>
      <c r="V66" s="190">
        <f t="shared" si="39"/>
        <v>2346.524786508211</v>
      </c>
      <c r="W66" s="190">
        <f t="shared" ref="W66:W97" si="42">IF(COUNTIF(A:A, A66)=1, V66, SUMIFS(V:V,A:A,A66,H:H,"&lt;=1"))</f>
        <v>191724.09916296389</v>
      </c>
      <c r="X66" s="190">
        <f t="shared" ref="X66:X97" si="43">SUMIF(A:A,A66,V:V)</f>
        <v>299871.93944202288</v>
      </c>
      <c r="Y66" s="226">
        <f>VLOOKUP($A66,'MacroPD-Cal'!$A:$L,11,FALSE)</f>
        <v>0.1734</v>
      </c>
      <c r="Z66" s="226">
        <f>VLOOKUP($A66,'MacroPD-Cal'!$A:$L,12,FALSE)</f>
        <v>0.20860000000000001</v>
      </c>
      <c r="AA66" s="189">
        <f t="shared" ref="AA66:AA97" si="44">COUNTIF(A:A,A66)</f>
        <v>18</v>
      </c>
      <c r="AB66" s="227"/>
      <c r="AC66" s="176">
        <v>1</v>
      </c>
    </row>
    <row r="67" spans="1:29" x14ac:dyDescent="0.25">
      <c r="A67" s="346">
        <v>1100000236</v>
      </c>
      <c r="B67" s="268">
        <v>46281</v>
      </c>
      <c r="C67" s="189">
        <f t="shared" si="40"/>
        <v>1569</v>
      </c>
      <c r="D67">
        <v>375000</v>
      </c>
      <c r="E67">
        <v>5008.5600000000004</v>
      </c>
      <c r="F67" s="176">
        <f t="shared" si="32"/>
        <v>380008.56</v>
      </c>
      <c r="G67" s="176">
        <f>VLOOKUP(A67,'Ref-Data'!A:J,10,FALSE)</f>
        <v>6</v>
      </c>
      <c r="H67" s="224">
        <f t="shared" si="33"/>
        <v>4.2956878850102669</v>
      </c>
      <c r="I67" s="224">
        <f t="shared" si="34"/>
        <v>0.7785632518074741</v>
      </c>
      <c r="J67" s="225">
        <f t="shared" si="35"/>
        <v>380008.56</v>
      </c>
      <c r="K67" s="225">
        <f t="shared" si="36"/>
        <v>295860.7001882756</v>
      </c>
      <c r="L67" s="226">
        <f>VLOOKUP($A67,'MacroPD-Cal'!$A:$L,5,FALSE)</f>
        <v>1.4794530011509205E-2</v>
      </c>
      <c r="M67" s="226">
        <f>VLOOKUP($A67,'MacroPD-Cal'!$A:$L,6,FALSE)</f>
        <v>3.3211305442328087E-2</v>
      </c>
      <c r="N67" s="226">
        <f>VLOOKUP($A67,'MacroPD-Cal'!$A:$L,7,FALSE)</f>
        <v>5.3351437527099699E-2</v>
      </c>
      <c r="O67" s="226">
        <f>VLOOKUP($A67,'MacroPD-Cal'!$A:$L,8,FALSE)</f>
        <v>7.7899999999999997E-2</v>
      </c>
      <c r="P67" s="226">
        <f>VLOOKUP($A67,'MacroPD-Cal'!$A:$L,9,FALSE)</f>
        <v>0.11470000000000001</v>
      </c>
      <c r="Q67" s="226">
        <f>VLOOKUP($A67,'MacroPD-Cal'!$A:$L,10,FALSE)</f>
        <v>0.13550000000000001</v>
      </c>
      <c r="R67" s="226">
        <f t="shared" si="37"/>
        <v>0.18396818591226949</v>
      </c>
      <c r="S67" s="226">
        <f t="shared" si="38"/>
        <v>7.6189251027356519E-3</v>
      </c>
      <c r="T67" s="176">
        <f t="shared" si="41"/>
        <v>295860.7001882756</v>
      </c>
      <c r="U67" s="191">
        <f>VLOOKUP(A67,'Ref-Data'!A:N,14,FALSE)</f>
        <v>0.4264</v>
      </c>
      <c r="V67" s="190">
        <f t="shared" si="39"/>
        <v>961.16551584220315</v>
      </c>
      <c r="W67" s="190">
        <f t="shared" si="42"/>
        <v>191724.09916296389</v>
      </c>
      <c r="X67" s="190">
        <f t="shared" si="43"/>
        <v>299871.93944202288</v>
      </c>
      <c r="Y67" s="226">
        <f>VLOOKUP($A67,'MacroPD-Cal'!$A:$L,11,FALSE)</f>
        <v>0.1734</v>
      </c>
      <c r="Z67" s="226">
        <f>VLOOKUP($A67,'MacroPD-Cal'!$A:$L,12,FALSE)</f>
        <v>0.20860000000000001</v>
      </c>
      <c r="AA67" s="189">
        <f t="shared" si="44"/>
        <v>18</v>
      </c>
      <c r="AB67" s="227"/>
      <c r="AC67" s="176">
        <v>1</v>
      </c>
    </row>
    <row r="68" spans="1:29" x14ac:dyDescent="0.25">
      <c r="A68" s="346">
        <v>1100000237</v>
      </c>
      <c r="B68" s="268">
        <v>44742</v>
      </c>
      <c r="C68" s="189">
        <f t="shared" si="40"/>
        <v>30</v>
      </c>
      <c r="D68">
        <v>0</v>
      </c>
      <c r="E68">
        <v>119743.15</v>
      </c>
      <c r="F68" s="176">
        <f t="shared" si="32"/>
        <v>119743.15</v>
      </c>
      <c r="G68" s="176">
        <f>VLOOKUP(A68,'Ref-Data'!A:J,10,FALSE)</f>
        <v>6.25</v>
      </c>
      <c r="H68" s="224">
        <f t="shared" si="33"/>
        <v>8.2135523613963035E-2</v>
      </c>
      <c r="I68" s="224">
        <f t="shared" si="34"/>
        <v>0.99503294177821411</v>
      </c>
      <c r="J68" s="225">
        <f t="shared" si="35"/>
        <v>119743.15</v>
      </c>
      <c r="K68" s="225">
        <f t="shared" si="36"/>
        <v>119148.37880228995</v>
      </c>
      <c r="L68" s="226">
        <f>VLOOKUP($A68,'MacroPD-Cal'!$A:$L,5,FALSE)</f>
        <v>1.4794530011509205E-2</v>
      </c>
      <c r="M68" s="226">
        <f>VLOOKUP($A68,'MacroPD-Cal'!$A:$L,6,FALSE)</f>
        <v>3.3211305442328087E-2</v>
      </c>
      <c r="N68" s="226">
        <f>VLOOKUP($A68,'MacroPD-Cal'!$A:$L,7,FALSE)</f>
        <v>5.3351437527099699E-2</v>
      </c>
      <c r="O68" s="226">
        <f>VLOOKUP($A68,'MacroPD-Cal'!$A:$L,8,FALSE)</f>
        <v>7.7899999999999997E-2</v>
      </c>
      <c r="P68" s="226">
        <f>VLOOKUP($A68,'MacroPD-Cal'!$A:$L,9,FALSE)</f>
        <v>0.11470000000000001</v>
      </c>
      <c r="Q68" s="226">
        <f>VLOOKUP($A68,'MacroPD-Cal'!$A:$L,10,FALSE)</f>
        <v>0.13550000000000001</v>
      </c>
      <c r="R68" s="226">
        <f t="shared" si="37"/>
        <v>4.8849693621538792E-3</v>
      </c>
      <c r="S68" s="226">
        <f t="shared" si="38"/>
        <v>4.8849693621538792E-3</v>
      </c>
      <c r="T68" s="176">
        <f t="shared" si="41"/>
        <v>7691553.2001895141</v>
      </c>
      <c r="U68" s="191">
        <f>VLOOKUP(A68,'Ref-Data'!A:N,14,FALSE)</f>
        <v>0.4264</v>
      </c>
      <c r="V68" s="190">
        <f t="shared" si="39"/>
        <v>16021.127937800944</v>
      </c>
      <c r="W68" s="190">
        <f t="shared" si="42"/>
        <v>246143.31023958133</v>
      </c>
      <c r="X68" s="190">
        <f t="shared" si="43"/>
        <v>539176.49198390357</v>
      </c>
      <c r="Y68" s="226">
        <f>VLOOKUP($A68,'MacroPD-Cal'!$A:$L,11,FALSE)</f>
        <v>0.1734</v>
      </c>
      <c r="Z68" s="226">
        <f>VLOOKUP($A68,'MacroPD-Cal'!$A:$L,12,FALSE)</f>
        <v>0.20860000000000001</v>
      </c>
      <c r="AA68" s="189">
        <f t="shared" si="44"/>
        <v>18</v>
      </c>
      <c r="AB68" s="227"/>
      <c r="AC68" s="176">
        <v>1</v>
      </c>
    </row>
    <row r="69" spans="1:29" x14ac:dyDescent="0.25">
      <c r="A69" s="346">
        <v>1100000237</v>
      </c>
      <c r="B69" s="268">
        <v>44834</v>
      </c>
      <c r="C69" s="189">
        <f t="shared" si="40"/>
        <v>122</v>
      </c>
      <c r="D69">
        <v>0</v>
      </c>
      <c r="E69">
        <v>122876.71</v>
      </c>
      <c r="F69" s="176">
        <f t="shared" si="32"/>
        <v>122876.71</v>
      </c>
      <c r="G69" s="176">
        <f>VLOOKUP(A69,'Ref-Data'!A:J,10,FALSE)</f>
        <v>6.25</v>
      </c>
      <c r="H69" s="224">
        <f t="shared" si="33"/>
        <v>0.33401779603011633</v>
      </c>
      <c r="I69" s="224">
        <f t="shared" si="34"/>
        <v>0.979953945740344</v>
      </c>
      <c r="J69" s="225">
        <f t="shared" si="35"/>
        <v>122876.71</v>
      </c>
      <c r="K69" s="225">
        <f t="shared" si="36"/>
        <v>120413.516804092</v>
      </c>
      <c r="L69" s="226">
        <f>VLOOKUP($A69,'MacroPD-Cal'!$A:$L,5,FALSE)</f>
        <v>1.4794530011509205E-2</v>
      </c>
      <c r="M69" s="226">
        <f>VLOOKUP($A69,'MacroPD-Cal'!$A:$L,6,FALSE)</f>
        <v>3.3211305442328087E-2</v>
      </c>
      <c r="N69" s="226">
        <f>VLOOKUP($A69,'MacroPD-Cal'!$A:$L,7,FALSE)</f>
        <v>5.3351437527099699E-2</v>
      </c>
      <c r="O69" s="226">
        <f>VLOOKUP($A69,'MacroPD-Cal'!$A:$L,8,FALSE)</f>
        <v>7.7899999999999997E-2</v>
      </c>
      <c r="P69" s="226">
        <f>VLOOKUP($A69,'MacroPD-Cal'!$A:$L,9,FALSE)</f>
        <v>0.11470000000000001</v>
      </c>
      <c r="Q69" s="226">
        <f>VLOOKUP($A69,'MacroPD-Cal'!$A:$L,10,FALSE)</f>
        <v>0.13550000000000001</v>
      </c>
      <c r="R69" s="226">
        <f t="shared" si="37"/>
        <v>2.0983877538225199E-2</v>
      </c>
      <c r="S69" s="226">
        <f t="shared" si="38"/>
        <v>1.6098908176071319E-2</v>
      </c>
      <c r="T69" s="176">
        <f t="shared" si="41"/>
        <v>7572404.8213872248</v>
      </c>
      <c r="U69" s="191">
        <f>VLOOKUP(A69,'Ref-Data'!A:N,14,FALSE)</f>
        <v>0.4264</v>
      </c>
      <c r="V69" s="190">
        <f t="shared" si="39"/>
        <v>51981.336633758059</v>
      </c>
      <c r="W69" s="190">
        <f t="shared" si="42"/>
        <v>246143.31023958133</v>
      </c>
      <c r="X69" s="190">
        <f t="shared" si="43"/>
        <v>539176.49198390357</v>
      </c>
      <c r="Y69" s="226">
        <f>VLOOKUP($A69,'MacroPD-Cal'!$A:$L,11,FALSE)</f>
        <v>0.1734</v>
      </c>
      <c r="Z69" s="226">
        <f>VLOOKUP($A69,'MacroPD-Cal'!$A:$L,12,FALSE)</f>
        <v>0.20860000000000001</v>
      </c>
      <c r="AA69" s="189">
        <f t="shared" si="44"/>
        <v>18</v>
      </c>
      <c r="AB69" s="227"/>
      <c r="AC69" s="176">
        <v>1</v>
      </c>
    </row>
    <row r="70" spans="1:29" x14ac:dyDescent="0.25">
      <c r="A70" s="346">
        <v>1100000237</v>
      </c>
      <c r="B70" s="268">
        <v>44925</v>
      </c>
      <c r="C70" s="189">
        <f t="shared" si="40"/>
        <v>213</v>
      </c>
      <c r="D70">
        <v>0</v>
      </c>
      <c r="E70">
        <v>121541.1</v>
      </c>
      <c r="F70" s="176">
        <f t="shared" si="32"/>
        <v>121541.1</v>
      </c>
      <c r="G70" s="176">
        <f>VLOOKUP(A70,'Ref-Data'!A:J,10,FALSE)</f>
        <v>6.25</v>
      </c>
      <c r="H70" s="224">
        <f t="shared" si="33"/>
        <v>0.58316221765913756</v>
      </c>
      <c r="I70" s="224">
        <f t="shared" si="34"/>
        <v>0.9652636631472965</v>
      </c>
      <c r="J70" s="225">
        <f t="shared" si="35"/>
        <v>121541.1</v>
      </c>
      <c r="K70" s="225">
        <f t="shared" si="36"/>
        <v>117319.20740895189</v>
      </c>
      <c r="L70" s="226">
        <f>VLOOKUP($A70,'MacroPD-Cal'!$A:$L,5,FALSE)</f>
        <v>1.4794530011509205E-2</v>
      </c>
      <c r="M70" s="226">
        <f>VLOOKUP($A70,'MacroPD-Cal'!$A:$L,6,FALSE)</f>
        <v>3.3211305442328087E-2</v>
      </c>
      <c r="N70" s="226">
        <f>VLOOKUP($A70,'MacroPD-Cal'!$A:$L,7,FALSE)</f>
        <v>5.3351437527099699E-2</v>
      </c>
      <c r="O70" s="226">
        <f>VLOOKUP($A70,'MacroPD-Cal'!$A:$L,8,FALSE)</f>
        <v>7.7899999999999997E-2</v>
      </c>
      <c r="P70" s="226">
        <f>VLOOKUP($A70,'MacroPD-Cal'!$A:$L,9,FALSE)</f>
        <v>0.11470000000000001</v>
      </c>
      <c r="Q70" s="226">
        <f>VLOOKUP($A70,'MacroPD-Cal'!$A:$L,10,FALSE)</f>
        <v>0.13550000000000001</v>
      </c>
      <c r="R70" s="226">
        <f t="shared" si="37"/>
        <v>3.9910897634798312E-2</v>
      </c>
      <c r="S70" s="226">
        <f t="shared" si="38"/>
        <v>1.8927020096573113E-2</v>
      </c>
      <c r="T70" s="176">
        <f t="shared" si="41"/>
        <v>7451991.3045831332</v>
      </c>
      <c r="U70" s="191">
        <f>VLOOKUP(A70,'Ref-Data'!A:N,14,FALSE)</f>
        <v>0.4264</v>
      </c>
      <c r="V70" s="190">
        <f t="shared" si="39"/>
        <v>60141.15698692041</v>
      </c>
      <c r="W70" s="190">
        <f t="shared" si="42"/>
        <v>246143.31023958133</v>
      </c>
      <c r="X70" s="190">
        <f t="shared" si="43"/>
        <v>539176.49198390357</v>
      </c>
      <c r="Y70" s="226">
        <f>VLOOKUP($A70,'MacroPD-Cal'!$A:$L,11,FALSE)</f>
        <v>0.1734</v>
      </c>
      <c r="Z70" s="226">
        <f>VLOOKUP($A70,'MacroPD-Cal'!$A:$L,12,FALSE)</f>
        <v>0.20860000000000001</v>
      </c>
      <c r="AA70" s="189">
        <f t="shared" si="44"/>
        <v>18</v>
      </c>
      <c r="AB70" s="227"/>
      <c r="AC70" s="176">
        <v>1</v>
      </c>
    </row>
    <row r="71" spans="1:29" x14ac:dyDescent="0.25">
      <c r="A71" s="346">
        <v>1100000237</v>
      </c>
      <c r="B71" s="268">
        <v>45016</v>
      </c>
      <c r="C71" s="189">
        <f t="shared" si="40"/>
        <v>304</v>
      </c>
      <c r="D71">
        <v>0</v>
      </c>
      <c r="E71">
        <v>121541.09</v>
      </c>
      <c r="F71" s="176">
        <f t="shared" si="32"/>
        <v>121541.09</v>
      </c>
      <c r="G71" s="176">
        <f>VLOOKUP(A71,'Ref-Data'!A:J,10,FALSE)</f>
        <v>6.25</v>
      </c>
      <c r="H71" s="224">
        <f t="shared" si="33"/>
        <v>0.83230663928815884</v>
      </c>
      <c r="I71" s="224">
        <f t="shared" si="34"/>
        <v>0.95079359947739484</v>
      </c>
      <c r="J71" s="225">
        <f t="shared" si="35"/>
        <v>121541.09</v>
      </c>
      <c r="K71" s="225">
        <f t="shared" si="36"/>
        <v>115560.490445506</v>
      </c>
      <c r="L71" s="226">
        <f>VLOOKUP($A71,'MacroPD-Cal'!$A:$L,5,FALSE)</f>
        <v>1.4794530011509205E-2</v>
      </c>
      <c r="M71" s="226">
        <f>VLOOKUP($A71,'MacroPD-Cal'!$A:$L,6,FALSE)</f>
        <v>3.3211305442328087E-2</v>
      </c>
      <c r="N71" s="226">
        <f>VLOOKUP($A71,'MacroPD-Cal'!$A:$L,7,FALSE)</f>
        <v>5.3351437527099699E-2</v>
      </c>
      <c r="O71" s="226">
        <f>VLOOKUP($A71,'MacroPD-Cal'!$A:$L,8,FALSE)</f>
        <v>7.7899999999999997E-2</v>
      </c>
      <c r="P71" s="226">
        <f>VLOOKUP($A71,'MacroPD-Cal'!$A:$L,9,FALSE)</f>
        <v>0.11470000000000001</v>
      </c>
      <c r="Q71" s="226">
        <f>VLOOKUP($A71,'MacroPD-Cal'!$A:$L,10,FALSE)</f>
        <v>0.13550000000000001</v>
      </c>
      <c r="R71" s="226">
        <f t="shared" si="37"/>
        <v>6.1433476233099048E-2</v>
      </c>
      <c r="S71" s="226">
        <f t="shared" si="38"/>
        <v>2.1522578598300736E-2</v>
      </c>
      <c r="T71" s="176">
        <f t="shared" si="41"/>
        <v>7334672.0971741807</v>
      </c>
      <c r="U71" s="191">
        <f>VLOOKUP(A71,'Ref-Data'!A:N,14,FALSE)</f>
        <v>0.4264</v>
      </c>
      <c r="V71" s="190">
        <f t="shared" si="39"/>
        <v>67311.954578668578</v>
      </c>
      <c r="W71" s="190">
        <f t="shared" si="42"/>
        <v>246143.31023958133</v>
      </c>
      <c r="X71" s="190">
        <f t="shared" si="43"/>
        <v>539176.49198390357</v>
      </c>
      <c r="Y71" s="226">
        <f>VLOOKUP($A71,'MacroPD-Cal'!$A:$L,11,FALSE)</f>
        <v>0.1734</v>
      </c>
      <c r="Z71" s="226">
        <f>VLOOKUP($A71,'MacroPD-Cal'!$A:$L,12,FALSE)</f>
        <v>0.20860000000000001</v>
      </c>
      <c r="AA71" s="189">
        <f t="shared" si="44"/>
        <v>18</v>
      </c>
      <c r="AB71" s="227"/>
      <c r="AC71" s="176">
        <v>1</v>
      </c>
    </row>
    <row r="72" spans="1:29" x14ac:dyDescent="0.25">
      <c r="A72" s="346">
        <v>1100000237</v>
      </c>
      <c r="B72" s="268">
        <v>45107</v>
      </c>
      <c r="C72" s="189">
        <f t="shared" si="40"/>
        <v>395</v>
      </c>
      <c r="D72">
        <v>0</v>
      </c>
      <c r="E72">
        <v>121541.1</v>
      </c>
      <c r="F72" s="176">
        <f t="shared" si="32"/>
        <v>121541.1</v>
      </c>
      <c r="G72" s="176">
        <f>VLOOKUP(A72,'Ref-Data'!A:J,10,FALSE)</f>
        <v>6.25</v>
      </c>
      <c r="H72" s="224">
        <f t="shared" si="33"/>
        <v>1</v>
      </c>
      <c r="I72" s="224">
        <f t="shared" si="34"/>
        <v>0.94117647058823528</v>
      </c>
      <c r="J72" s="225">
        <f t="shared" si="35"/>
        <v>121541.1</v>
      </c>
      <c r="K72" s="225">
        <f t="shared" si="36"/>
        <v>114391.62352941177</v>
      </c>
      <c r="L72" s="226">
        <f>VLOOKUP($A72,'MacroPD-Cal'!$A:$L,5,FALSE)</f>
        <v>1.4794530011509205E-2</v>
      </c>
      <c r="M72" s="226">
        <f>VLOOKUP($A72,'MacroPD-Cal'!$A:$L,6,FALSE)</f>
        <v>3.3211305442328087E-2</v>
      </c>
      <c r="N72" s="226">
        <f>VLOOKUP($A72,'MacroPD-Cal'!$A:$L,7,FALSE)</f>
        <v>5.3351437527099699E-2</v>
      </c>
      <c r="O72" s="226">
        <f>VLOOKUP($A72,'MacroPD-Cal'!$A:$L,8,FALSE)</f>
        <v>7.7899999999999997E-2</v>
      </c>
      <c r="P72" s="226">
        <f>VLOOKUP($A72,'MacroPD-Cal'!$A:$L,9,FALSE)</f>
        <v>0.11470000000000001</v>
      </c>
      <c r="Q72" s="226">
        <f>VLOOKUP($A72,'MacroPD-Cal'!$A:$L,10,FALSE)</f>
        <v>0.13550000000000001</v>
      </c>
      <c r="R72" s="226">
        <f t="shared" si="37"/>
        <v>7.7899999999999997E-2</v>
      </c>
      <c r="S72" s="226">
        <f t="shared" si="38"/>
        <v>1.6466523766900949E-2</v>
      </c>
      <c r="T72" s="176">
        <f t="shared" si="41"/>
        <v>7219111.6067286748</v>
      </c>
      <c r="U72" s="191">
        <f>VLOOKUP(A72,'Ref-Data'!A:N,14,FALSE)</f>
        <v>0.4264</v>
      </c>
      <c r="V72" s="190">
        <f t="shared" si="39"/>
        <v>50687.734102433344</v>
      </c>
      <c r="W72" s="190">
        <f t="shared" si="42"/>
        <v>246143.31023958133</v>
      </c>
      <c r="X72" s="190">
        <f t="shared" si="43"/>
        <v>539176.49198390357</v>
      </c>
      <c r="Y72" s="226">
        <f>VLOOKUP($A72,'MacroPD-Cal'!$A:$L,11,FALSE)</f>
        <v>0.1734</v>
      </c>
      <c r="Z72" s="226">
        <f>VLOOKUP($A72,'MacroPD-Cal'!$A:$L,12,FALSE)</f>
        <v>0.20860000000000001</v>
      </c>
      <c r="AA72" s="189">
        <f t="shared" si="44"/>
        <v>18</v>
      </c>
      <c r="AB72" s="227"/>
      <c r="AC72" s="176">
        <v>1</v>
      </c>
    </row>
    <row r="73" spans="1:29" x14ac:dyDescent="0.25">
      <c r="A73" s="346">
        <v>1100000237</v>
      </c>
      <c r="B73" s="268">
        <v>45198</v>
      </c>
      <c r="C73" s="189">
        <f t="shared" si="40"/>
        <v>486</v>
      </c>
      <c r="D73">
        <v>0</v>
      </c>
      <c r="E73">
        <v>121541.09</v>
      </c>
      <c r="F73" s="176">
        <f t="shared" si="32"/>
        <v>121541.09</v>
      </c>
      <c r="G73" s="176">
        <f>VLOOKUP(A73,'Ref-Data'!A:J,10,FALSE)</f>
        <v>6.25</v>
      </c>
      <c r="H73" s="224">
        <f t="shared" si="33"/>
        <v>1.3305954825462012</v>
      </c>
      <c r="I73" s="224">
        <f t="shared" si="34"/>
        <v>0.92250097337402193</v>
      </c>
      <c r="J73" s="225">
        <f t="shared" si="35"/>
        <v>121541.09</v>
      </c>
      <c r="K73" s="225">
        <f t="shared" si="36"/>
        <v>112121.7738299396</v>
      </c>
      <c r="L73" s="226">
        <f>VLOOKUP($A73,'MacroPD-Cal'!$A:$L,5,FALSE)</f>
        <v>1.4794530011509205E-2</v>
      </c>
      <c r="M73" s="226">
        <f>VLOOKUP($A73,'MacroPD-Cal'!$A:$L,6,FALSE)</f>
        <v>3.3211305442328087E-2</v>
      </c>
      <c r="N73" s="226">
        <f>VLOOKUP($A73,'MacroPD-Cal'!$A:$L,7,FALSE)</f>
        <v>5.3351437527099699E-2</v>
      </c>
      <c r="O73" s="226">
        <f>VLOOKUP($A73,'MacroPD-Cal'!$A:$L,8,FALSE)</f>
        <v>7.7899999999999997E-2</v>
      </c>
      <c r="P73" s="226">
        <f>VLOOKUP($A73,'MacroPD-Cal'!$A:$L,9,FALSE)</f>
        <v>0.11470000000000001</v>
      </c>
      <c r="Q73" s="226">
        <f>VLOOKUP($A73,'MacroPD-Cal'!$A:$L,10,FALSE)</f>
        <v>0.13550000000000001</v>
      </c>
      <c r="R73" s="226">
        <f t="shared" si="37"/>
        <v>9.0232129163796193E-2</v>
      </c>
      <c r="S73" s="226">
        <f t="shared" si="38"/>
        <v>1.2332129163796196E-2</v>
      </c>
      <c r="T73" s="176">
        <f t="shared" si="41"/>
        <v>7104719.983199263</v>
      </c>
      <c r="U73" s="191">
        <f>VLOOKUP(A73,'Ref-Data'!A:N,14,FALSE)</f>
        <v>0.4264</v>
      </c>
      <c r="V73" s="190">
        <f t="shared" si="39"/>
        <v>37359.600769109922</v>
      </c>
      <c r="W73" s="190">
        <f t="shared" si="42"/>
        <v>246143.31023958133</v>
      </c>
      <c r="X73" s="190">
        <f t="shared" si="43"/>
        <v>539176.49198390357</v>
      </c>
      <c r="Y73" s="226">
        <f>VLOOKUP($A73,'MacroPD-Cal'!$A:$L,11,FALSE)</f>
        <v>0.1734</v>
      </c>
      <c r="Z73" s="226">
        <f>VLOOKUP($A73,'MacroPD-Cal'!$A:$L,12,FALSE)</f>
        <v>0.20860000000000001</v>
      </c>
      <c r="AA73" s="189">
        <f t="shared" si="44"/>
        <v>18</v>
      </c>
      <c r="AB73" s="227"/>
      <c r="AC73" s="176">
        <v>1</v>
      </c>
    </row>
    <row r="74" spans="1:29" x14ac:dyDescent="0.25">
      <c r="A74" s="346">
        <v>1100000237</v>
      </c>
      <c r="B74" s="268">
        <v>45289</v>
      </c>
      <c r="C74" s="189">
        <f t="shared" si="40"/>
        <v>577</v>
      </c>
      <c r="D74">
        <v>0</v>
      </c>
      <c r="E74">
        <v>121541.1</v>
      </c>
      <c r="F74" s="176">
        <f t="shared" si="32"/>
        <v>121541.1</v>
      </c>
      <c r="G74" s="176">
        <f>VLOOKUP(A74,'Ref-Data'!A:J,10,FALSE)</f>
        <v>6.25</v>
      </c>
      <c r="H74" s="224">
        <f t="shared" si="33"/>
        <v>1.5797399041752225</v>
      </c>
      <c r="I74" s="224">
        <f t="shared" si="34"/>
        <v>0.90867195615323049</v>
      </c>
      <c r="J74" s="225">
        <f t="shared" si="35"/>
        <v>121541.1</v>
      </c>
      <c r="K74" s="225">
        <f t="shared" si="36"/>
        <v>110440.98909001541</v>
      </c>
      <c r="L74" s="226">
        <f>VLOOKUP($A74,'MacroPD-Cal'!$A:$L,5,FALSE)</f>
        <v>1.4794530011509205E-2</v>
      </c>
      <c r="M74" s="226">
        <f>VLOOKUP($A74,'MacroPD-Cal'!$A:$L,6,FALSE)</f>
        <v>3.3211305442328087E-2</v>
      </c>
      <c r="N74" s="226">
        <f>VLOOKUP($A74,'MacroPD-Cal'!$A:$L,7,FALSE)</f>
        <v>5.3351437527099699E-2</v>
      </c>
      <c r="O74" s="226">
        <f>VLOOKUP($A74,'MacroPD-Cal'!$A:$L,8,FALSE)</f>
        <v>7.7899999999999997E-2</v>
      </c>
      <c r="P74" s="226">
        <f>VLOOKUP($A74,'MacroPD-Cal'!$A:$L,9,FALSE)</f>
        <v>0.11470000000000001</v>
      </c>
      <c r="Q74" s="226">
        <f>VLOOKUP($A74,'MacroPD-Cal'!$A:$L,10,FALSE)</f>
        <v>0.13550000000000001</v>
      </c>
      <c r="R74" s="226">
        <f t="shared" si="37"/>
        <v>9.9416804490034649E-2</v>
      </c>
      <c r="S74" s="226">
        <f t="shared" si="38"/>
        <v>9.1846753262384562E-3</v>
      </c>
      <c r="T74" s="176">
        <f t="shared" si="41"/>
        <v>6992598.2093693232</v>
      </c>
      <c r="U74" s="191">
        <f>VLOOKUP(A74,'Ref-Data'!A:N,14,FALSE)</f>
        <v>0.4264</v>
      </c>
      <c r="V74" s="190">
        <f t="shared" si="39"/>
        <v>27385.430943890646</v>
      </c>
      <c r="W74" s="190">
        <f t="shared" si="42"/>
        <v>246143.31023958133</v>
      </c>
      <c r="X74" s="190">
        <f t="shared" si="43"/>
        <v>539176.49198390357</v>
      </c>
      <c r="Y74" s="226">
        <f>VLOOKUP($A74,'MacroPD-Cal'!$A:$L,11,FALSE)</f>
        <v>0.1734</v>
      </c>
      <c r="Z74" s="226">
        <f>VLOOKUP($A74,'MacroPD-Cal'!$A:$L,12,FALSE)</f>
        <v>0.20860000000000001</v>
      </c>
      <c r="AA74" s="189">
        <f t="shared" si="44"/>
        <v>18</v>
      </c>
      <c r="AB74" s="227"/>
      <c r="AC74" s="176">
        <v>1</v>
      </c>
    </row>
    <row r="75" spans="1:29" x14ac:dyDescent="0.25">
      <c r="A75" s="346">
        <v>1100000237</v>
      </c>
      <c r="B75" s="268">
        <v>45379</v>
      </c>
      <c r="C75" s="189">
        <f t="shared" si="40"/>
        <v>667</v>
      </c>
      <c r="D75">
        <v>0</v>
      </c>
      <c r="E75">
        <v>120205.48</v>
      </c>
      <c r="F75" s="176">
        <f t="shared" si="32"/>
        <v>120205.48</v>
      </c>
      <c r="G75" s="176">
        <f>VLOOKUP(A75,'Ref-Data'!A:J,10,FALSE)</f>
        <v>6.25</v>
      </c>
      <c r="H75" s="224">
        <f t="shared" si="33"/>
        <v>1.8261464750171115</v>
      </c>
      <c r="I75" s="224">
        <f t="shared" si="34"/>
        <v>0.89519882062409672</v>
      </c>
      <c r="J75" s="225">
        <f t="shared" si="35"/>
        <v>120205.48</v>
      </c>
      <c r="K75" s="225">
        <f t="shared" si="36"/>
        <v>107607.80392855345</v>
      </c>
      <c r="L75" s="226">
        <f>VLOOKUP($A75,'MacroPD-Cal'!$A:$L,5,FALSE)</f>
        <v>1.4794530011509205E-2</v>
      </c>
      <c r="M75" s="226">
        <f>VLOOKUP($A75,'MacroPD-Cal'!$A:$L,6,FALSE)</f>
        <v>3.3211305442328087E-2</v>
      </c>
      <c r="N75" s="226">
        <f>VLOOKUP($A75,'MacroPD-Cal'!$A:$L,7,FALSE)</f>
        <v>5.3351437527099699E-2</v>
      </c>
      <c r="O75" s="226">
        <f>VLOOKUP($A75,'MacroPD-Cal'!$A:$L,8,FALSE)</f>
        <v>7.7899999999999997E-2</v>
      </c>
      <c r="P75" s="226">
        <f>VLOOKUP($A75,'MacroPD-Cal'!$A:$L,9,FALSE)</f>
        <v>0.11470000000000001</v>
      </c>
      <c r="Q75" s="226">
        <f>VLOOKUP($A75,'MacroPD-Cal'!$A:$L,10,FALSE)</f>
        <v>0.13550000000000001</v>
      </c>
      <c r="R75" s="226">
        <f t="shared" si="37"/>
        <v>0.10840934373439526</v>
      </c>
      <c r="S75" s="226">
        <f t="shared" si="38"/>
        <v>8.9925392443606089E-3</v>
      </c>
      <c r="T75" s="176">
        <f t="shared" si="41"/>
        <v>6882157.220279308</v>
      </c>
      <c r="U75" s="191">
        <f>VLOOKUP(A75,'Ref-Data'!A:N,14,FALSE)</f>
        <v>0.4264</v>
      </c>
      <c r="V75" s="190">
        <f t="shared" si="39"/>
        <v>26389.072574364003</v>
      </c>
      <c r="W75" s="190">
        <f t="shared" si="42"/>
        <v>246143.31023958133</v>
      </c>
      <c r="X75" s="190">
        <f t="shared" si="43"/>
        <v>539176.49198390357</v>
      </c>
      <c r="Y75" s="226">
        <f>VLOOKUP($A75,'MacroPD-Cal'!$A:$L,11,FALSE)</f>
        <v>0.1734</v>
      </c>
      <c r="Z75" s="226">
        <f>VLOOKUP($A75,'MacroPD-Cal'!$A:$L,12,FALSE)</f>
        <v>0.20860000000000001</v>
      </c>
      <c r="AA75" s="189">
        <f t="shared" si="44"/>
        <v>18</v>
      </c>
      <c r="AB75" s="227"/>
      <c r="AC75" s="176">
        <v>1</v>
      </c>
    </row>
    <row r="76" spans="1:29" x14ac:dyDescent="0.25">
      <c r="A76" s="346">
        <v>1100000237</v>
      </c>
      <c r="B76" s="268">
        <v>45471</v>
      </c>
      <c r="C76" s="189">
        <f t="shared" si="40"/>
        <v>759</v>
      </c>
      <c r="D76">
        <v>0</v>
      </c>
      <c r="E76">
        <v>122876.71</v>
      </c>
      <c r="F76" s="176">
        <f t="shared" si="32"/>
        <v>122876.71</v>
      </c>
      <c r="G76" s="176">
        <f>VLOOKUP(A76,'Ref-Data'!A:J,10,FALSE)</f>
        <v>6.25</v>
      </c>
      <c r="H76" s="224">
        <f t="shared" si="33"/>
        <v>2.0780287474332648</v>
      </c>
      <c r="I76" s="224">
        <f t="shared" si="34"/>
        <v>0.88163273763073047</v>
      </c>
      <c r="J76" s="225">
        <f t="shared" si="35"/>
        <v>122876.71</v>
      </c>
      <c r="K76" s="225">
        <f t="shared" si="36"/>
        <v>108332.13022835736</v>
      </c>
      <c r="L76" s="226">
        <f>VLOOKUP($A76,'MacroPD-Cal'!$A:$L,5,FALSE)</f>
        <v>1.4794530011509205E-2</v>
      </c>
      <c r="M76" s="226">
        <f>VLOOKUP($A76,'MacroPD-Cal'!$A:$L,6,FALSE)</f>
        <v>3.3211305442328087E-2</v>
      </c>
      <c r="N76" s="226">
        <f>VLOOKUP($A76,'MacroPD-Cal'!$A:$L,7,FALSE)</f>
        <v>5.3351437527099699E-2</v>
      </c>
      <c r="O76" s="226">
        <f>VLOOKUP($A76,'MacroPD-Cal'!$A:$L,8,FALSE)</f>
        <v>7.7899999999999997E-2</v>
      </c>
      <c r="P76" s="226">
        <f>VLOOKUP($A76,'MacroPD-Cal'!$A:$L,9,FALSE)</f>
        <v>0.11470000000000001</v>
      </c>
      <c r="Q76" s="226">
        <f>VLOOKUP($A76,'MacroPD-Cal'!$A:$L,10,FALSE)</f>
        <v>0.13550000000000001</v>
      </c>
      <c r="R76" s="226">
        <f t="shared" si="37"/>
        <v>0.11634084551987578</v>
      </c>
      <c r="S76" s="226">
        <f t="shared" si="38"/>
        <v>7.9315017854805214E-3</v>
      </c>
      <c r="T76" s="176">
        <f t="shared" si="41"/>
        <v>6774549.4163507549</v>
      </c>
      <c r="U76" s="191">
        <f>VLOOKUP(A76,'Ref-Data'!A:N,14,FALSE)</f>
        <v>0.4264</v>
      </c>
      <c r="V76" s="190">
        <f t="shared" si="39"/>
        <v>22911.474377543371</v>
      </c>
      <c r="W76" s="190">
        <f t="shared" si="42"/>
        <v>246143.31023958133</v>
      </c>
      <c r="X76" s="190">
        <f t="shared" si="43"/>
        <v>539176.49198390357</v>
      </c>
      <c r="Y76" s="226">
        <f>VLOOKUP($A76,'MacroPD-Cal'!$A:$L,11,FALSE)</f>
        <v>0.1734</v>
      </c>
      <c r="Z76" s="226">
        <f>VLOOKUP($A76,'MacroPD-Cal'!$A:$L,12,FALSE)</f>
        <v>0.20860000000000001</v>
      </c>
      <c r="AA76" s="189">
        <f t="shared" si="44"/>
        <v>18</v>
      </c>
      <c r="AB76" s="227"/>
      <c r="AC76" s="176">
        <v>1</v>
      </c>
    </row>
    <row r="77" spans="1:29" x14ac:dyDescent="0.25">
      <c r="A77" s="346">
        <v>1100000237</v>
      </c>
      <c r="B77" s="268">
        <v>45565</v>
      </c>
      <c r="C77" s="189">
        <f t="shared" si="40"/>
        <v>853</v>
      </c>
      <c r="D77">
        <v>0</v>
      </c>
      <c r="E77">
        <v>125547.95</v>
      </c>
      <c r="F77" s="176">
        <f t="shared" si="32"/>
        <v>125547.95</v>
      </c>
      <c r="G77" s="176">
        <f>VLOOKUP(A77,'Ref-Data'!A:J,10,FALSE)</f>
        <v>6.25</v>
      </c>
      <c r="H77" s="224">
        <f t="shared" si="33"/>
        <v>2.3353867214236823</v>
      </c>
      <c r="I77" s="224">
        <f t="shared" si="34"/>
        <v>0.86798405285152047</v>
      </c>
      <c r="J77" s="225">
        <f t="shared" si="35"/>
        <v>125547.95</v>
      </c>
      <c r="K77" s="225">
        <f t="shared" si="36"/>
        <v>108973.61846820005</v>
      </c>
      <c r="L77" s="226">
        <f>VLOOKUP($A77,'MacroPD-Cal'!$A:$L,5,FALSE)</f>
        <v>1.4794530011509205E-2</v>
      </c>
      <c r="M77" s="226">
        <f>VLOOKUP($A77,'MacroPD-Cal'!$A:$L,6,FALSE)</f>
        <v>3.3211305442328087E-2</v>
      </c>
      <c r="N77" s="226">
        <f>VLOOKUP($A77,'MacroPD-Cal'!$A:$L,7,FALSE)</f>
        <v>5.3351437527099699E-2</v>
      </c>
      <c r="O77" s="226">
        <f>VLOOKUP($A77,'MacroPD-Cal'!$A:$L,8,FALSE)</f>
        <v>7.7899999999999997E-2</v>
      </c>
      <c r="P77" s="226">
        <f>VLOOKUP($A77,'MacroPD-Cal'!$A:$L,9,FALSE)</f>
        <v>0.11470000000000001</v>
      </c>
      <c r="Q77" s="226">
        <f>VLOOKUP($A77,'MacroPD-Cal'!$A:$L,10,FALSE)</f>
        <v>0.13550000000000001</v>
      </c>
      <c r="R77" s="226">
        <f t="shared" si="37"/>
        <v>0.12173123060787927</v>
      </c>
      <c r="S77" s="226">
        <f t="shared" si="38"/>
        <v>5.3903850880034909E-3</v>
      </c>
      <c r="T77" s="176">
        <f t="shared" si="41"/>
        <v>6666217.2861223966</v>
      </c>
      <c r="U77" s="191">
        <f>VLOOKUP(A77,'Ref-Data'!A:N,14,FALSE)</f>
        <v>0.4264</v>
      </c>
      <c r="V77" s="190">
        <f t="shared" si="39"/>
        <v>15322.035126868244</v>
      </c>
      <c r="W77" s="190">
        <f t="shared" si="42"/>
        <v>246143.31023958133</v>
      </c>
      <c r="X77" s="190">
        <f t="shared" si="43"/>
        <v>539176.49198390357</v>
      </c>
      <c r="Y77" s="226">
        <f>VLOOKUP($A77,'MacroPD-Cal'!$A:$L,11,FALSE)</f>
        <v>0.1734</v>
      </c>
      <c r="Z77" s="226">
        <f>VLOOKUP($A77,'MacroPD-Cal'!$A:$L,12,FALSE)</f>
        <v>0.20860000000000001</v>
      </c>
      <c r="AA77" s="189">
        <f t="shared" si="44"/>
        <v>18</v>
      </c>
      <c r="AB77" s="227"/>
      <c r="AC77" s="176">
        <v>1</v>
      </c>
    </row>
    <row r="78" spans="1:29" x14ac:dyDescent="0.25">
      <c r="A78" s="346">
        <v>1100000237</v>
      </c>
      <c r="B78" s="268">
        <v>45657</v>
      </c>
      <c r="C78" s="189">
        <f t="shared" si="40"/>
        <v>945</v>
      </c>
      <c r="D78">
        <v>0</v>
      </c>
      <c r="E78">
        <v>122876.71</v>
      </c>
      <c r="F78" s="176">
        <f t="shared" si="32"/>
        <v>122876.71</v>
      </c>
      <c r="G78" s="176">
        <f>VLOOKUP(A78,'Ref-Data'!A:J,10,FALSE)</f>
        <v>6.25</v>
      </c>
      <c r="H78" s="224">
        <f t="shared" si="33"/>
        <v>2.5872689938398357</v>
      </c>
      <c r="I78" s="224">
        <f t="shared" si="34"/>
        <v>0.85483038974716907</v>
      </c>
      <c r="J78" s="225">
        <f t="shared" si="35"/>
        <v>122876.71</v>
      </c>
      <c r="K78" s="225">
        <f t="shared" si="36"/>
        <v>105038.74590014988</v>
      </c>
      <c r="L78" s="226">
        <f>VLOOKUP($A78,'MacroPD-Cal'!$A:$L,5,FALSE)</f>
        <v>1.4794530011509205E-2</v>
      </c>
      <c r="M78" s="226">
        <f>VLOOKUP($A78,'MacroPD-Cal'!$A:$L,6,FALSE)</f>
        <v>3.3211305442328087E-2</v>
      </c>
      <c r="N78" s="226">
        <f>VLOOKUP($A78,'MacroPD-Cal'!$A:$L,7,FALSE)</f>
        <v>5.3351437527099699E-2</v>
      </c>
      <c r="O78" s="226">
        <f>VLOOKUP($A78,'MacroPD-Cal'!$A:$L,8,FALSE)</f>
        <v>7.7899999999999997E-2</v>
      </c>
      <c r="P78" s="226">
        <f>VLOOKUP($A78,'MacroPD-Cal'!$A:$L,9,FALSE)</f>
        <v>0.11470000000000001</v>
      </c>
      <c r="Q78" s="226">
        <f>VLOOKUP($A78,'MacroPD-Cal'!$A:$L,10,FALSE)</f>
        <v>0.13550000000000001</v>
      </c>
      <c r="R78" s="226">
        <f t="shared" si="37"/>
        <v>0.1269750855054731</v>
      </c>
      <c r="S78" s="226">
        <f t="shared" si="38"/>
        <v>5.2438548975938248E-3</v>
      </c>
      <c r="T78" s="176">
        <f t="shared" si="41"/>
        <v>6557243.6676541967</v>
      </c>
      <c r="U78" s="191">
        <f>VLOOKUP(A78,'Ref-Data'!A:N,14,FALSE)</f>
        <v>0.4264</v>
      </c>
      <c r="V78" s="190">
        <f t="shared" si="39"/>
        <v>14661.863914621319</v>
      </c>
      <c r="W78" s="190">
        <f t="shared" si="42"/>
        <v>246143.31023958133</v>
      </c>
      <c r="X78" s="190">
        <f t="shared" si="43"/>
        <v>539176.49198390357</v>
      </c>
      <c r="Y78" s="226">
        <f>VLOOKUP($A78,'MacroPD-Cal'!$A:$L,11,FALSE)</f>
        <v>0.1734</v>
      </c>
      <c r="Z78" s="226">
        <f>VLOOKUP($A78,'MacroPD-Cal'!$A:$L,12,FALSE)</f>
        <v>0.20860000000000001</v>
      </c>
      <c r="AA78" s="189">
        <f t="shared" si="44"/>
        <v>18</v>
      </c>
      <c r="AB78" s="227"/>
      <c r="AC78" s="176">
        <v>1</v>
      </c>
    </row>
    <row r="79" spans="1:29" x14ac:dyDescent="0.25">
      <c r="A79" s="346">
        <v>1100000237</v>
      </c>
      <c r="B79" s="268">
        <v>45747</v>
      </c>
      <c r="C79" s="189">
        <f t="shared" si="40"/>
        <v>1035</v>
      </c>
      <c r="D79">
        <v>0</v>
      </c>
      <c r="E79">
        <v>120205.48</v>
      </c>
      <c r="F79" s="176">
        <f t="shared" si="32"/>
        <v>120205.48</v>
      </c>
      <c r="G79" s="176">
        <f>VLOOKUP(A79,'Ref-Data'!A:J,10,FALSE)</f>
        <v>6.25</v>
      </c>
      <c r="H79" s="224">
        <f t="shared" si="33"/>
        <v>2.8336755646817249</v>
      </c>
      <c r="I79" s="224">
        <f t="shared" si="34"/>
        <v>0.84215557831770327</v>
      </c>
      <c r="J79" s="225">
        <f t="shared" si="35"/>
        <v>120205.48</v>
      </c>
      <c r="K79" s="225">
        <f t="shared" si="36"/>
        <v>101231.7155263571</v>
      </c>
      <c r="L79" s="226">
        <f>VLOOKUP($A79,'MacroPD-Cal'!$A:$L,5,FALSE)</f>
        <v>1.4794530011509205E-2</v>
      </c>
      <c r="M79" s="226">
        <f>VLOOKUP($A79,'MacroPD-Cal'!$A:$L,6,FALSE)</f>
        <v>3.3211305442328087E-2</v>
      </c>
      <c r="N79" s="226">
        <f>VLOOKUP($A79,'MacroPD-Cal'!$A:$L,7,FALSE)</f>
        <v>5.3351437527099699E-2</v>
      </c>
      <c r="O79" s="226">
        <f>VLOOKUP($A79,'MacroPD-Cal'!$A:$L,8,FALSE)</f>
        <v>7.7899999999999997E-2</v>
      </c>
      <c r="P79" s="226">
        <f>VLOOKUP($A79,'MacroPD-Cal'!$A:$L,9,FALSE)</f>
        <v>0.11470000000000001</v>
      </c>
      <c r="Q79" s="226">
        <f>VLOOKUP($A79,'MacroPD-Cal'!$A:$L,10,FALSE)</f>
        <v>0.13550000000000001</v>
      </c>
      <c r="R79" s="226">
        <f t="shared" si="37"/>
        <v>0.13207464646465583</v>
      </c>
      <c r="S79" s="226">
        <f t="shared" si="38"/>
        <v>5.0995609591827362E-3</v>
      </c>
      <c r="T79" s="176">
        <f t="shared" si="41"/>
        <v>6452204.9217540473</v>
      </c>
      <c r="U79" s="191">
        <f>VLOOKUP(A79,'Ref-Data'!A:N,14,FALSE)</f>
        <v>0.4264</v>
      </c>
      <c r="V79" s="190">
        <f t="shared" si="39"/>
        <v>14030.015013087521</v>
      </c>
      <c r="W79" s="190">
        <f t="shared" si="42"/>
        <v>246143.31023958133</v>
      </c>
      <c r="X79" s="190">
        <f t="shared" si="43"/>
        <v>539176.49198390357</v>
      </c>
      <c r="Y79" s="226">
        <f>VLOOKUP($A79,'MacroPD-Cal'!$A:$L,11,FALSE)</f>
        <v>0.1734</v>
      </c>
      <c r="Z79" s="226">
        <f>VLOOKUP($A79,'MacroPD-Cal'!$A:$L,12,FALSE)</f>
        <v>0.20860000000000001</v>
      </c>
      <c r="AA79" s="189">
        <f t="shared" si="44"/>
        <v>18</v>
      </c>
      <c r="AB79" s="227"/>
      <c r="AC79" s="176">
        <v>1</v>
      </c>
    </row>
    <row r="80" spans="1:29" x14ac:dyDescent="0.25">
      <c r="A80" s="346">
        <v>1100000237</v>
      </c>
      <c r="B80" s="268">
        <v>45838</v>
      </c>
      <c r="C80" s="189">
        <f t="shared" si="40"/>
        <v>1126</v>
      </c>
      <c r="D80">
        <v>0</v>
      </c>
      <c r="E80">
        <v>121541.1</v>
      </c>
      <c r="F80" s="176">
        <f t="shared" si="32"/>
        <v>121541.1</v>
      </c>
      <c r="G80" s="176">
        <f>VLOOKUP(A80,'Ref-Data'!A:J,10,FALSE)</f>
        <v>6.25</v>
      </c>
      <c r="H80" s="224">
        <f t="shared" si="33"/>
        <v>3.0828199863107462</v>
      </c>
      <c r="I80" s="224">
        <f t="shared" si="34"/>
        <v>0.82953100194186979</v>
      </c>
      <c r="J80" s="225">
        <f t="shared" si="35"/>
        <v>121541.1</v>
      </c>
      <c r="K80" s="225">
        <f t="shared" si="36"/>
        <v>100822.11046011699</v>
      </c>
      <c r="L80" s="226">
        <f>VLOOKUP($A80,'MacroPD-Cal'!$A:$L,5,FALSE)</f>
        <v>1.4794530011509205E-2</v>
      </c>
      <c r="M80" s="226">
        <f>VLOOKUP($A80,'MacroPD-Cal'!$A:$L,6,FALSE)</f>
        <v>3.3211305442328087E-2</v>
      </c>
      <c r="N80" s="226">
        <f>VLOOKUP($A80,'MacroPD-Cal'!$A:$L,7,FALSE)</f>
        <v>5.3351437527099699E-2</v>
      </c>
      <c r="O80" s="226">
        <f>VLOOKUP($A80,'MacroPD-Cal'!$A:$L,8,FALSE)</f>
        <v>7.7899999999999997E-2</v>
      </c>
      <c r="P80" s="226">
        <f>VLOOKUP($A80,'MacroPD-Cal'!$A:$L,9,FALSE)</f>
        <v>0.11470000000000001</v>
      </c>
      <c r="Q80" s="226">
        <f>VLOOKUP($A80,'MacroPD-Cal'!$A:$L,10,FALSE)</f>
        <v>0.13550000000000001</v>
      </c>
      <c r="R80" s="226">
        <f t="shared" si="37"/>
        <v>0.13870381041578828</v>
      </c>
      <c r="S80" s="226">
        <f t="shared" si="38"/>
        <v>6.6291639511324441E-3</v>
      </c>
      <c r="T80" s="176">
        <f t="shared" si="41"/>
        <v>6350973.20622769</v>
      </c>
      <c r="U80" s="191">
        <f>VLOOKUP(A80,'Ref-Data'!A:N,14,FALSE)</f>
        <v>0.4264</v>
      </c>
      <c r="V80" s="190">
        <f t="shared" si="39"/>
        <v>17952.140418853036</v>
      </c>
      <c r="W80" s="190">
        <f t="shared" si="42"/>
        <v>246143.31023958133</v>
      </c>
      <c r="X80" s="190">
        <f t="shared" si="43"/>
        <v>539176.49198390357</v>
      </c>
      <c r="Y80" s="226">
        <f>VLOOKUP($A80,'MacroPD-Cal'!$A:$L,11,FALSE)</f>
        <v>0.1734</v>
      </c>
      <c r="Z80" s="226">
        <f>VLOOKUP($A80,'MacroPD-Cal'!$A:$L,12,FALSE)</f>
        <v>0.20860000000000001</v>
      </c>
      <c r="AA80" s="189">
        <f t="shared" si="44"/>
        <v>18</v>
      </c>
      <c r="AB80" s="227"/>
      <c r="AC80" s="176">
        <v>1</v>
      </c>
    </row>
    <row r="81" spans="1:29" x14ac:dyDescent="0.25">
      <c r="A81" s="346">
        <v>1100000237</v>
      </c>
      <c r="B81" s="268">
        <v>45930</v>
      </c>
      <c r="C81" s="189">
        <f t="shared" si="40"/>
        <v>1218</v>
      </c>
      <c r="D81">
        <v>0</v>
      </c>
      <c r="E81">
        <v>122876.71</v>
      </c>
      <c r="F81" s="176">
        <f t="shared" si="32"/>
        <v>122876.71</v>
      </c>
      <c r="G81" s="176">
        <f>VLOOKUP(A81,'Ref-Data'!A:J,10,FALSE)</f>
        <v>6.25</v>
      </c>
      <c r="H81" s="224">
        <f t="shared" si="33"/>
        <v>3.3347022587268995</v>
      </c>
      <c r="I81" s="224">
        <f t="shared" si="34"/>
        <v>0.81696006668296461</v>
      </c>
      <c r="J81" s="225">
        <f t="shared" si="35"/>
        <v>122876.71</v>
      </c>
      <c r="K81" s="225">
        <f t="shared" si="36"/>
        <v>100385.3651953833</v>
      </c>
      <c r="L81" s="226">
        <f>VLOOKUP($A81,'MacroPD-Cal'!$A:$L,5,FALSE)</f>
        <v>1.4794530011509205E-2</v>
      </c>
      <c r="M81" s="226">
        <f>VLOOKUP($A81,'MacroPD-Cal'!$A:$L,6,FALSE)</f>
        <v>3.3211305442328087E-2</v>
      </c>
      <c r="N81" s="226">
        <f>VLOOKUP($A81,'MacroPD-Cal'!$A:$L,7,FALSE)</f>
        <v>5.3351437527099699E-2</v>
      </c>
      <c r="O81" s="226">
        <f>VLOOKUP($A81,'MacroPD-Cal'!$A:$L,8,FALSE)</f>
        <v>7.7899999999999997E-2</v>
      </c>
      <c r="P81" s="226">
        <f>VLOOKUP($A81,'MacroPD-Cal'!$A:$L,9,FALSE)</f>
        <v>0.11470000000000001</v>
      </c>
      <c r="Q81" s="226">
        <f>VLOOKUP($A81,'MacroPD-Cal'!$A:$L,10,FALSE)</f>
        <v>0.13550000000000001</v>
      </c>
      <c r="R81" s="226">
        <f t="shared" si="37"/>
        <v>0.14837484766941766</v>
      </c>
      <c r="S81" s="226">
        <f t="shared" si="38"/>
        <v>9.6710372536293887E-3</v>
      </c>
      <c r="T81" s="176">
        <f t="shared" si="41"/>
        <v>6250151.0957675735</v>
      </c>
      <c r="U81" s="191">
        <f>VLOOKUP(A81,'Ref-Data'!A:N,14,FALSE)</f>
        <v>0.4264</v>
      </c>
      <c r="V81" s="190">
        <f t="shared" si="39"/>
        <v>25773.937359114992</v>
      </c>
      <c r="W81" s="190">
        <f t="shared" si="42"/>
        <v>246143.31023958133</v>
      </c>
      <c r="X81" s="190">
        <f t="shared" si="43"/>
        <v>539176.49198390357</v>
      </c>
      <c r="Y81" s="226">
        <f>VLOOKUP($A81,'MacroPD-Cal'!$A:$L,11,FALSE)</f>
        <v>0.1734</v>
      </c>
      <c r="Z81" s="226">
        <f>VLOOKUP($A81,'MacroPD-Cal'!$A:$L,12,FALSE)</f>
        <v>0.20860000000000001</v>
      </c>
      <c r="AA81" s="189">
        <f t="shared" si="44"/>
        <v>18</v>
      </c>
      <c r="AB81" s="227"/>
      <c r="AC81" s="176">
        <v>1</v>
      </c>
    </row>
    <row r="82" spans="1:29" x14ac:dyDescent="0.25">
      <c r="A82" s="346">
        <v>1100000237</v>
      </c>
      <c r="B82" s="268">
        <v>46022</v>
      </c>
      <c r="C82" s="189">
        <f t="shared" si="40"/>
        <v>1310</v>
      </c>
      <c r="D82">
        <v>0</v>
      </c>
      <c r="E82">
        <v>122876.71</v>
      </c>
      <c r="F82" s="176">
        <f t="shared" si="32"/>
        <v>122876.71</v>
      </c>
      <c r="G82" s="176">
        <f>VLOOKUP(A82,'Ref-Data'!A:J,10,FALSE)</f>
        <v>6.25</v>
      </c>
      <c r="H82" s="224">
        <f t="shared" si="33"/>
        <v>3.5865845311430529</v>
      </c>
      <c r="I82" s="224">
        <f t="shared" si="34"/>
        <v>0.804579634748123</v>
      </c>
      <c r="J82" s="225">
        <f t="shared" si="35"/>
        <v>122876.71</v>
      </c>
      <c r="K82" s="225">
        <f t="shared" si="36"/>
        <v>98864.098450851045</v>
      </c>
      <c r="L82" s="226">
        <f>VLOOKUP($A82,'MacroPD-Cal'!$A:$L,5,FALSE)</f>
        <v>1.4794530011509205E-2</v>
      </c>
      <c r="M82" s="226">
        <f>VLOOKUP($A82,'MacroPD-Cal'!$A:$L,6,FALSE)</f>
        <v>3.3211305442328087E-2</v>
      </c>
      <c r="N82" s="226">
        <f>VLOOKUP($A82,'MacroPD-Cal'!$A:$L,7,FALSE)</f>
        <v>5.3351437527099699E-2</v>
      </c>
      <c r="O82" s="226">
        <f>VLOOKUP($A82,'MacroPD-Cal'!$A:$L,8,FALSE)</f>
        <v>7.7899999999999997E-2</v>
      </c>
      <c r="P82" s="226">
        <f>VLOOKUP($A82,'MacroPD-Cal'!$A:$L,9,FALSE)</f>
        <v>0.11470000000000001</v>
      </c>
      <c r="Q82" s="226">
        <f>VLOOKUP($A82,'MacroPD-Cal'!$A:$L,10,FALSE)</f>
        <v>0.13550000000000001</v>
      </c>
      <c r="R82" s="226">
        <f t="shared" si="37"/>
        <v>0.15793729398453815</v>
      </c>
      <c r="S82" s="226">
        <f t="shared" si="38"/>
        <v>9.5624463151204875E-3</v>
      </c>
      <c r="T82" s="176">
        <f t="shared" si="41"/>
        <v>6149765.7305721901</v>
      </c>
      <c r="U82" s="191">
        <f>VLOOKUP(A82,'Ref-Data'!A:N,14,FALSE)</f>
        <v>0.4264</v>
      </c>
      <c r="V82" s="190">
        <f t="shared" si="39"/>
        <v>25075.221502403652</v>
      </c>
      <c r="W82" s="190">
        <f t="shared" si="42"/>
        <v>246143.31023958133</v>
      </c>
      <c r="X82" s="190">
        <f t="shared" si="43"/>
        <v>539176.49198390357</v>
      </c>
      <c r="Y82" s="226">
        <f>VLOOKUP($A82,'MacroPD-Cal'!$A:$L,11,FALSE)</f>
        <v>0.1734</v>
      </c>
      <c r="Z82" s="226">
        <f>VLOOKUP($A82,'MacroPD-Cal'!$A:$L,12,FALSE)</f>
        <v>0.20860000000000001</v>
      </c>
      <c r="AA82" s="189">
        <f t="shared" si="44"/>
        <v>18</v>
      </c>
      <c r="AB82" s="227"/>
      <c r="AC82" s="176">
        <v>1</v>
      </c>
    </row>
    <row r="83" spans="1:29" x14ac:dyDescent="0.25">
      <c r="A83" s="346">
        <v>1100000237</v>
      </c>
      <c r="B83" s="268">
        <v>46112</v>
      </c>
      <c r="C83" s="189">
        <f t="shared" si="40"/>
        <v>1400</v>
      </c>
      <c r="D83">
        <v>0</v>
      </c>
      <c r="E83">
        <v>120205.48</v>
      </c>
      <c r="F83" s="176">
        <f t="shared" si="32"/>
        <v>120205.48</v>
      </c>
      <c r="G83" s="176">
        <f>VLOOKUP(A83,'Ref-Data'!A:J,10,FALSE)</f>
        <v>6.25</v>
      </c>
      <c r="H83" s="224">
        <f t="shared" si="33"/>
        <v>3.8329911019849416</v>
      </c>
      <c r="I83" s="224">
        <f t="shared" si="34"/>
        <v>0.79264990544423497</v>
      </c>
      <c r="J83" s="225">
        <f t="shared" si="35"/>
        <v>120205.48</v>
      </c>
      <c r="K83" s="225">
        <f t="shared" si="36"/>
        <v>95280.862355878868</v>
      </c>
      <c r="L83" s="226">
        <f>VLOOKUP($A83,'MacroPD-Cal'!$A:$L,5,FALSE)</f>
        <v>1.4794530011509205E-2</v>
      </c>
      <c r="M83" s="226">
        <f>VLOOKUP($A83,'MacroPD-Cal'!$A:$L,6,FALSE)</f>
        <v>3.3211305442328087E-2</v>
      </c>
      <c r="N83" s="226">
        <f>VLOOKUP($A83,'MacroPD-Cal'!$A:$L,7,FALSE)</f>
        <v>5.3351437527099699E-2</v>
      </c>
      <c r="O83" s="226">
        <f>VLOOKUP($A83,'MacroPD-Cal'!$A:$L,8,FALSE)</f>
        <v>7.7899999999999997E-2</v>
      </c>
      <c r="P83" s="226">
        <f>VLOOKUP($A83,'MacroPD-Cal'!$A:$L,9,FALSE)</f>
        <v>0.11470000000000001</v>
      </c>
      <c r="Q83" s="226">
        <f>VLOOKUP($A83,'MacroPD-Cal'!$A:$L,10,FALSE)</f>
        <v>0.13550000000000001</v>
      </c>
      <c r="R83" s="226">
        <f t="shared" si="37"/>
        <v>0.16718795680285814</v>
      </c>
      <c r="S83" s="226">
        <f t="shared" si="38"/>
        <v>9.2506628183199879E-3</v>
      </c>
      <c r="T83" s="176">
        <f t="shared" si="41"/>
        <v>6050901.6321213385</v>
      </c>
      <c r="U83" s="191">
        <f>VLOOKUP(A83,'Ref-Data'!A:N,14,FALSE)</f>
        <v>0.4264</v>
      </c>
      <c r="V83" s="190">
        <f t="shared" si="39"/>
        <v>23867.676357913861</v>
      </c>
      <c r="W83" s="190">
        <f t="shared" si="42"/>
        <v>246143.31023958133</v>
      </c>
      <c r="X83" s="190">
        <f t="shared" si="43"/>
        <v>539176.49198390357</v>
      </c>
      <c r="Y83" s="226">
        <f>VLOOKUP($A83,'MacroPD-Cal'!$A:$L,11,FALSE)</f>
        <v>0.1734</v>
      </c>
      <c r="Z83" s="226">
        <f>VLOOKUP($A83,'MacroPD-Cal'!$A:$L,12,FALSE)</f>
        <v>0.20860000000000001</v>
      </c>
      <c r="AA83" s="189">
        <f t="shared" si="44"/>
        <v>18</v>
      </c>
      <c r="AB83" s="227"/>
      <c r="AC83" s="176">
        <v>1</v>
      </c>
    </row>
    <row r="84" spans="1:29" x14ac:dyDescent="0.25">
      <c r="A84" s="346">
        <v>1100000237</v>
      </c>
      <c r="B84" s="268">
        <v>46203</v>
      </c>
      <c r="C84" s="189">
        <f t="shared" si="40"/>
        <v>1491</v>
      </c>
      <c r="D84">
        <v>0</v>
      </c>
      <c r="E84">
        <v>121541.1</v>
      </c>
      <c r="F84" s="176">
        <f t="shared" si="32"/>
        <v>121541.1</v>
      </c>
      <c r="G84" s="176">
        <f>VLOOKUP(A84,'Ref-Data'!A:J,10,FALSE)</f>
        <v>6.25</v>
      </c>
      <c r="H84" s="224">
        <f t="shared" si="33"/>
        <v>4.0821355236139629</v>
      </c>
      <c r="I84" s="224">
        <f t="shared" si="34"/>
        <v>0.78076745815276449</v>
      </c>
      <c r="J84" s="225">
        <f t="shared" si="35"/>
        <v>121541.1</v>
      </c>
      <c r="K84" s="225">
        <f t="shared" si="36"/>
        <v>94895.335708090963</v>
      </c>
      <c r="L84" s="226">
        <f>VLOOKUP($A84,'MacroPD-Cal'!$A:$L,5,FALSE)</f>
        <v>1.4794530011509205E-2</v>
      </c>
      <c r="M84" s="226">
        <f>VLOOKUP($A84,'MacroPD-Cal'!$A:$L,6,FALSE)</f>
        <v>3.3211305442328087E-2</v>
      </c>
      <c r="N84" s="226">
        <f>VLOOKUP($A84,'MacroPD-Cal'!$A:$L,7,FALSE)</f>
        <v>5.3351437527099699E-2</v>
      </c>
      <c r="O84" s="226">
        <f>VLOOKUP($A84,'MacroPD-Cal'!$A:$L,8,FALSE)</f>
        <v>7.7899999999999997E-2</v>
      </c>
      <c r="P84" s="226">
        <f>VLOOKUP($A84,'MacroPD-Cal'!$A:$L,9,FALSE)</f>
        <v>0.11470000000000001</v>
      </c>
      <c r="Q84" s="226">
        <f>VLOOKUP($A84,'MacroPD-Cal'!$A:$L,10,FALSE)</f>
        <v>0.13550000000000001</v>
      </c>
      <c r="R84" s="226">
        <f t="shared" si="37"/>
        <v>0.17634926080953384</v>
      </c>
      <c r="S84" s="226">
        <f t="shared" si="38"/>
        <v>9.1613040066756968E-3</v>
      </c>
      <c r="T84" s="176">
        <f t="shared" si="41"/>
        <v>5955620.7697654599</v>
      </c>
      <c r="U84" s="191">
        <f>VLOOKUP(A84,'Ref-Data'!A:N,14,FALSE)</f>
        <v>0.4264</v>
      </c>
      <c r="V84" s="190">
        <f t="shared" si="39"/>
        <v>23264.918032013065</v>
      </c>
      <c r="W84" s="190">
        <f t="shared" si="42"/>
        <v>246143.31023958133</v>
      </c>
      <c r="X84" s="190">
        <f t="shared" si="43"/>
        <v>539176.49198390357</v>
      </c>
      <c r="Y84" s="226">
        <f>VLOOKUP($A84,'MacroPD-Cal'!$A:$L,11,FALSE)</f>
        <v>0.1734</v>
      </c>
      <c r="Z84" s="226">
        <f>VLOOKUP($A84,'MacroPD-Cal'!$A:$L,12,FALSE)</f>
        <v>0.20860000000000001</v>
      </c>
      <c r="AA84" s="189">
        <f t="shared" si="44"/>
        <v>18</v>
      </c>
      <c r="AB84" s="227"/>
      <c r="AC84" s="176">
        <v>1</v>
      </c>
    </row>
    <row r="85" spans="1:29" x14ac:dyDescent="0.25">
      <c r="A85" s="346">
        <v>1100000237</v>
      </c>
      <c r="B85" s="268">
        <v>46281</v>
      </c>
      <c r="C85" s="189">
        <f t="shared" si="40"/>
        <v>1569</v>
      </c>
      <c r="D85">
        <v>7500000</v>
      </c>
      <c r="E85">
        <v>104178.08</v>
      </c>
      <c r="F85" s="176">
        <f t="shared" si="32"/>
        <v>7604178.0800000001</v>
      </c>
      <c r="G85" s="176">
        <f>VLOOKUP(A85,'Ref-Data'!A:J,10,FALSE)</f>
        <v>6.25</v>
      </c>
      <c r="H85" s="224">
        <f t="shared" si="33"/>
        <v>4.2956878850102669</v>
      </c>
      <c r="I85" s="224">
        <f t="shared" si="34"/>
        <v>0.77072437972906715</v>
      </c>
      <c r="J85" s="225">
        <f t="shared" si="35"/>
        <v>7604178.0800000001</v>
      </c>
      <c r="K85" s="225">
        <f t="shared" si="36"/>
        <v>5860725.4340573689</v>
      </c>
      <c r="L85" s="226">
        <f>VLOOKUP($A85,'MacroPD-Cal'!$A:$L,5,FALSE)</f>
        <v>1.4794530011509205E-2</v>
      </c>
      <c r="M85" s="226">
        <f>VLOOKUP($A85,'MacroPD-Cal'!$A:$L,6,FALSE)</f>
        <v>3.3211305442328087E-2</v>
      </c>
      <c r="N85" s="226">
        <f>VLOOKUP($A85,'MacroPD-Cal'!$A:$L,7,FALSE)</f>
        <v>5.3351437527099699E-2</v>
      </c>
      <c r="O85" s="226">
        <f>VLOOKUP($A85,'MacroPD-Cal'!$A:$L,8,FALSE)</f>
        <v>7.7899999999999997E-2</v>
      </c>
      <c r="P85" s="226">
        <f>VLOOKUP($A85,'MacroPD-Cal'!$A:$L,9,FALSE)</f>
        <v>0.11470000000000001</v>
      </c>
      <c r="Q85" s="226">
        <f>VLOOKUP($A85,'MacroPD-Cal'!$A:$L,10,FALSE)</f>
        <v>0.13550000000000001</v>
      </c>
      <c r="R85" s="226">
        <f t="shared" si="37"/>
        <v>0.18396818591226949</v>
      </c>
      <c r="S85" s="226">
        <f t="shared" si="38"/>
        <v>7.6189251027356519E-3</v>
      </c>
      <c r="T85" s="176">
        <f t="shared" si="41"/>
        <v>5860725.4340573689</v>
      </c>
      <c r="U85" s="191">
        <f>VLOOKUP(A85,'Ref-Data'!A:N,14,FALSE)</f>
        <v>0.4264</v>
      </c>
      <c r="V85" s="190">
        <f t="shared" si="39"/>
        <v>19039.795354538612</v>
      </c>
      <c r="W85" s="190">
        <f t="shared" si="42"/>
        <v>246143.31023958133</v>
      </c>
      <c r="X85" s="190">
        <f t="shared" si="43"/>
        <v>539176.49198390357</v>
      </c>
      <c r="Y85" s="226">
        <f>VLOOKUP($A85,'MacroPD-Cal'!$A:$L,11,FALSE)</f>
        <v>0.1734</v>
      </c>
      <c r="Z85" s="226">
        <f>VLOOKUP($A85,'MacroPD-Cal'!$A:$L,12,FALSE)</f>
        <v>0.20860000000000001</v>
      </c>
      <c r="AA85" s="189">
        <f t="shared" si="44"/>
        <v>18</v>
      </c>
      <c r="AB85" s="227"/>
      <c r="AC85" s="176">
        <v>1</v>
      </c>
    </row>
    <row r="86" spans="1:29" x14ac:dyDescent="0.25">
      <c r="A86" s="346">
        <v>1100000238</v>
      </c>
      <c r="B86" s="268">
        <v>44742</v>
      </c>
      <c r="C86" s="189">
        <f t="shared" si="40"/>
        <v>30</v>
      </c>
      <c r="D86">
        <v>0</v>
      </c>
      <c r="E86">
        <v>0</v>
      </c>
      <c r="F86" s="176">
        <f t="shared" si="32"/>
        <v>0</v>
      </c>
      <c r="G86" s="176">
        <f>VLOOKUP(A86,'Ref-Data'!A:J,10,FALSE)</f>
        <v>5.75</v>
      </c>
      <c r="H86" s="224">
        <f t="shared" si="33"/>
        <v>8.2135523613963035E-2</v>
      </c>
      <c r="I86" s="224">
        <f t="shared" si="34"/>
        <v>0.99541852450108548</v>
      </c>
      <c r="J86" s="225">
        <f t="shared" si="35"/>
        <v>0</v>
      </c>
      <c r="K86" s="225">
        <f t="shared" si="36"/>
        <v>0</v>
      </c>
      <c r="L86" s="226">
        <f>VLOOKUP($A86,'MacroPD-Cal'!$A:$L,5,FALSE)</f>
        <v>1.4794530011509205E-2</v>
      </c>
      <c r="M86" s="226">
        <f>VLOOKUP($A86,'MacroPD-Cal'!$A:$L,6,FALSE)</f>
        <v>3.3211305442328087E-2</v>
      </c>
      <c r="N86" s="226">
        <f>VLOOKUP($A86,'MacroPD-Cal'!$A:$L,7,FALSE)</f>
        <v>5.3351437527099699E-2</v>
      </c>
      <c r="O86" s="226">
        <f>VLOOKUP($A86,'MacroPD-Cal'!$A:$L,8,FALSE)</f>
        <v>7.7899999999999997E-2</v>
      </c>
      <c r="P86" s="226">
        <f>VLOOKUP($A86,'MacroPD-Cal'!$A:$L,9,FALSE)</f>
        <v>0.11470000000000001</v>
      </c>
      <c r="Q86" s="226">
        <f>VLOOKUP($A86,'MacroPD-Cal'!$A:$L,10,FALSE)</f>
        <v>0.13550000000000001</v>
      </c>
      <c r="R86" s="226">
        <f t="shared" si="37"/>
        <v>4.8849693621538792E-3</v>
      </c>
      <c r="S86" s="226">
        <f t="shared" si="38"/>
        <v>4.8849693621538792E-3</v>
      </c>
      <c r="T86" s="176">
        <f t="shared" si="41"/>
        <v>0</v>
      </c>
      <c r="U86" s="191">
        <f>VLOOKUP(A86,'Ref-Data'!A:N,14,FALSE)</f>
        <v>0.4264</v>
      </c>
      <c r="V86" s="190">
        <f t="shared" si="39"/>
        <v>0</v>
      </c>
      <c r="W86" s="190">
        <f t="shared" si="42"/>
        <v>0</v>
      </c>
      <c r="X86" s="190">
        <f t="shared" si="43"/>
        <v>0</v>
      </c>
      <c r="Y86" s="226">
        <f>VLOOKUP($A86,'MacroPD-Cal'!$A:$L,11,FALSE)</f>
        <v>0.1734</v>
      </c>
      <c r="Z86" s="226">
        <f>VLOOKUP($A86,'MacroPD-Cal'!$A:$L,12,FALSE)</f>
        <v>0.20860000000000001</v>
      </c>
      <c r="AA86" s="189">
        <f t="shared" si="44"/>
        <v>18</v>
      </c>
      <c r="AB86" s="227"/>
      <c r="AC86" s="176">
        <v>1</v>
      </c>
    </row>
    <row r="87" spans="1:29" x14ac:dyDescent="0.25">
      <c r="A87" s="346">
        <v>1100000238</v>
      </c>
      <c r="B87" s="268">
        <v>44834</v>
      </c>
      <c r="C87" s="189">
        <f t="shared" si="40"/>
        <v>122</v>
      </c>
      <c r="D87">
        <v>0</v>
      </c>
      <c r="E87">
        <v>0</v>
      </c>
      <c r="F87" s="176">
        <f t="shared" si="32"/>
        <v>0</v>
      </c>
      <c r="G87" s="176">
        <f>VLOOKUP(A87,'Ref-Data'!A:J,10,FALSE)</f>
        <v>5.75</v>
      </c>
      <c r="H87" s="224">
        <f t="shared" si="33"/>
        <v>0.33401779603011633</v>
      </c>
      <c r="I87" s="224">
        <f t="shared" si="34"/>
        <v>0.98149913752131757</v>
      </c>
      <c r="J87" s="225">
        <f t="shared" si="35"/>
        <v>0</v>
      </c>
      <c r="K87" s="225">
        <f t="shared" si="36"/>
        <v>0</v>
      </c>
      <c r="L87" s="226">
        <f>VLOOKUP($A87,'MacroPD-Cal'!$A:$L,5,FALSE)</f>
        <v>1.4794530011509205E-2</v>
      </c>
      <c r="M87" s="226">
        <f>VLOOKUP($A87,'MacroPD-Cal'!$A:$L,6,FALSE)</f>
        <v>3.3211305442328087E-2</v>
      </c>
      <c r="N87" s="226">
        <f>VLOOKUP($A87,'MacroPD-Cal'!$A:$L,7,FALSE)</f>
        <v>5.3351437527099699E-2</v>
      </c>
      <c r="O87" s="226">
        <f>VLOOKUP($A87,'MacroPD-Cal'!$A:$L,8,FALSE)</f>
        <v>7.7899999999999997E-2</v>
      </c>
      <c r="P87" s="226">
        <f>VLOOKUP($A87,'MacroPD-Cal'!$A:$L,9,FALSE)</f>
        <v>0.11470000000000001</v>
      </c>
      <c r="Q87" s="226">
        <f>VLOOKUP($A87,'MacroPD-Cal'!$A:$L,10,FALSE)</f>
        <v>0.13550000000000001</v>
      </c>
      <c r="R87" s="226">
        <f t="shared" si="37"/>
        <v>2.0983877538225199E-2</v>
      </c>
      <c r="S87" s="226">
        <f t="shared" si="38"/>
        <v>1.6098908176071319E-2</v>
      </c>
      <c r="T87" s="176">
        <f t="shared" si="41"/>
        <v>0</v>
      </c>
      <c r="U87" s="191">
        <f>VLOOKUP(A87,'Ref-Data'!A:N,14,FALSE)</f>
        <v>0.4264</v>
      </c>
      <c r="V87" s="190">
        <f t="shared" si="39"/>
        <v>0</v>
      </c>
      <c r="W87" s="190">
        <f t="shared" si="42"/>
        <v>0</v>
      </c>
      <c r="X87" s="190">
        <f t="shared" si="43"/>
        <v>0</v>
      </c>
      <c r="Y87" s="226">
        <f>VLOOKUP($A87,'MacroPD-Cal'!$A:$L,11,FALSE)</f>
        <v>0.1734</v>
      </c>
      <c r="Z87" s="226">
        <f>VLOOKUP($A87,'MacroPD-Cal'!$A:$L,12,FALSE)</f>
        <v>0.20860000000000001</v>
      </c>
      <c r="AA87" s="189">
        <f t="shared" si="44"/>
        <v>18</v>
      </c>
      <c r="AB87" s="227"/>
      <c r="AC87" s="176">
        <v>1</v>
      </c>
    </row>
    <row r="88" spans="1:29" x14ac:dyDescent="0.25">
      <c r="A88" s="346">
        <v>1100000238</v>
      </c>
      <c r="B88" s="268">
        <v>44925</v>
      </c>
      <c r="C88" s="189">
        <f t="shared" si="40"/>
        <v>213</v>
      </c>
      <c r="D88">
        <v>0</v>
      </c>
      <c r="E88">
        <v>0</v>
      </c>
      <c r="F88" s="176">
        <f t="shared" si="32"/>
        <v>0</v>
      </c>
      <c r="G88" s="176">
        <f>VLOOKUP(A88,'Ref-Data'!A:J,10,FALSE)</f>
        <v>5.75</v>
      </c>
      <c r="H88" s="224">
        <f t="shared" si="33"/>
        <v>0.58316221765913756</v>
      </c>
      <c r="I88" s="224">
        <f t="shared" si="34"/>
        <v>0.96792253704138353</v>
      </c>
      <c r="J88" s="225">
        <f t="shared" si="35"/>
        <v>0</v>
      </c>
      <c r="K88" s="225">
        <f t="shared" si="36"/>
        <v>0</v>
      </c>
      <c r="L88" s="226">
        <f>VLOOKUP($A88,'MacroPD-Cal'!$A:$L,5,FALSE)</f>
        <v>1.4794530011509205E-2</v>
      </c>
      <c r="M88" s="226">
        <f>VLOOKUP($A88,'MacroPD-Cal'!$A:$L,6,FALSE)</f>
        <v>3.3211305442328087E-2</v>
      </c>
      <c r="N88" s="226">
        <f>VLOOKUP($A88,'MacroPD-Cal'!$A:$L,7,FALSE)</f>
        <v>5.3351437527099699E-2</v>
      </c>
      <c r="O88" s="226">
        <f>VLOOKUP($A88,'MacroPD-Cal'!$A:$L,8,FALSE)</f>
        <v>7.7899999999999997E-2</v>
      </c>
      <c r="P88" s="226">
        <f>VLOOKUP($A88,'MacroPD-Cal'!$A:$L,9,FALSE)</f>
        <v>0.11470000000000001</v>
      </c>
      <c r="Q88" s="226">
        <f>VLOOKUP($A88,'MacroPD-Cal'!$A:$L,10,FALSE)</f>
        <v>0.13550000000000001</v>
      </c>
      <c r="R88" s="226">
        <f t="shared" si="37"/>
        <v>3.9910897634798312E-2</v>
      </c>
      <c r="S88" s="226">
        <f t="shared" si="38"/>
        <v>1.8927020096573113E-2</v>
      </c>
      <c r="T88" s="176">
        <f t="shared" si="41"/>
        <v>0</v>
      </c>
      <c r="U88" s="191">
        <f>VLOOKUP(A88,'Ref-Data'!A:N,14,FALSE)</f>
        <v>0.4264</v>
      </c>
      <c r="V88" s="190">
        <f t="shared" si="39"/>
        <v>0</v>
      </c>
      <c r="W88" s="190">
        <f t="shared" si="42"/>
        <v>0</v>
      </c>
      <c r="X88" s="190">
        <f t="shared" si="43"/>
        <v>0</v>
      </c>
      <c r="Y88" s="226">
        <f>VLOOKUP($A88,'MacroPD-Cal'!$A:$L,11,FALSE)</f>
        <v>0.1734</v>
      </c>
      <c r="Z88" s="226">
        <f>VLOOKUP($A88,'MacroPD-Cal'!$A:$L,12,FALSE)</f>
        <v>0.20860000000000001</v>
      </c>
      <c r="AA88" s="189">
        <f t="shared" si="44"/>
        <v>18</v>
      </c>
      <c r="AB88" s="227"/>
      <c r="AC88" s="176">
        <v>1</v>
      </c>
    </row>
    <row r="89" spans="1:29" x14ac:dyDescent="0.25">
      <c r="A89" s="346">
        <v>1100000238</v>
      </c>
      <c r="B89" s="268">
        <v>45016</v>
      </c>
      <c r="C89" s="189">
        <f t="shared" si="40"/>
        <v>304</v>
      </c>
      <c r="D89">
        <v>0</v>
      </c>
      <c r="E89">
        <v>0</v>
      </c>
      <c r="F89" s="176">
        <f t="shared" si="32"/>
        <v>0</v>
      </c>
      <c r="G89" s="176">
        <f>VLOOKUP(A89,'Ref-Data'!A:J,10,FALSE)</f>
        <v>5.75</v>
      </c>
      <c r="H89" s="224">
        <f t="shared" si="33"/>
        <v>0.83230663928815884</v>
      </c>
      <c r="I89" s="224">
        <f t="shared" si="34"/>
        <v>0.95453373507654249</v>
      </c>
      <c r="J89" s="225">
        <f t="shared" si="35"/>
        <v>0</v>
      </c>
      <c r="K89" s="225">
        <f t="shared" si="36"/>
        <v>0</v>
      </c>
      <c r="L89" s="226">
        <f>VLOOKUP($A89,'MacroPD-Cal'!$A:$L,5,FALSE)</f>
        <v>1.4794530011509205E-2</v>
      </c>
      <c r="M89" s="226">
        <f>VLOOKUP($A89,'MacroPD-Cal'!$A:$L,6,FALSE)</f>
        <v>3.3211305442328087E-2</v>
      </c>
      <c r="N89" s="226">
        <f>VLOOKUP($A89,'MacroPD-Cal'!$A:$L,7,FALSE)</f>
        <v>5.3351437527099699E-2</v>
      </c>
      <c r="O89" s="226">
        <f>VLOOKUP($A89,'MacroPD-Cal'!$A:$L,8,FALSE)</f>
        <v>7.7899999999999997E-2</v>
      </c>
      <c r="P89" s="226">
        <f>VLOOKUP($A89,'MacroPD-Cal'!$A:$L,9,FALSE)</f>
        <v>0.11470000000000001</v>
      </c>
      <c r="Q89" s="226">
        <f>VLOOKUP($A89,'MacroPD-Cal'!$A:$L,10,FALSE)</f>
        <v>0.13550000000000001</v>
      </c>
      <c r="R89" s="226">
        <f t="shared" si="37"/>
        <v>6.1433476233099048E-2</v>
      </c>
      <c r="S89" s="226">
        <f t="shared" si="38"/>
        <v>2.1522578598300736E-2</v>
      </c>
      <c r="T89" s="176">
        <f t="shared" si="41"/>
        <v>0</v>
      </c>
      <c r="U89" s="191">
        <f>VLOOKUP(A89,'Ref-Data'!A:N,14,FALSE)</f>
        <v>0.4264</v>
      </c>
      <c r="V89" s="190">
        <f t="shared" si="39"/>
        <v>0</v>
      </c>
      <c r="W89" s="190">
        <f t="shared" si="42"/>
        <v>0</v>
      </c>
      <c r="X89" s="190">
        <f t="shared" si="43"/>
        <v>0</v>
      </c>
      <c r="Y89" s="226">
        <f>VLOOKUP($A89,'MacroPD-Cal'!$A:$L,11,FALSE)</f>
        <v>0.1734</v>
      </c>
      <c r="Z89" s="226">
        <f>VLOOKUP($A89,'MacroPD-Cal'!$A:$L,12,FALSE)</f>
        <v>0.20860000000000001</v>
      </c>
      <c r="AA89" s="189">
        <f t="shared" si="44"/>
        <v>18</v>
      </c>
      <c r="AB89" s="227"/>
      <c r="AC89" s="176">
        <v>1</v>
      </c>
    </row>
    <row r="90" spans="1:29" x14ac:dyDescent="0.25">
      <c r="A90" s="346">
        <v>1100000238</v>
      </c>
      <c r="B90" s="268">
        <v>45107</v>
      </c>
      <c r="C90" s="189">
        <f t="shared" si="40"/>
        <v>395</v>
      </c>
      <c r="D90">
        <v>0</v>
      </c>
      <c r="E90">
        <v>0</v>
      </c>
      <c r="F90" s="176">
        <f t="shared" si="32"/>
        <v>0</v>
      </c>
      <c r="G90" s="176">
        <f>VLOOKUP(A90,'Ref-Data'!A:J,10,FALSE)</f>
        <v>5.75</v>
      </c>
      <c r="H90" s="224">
        <f t="shared" si="33"/>
        <v>1</v>
      </c>
      <c r="I90" s="224">
        <f t="shared" si="34"/>
        <v>0.94562647754137108</v>
      </c>
      <c r="J90" s="225">
        <f t="shared" si="35"/>
        <v>0</v>
      </c>
      <c r="K90" s="225">
        <f t="shared" si="36"/>
        <v>0</v>
      </c>
      <c r="L90" s="226">
        <f>VLOOKUP($A90,'MacroPD-Cal'!$A:$L,5,FALSE)</f>
        <v>1.4794530011509205E-2</v>
      </c>
      <c r="M90" s="226">
        <f>VLOOKUP($A90,'MacroPD-Cal'!$A:$L,6,FALSE)</f>
        <v>3.3211305442328087E-2</v>
      </c>
      <c r="N90" s="226">
        <f>VLOOKUP($A90,'MacroPD-Cal'!$A:$L,7,FALSE)</f>
        <v>5.3351437527099699E-2</v>
      </c>
      <c r="O90" s="226">
        <f>VLOOKUP($A90,'MacroPD-Cal'!$A:$L,8,FALSE)</f>
        <v>7.7899999999999997E-2</v>
      </c>
      <c r="P90" s="226">
        <f>VLOOKUP($A90,'MacroPD-Cal'!$A:$L,9,FALSE)</f>
        <v>0.11470000000000001</v>
      </c>
      <c r="Q90" s="226">
        <f>VLOOKUP($A90,'MacroPD-Cal'!$A:$L,10,FALSE)</f>
        <v>0.13550000000000001</v>
      </c>
      <c r="R90" s="226">
        <f t="shared" si="37"/>
        <v>7.7899999999999997E-2</v>
      </c>
      <c r="S90" s="226">
        <f t="shared" si="38"/>
        <v>1.6466523766900949E-2</v>
      </c>
      <c r="T90" s="176">
        <f t="shared" si="41"/>
        <v>0</v>
      </c>
      <c r="U90" s="191">
        <f>VLOOKUP(A90,'Ref-Data'!A:N,14,FALSE)</f>
        <v>0.4264</v>
      </c>
      <c r="V90" s="190">
        <f t="shared" si="39"/>
        <v>0</v>
      </c>
      <c r="W90" s="190">
        <f t="shared" si="42"/>
        <v>0</v>
      </c>
      <c r="X90" s="190">
        <f t="shared" si="43"/>
        <v>0</v>
      </c>
      <c r="Y90" s="226">
        <f>VLOOKUP($A90,'MacroPD-Cal'!$A:$L,11,FALSE)</f>
        <v>0.1734</v>
      </c>
      <c r="Z90" s="226">
        <f>VLOOKUP($A90,'MacroPD-Cal'!$A:$L,12,FALSE)</f>
        <v>0.20860000000000001</v>
      </c>
      <c r="AA90" s="189">
        <f t="shared" si="44"/>
        <v>18</v>
      </c>
      <c r="AB90" s="227"/>
      <c r="AC90" s="176">
        <v>1</v>
      </c>
    </row>
    <row r="91" spans="1:29" x14ac:dyDescent="0.25">
      <c r="A91" s="346">
        <v>1100000238</v>
      </c>
      <c r="B91" s="268">
        <v>45198</v>
      </c>
      <c r="C91" s="189">
        <f t="shared" si="40"/>
        <v>486</v>
      </c>
      <c r="D91">
        <v>0</v>
      </c>
      <c r="E91">
        <v>0</v>
      </c>
      <c r="F91" s="176">
        <f t="shared" si="32"/>
        <v>0</v>
      </c>
      <c r="G91" s="176">
        <f>VLOOKUP(A91,'Ref-Data'!A:J,10,FALSE)</f>
        <v>5.75</v>
      </c>
      <c r="H91" s="224">
        <f t="shared" si="33"/>
        <v>1.3305954825462012</v>
      </c>
      <c r="I91" s="224">
        <f t="shared" si="34"/>
        <v>0.9283091717229206</v>
      </c>
      <c r="J91" s="225">
        <f t="shared" si="35"/>
        <v>0</v>
      </c>
      <c r="K91" s="225">
        <f t="shared" si="36"/>
        <v>0</v>
      </c>
      <c r="L91" s="226">
        <f>VLOOKUP($A91,'MacroPD-Cal'!$A:$L,5,FALSE)</f>
        <v>1.4794530011509205E-2</v>
      </c>
      <c r="M91" s="226">
        <f>VLOOKUP($A91,'MacroPD-Cal'!$A:$L,6,FALSE)</f>
        <v>3.3211305442328087E-2</v>
      </c>
      <c r="N91" s="226">
        <f>VLOOKUP($A91,'MacroPD-Cal'!$A:$L,7,FALSE)</f>
        <v>5.3351437527099699E-2</v>
      </c>
      <c r="O91" s="226">
        <f>VLOOKUP($A91,'MacroPD-Cal'!$A:$L,8,FALSE)</f>
        <v>7.7899999999999997E-2</v>
      </c>
      <c r="P91" s="226">
        <f>VLOOKUP($A91,'MacroPD-Cal'!$A:$L,9,FALSE)</f>
        <v>0.11470000000000001</v>
      </c>
      <c r="Q91" s="226">
        <f>VLOOKUP($A91,'MacroPD-Cal'!$A:$L,10,FALSE)</f>
        <v>0.13550000000000001</v>
      </c>
      <c r="R91" s="226">
        <f t="shared" si="37"/>
        <v>9.0232129163796193E-2</v>
      </c>
      <c r="S91" s="226">
        <f t="shared" si="38"/>
        <v>1.2332129163796196E-2</v>
      </c>
      <c r="T91" s="176">
        <f t="shared" si="41"/>
        <v>0</v>
      </c>
      <c r="U91" s="191">
        <f>VLOOKUP(A91,'Ref-Data'!A:N,14,FALSE)</f>
        <v>0.4264</v>
      </c>
      <c r="V91" s="190">
        <f t="shared" si="39"/>
        <v>0</v>
      </c>
      <c r="W91" s="190">
        <f t="shared" si="42"/>
        <v>0</v>
      </c>
      <c r="X91" s="190">
        <f t="shared" si="43"/>
        <v>0</v>
      </c>
      <c r="Y91" s="226">
        <f>VLOOKUP($A91,'MacroPD-Cal'!$A:$L,11,FALSE)</f>
        <v>0.1734</v>
      </c>
      <c r="Z91" s="226">
        <f>VLOOKUP($A91,'MacroPD-Cal'!$A:$L,12,FALSE)</f>
        <v>0.20860000000000001</v>
      </c>
      <c r="AA91" s="189">
        <f t="shared" si="44"/>
        <v>18</v>
      </c>
      <c r="AB91" s="227"/>
      <c r="AC91" s="176">
        <v>1</v>
      </c>
    </row>
    <row r="92" spans="1:29" x14ac:dyDescent="0.25">
      <c r="A92" s="346">
        <v>1100000238</v>
      </c>
      <c r="B92" s="268">
        <v>45289</v>
      </c>
      <c r="C92" s="189">
        <f t="shared" si="40"/>
        <v>577</v>
      </c>
      <c r="D92">
        <v>0</v>
      </c>
      <c r="E92">
        <v>0</v>
      </c>
      <c r="F92" s="176">
        <f t="shared" si="32"/>
        <v>0</v>
      </c>
      <c r="G92" s="176">
        <f>VLOOKUP(A92,'Ref-Data'!A:J,10,FALSE)</f>
        <v>5.75</v>
      </c>
      <c r="H92" s="224">
        <f t="shared" si="33"/>
        <v>1.5797399041752225</v>
      </c>
      <c r="I92" s="224">
        <f t="shared" si="34"/>
        <v>0.9154683221851726</v>
      </c>
      <c r="J92" s="225">
        <f t="shared" si="35"/>
        <v>0</v>
      </c>
      <c r="K92" s="225">
        <f t="shared" si="36"/>
        <v>0</v>
      </c>
      <c r="L92" s="226">
        <f>VLOOKUP($A92,'MacroPD-Cal'!$A:$L,5,FALSE)</f>
        <v>1.4794530011509205E-2</v>
      </c>
      <c r="M92" s="226">
        <f>VLOOKUP($A92,'MacroPD-Cal'!$A:$L,6,FALSE)</f>
        <v>3.3211305442328087E-2</v>
      </c>
      <c r="N92" s="226">
        <f>VLOOKUP($A92,'MacroPD-Cal'!$A:$L,7,FALSE)</f>
        <v>5.3351437527099699E-2</v>
      </c>
      <c r="O92" s="226">
        <f>VLOOKUP($A92,'MacroPD-Cal'!$A:$L,8,FALSE)</f>
        <v>7.7899999999999997E-2</v>
      </c>
      <c r="P92" s="226">
        <f>VLOOKUP($A92,'MacroPD-Cal'!$A:$L,9,FALSE)</f>
        <v>0.11470000000000001</v>
      </c>
      <c r="Q92" s="226">
        <f>VLOOKUP($A92,'MacroPD-Cal'!$A:$L,10,FALSE)</f>
        <v>0.13550000000000001</v>
      </c>
      <c r="R92" s="226">
        <f t="shared" si="37"/>
        <v>9.9416804490034649E-2</v>
      </c>
      <c r="S92" s="226">
        <f t="shared" si="38"/>
        <v>9.1846753262384562E-3</v>
      </c>
      <c r="T92" s="176">
        <f t="shared" si="41"/>
        <v>0</v>
      </c>
      <c r="U92" s="191">
        <f>VLOOKUP(A92,'Ref-Data'!A:N,14,FALSE)</f>
        <v>0.4264</v>
      </c>
      <c r="V92" s="190">
        <f t="shared" si="39"/>
        <v>0</v>
      </c>
      <c r="W92" s="190">
        <f t="shared" si="42"/>
        <v>0</v>
      </c>
      <c r="X92" s="190">
        <f t="shared" si="43"/>
        <v>0</v>
      </c>
      <c r="Y92" s="226">
        <f>VLOOKUP($A92,'MacroPD-Cal'!$A:$L,11,FALSE)</f>
        <v>0.1734</v>
      </c>
      <c r="Z92" s="226">
        <f>VLOOKUP($A92,'MacroPD-Cal'!$A:$L,12,FALSE)</f>
        <v>0.20860000000000001</v>
      </c>
      <c r="AA92" s="189">
        <f t="shared" si="44"/>
        <v>18</v>
      </c>
      <c r="AB92" s="227"/>
      <c r="AC92" s="176">
        <v>1</v>
      </c>
    </row>
    <row r="93" spans="1:29" x14ac:dyDescent="0.25">
      <c r="A93" s="346">
        <v>1100000238</v>
      </c>
      <c r="B93" s="268">
        <v>45379</v>
      </c>
      <c r="C93" s="189">
        <f t="shared" si="40"/>
        <v>667</v>
      </c>
      <c r="D93">
        <v>0</v>
      </c>
      <c r="E93">
        <v>0</v>
      </c>
      <c r="F93" s="176">
        <f t="shared" si="32"/>
        <v>0</v>
      </c>
      <c r="G93" s="176">
        <f>VLOOKUP(A93,'Ref-Data'!A:J,10,FALSE)</f>
        <v>5.75</v>
      </c>
      <c r="H93" s="224">
        <f t="shared" si="33"/>
        <v>1.8261464750171115</v>
      </c>
      <c r="I93" s="224">
        <f t="shared" si="34"/>
        <v>0.9029432938993277</v>
      </c>
      <c r="J93" s="225">
        <f t="shared" si="35"/>
        <v>0</v>
      </c>
      <c r="K93" s="225">
        <f t="shared" si="36"/>
        <v>0</v>
      </c>
      <c r="L93" s="226">
        <f>VLOOKUP($A93,'MacroPD-Cal'!$A:$L,5,FALSE)</f>
        <v>1.4794530011509205E-2</v>
      </c>
      <c r="M93" s="226">
        <f>VLOOKUP($A93,'MacroPD-Cal'!$A:$L,6,FALSE)</f>
        <v>3.3211305442328087E-2</v>
      </c>
      <c r="N93" s="226">
        <f>VLOOKUP($A93,'MacroPD-Cal'!$A:$L,7,FALSE)</f>
        <v>5.3351437527099699E-2</v>
      </c>
      <c r="O93" s="226">
        <f>VLOOKUP($A93,'MacroPD-Cal'!$A:$L,8,FALSE)</f>
        <v>7.7899999999999997E-2</v>
      </c>
      <c r="P93" s="226">
        <f>VLOOKUP($A93,'MacroPD-Cal'!$A:$L,9,FALSE)</f>
        <v>0.11470000000000001</v>
      </c>
      <c r="Q93" s="226">
        <f>VLOOKUP($A93,'MacroPD-Cal'!$A:$L,10,FALSE)</f>
        <v>0.13550000000000001</v>
      </c>
      <c r="R93" s="226">
        <f t="shared" si="37"/>
        <v>0.10840934373439526</v>
      </c>
      <c r="S93" s="226">
        <f t="shared" si="38"/>
        <v>8.9925392443606089E-3</v>
      </c>
      <c r="T93" s="176">
        <f t="shared" si="41"/>
        <v>0</v>
      </c>
      <c r="U93" s="191">
        <f>VLOOKUP(A93,'Ref-Data'!A:N,14,FALSE)</f>
        <v>0.4264</v>
      </c>
      <c r="V93" s="190">
        <f t="shared" si="39"/>
        <v>0</v>
      </c>
      <c r="W93" s="190">
        <f t="shared" si="42"/>
        <v>0</v>
      </c>
      <c r="X93" s="190">
        <f t="shared" si="43"/>
        <v>0</v>
      </c>
      <c r="Y93" s="226">
        <f>VLOOKUP($A93,'MacroPD-Cal'!$A:$L,11,FALSE)</f>
        <v>0.1734</v>
      </c>
      <c r="Z93" s="226">
        <f>VLOOKUP($A93,'MacroPD-Cal'!$A:$L,12,FALSE)</f>
        <v>0.20860000000000001</v>
      </c>
      <c r="AA93" s="189">
        <f t="shared" si="44"/>
        <v>18</v>
      </c>
      <c r="AB93" s="227"/>
      <c r="AC93" s="176">
        <v>1</v>
      </c>
    </row>
    <row r="94" spans="1:29" x14ac:dyDescent="0.25">
      <c r="A94" s="346">
        <v>1100000238</v>
      </c>
      <c r="B94" s="268">
        <v>45471</v>
      </c>
      <c r="C94" s="189">
        <f t="shared" si="40"/>
        <v>759</v>
      </c>
      <c r="D94">
        <v>0</v>
      </c>
      <c r="E94">
        <v>0</v>
      </c>
      <c r="F94" s="176">
        <f t="shared" si="32"/>
        <v>0</v>
      </c>
      <c r="G94" s="176">
        <f>VLOOKUP(A94,'Ref-Data'!A:J,10,FALSE)</f>
        <v>5.75</v>
      </c>
      <c r="H94" s="224">
        <f t="shared" si="33"/>
        <v>2.0780287474332648</v>
      </c>
      <c r="I94" s="224">
        <f t="shared" si="34"/>
        <v>0.89031702985137806</v>
      </c>
      <c r="J94" s="225">
        <f t="shared" si="35"/>
        <v>0</v>
      </c>
      <c r="K94" s="225">
        <f t="shared" si="36"/>
        <v>0</v>
      </c>
      <c r="L94" s="226">
        <f>VLOOKUP($A94,'MacroPD-Cal'!$A:$L,5,FALSE)</f>
        <v>1.4794530011509205E-2</v>
      </c>
      <c r="M94" s="226">
        <f>VLOOKUP($A94,'MacroPD-Cal'!$A:$L,6,FALSE)</f>
        <v>3.3211305442328087E-2</v>
      </c>
      <c r="N94" s="226">
        <f>VLOOKUP($A94,'MacroPD-Cal'!$A:$L,7,FALSE)</f>
        <v>5.3351437527099699E-2</v>
      </c>
      <c r="O94" s="226">
        <f>VLOOKUP($A94,'MacroPD-Cal'!$A:$L,8,FALSE)</f>
        <v>7.7899999999999997E-2</v>
      </c>
      <c r="P94" s="226">
        <f>VLOOKUP($A94,'MacroPD-Cal'!$A:$L,9,FALSE)</f>
        <v>0.11470000000000001</v>
      </c>
      <c r="Q94" s="226">
        <f>VLOOKUP($A94,'MacroPD-Cal'!$A:$L,10,FALSE)</f>
        <v>0.13550000000000001</v>
      </c>
      <c r="R94" s="226">
        <f t="shared" si="37"/>
        <v>0.11634084551987578</v>
      </c>
      <c r="S94" s="226">
        <f t="shared" si="38"/>
        <v>7.9315017854805214E-3</v>
      </c>
      <c r="T94" s="176">
        <f t="shared" si="41"/>
        <v>0</v>
      </c>
      <c r="U94" s="191">
        <f>VLOOKUP(A94,'Ref-Data'!A:N,14,FALSE)</f>
        <v>0.4264</v>
      </c>
      <c r="V94" s="190">
        <f t="shared" si="39"/>
        <v>0</v>
      </c>
      <c r="W94" s="190">
        <f t="shared" si="42"/>
        <v>0</v>
      </c>
      <c r="X94" s="190">
        <f t="shared" si="43"/>
        <v>0</v>
      </c>
      <c r="Y94" s="226">
        <f>VLOOKUP($A94,'MacroPD-Cal'!$A:$L,11,FALSE)</f>
        <v>0.1734</v>
      </c>
      <c r="Z94" s="226">
        <f>VLOOKUP($A94,'MacroPD-Cal'!$A:$L,12,FALSE)</f>
        <v>0.20860000000000001</v>
      </c>
      <c r="AA94" s="189">
        <f t="shared" si="44"/>
        <v>18</v>
      </c>
      <c r="AB94" s="227"/>
      <c r="AC94" s="176">
        <v>1</v>
      </c>
    </row>
    <row r="95" spans="1:29" x14ac:dyDescent="0.25">
      <c r="A95" s="346">
        <v>1100000238</v>
      </c>
      <c r="B95" s="268">
        <v>45565</v>
      </c>
      <c r="C95" s="189">
        <f t="shared" si="40"/>
        <v>853</v>
      </c>
      <c r="D95">
        <v>0</v>
      </c>
      <c r="E95">
        <v>0</v>
      </c>
      <c r="F95" s="176">
        <f t="shared" si="32"/>
        <v>0</v>
      </c>
      <c r="G95" s="176">
        <f>VLOOKUP(A95,'Ref-Data'!A:J,10,FALSE)</f>
        <v>5.75</v>
      </c>
      <c r="H95" s="224">
        <f t="shared" si="33"/>
        <v>2.3353867214236823</v>
      </c>
      <c r="I95" s="224">
        <f t="shared" si="34"/>
        <v>0.87759862108628062</v>
      </c>
      <c r="J95" s="225">
        <f t="shared" si="35"/>
        <v>0</v>
      </c>
      <c r="K95" s="225">
        <f t="shared" si="36"/>
        <v>0</v>
      </c>
      <c r="L95" s="226">
        <f>VLOOKUP($A95,'MacroPD-Cal'!$A:$L,5,FALSE)</f>
        <v>1.4794530011509205E-2</v>
      </c>
      <c r="M95" s="226">
        <f>VLOOKUP($A95,'MacroPD-Cal'!$A:$L,6,FALSE)</f>
        <v>3.3211305442328087E-2</v>
      </c>
      <c r="N95" s="226">
        <f>VLOOKUP($A95,'MacroPD-Cal'!$A:$L,7,FALSE)</f>
        <v>5.3351437527099699E-2</v>
      </c>
      <c r="O95" s="226">
        <f>VLOOKUP($A95,'MacroPD-Cal'!$A:$L,8,FALSE)</f>
        <v>7.7899999999999997E-2</v>
      </c>
      <c r="P95" s="226">
        <f>VLOOKUP($A95,'MacroPD-Cal'!$A:$L,9,FALSE)</f>
        <v>0.11470000000000001</v>
      </c>
      <c r="Q95" s="226">
        <f>VLOOKUP($A95,'MacroPD-Cal'!$A:$L,10,FALSE)</f>
        <v>0.13550000000000001</v>
      </c>
      <c r="R95" s="226">
        <f t="shared" si="37"/>
        <v>0.12173123060787927</v>
      </c>
      <c r="S95" s="226">
        <f t="shared" si="38"/>
        <v>5.3903850880034909E-3</v>
      </c>
      <c r="T95" s="176">
        <f t="shared" si="41"/>
        <v>0</v>
      </c>
      <c r="U95" s="191">
        <f>VLOOKUP(A95,'Ref-Data'!A:N,14,FALSE)</f>
        <v>0.4264</v>
      </c>
      <c r="V95" s="190">
        <f t="shared" si="39"/>
        <v>0</v>
      </c>
      <c r="W95" s="190">
        <f t="shared" si="42"/>
        <v>0</v>
      </c>
      <c r="X95" s="190">
        <f t="shared" si="43"/>
        <v>0</v>
      </c>
      <c r="Y95" s="226">
        <f>VLOOKUP($A95,'MacroPD-Cal'!$A:$L,11,FALSE)</f>
        <v>0.1734</v>
      </c>
      <c r="Z95" s="226">
        <f>VLOOKUP($A95,'MacroPD-Cal'!$A:$L,12,FALSE)</f>
        <v>0.20860000000000001</v>
      </c>
      <c r="AA95" s="189">
        <f t="shared" si="44"/>
        <v>18</v>
      </c>
      <c r="AB95" s="227"/>
      <c r="AC95" s="176">
        <v>1</v>
      </c>
    </row>
    <row r="96" spans="1:29" x14ac:dyDescent="0.25">
      <c r="A96" s="346">
        <v>1100000238</v>
      </c>
      <c r="B96" s="268">
        <v>45657</v>
      </c>
      <c r="C96" s="189">
        <f t="shared" si="40"/>
        <v>945</v>
      </c>
      <c r="D96">
        <v>0</v>
      </c>
      <c r="E96">
        <v>0</v>
      </c>
      <c r="F96" s="176">
        <f t="shared" si="32"/>
        <v>0</v>
      </c>
      <c r="G96" s="176">
        <f>VLOOKUP(A96,'Ref-Data'!A:J,10,FALSE)</f>
        <v>5.75</v>
      </c>
      <c r="H96" s="224">
        <f t="shared" si="33"/>
        <v>2.5872689938398357</v>
      </c>
      <c r="I96" s="224">
        <f t="shared" si="34"/>
        <v>0.86532676304954836</v>
      </c>
      <c r="J96" s="225">
        <f t="shared" si="35"/>
        <v>0</v>
      </c>
      <c r="K96" s="225">
        <f t="shared" si="36"/>
        <v>0</v>
      </c>
      <c r="L96" s="226">
        <f>VLOOKUP($A96,'MacroPD-Cal'!$A:$L,5,FALSE)</f>
        <v>1.4794530011509205E-2</v>
      </c>
      <c r="M96" s="226">
        <f>VLOOKUP($A96,'MacroPD-Cal'!$A:$L,6,FALSE)</f>
        <v>3.3211305442328087E-2</v>
      </c>
      <c r="N96" s="226">
        <f>VLOOKUP($A96,'MacroPD-Cal'!$A:$L,7,FALSE)</f>
        <v>5.3351437527099699E-2</v>
      </c>
      <c r="O96" s="226">
        <f>VLOOKUP($A96,'MacroPD-Cal'!$A:$L,8,FALSE)</f>
        <v>7.7899999999999997E-2</v>
      </c>
      <c r="P96" s="226">
        <f>VLOOKUP($A96,'MacroPD-Cal'!$A:$L,9,FALSE)</f>
        <v>0.11470000000000001</v>
      </c>
      <c r="Q96" s="226">
        <f>VLOOKUP($A96,'MacroPD-Cal'!$A:$L,10,FALSE)</f>
        <v>0.13550000000000001</v>
      </c>
      <c r="R96" s="226">
        <f t="shared" si="37"/>
        <v>0.1269750855054731</v>
      </c>
      <c r="S96" s="226">
        <f t="shared" si="38"/>
        <v>5.2438548975938248E-3</v>
      </c>
      <c r="T96" s="176">
        <f t="shared" si="41"/>
        <v>0</v>
      </c>
      <c r="U96" s="191">
        <f>VLOOKUP(A96,'Ref-Data'!A:N,14,FALSE)</f>
        <v>0.4264</v>
      </c>
      <c r="V96" s="190">
        <f t="shared" si="39"/>
        <v>0</v>
      </c>
      <c r="W96" s="190">
        <f t="shared" si="42"/>
        <v>0</v>
      </c>
      <c r="X96" s="190">
        <f t="shared" si="43"/>
        <v>0</v>
      </c>
      <c r="Y96" s="226">
        <f>VLOOKUP($A96,'MacroPD-Cal'!$A:$L,11,FALSE)</f>
        <v>0.1734</v>
      </c>
      <c r="Z96" s="226">
        <f>VLOOKUP($A96,'MacroPD-Cal'!$A:$L,12,FALSE)</f>
        <v>0.20860000000000001</v>
      </c>
      <c r="AA96" s="189">
        <f t="shared" si="44"/>
        <v>18</v>
      </c>
      <c r="AB96" s="227"/>
      <c r="AC96" s="176">
        <v>1</v>
      </c>
    </row>
    <row r="97" spans="1:29" x14ac:dyDescent="0.25">
      <c r="A97" s="346">
        <v>1100000238</v>
      </c>
      <c r="B97" s="268">
        <v>45747</v>
      </c>
      <c r="C97" s="189">
        <f t="shared" si="40"/>
        <v>1035</v>
      </c>
      <c r="D97">
        <v>0</v>
      </c>
      <c r="E97">
        <v>0</v>
      </c>
      <c r="F97" s="176">
        <f t="shared" si="32"/>
        <v>0</v>
      </c>
      <c r="G97" s="176">
        <f>VLOOKUP(A97,'Ref-Data'!A:J,10,FALSE)</f>
        <v>5.75</v>
      </c>
      <c r="H97" s="224">
        <f t="shared" si="33"/>
        <v>2.8336755646817249</v>
      </c>
      <c r="I97" s="224">
        <f t="shared" si="34"/>
        <v>0.85348774915792169</v>
      </c>
      <c r="J97" s="225">
        <f t="shared" si="35"/>
        <v>0</v>
      </c>
      <c r="K97" s="225">
        <f t="shared" si="36"/>
        <v>0</v>
      </c>
      <c r="L97" s="226">
        <f>VLOOKUP($A97,'MacroPD-Cal'!$A:$L,5,FALSE)</f>
        <v>1.4794530011509205E-2</v>
      </c>
      <c r="M97" s="226">
        <f>VLOOKUP($A97,'MacroPD-Cal'!$A:$L,6,FALSE)</f>
        <v>3.3211305442328087E-2</v>
      </c>
      <c r="N97" s="226">
        <f>VLOOKUP($A97,'MacroPD-Cal'!$A:$L,7,FALSE)</f>
        <v>5.3351437527099699E-2</v>
      </c>
      <c r="O97" s="226">
        <f>VLOOKUP($A97,'MacroPD-Cal'!$A:$L,8,FALSE)</f>
        <v>7.7899999999999997E-2</v>
      </c>
      <c r="P97" s="226">
        <f>VLOOKUP($A97,'MacroPD-Cal'!$A:$L,9,FALSE)</f>
        <v>0.11470000000000001</v>
      </c>
      <c r="Q97" s="226">
        <f>VLOOKUP($A97,'MacroPD-Cal'!$A:$L,10,FALSE)</f>
        <v>0.13550000000000001</v>
      </c>
      <c r="R97" s="226">
        <f t="shared" si="37"/>
        <v>0.13207464646465583</v>
      </c>
      <c r="S97" s="226">
        <f t="shared" si="38"/>
        <v>5.0995609591827362E-3</v>
      </c>
      <c r="T97" s="176">
        <f t="shared" si="41"/>
        <v>0</v>
      </c>
      <c r="U97" s="191">
        <f>VLOOKUP(A97,'Ref-Data'!A:N,14,FALSE)</f>
        <v>0.4264</v>
      </c>
      <c r="V97" s="190">
        <f t="shared" si="39"/>
        <v>0</v>
      </c>
      <c r="W97" s="190">
        <f t="shared" si="42"/>
        <v>0</v>
      </c>
      <c r="X97" s="190">
        <f t="shared" si="43"/>
        <v>0</v>
      </c>
      <c r="Y97" s="226">
        <f>VLOOKUP($A97,'MacroPD-Cal'!$A:$L,11,FALSE)</f>
        <v>0.1734</v>
      </c>
      <c r="Z97" s="226">
        <f>VLOOKUP($A97,'MacroPD-Cal'!$A:$L,12,FALSE)</f>
        <v>0.20860000000000001</v>
      </c>
      <c r="AA97" s="189">
        <f t="shared" si="44"/>
        <v>18</v>
      </c>
      <c r="AB97" s="227"/>
      <c r="AC97" s="176">
        <v>1</v>
      </c>
    </row>
    <row r="98" spans="1:29" x14ac:dyDescent="0.25">
      <c r="A98" s="346">
        <v>1100000238</v>
      </c>
      <c r="B98" s="268">
        <v>45838</v>
      </c>
      <c r="C98" s="189">
        <f t="shared" si="40"/>
        <v>1126</v>
      </c>
      <c r="D98">
        <v>0</v>
      </c>
      <c r="E98">
        <v>0</v>
      </c>
      <c r="F98" s="176">
        <f t="shared" si="32"/>
        <v>0</v>
      </c>
      <c r="G98" s="176">
        <f>VLOOKUP(A98,'Ref-Data'!A:J,10,FALSE)</f>
        <v>5.75</v>
      </c>
      <c r="H98" s="224">
        <f t="shared" si="33"/>
        <v>3.0828199863107462</v>
      </c>
      <c r="I98" s="224">
        <f t="shared" si="34"/>
        <v>0.84168186798914313</v>
      </c>
      <c r="J98" s="225">
        <f t="shared" si="35"/>
        <v>0</v>
      </c>
      <c r="K98" s="225">
        <f t="shared" si="36"/>
        <v>0</v>
      </c>
      <c r="L98" s="226">
        <f>VLOOKUP($A98,'MacroPD-Cal'!$A:$L,5,FALSE)</f>
        <v>1.4794530011509205E-2</v>
      </c>
      <c r="M98" s="226">
        <f>VLOOKUP($A98,'MacroPD-Cal'!$A:$L,6,FALSE)</f>
        <v>3.3211305442328087E-2</v>
      </c>
      <c r="N98" s="226">
        <f>VLOOKUP($A98,'MacroPD-Cal'!$A:$L,7,FALSE)</f>
        <v>5.3351437527099699E-2</v>
      </c>
      <c r="O98" s="226">
        <f>VLOOKUP($A98,'MacroPD-Cal'!$A:$L,8,FALSE)</f>
        <v>7.7899999999999997E-2</v>
      </c>
      <c r="P98" s="226">
        <f>VLOOKUP($A98,'MacroPD-Cal'!$A:$L,9,FALSE)</f>
        <v>0.11470000000000001</v>
      </c>
      <c r="Q98" s="226">
        <f>VLOOKUP($A98,'MacroPD-Cal'!$A:$L,10,FALSE)</f>
        <v>0.13550000000000001</v>
      </c>
      <c r="R98" s="226">
        <f t="shared" si="37"/>
        <v>0.13870381041578828</v>
      </c>
      <c r="S98" s="226">
        <f t="shared" si="38"/>
        <v>6.6291639511324441E-3</v>
      </c>
      <c r="T98" s="176">
        <f t="shared" ref="T98:T103" si="45">SUMIFS(K:K,A:A,A98,H:H,"&gt;="&amp;H98)</f>
        <v>0</v>
      </c>
      <c r="U98" s="191">
        <f>VLOOKUP(A98,'Ref-Data'!A:N,14,FALSE)</f>
        <v>0.4264</v>
      </c>
      <c r="V98" s="190">
        <f t="shared" si="39"/>
        <v>0</v>
      </c>
      <c r="W98" s="190">
        <f t="shared" ref="W98:W103" si="46">IF(COUNTIF(A:A, A98)=1, V98, SUMIFS(V:V,A:A,A98,H:H,"&lt;=1"))</f>
        <v>0</v>
      </c>
      <c r="X98" s="190">
        <f t="shared" ref="X98:X103" si="47">SUMIF(A:A,A98,V:V)</f>
        <v>0</v>
      </c>
      <c r="Y98" s="226">
        <f>VLOOKUP($A98,'MacroPD-Cal'!$A:$L,11,FALSE)</f>
        <v>0.1734</v>
      </c>
      <c r="Z98" s="226">
        <f>VLOOKUP($A98,'MacroPD-Cal'!$A:$L,12,FALSE)</f>
        <v>0.20860000000000001</v>
      </c>
      <c r="AA98" s="189">
        <f t="shared" ref="AA98:AA103" si="48">COUNTIF(A:A,A98)</f>
        <v>18</v>
      </c>
      <c r="AB98" s="227"/>
      <c r="AC98" s="176">
        <v>1</v>
      </c>
    </row>
    <row r="99" spans="1:29" x14ac:dyDescent="0.25">
      <c r="A99" s="346">
        <v>1100000238</v>
      </c>
      <c r="B99" s="268">
        <v>45930</v>
      </c>
      <c r="C99" s="189">
        <f t="shared" si="40"/>
        <v>1218</v>
      </c>
      <c r="D99">
        <v>0</v>
      </c>
      <c r="E99">
        <v>0</v>
      </c>
      <c r="F99" s="176">
        <f t="shared" si="32"/>
        <v>0</v>
      </c>
      <c r="G99" s="176">
        <f>VLOOKUP(A99,'Ref-Data'!A:J,10,FALSE)</f>
        <v>5.75</v>
      </c>
      <c r="H99" s="224">
        <f t="shared" si="33"/>
        <v>3.3347022587268995</v>
      </c>
      <c r="I99" s="224">
        <f t="shared" si="34"/>
        <v>0.82991225013893588</v>
      </c>
      <c r="J99" s="225">
        <f t="shared" si="35"/>
        <v>0</v>
      </c>
      <c r="K99" s="225">
        <f t="shared" si="36"/>
        <v>0</v>
      </c>
      <c r="L99" s="226">
        <f>VLOOKUP($A99,'MacroPD-Cal'!$A:$L,5,FALSE)</f>
        <v>1.4794530011509205E-2</v>
      </c>
      <c r="M99" s="226">
        <f>VLOOKUP($A99,'MacroPD-Cal'!$A:$L,6,FALSE)</f>
        <v>3.3211305442328087E-2</v>
      </c>
      <c r="N99" s="226">
        <f>VLOOKUP($A99,'MacroPD-Cal'!$A:$L,7,FALSE)</f>
        <v>5.3351437527099699E-2</v>
      </c>
      <c r="O99" s="226">
        <f>VLOOKUP($A99,'MacroPD-Cal'!$A:$L,8,FALSE)</f>
        <v>7.7899999999999997E-2</v>
      </c>
      <c r="P99" s="226">
        <f>VLOOKUP($A99,'MacroPD-Cal'!$A:$L,9,FALSE)</f>
        <v>0.11470000000000001</v>
      </c>
      <c r="Q99" s="226">
        <f>VLOOKUP($A99,'MacroPD-Cal'!$A:$L,10,FALSE)</f>
        <v>0.13550000000000001</v>
      </c>
      <c r="R99" s="226">
        <f t="shared" si="37"/>
        <v>0.14837484766941766</v>
      </c>
      <c r="S99" s="226">
        <f t="shared" si="38"/>
        <v>9.6710372536293887E-3</v>
      </c>
      <c r="T99" s="176">
        <f t="shared" si="45"/>
        <v>0</v>
      </c>
      <c r="U99" s="191">
        <f>VLOOKUP(A99,'Ref-Data'!A:N,14,FALSE)</f>
        <v>0.4264</v>
      </c>
      <c r="V99" s="190">
        <f t="shared" si="39"/>
        <v>0</v>
      </c>
      <c r="W99" s="190">
        <f t="shared" si="46"/>
        <v>0</v>
      </c>
      <c r="X99" s="190">
        <f t="shared" si="47"/>
        <v>0</v>
      </c>
      <c r="Y99" s="226">
        <f>VLOOKUP($A99,'MacroPD-Cal'!$A:$L,11,FALSE)</f>
        <v>0.1734</v>
      </c>
      <c r="Z99" s="226">
        <f>VLOOKUP($A99,'MacroPD-Cal'!$A:$L,12,FALSE)</f>
        <v>0.20860000000000001</v>
      </c>
      <c r="AA99" s="189">
        <f t="shared" si="48"/>
        <v>18</v>
      </c>
      <c r="AB99" s="227"/>
      <c r="AC99" s="176">
        <v>1</v>
      </c>
    </row>
    <row r="100" spans="1:29" x14ac:dyDescent="0.25">
      <c r="A100" s="346">
        <v>1100000238</v>
      </c>
      <c r="B100" s="268">
        <v>46022</v>
      </c>
      <c r="C100" s="189">
        <f t="shared" si="40"/>
        <v>1310</v>
      </c>
      <c r="D100">
        <v>0</v>
      </c>
      <c r="E100">
        <v>0</v>
      </c>
      <c r="F100" s="176">
        <f t="shared" si="32"/>
        <v>0</v>
      </c>
      <c r="G100" s="176">
        <f>VLOOKUP(A100,'Ref-Data'!A:J,10,FALSE)</f>
        <v>5.75</v>
      </c>
      <c r="H100" s="224">
        <f t="shared" si="33"/>
        <v>3.5865845311430529</v>
      </c>
      <c r="I100" s="224">
        <f t="shared" si="34"/>
        <v>0.81830721217289659</v>
      </c>
      <c r="J100" s="225">
        <f t="shared" si="35"/>
        <v>0</v>
      </c>
      <c r="K100" s="225">
        <f t="shared" si="36"/>
        <v>0</v>
      </c>
      <c r="L100" s="226">
        <f>VLOOKUP($A100,'MacroPD-Cal'!$A:$L,5,FALSE)</f>
        <v>1.4794530011509205E-2</v>
      </c>
      <c r="M100" s="226">
        <f>VLOOKUP($A100,'MacroPD-Cal'!$A:$L,6,FALSE)</f>
        <v>3.3211305442328087E-2</v>
      </c>
      <c r="N100" s="226">
        <f>VLOOKUP($A100,'MacroPD-Cal'!$A:$L,7,FALSE)</f>
        <v>5.3351437527099699E-2</v>
      </c>
      <c r="O100" s="226">
        <f>VLOOKUP($A100,'MacroPD-Cal'!$A:$L,8,FALSE)</f>
        <v>7.7899999999999997E-2</v>
      </c>
      <c r="P100" s="226">
        <f>VLOOKUP($A100,'MacroPD-Cal'!$A:$L,9,FALSE)</f>
        <v>0.11470000000000001</v>
      </c>
      <c r="Q100" s="226">
        <f>VLOOKUP($A100,'MacroPD-Cal'!$A:$L,10,FALSE)</f>
        <v>0.13550000000000001</v>
      </c>
      <c r="R100" s="226">
        <f t="shared" si="37"/>
        <v>0.15793729398453815</v>
      </c>
      <c r="S100" s="226">
        <f t="shared" si="38"/>
        <v>9.5624463151204875E-3</v>
      </c>
      <c r="T100" s="176">
        <f t="shared" si="45"/>
        <v>0</v>
      </c>
      <c r="U100" s="191">
        <f>VLOOKUP(A100,'Ref-Data'!A:N,14,FALSE)</f>
        <v>0.4264</v>
      </c>
      <c r="V100" s="190">
        <f t="shared" si="39"/>
        <v>0</v>
      </c>
      <c r="W100" s="190">
        <f t="shared" si="46"/>
        <v>0</v>
      </c>
      <c r="X100" s="190">
        <f t="shared" si="47"/>
        <v>0</v>
      </c>
      <c r="Y100" s="226">
        <f>VLOOKUP($A100,'MacroPD-Cal'!$A:$L,11,FALSE)</f>
        <v>0.1734</v>
      </c>
      <c r="Z100" s="226">
        <f>VLOOKUP($A100,'MacroPD-Cal'!$A:$L,12,FALSE)</f>
        <v>0.20860000000000001</v>
      </c>
      <c r="AA100" s="189">
        <f t="shared" si="48"/>
        <v>18</v>
      </c>
      <c r="AB100" s="227"/>
      <c r="AC100" s="176">
        <v>1</v>
      </c>
    </row>
    <row r="101" spans="1:29" x14ac:dyDescent="0.25">
      <c r="A101" s="346">
        <v>1100000238</v>
      </c>
      <c r="B101" s="268">
        <v>46112</v>
      </c>
      <c r="C101" s="189">
        <f t="shared" si="40"/>
        <v>1400</v>
      </c>
      <c r="D101">
        <v>0</v>
      </c>
      <c r="E101">
        <v>0</v>
      </c>
      <c r="F101" s="176">
        <f t="shared" si="32"/>
        <v>0</v>
      </c>
      <c r="G101" s="176">
        <f>VLOOKUP(A101,'Ref-Data'!A:J,10,FALSE)</f>
        <v>5.75</v>
      </c>
      <c r="H101" s="224">
        <f t="shared" si="33"/>
        <v>3.8329911019849416</v>
      </c>
      <c r="I101" s="224">
        <f t="shared" si="34"/>
        <v>0.80711149875431332</v>
      </c>
      <c r="J101" s="225">
        <f t="shared" si="35"/>
        <v>0</v>
      </c>
      <c r="K101" s="225">
        <f t="shared" si="36"/>
        <v>0</v>
      </c>
      <c r="L101" s="226">
        <f>VLOOKUP($A101,'MacroPD-Cal'!$A:$L,5,FALSE)</f>
        <v>1.4794530011509205E-2</v>
      </c>
      <c r="M101" s="226">
        <f>VLOOKUP($A101,'MacroPD-Cal'!$A:$L,6,FALSE)</f>
        <v>3.3211305442328087E-2</v>
      </c>
      <c r="N101" s="226">
        <f>VLOOKUP($A101,'MacroPD-Cal'!$A:$L,7,FALSE)</f>
        <v>5.3351437527099699E-2</v>
      </c>
      <c r="O101" s="226">
        <f>VLOOKUP($A101,'MacroPD-Cal'!$A:$L,8,FALSE)</f>
        <v>7.7899999999999997E-2</v>
      </c>
      <c r="P101" s="226">
        <f>VLOOKUP($A101,'MacroPD-Cal'!$A:$L,9,FALSE)</f>
        <v>0.11470000000000001</v>
      </c>
      <c r="Q101" s="226">
        <f>VLOOKUP($A101,'MacroPD-Cal'!$A:$L,10,FALSE)</f>
        <v>0.13550000000000001</v>
      </c>
      <c r="R101" s="226">
        <f t="shared" si="37"/>
        <v>0.16718795680285814</v>
      </c>
      <c r="S101" s="226">
        <f t="shared" si="38"/>
        <v>9.2506628183199879E-3</v>
      </c>
      <c r="T101" s="176">
        <f t="shared" si="45"/>
        <v>0</v>
      </c>
      <c r="U101" s="191">
        <f>VLOOKUP(A101,'Ref-Data'!A:N,14,FALSE)</f>
        <v>0.4264</v>
      </c>
      <c r="V101" s="190">
        <f t="shared" si="39"/>
        <v>0</v>
      </c>
      <c r="W101" s="190">
        <f t="shared" si="46"/>
        <v>0</v>
      </c>
      <c r="X101" s="190">
        <f t="shared" si="47"/>
        <v>0</v>
      </c>
      <c r="Y101" s="226">
        <f>VLOOKUP($A101,'MacroPD-Cal'!$A:$L,11,FALSE)</f>
        <v>0.1734</v>
      </c>
      <c r="Z101" s="226">
        <f>VLOOKUP($A101,'MacroPD-Cal'!$A:$L,12,FALSE)</f>
        <v>0.20860000000000001</v>
      </c>
      <c r="AA101" s="189">
        <f t="shared" si="48"/>
        <v>18</v>
      </c>
      <c r="AB101" s="227"/>
      <c r="AC101" s="176">
        <v>1</v>
      </c>
    </row>
    <row r="102" spans="1:29" x14ac:dyDescent="0.25">
      <c r="A102" s="346">
        <v>1100000238</v>
      </c>
      <c r="B102" s="268">
        <v>46203</v>
      </c>
      <c r="C102" s="189">
        <f t="shared" si="40"/>
        <v>1491</v>
      </c>
      <c r="D102">
        <v>0</v>
      </c>
      <c r="E102">
        <v>0</v>
      </c>
      <c r="F102" s="176">
        <f t="shared" si="32"/>
        <v>0</v>
      </c>
      <c r="G102" s="176">
        <f>VLOOKUP(A102,'Ref-Data'!A:J,10,FALSE)</f>
        <v>5.75</v>
      </c>
      <c r="H102" s="224">
        <f t="shared" si="33"/>
        <v>4.0821355236139629</v>
      </c>
      <c r="I102" s="224">
        <f t="shared" si="34"/>
        <v>0.79594711771469162</v>
      </c>
      <c r="J102" s="225">
        <f t="shared" si="35"/>
        <v>0</v>
      </c>
      <c r="K102" s="225">
        <f t="shared" si="36"/>
        <v>0</v>
      </c>
      <c r="L102" s="226">
        <f>VLOOKUP($A102,'MacroPD-Cal'!$A:$L,5,FALSE)</f>
        <v>1.4794530011509205E-2</v>
      </c>
      <c r="M102" s="226">
        <f>VLOOKUP($A102,'MacroPD-Cal'!$A:$L,6,FALSE)</f>
        <v>3.3211305442328087E-2</v>
      </c>
      <c r="N102" s="226">
        <f>VLOOKUP($A102,'MacroPD-Cal'!$A:$L,7,FALSE)</f>
        <v>5.3351437527099699E-2</v>
      </c>
      <c r="O102" s="226">
        <f>VLOOKUP($A102,'MacroPD-Cal'!$A:$L,8,FALSE)</f>
        <v>7.7899999999999997E-2</v>
      </c>
      <c r="P102" s="226">
        <f>VLOOKUP($A102,'MacroPD-Cal'!$A:$L,9,FALSE)</f>
        <v>0.11470000000000001</v>
      </c>
      <c r="Q102" s="226">
        <f>VLOOKUP($A102,'MacroPD-Cal'!$A:$L,10,FALSE)</f>
        <v>0.13550000000000001</v>
      </c>
      <c r="R102" s="226">
        <f t="shared" si="37"/>
        <v>0.17634926080953384</v>
      </c>
      <c r="S102" s="226">
        <f t="shared" si="38"/>
        <v>9.1613040066756968E-3</v>
      </c>
      <c r="T102" s="176">
        <f t="shared" si="45"/>
        <v>0</v>
      </c>
      <c r="U102" s="191">
        <f>VLOOKUP(A102,'Ref-Data'!A:N,14,FALSE)</f>
        <v>0.4264</v>
      </c>
      <c r="V102" s="190">
        <f t="shared" si="39"/>
        <v>0</v>
      </c>
      <c r="W102" s="190">
        <f t="shared" si="46"/>
        <v>0</v>
      </c>
      <c r="X102" s="190">
        <f t="shared" si="47"/>
        <v>0</v>
      </c>
      <c r="Y102" s="226">
        <f>VLOOKUP($A102,'MacroPD-Cal'!$A:$L,11,FALSE)</f>
        <v>0.1734</v>
      </c>
      <c r="Z102" s="226">
        <f>VLOOKUP($A102,'MacroPD-Cal'!$A:$L,12,FALSE)</f>
        <v>0.20860000000000001</v>
      </c>
      <c r="AA102" s="189">
        <f t="shared" si="48"/>
        <v>18</v>
      </c>
      <c r="AB102" s="227"/>
      <c r="AC102" s="176">
        <v>1</v>
      </c>
    </row>
    <row r="103" spans="1:29" x14ac:dyDescent="0.25">
      <c r="A103" s="346">
        <v>1100000238</v>
      </c>
      <c r="B103" s="268">
        <v>46281</v>
      </c>
      <c r="C103" s="189">
        <f t="shared" si="40"/>
        <v>1569</v>
      </c>
      <c r="D103">
        <v>0</v>
      </c>
      <c r="E103">
        <v>0</v>
      </c>
      <c r="F103" s="176">
        <f t="shared" si="32"/>
        <v>0</v>
      </c>
      <c r="G103" s="176">
        <f>VLOOKUP(A103,'Ref-Data'!A:J,10,FALSE)</f>
        <v>5.75</v>
      </c>
      <c r="H103" s="224">
        <f t="shared" si="33"/>
        <v>4.2956878850102669</v>
      </c>
      <c r="I103" s="224">
        <f t="shared" si="34"/>
        <v>0.78650064436937384</v>
      </c>
      <c r="J103" s="225">
        <f t="shared" si="35"/>
        <v>0</v>
      </c>
      <c r="K103" s="225">
        <f t="shared" si="36"/>
        <v>0</v>
      </c>
      <c r="L103" s="226">
        <f>VLOOKUP($A103,'MacroPD-Cal'!$A:$L,5,FALSE)</f>
        <v>1.4794530011509205E-2</v>
      </c>
      <c r="M103" s="226">
        <f>VLOOKUP($A103,'MacroPD-Cal'!$A:$L,6,FALSE)</f>
        <v>3.3211305442328087E-2</v>
      </c>
      <c r="N103" s="226">
        <f>VLOOKUP($A103,'MacroPD-Cal'!$A:$L,7,FALSE)</f>
        <v>5.3351437527099699E-2</v>
      </c>
      <c r="O103" s="226">
        <f>VLOOKUP($A103,'MacroPD-Cal'!$A:$L,8,FALSE)</f>
        <v>7.7899999999999997E-2</v>
      </c>
      <c r="P103" s="226">
        <f>VLOOKUP($A103,'MacroPD-Cal'!$A:$L,9,FALSE)</f>
        <v>0.11470000000000001</v>
      </c>
      <c r="Q103" s="226">
        <f>VLOOKUP($A103,'MacroPD-Cal'!$A:$L,10,FALSE)</f>
        <v>0.13550000000000001</v>
      </c>
      <c r="R103" s="226">
        <f t="shared" si="37"/>
        <v>0.18396818591226949</v>
      </c>
      <c r="S103" s="226">
        <f t="shared" si="38"/>
        <v>7.6189251027356519E-3</v>
      </c>
      <c r="T103" s="176">
        <f t="shared" si="45"/>
        <v>0</v>
      </c>
      <c r="U103" s="191">
        <f>VLOOKUP(A103,'Ref-Data'!A:N,14,FALSE)</f>
        <v>0.4264</v>
      </c>
      <c r="V103" s="190">
        <f t="shared" si="39"/>
        <v>0</v>
      </c>
      <c r="W103" s="190">
        <f t="shared" si="46"/>
        <v>0</v>
      </c>
      <c r="X103" s="190">
        <f t="shared" si="47"/>
        <v>0</v>
      </c>
      <c r="Y103" s="226">
        <f>VLOOKUP($A103,'MacroPD-Cal'!$A:$L,11,FALSE)</f>
        <v>0.1734</v>
      </c>
      <c r="Z103" s="226">
        <f>VLOOKUP($A103,'MacroPD-Cal'!$A:$L,12,FALSE)</f>
        <v>0.20860000000000001</v>
      </c>
      <c r="AA103" s="189">
        <f t="shared" si="48"/>
        <v>18</v>
      </c>
      <c r="AB103" s="227"/>
      <c r="AC103" s="176">
        <v>1</v>
      </c>
    </row>
    <row r="104" spans="1:29" x14ac:dyDescent="0.25">
      <c r="A104" s="346"/>
      <c r="B104" s="268"/>
      <c r="C104" s="189"/>
      <c r="D104"/>
      <c r="E104"/>
      <c r="F104" s="176"/>
      <c r="G104" s="176"/>
      <c r="H104" s="224"/>
      <c r="I104" s="224"/>
      <c r="J104" s="225"/>
      <c r="K104" s="225"/>
      <c r="L104" s="226"/>
      <c r="M104" s="226"/>
      <c r="N104" s="226"/>
      <c r="O104" s="226"/>
      <c r="P104" s="226"/>
      <c r="Q104" s="226"/>
      <c r="R104" s="226"/>
      <c r="S104" s="226"/>
      <c r="T104" s="176"/>
      <c r="U104" s="191"/>
      <c r="V104" s="190"/>
      <c r="W104" s="190"/>
      <c r="X104" s="190"/>
      <c r="Y104" s="226"/>
      <c r="Z104" s="226"/>
      <c r="AA104" s="189"/>
      <c r="AB104" s="227"/>
      <c r="AC104" s="176"/>
    </row>
    <row r="105" spans="1:29" x14ac:dyDescent="0.25">
      <c r="A105" s="346"/>
      <c r="B105" s="268"/>
      <c r="C105" s="189"/>
      <c r="D105"/>
      <c r="E105"/>
      <c r="F105" s="176"/>
      <c r="G105" s="176"/>
      <c r="H105" s="224"/>
      <c r="I105" s="224"/>
      <c r="J105" s="225"/>
      <c r="K105" s="225"/>
      <c r="L105" s="226"/>
      <c r="M105" s="226"/>
      <c r="N105" s="226"/>
      <c r="O105" s="226"/>
      <c r="P105" s="226"/>
      <c r="Q105" s="226"/>
      <c r="R105" s="226"/>
      <c r="S105" s="226"/>
      <c r="T105" s="176"/>
      <c r="U105" s="191"/>
      <c r="V105" s="190"/>
      <c r="W105" s="190"/>
      <c r="X105" s="190"/>
      <c r="Y105" s="226"/>
      <c r="Z105" s="226"/>
      <c r="AA105" s="189"/>
      <c r="AB105" s="227"/>
      <c r="AC105" s="176"/>
    </row>
    <row r="106" spans="1:29" x14ac:dyDescent="0.25">
      <c r="A106" s="346"/>
      <c r="B106" s="268"/>
      <c r="C106" s="189"/>
      <c r="D106"/>
      <c r="E106"/>
      <c r="F106" s="176"/>
      <c r="G106" s="176"/>
      <c r="H106" s="224"/>
      <c r="I106" s="224"/>
      <c r="J106" s="225"/>
      <c r="K106" s="225"/>
      <c r="L106" s="226"/>
      <c r="M106" s="226"/>
      <c r="N106" s="226"/>
      <c r="O106" s="226"/>
      <c r="P106" s="226"/>
      <c r="Q106" s="226"/>
      <c r="R106" s="226"/>
      <c r="S106" s="226"/>
      <c r="T106" s="176"/>
      <c r="U106" s="191"/>
      <c r="V106" s="190"/>
      <c r="W106" s="190"/>
      <c r="X106" s="190"/>
      <c r="Y106" s="226"/>
      <c r="Z106" s="226"/>
      <c r="AA106" s="189"/>
      <c r="AB106" s="227"/>
      <c r="AC106" s="176"/>
    </row>
    <row r="107" spans="1:29" x14ac:dyDescent="0.25">
      <c r="A107" s="346"/>
      <c r="B107" s="268"/>
      <c r="C107" s="189"/>
      <c r="D107"/>
      <c r="E107"/>
      <c r="F107" s="176"/>
      <c r="G107" s="176"/>
      <c r="H107" s="224"/>
      <c r="I107" s="224"/>
      <c r="J107" s="225"/>
      <c r="K107" s="225"/>
      <c r="L107" s="226"/>
      <c r="M107" s="226"/>
      <c r="N107" s="226"/>
      <c r="O107" s="226"/>
      <c r="P107" s="226"/>
      <c r="Q107" s="226"/>
      <c r="R107" s="226"/>
      <c r="S107" s="226"/>
      <c r="T107" s="176"/>
      <c r="U107" s="191"/>
      <c r="V107" s="190"/>
      <c r="W107" s="190"/>
      <c r="X107" s="190"/>
      <c r="Y107" s="226"/>
      <c r="Z107" s="226"/>
      <c r="AA107" s="189"/>
      <c r="AB107" s="227"/>
      <c r="AC107" s="176"/>
    </row>
    <row r="108" spans="1:29" x14ac:dyDescent="0.25">
      <c r="A108" s="346"/>
      <c r="B108" s="268"/>
      <c r="C108" s="189"/>
      <c r="D108"/>
      <c r="E108"/>
      <c r="F108" s="176"/>
      <c r="G108" s="176"/>
      <c r="H108" s="224"/>
      <c r="I108" s="224"/>
      <c r="J108" s="225"/>
      <c r="K108" s="225"/>
      <c r="L108" s="226"/>
      <c r="M108" s="226"/>
      <c r="N108" s="226"/>
      <c r="O108" s="226"/>
      <c r="P108" s="226"/>
      <c r="Q108" s="226"/>
      <c r="R108" s="226"/>
      <c r="S108" s="226"/>
      <c r="T108" s="176"/>
      <c r="U108" s="191"/>
      <c r="V108" s="190"/>
      <c r="W108" s="190"/>
      <c r="X108" s="190"/>
      <c r="Y108" s="226"/>
      <c r="Z108" s="226"/>
      <c r="AA108" s="189"/>
      <c r="AB108" s="227"/>
      <c r="AC108" s="176"/>
    </row>
    <row r="109" spans="1:29" x14ac:dyDescent="0.25">
      <c r="A109" s="346"/>
      <c r="B109" s="268"/>
      <c r="C109" s="189"/>
      <c r="D109"/>
      <c r="E109"/>
      <c r="F109" s="176"/>
      <c r="G109" s="176"/>
      <c r="H109" s="224"/>
      <c r="I109" s="224"/>
      <c r="J109" s="225"/>
      <c r="K109" s="225"/>
      <c r="L109" s="226"/>
      <c r="M109" s="226"/>
      <c r="N109" s="226"/>
      <c r="O109" s="226"/>
      <c r="P109" s="226"/>
      <c r="Q109" s="226"/>
      <c r="R109" s="226"/>
      <c r="S109" s="226"/>
      <c r="T109" s="176"/>
      <c r="U109" s="191"/>
      <c r="V109" s="190"/>
      <c r="W109" s="190"/>
      <c r="X109" s="190"/>
      <c r="Y109" s="226"/>
      <c r="Z109" s="226"/>
      <c r="AA109" s="189"/>
      <c r="AB109" s="227"/>
      <c r="AC109" s="176"/>
    </row>
    <row r="110" spans="1:29" x14ac:dyDescent="0.25">
      <c r="A110" s="346"/>
      <c r="B110" s="268"/>
      <c r="C110" s="189"/>
      <c r="D110"/>
      <c r="E110"/>
      <c r="F110" s="176"/>
      <c r="G110" s="176"/>
      <c r="H110" s="224"/>
      <c r="I110" s="224"/>
      <c r="J110" s="225"/>
      <c r="K110" s="225"/>
      <c r="L110" s="226"/>
      <c r="M110" s="226"/>
      <c r="N110" s="226"/>
      <c r="O110" s="226"/>
      <c r="P110" s="226"/>
      <c r="Q110" s="226"/>
      <c r="R110" s="226"/>
      <c r="S110" s="226"/>
      <c r="T110" s="176"/>
      <c r="U110" s="191"/>
      <c r="V110" s="190"/>
      <c r="W110" s="190"/>
      <c r="X110" s="190"/>
      <c r="Y110" s="226"/>
      <c r="Z110" s="226"/>
      <c r="AA110" s="189"/>
      <c r="AB110" s="227"/>
      <c r="AC110" s="176"/>
    </row>
    <row r="111" spans="1:29" x14ac:dyDescent="0.25">
      <c r="A111" s="346"/>
      <c r="B111" s="268"/>
      <c r="C111" s="189"/>
      <c r="D111"/>
      <c r="E111"/>
      <c r="F111" s="176"/>
      <c r="G111" s="176"/>
      <c r="H111" s="224"/>
      <c r="I111" s="224"/>
      <c r="J111" s="225"/>
      <c r="K111" s="225"/>
      <c r="L111" s="226"/>
      <c r="M111" s="226"/>
      <c r="N111" s="226"/>
      <c r="O111" s="226"/>
      <c r="P111" s="226"/>
      <c r="Q111" s="226"/>
      <c r="R111" s="226"/>
      <c r="S111" s="226"/>
      <c r="T111" s="176"/>
      <c r="U111" s="191"/>
      <c r="V111" s="190"/>
      <c r="W111" s="190"/>
      <c r="X111" s="190"/>
      <c r="Y111" s="226"/>
      <c r="Z111" s="226"/>
      <c r="AA111" s="189"/>
      <c r="AB111" s="227"/>
      <c r="AC111" s="176"/>
    </row>
    <row r="112" spans="1:29" x14ac:dyDescent="0.25">
      <c r="A112" s="346"/>
      <c r="B112" s="268"/>
      <c r="C112" s="189"/>
      <c r="D112"/>
      <c r="E112"/>
      <c r="F112" s="176"/>
      <c r="G112" s="176"/>
      <c r="H112" s="224"/>
      <c r="I112" s="224"/>
      <c r="J112" s="225"/>
      <c r="K112" s="225"/>
      <c r="L112" s="226"/>
      <c r="M112" s="226"/>
      <c r="N112" s="226"/>
      <c r="O112" s="226"/>
      <c r="P112" s="226"/>
      <c r="Q112" s="226"/>
      <c r="R112" s="226"/>
      <c r="S112" s="226"/>
      <c r="T112" s="176"/>
      <c r="U112" s="191"/>
      <c r="V112" s="190"/>
      <c r="W112" s="190"/>
      <c r="X112" s="190"/>
      <c r="Y112" s="226"/>
      <c r="Z112" s="226"/>
      <c r="AA112" s="189"/>
      <c r="AB112" s="227"/>
      <c r="AC112" s="176"/>
    </row>
    <row r="113" spans="1:29" x14ac:dyDescent="0.25">
      <c r="A113" s="346"/>
      <c r="B113" s="268"/>
      <c r="C113" s="189"/>
      <c r="D113"/>
      <c r="E113"/>
      <c r="F113" s="176"/>
      <c r="G113" s="176"/>
      <c r="H113" s="224"/>
      <c r="I113" s="224"/>
      <c r="J113" s="225"/>
      <c r="K113" s="225"/>
      <c r="L113" s="226"/>
      <c r="M113" s="226"/>
      <c r="N113" s="226"/>
      <c r="O113" s="226"/>
      <c r="P113" s="226"/>
      <c r="Q113" s="226"/>
      <c r="R113" s="226"/>
      <c r="S113" s="226"/>
      <c r="T113" s="176"/>
      <c r="U113" s="191"/>
      <c r="V113" s="190"/>
      <c r="W113" s="190"/>
      <c r="X113" s="190"/>
      <c r="Y113" s="226"/>
      <c r="Z113" s="226"/>
      <c r="AA113" s="189"/>
      <c r="AB113" s="227"/>
      <c r="AC113" s="176"/>
    </row>
    <row r="114" spans="1:29" x14ac:dyDescent="0.25">
      <c r="A114" s="346"/>
      <c r="B114" s="268"/>
      <c r="C114" s="189"/>
      <c r="D114"/>
      <c r="E114"/>
      <c r="F114" s="176"/>
      <c r="G114" s="176"/>
      <c r="H114" s="224"/>
      <c r="I114" s="224"/>
      <c r="J114" s="225"/>
      <c r="K114" s="225"/>
      <c r="L114" s="226"/>
      <c r="M114" s="226"/>
      <c r="N114" s="226"/>
      <c r="O114" s="226"/>
      <c r="P114" s="226"/>
      <c r="Q114" s="226"/>
      <c r="R114" s="226"/>
      <c r="S114" s="226"/>
      <c r="T114" s="176"/>
      <c r="U114" s="191"/>
      <c r="V114" s="190"/>
      <c r="W114" s="190"/>
      <c r="X114" s="190"/>
      <c r="Y114" s="226"/>
      <c r="Z114" s="226"/>
      <c r="AA114" s="189"/>
      <c r="AB114" s="227"/>
      <c r="AC114" s="176"/>
    </row>
    <row r="115" spans="1:29" x14ac:dyDescent="0.25">
      <c r="A115" s="346"/>
      <c r="B115" s="268"/>
      <c r="C115" s="189"/>
      <c r="D115"/>
      <c r="E115"/>
      <c r="F115" s="176"/>
      <c r="G115" s="176"/>
      <c r="H115" s="224"/>
      <c r="I115" s="224"/>
      <c r="J115" s="225"/>
      <c r="K115" s="225"/>
      <c r="L115" s="226"/>
      <c r="M115" s="226"/>
      <c r="N115" s="226"/>
      <c r="O115" s="226"/>
      <c r="P115" s="226"/>
      <c r="Q115" s="226"/>
      <c r="R115" s="226"/>
      <c r="S115" s="226"/>
      <c r="T115" s="176"/>
      <c r="U115" s="191"/>
      <c r="V115" s="190"/>
      <c r="W115" s="190"/>
      <c r="X115" s="190"/>
      <c r="Y115" s="226"/>
      <c r="Z115" s="226"/>
      <c r="AA115" s="189"/>
      <c r="AB115" s="227"/>
      <c r="AC115" s="176"/>
    </row>
    <row r="116" spans="1:29" x14ac:dyDescent="0.25">
      <c r="A116" s="346"/>
      <c r="B116" s="268"/>
      <c r="C116" s="189"/>
      <c r="D116"/>
      <c r="E116"/>
      <c r="F116" s="176"/>
      <c r="G116" s="176"/>
      <c r="H116" s="224"/>
      <c r="I116" s="224"/>
      <c r="J116" s="225"/>
      <c r="K116" s="225"/>
      <c r="L116" s="226"/>
      <c r="M116" s="226"/>
      <c r="N116" s="226"/>
      <c r="O116" s="226"/>
      <c r="P116" s="226"/>
      <c r="Q116" s="226"/>
      <c r="R116" s="226"/>
      <c r="S116" s="226"/>
      <c r="T116" s="176"/>
      <c r="U116" s="191"/>
      <c r="V116" s="190"/>
      <c r="W116" s="190"/>
      <c r="X116" s="190"/>
      <c r="Y116" s="226"/>
      <c r="Z116" s="226"/>
      <c r="AA116" s="189"/>
      <c r="AB116" s="227"/>
      <c r="AC116" s="176"/>
    </row>
    <row r="117" spans="1:29" x14ac:dyDescent="0.25">
      <c r="A117" s="346"/>
      <c r="B117" s="268"/>
      <c r="C117" s="189"/>
      <c r="D117"/>
      <c r="E117"/>
      <c r="F117" s="176"/>
      <c r="G117" s="176"/>
      <c r="H117" s="224"/>
      <c r="I117" s="224"/>
      <c r="J117" s="225"/>
      <c r="K117" s="225"/>
      <c r="L117" s="226"/>
      <c r="M117" s="226"/>
      <c r="N117" s="226"/>
      <c r="O117" s="226"/>
      <c r="P117" s="226"/>
      <c r="Q117" s="226"/>
      <c r="R117" s="226"/>
      <c r="S117" s="226"/>
      <c r="T117" s="176"/>
      <c r="U117" s="191"/>
      <c r="V117" s="190"/>
      <c r="W117" s="190"/>
      <c r="X117" s="190"/>
      <c r="Y117" s="226"/>
      <c r="Z117" s="226"/>
      <c r="AA117" s="189"/>
      <c r="AB117" s="227"/>
      <c r="AC117" s="176"/>
    </row>
    <row r="118" spans="1:29" x14ac:dyDescent="0.25">
      <c r="A118" s="346"/>
      <c r="B118" s="268"/>
      <c r="C118" s="189"/>
      <c r="D118"/>
      <c r="E118"/>
      <c r="F118" s="176"/>
      <c r="G118" s="176"/>
      <c r="H118" s="224"/>
      <c r="I118" s="224"/>
      <c r="J118" s="225"/>
      <c r="K118" s="225"/>
      <c r="L118" s="226"/>
      <c r="M118" s="226"/>
      <c r="N118" s="226"/>
      <c r="O118" s="226"/>
      <c r="P118" s="226"/>
      <c r="Q118" s="226"/>
      <c r="R118" s="226"/>
      <c r="S118" s="226"/>
      <c r="T118" s="176"/>
      <c r="U118" s="191"/>
      <c r="V118" s="190"/>
      <c r="W118" s="190"/>
      <c r="X118" s="190"/>
      <c r="Y118" s="226"/>
      <c r="Z118" s="226"/>
      <c r="AA118" s="189"/>
      <c r="AB118" s="227"/>
      <c r="AC118" s="176"/>
    </row>
    <row r="119" spans="1:29" x14ac:dyDescent="0.25">
      <c r="A119" s="346"/>
      <c r="B119" s="268"/>
      <c r="C119" s="189"/>
      <c r="D119"/>
      <c r="E119"/>
      <c r="F119" s="176"/>
      <c r="G119" s="176"/>
      <c r="H119" s="224"/>
      <c r="I119" s="224"/>
      <c r="J119" s="225"/>
      <c r="K119" s="225"/>
      <c r="L119" s="226"/>
      <c r="M119" s="226"/>
      <c r="N119" s="226"/>
      <c r="O119" s="226"/>
      <c r="P119" s="226"/>
      <c r="Q119" s="226"/>
      <c r="R119" s="226"/>
      <c r="S119" s="226"/>
      <c r="T119" s="176"/>
      <c r="U119" s="191"/>
      <c r="V119" s="190"/>
      <c r="W119" s="190"/>
      <c r="X119" s="190"/>
      <c r="Y119" s="226"/>
      <c r="Z119" s="226"/>
      <c r="AA119" s="189"/>
      <c r="AB119" s="227"/>
      <c r="AC119" s="176"/>
    </row>
    <row r="120" spans="1:29" x14ac:dyDescent="0.25">
      <c r="A120" s="346"/>
      <c r="B120" s="268"/>
      <c r="C120" s="189"/>
      <c r="D120"/>
      <c r="E120"/>
      <c r="F120" s="176"/>
      <c r="G120" s="176"/>
      <c r="H120" s="224"/>
      <c r="I120" s="224"/>
      <c r="J120" s="225"/>
      <c r="K120" s="225"/>
      <c r="L120" s="226"/>
      <c r="M120" s="226"/>
      <c r="N120" s="226"/>
      <c r="O120" s="226"/>
      <c r="P120" s="226"/>
      <c r="Q120" s="226"/>
      <c r="R120" s="226"/>
      <c r="S120" s="226"/>
      <c r="T120" s="176"/>
      <c r="U120" s="191"/>
      <c r="V120" s="190"/>
      <c r="W120" s="190"/>
      <c r="X120" s="190"/>
      <c r="Y120" s="226"/>
      <c r="Z120" s="226"/>
      <c r="AA120" s="189"/>
      <c r="AB120" s="227"/>
      <c r="AC120" s="176"/>
    </row>
    <row r="121" spans="1:29" x14ac:dyDescent="0.25">
      <c r="A121" s="346"/>
      <c r="B121" s="268"/>
      <c r="C121" s="189"/>
      <c r="D121"/>
      <c r="E121"/>
      <c r="F121" s="176"/>
      <c r="G121" s="176"/>
      <c r="H121" s="224"/>
      <c r="I121" s="224"/>
      <c r="J121" s="225"/>
      <c r="K121" s="225"/>
      <c r="L121" s="226"/>
      <c r="M121" s="226"/>
      <c r="N121" s="226"/>
      <c r="O121" s="226"/>
      <c r="P121" s="226"/>
      <c r="Q121" s="226"/>
      <c r="R121" s="226"/>
      <c r="S121" s="226"/>
      <c r="T121" s="176"/>
      <c r="U121" s="191"/>
      <c r="V121" s="190"/>
      <c r="W121" s="190"/>
      <c r="X121" s="190"/>
      <c r="Y121" s="226"/>
      <c r="Z121" s="226"/>
      <c r="AA121" s="189"/>
      <c r="AB121" s="227"/>
      <c r="AC121" s="176"/>
    </row>
    <row r="122" spans="1:29" x14ac:dyDescent="0.25">
      <c r="A122" s="346"/>
      <c r="B122" s="268"/>
      <c r="C122" s="189"/>
      <c r="D122"/>
      <c r="E122"/>
      <c r="F122" s="176"/>
      <c r="G122" s="176"/>
      <c r="H122" s="224"/>
      <c r="I122" s="224"/>
      <c r="J122" s="225"/>
      <c r="K122" s="225"/>
      <c r="L122" s="226"/>
      <c r="M122" s="226"/>
      <c r="N122" s="226"/>
      <c r="O122" s="226"/>
      <c r="P122" s="226"/>
      <c r="Q122" s="226"/>
      <c r="R122" s="226"/>
      <c r="S122" s="226"/>
      <c r="T122" s="176"/>
      <c r="U122" s="191"/>
      <c r="V122" s="190"/>
      <c r="W122" s="190"/>
      <c r="X122" s="190"/>
      <c r="Y122" s="226"/>
      <c r="Z122" s="226"/>
      <c r="AA122" s="189"/>
      <c r="AB122" s="227"/>
      <c r="AC122" s="176"/>
    </row>
    <row r="123" spans="1:29" x14ac:dyDescent="0.25">
      <c r="A123" s="346"/>
      <c r="B123" s="268"/>
      <c r="C123" s="189"/>
      <c r="D123"/>
      <c r="E123"/>
      <c r="F123" s="176"/>
      <c r="G123" s="176"/>
      <c r="H123" s="224"/>
      <c r="I123" s="224"/>
      <c r="J123" s="225"/>
      <c r="K123" s="225"/>
      <c r="L123" s="226"/>
      <c r="M123" s="226"/>
      <c r="N123" s="226"/>
      <c r="O123" s="226"/>
      <c r="P123" s="226"/>
      <c r="Q123" s="226"/>
      <c r="R123" s="226"/>
      <c r="S123" s="226"/>
      <c r="T123" s="176"/>
      <c r="U123" s="191"/>
      <c r="V123" s="190"/>
      <c r="W123" s="190"/>
      <c r="X123" s="190"/>
      <c r="Y123" s="226"/>
      <c r="Z123" s="226"/>
      <c r="AA123" s="189"/>
      <c r="AB123" s="227"/>
      <c r="AC123" s="176"/>
    </row>
    <row r="124" spans="1:29" x14ac:dyDescent="0.25">
      <c r="A124" s="346"/>
      <c r="B124" s="268"/>
      <c r="C124" s="189"/>
      <c r="D124"/>
      <c r="E124"/>
      <c r="F124" s="176"/>
      <c r="G124" s="176"/>
      <c r="H124" s="224"/>
      <c r="I124" s="224"/>
      <c r="J124" s="225"/>
      <c r="K124" s="225"/>
      <c r="L124" s="226"/>
      <c r="M124" s="226"/>
      <c r="N124" s="226"/>
      <c r="O124" s="226"/>
      <c r="P124" s="226"/>
      <c r="Q124" s="226"/>
      <c r="R124" s="226"/>
      <c r="S124" s="226"/>
      <c r="T124" s="176"/>
      <c r="U124" s="191"/>
      <c r="V124" s="190"/>
      <c r="W124" s="190"/>
      <c r="X124" s="190"/>
      <c r="Y124" s="226"/>
      <c r="Z124" s="226"/>
      <c r="AA124" s="189"/>
      <c r="AB124" s="227"/>
      <c r="AC124" s="176"/>
    </row>
    <row r="125" spans="1:29" x14ac:dyDescent="0.25">
      <c r="A125" s="346"/>
      <c r="B125" s="268"/>
      <c r="C125" s="189"/>
      <c r="D125"/>
      <c r="E125"/>
      <c r="F125" s="176"/>
      <c r="G125" s="176"/>
      <c r="H125" s="224"/>
      <c r="I125" s="224"/>
      <c r="J125" s="225"/>
      <c r="K125" s="225"/>
      <c r="L125" s="226"/>
      <c r="M125" s="226"/>
      <c r="N125" s="226"/>
      <c r="O125" s="226"/>
      <c r="P125" s="226"/>
      <c r="Q125" s="226"/>
      <c r="R125" s="226"/>
      <c r="S125" s="226"/>
      <c r="T125" s="176"/>
      <c r="U125" s="191"/>
      <c r="V125" s="190"/>
      <c r="W125" s="190"/>
      <c r="X125" s="190"/>
      <c r="Y125" s="226"/>
      <c r="Z125" s="226"/>
      <c r="AA125" s="189"/>
      <c r="AB125" s="227"/>
      <c r="AC125" s="176"/>
    </row>
    <row r="126" spans="1:29" x14ac:dyDescent="0.25">
      <c r="A126" s="346"/>
      <c r="B126" s="268"/>
      <c r="C126" s="189"/>
      <c r="D126"/>
      <c r="E126"/>
      <c r="F126" s="176"/>
      <c r="G126" s="176"/>
      <c r="H126" s="224"/>
      <c r="I126" s="224"/>
      <c r="J126" s="225"/>
      <c r="K126" s="225"/>
      <c r="L126" s="226"/>
      <c r="M126" s="226"/>
      <c r="N126" s="226"/>
      <c r="O126" s="226"/>
      <c r="P126" s="226"/>
      <c r="Q126" s="226"/>
      <c r="R126" s="226"/>
      <c r="S126" s="226"/>
      <c r="T126" s="176"/>
      <c r="U126" s="191"/>
      <c r="V126" s="190"/>
      <c r="W126" s="190"/>
      <c r="X126" s="190"/>
      <c r="Y126" s="226"/>
      <c r="Z126" s="226"/>
      <c r="AA126" s="189"/>
      <c r="AB126" s="227"/>
      <c r="AC126" s="176"/>
    </row>
    <row r="127" spans="1:29" x14ac:dyDescent="0.25">
      <c r="A127" s="346"/>
      <c r="B127" s="268"/>
      <c r="C127" s="189"/>
      <c r="D127"/>
      <c r="E127"/>
      <c r="F127" s="176"/>
      <c r="G127" s="176"/>
      <c r="H127" s="224"/>
      <c r="I127" s="224"/>
      <c r="J127" s="225"/>
      <c r="K127" s="225"/>
      <c r="L127" s="226"/>
      <c r="M127" s="226"/>
      <c r="N127" s="226"/>
      <c r="O127" s="226"/>
      <c r="P127" s="226"/>
      <c r="Q127" s="226"/>
      <c r="R127" s="226"/>
      <c r="S127" s="226"/>
      <c r="T127" s="176"/>
      <c r="U127" s="191"/>
      <c r="V127" s="190"/>
      <c r="W127" s="190"/>
      <c r="X127" s="190"/>
      <c r="Y127" s="226"/>
      <c r="Z127" s="226"/>
      <c r="AA127" s="189"/>
      <c r="AB127" s="227"/>
      <c r="AC127" s="176"/>
    </row>
    <row r="128" spans="1:29" x14ac:dyDescent="0.25">
      <c r="A128" s="346"/>
      <c r="B128" s="268"/>
      <c r="C128" s="189"/>
      <c r="D128"/>
      <c r="E128"/>
      <c r="F128" s="176"/>
      <c r="G128" s="176"/>
      <c r="H128" s="224"/>
      <c r="I128" s="224"/>
      <c r="J128" s="225"/>
      <c r="K128" s="225"/>
      <c r="L128" s="226"/>
      <c r="M128" s="226"/>
      <c r="N128" s="226"/>
      <c r="O128" s="226"/>
      <c r="P128" s="226"/>
      <c r="Q128" s="226"/>
      <c r="R128" s="226"/>
      <c r="S128" s="226"/>
      <c r="T128" s="176"/>
      <c r="U128" s="191"/>
      <c r="V128" s="190"/>
      <c r="W128" s="190"/>
      <c r="X128" s="190"/>
      <c r="Y128" s="226"/>
      <c r="Z128" s="226"/>
      <c r="AA128" s="189"/>
      <c r="AB128" s="227"/>
      <c r="AC128" s="176"/>
    </row>
    <row r="129" spans="1:29" x14ac:dyDescent="0.25">
      <c r="A129" s="346"/>
      <c r="B129" s="268"/>
      <c r="C129" s="189"/>
      <c r="D129"/>
      <c r="E129"/>
      <c r="F129" s="176"/>
      <c r="G129" s="176"/>
      <c r="H129" s="224"/>
      <c r="I129" s="224"/>
      <c r="J129" s="225"/>
      <c r="K129" s="225"/>
      <c r="L129" s="226"/>
      <c r="M129" s="226"/>
      <c r="N129" s="226"/>
      <c r="O129" s="226"/>
      <c r="P129" s="226"/>
      <c r="Q129" s="226"/>
      <c r="R129" s="226"/>
      <c r="S129" s="226"/>
      <c r="T129" s="176"/>
      <c r="U129" s="191"/>
      <c r="V129" s="190"/>
      <c r="W129" s="190"/>
      <c r="X129" s="190"/>
      <c r="Y129" s="226"/>
      <c r="Z129" s="226"/>
      <c r="AA129" s="189"/>
      <c r="AB129" s="227"/>
      <c r="AC129" s="176"/>
    </row>
    <row r="130" spans="1:29" x14ac:dyDescent="0.25">
      <c r="A130" s="346"/>
      <c r="B130" s="268"/>
      <c r="C130" s="189"/>
      <c r="D130"/>
      <c r="E130"/>
      <c r="F130" s="176"/>
      <c r="G130" s="176"/>
      <c r="H130" s="224"/>
      <c r="I130" s="224"/>
      <c r="J130" s="225"/>
      <c r="K130" s="225"/>
      <c r="L130" s="226"/>
      <c r="M130" s="226"/>
      <c r="N130" s="226"/>
      <c r="O130" s="226"/>
      <c r="P130" s="226"/>
      <c r="Q130" s="226"/>
      <c r="R130" s="226"/>
      <c r="S130" s="226"/>
      <c r="T130" s="176"/>
      <c r="U130" s="191"/>
      <c r="V130" s="190"/>
      <c r="W130" s="190"/>
      <c r="X130" s="190"/>
      <c r="Y130" s="226"/>
      <c r="Z130" s="226"/>
      <c r="AA130" s="189"/>
      <c r="AB130" s="227"/>
      <c r="AC130" s="176"/>
    </row>
    <row r="131" spans="1:29" x14ac:dyDescent="0.25">
      <c r="A131" s="346"/>
      <c r="B131" s="268"/>
      <c r="C131" s="189"/>
      <c r="D131"/>
      <c r="E131"/>
      <c r="F131" s="176"/>
      <c r="G131" s="176"/>
      <c r="H131" s="224"/>
      <c r="I131" s="224"/>
      <c r="J131" s="225"/>
      <c r="K131" s="225"/>
      <c r="L131" s="226"/>
      <c r="M131" s="226"/>
      <c r="N131" s="226"/>
      <c r="O131" s="226"/>
      <c r="P131" s="226"/>
      <c r="Q131" s="226"/>
      <c r="R131" s="226"/>
      <c r="S131" s="226"/>
      <c r="T131" s="176"/>
      <c r="U131" s="191"/>
      <c r="V131" s="190"/>
      <c r="W131" s="190"/>
      <c r="X131" s="190"/>
      <c r="Y131" s="226"/>
      <c r="Z131" s="226"/>
      <c r="AA131" s="189"/>
      <c r="AB131" s="227"/>
      <c r="AC131" s="176"/>
    </row>
    <row r="132" spans="1:29" x14ac:dyDescent="0.25">
      <c r="A132" s="346"/>
      <c r="B132" s="268"/>
      <c r="C132" s="189"/>
      <c r="D132"/>
      <c r="E132"/>
      <c r="F132" s="176"/>
      <c r="G132" s="176"/>
      <c r="H132" s="224"/>
      <c r="I132" s="224"/>
      <c r="J132" s="225"/>
      <c r="K132" s="225"/>
      <c r="L132" s="226"/>
      <c r="M132" s="226"/>
      <c r="N132" s="226"/>
      <c r="O132" s="226"/>
      <c r="P132" s="226"/>
      <c r="Q132" s="226"/>
      <c r="R132" s="226"/>
      <c r="S132" s="226"/>
      <c r="T132" s="176"/>
      <c r="U132" s="191"/>
      <c r="V132" s="190"/>
      <c r="W132" s="190"/>
      <c r="X132" s="190"/>
      <c r="Y132" s="226"/>
      <c r="Z132" s="226"/>
      <c r="AA132" s="189"/>
      <c r="AB132" s="227"/>
      <c r="AC132" s="176"/>
    </row>
    <row r="133" spans="1:29" x14ac:dyDescent="0.25">
      <c r="A133" s="346"/>
      <c r="B133" s="268"/>
      <c r="C133" s="189"/>
      <c r="D133"/>
      <c r="E133"/>
      <c r="F133" s="176"/>
      <c r="G133" s="176"/>
      <c r="H133" s="224"/>
      <c r="I133" s="224"/>
      <c r="J133" s="225"/>
      <c r="K133" s="225"/>
      <c r="L133" s="226"/>
      <c r="M133" s="226"/>
      <c r="N133" s="226"/>
      <c r="O133" s="226"/>
      <c r="P133" s="226"/>
      <c r="Q133" s="226"/>
      <c r="R133" s="226"/>
      <c r="S133" s="226"/>
      <c r="T133" s="176"/>
      <c r="U133" s="191"/>
      <c r="V133" s="190"/>
      <c r="W133" s="190"/>
      <c r="X133" s="190"/>
      <c r="Y133" s="226"/>
      <c r="Z133" s="226"/>
      <c r="AA133" s="189"/>
      <c r="AB133" s="227"/>
      <c r="AC133" s="176"/>
    </row>
    <row r="134" spans="1:29" x14ac:dyDescent="0.25">
      <c r="A134" s="346"/>
      <c r="B134" s="268"/>
      <c r="C134" s="189"/>
      <c r="D134"/>
      <c r="E134"/>
      <c r="F134" s="176"/>
      <c r="G134" s="176"/>
      <c r="H134" s="224"/>
      <c r="I134" s="224"/>
      <c r="J134" s="225"/>
      <c r="K134" s="225"/>
      <c r="L134" s="226"/>
      <c r="M134" s="226"/>
      <c r="N134" s="226"/>
      <c r="O134" s="226"/>
      <c r="P134" s="226"/>
      <c r="Q134" s="226"/>
      <c r="R134" s="226"/>
      <c r="S134" s="226"/>
      <c r="T134" s="176"/>
      <c r="U134" s="191"/>
      <c r="V134" s="190"/>
      <c r="W134" s="190"/>
      <c r="X134" s="190"/>
      <c r="Y134" s="226"/>
      <c r="Z134" s="226"/>
      <c r="AA134" s="189"/>
      <c r="AB134" s="227"/>
      <c r="AC134" s="176"/>
    </row>
    <row r="135" spans="1:29" x14ac:dyDescent="0.25">
      <c r="A135" s="346"/>
      <c r="B135" s="268"/>
      <c r="C135" s="189"/>
      <c r="D135"/>
      <c r="E135"/>
      <c r="F135" s="176"/>
      <c r="G135" s="176"/>
      <c r="H135" s="224"/>
      <c r="I135" s="224"/>
      <c r="J135" s="225"/>
      <c r="K135" s="225"/>
      <c r="L135" s="226"/>
      <c r="M135" s="226"/>
      <c r="N135" s="226"/>
      <c r="O135" s="226"/>
      <c r="P135" s="226"/>
      <c r="Q135" s="226"/>
      <c r="R135" s="226"/>
      <c r="S135" s="226"/>
      <c r="T135" s="176"/>
      <c r="U135" s="191"/>
      <c r="V135" s="190"/>
      <c r="W135" s="190"/>
      <c r="X135" s="190"/>
      <c r="Y135" s="226"/>
      <c r="Z135" s="226"/>
      <c r="AA135" s="189"/>
      <c r="AB135" s="227"/>
      <c r="AC135" s="176"/>
    </row>
    <row r="136" spans="1:29" x14ac:dyDescent="0.25">
      <c r="A136" s="346"/>
      <c r="B136" s="268"/>
      <c r="C136" s="189"/>
      <c r="D136"/>
      <c r="E136"/>
      <c r="F136" s="176"/>
      <c r="G136" s="176"/>
      <c r="H136" s="224"/>
      <c r="I136" s="224"/>
      <c r="J136" s="225"/>
      <c r="K136" s="225"/>
      <c r="L136" s="226"/>
      <c r="M136" s="226"/>
      <c r="N136" s="226"/>
      <c r="O136" s="226"/>
      <c r="P136" s="226"/>
      <c r="Q136" s="226"/>
      <c r="R136" s="226"/>
      <c r="S136" s="226"/>
      <c r="T136" s="176"/>
      <c r="U136" s="191"/>
      <c r="V136" s="190"/>
      <c r="W136" s="190"/>
      <c r="X136" s="190"/>
      <c r="Y136" s="226"/>
      <c r="Z136" s="226"/>
      <c r="AA136" s="189"/>
      <c r="AB136" s="227"/>
      <c r="AC136" s="176"/>
    </row>
    <row r="137" spans="1:29" x14ac:dyDescent="0.25">
      <c r="A137" s="346"/>
      <c r="B137" s="268"/>
      <c r="C137" s="189"/>
      <c r="D137"/>
      <c r="E137"/>
      <c r="F137" s="176"/>
      <c r="G137" s="176"/>
      <c r="H137" s="224"/>
      <c r="I137" s="224"/>
      <c r="J137" s="225"/>
      <c r="K137" s="225"/>
      <c r="L137" s="226"/>
      <c r="M137" s="226"/>
      <c r="N137" s="226"/>
      <c r="O137" s="226"/>
      <c r="P137" s="226"/>
      <c r="Q137" s="226"/>
      <c r="R137" s="226"/>
      <c r="S137" s="226"/>
      <c r="T137" s="176"/>
      <c r="U137" s="191"/>
      <c r="V137" s="190"/>
      <c r="W137" s="190"/>
      <c r="X137" s="190"/>
      <c r="Y137" s="226"/>
      <c r="Z137" s="226"/>
      <c r="AA137" s="189"/>
      <c r="AB137" s="227"/>
      <c r="AC137" s="176"/>
    </row>
    <row r="138" spans="1:29" x14ac:dyDescent="0.25">
      <c r="A138" s="346"/>
      <c r="B138" s="268"/>
      <c r="C138" s="189"/>
      <c r="D138"/>
      <c r="E138"/>
      <c r="F138" s="176"/>
      <c r="G138" s="176"/>
      <c r="H138" s="224"/>
      <c r="I138" s="224"/>
      <c r="J138" s="225"/>
      <c r="K138" s="225"/>
      <c r="L138" s="226"/>
      <c r="M138" s="226"/>
      <c r="N138" s="226"/>
      <c r="O138" s="226"/>
      <c r="P138" s="226"/>
      <c r="Q138" s="226"/>
      <c r="R138" s="226"/>
      <c r="S138" s="226"/>
      <c r="T138" s="176"/>
      <c r="U138" s="191"/>
      <c r="V138" s="190"/>
      <c r="W138" s="190"/>
      <c r="X138" s="190"/>
      <c r="Y138" s="226"/>
      <c r="Z138" s="226"/>
      <c r="AA138" s="189"/>
      <c r="AB138" s="227"/>
      <c r="AC138" s="176"/>
    </row>
    <row r="139" spans="1:29" x14ac:dyDescent="0.25">
      <c r="A139" s="346"/>
      <c r="B139" s="268"/>
      <c r="C139" s="189"/>
      <c r="D139"/>
      <c r="E139"/>
      <c r="F139" s="176"/>
      <c r="G139" s="176"/>
      <c r="H139" s="224"/>
      <c r="I139" s="224"/>
      <c r="J139" s="225"/>
      <c r="K139" s="225"/>
      <c r="L139" s="226"/>
      <c r="M139" s="226"/>
      <c r="N139" s="226"/>
      <c r="O139" s="226"/>
      <c r="P139" s="226"/>
      <c r="Q139" s="226"/>
      <c r="R139" s="226"/>
      <c r="S139" s="226"/>
      <c r="T139" s="176"/>
      <c r="U139" s="191"/>
      <c r="V139" s="190"/>
      <c r="W139" s="190"/>
      <c r="X139" s="190"/>
      <c r="Y139" s="226"/>
      <c r="Z139" s="226"/>
      <c r="AA139" s="189"/>
      <c r="AB139" s="227"/>
      <c r="AC139" s="176"/>
    </row>
    <row r="140" spans="1:29" x14ac:dyDescent="0.25">
      <c r="A140" s="346"/>
      <c r="B140" s="268"/>
      <c r="C140" s="189"/>
      <c r="D140"/>
      <c r="E140"/>
      <c r="F140" s="176"/>
      <c r="G140" s="176"/>
      <c r="H140" s="224"/>
      <c r="I140" s="224"/>
      <c r="J140" s="225"/>
      <c r="K140" s="225"/>
      <c r="L140" s="226"/>
      <c r="M140" s="226"/>
      <c r="N140" s="226"/>
      <c r="O140" s="226"/>
      <c r="P140" s="226"/>
      <c r="Q140" s="226"/>
      <c r="R140" s="226"/>
      <c r="S140" s="226"/>
      <c r="T140" s="176"/>
      <c r="U140" s="191"/>
      <c r="V140" s="190"/>
      <c r="W140" s="190"/>
      <c r="X140" s="190"/>
      <c r="Y140" s="226"/>
      <c r="Z140" s="226"/>
      <c r="AA140" s="189"/>
      <c r="AB140" s="227"/>
      <c r="AC140" s="176"/>
    </row>
    <row r="141" spans="1:29" x14ac:dyDescent="0.25">
      <c r="A141" s="346"/>
      <c r="B141" s="268"/>
      <c r="C141" s="189"/>
      <c r="D141"/>
      <c r="E141"/>
      <c r="F141" s="176"/>
      <c r="G141" s="176"/>
      <c r="H141" s="224"/>
      <c r="I141" s="224"/>
      <c r="J141" s="225"/>
      <c r="K141" s="225"/>
      <c r="L141" s="226"/>
      <c r="M141" s="226"/>
      <c r="N141" s="226"/>
      <c r="O141" s="226"/>
      <c r="P141" s="226"/>
      <c r="Q141" s="226"/>
      <c r="R141" s="226"/>
      <c r="S141" s="226"/>
      <c r="T141" s="176"/>
      <c r="U141" s="191"/>
      <c r="V141" s="190"/>
      <c r="W141" s="190"/>
      <c r="X141" s="190"/>
      <c r="Y141" s="226"/>
      <c r="Z141" s="226"/>
      <c r="AA141" s="189"/>
      <c r="AB141" s="227"/>
      <c r="AC141" s="176"/>
    </row>
    <row r="142" spans="1:29" x14ac:dyDescent="0.25">
      <c r="A142" s="346"/>
      <c r="B142" s="268"/>
      <c r="C142" s="189"/>
      <c r="D142"/>
      <c r="E142"/>
      <c r="F142" s="176"/>
      <c r="G142" s="176"/>
      <c r="H142" s="224"/>
      <c r="I142" s="224"/>
      <c r="J142" s="225"/>
      <c r="K142" s="225"/>
      <c r="L142" s="226"/>
      <c r="M142" s="226"/>
      <c r="N142" s="226"/>
      <c r="O142" s="226"/>
      <c r="P142" s="226"/>
      <c r="Q142" s="226"/>
      <c r="R142" s="226"/>
      <c r="S142" s="226"/>
      <c r="T142" s="176"/>
      <c r="U142" s="191"/>
      <c r="V142" s="190"/>
      <c r="W142" s="190"/>
      <c r="X142" s="190"/>
      <c r="Y142" s="226"/>
      <c r="Z142" s="226"/>
      <c r="AA142" s="189"/>
      <c r="AB142" s="227"/>
      <c r="AC142" s="176"/>
    </row>
    <row r="143" spans="1:29" x14ac:dyDescent="0.25">
      <c r="A143" s="346"/>
      <c r="B143" s="268"/>
      <c r="C143" s="189"/>
      <c r="D143"/>
      <c r="E143"/>
      <c r="F143" s="176"/>
      <c r="G143" s="176"/>
      <c r="H143" s="224"/>
      <c r="I143" s="224"/>
      <c r="J143" s="225"/>
      <c r="K143" s="225"/>
      <c r="L143" s="226"/>
      <c r="M143" s="226"/>
      <c r="N143" s="226"/>
      <c r="O143" s="226"/>
      <c r="P143" s="226"/>
      <c r="Q143" s="226"/>
      <c r="R143" s="226"/>
      <c r="S143" s="226"/>
      <c r="T143" s="176"/>
      <c r="U143" s="191"/>
      <c r="V143" s="190"/>
      <c r="W143" s="190"/>
      <c r="X143" s="190"/>
      <c r="Y143" s="226"/>
      <c r="Z143" s="226"/>
      <c r="AA143" s="189"/>
      <c r="AB143" s="227"/>
      <c r="AC143" s="176"/>
    </row>
    <row r="144" spans="1:29" x14ac:dyDescent="0.25">
      <c r="A144" s="346"/>
      <c r="B144" s="268"/>
      <c r="C144" s="189"/>
      <c r="D144"/>
      <c r="E144"/>
      <c r="F144" s="176"/>
      <c r="G144" s="176"/>
      <c r="H144" s="224"/>
      <c r="I144" s="224"/>
      <c r="J144" s="225"/>
      <c r="K144" s="225"/>
      <c r="L144" s="226"/>
      <c r="M144" s="226"/>
      <c r="N144" s="226"/>
      <c r="O144" s="226"/>
      <c r="P144" s="226"/>
      <c r="Q144" s="226"/>
      <c r="R144" s="226"/>
      <c r="S144" s="226"/>
      <c r="T144" s="176"/>
      <c r="U144" s="191"/>
      <c r="V144" s="190"/>
      <c r="W144" s="190"/>
      <c r="X144" s="190"/>
      <c r="Y144" s="226"/>
      <c r="Z144" s="226"/>
      <c r="AA144" s="189"/>
      <c r="AB144" s="227"/>
      <c r="AC144" s="176"/>
    </row>
    <row r="145" spans="1:29" x14ac:dyDescent="0.25">
      <c r="A145" s="346"/>
      <c r="B145" s="268"/>
      <c r="C145" s="189"/>
      <c r="D145"/>
      <c r="E145"/>
      <c r="F145" s="176"/>
      <c r="G145" s="176"/>
      <c r="H145" s="224"/>
      <c r="I145" s="224"/>
      <c r="J145" s="225"/>
      <c r="K145" s="225"/>
      <c r="L145" s="226"/>
      <c r="M145" s="226"/>
      <c r="N145" s="226"/>
      <c r="O145" s="226"/>
      <c r="P145" s="226"/>
      <c r="Q145" s="226"/>
      <c r="R145" s="226"/>
      <c r="S145" s="226"/>
      <c r="T145" s="176"/>
      <c r="U145" s="191"/>
      <c r="V145" s="190"/>
      <c r="W145" s="190"/>
      <c r="X145" s="190"/>
      <c r="Y145" s="226"/>
      <c r="Z145" s="226"/>
      <c r="AA145" s="189"/>
      <c r="AB145" s="227"/>
      <c r="AC145" s="176"/>
    </row>
    <row r="146" spans="1:29" x14ac:dyDescent="0.25">
      <c r="A146" s="346"/>
      <c r="B146" s="268"/>
      <c r="C146" s="189"/>
      <c r="D146"/>
      <c r="E146"/>
      <c r="F146" s="176"/>
      <c r="G146" s="176"/>
      <c r="H146" s="224"/>
      <c r="I146" s="224"/>
      <c r="J146" s="225"/>
      <c r="K146" s="225"/>
      <c r="L146" s="226"/>
      <c r="M146" s="226"/>
      <c r="N146" s="226"/>
      <c r="O146" s="226"/>
      <c r="P146" s="226"/>
      <c r="Q146" s="226"/>
      <c r="R146" s="226"/>
      <c r="S146" s="226"/>
      <c r="T146" s="176"/>
      <c r="U146" s="191"/>
      <c r="V146" s="190"/>
      <c r="W146" s="190"/>
      <c r="X146" s="190"/>
      <c r="Y146" s="226"/>
      <c r="Z146" s="226"/>
      <c r="AA146" s="189"/>
      <c r="AB146" s="227"/>
      <c r="AC146" s="176"/>
    </row>
    <row r="147" spans="1:29" x14ac:dyDescent="0.25">
      <c r="A147" s="346"/>
      <c r="B147" s="268"/>
      <c r="C147" s="189"/>
      <c r="D147"/>
      <c r="E147"/>
      <c r="F147" s="176"/>
      <c r="G147" s="176"/>
      <c r="H147" s="224"/>
      <c r="I147" s="224"/>
      <c r="J147" s="225"/>
      <c r="K147" s="225"/>
      <c r="L147" s="226"/>
      <c r="M147" s="226"/>
      <c r="N147" s="226"/>
      <c r="O147" s="226"/>
      <c r="P147" s="226"/>
      <c r="Q147" s="226"/>
      <c r="R147" s="226"/>
      <c r="S147" s="226"/>
      <c r="T147" s="176"/>
      <c r="U147" s="191"/>
      <c r="V147" s="190"/>
      <c r="W147" s="190"/>
      <c r="X147" s="190"/>
      <c r="Y147" s="226"/>
      <c r="Z147" s="226"/>
      <c r="AA147" s="189"/>
      <c r="AB147" s="227"/>
      <c r="AC147" s="176"/>
    </row>
    <row r="148" spans="1:29" x14ac:dyDescent="0.25">
      <c r="A148" s="346"/>
      <c r="B148" s="268"/>
      <c r="C148" s="189"/>
      <c r="D148"/>
      <c r="E148"/>
      <c r="F148" s="176"/>
      <c r="G148" s="176"/>
      <c r="H148" s="224"/>
      <c r="I148" s="224"/>
      <c r="J148" s="225"/>
      <c r="K148" s="225"/>
      <c r="L148" s="226"/>
      <c r="M148" s="226"/>
      <c r="N148" s="226"/>
      <c r="O148" s="226"/>
      <c r="P148" s="226"/>
      <c r="Q148" s="226"/>
      <c r="R148" s="226"/>
      <c r="S148" s="226"/>
      <c r="T148" s="176"/>
      <c r="U148" s="191"/>
      <c r="V148" s="190"/>
      <c r="W148" s="190"/>
      <c r="X148" s="190"/>
      <c r="Y148" s="226"/>
      <c r="Z148" s="226"/>
      <c r="AA148" s="189"/>
      <c r="AB148" s="227"/>
      <c r="AC148" s="176"/>
    </row>
    <row r="149" spans="1:29" x14ac:dyDescent="0.25">
      <c r="A149" s="346"/>
      <c r="B149" s="268"/>
      <c r="C149" s="189"/>
      <c r="D149"/>
      <c r="E149"/>
      <c r="F149" s="176"/>
      <c r="G149" s="176"/>
      <c r="H149" s="224"/>
      <c r="I149" s="224"/>
      <c r="J149" s="225"/>
      <c r="K149" s="225"/>
      <c r="L149" s="226"/>
      <c r="M149" s="226"/>
      <c r="N149" s="226"/>
      <c r="O149" s="226"/>
      <c r="P149" s="226"/>
      <c r="Q149" s="226"/>
      <c r="R149" s="226"/>
      <c r="S149" s="226"/>
      <c r="T149" s="176"/>
      <c r="U149" s="191"/>
      <c r="V149" s="190"/>
      <c r="W149" s="190"/>
      <c r="X149" s="190"/>
      <c r="Y149" s="226"/>
      <c r="Z149" s="226"/>
      <c r="AA149" s="189"/>
      <c r="AB149" s="227"/>
      <c r="AC149" s="176"/>
    </row>
    <row r="150" spans="1:29" x14ac:dyDescent="0.25">
      <c r="A150" s="346"/>
      <c r="B150" s="268"/>
      <c r="C150" s="189"/>
      <c r="D150"/>
      <c r="E150"/>
      <c r="F150" s="176"/>
      <c r="G150" s="176"/>
      <c r="H150" s="224"/>
      <c r="I150" s="224"/>
      <c r="J150" s="225"/>
      <c r="K150" s="225"/>
      <c r="L150" s="226"/>
      <c r="M150" s="226"/>
      <c r="N150" s="226"/>
      <c r="O150" s="226"/>
      <c r="P150" s="226"/>
      <c r="Q150" s="226"/>
      <c r="R150" s="226"/>
      <c r="S150" s="226"/>
      <c r="T150" s="176"/>
      <c r="U150" s="191"/>
      <c r="V150" s="190"/>
      <c r="W150" s="190"/>
      <c r="X150" s="190"/>
      <c r="Y150" s="226"/>
      <c r="Z150" s="226"/>
      <c r="AA150" s="189"/>
      <c r="AB150" s="227"/>
      <c r="AC150" s="176"/>
    </row>
    <row r="151" spans="1:29" x14ac:dyDescent="0.25">
      <c r="A151" s="346"/>
      <c r="B151" s="268"/>
      <c r="C151" s="189"/>
      <c r="D151"/>
      <c r="E151"/>
      <c r="F151" s="176"/>
      <c r="G151" s="176"/>
      <c r="H151" s="224"/>
      <c r="I151" s="224"/>
      <c r="J151" s="225"/>
      <c r="K151" s="225"/>
      <c r="L151" s="226"/>
      <c r="M151" s="226"/>
      <c r="N151" s="226"/>
      <c r="O151" s="226"/>
      <c r="P151" s="226"/>
      <c r="Q151" s="226"/>
      <c r="R151" s="226"/>
      <c r="S151" s="226"/>
      <c r="T151" s="176"/>
      <c r="U151" s="191"/>
      <c r="V151" s="190"/>
      <c r="W151" s="190"/>
      <c r="X151" s="190"/>
      <c r="Y151" s="226"/>
      <c r="Z151" s="226"/>
      <c r="AA151" s="189"/>
      <c r="AB151" s="227"/>
      <c r="AC151" s="176"/>
    </row>
    <row r="152" spans="1:29" x14ac:dyDescent="0.25">
      <c r="A152" s="346"/>
      <c r="B152" s="268"/>
      <c r="C152" s="189"/>
      <c r="D152"/>
      <c r="E152"/>
      <c r="F152" s="176"/>
      <c r="G152" s="176"/>
      <c r="H152" s="224"/>
      <c r="I152" s="224"/>
      <c r="J152" s="225"/>
      <c r="K152" s="225"/>
      <c r="L152" s="226"/>
      <c r="M152" s="226"/>
      <c r="N152" s="226"/>
      <c r="O152" s="226"/>
      <c r="P152" s="226"/>
      <c r="Q152" s="226"/>
      <c r="R152" s="226"/>
      <c r="S152" s="226"/>
      <c r="T152" s="176"/>
      <c r="U152" s="191"/>
      <c r="V152" s="190"/>
      <c r="W152" s="190"/>
      <c r="X152" s="190"/>
      <c r="Y152" s="226"/>
      <c r="Z152" s="226"/>
      <c r="AA152" s="189"/>
      <c r="AB152" s="227"/>
      <c r="AC152" s="176"/>
    </row>
    <row r="153" spans="1:29" x14ac:dyDescent="0.25">
      <c r="A153" s="346"/>
      <c r="B153" s="268"/>
      <c r="C153" s="189"/>
      <c r="D153"/>
      <c r="E153"/>
      <c r="F153" s="176"/>
      <c r="G153" s="176"/>
      <c r="H153" s="224"/>
      <c r="I153" s="224"/>
      <c r="J153" s="225"/>
      <c r="K153" s="225"/>
      <c r="L153" s="226"/>
      <c r="M153" s="226"/>
      <c r="N153" s="226"/>
      <c r="O153" s="226"/>
      <c r="P153" s="226"/>
      <c r="Q153" s="226"/>
      <c r="R153" s="226"/>
      <c r="S153" s="226"/>
      <c r="T153" s="176"/>
      <c r="U153" s="191"/>
      <c r="V153" s="190"/>
      <c r="W153" s="190"/>
      <c r="X153" s="190"/>
      <c r="Y153" s="226"/>
      <c r="Z153" s="226"/>
      <c r="AA153" s="189"/>
      <c r="AB153" s="227"/>
      <c r="AC153" s="176"/>
    </row>
    <row r="154" spans="1:29" x14ac:dyDescent="0.25">
      <c r="A154" s="346"/>
      <c r="B154" s="268"/>
      <c r="C154" s="189"/>
      <c r="D154"/>
      <c r="E154"/>
      <c r="F154" s="176"/>
      <c r="G154" s="176"/>
      <c r="H154" s="224"/>
      <c r="I154" s="224"/>
      <c r="J154" s="225"/>
      <c r="K154" s="225"/>
      <c r="L154" s="226"/>
      <c r="M154" s="226"/>
      <c r="N154" s="226"/>
      <c r="O154" s="226"/>
      <c r="P154" s="226"/>
      <c r="Q154" s="226"/>
      <c r="R154" s="226"/>
      <c r="S154" s="226"/>
      <c r="T154" s="176"/>
      <c r="U154" s="191"/>
      <c r="V154" s="190"/>
      <c r="W154" s="190"/>
      <c r="X154" s="190"/>
      <c r="Y154" s="226"/>
      <c r="Z154" s="226"/>
      <c r="AA154" s="189"/>
      <c r="AB154" s="227"/>
      <c r="AC154" s="176"/>
    </row>
    <row r="155" spans="1:29" x14ac:dyDescent="0.25">
      <c r="A155" s="346"/>
      <c r="B155" s="268"/>
      <c r="C155" s="189"/>
      <c r="D155"/>
      <c r="E155"/>
      <c r="F155" s="176"/>
      <c r="G155" s="176"/>
      <c r="H155" s="224"/>
      <c r="I155" s="224"/>
      <c r="J155" s="225"/>
      <c r="K155" s="225"/>
      <c r="L155" s="226"/>
      <c r="M155" s="226"/>
      <c r="N155" s="226"/>
      <c r="O155" s="226"/>
      <c r="P155" s="226"/>
      <c r="Q155" s="226"/>
      <c r="R155" s="226"/>
      <c r="S155" s="226"/>
      <c r="T155" s="176"/>
      <c r="U155" s="191"/>
      <c r="V155" s="190"/>
      <c r="W155" s="190"/>
      <c r="X155" s="190"/>
      <c r="Y155" s="226"/>
      <c r="Z155" s="226"/>
      <c r="AA155" s="189"/>
      <c r="AB155" s="227"/>
      <c r="AC155" s="176"/>
    </row>
    <row r="156" spans="1:29" x14ac:dyDescent="0.25">
      <c r="A156" s="346"/>
      <c r="B156" s="268"/>
      <c r="C156" s="189"/>
      <c r="D156"/>
      <c r="E156"/>
      <c r="F156" s="176"/>
      <c r="G156" s="176"/>
      <c r="H156" s="224"/>
      <c r="I156" s="224"/>
      <c r="J156" s="225"/>
      <c r="K156" s="225"/>
      <c r="L156" s="226"/>
      <c r="M156" s="226"/>
      <c r="N156" s="226"/>
      <c r="O156" s="226"/>
      <c r="P156" s="226"/>
      <c r="Q156" s="226"/>
      <c r="R156" s="226"/>
      <c r="S156" s="226"/>
      <c r="T156" s="176"/>
      <c r="U156" s="191"/>
      <c r="V156" s="190"/>
      <c r="W156" s="190"/>
      <c r="X156" s="190"/>
      <c r="Y156" s="226"/>
      <c r="Z156" s="226"/>
      <c r="AA156" s="189"/>
      <c r="AB156" s="227"/>
      <c r="AC156" s="176"/>
    </row>
    <row r="157" spans="1:29" x14ac:dyDescent="0.25">
      <c r="A157" s="346"/>
      <c r="B157" s="268"/>
      <c r="C157" s="189"/>
      <c r="D157"/>
      <c r="E157"/>
      <c r="F157" s="176"/>
      <c r="G157" s="176"/>
      <c r="H157" s="224"/>
      <c r="I157" s="224"/>
      <c r="J157" s="225"/>
      <c r="K157" s="225"/>
      <c r="L157" s="226"/>
      <c r="M157" s="226"/>
      <c r="N157" s="226"/>
      <c r="O157" s="226"/>
      <c r="P157" s="226"/>
      <c r="Q157" s="226"/>
      <c r="R157" s="226"/>
      <c r="S157" s="226"/>
      <c r="T157" s="176"/>
      <c r="U157" s="191"/>
      <c r="V157" s="190"/>
      <c r="W157" s="190"/>
      <c r="X157" s="190"/>
      <c r="Y157" s="226"/>
      <c r="Z157" s="226"/>
      <c r="AA157" s="189"/>
      <c r="AB157" s="227"/>
      <c r="AC157" s="176"/>
    </row>
    <row r="158" spans="1:29" x14ac:dyDescent="0.25">
      <c r="A158" s="346"/>
      <c r="B158" s="268"/>
      <c r="C158" s="189"/>
      <c r="D158"/>
      <c r="E158"/>
      <c r="F158" s="176"/>
      <c r="G158" s="176"/>
      <c r="H158" s="224"/>
      <c r="I158" s="224"/>
      <c r="J158" s="225"/>
      <c r="K158" s="225"/>
      <c r="L158" s="226"/>
      <c r="M158" s="226"/>
      <c r="N158" s="226"/>
      <c r="O158" s="226"/>
      <c r="P158" s="226"/>
      <c r="Q158" s="226"/>
      <c r="R158" s="226"/>
      <c r="S158" s="226"/>
      <c r="T158" s="176"/>
      <c r="U158" s="191"/>
      <c r="V158" s="190"/>
      <c r="W158" s="190"/>
      <c r="X158" s="190"/>
      <c r="Y158" s="226"/>
      <c r="Z158" s="226"/>
      <c r="AA158" s="189"/>
      <c r="AB158" s="227"/>
      <c r="AC158" s="176"/>
    </row>
    <row r="159" spans="1:29" x14ac:dyDescent="0.25">
      <c r="A159" s="346"/>
      <c r="B159" s="268"/>
      <c r="C159" s="189"/>
      <c r="D159"/>
      <c r="E159"/>
      <c r="F159" s="176"/>
      <c r="G159" s="176"/>
      <c r="H159" s="224"/>
      <c r="I159" s="224"/>
      <c r="J159" s="225"/>
      <c r="K159" s="225"/>
      <c r="L159" s="226"/>
      <c r="M159" s="226"/>
      <c r="N159" s="226"/>
      <c r="O159" s="226"/>
      <c r="P159" s="226"/>
      <c r="Q159" s="226"/>
      <c r="R159" s="226"/>
      <c r="S159" s="226"/>
      <c r="T159" s="176"/>
      <c r="U159" s="191"/>
      <c r="V159" s="190"/>
      <c r="W159" s="190"/>
      <c r="X159" s="190"/>
      <c r="Y159" s="226"/>
      <c r="Z159" s="226"/>
      <c r="AA159" s="189"/>
      <c r="AB159" s="227"/>
      <c r="AC159" s="176"/>
    </row>
    <row r="160" spans="1:29" x14ac:dyDescent="0.25">
      <c r="A160" s="346"/>
      <c r="B160" s="268"/>
      <c r="C160" s="189"/>
      <c r="D160"/>
      <c r="E160"/>
      <c r="F160" s="176"/>
      <c r="G160" s="176"/>
      <c r="H160" s="224"/>
      <c r="I160" s="224"/>
      <c r="J160" s="225"/>
      <c r="K160" s="225"/>
      <c r="L160" s="226"/>
      <c r="M160" s="226"/>
      <c r="N160" s="226"/>
      <c r="O160" s="226"/>
      <c r="P160" s="226"/>
      <c r="Q160" s="226"/>
      <c r="R160" s="226"/>
      <c r="S160" s="226"/>
      <c r="T160" s="176"/>
      <c r="U160" s="191"/>
      <c r="V160" s="190"/>
      <c r="W160" s="190"/>
      <c r="X160" s="190"/>
      <c r="Y160" s="226"/>
      <c r="Z160" s="226"/>
      <c r="AA160" s="189"/>
      <c r="AB160" s="227"/>
      <c r="AC160" s="176"/>
    </row>
    <row r="161" spans="1:29" x14ac:dyDescent="0.25">
      <c r="A161" s="346"/>
      <c r="B161" s="268"/>
      <c r="C161" s="189"/>
      <c r="D161"/>
      <c r="E161"/>
      <c r="F161" s="176"/>
      <c r="G161" s="176"/>
      <c r="H161" s="224"/>
      <c r="I161" s="224"/>
      <c r="J161" s="225"/>
      <c r="K161" s="225"/>
      <c r="L161" s="226"/>
      <c r="M161" s="226"/>
      <c r="N161" s="226"/>
      <c r="O161" s="226"/>
      <c r="P161" s="226"/>
      <c r="Q161" s="226"/>
      <c r="R161" s="226"/>
      <c r="S161" s="226"/>
      <c r="T161" s="176"/>
      <c r="U161" s="191"/>
      <c r="V161" s="190"/>
      <c r="W161" s="190"/>
      <c r="X161" s="190"/>
      <c r="Y161" s="226"/>
      <c r="Z161" s="226"/>
      <c r="AA161" s="189"/>
      <c r="AB161" s="227"/>
      <c r="AC161" s="176"/>
    </row>
    <row r="162" spans="1:29" x14ac:dyDescent="0.25">
      <c r="A162" s="346"/>
      <c r="B162" s="268"/>
      <c r="C162" s="189"/>
      <c r="D162"/>
      <c r="E162"/>
      <c r="F162" s="176"/>
      <c r="G162" s="176"/>
      <c r="H162" s="224"/>
      <c r="I162" s="224"/>
      <c r="J162" s="225"/>
      <c r="K162" s="225"/>
      <c r="L162" s="226"/>
      <c r="M162" s="226"/>
      <c r="N162" s="226"/>
      <c r="O162" s="226"/>
      <c r="P162" s="226"/>
      <c r="Q162" s="226"/>
      <c r="R162" s="226"/>
      <c r="S162" s="226"/>
      <c r="T162" s="176"/>
      <c r="U162" s="191"/>
      <c r="V162" s="190"/>
      <c r="W162" s="190"/>
      <c r="X162" s="190"/>
      <c r="Y162" s="226"/>
      <c r="Z162" s="226"/>
      <c r="AA162" s="189"/>
      <c r="AB162" s="227"/>
      <c r="AC162" s="176"/>
    </row>
    <row r="163" spans="1:29" x14ac:dyDescent="0.25">
      <c r="A163" s="346"/>
      <c r="B163" s="268"/>
      <c r="C163" s="189"/>
      <c r="D163"/>
      <c r="E163"/>
      <c r="F163" s="176"/>
      <c r="G163" s="176"/>
      <c r="H163" s="224"/>
      <c r="I163" s="224"/>
      <c r="J163" s="225"/>
      <c r="K163" s="225"/>
      <c r="L163" s="226"/>
      <c r="M163" s="226"/>
      <c r="N163" s="226"/>
      <c r="O163" s="226"/>
      <c r="P163" s="226"/>
      <c r="Q163" s="226"/>
      <c r="R163" s="226"/>
      <c r="S163" s="226"/>
      <c r="T163" s="176"/>
      <c r="U163" s="191"/>
      <c r="V163" s="190"/>
      <c r="W163" s="190"/>
      <c r="X163" s="190"/>
      <c r="Y163" s="226"/>
      <c r="Z163" s="226"/>
      <c r="AA163" s="189"/>
      <c r="AB163" s="227"/>
      <c r="AC163" s="176"/>
    </row>
    <row r="164" spans="1:29" x14ac:dyDescent="0.25">
      <c r="A164" s="346"/>
      <c r="B164" s="268"/>
      <c r="C164" s="189"/>
      <c r="D164"/>
      <c r="E164"/>
      <c r="F164" s="176"/>
      <c r="G164" s="176"/>
      <c r="H164" s="224"/>
      <c r="I164" s="224"/>
      <c r="J164" s="225"/>
      <c r="K164" s="225"/>
      <c r="L164" s="226"/>
      <c r="M164" s="226"/>
      <c r="N164" s="226"/>
      <c r="O164" s="226"/>
      <c r="P164" s="226"/>
      <c r="Q164" s="226"/>
      <c r="R164" s="226"/>
      <c r="S164" s="226"/>
      <c r="T164" s="176"/>
      <c r="U164" s="191"/>
      <c r="V164" s="190"/>
      <c r="W164" s="190"/>
      <c r="X164" s="190"/>
      <c r="Y164" s="226"/>
      <c r="Z164" s="226"/>
      <c r="AA164" s="189"/>
      <c r="AB164" s="227"/>
      <c r="AC164" s="176"/>
    </row>
    <row r="165" spans="1:29" x14ac:dyDescent="0.25">
      <c r="A165" s="346"/>
      <c r="B165" s="268"/>
      <c r="C165" s="189"/>
      <c r="D165"/>
      <c r="E165"/>
      <c r="F165" s="176"/>
      <c r="G165" s="176"/>
      <c r="H165" s="224"/>
      <c r="I165" s="224"/>
      <c r="J165" s="225"/>
      <c r="K165" s="225"/>
      <c r="L165" s="226"/>
      <c r="M165" s="226"/>
      <c r="N165" s="226"/>
      <c r="O165" s="226"/>
      <c r="P165" s="226"/>
      <c r="Q165" s="226"/>
      <c r="R165" s="226"/>
      <c r="S165" s="226"/>
      <c r="T165" s="176"/>
      <c r="U165" s="191"/>
      <c r="V165" s="190"/>
      <c r="W165" s="190"/>
      <c r="X165" s="190"/>
      <c r="Y165" s="226"/>
      <c r="Z165" s="226"/>
      <c r="AA165" s="189"/>
      <c r="AB165" s="227"/>
      <c r="AC165" s="176"/>
    </row>
    <row r="166" spans="1:29" x14ac:dyDescent="0.25">
      <c r="A166" s="346"/>
      <c r="B166" s="268"/>
      <c r="C166" s="189"/>
      <c r="D166"/>
      <c r="E166"/>
      <c r="F166" s="176"/>
      <c r="G166" s="176"/>
      <c r="H166" s="224"/>
      <c r="I166" s="224"/>
      <c r="J166" s="225"/>
      <c r="K166" s="225"/>
      <c r="L166" s="226"/>
      <c r="M166" s="226"/>
      <c r="N166" s="226"/>
      <c r="O166" s="226"/>
      <c r="P166" s="226"/>
      <c r="Q166" s="226"/>
      <c r="R166" s="226"/>
      <c r="S166" s="226"/>
      <c r="T166" s="176"/>
      <c r="U166" s="191"/>
      <c r="V166" s="190"/>
      <c r="W166" s="190"/>
      <c r="X166" s="190"/>
      <c r="Y166" s="226"/>
      <c r="Z166" s="226"/>
      <c r="AA166" s="189"/>
      <c r="AB166" s="227"/>
      <c r="AC166" s="176"/>
    </row>
    <row r="167" spans="1:29" x14ac:dyDescent="0.25">
      <c r="A167" s="346"/>
      <c r="B167" s="268"/>
      <c r="C167" s="189"/>
      <c r="D167"/>
      <c r="E167"/>
      <c r="F167" s="176"/>
      <c r="G167" s="176"/>
      <c r="H167" s="224"/>
      <c r="I167" s="224"/>
      <c r="J167" s="225"/>
      <c r="K167" s="225"/>
      <c r="L167" s="226"/>
      <c r="M167" s="226"/>
      <c r="N167" s="226"/>
      <c r="O167" s="226"/>
      <c r="P167" s="226"/>
      <c r="Q167" s="226"/>
      <c r="R167" s="226"/>
      <c r="S167" s="226"/>
      <c r="T167" s="176"/>
      <c r="U167" s="191"/>
      <c r="V167" s="190"/>
      <c r="W167" s="190"/>
      <c r="X167" s="190"/>
      <c r="Y167" s="226"/>
      <c r="Z167" s="226"/>
      <c r="AA167" s="189"/>
      <c r="AB167" s="227"/>
      <c r="AC167" s="176"/>
    </row>
    <row r="168" spans="1:29" x14ac:dyDescent="0.25">
      <c r="A168" s="346"/>
      <c r="B168" s="268"/>
      <c r="C168" s="189"/>
      <c r="D168"/>
      <c r="E168"/>
      <c r="F168" s="176"/>
      <c r="G168" s="176"/>
      <c r="H168" s="224"/>
      <c r="I168" s="224"/>
      <c r="J168" s="225"/>
      <c r="K168" s="225"/>
      <c r="L168" s="226"/>
      <c r="M168" s="226"/>
      <c r="N168" s="226"/>
      <c r="O168" s="226"/>
      <c r="P168" s="226"/>
      <c r="Q168" s="226"/>
      <c r="R168" s="226"/>
      <c r="S168" s="226"/>
      <c r="T168" s="176"/>
      <c r="U168" s="191"/>
      <c r="V168" s="190"/>
      <c r="W168" s="190"/>
      <c r="X168" s="190"/>
      <c r="Y168" s="226"/>
      <c r="Z168" s="226"/>
      <c r="AA168" s="189"/>
      <c r="AB168" s="227"/>
      <c r="AC168" s="176"/>
    </row>
    <row r="169" spans="1:29" x14ac:dyDescent="0.25">
      <c r="A169" s="346"/>
      <c r="B169" s="268"/>
      <c r="C169" s="189"/>
      <c r="D169"/>
      <c r="E169"/>
      <c r="F169" s="176"/>
      <c r="G169" s="176"/>
      <c r="H169" s="224"/>
      <c r="I169" s="224"/>
      <c r="J169" s="225"/>
      <c r="K169" s="225"/>
      <c r="L169" s="226"/>
      <c r="M169" s="226"/>
      <c r="N169" s="226"/>
      <c r="O169" s="226"/>
      <c r="P169" s="226"/>
      <c r="Q169" s="226"/>
      <c r="R169" s="226"/>
      <c r="S169" s="226"/>
      <c r="T169" s="176"/>
      <c r="U169" s="191"/>
      <c r="V169" s="190"/>
      <c r="W169" s="190"/>
      <c r="X169" s="190"/>
      <c r="Y169" s="226"/>
      <c r="Z169" s="226"/>
      <c r="AA169" s="189"/>
      <c r="AB169" s="227"/>
      <c r="AC169" s="176"/>
    </row>
    <row r="170" spans="1:29" x14ac:dyDescent="0.25">
      <c r="A170" s="346"/>
      <c r="B170" s="268"/>
      <c r="C170" s="189"/>
      <c r="D170"/>
      <c r="E170"/>
      <c r="F170" s="176"/>
      <c r="G170" s="176"/>
      <c r="H170" s="224"/>
      <c r="I170" s="224"/>
      <c r="J170" s="225"/>
      <c r="K170" s="225"/>
      <c r="L170" s="226"/>
      <c r="M170" s="226"/>
      <c r="N170" s="226"/>
      <c r="O170" s="226"/>
      <c r="P170" s="226"/>
      <c r="Q170" s="226"/>
      <c r="R170" s="226"/>
      <c r="S170" s="226"/>
      <c r="T170" s="176"/>
      <c r="U170" s="191"/>
      <c r="V170" s="190"/>
      <c r="W170" s="190"/>
      <c r="X170" s="190"/>
      <c r="Y170" s="226"/>
      <c r="Z170" s="226"/>
      <c r="AA170" s="189"/>
      <c r="AB170" s="227"/>
      <c r="AC170" s="176"/>
    </row>
    <row r="171" spans="1:29" x14ac:dyDescent="0.25">
      <c r="A171" s="346"/>
      <c r="B171" s="268"/>
      <c r="C171" s="189"/>
      <c r="D171"/>
      <c r="E171"/>
      <c r="F171" s="176"/>
      <c r="G171" s="176"/>
      <c r="H171" s="224"/>
      <c r="I171" s="224"/>
      <c r="J171" s="225"/>
      <c r="K171" s="225"/>
      <c r="L171" s="226"/>
      <c r="M171" s="226"/>
      <c r="N171" s="226"/>
      <c r="O171" s="226"/>
      <c r="P171" s="226"/>
      <c r="Q171" s="226"/>
      <c r="R171" s="226"/>
      <c r="S171" s="226"/>
      <c r="T171" s="176"/>
      <c r="U171" s="191"/>
      <c r="V171" s="190"/>
      <c r="W171" s="190"/>
      <c r="X171" s="190"/>
      <c r="Y171" s="226"/>
      <c r="Z171" s="226"/>
      <c r="AA171" s="189"/>
      <c r="AB171" s="227"/>
      <c r="AC171" s="176"/>
    </row>
    <row r="172" spans="1:29" x14ac:dyDescent="0.25">
      <c r="A172" s="346"/>
      <c r="B172" s="268"/>
      <c r="C172" s="189"/>
      <c r="D172"/>
      <c r="E172"/>
      <c r="F172" s="176"/>
      <c r="G172" s="176"/>
      <c r="H172" s="224"/>
      <c r="I172" s="224"/>
      <c r="J172" s="225"/>
      <c r="K172" s="225"/>
      <c r="L172" s="226"/>
      <c r="M172" s="226"/>
      <c r="N172" s="226"/>
      <c r="O172" s="226"/>
      <c r="P172" s="226"/>
      <c r="Q172" s="226"/>
      <c r="R172" s="226"/>
      <c r="S172" s="226"/>
      <c r="T172" s="176"/>
      <c r="U172" s="191"/>
      <c r="V172" s="190"/>
      <c r="W172" s="190"/>
      <c r="X172" s="190"/>
      <c r="Y172" s="226"/>
      <c r="Z172" s="226"/>
      <c r="AA172" s="189"/>
      <c r="AB172" s="227"/>
      <c r="AC172" s="176"/>
    </row>
    <row r="173" spans="1:29" x14ac:dyDescent="0.25">
      <c r="A173" s="346"/>
      <c r="B173" s="268"/>
      <c r="C173" s="189"/>
      <c r="D173"/>
      <c r="E173"/>
      <c r="F173" s="176"/>
      <c r="G173" s="176"/>
      <c r="H173" s="224"/>
      <c r="I173" s="224"/>
      <c r="J173" s="225"/>
      <c r="K173" s="225"/>
      <c r="L173" s="226"/>
      <c r="M173" s="226"/>
      <c r="N173" s="226"/>
      <c r="O173" s="226"/>
      <c r="P173" s="226"/>
      <c r="Q173" s="226"/>
      <c r="R173" s="226"/>
      <c r="S173" s="226"/>
      <c r="T173" s="176"/>
      <c r="U173" s="191"/>
      <c r="V173" s="190"/>
      <c r="W173" s="190"/>
      <c r="X173" s="190"/>
      <c r="Y173" s="226"/>
      <c r="Z173" s="226"/>
      <c r="AA173" s="189"/>
      <c r="AB173" s="227"/>
      <c r="AC173" s="176"/>
    </row>
    <row r="174" spans="1:29" x14ac:dyDescent="0.25">
      <c r="A174" s="346"/>
      <c r="B174" s="268"/>
      <c r="C174" s="189"/>
      <c r="D174"/>
      <c r="E174"/>
      <c r="F174" s="176"/>
      <c r="G174" s="176"/>
      <c r="H174" s="224"/>
      <c r="I174" s="224"/>
      <c r="J174" s="225"/>
      <c r="K174" s="225"/>
      <c r="L174" s="226"/>
      <c r="M174" s="226"/>
      <c r="N174" s="226"/>
      <c r="O174" s="226"/>
      <c r="P174" s="226"/>
      <c r="Q174" s="226"/>
      <c r="R174" s="226"/>
      <c r="S174" s="226"/>
      <c r="T174" s="176"/>
      <c r="U174" s="191"/>
      <c r="V174" s="190"/>
      <c r="W174" s="190"/>
      <c r="X174" s="190"/>
      <c r="Y174" s="226"/>
      <c r="Z174" s="226"/>
      <c r="AA174" s="189"/>
      <c r="AB174" s="227"/>
      <c r="AC174" s="176"/>
    </row>
    <row r="175" spans="1:29" x14ac:dyDescent="0.25">
      <c r="A175" s="346"/>
      <c r="B175" s="268"/>
      <c r="C175" s="189"/>
      <c r="D175"/>
      <c r="E175"/>
      <c r="F175" s="176"/>
      <c r="G175" s="176"/>
      <c r="H175" s="224"/>
      <c r="I175" s="224"/>
      <c r="J175" s="225"/>
      <c r="K175" s="225"/>
      <c r="L175" s="226"/>
      <c r="M175" s="226"/>
      <c r="N175" s="226"/>
      <c r="O175" s="226"/>
      <c r="P175" s="226"/>
      <c r="Q175" s="226"/>
      <c r="R175" s="226"/>
      <c r="S175" s="226"/>
      <c r="T175" s="176"/>
      <c r="U175" s="191"/>
      <c r="V175" s="190"/>
      <c r="W175" s="190"/>
      <c r="X175" s="190"/>
      <c r="Y175" s="226"/>
      <c r="Z175" s="226"/>
      <c r="AA175" s="189"/>
      <c r="AB175" s="227"/>
      <c r="AC175" s="176"/>
    </row>
    <row r="176" spans="1:29" x14ac:dyDescent="0.25">
      <c r="A176" s="346"/>
      <c r="B176" s="268"/>
      <c r="C176" s="189"/>
      <c r="D176"/>
      <c r="E176"/>
      <c r="F176" s="176"/>
      <c r="G176" s="176"/>
      <c r="H176" s="224"/>
      <c r="I176" s="224"/>
      <c r="J176" s="225"/>
      <c r="K176" s="225"/>
      <c r="L176" s="226"/>
      <c r="M176" s="226"/>
      <c r="N176" s="226"/>
      <c r="O176" s="226"/>
      <c r="P176" s="226"/>
      <c r="Q176" s="226"/>
      <c r="R176" s="226"/>
      <c r="S176" s="226"/>
      <c r="T176" s="176"/>
      <c r="U176" s="191"/>
      <c r="V176" s="190"/>
      <c r="W176" s="190"/>
      <c r="X176" s="190"/>
      <c r="Y176" s="226"/>
      <c r="Z176" s="226"/>
      <c r="AA176" s="189"/>
      <c r="AB176" s="227"/>
      <c r="AC176" s="176"/>
    </row>
    <row r="177" spans="1:29" x14ac:dyDescent="0.25">
      <c r="A177" s="346"/>
      <c r="B177" s="268"/>
      <c r="C177" s="189"/>
      <c r="D177"/>
      <c r="E177"/>
      <c r="F177" s="176"/>
      <c r="G177" s="176"/>
      <c r="H177" s="224"/>
      <c r="I177" s="224"/>
      <c r="J177" s="225"/>
      <c r="K177" s="225"/>
      <c r="L177" s="226"/>
      <c r="M177" s="226"/>
      <c r="N177" s="226"/>
      <c r="O177" s="226"/>
      <c r="P177" s="226"/>
      <c r="Q177" s="226"/>
      <c r="R177" s="226"/>
      <c r="S177" s="226"/>
      <c r="T177" s="176"/>
      <c r="U177" s="191"/>
      <c r="V177" s="190"/>
      <c r="W177" s="190"/>
      <c r="X177" s="190"/>
      <c r="Y177" s="226"/>
      <c r="Z177" s="226"/>
      <c r="AA177" s="189"/>
      <c r="AB177" s="227"/>
      <c r="AC177" s="176"/>
    </row>
    <row r="178" spans="1:29" x14ac:dyDescent="0.25">
      <c r="A178" s="346"/>
      <c r="B178" s="268"/>
      <c r="C178" s="189"/>
      <c r="D178"/>
      <c r="E178"/>
      <c r="F178" s="176"/>
      <c r="G178" s="176"/>
      <c r="H178" s="224"/>
      <c r="I178" s="224"/>
      <c r="J178" s="225"/>
      <c r="K178" s="225"/>
      <c r="L178" s="226"/>
      <c r="M178" s="226"/>
      <c r="N178" s="226"/>
      <c r="O178" s="226"/>
      <c r="P178" s="226"/>
      <c r="Q178" s="226"/>
      <c r="R178" s="226"/>
      <c r="S178" s="226"/>
      <c r="T178" s="176"/>
      <c r="U178" s="191"/>
      <c r="V178" s="190"/>
      <c r="W178" s="190"/>
      <c r="X178" s="190"/>
      <c r="Y178" s="226"/>
      <c r="Z178" s="226"/>
      <c r="AA178" s="189"/>
      <c r="AB178" s="227"/>
      <c r="AC178" s="176"/>
    </row>
    <row r="179" spans="1:29" x14ac:dyDescent="0.25">
      <c r="A179" s="346"/>
      <c r="B179" s="268"/>
      <c r="C179" s="189"/>
      <c r="D179"/>
      <c r="E179"/>
      <c r="F179" s="176"/>
      <c r="G179" s="176"/>
      <c r="H179" s="224"/>
      <c r="I179" s="224"/>
      <c r="J179" s="225"/>
      <c r="K179" s="225"/>
      <c r="L179" s="226"/>
      <c r="M179" s="226"/>
      <c r="N179" s="226"/>
      <c r="O179" s="226"/>
      <c r="P179" s="226"/>
      <c r="Q179" s="226"/>
      <c r="R179" s="226"/>
      <c r="S179" s="226"/>
      <c r="T179" s="176"/>
      <c r="U179" s="191"/>
      <c r="V179" s="190"/>
      <c r="W179" s="190"/>
      <c r="X179" s="190"/>
      <c r="Y179" s="226"/>
      <c r="Z179" s="226"/>
      <c r="AA179" s="189"/>
      <c r="AB179" s="227"/>
      <c r="AC179" s="176"/>
    </row>
    <row r="180" spans="1:29" x14ac:dyDescent="0.25">
      <c r="A180" s="346"/>
      <c r="B180" s="268"/>
      <c r="C180" s="189"/>
      <c r="D180"/>
      <c r="E180"/>
      <c r="F180" s="176"/>
      <c r="G180" s="176"/>
      <c r="H180" s="224"/>
      <c r="I180" s="224"/>
      <c r="J180" s="225"/>
      <c r="K180" s="225"/>
      <c r="L180" s="226"/>
      <c r="M180" s="226"/>
      <c r="N180" s="226"/>
      <c r="O180" s="226"/>
      <c r="P180" s="226"/>
      <c r="Q180" s="226"/>
      <c r="R180" s="226"/>
      <c r="S180" s="226"/>
      <c r="T180" s="176"/>
      <c r="U180" s="191"/>
      <c r="V180" s="190"/>
      <c r="W180" s="190"/>
      <c r="X180" s="190"/>
      <c r="Y180" s="226"/>
      <c r="Z180" s="226"/>
      <c r="AA180" s="189"/>
      <c r="AB180" s="227"/>
      <c r="AC180" s="176"/>
    </row>
    <row r="181" spans="1:29" x14ac:dyDescent="0.25">
      <c r="A181" s="346"/>
      <c r="B181" s="268"/>
      <c r="C181" s="189"/>
      <c r="D181"/>
      <c r="E181"/>
      <c r="F181" s="176"/>
      <c r="G181" s="176"/>
      <c r="H181" s="224"/>
      <c r="I181" s="224"/>
      <c r="J181" s="225"/>
      <c r="K181" s="225"/>
      <c r="L181" s="226"/>
      <c r="M181" s="226"/>
      <c r="N181" s="226"/>
      <c r="O181" s="226"/>
      <c r="P181" s="226"/>
      <c r="Q181" s="226"/>
      <c r="R181" s="226"/>
      <c r="S181" s="226"/>
      <c r="T181" s="176"/>
      <c r="U181" s="191"/>
      <c r="V181" s="190"/>
      <c r="W181" s="190"/>
      <c r="X181" s="190"/>
      <c r="Y181" s="226"/>
      <c r="Z181" s="226"/>
      <c r="AA181" s="189"/>
      <c r="AB181" s="227"/>
      <c r="AC181" s="176"/>
    </row>
    <row r="182" spans="1:29" x14ac:dyDescent="0.25">
      <c r="A182" s="346"/>
      <c r="B182" s="268"/>
      <c r="C182" s="189"/>
      <c r="D182"/>
      <c r="E182"/>
      <c r="F182" s="176"/>
      <c r="G182" s="176"/>
      <c r="H182" s="224"/>
      <c r="I182" s="224"/>
      <c r="J182" s="225"/>
      <c r="K182" s="225"/>
      <c r="L182" s="226"/>
      <c r="M182" s="226"/>
      <c r="N182" s="226"/>
      <c r="O182" s="226"/>
      <c r="P182" s="226"/>
      <c r="Q182" s="226"/>
      <c r="R182" s="226"/>
      <c r="S182" s="226"/>
      <c r="T182" s="176"/>
      <c r="U182" s="191"/>
      <c r="V182" s="190"/>
      <c r="W182" s="190"/>
      <c r="X182" s="190"/>
      <c r="Y182" s="226"/>
      <c r="Z182" s="226"/>
      <c r="AA182" s="189"/>
      <c r="AB182" s="227"/>
      <c r="AC182" s="176"/>
    </row>
    <row r="183" spans="1:29" x14ac:dyDescent="0.25">
      <c r="A183" s="346"/>
      <c r="B183" s="268"/>
      <c r="C183" s="189"/>
      <c r="D183"/>
      <c r="E183"/>
      <c r="F183" s="176"/>
      <c r="G183" s="176"/>
      <c r="H183" s="224"/>
      <c r="I183" s="224"/>
      <c r="J183" s="225"/>
      <c r="K183" s="225"/>
      <c r="L183" s="226"/>
      <c r="M183" s="226"/>
      <c r="N183" s="226"/>
      <c r="O183" s="226"/>
      <c r="P183" s="226"/>
      <c r="Q183" s="226"/>
      <c r="R183" s="226"/>
      <c r="S183" s="226"/>
      <c r="T183" s="176"/>
      <c r="U183" s="191"/>
      <c r="V183" s="190"/>
      <c r="W183" s="190"/>
      <c r="X183" s="190"/>
      <c r="Y183" s="226"/>
      <c r="Z183" s="226"/>
      <c r="AA183" s="189"/>
      <c r="AB183" s="227"/>
      <c r="AC183" s="176"/>
    </row>
    <row r="184" spans="1:29" x14ac:dyDescent="0.25">
      <c r="A184" s="346"/>
      <c r="B184" s="268"/>
      <c r="C184" s="189"/>
      <c r="D184"/>
      <c r="E184"/>
      <c r="F184" s="176"/>
      <c r="G184" s="176"/>
      <c r="H184" s="224"/>
      <c r="I184" s="224"/>
      <c r="J184" s="225"/>
      <c r="K184" s="225"/>
      <c r="L184" s="226"/>
      <c r="M184" s="226"/>
      <c r="N184" s="226"/>
      <c r="O184" s="226"/>
      <c r="P184" s="226"/>
      <c r="Q184" s="226"/>
      <c r="R184" s="226"/>
      <c r="S184" s="226"/>
      <c r="T184" s="176"/>
      <c r="U184" s="191"/>
      <c r="V184" s="190"/>
      <c r="W184" s="190"/>
      <c r="X184" s="190"/>
      <c r="Y184" s="226"/>
      <c r="Z184" s="226"/>
      <c r="AA184" s="189"/>
      <c r="AB184" s="227"/>
      <c r="AC184" s="176"/>
    </row>
    <row r="185" spans="1:29" x14ac:dyDescent="0.25">
      <c r="A185" s="346"/>
      <c r="B185" s="268"/>
      <c r="C185" s="189"/>
      <c r="D185"/>
      <c r="E185"/>
      <c r="F185" s="176"/>
      <c r="G185" s="176"/>
      <c r="H185" s="224"/>
      <c r="I185" s="224"/>
      <c r="J185" s="225"/>
      <c r="K185" s="225"/>
      <c r="L185" s="226"/>
      <c r="M185" s="226"/>
      <c r="N185" s="226"/>
      <c r="O185" s="226"/>
      <c r="P185" s="226"/>
      <c r="Q185" s="226"/>
      <c r="R185" s="226"/>
      <c r="S185" s="226"/>
      <c r="T185" s="176"/>
      <c r="U185" s="191"/>
      <c r="V185" s="190"/>
      <c r="W185" s="190"/>
      <c r="X185" s="190"/>
      <c r="Y185" s="226"/>
      <c r="Z185" s="226"/>
      <c r="AA185" s="189"/>
      <c r="AB185" s="227"/>
      <c r="AC185" s="176"/>
    </row>
    <row r="186" spans="1:29" x14ac:dyDescent="0.25">
      <c r="A186" s="346"/>
      <c r="B186" s="268"/>
      <c r="C186" s="189"/>
      <c r="D186"/>
      <c r="E186"/>
      <c r="F186" s="176"/>
      <c r="G186" s="176"/>
      <c r="H186" s="224"/>
      <c r="I186" s="224"/>
      <c r="J186" s="225"/>
      <c r="K186" s="225"/>
      <c r="L186" s="226"/>
      <c r="M186" s="226"/>
      <c r="N186" s="226"/>
      <c r="O186" s="226"/>
      <c r="P186" s="226"/>
      <c r="Q186" s="226"/>
      <c r="R186" s="226"/>
      <c r="S186" s="226"/>
      <c r="T186" s="176"/>
      <c r="U186" s="191"/>
      <c r="V186" s="190"/>
      <c r="W186" s="190"/>
      <c r="X186" s="190"/>
      <c r="Y186" s="226"/>
      <c r="Z186" s="226"/>
      <c r="AA186" s="189"/>
      <c r="AB186" s="227"/>
      <c r="AC186" s="176"/>
    </row>
    <row r="187" spans="1:29" x14ac:dyDescent="0.25">
      <c r="A187" s="346"/>
      <c r="B187" s="268"/>
      <c r="C187" s="189"/>
      <c r="D187"/>
      <c r="E187"/>
      <c r="F187" s="176"/>
      <c r="G187" s="176"/>
      <c r="H187" s="224"/>
      <c r="I187" s="224"/>
      <c r="J187" s="225"/>
      <c r="K187" s="225"/>
      <c r="L187" s="226"/>
      <c r="M187" s="226"/>
      <c r="N187" s="226"/>
      <c r="O187" s="226"/>
      <c r="P187" s="226"/>
      <c r="Q187" s="226"/>
      <c r="R187" s="226"/>
      <c r="S187" s="226"/>
      <c r="T187" s="176"/>
      <c r="U187" s="191"/>
      <c r="V187" s="190"/>
      <c r="W187" s="190"/>
      <c r="X187" s="190"/>
      <c r="Y187" s="226"/>
      <c r="Z187" s="226"/>
      <c r="AA187" s="189"/>
      <c r="AB187" s="227"/>
      <c r="AC187" s="176"/>
    </row>
    <row r="188" spans="1:29" x14ac:dyDescent="0.25">
      <c r="A188" s="346"/>
      <c r="B188" s="268"/>
      <c r="C188" s="189"/>
      <c r="D188"/>
      <c r="E188"/>
      <c r="F188" s="176"/>
      <c r="G188" s="176"/>
      <c r="H188" s="224"/>
      <c r="I188" s="224"/>
      <c r="J188" s="225"/>
      <c r="K188" s="225"/>
      <c r="L188" s="226"/>
      <c r="M188" s="226"/>
      <c r="N188" s="226"/>
      <c r="O188" s="226"/>
      <c r="P188" s="226"/>
      <c r="Q188" s="226"/>
      <c r="R188" s="226"/>
      <c r="S188" s="226"/>
      <c r="T188" s="176"/>
      <c r="U188" s="191"/>
      <c r="V188" s="190"/>
      <c r="W188" s="190"/>
      <c r="X188" s="190"/>
      <c r="Y188" s="226"/>
      <c r="Z188" s="226"/>
      <c r="AA188" s="189"/>
      <c r="AB188" s="227"/>
      <c r="AC188" s="176"/>
    </row>
    <row r="189" spans="1:29" x14ac:dyDescent="0.25">
      <c r="A189" s="346"/>
      <c r="B189" s="268"/>
      <c r="C189" s="189"/>
      <c r="D189"/>
      <c r="E189"/>
      <c r="F189" s="176"/>
      <c r="G189" s="176"/>
      <c r="H189" s="224"/>
      <c r="I189" s="224"/>
      <c r="J189" s="225"/>
      <c r="K189" s="225"/>
      <c r="L189" s="226"/>
      <c r="M189" s="226"/>
      <c r="N189" s="226"/>
      <c r="O189" s="226"/>
      <c r="P189" s="226"/>
      <c r="Q189" s="226"/>
      <c r="R189" s="226"/>
      <c r="S189" s="226"/>
      <c r="T189" s="176"/>
      <c r="U189" s="191"/>
      <c r="V189" s="190"/>
      <c r="W189" s="190"/>
      <c r="X189" s="190"/>
      <c r="Y189" s="226"/>
      <c r="Z189" s="226"/>
      <c r="AA189" s="189"/>
      <c r="AB189" s="227"/>
      <c r="AC189" s="176"/>
    </row>
    <row r="190" spans="1:29" x14ac:dyDescent="0.25">
      <c r="A190" s="346"/>
      <c r="B190" s="268"/>
      <c r="C190" s="189"/>
      <c r="D190"/>
      <c r="E190"/>
      <c r="F190" s="176"/>
      <c r="G190" s="176"/>
      <c r="H190" s="224"/>
      <c r="I190" s="224"/>
      <c r="J190" s="225"/>
      <c r="K190" s="225"/>
      <c r="L190" s="226"/>
      <c r="M190" s="226"/>
      <c r="N190" s="226"/>
      <c r="O190" s="226"/>
      <c r="P190" s="226"/>
      <c r="Q190" s="226"/>
      <c r="R190" s="226"/>
      <c r="S190" s="226"/>
      <c r="T190" s="176"/>
      <c r="U190" s="191"/>
      <c r="V190" s="190"/>
      <c r="W190" s="190"/>
      <c r="X190" s="190"/>
      <c r="Y190" s="226"/>
      <c r="Z190" s="226"/>
      <c r="AA190" s="189"/>
      <c r="AB190" s="227"/>
      <c r="AC190" s="176"/>
    </row>
    <row r="191" spans="1:29" x14ac:dyDescent="0.25">
      <c r="A191" s="346"/>
      <c r="B191" s="268"/>
      <c r="C191" s="189"/>
      <c r="D191"/>
      <c r="E191"/>
      <c r="F191" s="176"/>
      <c r="G191" s="176"/>
      <c r="H191" s="224"/>
      <c r="I191" s="224"/>
      <c r="J191" s="225"/>
      <c r="K191" s="225"/>
      <c r="L191" s="226"/>
      <c r="M191" s="226"/>
      <c r="N191" s="226"/>
      <c r="O191" s="226"/>
      <c r="P191" s="226"/>
      <c r="Q191" s="226"/>
      <c r="R191" s="226"/>
      <c r="S191" s="226"/>
      <c r="T191" s="176"/>
      <c r="U191" s="191"/>
      <c r="V191" s="190"/>
      <c r="W191" s="190"/>
      <c r="X191" s="190"/>
      <c r="Y191" s="226"/>
      <c r="Z191" s="226"/>
      <c r="AA191" s="189"/>
      <c r="AB191" s="227"/>
      <c r="AC191" s="176"/>
    </row>
    <row r="192" spans="1:29" x14ac:dyDescent="0.25">
      <c r="A192" s="346"/>
      <c r="B192" s="268"/>
      <c r="C192" s="189"/>
      <c r="D192"/>
      <c r="E192"/>
      <c r="F192" s="176"/>
      <c r="G192" s="176"/>
      <c r="H192" s="224"/>
      <c r="I192" s="224"/>
      <c r="J192" s="225"/>
      <c r="K192" s="225"/>
      <c r="L192" s="226"/>
      <c r="M192" s="226"/>
      <c r="N192" s="226"/>
      <c r="O192" s="226"/>
      <c r="P192" s="226"/>
      <c r="Q192" s="226"/>
      <c r="R192" s="226"/>
      <c r="S192" s="226"/>
      <c r="T192" s="176"/>
      <c r="U192" s="191"/>
      <c r="V192" s="190"/>
      <c r="W192" s="190"/>
      <c r="X192" s="190"/>
      <c r="Y192" s="226"/>
      <c r="Z192" s="226"/>
      <c r="AA192" s="189"/>
      <c r="AB192" s="227"/>
      <c r="AC192" s="176"/>
    </row>
    <row r="193" spans="1:29" x14ac:dyDescent="0.25">
      <c r="A193" s="346"/>
      <c r="B193" s="268"/>
      <c r="C193" s="189"/>
      <c r="D193"/>
      <c r="E193"/>
      <c r="F193" s="176"/>
      <c r="G193" s="176"/>
      <c r="H193" s="224"/>
      <c r="I193" s="224"/>
      <c r="J193" s="225"/>
      <c r="K193" s="225"/>
      <c r="L193" s="226"/>
      <c r="M193" s="226"/>
      <c r="N193" s="226"/>
      <c r="O193" s="226"/>
      <c r="P193" s="226"/>
      <c r="Q193" s="226"/>
      <c r="R193" s="226"/>
      <c r="S193" s="226"/>
      <c r="T193" s="176"/>
      <c r="U193" s="191"/>
      <c r="V193" s="190"/>
      <c r="W193" s="190"/>
      <c r="X193" s="190"/>
      <c r="Y193" s="226"/>
      <c r="Z193" s="226"/>
      <c r="AA193" s="189"/>
      <c r="AB193" s="227"/>
      <c r="AC193" s="176"/>
    </row>
    <row r="194" spans="1:29" x14ac:dyDescent="0.25">
      <c r="A194" s="346"/>
      <c r="B194" s="268"/>
      <c r="C194" s="189"/>
      <c r="D194"/>
      <c r="E194"/>
      <c r="F194" s="176"/>
      <c r="G194" s="176"/>
      <c r="H194" s="224"/>
      <c r="I194" s="224"/>
      <c r="J194" s="225"/>
      <c r="K194" s="225"/>
      <c r="L194" s="226"/>
      <c r="M194" s="226"/>
      <c r="N194" s="226"/>
      <c r="O194" s="226"/>
      <c r="P194" s="226"/>
      <c r="Q194" s="226"/>
      <c r="R194" s="226"/>
      <c r="S194" s="226"/>
      <c r="T194" s="176"/>
      <c r="U194" s="191"/>
      <c r="V194" s="190"/>
      <c r="W194" s="190"/>
      <c r="X194" s="190"/>
      <c r="Y194" s="226"/>
      <c r="Z194" s="226"/>
      <c r="AA194" s="189"/>
      <c r="AB194" s="227"/>
      <c r="AC194" s="176"/>
    </row>
    <row r="195" spans="1:29" x14ac:dyDescent="0.25">
      <c r="A195" s="346"/>
      <c r="B195" s="268"/>
      <c r="C195" s="189"/>
      <c r="D195"/>
      <c r="E195"/>
      <c r="F195" s="176"/>
      <c r="G195" s="176"/>
      <c r="H195" s="224"/>
      <c r="I195" s="224"/>
      <c r="J195" s="225"/>
      <c r="K195" s="225"/>
      <c r="L195" s="226"/>
      <c r="M195" s="226"/>
      <c r="N195" s="226"/>
      <c r="O195" s="226"/>
      <c r="P195" s="226"/>
      <c r="Q195" s="226"/>
      <c r="R195" s="226"/>
      <c r="S195" s="226"/>
      <c r="T195" s="176"/>
      <c r="U195" s="191"/>
      <c r="V195" s="190"/>
      <c r="W195" s="190"/>
      <c r="X195" s="190"/>
      <c r="Y195" s="226"/>
      <c r="Z195" s="226"/>
      <c r="AA195" s="189"/>
      <c r="AB195" s="227"/>
      <c r="AC195" s="176"/>
    </row>
    <row r="196" spans="1:29" x14ac:dyDescent="0.25">
      <c r="A196" s="346"/>
      <c r="B196" s="268"/>
      <c r="C196" s="189"/>
      <c r="D196"/>
      <c r="E196"/>
      <c r="F196" s="176"/>
      <c r="G196" s="176"/>
      <c r="H196" s="224"/>
      <c r="I196" s="224"/>
      <c r="J196" s="225"/>
      <c r="K196" s="225"/>
      <c r="L196" s="226"/>
      <c r="M196" s="226"/>
      <c r="N196" s="226"/>
      <c r="O196" s="226"/>
      <c r="P196" s="226"/>
      <c r="Q196" s="226"/>
      <c r="R196" s="226"/>
      <c r="S196" s="226"/>
      <c r="T196" s="176"/>
      <c r="U196" s="191"/>
      <c r="V196" s="190"/>
      <c r="W196" s="190"/>
      <c r="X196" s="190"/>
      <c r="Y196" s="226"/>
      <c r="Z196" s="226"/>
      <c r="AA196" s="189"/>
      <c r="AB196" s="227"/>
      <c r="AC196" s="176"/>
    </row>
    <row r="197" spans="1:29" x14ac:dyDescent="0.25">
      <c r="A197" s="346"/>
      <c r="B197" s="268"/>
      <c r="C197" s="189"/>
      <c r="D197"/>
      <c r="E197"/>
      <c r="F197" s="176"/>
      <c r="G197" s="176"/>
      <c r="H197" s="224"/>
      <c r="I197" s="224"/>
      <c r="J197" s="225"/>
      <c r="K197" s="225"/>
      <c r="L197" s="226"/>
      <c r="M197" s="226"/>
      <c r="N197" s="226"/>
      <c r="O197" s="226"/>
      <c r="P197" s="226"/>
      <c r="Q197" s="226"/>
      <c r="R197" s="226"/>
      <c r="S197" s="226"/>
      <c r="T197" s="176"/>
      <c r="U197" s="191"/>
      <c r="V197" s="190"/>
      <c r="W197" s="190"/>
      <c r="X197" s="190"/>
      <c r="Y197" s="226"/>
      <c r="Z197" s="226"/>
      <c r="AA197" s="189"/>
      <c r="AB197" s="227"/>
      <c r="AC197" s="176"/>
    </row>
    <row r="198" spans="1:29" x14ac:dyDescent="0.25">
      <c r="A198" s="346"/>
      <c r="B198" s="268"/>
      <c r="C198" s="189"/>
      <c r="D198"/>
      <c r="E198"/>
      <c r="F198" s="176"/>
      <c r="G198" s="176"/>
      <c r="H198" s="224"/>
      <c r="I198" s="224"/>
      <c r="J198" s="225"/>
      <c r="K198" s="225"/>
      <c r="L198" s="226"/>
      <c r="M198" s="226"/>
      <c r="N198" s="226"/>
      <c r="O198" s="226"/>
      <c r="P198" s="226"/>
      <c r="Q198" s="226"/>
      <c r="R198" s="226"/>
      <c r="S198" s="226"/>
      <c r="T198" s="176"/>
      <c r="U198" s="191"/>
      <c r="V198" s="190"/>
      <c r="W198" s="190"/>
      <c r="X198" s="190"/>
      <c r="Y198" s="226"/>
      <c r="Z198" s="226"/>
      <c r="AA198" s="189"/>
      <c r="AB198" s="227"/>
      <c r="AC198" s="176"/>
    </row>
    <row r="199" spans="1:29" x14ac:dyDescent="0.25">
      <c r="A199" s="346"/>
      <c r="B199" s="268"/>
      <c r="C199" s="189"/>
      <c r="D199"/>
      <c r="E199"/>
      <c r="F199" s="176"/>
      <c r="G199" s="176"/>
      <c r="H199" s="224"/>
      <c r="I199" s="224"/>
      <c r="J199" s="225"/>
      <c r="K199" s="225"/>
      <c r="L199" s="226"/>
      <c r="M199" s="226"/>
      <c r="N199" s="226"/>
      <c r="O199" s="226"/>
      <c r="P199" s="226"/>
      <c r="Q199" s="226"/>
      <c r="R199" s="226"/>
      <c r="S199" s="226"/>
      <c r="T199" s="176"/>
      <c r="U199" s="191"/>
      <c r="V199" s="190"/>
      <c r="W199" s="190"/>
      <c r="X199" s="190"/>
      <c r="Y199" s="226"/>
      <c r="Z199" s="226"/>
      <c r="AA199" s="189"/>
      <c r="AB199" s="227"/>
      <c r="AC199" s="176"/>
    </row>
    <row r="200" spans="1:29" x14ac:dyDescent="0.25">
      <c r="A200" s="346"/>
      <c r="B200" s="268"/>
      <c r="C200" s="189"/>
      <c r="D200"/>
      <c r="E200"/>
      <c r="F200" s="176"/>
      <c r="G200" s="176"/>
      <c r="H200" s="224"/>
      <c r="I200" s="224"/>
      <c r="J200" s="225"/>
      <c r="K200" s="225"/>
      <c r="L200" s="226"/>
      <c r="M200" s="226"/>
      <c r="N200" s="226"/>
      <c r="O200" s="226"/>
      <c r="P200" s="226"/>
      <c r="Q200" s="226"/>
      <c r="R200" s="226"/>
      <c r="S200" s="226"/>
      <c r="T200" s="176"/>
      <c r="U200" s="191"/>
      <c r="V200" s="190"/>
      <c r="W200" s="190"/>
      <c r="X200" s="190"/>
      <c r="Y200" s="226"/>
      <c r="Z200" s="226"/>
      <c r="AA200" s="189"/>
      <c r="AB200" s="227"/>
      <c r="AC200" s="176"/>
    </row>
    <row r="201" spans="1:29" x14ac:dyDescent="0.25">
      <c r="A201" s="346"/>
      <c r="B201" s="268"/>
      <c r="C201" s="189"/>
      <c r="D201"/>
      <c r="E201"/>
      <c r="F201" s="176"/>
      <c r="G201" s="176"/>
      <c r="H201" s="224"/>
      <c r="I201" s="224"/>
      <c r="J201" s="225"/>
      <c r="K201" s="225"/>
      <c r="L201" s="226"/>
      <c r="M201" s="226"/>
      <c r="N201" s="226"/>
      <c r="O201" s="226"/>
      <c r="P201" s="226"/>
      <c r="Q201" s="226"/>
      <c r="R201" s="226"/>
      <c r="S201" s="226"/>
      <c r="T201" s="176"/>
      <c r="U201" s="191"/>
      <c r="V201" s="190"/>
      <c r="W201" s="190"/>
      <c r="X201" s="190"/>
      <c r="Y201" s="226"/>
      <c r="Z201" s="226"/>
      <c r="AA201" s="189"/>
      <c r="AB201" s="227"/>
      <c r="AC201" s="176"/>
    </row>
    <row r="202" spans="1:29" x14ac:dyDescent="0.25">
      <c r="A202" s="346"/>
      <c r="B202" s="268"/>
      <c r="C202" s="189"/>
      <c r="D202"/>
      <c r="E202"/>
      <c r="F202" s="176"/>
      <c r="G202" s="176"/>
      <c r="H202" s="224"/>
      <c r="I202" s="224"/>
      <c r="J202" s="225"/>
      <c r="K202" s="225"/>
      <c r="L202" s="226"/>
      <c r="M202" s="226"/>
      <c r="N202" s="226"/>
      <c r="O202" s="226"/>
      <c r="P202" s="226"/>
      <c r="Q202" s="226"/>
      <c r="R202" s="226"/>
      <c r="S202" s="226"/>
      <c r="T202" s="176"/>
      <c r="U202" s="191"/>
      <c r="V202" s="190"/>
      <c r="W202" s="190"/>
      <c r="X202" s="190"/>
      <c r="Y202" s="226"/>
      <c r="Z202" s="226"/>
      <c r="AA202" s="189"/>
      <c r="AB202" s="227"/>
      <c r="AC202" s="176"/>
    </row>
    <row r="203" spans="1:29" x14ac:dyDescent="0.25">
      <c r="A203" s="346"/>
      <c r="B203" s="268"/>
      <c r="C203" s="189"/>
      <c r="D203"/>
      <c r="E203"/>
      <c r="F203" s="176"/>
      <c r="G203" s="176"/>
      <c r="H203" s="224"/>
      <c r="I203" s="224"/>
      <c r="J203" s="225"/>
      <c r="K203" s="225"/>
      <c r="L203" s="226"/>
      <c r="M203" s="226"/>
      <c r="N203" s="226"/>
      <c r="O203" s="226"/>
      <c r="P203" s="226"/>
      <c r="Q203" s="226"/>
      <c r="R203" s="226"/>
      <c r="S203" s="226"/>
      <c r="T203" s="176"/>
      <c r="U203" s="191"/>
      <c r="V203" s="190"/>
      <c r="W203" s="190"/>
      <c r="X203" s="190"/>
      <c r="Y203" s="226"/>
      <c r="Z203" s="226"/>
      <c r="AA203" s="189"/>
      <c r="AB203" s="227"/>
      <c r="AC203" s="176"/>
    </row>
    <row r="204" spans="1:29" x14ac:dyDescent="0.25">
      <c r="A204" s="346"/>
      <c r="B204" s="268"/>
      <c r="C204" s="189"/>
      <c r="D204"/>
      <c r="E204"/>
      <c r="F204" s="176"/>
      <c r="G204" s="176"/>
      <c r="H204" s="224"/>
      <c r="I204" s="224"/>
      <c r="J204" s="225"/>
      <c r="K204" s="225"/>
      <c r="L204" s="226"/>
      <c r="M204" s="226"/>
      <c r="N204" s="226"/>
      <c r="O204" s="226"/>
      <c r="P204" s="226"/>
      <c r="Q204" s="226"/>
      <c r="R204" s="226"/>
      <c r="S204" s="226"/>
      <c r="T204" s="176"/>
      <c r="U204" s="191"/>
      <c r="V204" s="190"/>
      <c r="W204" s="190"/>
      <c r="X204" s="190"/>
      <c r="Y204" s="226"/>
      <c r="Z204" s="226"/>
      <c r="AA204" s="189"/>
      <c r="AB204" s="227"/>
      <c r="AC204" s="176"/>
    </row>
    <row r="205" spans="1:29" x14ac:dyDescent="0.25">
      <c r="A205" s="346"/>
      <c r="B205" s="268"/>
      <c r="C205" s="189"/>
      <c r="D205"/>
      <c r="E205"/>
      <c r="F205" s="176"/>
      <c r="G205" s="176"/>
      <c r="H205" s="224"/>
      <c r="I205" s="224"/>
      <c r="J205" s="225"/>
      <c r="K205" s="225"/>
      <c r="L205" s="226"/>
      <c r="M205" s="226"/>
      <c r="N205" s="226"/>
      <c r="O205" s="226"/>
      <c r="P205" s="226"/>
      <c r="Q205" s="226"/>
      <c r="R205" s="226"/>
      <c r="S205" s="226"/>
      <c r="T205" s="176"/>
      <c r="U205" s="191"/>
      <c r="V205" s="190"/>
      <c r="W205" s="190"/>
      <c r="X205" s="190"/>
      <c r="Y205" s="226"/>
      <c r="Z205" s="226"/>
      <c r="AA205" s="189"/>
      <c r="AB205" s="227"/>
      <c r="AC205" s="176"/>
    </row>
    <row r="206" spans="1:29" x14ac:dyDescent="0.25">
      <c r="A206" s="346"/>
      <c r="B206" s="268"/>
      <c r="C206" s="189"/>
      <c r="D206"/>
      <c r="E206"/>
      <c r="F206" s="176"/>
      <c r="G206" s="176"/>
      <c r="H206" s="224"/>
      <c r="I206" s="224"/>
      <c r="J206" s="225"/>
      <c r="K206" s="225"/>
      <c r="L206" s="226"/>
      <c r="M206" s="226"/>
      <c r="N206" s="226"/>
      <c r="O206" s="226"/>
      <c r="P206" s="226"/>
      <c r="Q206" s="226"/>
      <c r="R206" s="226"/>
      <c r="S206" s="226"/>
      <c r="T206" s="176"/>
      <c r="U206" s="191"/>
      <c r="V206" s="190"/>
      <c r="W206" s="190"/>
      <c r="X206" s="190"/>
      <c r="Y206" s="226"/>
      <c r="Z206" s="226"/>
      <c r="AA206" s="189"/>
      <c r="AB206" s="227"/>
      <c r="AC206" s="176"/>
    </row>
    <row r="207" spans="1:29" x14ac:dyDescent="0.25">
      <c r="A207" s="346"/>
      <c r="B207" s="268"/>
      <c r="C207" s="189"/>
      <c r="D207"/>
      <c r="E207"/>
      <c r="F207" s="176"/>
      <c r="G207" s="176"/>
      <c r="H207" s="224"/>
      <c r="I207" s="224"/>
      <c r="J207" s="225"/>
      <c r="K207" s="225"/>
      <c r="L207" s="226"/>
      <c r="M207" s="226"/>
      <c r="N207" s="226"/>
      <c r="O207" s="226"/>
      <c r="P207" s="226"/>
      <c r="Q207" s="226"/>
      <c r="R207" s="226"/>
      <c r="S207" s="226"/>
      <c r="T207" s="176"/>
      <c r="U207" s="191"/>
      <c r="V207" s="190"/>
      <c r="W207" s="190"/>
      <c r="X207" s="190"/>
      <c r="Y207" s="226"/>
      <c r="Z207" s="226"/>
      <c r="AA207" s="189"/>
      <c r="AB207" s="227"/>
      <c r="AC207" s="176"/>
    </row>
    <row r="208" spans="1:29" x14ac:dyDescent="0.25">
      <c r="A208" s="346"/>
      <c r="B208" s="268"/>
      <c r="C208" s="189"/>
      <c r="D208"/>
      <c r="E208"/>
      <c r="F208" s="176"/>
      <c r="G208" s="176"/>
      <c r="H208" s="224"/>
      <c r="I208" s="224"/>
      <c r="J208" s="225"/>
      <c r="K208" s="225"/>
      <c r="L208" s="226"/>
      <c r="M208" s="226"/>
      <c r="N208" s="226"/>
      <c r="O208" s="226"/>
      <c r="P208" s="226"/>
      <c r="Q208" s="226"/>
      <c r="R208" s="226"/>
      <c r="S208" s="226"/>
      <c r="T208" s="176"/>
      <c r="U208" s="191"/>
      <c r="V208" s="190"/>
      <c r="W208" s="190"/>
      <c r="X208" s="190"/>
      <c r="Y208" s="226"/>
      <c r="Z208" s="226"/>
      <c r="AA208" s="189"/>
      <c r="AB208" s="227"/>
      <c r="AC208" s="176"/>
    </row>
    <row r="209" spans="1:29" x14ac:dyDescent="0.25">
      <c r="A209" s="346"/>
      <c r="B209" s="268"/>
      <c r="C209" s="189"/>
      <c r="D209"/>
      <c r="E209"/>
      <c r="F209" s="176"/>
      <c r="G209" s="176"/>
      <c r="H209" s="224"/>
      <c r="I209" s="224"/>
      <c r="J209" s="225"/>
      <c r="K209" s="225"/>
      <c r="L209" s="226"/>
      <c r="M209" s="226"/>
      <c r="N209" s="226"/>
      <c r="O209" s="226"/>
      <c r="P209" s="226"/>
      <c r="Q209" s="226"/>
      <c r="R209" s="226"/>
      <c r="S209" s="226"/>
      <c r="T209" s="176"/>
      <c r="U209" s="191"/>
      <c r="V209" s="190"/>
      <c r="W209" s="190"/>
      <c r="X209" s="190"/>
      <c r="Y209" s="226"/>
      <c r="Z209" s="226"/>
      <c r="AA209" s="189"/>
      <c r="AB209" s="227"/>
      <c r="AC209" s="176"/>
    </row>
    <row r="210" spans="1:29" x14ac:dyDescent="0.25">
      <c r="A210" s="346"/>
      <c r="B210" s="268"/>
      <c r="C210" s="189"/>
      <c r="D210"/>
      <c r="E210"/>
      <c r="F210" s="176"/>
      <c r="G210" s="176"/>
      <c r="H210" s="224"/>
      <c r="I210" s="224"/>
      <c r="J210" s="225"/>
      <c r="K210" s="225"/>
      <c r="L210" s="226"/>
      <c r="M210" s="226"/>
      <c r="N210" s="226"/>
      <c r="O210" s="226"/>
      <c r="P210" s="226"/>
      <c r="Q210" s="226"/>
      <c r="R210" s="226"/>
      <c r="S210" s="226"/>
      <c r="T210" s="176"/>
      <c r="U210" s="191"/>
      <c r="V210" s="190"/>
      <c r="W210" s="190"/>
      <c r="X210" s="190"/>
      <c r="Y210" s="226"/>
      <c r="Z210" s="226"/>
      <c r="AA210" s="189"/>
      <c r="AB210" s="227"/>
      <c r="AC210" s="176"/>
    </row>
    <row r="211" spans="1:29" x14ac:dyDescent="0.25">
      <c r="A211" s="346"/>
      <c r="B211" s="268"/>
      <c r="C211" s="189"/>
      <c r="D211"/>
      <c r="E211"/>
      <c r="F211" s="176"/>
      <c r="G211" s="176"/>
      <c r="H211" s="224"/>
      <c r="I211" s="224"/>
      <c r="J211" s="225"/>
      <c r="K211" s="225"/>
      <c r="L211" s="226"/>
      <c r="M211" s="226"/>
      <c r="N211" s="226"/>
      <c r="O211" s="226"/>
      <c r="P211" s="226"/>
      <c r="Q211" s="226"/>
      <c r="R211" s="226"/>
      <c r="S211" s="226"/>
      <c r="T211" s="176"/>
      <c r="U211" s="191"/>
      <c r="V211" s="190"/>
      <c r="W211" s="190"/>
      <c r="X211" s="190"/>
      <c r="Y211" s="226"/>
      <c r="Z211" s="226"/>
      <c r="AA211" s="189"/>
      <c r="AB211" s="227"/>
      <c r="AC211" s="176"/>
    </row>
    <row r="212" spans="1:29" x14ac:dyDescent="0.25">
      <c r="A212" s="346"/>
      <c r="B212" s="268"/>
      <c r="C212" s="189"/>
      <c r="D212"/>
      <c r="E212"/>
      <c r="F212" s="176"/>
      <c r="G212" s="176"/>
      <c r="H212" s="224"/>
      <c r="I212" s="224"/>
      <c r="J212" s="225"/>
      <c r="K212" s="225"/>
      <c r="L212" s="226"/>
      <c r="M212" s="226"/>
      <c r="N212" s="226"/>
      <c r="O212" s="226"/>
      <c r="P212" s="226"/>
      <c r="Q212" s="226"/>
      <c r="R212" s="226"/>
      <c r="S212" s="226"/>
      <c r="T212" s="176"/>
      <c r="U212" s="191"/>
      <c r="V212" s="190"/>
      <c r="W212" s="190"/>
      <c r="X212" s="190"/>
      <c r="Y212" s="226"/>
      <c r="Z212" s="226"/>
      <c r="AA212" s="189"/>
      <c r="AB212" s="227"/>
      <c r="AC212" s="176"/>
    </row>
    <row r="213" spans="1:29" x14ac:dyDescent="0.25">
      <c r="A213" s="346"/>
      <c r="B213" s="268"/>
      <c r="C213" s="189"/>
      <c r="D213"/>
      <c r="E213"/>
      <c r="F213" s="176"/>
      <c r="G213" s="176"/>
      <c r="H213" s="224"/>
      <c r="I213" s="224"/>
      <c r="J213" s="225"/>
      <c r="K213" s="225"/>
      <c r="L213" s="226"/>
      <c r="M213" s="226"/>
      <c r="N213" s="226"/>
      <c r="O213" s="226"/>
      <c r="P213" s="226"/>
      <c r="Q213" s="226"/>
      <c r="R213" s="226"/>
      <c r="S213" s="226"/>
      <c r="T213" s="176"/>
      <c r="U213" s="191"/>
      <c r="V213" s="190"/>
      <c r="W213" s="190"/>
      <c r="X213" s="190"/>
      <c r="Y213" s="226"/>
      <c r="Z213" s="226"/>
      <c r="AA213" s="189"/>
      <c r="AB213" s="227"/>
      <c r="AC213" s="176"/>
    </row>
    <row r="214" spans="1:29" x14ac:dyDescent="0.25">
      <c r="A214" s="346"/>
      <c r="B214" s="268"/>
      <c r="C214" s="189"/>
      <c r="D214"/>
      <c r="E214"/>
      <c r="F214" s="176"/>
      <c r="G214" s="176"/>
      <c r="H214" s="224"/>
      <c r="I214" s="224"/>
      <c r="J214" s="225"/>
      <c r="K214" s="225"/>
      <c r="L214" s="226"/>
      <c r="M214" s="226"/>
      <c r="N214" s="226"/>
      <c r="O214" s="226"/>
      <c r="P214" s="226"/>
      <c r="Q214" s="226"/>
      <c r="R214" s="226"/>
      <c r="S214" s="226"/>
      <c r="T214" s="176"/>
      <c r="U214" s="191"/>
      <c r="V214" s="190"/>
      <c r="W214" s="190"/>
      <c r="X214" s="190"/>
      <c r="Y214" s="226"/>
      <c r="Z214" s="226"/>
      <c r="AA214" s="189"/>
      <c r="AB214" s="227"/>
      <c r="AC214" s="176"/>
    </row>
    <row r="215" spans="1:29" x14ac:dyDescent="0.25">
      <c r="A215" s="346"/>
      <c r="B215" s="268"/>
      <c r="C215" s="189"/>
      <c r="D215"/>
      <c r="E215"/>
      <c r="F215" s="176"/>
      <c r="G215" s="176"/>
      <c r="H215" s="224"/>
      <c r="I215" s="224"/>
      <c r="J215" s="225"/>
      <c r="K215" s="225"/>
      <c r="L215" s="226"/>
      <c r="M215" s="226"/>
      <c r="N215" s="226"/>
      <c r="O215" s="226"/>
      <c r="P215" s="226"/>
      <c r="Q215" s="226"/>
      <c r="R215" s="226"/>
      <c r="S215" s="226"/>
      <c r="T215" s="176"/>
      <c r="U215" s="191"/>
      <c r="V215" s="190"/>
      <c r="W215" s="190"/>
      <c r="X215" s="190"/>
      <c r="Y215" s="226"/>
      <c r="Z215" s="226"/>
      <c r="AA215" s="189"/>
      <c r="AB215" s="227"/>
      <c r="AC215" s="176"/>
    </row>
    <row r="216" spans="1:29" x14ac:dyDescent="0.25">
      <c r="A216" s="346"/>
      <c r="B216" s="268"/>
      <c r="C216" s="189"/>
      <c r="D216"/>
      <c r="E216"/>
      <c r="F216" s="176"/>
      <c r="G216" s="176"/>
      <c r="H216" s="224"/>
      <c r="I216" s="224"/>
      <c r="J216" s="225"/>
      <c r="K216" s="225"/>
      <c r="L216" s="226"/>
      <c r="M216" s="226"/>
      <c r="N216" s="226"/>
      <c r="O216" s="226"/>
      <c r="P216" s="226"/>
      <c r="Q216" s="226"/>
      <c r="R216" s="226"/>
      <c r="S216" s="226"/>
      <c r="T216" s="176"/>
      <c r="U216" s="191"/>
      <c r="V216" s="190"/>
      <c r="W216" s="190"/>
      <c r="X216" s="190"/>
      <c r="Y216" s="226"/>
      <c r="Z216" s="226"/>
      <c r="AA216" s="189"/>
      <c r="AB216" s="227"/>
      <c r="AC216" s="176"/>
    </row>
    <row r="217" spans="1:29" x14ac:dyDescent="0.25">
      <c r="A217" s="346"/>
      <c r="B217" s="268"/>
      <c r="C217" s="189"/>
      <c r="D217"/>
      <c r="E217"/>
      <c r="F217" s="176"/>
      <c r="G217" s="176"/>
      <c r="H217" s="224"/>
      <c r="I217" s="224"/>
      <c r="J217" s="225"/>
      <c r="K217" s="225"/>
      <c r="L217" s="226"/>
      <c r="M217" s="226"/>
      <c r="N217" s="226"/>
      <c r="O217" s="226"/>
      <c r="P217" s="226"/>
      <c r="Q217" s="226"/>
      <c r="R217" s="226"/>
      <c r="S217" s="226"/>
      <c r="T217" s="176"/>
      <c r="U217" s="191"/>
      <c r="V217" s="190"/>
      <c r="W217" s="190"/>
      <c r="X217" s="190"/>
      <c r="Y217" s="226"/>
      <c r="Z217" s="226"/>
      <c r="AA217" s="189"/>
      <c r="AB217" s="227"/>
      <c r="AC217" s="176"/>
    </row>
    <row r="218" spans="1:29" x14ac:dyDescent="0.25">
      <c r="A218" s="346"/>
      <c r="B218" s="268"/>
      <c r="C218" s="189"/>
      <c r="D218"/>
      <c r="E218"/>
      <c r="F218" s="176"/>
      <c r="G218" s="176"/>
      <c r="H218" s="224"/>
      <c r="I218" s="224"/>
      <c r="J218" s="225"/>
      <c r="K218" s="225"/>
      <c r="L218" s="226"/>
      <c r="M218" s="226"/>
      <c r="N218" s="226"/>
      <c r="O218" s="226"/>
      <c r="P218" s="226"/>
      <c r="Q218" s="226"/>
      <c r="R218" s="226"/>
      <c r="S218" s="226"/>
      <c r="T218" s="176"/>
      <c r="U218" s="191"/>
      <c r="V218" s="190"/>
      <c r="W218" s="190"/>
      <c r="X218" s="190"/>
      <c r="Y218" s="226"/>
      <c r="Z218" s="226"/>
      <c r="AA218" s="189"/>
      <c r="AB218" s="227"/>
      <c r="AC218" s="176"/>
    </row>
    <row r="219" spans="1:29" x14ac:dyDescent="0.25">
      <c r="A219" s="346"/>
      <c r="B219" s="268"/>
      <c r="C219" s="189"/>
      <c r="D219"/>
      <c r="E219"/>
      <c r="F219" s="176"/>
      <c r="G219" s="176"/>
      <c r="H219" s="224"/>
      <c r="I219" s="224"/>
      <c r="J219" s="225"/>
      <c r="K219" s="225"/>
      <c r="L219" s="226"/>
      <c r="M219" s="226"/>
      <c r="N219" s="226"/>
      <c r="O219" s="226"/>
      <c r="P219" s="226"/>
      <c r="Q219" s="226"/>
      <c r="R219" s="226"/>
      <c r="S219" s="226"/>
      <c r="T219" s="176"/>
      <c r="U219" s="191"/>
      <c r="V219" s="190"/>
      <c r="W219" s="190"/>
      <c r="X219" s="190"/>
      <c r="Y219" s="226"/>
      <c r="Z219" s="226"/>
      <c r="AA219" s="189"/>
      <c r="AB219" s="227"/>
      <c r="AC219" s="176"/>
    </row>
    <row r="220" spans="1:29" x14ac:dyDescent="0.25">
      <c r="A220" s="346"/>
      <c r="B220" s="268"/>
      <c r="C220" s="189"/>
      <c r="D220"/>
      <c r="E220"/>
      <c r="F220" s="176"/>
      <c r="G220" s="176"/>
      <c r="H220" s="224"/>
      <c r="I220" s="224"/>
      <c r="J220" s="225"/>
      <c r="K220" s="225"/>
      <c r="L220" s="226"/>
      <c r="M220" s="226"/>
      <c r="N220" s="226"/>
      <c r="O220" s="226"/>
      <c r="P220" s="226"/>
      <c r="Q220" s="226"/>
      <c r="R220" s="226"/>
      <c r="S220" s="226"/>
      <c r="T220" s="176"/>
      <c r="U220" s="191"/>
      <c r="V220" s="190"/>
      <c r="W220" s="190"/>
      <c r="X220" s="190"/>
      <c r="Y220" s="226"/>
      <c r="Z220" s="226"/>
      <c r="AA220" s="189"/>
      <c r="AB220" s="227"/>
      <c r="AC220" s="176"/>
    </row>
    <row r="221" spans="1:29" x14ac:dyDescent="0.25">
      <c r="A221" s="346"/>
      <c r="B221" s="268"/>
      <c r="C221" s="189"/>
      <c r="D221"/>
      <c r="E221"/>
      <c r="F221" s="176"/>
      <c r="G221" s="176"/>
      <c r="H221" s="224"/>
      <c r="I221" s="224"/>
      <c r="J221" s="225"/>
      <c r="K221" s="225"/>
      <c r="L221" s="226"/>
      <c r="M221" s="226"/>
      <c r="N221" s="226"/>
      <c r="O221" s="226"/>
      <c r="P221" s="226"/>
      <c r="Q221" s="226"/>
      <c r="R221" s="226"/>
      <c r="S221" s="226"/>
      <c r="T221" s="176"/>
      <c r="U221" s="191"/>
      <c r="V221" s="190"/>
      <c r="W221" s="190"/>
      <c r="X221" s="190"/>
      <c r="Y221" s="226"/>
      <c r="Z221" s="226"/>
      <c r="AA221" s="189"/>
      <c r="AB221" s="227"/>
      <c r="AC221" s="176"/>
    </row>
    <row r="222" spans="1:29" x14ac:dyDescent="0.25">
      <c r="A222" s="346"/>
      <c r="B222" s="268"/>
      <c r="C222" s="189"/>
      <c r="D222"/>
      <c r="E222"/>
      <c r="F222" s="176"/>
      <c r="G222" s="176"/>
      <c r="H222" s="224"/>
      <c r="I222" s="224"/>
      <c r="J222" s="225"/>
      <c r="K222" s="225"/>
      <c r="L222" s="226"/>
      <c r="M222" s="226"/>
      <c r="N222" s="226"/>
      <c r="O222" s="226"/>
      <c r="P222" s="226"/>
      <c r="Q222" s="226"/>
      <c r="R222" s="226"/>
      <c r="S222" s="226"/>
      <c r="T222" s="176"/>
      <c r="U222" s="191"/>
      <c r="V222" s="190"/>
      <c r="W222" s="190"/>
      <c r="X222" s="190"/>
      <c r="Y222" s="226"/>
      <c r="Z222" s="226"/>
      <c r="AA222" s="189"/>
      <c r="AB222" s="227"/>
      <c r="AC222" s="176"/>
    </row>
    <row r="223" spans="1:29" x14ac:dyDescent="0.25">
      <c r="A223" s="167"/>
      <c r="B223" s="268"/>
      <c r="C223" s="189"/>
      <c r="D223"/>
      <c r="E223"/>
      <c r="F223" s="176"/>
      <c r="G223" s="176"/>
      <c r="H223" s="224"/>
      <c r="I223" s="224"/>
      <c r="J223" s="225"/>
      <c r="K223" s="225"/>
      <c r="L223" s="226"/>
      <c r="M223" s="226"/>
      <c r="N223" s="226"/>
      <c r="O223" s="226"/>
      <c r="P223" s="226"/>
      <c r="Q223" s="226"/>
      <c r="R223" s="226"/>
      <c r="S223" s="226"/>
      <c r="T223" s="176"/>
      <c r="U223" s="191"/>
      <c r="V223" s="190"/>
      <c r="W223" s="190"/>
      <c r="X223" s="190"/>
      <c r="Y223" s="226"/>
      <c r="Z223" s="226"/>
      <c r="AA223" s="189"/>
      <c r="AB223" s="227"/>
      <c r="AC223" s="176"/>
    </row>
    <row r="224" spans="1:29" x14ac:dyDescent="0.25">
      <c r="A224" s="167"/>
      <c r="B224" s="268"/>
      <c r="C224" s="189"/>
      <c r="D224"/>
      <c r="E224"/>
      <c r="F224" s="176"/>
      <c r="G224" s="428"/>
      <c r="H224" s="224"/>
      <c r="I224" s="224"/>
      <c r="J224" s="225"/>
      <c r="K224" s="225"/>
      <c r="L224" s="226"/>
      <c r="M224" s="226"/>
      <c r="N224" s="226"/>
      <c r="O224" s="226"/>
      <c r="P224" s="226"/>
      <c r="Q224" s="226"/>
      <c r="R224" s="226"/>
      <c r="S224" s="226"/>
      <c r="T224" s="176"/>
      <c r="U224" s="191"/>
      <c r="V224" s="190"/>
      <c r="W224" s="190"/>
      <c r="X224" s="190"/>
      <c r="Y224" s="226"/>
      <c r="Z224" s="226"/>
      <c r="AA224" s="189"/>
      <c r="AB224" s="227"/>
      <c r="AC224" s="176"/>
    </row>
    <row r="225" spans="1:29" x14ac:dyDescent="0.25">
      <c r="A225" s="167"/>
      <c r="B225" s="268"/>
      <c r="C225" s="189"/>
      <c r="D225"/>
      <c r="E225"/>
      <c r="F225" s="176"/>
      <c r="G225" s="176"/>
      <c r="H225" s="224"/>
      <c r="I225" s="224"/>
      <c r="J225" s="225"/>
      <c r="K225" s="225"/>
      <c r="L225" s="226"/>
      <c r="M225" s="226"/>
      <c r="N225" s="226"/>
      <c r="O225" s="226"/>
      <c r="P225" s="226"/>
      <c r="Q225" s="226"/>
      <c r="R225" s="226"/>
      <c r="S225" s="226"/>
      <c r="T225" s="176"/>
      <c r="U225" s="191"/>
      <c r="V225" s="190"/>
      <c r="W225" s="190"/>
      <c r="X225" s="190"/>
      <c r="Y225" s="226"/>
      <c r="Z225" s="226"/>
      <c r="AA225" s="189"/>
      <c r="AB225" s="227"/>
      <c r="AC225" s="176"/>
    </row>
    <row r="226" spans="1:29" x14ac:dyDescent="0.25">
      <c r="A226" s="167"/>
      <c r="B226" s="268"/>
      <c r="C226" s="189"/>
      <c r="D226"/>
      <c r="E226"/>
      <c r="F226" s="176"/>
      <c r="G226" s="176"/>
      <c r="H226" s="224"/>
      <c r="I226" s="224"/>
      <c r="J226" s="225"/>
      <c r="K226" s="225"/>
      <c r="L226" s="226"/>
      <c r="M226" s="226"/>
      <c r="N226" s="226"/>
      <c r="O226" s="226"/>
      <c r="P226" s="226"/>
      <c r="Q226" s="226"/>
      <c r="R226" s="226"/>
      <c r="S226" s="226"/>
      <c r="T226" s="176"/>
      <c r="U226" s="191"/>
      <c r="V226" s="190"/>
      <c r="W226" s="190"/>
      <c r="X226" s="190"/>
      <c r="Y226" s="226"/>
      <c r="Z226" s="226"/>
      <c r="AA226" s="189"/>
      <c r="AB226" s="227"/>
      <c r="AC226" s="176"/>
    </row>
    <row r="227" spans="1:29" x14ac:dyDescent="0.25">
      <c r="A227" s="167"/>
      <c r="B227" s="268"/>
      <c r="C227" s="189"/>
      <c r="D227"/>
      <c r="E227"/>
      <c r="F227" s="176"/>
      <c r="G227" s="176"/>
      <c r="H227" s="224"/>
      <c r="I227" s="224"/>
      <c r="J227" s="225"/>
      <c r="K227" s="225"/>
      <c r="L227" s="226"/>
      <c r="M227" s="226"/>
      <c r="N227" s="226"/>
      <c r="O227" s="226"/>
      <c r="P227" s="226"/>
      <c r="Q227" s="226"/>
      <c r="R227" s="226"/>
      <c r="S227" s="226"/>
      <c r="T227" s="176"/>
      <c r="U227" s="191"/>
      <c r="V227" s="190"/>
      <c r="W227" s="190"/>
      <c r="X227" s="190"/>
      <c r="Y227" s="226"/>
      <c r="Z227" s="226"/>
      <c r="AA227" s="189"/>
      <c r="AB227" s="227"/>
      <c r="AC227" s="176"/>
    </row>
    <row r="228" spans="1:29" x14ac:dyDescent="0.25">
      <c r="A228" s="167"/>
      <c r="B228" s="268"/>
      <c r="C228" s="189"/>
      <c r="D228"/>
      <c r="E228"/>
      <c r="F228" s="176"/>
      <c r="G228" s="176"/>
      <c r="H228" s="224"/>
      <c r="I228" s="224"/>
      <c r="J228" s="225"/>
      <c r="K228" s="225"/>
      <c r="L228" s="226"/>
      <c r="M228" s="226"/>
      <c r="N228" s="226"/>
      <c r="O228" s="226"/>
      <c r="P228" s="226"/>
      <c r="Q228" s="226"/>
      <c r="R228" s="226"/>
      <c r="S228" s="226"/>
      <c r="T228" s="176"/>
      <c r="U228" s="191"/>
      <c r="V228" s="190"/>
      <c r="W228" s="190"/>
      <c r="X228" s="190"/>
      <c r="Y228" s="226"/>
      <c r="Z228" s="226"/>
      <c r="AA228" s="189"/>
      <c r="AB228" s="227"/>
      <c r="AC228" s="176"/>
    </row>
    <row r="229" spans="1:29" x14ac:dyDescent="0.25">
      <c r="A229" s="167"/>
      <c r="B229" s="268"/>
      <c r="C229" s="189"/>
      <c r="D229"/>
      <c r="E229"/>
      <c r="F229" s="176"/>
      <c r="G229" s="176"/>
      <c r="H229" s="224"/>
      <c r="I229" s="224"/>
      <c r="J229" s="225"/>
      <c r="K229" s="225"/>
      <c r="L229" s="226"/>
      <c r="M229" s="226"/>
      <c r="N229" s="226"/>
      <c r="O229" s="226"/>
      <c r="P229" s="226"/>
      <c r="Q229" s="226"/>
      <c r="R229" s="226"/>
      <c r="S229" s="226"/>
      <c r="T229" s="176"/>
      <c r="U229" s="191"/>
      <c r="V229" s="190"/>
      <c r="W229" s="190"/>
      <c r="X229" s="190"/>
      <c r="Y229" s="226"/>
      <c r="Z229" s="226"/>
      <c r="AA229" s="189"/>
      <c r="AB229" s="227"/>
      <c r="AC229" s="176"/>
    </row>
    <row r="230" spans="1:29" x14ac:dyDescent="0.25">
      <c r="A230" s="167"/>
      <c r="B230" s="268"/>
      <c r="C230" s="189"/>
      <c r="D230"/>
      <c r="E230"/>
      <c r="F230" s="176"/>
      <c r="G230" s="176"/>
      <c r="H230" s="224"/>
      <c r="I230" s="224"/>
      <c r="J230" s="225"/>
      <c r="K230" s="225"/>
      <c r="L230" s="226"/>
      <c r="M230" s="226"/>
      <c r="N230" s="226"/>
      <c r="O230" s="226"/>
      <c r="P230" s="226"/>
      <c r="Q230" s="226"/>
      <c r="R230" s="226"/>
      <c r="S230" s="226"/>
      <c r="T230" s="176"/>
      <c r="U230" s="191"/>
      <c r="V230" s="190"/>
      <c r="W230" s="190"/>
      <c r="X230" s="190"/>
      <c r="Y230" s="226"/>
      <c r="Z230" s="226"/>
      <c r="AA230" s="189"/>
      <c r="AB230" s="227"/>
      <c r="AC230" s="176"/>
    </row>
    <row r="231" spans="1:29" x14ac:dyDescent="0.25">
      <c r="A231" s="167"/>
      <c r="B231" s="268"/>
      <c r="C231" s="189"/>
      <c r="D231"/>
      <c r="E231"/>
      <c r="F231" s="176"/>
      <c r="G231" s="176"/>
      <c r="H231" s="224"/>
      <c r="I231" s="224"/>
      <c r="J231" s="225"/>
      <c r="K231" s="225"/>
      <c r="L231" s="226"/>
      <c r="M231" s="226"/>
      <c r="N231" s="226"/>
      <c r="O231" s="226"/>
      <c r="P231" s="226"/>
      <c r="Q231" s="226"/>
      <c r="R231" s="226"/>
      <c r="S231" s="226"/>
      <c r="T231" s="176"/>
      <c r="U231" s="191"/>
      <c r="V231" s="190"/>
      <c r="W231" s="190"/>
      <c r="X231" s="190"/>
      <c r="Y231" s="226"/>
      <c r="Z231" s="226"/>
      <c r="AA231" s="189"/>
      <c r="AB231" s="227"/>
      <c r="AC231" s="176"/>
    </row>
    <row r="232" spans="1:29" x14ac:dyDescent="0.25">
      <c r="A232" s="167"/>
      <c r="B232" s="268"/>
      <c r="C232" s="189"/>
      <c r="D232"/>
      <c r="E232"/>
      <c r="F232" s="176"/>
      <c r="G232" s="176"/>
      <c r="H232" s="224"/>
      <c r="I232" s="224"/>
      <c r="J232" s="225"/>
      <c r="K232" s="225"/>
      <c r="L232" s="226"/>
      <c r="M232" s="226"/>
      <c r="N232" s="226"/>
      <c r="O232" s="226"/>
      <c r="P232" s="226"/>
      <c r="Q232" s="226"/>
      <c r="R232" s="226"/>
      <c r="S232" s="226"/>
      <c r="T232" s="176"/>
      <c r="U232" s="191"/>
      <c r="V232" s="190"/>
      <c r="W232" s="190"/>
      <c r="X232" s="190"/>
      <c r="Y232" s="226"/>
      <c r="Z232" s="226"/>
      <c r="AA232" s="189"/>
      <c r="AB232" s="227"/>
      <c r="AC232" s="176"/>
    </row>
    <row r="233" spans="1:29" x14ac:dyDescent="0.25">
      <c r="A233" s="167"/>
      <c r="B233" s="268"/>
      <c r="C233" s="189"/>
      <c r="D233"/>
      <c r="E233"/>
      <c r="F233" s="176"/>
      <c r="G233" s="176"/>
      <c r="H233" s="224"/>
      <c r="I233" s="224"/>
      <c r="J233" s="225"/>
      <c r="K233" s="225"/>
      <c r="L233" s="226"/>
      <c r="M233" s="226"/>
      <c r="N233" s="226"/>
      <c r="O233" s="226"/>
      <c r="P233" s="226"/>
      <c r="Q233" s="226"/>
      <c r="R233" s="226"/>
      <c r="S233" s="226"/>
      <c r="T233" s="176"/>
      <c r="U233" s="191"/>
      <c r="V233" s="190"/>
      <c r="W233" s="190"/>
      <c r="X233" s="190"/>
      <c r="Y233" s="226"/>
      <c r="Z233" s="226"/>
      <c r="AA233" s="189"/>
      <c r="AB233" s="227"/>
      <c r="AC233" s="176"/>
    </row>
    <row r="234" spans="1:29" x14ac:dyDescent="0.25">
      <c r="A234" s="167"/>
      <c r="B234" s="268"/>
      <c r="C234" s="189"/>
      <c r="D234"/>
      <c r="E234"/>
      <c r="F234" s="176"/>
      <c r="G234" s="176"/>
      <c r="H234" s="224"/>
      <c r="I234" s="224"/>
      <c r="J234" s="225"/>
      <c r="K234" s="225"/>
      <c r="L234" s="226"/>
      <c r="M234" s="226"/>
      <c r="N234" s="226"/>
      <c r="O234" s="226"/>
      <c r="P234" s="226"/>
      <c r="Q234" s="226"/>
      <c r="R234" s="226"/>
      <c r="S234" s="226"/>
      <c r="T234" s="176"/>
      <c r="U234" s="191"/>
      <c r="V234" s="190"/>
      <c r="W234" s="190"/>
      <c r="X234" s="190"/>
      <c r="Y234" s="226"/>
      <c r="Z234" s="226"/>
      <c r="AA234" s="189"/>
      <c r="AB234" s="227"/>
      <c r="AC234" s="176"/>
    </row>
    <row r="235" spans="1:29" x14ac:dyDescent="0.25">
      <c r="A235" s="167"/>
      <c r="B235" s="268"/>
      <c r="C235" s="189"/>
      <c r="D235"/>
      <c r="E235"/>
      <c r="F235" s="176"/>
      <c r="G235" s="176"/>
      <c r="H235" s="224"/>
      <c r="I235" s="224"/>
      <c r="J235" s="225"/>
      <c r="K235" s="225"/>
      <c r="L235" s="226"/>
      <c r="M235" s="226"/>
      <c r="N235" s="226"/>
      <c r="O235" s="226"/>
      <c r="P235" s="226"/>
      <c r="Q235" s="226"/>
      <c r="R235" s="226"/>
      <c r="S235" s="226"/>
      <c r="T235" s="176"/>
      <c r="U235" s="191"/>
      <c r="V235" s="190"/>
      <c r="W235" s="190"/>
      <c r="X235" s="190"/>
      <c r="Y235" s="226"/>
      <c r="Z235" s="226"/>
      <c r="AA235" s="189"/>
      <c r="AB235" s="227"/>
      <c r="AC235" s="176"/>
    </row>
    <row r="236" spans="1:29" x14ac:dyDescent="0.25">
      <c r="A236" s="167"/>
      <c r="B236" s="268"/>
      <c r="C236" s="189"/>
      <c r="D236"/>
      <c r="E236"/>
      <c r="F236" s="176"/>
      <c r="G236" s="176"/>
      <c r="H236" s="224"/>
      <c r="I236" s="224"/>
      <c r="J236" s="225"/>
      <c r="K236" s="225"/>
      <c r="L236" s="226"/>
      <c r="M236" s="226"/>
      <c r="N236" s="226"/>
      <c r="O236" s="226"/>
      <c r="P236" s="226"/>
      <c r="Q236" s="226"/>
      <c r="R236" s="226"/>
      <c r="S236" s="226"/>
      <c r="T236" s="176"/>
      <c r="U236" s="191"/>
      <c r="V236" s="190"/>
      <c r="W236" s="190"/>
      <c r="X236" s="190"/>
      <c r="Y236" s="226"/>
      <c r="Z236" s="226"/>
      <c r="AA236" s="189"/>
      <c r="AB236" s="227"/>
      <c r="AC236" s="176"/>
    </row>
    <row r="237" spans="1:29" x14ac:dyDescent="0.25">
      <c r="A237" s="167"/>
      <c r="B237" s="268"/>
      <c r="C237" s="189"/>
      <c r="D237"/>
      <c r="E237"/>
      <c r="F237" s="176"/>
      <c r="G237" s="176"/>
      <c r="H237" s="224"/>
      <c r="I237" s="224"/>
      <c r="J237" s="225"/>
      <c r="K237" s="225"/>
      <c r="L237" s="226"/>
      <c r="M237" s="226"/>
      <c r="N237" s="226"/>
      <c r="O237" s="226"/>
      <c r="P237" s="226"/>
      <c r="Q237" s="226"/>
      <c r="R237" s="226"/>
      <c r="S237" s="226"/>
      <c r="T237" s="176"/>
      <c r="U237" s="191"/>
      <c r="V237" s="190"/>
      <c r="W237" s="190"/>
      <c r="X237" s="190"/>
      <c r="Y237" s="226"/>
      <c r="Z237" s="226"/>
      <c r="AA237" s="189"/>
      <c r="AB237" s="227"/>
      <c r="AC237" s="176"/>
    </row>
    <row r="238" spans="1:29" x14ac:dyDescent="0.25">
      <c r="A238" s="167"/>
      <c r="B238" s="268"/>
      <c r="C238" s="189"/>
      <c r="D238"/>
      <c r="E238"/>
      <c r="F238" s="176"/>
      <c r="G238" s="176"/>
      <c r="H238" s="224"/>
      <c r="I238" s="224"/>
      <c r="J238" s="225"/>
      <c r="K238" s="225"/>
      <c r="L238" s="226"/>
      <c r="M238" s="226"/>
      <c r="N238" s="226"/>
      <c r="O238" s="226"/>
      <c r="P238" s="226"/>
      <c r="Q238" s="226"/>
      <c r="R238" s="226"/>
      <c r="S238" s="226"/>
      <c r="T238" s="176"/>
      <c r="U238" s="191"/>
      <c r="V238" s="190"/>
      <c r="W238" s="190"/>
      <c r="X238" s="190"/>
      <c r="Y238" s="226"/>
      <c r="Z238" s="226"/>
      <c r="AA238" s="189"/>
      <c r="AB238" s="227"/>
      <c r="AC238" s="176"/>
    </row>
    <row r="239" spans="1:29" x14ac:dyDescent="0.25">
      <c r="A239" s="167"/>
      <c r="B239" s="268"/>
      <c r="C239" s="189"/>
      <c r="D239"/>
      <c r="E239"/>
      <c r="F239" s="176"/>
      <c r="G239" s="176"/>
      <c r="H239" s="224"/>
      <c r="I239" s="224"/>
      <c r="J239" s="225"/>
      <c r="K239" s="225"/>
      <c r="L239" s="226"/>
      <c r="M239" s="226"/>
      <c r="N239" s="226"/>
      <c r="O239" s="226"/>
      <c r="P239" s="226"/>
      <c r="Q239" s="226"/>
      <c r="R239" s="226"/>
      <c r="S239" s="226"/>
      <c r="T239" s="176"/>
      <c r="U239" s="191"/>
      <c r="V239" s="190"/>
      <c r="W239" s="190"/>
      <c r="X239" s="190"/>
      <c r="Y239" s="226"/>
      <c r="Z239" s="226"/>
      <c r="AA239" s="189"/>
      <c r="AB239" s="227"/>
      <c r="AC239" s="176"/>
    </row>
    <row r="240" spans="1:29" x14ac:dyDescent="0.25">
      <c r="A240" s="167"/>
      <c r="B240" s="268"/>
      <c r="C240" s="189"/>
      <c r="D240"/>
      <c r="E240"/>
      <c r="F240" s="176"/>
      <c r="G240" s="176"/>
      <c r="H240" s="224"/>
      <c r="I240" s="224"/>
      <c r="J240" s="225"/>
      <c r="K240" s="225"/>
      <c r="L240" s="226"/>
      <c r="M240" s="226"/>
      <c r="N240" s="226"/>
      <c r="O240" s="226"/>
      <c r="P240" s="226"/>
      <c r="Q240" s="226"/>
      <c r="R240" s="226"/>
      <c r="S240" s="226"/>
      <c r="T240" s="176"/>
      <c r="U240" s="191"/>
      <c r="V240" s="190"/>
      <c r="W240" s="190"/>
      <c r="X240" s="190"/>
      <c r="Y240" s="226"/>
      <c r="Z240" s="226"/>
      <c r="AA240" s="189"/>
      <c r="AB240" s="227"/>
      <c r="AC240" s="176"/>
    </row>
    <row r="241" spans="1:29" x14ac:dyDescent="0.25">
      <c r="A241" s="167"/>
      <c r="B241" s="268"/>
      <c r="C241" s="189"/>
      <c r="D241"/>
      <c r="E241"/>
      <c r="F241" s="176"/>
      <c r="G241" s="176"/>
      <c r="H241" s="224"/>
      <c r="I241" s="224"/>
      <c r="J241" s="225"/>
      <c r="K241" s="225"/>
      <c r="L241" s="226"/>
      <c r="M241" s="226"/>
      <c r="N241" s="226"/>
      <c r="O241" s="226"/>
      <c r="P241" s="226"/>
      <c r="Q241" s="226"/>
      <c r="R241" s="226"/>
      <c r="S241" s="226"/>
      <c r="T241" s="176"/>
      <c r="U241" s="191"/>
      <c r="V241" s="190"/>
      <c r="W241" s="190"/>
      <c r="X241" s="190"/>
      <c r="Y241" s="226"/>
      <c r="Z241" s="226"/>
      <c r="AA241" s="189"/>
      <c r="AB241" s="227"/>
      <c r="AC241" s="176"/>
    </row>
    <row r="242" spans="1:29" x14ac:dyDescent="0.25">
      <c r="A242" s="167"/>
      <c r="B242" s="269"/>
      <c r="C242" s="189"/>
      <c r="D242"/>
      <c r="E242"/>
      <c r="F242" s="176"/>
      <c r="G242" s="176"/>
      <c r="H242" s="224"/>
      <c r="I242" s="224"/>
      <c r="J242" s="225"/>
      <c r="K242" s="225"/>
      <c r="L242" s="226"/>
      <c r="M242" s="226"/>
      <c r="N242" s="226"/>
      <c r="O242" s="226"/>
      <c r="P242" s="226"/>
      <c r="Q242" s="226"/>
      <c r="R242" s="226"/>
      <c r="S242" s="226"/>
      <c r="T242" s="176"/>
      <c r="U242" s="191"/>
      <c r="V242" s="190"/>
      <c r="W242" s="190"/>
      <c r="X242" s="190"/>
      <c r="Y242" s="226"/>
      <c r="Z242" s="226"/>
      <c r="AA242" s="189"/>
      <c r="AB242" s="227"/>
      <c r="AC242" s="176"/>
    </row>
    <row r="243" spans="1:29" x14ac:dyDescent="0.25">
      <c r="A243" s="167"/>
      <c r="B243" s="268"/>
      <c r="C243" s="189"/>
      <c r="D243"/>
      <c r="E243"/>
      <c r="F243" s="176"/>
      <c r="G243" s="176"/>
      <c r="H243" s="224"/>
      <c r="I243" s="224"/>
      <c r="J243" s="225"/>
      <c r="K243" s="225"/>
      <c r="L243" s="226"/>
      <c r="M243" s="226"/>
      <c r="N243" s="226"/>
      <c r="O243" s="226"/>
      <c r="P243" s="226"/>
      <c r="Q243" s="226"/>
      <c r="R243" s="226"/>
      <c r="S243" s="226"/>
      <c r="T243" s="176"/>
      <c r="U243" s="191"/>
      <c r="V243" s="190"/>
      <c r="W243" s="190"/>
      <c r="X243" s="190"/>
      <c r="Y243" s="226"/>
      <c r="Z243" s="226"/>
      <c r="AA243" s="189"/>
      <c r="AB243" s="227"/>
      <c r="AC243" s="176"/>
    </row>
    <row r="244" spans="1:29" x14ac:dyDescent="0.25">
      <c r="A244" s="167"/>
      <c r="B244" s="268"/>
      <c r="C244" s="189"/>
      <c r="D244"/>
      <c r="E244"/>
      <c r="F244" s="176"/>
      <c r="G244" s="176"/>
      <c r="H244" s="224"/>
      <c r="I244" s="224"/>
      <c r="J244" s="225"/>
      <c r="K244" s="225"/>
      <c r="L244" s="226"/>
      <c r="M244" s="226"/>
      <c r="N244" s="226"/>
      <c r="O244" s="226"/>
      <c r="P244" s="226"/>
      <c r="Q244" s="226"/>
      <c r="R244" s="226"/>
      <c r="S244" s="226"/>
      <c r="T244" s="176"/>
      <c r="U244" s="191"/>
      <c r="V244" s="190"/>
      <c r="W244" s="190"/>
      <c r="X244" s="190"/>
      <c r="Y244" s="226"/>
      <c r="Z244" s="226"/>
      <c r="AA244" s="189"/>
      <c r="AB244" s="227"/>
      <c r="AC244" s="176"/>
    </row>
    <row r="245" spans="1:29" x14ac:dyDescent="0.25">
      <c r="A245" s="167"/>
      <c r="B245" s="268"/>
      <c r="C245" s="189"/>
      <c r="D245"/>
      <c r="E245"/>
      <c r="F245" s="176"/>
      <c r="G245" s="176"/>
      <c r="H245" s="224"/>
      <c r="I245" s="224"/>
      <c r="J245" s="225"/>
      <c r="K245" s="225"/>
      <c r="L245" s="226"/>
      <c r="M245" s="226"/>
      <c r="N245" s="226"/>
      <c r="O245" s="226"/>
      <c r="P245" s="226"/>
      <c r="Q245" s="226"/>
      <c r="R245" s="226"/>
      <c r="S245" s="226"/>
      <c r="T245" s="176"/>
      <c r="U245" s="191"/>
      <c r="V245" s="190"/>
      <c r="W245" s="190"/>
      <c r="X245" s="190"/>
      <c r="Y245" s="226"/>
      <c r="Z245" s="226"/>
      <c r="AA245" s="189"/>
      <c r="AB245" s="227"/>
      <c r="AC245" s="176"/>
    </row>
    <row r="246" spans="1:29" x14ac:dyDescent="0.25">
      <c r="A246" s="167"/>
      <c r="B246" s="268"/>
      <c r="C246" s="189"/>
      <c r="D246"/>
      <c r="E246"/>
      <c r="F246" s="176"/>
      <c r="G246" s="176"/>
      <c r="H246" s="224"/>
      <c r="I246" s="224"/>
      <c r="J246" s="225"/>
      <c r="K246" s="225"/>
      <c r="L246" s="226"/>
      <c r="M246" s="226"/>
      <c r="N246" s="226"/>
      <c r="O246" s="226"/>
      <c r="P246" s="226"/>
      <c r="Q246" s="226"/>
      <c r="R246" s="226"/>
      <c r="S246" s="226"/>
      <c r="T246" s="176"/>
      <c r="U246" s="191"/>
      <c r="V246" s="190"/>
      <c r="W246" s="190"/>
      <c r="X246" s="190"/>
      <c r="Y246" s="226"/>
      <c r="Z246" s="226"/>
      <c r="AA246" s="189"/>
      <c r="AB246" s="227"/>
      <c r="AC246" s="176"/>
    </row>
    <row r="247" spans="1:29" x14ac:dyDescent="0.25">
      <c r="A247" s="167"/>
      <c r="B247" s="268"/>
      <c r="C247" s="189"/>
      <c r="D247"/>
      <c r="E247"/>
      <c r="F247" s="176"/>
      <c r="G247" s="176"/>
      <c r="H247" s="224"/>
      <c r="I247" s="224"/>
      <c r="J247" s="225"/>
      <c r="K247" s="225"/>
      <c r="L247" s="226"/>
      <c r="M247" s="226"/>
      <c r="N247" s="226"/>
      <c r="O247" s="226"/>
      <c r="P247" s="226"/>
      <c r="Q247" s="226"/>
      <c r="R247" s="226"/>
      <c r="S247" s="226"/>
      <c r="T247" s="176"/>
      <c r="U247" s="191"/>
      <c r="V247" s="190"/>
      <c r="W247" s="190"/>
      <c r="X247" s="190"/>
      <c r="Y247" s="226"/>
      <c r="Z247" s="226"/>
      <c r="AA247" s="189"/>
      <c r="AB247" s="227"/>
      <c r="AC247" s="176"/>
    </row>
    <row r="248" spans="1:29" x14ac:dyDescent="0.25">
      <c r="A248" s="167"/>
      <c r="B248" s="269"/>
      <c r="C248" s="189"/>
      <c r="D248"/>
      <c r="E248"/>
      <c r="F248" s="176"/>
      <c r="G248" s="176"/>
      <c r="H248" s="224"/>
      <c r="I248" s="224"/>
      <c r="J248" s="225"/>
      <c r="K248" s="225"/>
      <c r="L248" s="226"/>
      <c r="M248" s="226"/>
      <c r="N248" s="226"/>
      <c r="O248" s="226"/>
      <c r="P248" s="226"/>
      <c r="Q248" s="226"/>
      <c r="R248" s="226"/>
      <c r="S248" s="226"/>
      <c r="T248" s="176"/>
      <c r="U248" s="191"/>
      <c r="V248" s="190"/>
      <c r="W248" s="190"/>
      <c r="X248" s="190"/>
      <c r="Y248" s="226"/>
      <c r="Z248" s="226"/>
      <c r="AA248" s="189"/>
      <c r="AB248" s="227"/>
      <c r="AC248" s="176"/>
    </row>
    <row r="249" spans="1:29" x14ac:dyDescent="0.25">
      <c r="A249" s="167"/>
      <c r="B249" s="268"/>
      <c r="C249" s="189"/>
      <c r="D249"/>
      <c r="E249"/>
      <c r="F249" s="176"/>
      <c r="G249" s="176"/>
      <c r="H249" s="224"/>
      <c r="I249" s="224"/>
      <c r="J249" s="225"/>
      <c r="K249" s="225"/>
      <c r="L249" s="226"/>
      <c r="M249" s="226"/>
      <c r="N249" s="226"/>
      <c r="O249" s="226"/>
      <c r="P249" s="226"/>
      <c r="Q249" s="226"/>
      <c r="R249" s="226"/>
      <c r="S249" s="226"/>
      <c r="T249" s="176"/>
      <c r="U249" s="191"/>
      <c r="V249" s="190"/>
      <c r="W249" s="190"/>
      <c r="X249" s="190"/>
      <c r="Y249" s="226"/>
      <c r="Z249" s="226"/>
      <c r="AA249" s="189"/>
      <c r="AB249" s="227"/>
      <c r="AC249" s="176"/>
    </row>
    <row r="250" spans="1:29" x14ac:dyDescent="0.25">
      <c r="A250" s="167"/>
      <c r="B250" s="268"/>
      <c r="C250" s="189"/>
      <c r="D250"/>
      <c r="E250"/>
      <c r="F250" s="176"/>
      <c r="G250" s="176"/>
      <c r="H250" s="224"/>
      <c r="I250" s="224"/>
      <c r="J250" s="225"/>
      <c r="K250" s="225"/>
      <c r="L250" s="226"/>
      <c r="M250" s="226"/>
      <c r="N250" s="226"/>
      <c r="O250" s="226"/>
      <c r="P250" s="226"/>
      <c r="Q250" s="226"/>
      <c r="R250" s="226"/>
      <c r="S250" s="226"/>
      <c r="T250" s="176"/>
      <c r="U250" s="191"/>
      <c r="V250" s="190"/>
      <c r="W250" s="190"/>
      <c r="X250" s="190"/>
      <c r="Y250" s="226"/>
      <c r="Z250" s="226"/>
      <c r="AA250" s="189"/>
      <c r="AB250" s="227"/>
      <c r="AC250" s="176"/>
    </row>
    <row r="251" spans="1:29" x14ac:dyDescent="0.25">
      <c r="A251" s="167"/>
      <c r="B251" s="268"/>
      <c r="C251" s="189"/>
      <c r="D251"/>
      <c r="E251"/>
      <c r="F251" s="176"/>
      <c r="G251" s="176"/>
      <c r="H251" s="224"/>
      <c r="I251" s="224"/>
      <c r="J251" s="225"/>
      <c r="K251" s="225"/>
      <c r="L251" s="226"/>
      <c r="M251" s="226"/>
      <c r="N251" s="226"/>
      <c r="O251" s="226"/>
      <c r="P251" s="226"/>
      <c r="Q251" s="226"/>
      <c r="R251" s="226"/>
      <c r="S251" s="226"/>
      <c r="T251" s="176"/>
      <c r="U251" s="191"/>
      <c r="V251" s="190"/>
      <c r="W251" s="190"/>
      <c r="X251" s="190"/>
      <c r="Y251" s="226"/>
      <c r="Z251" s="226"/>
      <c r="AA251" s="189"/>
      <c r="AB251" s="227"/>
      <c r="AC251" s="176"/>
    </row>
    <row r="252" spans="1:29" x14ac:dyDescent="0.25">
      <c r="A252" s="167"/>
      <c r="B252" s="268"/>
      <c r="C252" s="189"/>
      <c r="D252"/>
      <c r="E252"/>
      <c r="F252" s="176"/>
      <c r="G252" s="176"/>
      <c r="H252" s="224"/>
      <c r="I252" s="224"/>
      <c r="J252" s="225"/>
      <c r="K252" s="225"/>
      <c r="L252" s="226"/>
      <c r="M252" s="226"/>
      <c r="N252" s="226"/>
      <c r="O252" s="226"/>
      <c r="P252" s="226"/>
      <c r="Q252" s="226"/>
      <c r="R252" s="226"/>
      <c r="S252" s="226"/>
      <c r="T252" s="176"/>
      <c r="U252" s="191"/>
      <c r="V252" s="190"/>
      <c r="W252" s="190"/>
      <c r="X252" s="190"/>
      <c r="Y252" s="226"/>
      <c r="Z252" s="226"/>
      <c r="AA252" s="189"/>
      <c r="AB252" s="227"/>
      <c r="AC252" s="176"/>
    </row>
    <row r="253" spans="1:29" x14ac:dyDescent="0.25">
      <c r="A253" s="167"/>
      <c r="B253" s="268"/>
      <c r="C253" s="189"/>
      <c r="D253"/>
      <c r="E253"/>
      <c r="F253" s="176"/>
      <c r="G253" s="176"/>
      <c r="H253" s="224"/>
      <c r="I253" s="224"/>
      <c r="J253" s="225"/>
      <c r="K253" s="225"/>
      <c r="L253" s="226"/>
      <c r="M253" s="226"/>
      <c r="N253" s="226"/>
      <c r="O253" s="226"/>
      <c r="P253" s="226"/>
      <c r="Q253" s="226"/>
      <c r="R253" s="226"/>
      <c r="S253" s="226"/>
      <c r="T253" s="176"/>
      <c r="U253" s="191"/>
      <c r="V253" s="190"/>
      <c r="W253" s="190"/>
      <c r="X253" s="190"/>
      <c r="Y253" s="226"/>
      <c r="Z253" s="226"/>
      <c r="AA253" s="189"/>
      <c r="AB253" s="227"/>
      <c r="AC253" s="176"/>
    </row>
    <row r="254" spans="1:29" x14ac:dyDescent="0.25">
      <c r="A254" s="167"/>
      <c r="B254" s="268"/>
      <c r="C254" s="189"/>
      <c r="D254"/>
      <c r="E254"/>
      <c r="F254" s="176"/>
      <c r="G254" s="176"/>
      <c r="H254" s="224"/>
      <c r="I254" s="224"/>
      <c r="J254" s="225"/>
      <c r="K254" s="225"/>
      <c r="L254" s="226"/>
      <c r="M254" s="226"/>
      <c r="N254" s="226"/>
      <c r="O254" s="226"/>
      <c r="P254" s="226"/>
      <c r="Q254" s="226"/>
      <c r="R254" s="226"/>
      <c r="S254" s="226"/>
      <c r="T254" s="176"/>
      <c r="U254" s="191"/>
      <c r="V254" s="190"/>
      <c r="W254" s="190"/>
      <c r="X254" s="190"/>
      <c r="Y254" s="226"/>
      <c r="Z254" s="226"/>
      <c r="AA254" s="189"/>
      <c r="AB254" s="227"/>
      <c r="AC254" s="176"/>
    </row>
    <row r="255" spans="1:29" x14ac:dyDescent="0.25">
      <c r="A255" s="167"/>
      <c r="B255" s="268"/>
      <c r="C255" s="189"/>
      <c r="D255"/>
      <c r="E255"/>
      <c r="F255" s="176"/>
      <c r="G255" s="176"/>
      <c r="H255" s="224"/>
      <c r="I255" s="224"/>
      <c r="J255" s="225"/>
      <c r="K255" s="225"/>
      <c r="L255" s="226"/>
      <c r="M255" s="226"/>
      <c r="N255" s="226"/>
      <c r="O255" s="226"/>
      <c r="P255" s="226"/>
      <c r="Q255" s="226"/>
      <c r="R255" s="226"/>
      <c r="S255" s="226"/>
      <c r="T255" s="176"/>
      <c r="U255" s="191"/>
      <c r="V255" s="190"/>
      <c r="W255" s="190"/>
      <c r="X255" s="190"/>
      <c r="Y255" s="226"/>
      <c r="Z255" s="226"/>
      <c r="AA255" s="189"/>
      <c r="AB255" s="227"/>
      <c r="AC255" s="176"/>
    </row>
    <row r="256" spans="1:29" x14ac:dyDescent="0.25">
      <c r="A256" s="167"/>
      <c r="B256" s="268"/>
      <c r="C256" s="189"/>
      <c r="D256"/>
      <c r="E256"/>
      <c r="F256" s="176"/>
      <c r="G256" s="176"/>
      <c r="H256" s="224"/>
      <c r="I256" s="224"/>
      <c r="J256" s="225"/>
      <c r="K256" s="225"/>
      <c r="L256" s="226"/>
      <c r="M256" s="226"/>
      <c r="N256" s="226"/>
      <c r="O256" s="226"/>
      <c r="P256" s="226"/>
      <c r="Q256" s="226"/>
      <c r="R256" s="226"/>
      <c r="S256" s="226"/>
      <c r="T256" s="176"/>
      <c r="U256" s="191"/>
      <c r="V256" s="190"/>
      <c r="W256" s="190"/>
      <c r="X256" s="190"/>
      <c r="Y256" s="226"/>
      <c r="Z256" s="226"/>
      <c r="AA256" s="189"/>
      <c r="AB256" s="227"/>
      <c r="AC256" s="176"/>
    </row>
    <row r="257" spans="1:29" x14ac:dyDescent="0.25">
      <c r="A257" s="167"/>
      <c r="B257" s="268"/>
      <c r="C257" s="189"/>
      <c r="D257"/>
      <c r="E257"/>
      <c r="F257" s="176"/>
      <c r="G257" s="176"/>
      <c r="H257" s="224"/>
      <c r="I257" s="224"/>
      <c r="J257" s="225"/>
      <c r="K257" s="225"/>
      <c r="L257" s="226"/>
      <c r="M257" s="226"/>
      <c r="N257" s="226"/>
      <c r="O257" s="226"/>
      <c r="P257" s="226"/>
      <c r="Q257" s="226"/>
      <c r="R257" s="226"/>
      <c r="S257" s="226"/>
      <c r="T257" s="176"/>
      <c r="U257" s="191"/>
      <c r="V257" s="190"/>
      <c r="W257" s="190"/>
      <c r="X257" s="190"/>
      <c r="Y257" s="226"/>
      <c r="Z257" s="226"/>
      <c r="AA257" s="189"/>
      <c r="AB257" s="227"/>
      <c r="AC257" s="176"/>
    </row>
    <row r="258" spans="1:29" x14ac:dyDescent="0.25">
      <c r="A258" s="167"/>
      <c r="B258" s="268"/>
      <c r="C258" s="189"/>
      <c r="D258"/>
      <c r="E258"/>
      <c r="F258" s="176"/>
      <c r="G258" s="176"/>
      <c r="H258" s="224"/>
      <c r="I258" s="224"/>
      <c r="J258" s="225"/>
      <c r="K258" s="225"/>
      <c r="L258" s="226"/>
      <c r="M258" s="226"/>
      <c r="N258" s="226"/>
      <c r="O258" s="226"/>
      <c r="P258" s="226"/>
      <c r="Q258" s="226"/>
      <c r="R258" s="226"/>
      <c r="S258" s="226"/>
      <c r="T258" s="176"/>
      <c r="U258" s="191"/>
      <c r="V258" s="190"/>
      <c r="W258" s="190"/>
      <c r="X258" s="190"/>
      <c r="Y258" s="226"/>
      <c r="Z258" s="226"/>
      <c r="AA258" s="189"/>
      <c r="AB258" s="227"/>
      <c r="AC258" s="176"/>
    </row>
    <row r="259" spans="1:29" x14ac:dyDescent="0.25">
      <c r="A259" s="167"/>
      <c r="B259" s="268"/>
      <c r="C259" s="189"/>
      <c r="D259"/>
      <c r="E259"/>
      <c r="F259" s="176"/>
      <c r="G259" s="176"/>
      <c r="H259" s="224"/>
      <c r="I259" s="224"/>
      <c r="J259" s="225"/>
      <c r="K259" s="225"/>
      <c r="L259" s="226"/>
      <c r="M259" s="226"/>
      <c r="N259" s="226"/>
      <c r="O259" s="226"/>
      <c r="P259" s="226"/>
      <c r="Q259" s="226"/>
      <c r="R259" s="226"/>
      <c r="S259" s="226"/>
      <c r="T259" s="176"/>
      <c r="U259" s="191"/>
      <c r="V259" s="190"/>
      <c r="W259" s="190"/>
      <c r="X259" s="190"/>
      <c r="Y259" s="226"/>
      <c r="Z259" s="226"/>
      <c r="AA259" s="189"/>
      <c r="AB259" s="227"/>
      <c r="AC259" s="176"/>
    </row>
    <row r="260" spans="1:29" x14ac:dyDescent="0.25">
      <c r="A260" s="167"/>
      <c r="B260" s="268"/>
      <c r="C260" s="189"/>
      <c r="D260"/>
      <c r="E260"/>
      <c r="F260" s="176"/>
      <c r="G260" s="176"/>
      <c r="H260" s="224"/>
      <c r="I260" s="224"/>
      <c r="J260" s="225"/>
      <c r="K260" s="225"/>
      <c r="L260" s="226"/>
      <c r="M260" s="226"/>
      <c r="N260" s="226"/>
      <c r="O260" s="226"/>
      <c r="P260" s="226"/>
      <c r="Q260" s="226"/>
      <c r="R260" s="226"/>
      <c r="S260" s="226"/>
      <c r="T260" s="176"/>
      <c r="U260" s="191"/>
      <c r="V260" s="190"/>
      <c r="W260" s="190"/>
      <c r="X260" s="190"/>
      <c r="Y260" s="226"/>
      <c r="Z260" s="226"/>
      <c r="AA260" s="189"/>
      <c r="AB260" s="227"/>
      <c r="AC260" s="176"/>
    </row>
    <row r="261" spans="1:29" x14ac:dyDescent="0.25">
      <c r="A261" s="167"/>
      <c r="B261" s="268"/>
      <c r="C261" s="189"/>
      <c r="D261"/>
      <c r="E261"/>
      <c r="F261" s="176"/>
      <c r="G261" s="176"/>
      <c r="H261" s="224"/>
      <c r="I261" s="224"/>
      <c r="J261" s="225"/>
      <c r="K261" s="225"/>
      <c r="L261" s="226"/>
      <c r="M261" s="226"/>
      <c r="N261" s="226"/>
      <c r="O261" s="226"/>
      <c r="P261" s="226"/>
      <c r="Q261" s="226"/>
      <c r="R261" s="226"/>
      <c r="S261" s="226"/>
      <c r="T261" s="176"/>
      <c r="U261" s="191"/>
      <c r="V261" s="190"/>
      <c r="W261" s="190"/>
      <c r="X261" s="190"/>
      <c r="Y261" s="226"/>
      <c r="Z261" s="226"/>
      <c r="AA261" s="189"/>
      <c r="AB261" s="227"/>
      <c r="AC261" s="176"/>
    </row>
    <row r="262" spans="1:29" x14ac:dyDescent="0.25">
      <c r="A262" s="167"/>
      <c r="B262" s="268"/>
      <c r="C262" s="189"/>
      <c r="D262"/>
      <c r="E262"/>
      <c r="F262" s="176"/>
      <c r="G262" s="176"/>
      <c r="H262" s="224"/>
      <c r="I262" s="224"/>
      <c r="J262" s="225"/>
      <c r="K262" s="225"/>
      <c r="L262" s="226"/>
      <c r="M262" s="226"/>
      <c r="N262" s="226"/>
      <c r="O262" s="226"/>
      <c r="P262" s="226"/>
      <c r="Q262" s="226"/>
      <c r="R262" s="226"/>
      <c r="S262" s="226"/>
      <c r="T262" s="176"/>
      <c r="U262" s="191"/>
      <c r="V262" s="190"/>
      <c r="W262" s="190"/>
      <c r="X262" s="190"/>
      <c r="Y262" s="226"/>
      <c r="Z262" s="226"/>
      <c r="AA262" s="189"/>
      <c r="AB262" s="227"/>
      <c r="AC262" s="176"/>
    </row>
    <row r="263" spans="1:29" x14ac:dyDescent="0.25">
      <c r="A263" s="167"/>
      <c r="B263" s="268"/>
      <c r="C263" s="189"/>
      <c r="D263"/>
      <c r="E263"/>
      <c r="F263" s="176"/>
      <c r="G263" s="176"/>
      <c r="H263" s="224"/>
      <c r="I263" s="224"/>
      <c r="J263" s="225"/>
      <c r="K263" s="225"/>
      <c r="L263" s="226"/>
      <c r="M263" s="226"/>
      <c r="N263" s="226"/>
      <c r="O263" s="226"/>
      <c r="P263" s="226"/>
      <c r="Q263" s="226"/>
      <c r="R263" s="226"/>
      <c r="S263" s="226"/>
      <c r="T263" s="176"/>
      <c r="U263" s="191"/>
      <c r="V263" s="190"/>
      <c r="W263" s="190"/>
      <c r="X263" s="190"/>
      <c r="Y263" s="226"/>
      <c r="Z263" s="226"/>
      <c r="AA263" s="189"/>
      <c r="AB263" s="227" t="s">
        <v>1026</v>
      </c>
      <c r="AC263" s="176"/>
    </row>
    <row r="264" spans="1:29" x14ac:dyDescent="0.25">
      <c r="A264" s="167"/>
      <c r="B264" s="268"/>
      <c r="C264" s="189"/>
      <c r="D264"/>
      <c r="E264"/>
      <c r="F264" s="176"/>
      <c r="G264" s="176"/>
      <c r="H264" s="224"/>
      <c r="I264" s="224"/>
      <c r="J264" s="225"/>
      <c r="K264" s="225"/>
      <c r="L264" s="226"/>
      <c r="M264" s="226"/>
      <c r="N264" s="226"/>
      <c r="O264" s="226"/>
      <c r="P264" s="226"/>
      <c r="Q264" s="226"/>
      <c r="R264" s="226"/>
      <c r="S264" s="226"/>
      <c r="T264" s="176"/>
      <c r="U264" s="191"/>
      <c r="V264" s="190"/>
      <c r="W264" s="190"/>
      <c r="X264" s="190"/>
      <c r="Y264" s="226"/>
      <c r="Z264" s="226"/>
      <c r="AA264" s="189"/>
      <c r="AB264" s="227" t="s">
        <v>1026</v>
      </c>
      <c r="AC264" s="176"/>
    </row>
    <row r="265" spans="1:29" x14ac:dyDescent="0.25">
      <c r="A265" s="167"/>
      <c r="B265" s="268"/>
      <c r="C265" s="189"/>
      <c r="D265"/>
      <c r="E265"/>
      <c r="F265" s="176"/>
      <c r="G265" s="176"/>
      <c r="H265" s="224"/>
      <c r="I265" s="224"/>
      <c r="J265" s="225"/>
      <c r="K265" s="225"/>
      <c r="L265" s="226"/>
      <c r="M265" s="226"/>
      <c r="N265" s="226"/>
      <c r="O265" s="226"/>
      <c r="P265" s="226"/>
      <c r="Q265" s="226"/>
      <c r="R265" s="226"/>
      <c r="S265" s="226"/>
      <c r="T265" s="176"/>
      <c r="U265" s="191"/>
      <c r="V265" s="190"/>
      <c r="W265" s="190"/>
      <c r="X265" s="190"/>
      <c r="Y265" s="226"/>
      <c r="Z265" s="226"/>
      <c r="AA265" s="189"/>
      <c r="AB265" s="227" t="s">
        <v>1026</v>
      </c>
      <c r="AC265" s="176"/>
    </row>
    <row r="266" spans="1:29" x14ac:dyDescent="0.25">
      <c r="A266" s="167"/>
      <c r="B266" s="268"/>
      <c r="C266" s="189"/>
      <c r="D266"/>
      <c r="E266"/>
      <c r="F266" s="176"/>
      <c r="G266" s="176"/>
      <c r="H266" s="224"/>
      <c r="I266" s="224"/>
      <c r="J266" s="225"/>
      <c r="K266" s="225"/>
      <c r="L266" s="226"/>
      <c r="M266" s="226"/>
      <c r="N266" s="226"/>
      <c r="O266" s="226"/>
      <c r="P266" s="226"/>
      <c r="Q266" s="226"/>
      <c r="R266" s="226"/>
      <c r="S266" s="226"/>
      <c r="T266" s="176"/>
      <c r="U266" s="191"/>
      <c r="V266" s="190"/>
      <c r="W266" s="190"/>
      <c r="X266" s="190"/>
      <c r="Y266" s="226"/>
      <c r="Z266" s="226"/>
      <c r="AA266" s="189"/>
      <c r="AB266" s="227" t="s">
        <v>1026</v>
      </c>
      <c r="AC266" s="176"/>
    </row>
    <row r="267" spans="1:29" x14ac:dyDescent="0.25">
      <c r="A267" s="167"/>
      <c r="B267" s="268"/>
      <c r="C267" s="189"/>
      <c r="D267"/>
      <c r="E267"/>
      <c r="F267" s="176"/>
      <c r="G267" s="176"/>
      <c r="H267" s="224"/>
      <c r="I267" s="224"/>
      <c r="J267" s="225"/>
      <c r="K267" s="225"/>
      <c r="L267" s="226"/>
      <c r="M267" s="226"/>
      <c r="N267" s="226"/>
      <c r="O267" s="226"/>
      <c r="P267" s="226"/>
      <c r="Q267" s="226"/>
      <c r="R267" s="226"/>
      <c r="S267" s="226"/>
      <c r="T267" s="176"/>
      <c r="U267" s="191"/>
      <c r="V267" s="190"/>
      <c r="W267" s="190"/>
      <c r="X267" s="190"/>
      <c r="Y267" s="226"/>
      <c r="Z267" s="226"/>
      <c r="AA267" s="189"/>
      <c r="AB267" s="227" t="s">
        <v>1026</v>
      </c>
      <c r="AC267" s="176"/>
    </row>
    <row r="268" spans="1:29" x14ac:dyDescent="0.25">
      <c r="A268" s="167"/>
      <c r="B268" s="268"/>
      <c r="C268" s="189"/>
      <c r="D268"/>
      <c r="E268"/>
      <c r="F268" s="176"/>
      <c r="G268" s="176"/>
      <c r="H268" s="224"/>
      <c r="I268" s="224"/>
      <c r="J268" s="225"/>
      <c r="K268" s="225"/>
      <c r="L268" s="226"/>
      <c r="M268" s="226"/>
      <c r="N268" s="226"/>
      <c r="O268" s="226"/>
      <c r="P268" s="226"/>
      <c r="Q268" s="226"/>
      <c r="R268" s="226"/>
      <c r="S268" s="226"/>
      <c r="T268" s="176"/>
      <c r="U268" s="191"/>
      <c r="V268" s="190"/>
      <c r="W268" s="190"/>
      <c r="X268" s="190"/>
      <c r="Y268" s="226"/>
      <c r="Z268" s="226"/>
      <c r="AA268" s="189"/>
      <c r="AB268" s="227" t="s">
        <v>1026</v>
      </c>
      <c r="AC268" s="176"/>
    </row>
    <row r="269" spans="1:29" x14ac:dyDescent="0.25">
      <c r="A269" s="167"/>
      <c r="B269" s="268"/>
      <c r="C269" s="189"/>
      <c r="D269"/>
      <c r="E269"/>
      <c r="F269" s="176"/>
      <c r="G269" s="176"/>
      <c r="H269" s="224"/>
      <c r="I269" s="224"/>
      <c r="J269" s="225"/>
      <c r="K269" s="225"/>
      <c r="L269" s="226"/>
      <c r="M269" s="226"/>
      <c r="N269" s="226"/>
      <c r="O269" s="226"/>
      <c r="P269" s="226"/>
      <c r="Q269" s="226"/>
      <c r="R269" s="226"/>
      <c r="S269" s="226"/>
      <c r="T269" s="176"/>
      <c r="U269" s="191"/>
      <c r="V269" s="190"/>
      <c r="W269" s="190"/>
      <c r="X269" s="190"/>
      <c r="Y269" s="226"/>
      <c r="Z269" s="226"/>
      <c r="AA269" s="189"/>
      <c r="AB269" s="227" t="s">
        <v>1026</v>
      </c>
      <c r="AC269" s="176"/>
    </row>
    <row r="270" spans="1:29" x14ac:dyDescent="0.25">
      <c r="A270" s="167"/>
      <c r="B270" s="268"/>
      <c r="C270" s="189"/>
      <c r="D270"/>
      <c r="E270"/>
      <c r="F270" s="176"/>
      <c r="G270" s="176"/>
      <c r="H270" s="224"/>
      <c r="I270" s="224"/>
      <c r="J270" s="225"/>
      <c r="K270" s="225"/>
      <c r="L270" s="226"/>
      <c r="M270" s="226"/>
      <c r="N270" s="226"/>
      <c r="O270" s="226"/>
      <c r="P270" s="226"/>
      <c r="Q270" s="226"/>
      <c r="R270" s="226"/>
      <c r="S270" s="226"/>
      <c r="T270" s="176"/>
      <c r="U270" s="191"/>
      <c r="V270" s="190"/>
      <c r="W270" s="190"/>
      <c r="X270" s="190"/>
      <c r="Y270" s="226"/>
      <c r="Z270" s="226"/>
      <c r="AA270" s="189"/>
      <c r="AB270" s="227" t="s">
        <v>1026</v>
      </c>
      <c r="AC270" s="176"/>
    </row>
    <row r="271" spans="1:29" x14ac:dyDescent="0.25">
      <c r="A271" s="167"/>
      <c r="B271" s="268"/>
      <c r="C271" s="189"/>
      <c r="D271"/>
      <c r="E271"/>
      <c r="F271" s="176"/>
      <c r="G271" s="176"/>
      <c r="H271" s="224"/>
      <c r="I271" s="224"/>
      <c r="J271" s="225"/>
      <c r="K271" s="225"/>
      <c r="L271" s="226"/>
      <c r="M271" s="226"/>
      <c r="N271" s="226"/>
      <c r="O271" s="226"/>
      <c r="P271" s="226"/>
      <c r="Q271" s="226"/>
      <c r="R271" s="226"/>
      <c r="S271" s="226"/>
      <c r="T271" s="176"/>
      <c r="U271" s="191"/>
      <c r="V271" s="190"/>
      <c r="W271" s="190"/>
      <c r="X271" s="190"/>
      <c r="Y271" s="226"/>
      <c r="Z271" s="226"/>
      <c r="AA271" s="189"/>
      <c r="AB271" s="227" t="s">
        <v>1026</v>
      </c>
      <c r="AC271" s="176"/>
    </row>
    <row r="272" spans="1:29" x14ac:dyDescent="0.25">
      <c r="A272" s="167"/>
      <c r="B272" s="268"/>
      <c r="C272" s="189"/>
      <c r="D272"/>
      <c r="E272"/>
      <c r="F272" s="176"/>
      <c r="G272" s="176"/>
      <c r="H272" s="224"/>
      <c r="I272" s="224"/>
      <c r="J272" s="225"/>
      <c r="K272" s="225"/>
      <c r="L272" s="226"/>
      <c r="M272" s="226"/>
      <c r="N272" s="226"/>
      <c r="O272" s="226"/>
      <c r="P272" s="226"/>
      <c r="Q272" s="226"/>
      <c r="R272" s="226"/>
      <c r="S272" s="226"/>
      <c r="T272" s="176"/>
      <c r="U272" s="191"/>
      <c r="V272" s="190"/>
      <c r="W272" s="190"/>
      <c r="X272" s="190"/>
      <c r="Y272" s="226"/>
      <c r="Z272" s="226"/>
      <c r="AA272" s="189"/>
      <c r="AB272" s="227"/>
      <c r="AC272" s="176"/>
    </row>
    <row r="273" spans="1:29" x14ac:dyDescent="0.25">
      <c r="A273" s="167"/>
      <c r="B273" s="268"/>
      <c r="C273" s="189"/>
      <c r="D273"/>
      <c r="E273"/>
      <c r="F273" s="176"/>
      <c r="G273" s="176"/>
      <c r="H273" s="224"/>
      <c r="I273" s="224"/>
      <c r="J273" s="225"/>
      <c r="K273" s="225"/>
      <c r="L273" s="226"/>
      <c r="M273" s="226"/>
      <c r="N273" s="226"/>
      <c r="O273" s="226"/>
      <c r="P273" s="226"/>
      <c r="Q273" s="226"/>
      <c r="R273" s="226"/>
      <c r="S273" s="226"/>
      <c r="T273" s="176"/>
      <c r="U273" s="191"/>
      <c r="V273" s="190"/>
      <c r="W273" s="190"/>
      <c r="X273" s="190"/>
      <c r="Y273" s="226"/>
      <c r="Z273" s="226"/>
      <c r="AA273" s="189"/>
      <c r="AB273" s="227"/>
      <c r="AC273" s="176"/>
    </row>
    <row r="274" spans="1:29" x14ac:dyDescent="0.25">
      <c r="A274" s="167"/>
      <c r="B274" s="268"/>
      <c r="C274" s="189"/>
      <c r="D274"/>
      <c r="E274"/>
      <c r="F274" s="176"/>
      <c r="G274" s="176"/>
      <c r="H274" s="224"/>
      <c r="I274" s="224"/>
      <c r="J274" s="225"/>
      <c r="K274" s="225"/>
      <c r="L274" s="226"/>
      <c r="M274" s="226"/>
      <c r="N274" s="226"/>
      <c r="O274" s="226"/>
      <c r="P274" s="226"/>
      <c r="Q274" s="226"/>
      <c r="R274" s="226"/>
      <c r="S274" s="226"/>
      <c r="T274" s="176"/>
      <c r="U274" s="191"/>
      <c r="V274" s="190"/>
      <c r="W274" s="190"/>
      <c r="X274" s="190"/>
      <c r="Y274" s="226"/>
      <c r="Z274" s="226"/>
      <c r="AA274" s="189"/>
      <c r="AB274" s="227"/>
      <c r="AC274" s="176"/>
    </row>
    <row r="275" spans="1:29" x14ac:dyDescent="0.25">
      <c r="A275" s="167"/>
      <c r="B275" s="268"/>
      <c r="C275" s="189"/>
      <c r="D275"/>
      <c r="E275"/>
      <c r="F275" s="176"/>
      <c r="G275" s="176"/>
      <c r="H275" s="224"/>
      <c r="I275" s="224"/>
      <c r="J275" s="225"/>
      <c r="K275" s="225"/>
      <c r="L275" s="226"/>
      <c r="M275" s="226"/>
      <c r="N275" s="226"/>
      <c r="O275" s="226"/>
      <c r="P275" s="226"/>
      <c r="Q275" s="226"/>
      <c r="R275" s="226"/>
      <c r="S275" s="226"/>
      <c r="T275" s="176"/>
      <c r="U275" s="191"/>
      <c r="V275" s="190"/>
      <c r="W275" s="190"/>
      <c r="X275" s="190"/>
      <c r="Y275" s="226"/>
      <c r="Z275" s="226"/>
      <c r="AA275" s="189"/>
      <c r="AB275" s="227"/>
      <c r="AC275" s="176"/>
    </row>
    <row r="276" spans="1:29" x14ac:dyDescent="0.25">
      <c r="A276" s="167"/>
      <c r="B276" s="268"/>
      <c r="C276" s="189"/>
      <c r="D276"/>
      <c r="E276"/>
      <c r="F276" s="176"/>
      <c r="G276" s="176"/>
      <c r="H276" s="224"/>
      <c r="I276" s="224"/>
      <c r="J276" s="225"/>
      <c r="K276" s="225"/>
      <c r="L276" s="226"/>
      <c r="M276" s="226"/>
      <c r="N276" s="226"/>
      <c r="O276" s="226"/>
      <c r="P276" s="226"/>
      <c r="Q276" s="226"/>
      <c r="R276" s="226"/>
      <c r="S276" s="226"/>
      <c r="T276" s="176"/>
      <c r="U276" s="191"/>
      <c r="V276" s="190"/>
      <c r="W276" s="190"/>
      <c r="X276" s="190"/>
      <c r="Y276" s="226"/>
      <c r="Z276" s="226"/>
      <c r="AA276" s="189"/>
      <c r="AB276" s="227"/>
      <c r="AC276" s="176"/>
    </row>
    <row r="277" spans="1:29" x14ac:dyDescent="0.25">
      <c r="A277" s="167"/>
      <c r="B277" s="268"/>
      <c r="C277" s="189"/>
      <c r="D277"/>
      <c r="E277"/>
      <c r="F277" s="176"/>
      <c r="G277" s="176"/>
      <c r="H277" s="224"/>
      <c r="I277" s="224"/>
      <c r="J277" s="225"/>
      <c r="K277" s="225"/>
      <c r="L277" s="226"/>
      <c r="M277" s="226"/>
      <c r="N277" s="226"/>
      <c r="O277" s="226"/>
      <c r="P277" s="226"/>
      <c r="Q277" s="226"/>
      <c r="R277" s="226"/>
      <c r="S277" s="226"/>
      <c r="T277" s="176"/>
      <c r="U277" s="191"/>
      <c r="V277" s="190"/>
      <c r="W277" s="190"/>
      <c r="X277" s="190"/>
      <c r="Y277" s="226"/>
      <c r="Z277" s="226"/>
      <c r="AA277" s="189"/>
      <c r="AB277" s="227"/>
      <c r="AC277" s="176"/>
    </row>
    <row r="278" spans="1:29" x14ac:dyDescent="0.25">
      <c r="A278" s="167"/>
      <c r="B278" s="268"/>
      <c r="C278" s="189"/>
      <c r="D278"/>
      <c r="E278"/>
      <c r="F278" s="176"/>
      <c r="G278" s="176"/>
      <c r="H278" s="224"/>
      <c r="I278" s="224"/>
      <c r="J278" s="225"/>
      <c r="K278" s="225"/>
      <c r="L278" s="226"/>
      <c r="M278" s="226"/>
      <c r="N278" s="226"/>
      <c r="O278" s="226"/>
      <c r="P278" s="226"/>
      <c r="Q278" s="226"/>
      <c r="R278" s="226"/>
      <c r="S278" s="226"/>
      <c r="T278" s="176"/>
      <c r="U278" s="191"/>
      <c r="V278" s="190"/>
      <c r="W278" s="190"/>
      <c r="X278" s="190"/>
      <c r="Y278" s="226"/>
      <c r="Z278" s="226"/>
      <c r="AA278" s="189"/>
      <c r="AB278" s="227"/>
      <c r="AC278" s="176"/>
    </row>
    <row r="279" spans="1:29" x14ac:dyDescent="0.25">
      <c r="A279" s="167"/>
      <c r="B279" s="268"/>
      <c r="C279" s="189"/>
      <c r="D279"/>
      <c r="E279"/>
      <c r="F279" s="176"/>
      <c r="G279" s="176"/>
      <c r="H279" s="224"/>
      <c r="I279" s="224"/>
      <c r="J279" s="225"/>
      <c r="K279" s="225"/>
      <c r="L279" s="226"/>
      <c r="M279" s="226"/>
      <c r="N279" s="226"/>
      <c r="O279" s="226"/>
      <c r="P279" s="226"/>
      <c r="Q279" s="226"/>
      <c r="R279" s="226"/>
      <c r="S279" s="226"/>
      <c r="T279" s="176"/>
      <c r="U279" s="191"/>
      <c r="V279" s="190"/>
      <c r="W279" s="190"/>
      <c r="X279" s="190"/>
      <c r="Y279" s="226"/>
      <c r="Z279" s="226"/>
      <c r="AA279" s="189"/>
      <c r="AB279" s="227"/>
      <c r="AC279" s="176"/>
    </row>
    <row r="280" spans="1:29" x14ac:dyDescent="0.25">
      <c r="A280" s="167"/>
      <c r="B280" s="268"/>
      <c r="C280" s="189"/>
      <c r="D280"/>
      <c r="E280"/>
      <c r="F280" s="176"/>
      <c r="G280" s="176"/>
      <c r="H280" s="224"/>
      <c r="I280" s="224"/>
      <c r="J280" s="225"/>
      <c r="K280" s="225"/>
      <c r="L280" s="226"/>
      <c r="M280" s="226"/>
      <c r="N280" s="226"/>
      <c r="O280" s="226"/>
      <c r="P280" s="226"/>
      <c r="Q280" s="226"/>
      <c r="R280" s="226"/>
      <c r="S280" s="226"/>
      <c r="T280" s="176"/>
      <c r="U280" s="191"/>
      <c r="V280" s="190"/>
      <c r="W280" s="190"/>
      <c r="X280" s="190"/>
      <c r="Y280" s="226"/>
      <c r="Z280" s="226"/>
      <c r="AA280" s="189"/>
      <c r="AB280" s="227"/>
      <c r="AC280" s="176"/>
    </row>
    <row r="281" spans="1:29" x14ac:dyDescent="0.25">
      <c r="A281" s="178"/>
      <c r="B281" s="268"/>
      <c r="C281" s="189"/>
      <c r="D281"/>
      <c r="E281"/>
      <c r="F281" s="176"/>
      <c r="G281" s="176"/>
      <c r="H281" s="224"/>
      <c r="I281" s="224"/>
      <c r="J281" s="225"/>
      <c r="K281" s="225"/>
      <c r="L281" s="226"/>
      <c r="M281" s="226"/>
      <c r="N281" s="226"/>
      <c r="O281" s="226"/>
      <c r="P281" s="226"/>
      <c r="Q281" s="226"/>
      <c r="R281" s="226"/>
      <c r="S281" s="226"/>
      <c r="T281" s="176"/>
      <c r="U281" s="191"/>
      <c r="V281" s="190"/>
      <c r="W281" s="190"/>
      <c r="X281" s="190"/>
      <c r="Y281" s="226"/>
      <c r="Z281" s="226"/>
      <c r="AA281" s="189"/>
      <c r="AB281" s="227"/>
      <c r="AC281" s="176"/>
    </row>
    <row r="282" spans="1:29" x14ac:dyDescent="0.25">
      <c r="A282" s="178"/>
      <c r="B282" s="268"/>
      <c r="C282" s="189"/>
      <c r="D282"/>
      <c r="E282"/>
      <c r="F282" s="176"/>
      <c r="G282" s="176"/>
      <c r="H282" s="224"/>
      <c r="I282" s="224"/>
      <c r="J282" s="225"/>
      <c r="K282" s="225"/>
      <c r="L282" s="226"/>
      <c r="M282" s="226"/>
      <c r="N282" s="226"/>
      <c r="O282" s="226"/>
      <c r="P282" s="226"/>
      <c r="Q282" s="226"/>
      <c r="R282" s="226"/>
      <c r="S282" s="226"/>
      <c r="T282" s="176"/>
      <c r="U282" s="191"/>
      <c r="V282" s="190"/>
      <c r="W282" s="190"/>
      <c r="X282" s="190"/>
      <c r="Y282" s="226"/>
      <c r="Z282" s="226"/>
      <c r="AA282" s="189"/>
      <c r="AB282" s="227"/>
      <c r="AC282" s="176"/>
    </row>
    <row r="283" spans="1:29" x14ac:dyDescent="0.25">
      <c r="A283" s="178"/>
      <c r="B283" s="268"/>
      <c r="C283" s="189"/>
      <c r="D283"/>
      <c r="E283"/>
      <c r="F283" s="176"/>
      <c r="G283" s="176"/>
      <c r="H283" s="224"/>
      <c r="I283" s="224"/>
      <c r="J283" s="225"/>
      <c r="K283" s="225"/>
      <c r="L283" s="226"/>
      <c r="M283" s="226"/>
      <c r="N283" s="226"/>
      <c r="O283" s="226"/>
      <c r="P283" s="226"/>
      <c r="Q283" s="226"/>
      <c r="R283" s="226"/>
      <c r="S283" s="226"/>
      <c r="T283" s="176"/>
      <c r="U283" s="191"/>
      <c r="V283" s="190"/>
      <c r="W283" s="190"/>
      <c r="X283" s="190"/>
      <c r="Y283" s="226"/>
      <c r="Z283" s="226"/>
      <c r="AA283" s="189"/>
      <c r="AB283" s="227"/>
      <c r="AC283" s="176"/>
    </row>
    <row r="284" spans="1:29" x14ac:dyDescent="0.25">
      <c r="A284" s="178"/>
      <c r="B284" s="268"/>
      <c r="C284" s="189"/>
      <c r="D284"/>
      <c r="E284"/>
      <c r="F284" s="176"/>
      <c r="G284" s="176"/>
      <c r="H284" s="224"/>
      <c r="I284" s="224"/>
      <c r="J284" s="225"/>
      <c r="K284" s="225"/>
      <c r="L284" s="226"/>
      <c r="M284" s="226"/>
      <c r="N284" s="226"/>
      <c r="O284" s="226"/>
      <c r="P284" s="226"/>
      <c r="Q284" s="226"/>
      <c r="R284" s="226"/>
      <c r="S284" s="226"/>
      <c r="T284" s="176"/>
      <c r="U284" s="191"/>
      <c r="V284" s="190"/>
      <c r="W284" s="190"/>
      <c r="X284" s="190"/>
      <c r="Y284" s="226"/>
      <c r="Z284" s="226"/>
      <c r="AA284" s="189"/>
      <c r="AB284" s="227"/>
      <c r="AC284" s="176"/>
    </row>
    <row r="285" spans="1:29" x14ac:dyDescent="0.25">
      <c r="A285" s="178"/>
      <c r="B285" s="268"/>
      <c r="C285" s="189"/>
      <c r="D285"/>
      <c r="E285"/>
      <c r="F285" s="176"/>
      <c r="G285" s="176"/>
      <c r="H285" s="224"/>
      <c r="I285" s="224"/>
      <c r="J285" s="225"/>
      <c r="K285" s="225"/>
      <c r="L285" s="226"/>
      <c r="M285" s="226"/>
      <c r="N285" s="226"/>
      <c r="O285" s="226"/>
      <c r="P285" s="226"/>
      <c r="Q285" s="226"/>
      <c r="R285" s="226"/>
      <c r="S285" s="226"/>
      <c r="T285" s="176"/>
      <c r="U285" s="191"/>
      <c r="V285" s="190"/>
      <c r="W285" s="190"/>
      <c r="X285" s="190"/>
      <c r="Y285" s="226"/>
      <c r="Z285" s="226"/>
      <c r="AA285" s="189"/>
      <c r="AB285" s="227"/>
      <c r="AC285" s="176"/>
    </row>
    <row r="286" spans="1:29" x14ac:dyDescent="0.25">
      <c r="A286" s="178"/>
      <c r="B286" s="268"/>
      <c r="C286" s="189"/>
      <c r="D286"/>
      <c r="E286"/>
      <c r="F286" s="176"/>
      <c r="G286" s="176"/>
      <c r="H286" s="224"/>
      <c r="I286" s="224"/>
      <c r="J286" s="225"/>
      <c r="K286" s="225"/>
      <c r="L286" s="226"/>
      <c r="M286" s="226"/>
      <c r="N286" s="226"/>
      <c r="O286" s="226"/>
      <c r="P286" s="226"/>
      <c r="Q286" s="226"/>
      <c r="R286" s="226"/>
      <c r="S286" s="226"/>
      <c r="T286" s="176"/>
      <c r="U286" s="191"/>
      <c r="V286" s="190"/>
      <c r="W286" s="190"/>
      <c r="X286" s="190"/>
      <c r="Y286" s="226"/>
      <c r="Z286" s="226"/>
      <c r="AA286" s="189"/>
      <c r="AB286" s="227"/>
      <c r="AC286" s="176"/>
    </row>
    <row r="287" spans="1:29" x14ac:dyDescent="0.25">
      <c r="A287" s="178"/>
      <c r="B287" s="268"/>
      <c r="C287" s="189"/>
      <c r="D287"/>
      <c r="E287"/>
      <c r="F287" s="176"/>
      <c r="G287" s="176"/>
      <c r="H287" s="224"/>
      <c r="I287" s="224"/>
      <c r="J287" s="225"/>
      <c r="K287" s="225"/>
      <c r="L287" s="226"/>
      <c r="M287" s="226"/>
      <c r="N287" s="226"/>
      <c r="O287" s="226"/>
      <c r="P287" s="226"/>
      <c r="Q287" s="226"/>
      <c r="R287" s="226"/>
      <c r="S287" s="226"/>
      <c r="T287" s="176"/>
      <c r="U287" s="191"/>
      <c r="V287" s="190"/>
      <c r="W287" s="190"/>
      <c r="X287" s="190"/>
      <c r="Y287" s="226"/>
      <c r="Z287" s="226"/>
      <c r="AA287" s="189"/>
      <c r="AB287" s="227"/>
      <c r="AC287" s="176"/>
    </row>
    <row r="288" spans="1:29" x14ac:dyDescent="0.25">
      <c r="A288" s="178"/>
      <c r="B288" s="268"/>
      <c r="C288" s="189"/>
      <c r="D288"/>
      <c r="E288"/>
      <c r="F288" s="176"/>
      <c r="G288" s="176"/>
      <c r="H288" s="224"/>
      <c r="I288" s="224"/>
      <c r="J288" s="225"/>
      <c r="K288" s="225"/>
      <c r="L288" s="226"/>
      <c r="M288" s="226"/>
      <c r="N288" s="226"/>
      <c r="O288" s="226"/>
      <c r="P288" s="226"/>
      <c r="Q288" s="226"/>
      <c r="R288" s="226"/>
      <c r="S288" s="226"/>
      <c r="T288" s="176"/>
      <c r="U288" s="191"/>
      <c r="V288" s="190"/>
      <c r="W288" s="190"/>
      <c r="X288" s="190"/>
      <c r="Y288" s="226"/>
      <c r="Z288" s="226"/>
      <c r="AA288" s="189"/>
      <c r="AB288" s="227"/>
      <c r="AC288" s="176"/>
    </row>
    <row r="289" spans="1:29" x14ac:dyDescent="0.25">
      <c r="A289" s="178"/>
      <c r="B289" s="268"/>
      <c r="C289" s="189"/>
      <c r="D289"/>
      <c r="E289"/>
      <c r="F289" s="176"/>
      <c r="G289" s="176"/>
      <c r="H289" s="224"/>
      <c r="I289" s="224"/>
      <c r="J289" s="225"/>
      <c r="K289" s="225"/>
      <c r="L289" s="226"/>
      <c r="M289" s="226"/>
      <c r="N289" s="226"/>
      <c r="O289" s="226"/>
      <c r="P289" s="226"/>
      <c r="Q289" s="226"/>
      <c r="R289" s="226"/>
      <c r="S289" s="226"/>
      <c r="T289" s="176"/>
      <c r="U289" s="191"/>
      <c r="V289" s="190"/>
      <c r="W289" s="190"/>
      <c r="X289" s="190"/>
      <c r="Y289" s="226"/>
      <c r="Z289" s="226"/>
      <c r="AA289" s="189"/>
      <c r="AB289" s="227"/>
      <c r="AC289" s="176"/>
    </row>
    <row r="290" spans="1:29" x14ac:dyDescent="0.25">
      <c r="A290" s="178"/>
      <c r="B290" s="268"/>
      <c r="C290" s="189"/>
      <c r="D290"/>
      <c r="E290"/>
      <c r="F290" s="176"/>
      <c r="G290" s="176"/>
      <c r="H290" s="224"/>
      <c r="I290" s="224"/>
      <c r="J290" s="225"/>
      <c r="K290" s="225"/>
      <c r="L290" s="226"/>
      <c r="M290" s="226"/>
      <c r="N290" s="226"/>
      <c r="O290" s="226"/>
      <c r="P290" s="226"/>
      <c r="Q290" s="226"/>
      <c r="R290" s="226"/>
      <c r="S290" s="226"/>
      <c r="T290" s="176"/>
      <c r="U290" s="191"/>
      <c r="V290" s="190"/>
      <c r="W290" s="190"/>
      <c r="X290" s="190"/>
      <c r="Y290" s="226"/>
      <c r="Z290" s="226"/>
      <c r="AA290" s="189"/>
      <c r="AB290" s="227"/>
      <c r="AC290" s="176"/>
    </row>
    <row r="291" spans="1:29" x14ac:dyDescent="0.25">
      <c r="A291" s="178"/>
      <c r="B291" s="268"/>
      <c r="C291" s="189"/>
      <c r="D291"/>
      <c r="E291"/>
      <c r="F291" s="176"/>
      <c r="G291" s="176"/>
      <c r="H291" s="224"/>
      <c r="I291" s="224"/>
      <c r="J291" s="225"/>
      <c r="K291" s="225"/>
      <c r="L291" s="226"/>
      <c r="M291" s="226"/>
      <c r="N291" s="226"/>
      <c r="O291" s="226"/>
      <c r="P291" s="226"/>
      <c r="Q291" s="226"/>
      <c r="R291" s="226"/>
      <c r="S291" s="226"/>
      <c r="T291" s="176"/>
      <c r="U291" s="191"/>
      <c r="V291" s="190"/>
      <c r="W291" s="190"/>
      <c r="X291" s="190"/>
      <c r="Y291" s="226"/>
      <c r="Z291" s="226"/>
      <c r="AA291" s="189"/>
      <c r="AB291" s="227"/>
      <c r="AC291" s="176"/>
    </row>
    <row r="292" spans="1:29" x14ac:dyDescent="0.25">
      <c r="A292" s="178"/>
      <c r="B292" s="268"/>
      <c r="C292" s="189"/>
      <c r="D292"/>
      <c r="E292"/>
      <c r="F292" s="176"/>
      <c r="G292" s="176"/>
      <c r="H292" s="224"/>
      <c r="I292" s="224"/>
      <c r="J292" s="225"/>
      <c r="K292" s="225"/>
      <c r="L292" s="226"/>
      <c r="M292" s="226"/>
      <c r="N292" s="226"/>
      <c r="O292" s="226"/>
      <c r="P292" s="226"/>
      <c r="Q292" s="226"/>
      <c r="R292" s="226"/>
      <c r="S292" s="226"/>
      <c r="T292" s="176"/>
      <c r="U292" s="191"/>
      <c r="V292" s="190"/>
      <c r="W292" s="190"/>
      <c r="X292" s="190"/>
      <c r="Y292" s="226"/>
      <c r="Z292" s="226"/>
      <c r="AA292" s="189"/>
      <c r="AB292" s="227"/>
      <c r="AC292" s="176"/>
    </row>
    <row r="293" spans="1:29" x14ac:dyDescent="0.25">
      <c r="A293" s="178"/>
      <c r="B293" s="268"/>
      <c r="C293" s="189"/>
      <c r="D293"/>
      <c r="E293"/>
      <c r="F293" s="176"/>
      <c r="G293" s="176"/>
      <c r="H293" s="224"/>
      <c r="I293" s="224"/>
      <c r="J293" s="225"/>
      <c r="K293" s="225"/>
      <c r="L293" s="226"/>
      <c r="M293" s="226"/>
      <c r="N293" s="226"/>
      <c r="O293" s="226"/>
      <c r="P293" s="226"/>
      <c r="Q293" s="226"/>
      <c r="R293" s="226"/>
      <c r="S293" s="226"/>
      <c r="T293" s="176"/>
      <c r="U293" s="191"/>
      <c r="V293" s="190"/>
      <c r="W293" s="190"/>
      <c r="X293" s="190"/>
      <c r="Y293" s="226"/>
      <c r="Z293" s="226"/>
      <c r="AA293" s="189"/>
      <c r="AB293" s="227"/>
      <c r="AC293" s="176"/>
    </row>
    <row r="294" spans="1:29" x14ac:dyDescent="0.25">
      <c r="A294" s="178"/>
      <c r="B294" s="268"/>
      <c r="C294" s="189"/>
      <c r="D294"/>
      <c r="E294"/>
      <c r="F294" s="176"/>
      <c r="G294" s="176"/>
      <c r="H294" s="224"/>
      <c r="I294" s="224"/>
      <c r="J294" s="225"/>
      <c r="K294" s="225"/>
      <c r="L294" s="226"/>
      <c r="M294" s="226"/>
      <c r="N294" s="226"/>
      <c r="O294" s="226"/>
      <c r="P294" s="226"/>
      <c r="Q294" s="226"/>
      <c r="R294" s="226"/>
      <c r="S294" s="226"/>
      <c r="T294" s="176"/>
      <c r="U294" s="191"/>
      <c r="V294" s="190"/>
      <c r="W294" s="190"/>
      <c r="X294" s="190"/>
      <c r="Y294" s="226"/>
      <c r="Z294" s="226"/>
      <c r="AA294" s="189"/>
      <c r="AB294" s="227"/>
      <c r="AC294" s="176"/>
    </row>
    <row r="295" spans="1:29" x14ac:dyDescent="0.25">
      <c r="A295" s="178"/>
      <c r="B295" s="268"/>
      <c r="C295" s="189"/>
      <c r="D295"/>
      <c r="E295"/>
      <c r="F295" s="176"/>
      <c r="G295" s="176"/>
      <c r="H295" s="224"/>
      <c r="I295" s="224"/>
      <c r="J295" s="225"/>
      <c r="K295" s="225"/>
      <c r="L295" s="226"/>
      <c r="M295" s="226"/>
      <c r="N295" s="226"/>
      <c r="O295" s="226"/>
      <c r="P295" s="226"/>
      <c r="Q295" s="226"/>
      <c r="R295" s="226"/>
      <c r="S295" s="226"/>
      <c r="T295" s="176"/>
      <c r="U295" s="191"/>
      <c r="V295" s="190"/>
      <c r="W295" s="190"/>
      <c r="X295" s="190"/>
      <c r="Y295" s="226"/>
      <c r="Z295" s="226"/>
      <c r="AA295" s="189"/>
      <c r="AB295" s="227"/>
      <c r="AC295" s="176"/>
    </row>
    <row r="296" spans="1:29" x14ac:dyDescent="0.25">
      <c r="A296" s="178"/>
      <c r="B296" s="268"/>
      <c r="C296" s="189"/>
      <c r="D296"/>
      <c r="E296"/>
      <c r="F296" s="176"/>
      <c r="G296" s="176"/>
      <c r="H296" s="224"/>
      <c r="I296" s="224"/>
      <c r="J296" s="225"/>
      <c r="K296" s="225"/>
      <c r="L296" s="226"/>
      <c r="M296" s="226"/>
      <c r="N296" s="226"/>
      <c r="O296" s="226"/>
      <c r="P296" s="226"/>
      <c r="Q296" s="226"/>
      <c r="R296" s="226"/>
      <c r="S296" s="226"/>
      <c r="T296" s="176"/>
      <c r="U296" s="191"/>
      <c r="V296" s="190"/>
      <c r="W296" s="190"/>
      <c r="X296" s="190"/>
      <c r="Y296" s="226"/>
      <c r="Z296" s="226"/>
      <c r="AA296" s="189"/>
      <c r="AB296" s="227"/>
      <c r="AC296" s="176"/>
    </row>
    <row r="297" spans="1:29" x14ac:dyDescent="0.25">
      <c r="A297" s="178"/>
      <c r="B297" s="268"/>
      <c r="C297" s="189"/>
      <c r="D297"/>
      <c r="E297"/>
      <c r="F297" s="176"/>
      <c r="G297" s="176"/>
      <c r="H297" s="224"/>
      <c r="I297" s="224"/>
      <c r="J297" s="225"/>
      <c r="K297" s="225"/>
      <c r="L297" s="226"/>
      <c r="M297" s="226"/>
      <c r="N297" s="226"/>
      <c r="O297" s="226"/>
      <c r="P297" s="226"/>
      <c r="Q297" s="226"/>
      <c r="R297" s="226"/>
      <c r="S297" s="226"/>
      <c r="T297" s="176"/>
      <c r="U297" s="191"/>
      <c r="V297" s="190"/>
      <c r="W297" s="190"/>
      <c r="X297" s="190"/>
      <c r="Y297" s="226"/>
      <c r="Z297" s="226"/>
      <c r="AA297" s="189"/>
      <c r="AB297" s="227"/>
      <c r="AC297" s="176"/>
    </row>
    <row r="298" spans="1:29" x14ac:dyDescent="0.25">
      <c r="A298" s="178"/>
      <c r="B298" s="268"/>
      <c r="C298" s="189"/>
      <c r="D298"/>
      <c r="E298"/>
      <c r="F298" s="176"/>
      <c r="G298" s="176"/>
      <c r="H298" s="224"/>
      <c r="I298" s="224"/>
      <c r="J298" s="225"/>
      <c r="K298" s="225"/>
      <c r="L298" s="226"/>
      <c r="M298" s="226"/>
      <c r="N298" s="226"/>
      <c r="O298" s="226"/>
      <c r="P298" s="226"/>
      <c r="Q298" s="226"/>
      <c r="R298" s="226"/>
      <c r="S298" s="226"/>
      <c r="T298" s="176"/>
      <c r="U298" s="191"/>
      <c r="V298" s="190"/>
      <c r="W298" s="190"/>
      <c r="X298" s="190"/>
      <c r="Y298" s="226"/>
      <c r="Z298" s="226"/>
      <c r="AA298" s="189"/>
      <c r="AB298" s="227"/>
      <c r="AC298" s="176"/>
    </row>
    <row r="299" spans="1:29" x14ac:dyDescent="0.25">
      <c r="A299" s="178"/>
      <c r="B299" s="268"/>
      <c r="C299" s="189"/>
      <c r="D299"/>
      <c r="E299"/>
      <c r="F299" s="176"/>
      <c r="G299" s="176"/>
      <c r="H299" s="224"/>
      <c r="I299" s="224"/>
      <c r="J299" s="225"/>
      <c r="K299" s="225"/>
      <c r="L299" s="226"/>
      <c r="M299" s="226"/>
      <c r="N299" s="226"/>
      <c r="O299" s="226"/>
      <c r="P299" s="226"/>
      <c r="Q299" s="226"/>
      <c r="R299" s="226"/>
      <c r="S299" s="226"/>
      <c r="T299" s="176"/>
      <c r="U299" s="191"/>
      <c r="V299" s="190"/>
      <c r="W299" s="190"/>
      <c r="X299" s="190"/>
      <c r="Y299" s="226"/>
      <c r="Z299" s="226"/>
      <c r="AA299" s="189"/>
      <c r="AB299" s="227"/>
      <c r="AC299" s="176"/>
    </row>
    <row r="300" spans="1:29" x14ac:dyDescent="0.25">
      <c r="A300" s="178"/>
      <c r="B300" s="268"/>
      <c r="C300" s="189"/>
      <c r="D300"/>
      <c r="E300"/>
      <c r="F300" s="176"/>
      <c r="G300" s="176"/>
      <c r="H300" s="224"/>
      <c r="I300" s="224"/>
      <c r="J300" s="225"/>
      <c r="K300" s="225"/>
      <c r="L300" s="226"/>
      <c r="M300" s="226"/>
      <c r="N300" s="226"/>
      <c r="O300" s="226"/>
      <c r="P300" s="226"/>
      <c r="Q300" s="226"/>
      <c r="R300" s="226"/>
      <c r="S300" s="226"/>
      <c r="T300" s="176"/>
      <c r="U300" s="191"/>
      <c r="V300" s="190"/>
      <c r="W300" s="190"/>
      <c r="X300" s="190"/>
      <c r="Y300" s="226"/>
      <c r="Z300" s="226"/>
      <c r="AA300" s="189"/>
      <c r="AB300" s="227"/>
      <c r="AC300" s="176"/>
    </row>
    <row r="301" spans="1:29" x14ac:dyDescent="0.25">
      <c r="A301" s="178"/>
      <c r="B301" s="268"/>
      <c r="C301" s="189"/>
      <c r="D301"/>
      <c r="E301"/>
      <c r="F301" s="176"/>
      <c r="G301" s="176"/>
      <c r="H301" s="224"/>
      <c r="I301" s="224"/>
      <c r="J301" s="225"/>
      <c r="K301" s="225"/>
      <c r="L301" s="226"/>
      <c r="M301" s="226"/>
      <c r="N301" s="226"/>
      <c r="O301" s="226"/>
      <c r="P301" s="226"/>
      <c r="Q301" s="226"/>
      <c r="R301" s="226"/>
      <c r="S301" s="226"/>
      <c r="T301" s="176"/>
      <c r="U301" s="191"/>
      <c r="V301" s="190"/>
      <c r="W301" s="190"/>
      <c r="X301" s="190"/>
      <c r="Y301" s="226"/>
      <c r="Z301" s="226"/>
      <c r="AA301" s="189"/>
      <c r="AB301" s="227"/>
      <c r="AC301" s="176"/>
    </row>
    <row r="302" spans="1:29" x14ac:dyDescent="0.25">
      <c r="A302" s="178"/>
      <c r="B302" s="268"/>
      <c r="C302" s="189"/>
      <c r="D302"/>
      <c r="E302"/>
      <c r="F302" s="176"/>
      <c r="G302" s="176"/>
      <c r="H302" s="224"/>
      <c r="I302" s="224"/>
      <c r="J302" s="225"/>
      <c r="K302" s="225"/>
      <c r="L302" s="226"/>
      <c r="M302" s="226"/>
      <c r="N302" s="226"/>
      <c r="O302" s="226"/>
      <c r="P302" s="226"/>
      <c r="Q302" s="226"/>
      <c r="R302" s="226"/>
      <c r="S302" s="226"/>
      <c r="T302" s="176"/>
      <c r="U302" s="191"/>
      <c r="V302" s="190"/>
      <c r="W302" s="190"/>
      <c r="X302" s="190"/>
      <c r="Y302" s="226"/>
      <c r="Z302" s="226"/>
      <c r="AA302" s="189"/>
      <c r="AB302" s="227"/>
      <c r="AC302" s="176"/>
    </row>
    <row r="303" spans="1:29" x14ac:dyDescent="0.25">
      <c r="A303" s="178"/>
      <c r="B303" s="268"/>
      <c r="C303" s="189"/>
      <c r="D303"/>
      <c r="E303"/>
      <c r="F303" s="176"/>
      <c r="G303" s="176"/>
      <c r="H303" s="224"/>
      <c r="I303" s="224"/>
      <c r="J303" s="225"/>
      <c r="K303" s="225"/>
      <c r="L303" s="226"/>
      <c r="M303" s="226"/>
      <c r="N303" s="226"/>
      <c r="O303" s="226"/>
      <c r="P303" s="226"/>
      <c r="Q303" s="226"/>
      <c r="R303" s="226"/>
      <c r="S303" s="226"/>
      <c r="T303" s="176"/>
      <c r="U303" s="191"/>
      <c r="V303" s="190"/>
      <c r="W303" s="190"/>
      <c r="X303" s="190"/>
      <c r="Y303" s="226"/>
      <c r="Z303" s="226"/>
      <c r="AA303" s="189"/>
      <c r="AB303" s="227"/>
      <c r="AC303" s="176"/>
    </row>
    <row r="304" spans="1:29" x14ac:dyDescent="0.25">
      <c r="A304" s="178"/>
      <c r="B304" s="268"/>
      <c r="C304" s="189"/>
      <c r="D304"/>
      <c r="E304"/>
      <c r="F304" s="176"/>
      <c r="G304" s="176"/>
      <c r="H304" s="224"/>
      <c r="I304" s="224"/>
      <c r="J304" s="225"/>
      <c r="K304" s="225"/>
      <c r="L304" s="226"/>
      <c r="M304" s="226"/>
      <c r="N304" s="226"/>
      <c r="O304" s="226"/>
      <c r="P304" s="226"/>
      <c r="Q304" s="226"/>
      <c r="R304" s="226"/>
      <c r="S304" s="226"/>
      <c r="T304" s="176"/>
      <c r="U304" s="191"/>
      <c r="V304" s="190"/>
      <c r="W304" s="190"/>
      <c r="X304" s="190"/>
      <c r="Y304" s="226"/>
      <c r="Z304" s="226"/>
      <c r="AA304" s="189"/>
      <c r="AB304" s="227"/>
      <c r="AC304" s="176"/>
    </row>
    <row r="305" spans="1:29" x14ac:dyDescent="0.25">
      <c r="A305" s="178"/>
      <c r="B305" s="268"/>
      <c r="C305" s="189"/>
      <c r="D305"/>
      <c r="E305"/>
      <c r="F305" s="176"/>
      <c r="G305" s="176"/>
      <c r="H305" s="224"/>
      <c r="I305" s="224"/>
      <c r="J305" s="225"/>
      <c r="K305" s="225"/>
      <c r="L305" s="226"/>
      <c r="M305" s="226"/>
      <c r="N305" s="226"/>
      <c r="O305" s="226"/>
      <c r="P305" s="226"/>
      <c r="Q305" s="226"/>
      <c r="R305" s="226"/>
      <c r="S305" s="226"/>
      <c r="T305" s="176"/>
      <c r="U305" s="191"/>
      <c r="V305" s="190"/>
      <c r="W305" s="190"/>
      <c r="X305" s="190"/>
      <c r="Y305" s="226"/>
      <c r="Z305" s="226"/>
      <c r="AA305" s="189"/>
      <c r="AB305" s="227"/>
      <c r="AC305" s="176"/>
    </row>
    <row r="306" spans="1:29" x14ac:dyDescent="0.25">
      <c r="A306" s="178"/>
      <c r="B306" s="268"/>
      <c r="C306" s="189"/>
      <c r="D306"/>
      <c r="E306"/>
      <c r="F306" s="176"/>
      <c r="G306" s="176"/>
      <c r="H306" s="224"/>
      <c r="I306" s="224"/>
      <c r="J306" s="225"/>
      <c r="K306" s="225"/>
      <c r="L306" s="226"/>
      <c r="M306" s="226"/>
      <c r="N306" s="226"/>
      <c r="O306" s="226"/>
      <c r="P306" s="226"/>
      <c r="Q306" s="226"/>
      <c r="R306" s="226"/>
      <c r="S306" s="226"/>
      <c r="T306" s="176"/>
      <c r="U306" s="191"/>
      <c r="V306" s="190"/>
      <c r="W306" s="190"/>
      <c r="X306" s="190"/>
      <c r="Y306" s="226"/>
      <c r="Z306" s="226"/>
      <c r="AA306" s="189"/>
      <c r="AB306" s="227"/>
      <c r="AC306" s="176"/>
    </row>
    <row r="307" spans="1:29" x14ac:dyDescent="0.25">
      <c r="A307" s="178"/>
      <c r="B307" s="268"/>
      <c r="C307" s="189"/>
      <c r="D307"/>
      <c r="E307"/>
      <c r="F307" s="176"/>
      <c r="G307" s="176"/>
      <c r="H307" s="224"/>
      <c r="I307" s="224"/>
      <c r="J307" s="225"/>
      <c r="K307" s="225"/>
      <c r="L307" s="226"/>
      <c r="M307" s="226"/>
      <c r="N307" s="226"/>
      <c r="O307" s="226"/>
      <c r="P307" s="226"/>
      <c r="Q307" s="226"/>
      <c r="R307" s="226"/>
      <c r="S307" s="226"/>
      <c r="T307" s="176"/>
      <c r="U307" s="191"/>
      <c r="V307" s="190"/>
      <c r="W307" s="190"/>
      <c r="X307" s="190"/>
      <c r="Y307" s="226"/>
      <c r="Z307" s="226"/>
      <c r="AA307" s="189"/>
      <c r="AB307" s="227"/>
      <c r="AC307" s="176"/>
    </row>
    <row r="308" spans="1:29" x14ac:dyDescent="0.25">
      <c r="A308" s="178"/>
      <c r="B308" s="268"/>
      <c r="C308" s="189"/>
      <c r="D308"/>
      <c r="E308"/>
      <c r="F308" s="176"/>
      <c r="G308" s="176"/>
      <c r="H308" s="224"/>
      <c r="I308" s="224"/>
      <c r="J308" s="225"/>
      <c r="K308" s="225"/>
      <c r="L308" s="226"/>
      <c r="M308" s="226"/>
      <c r="N308" s="226"/>
      <c r="O308" s="226"/>
      <c r="P308" s="226"/>
      <c r="Q308" s="226"/>
      <c r="R308" s="226"/>
      <c r="S308" s="226"/>
      <c r="T308" s="176"/>
      <c r="U308" s="191"/>
      <c r="V308" s="190"/>
      <c r="W308" s="190"/>
      <c r="X308" s="190"/>
      <c r="Y308" s="226"/>
      <c r="Z308" s="226"/>
      <c r="AA308" s="189"/>
      <c r="AB308" s="227"/>
      <c r="AC308" s="176"/>
    </row>
    <row r="309" spans="1:29" x14ac:dyDescent="0.25">
      <c r="A309" s="178"/>
      <c r="B309" s="268"/>
      <c r="C309" s="189"/>
      <c r="D309"/>
      <c r="E309"/>
      <c r="F309" s="176"/>
      <c r="G309" s="176"/>
      <c r="H309" s="224"/>
      <c r="I309" s="224"/>
      <c r="J309" s="225"/>
      <c r="K309" s="225"/>
      <c r="L309" s="226"/>
      <c r="M309" s="226"/>
      <c r="N309" s="226"/>
      <c r="O309" s="226"/>
      <c r="P309" s="226"/>
      <c r="Q309" s="226"/>
      <c r="R309" s="226"/>
      <c r="S309" s="226"/>
      <c r="T309" s="176"/>
      <c r="U309" s="191"/>
      <c r="V309" s="190"/>
      <c r="W309" s="190"/>
      <c r="X309" s="190"/>
      <c r="Y309" s="226"/>
      <c r="Z309" s="226"/>
      <c r="AA309" s="189"/>
      <c r="AB309" s="227"/>
      <c r="AC309" s="176"/>
    </row>
    <row r="310" spans="1:29" x14ac:dyDescent="0.25">
      <c r="A310" s="178"/>
      <c r="B310" s="268"/>
      <c r="C310" s="189"/>
      <c r="D310"/>
      <c r="E310"/>
      <c r="F310" s="176"/>
      <c r="G310" s="176"/>
      <c r="H310" s="224"/>
      <c r="I310" s="224"/>
      <c r="J310" s="225"/>
      <c r="K310" s="225"/>
      <c r="L310" s="226"/>
      <c r="M310" s="226"/>
      <c r="N310" s="226"/>
      <c r="O310" s="226"/>
      <c r="P310" s="226"/>
      <c r="Q310" s="226"/>
      <c r="R310" s="226"/>
      <c r="S310" s="226"/>
      <c r="T310" s="176"/>
      <c r="U310" s="191"/>
      <c r="V310" s="190"/>
      <c r="W310" s="190"/>
      <c r="X310" s="190"/>
      <c r="Y310" s="226"/>
      <c r="Z310" s="226"/>
      <c r="AA310" s="189"/>
      <c r="AB310" s="227"/>
      <c r="AC310" s="176"/>
    </row>
    <row r="311" spans="1:29" x14ac:dyDescent="0.25">
      <c r="A311" s="178"/>
      <c r="B311" s="268"/>
      <c r="C311" s="189"/>
      <c r="D311"/>
      <c r="E311"/>
      <c r="F311" s="176"/>
      <c r="G311" s="176"/>
      <c r="H311" s="224"/>
      <c r="I311" s="224"/>
      <c r="J311" s="225"/>
      <c r="K311" s="225"/>
      <c r="L311" s="226"/>
      <c r="M311" s="226"/>
      <c r="N311" s="226"/>
      <c r="O311" s="226"/>
      <c r="P311" s="226"/>
      <c r="Q311" s="226"/>
      <c r="R311" s="226"/>
      <c r="S311" s="226"/>
      <c r="T311" s="176"/>
      <c r="U311" s="191"/>
      <c r="V311" s="190"/>
      <c r="W311" s="190"/>
      <c r="X311" s="190"/>
      <c r="Y311" s="226"/>
      <c r="Z311" s="226"/>
      <c r="AA311" s="189"/>
      <c r="AB311" s="227"/>
      <c r="AC311" s="176"/>
    </row>
    <row r="312" spans="1:29" x14ac:dyDescent="0.25">
      <c r="A312" s="178"/>
      <c r="B312" s="268"/>
      <c r="C312" s="189"/>
      <c r="D312"/>
      <c r="E312"/>
      <c r="F312" s="176"/>
      <c r="G312" s="176"/>
      <c r="H312" s="224"/>
      <c r="I312" s="224"/>
      <c r="J312" s="225"/>
      <c r="K312" s="225"/>
      <c r="L312" s="226"/>
      <c r="M312" s="226"/>
      <c r="N312" s="226"/>
      <c r="O312" s="226"/>
      <c r="P312" s="226"/>
      <c r="Q312" s="226"/>
      <c r="R312" s="226"/>
      <c r="S312" s="226"/>
      <c r="T312" s="176"/>
      <c r="U312" s="191"/>
      <c r="V312" s="190"/>
      <c r="W312" s="190"/>
      <c r="X312" s="190"/>
      <c r="Y312" s="226"/>
      <c r="Z312" s="226"/>
      <c r="AA312" s="189"/>
      <c r="AB312" s="227"/>
      <c r="AC312" s="176"/>
    </row>
    <row r="313" spans="1:29" x14ac:dyDescent="0.25">
      <c r="A313" s="178"/>
      <c r="B313" s="268"/>
      <c r="C313" s="189"/>
      <c r="D313"/>
      <c r="E313"/>
      <c r="F313" s="176"/>
      <c r="G313" s="176"/>
      <c r="H313" s="224"/>
      <c r="I313" s="224"/>
      <c r="J313" s="225"/>
      <c r="K313" s="225"/>
      <c r="L313" s="226"/>
      <c r="M313" s="226"/>
      <c r="N313" s="226"/>
      <c r="O313" s="226"/>
      <c r="P313" s="226"/>
      <c r="Q313" s="226"/>
      <c r="R313" s="226"/>
      <c r="S313" s="226"/>
      <c r="T313" s="176"/>
      <c r="U313" s="191"/>
      <c r="V313" s="190"/>
      <c r="W313" s="190"/>
      <c r="X313" s="190"/>
      <c r="Y313" s="226"/>
      <c r="Z313" s="226"/>
      <c r="AA313" s="189"/>
      <c r="AB313" s="227"/>
      <c r="AC313" s="176"/>
    </row>
    <row r="314" spans="1:29" x14ac:dyDescent="0.25">
      <c r="A314" s="178"/>
      <c r="B314" s="268"/>
      <c r="C314" s="189"/>
      <c r="D314"/>
      <c r="E314"/>
      <c r="F314" s="176"/>
      <c r="G314" s="176"/>
      <c r="H314" s="224"/>
      <c r="I314" s="224"/>
      <c r="J314" s="225"/>
      <c r="K314" s="225"/>
      <c r="L314" s="226"/>
      <c r="M314" s="226"/>
      <c r="N314" s="226"/>
      <c r="O314" s="226"/>
      <c r="P314" s="226"/>
      <c r="Q314" s="226"/>
      <c r="R314" s="226"/>
      <c r="S314" s="226"/>
      <c r="T314" s="176"/>
      <c r="U314" s="191"/>
      <c r="V314" s="190"/>
      <c r="W314" s="190"/>
      <c r="X314" s="190"/>
      <c r="Y314" s="226"/>
      <c r="Z314" s="226"/>
      <c r="AA314" s="189"/>
      <c r="AB314" s="227"/>
      <c r="AC314" s="176"/>
    </row>
    <row r="315" spans="1:29" x14ac:dyDescent="0.25">
      <c r="A315" s="178"/>
      <c r="B315" s="268"/>
      <c r="C315" s="189"/>
      <c r="D315"/>
      <c r="E315"/>
      <c r="F315" s="176"/>
      <c r="G315" s="176"/>
      <c r="H315" s="224"/>
      <c r="I315" s="224"/>
      <c r="J315" s="225"/>
      <c r="K315" s="225"/>
      <c r="L315" s="226"/>
      <c r="M315" s="226"/>
      <c r="N315" s="226"/>
      <c r="O315" s="226"/>
      <c r="P315" s="226"/>
      <c r="Q315" s="226"/>
      <c r="R315" s="226"/>
      <c r="S315" s="226"/>
      <c r="T315" s="176"/>
      <c r="U315" s="191"/>
      <c r="V315" s="190"/>
      <c r="W315" s="190"/>
      <c r="X315" s="190"/>
      <c r="Y315" s="226"/>
      <c r="Z315" s="226"/>
      <c r="AA315" s="189"/>
      <c r="AB315" s="227"/>
      <c r="AC315" s="176"/>
    </row>
    <row r="316" spans="1:29" x14ac:dyDescent="0.25">
      <c r="A316" s="178"/>
      <c r="B316" s="268"/>
      <c r="C316" s="189"/>
      <c r="D316"/>
      <c r="E316"/>
      <c r="F316" s="176"/>
      <c r="G316" s="176"/>
      <c r="H316" s="224"/>
      <c r="I316" s="224"/>
      <c r="J316" s="225"/>
      <c r="K316" s="225"/>
      <c r="L316" s="226"/>
      <c r="M316" s="226"/>
      <c r="N316" s="226"/>
      <c r="O316" s="226"/>
      <c r="P316" s="226"/>
      <c r="Q316" s="226"/>
      <c r="R316" s="226"/>
      <c r="S316" s="226"/>
      <c r="T316" s="176"/>
      <c r="U316" s="191"/>
      <c r="V316" s="190"/>
      <c r="W316" s="190"/>
      <c r="X316" s="190"/>
      <c r="Y316" s="226"/>
      <c r="Z316" s="226"/>
      <c r="AA316" s="189"/>
      <c r="AB316" s="227"/>
      <c r="AC316" s="176"/>
    </row>
    <row r="317" spans="1:29" x14ac:dyDescent="0.25">
      <c r="A317" s="178"/>
      <c r="B317" s="268"/>
      <c r="C317" s="189"/>
      <c r="D317"/>
      <c r="E317"/>
      <c r="F317" s="176"/>
      <c r="G317" s="176"/>
      <c r="H317" s="224"/>
      <c r="I317" s="224"/>
      <c r="J317" s="225"/>
      <c r="K317" s="225"/>
      <c r="L317" s="226"/>
      <c r="M317" s="226"/>
      <c r="N317" s="226"/>
      <c r="O317" s="226"/>
      <c r="P317" s="226"/>
      <c r="Q317" s="226"/>
      <c r="R317" s="226"/>
      <c r="S317" s="226"/>
      <c r="T317" s="176"/>
      <c r="U317" s="191"/>
      <c r="V317" s="190"/>
      <c r="W317" s="190"/>
      <c r="X317" s="190"/>
      <c r="Y317" s="226"/>
      <c r="Z317" s="226"/>
      <c r="AA317" s="189"/>
      <c r="AB317" s="227"/>
      <c r="AC317" s="176"/>
    </row>
    <row r="318" spans="1:29" x14ac:dyDescent="0.25">
      <c r="A318" s="178"/>
      <c r="B318" s="268"/>
      <c r="C318" s="189"/>
      <c r="D318"/>
      <c r="E318"/>
      <c r="F318" s="176"/>
      <c r="G318" s="176"/>
      <c r="H318" s="224"/>
      <c r="I318" s="224"/>
      <c r="J318" s="225"/>
      <c r="K318" s="225"/>
      <c r="L318" s="226"/>
      <c r="M318" s="226"/>
      <c r="N318" s="226"/>
      <c r="O318" s="226"/>
      <c r="P318" s="226"/>
      <c r="Q318" s="226"/>
      <c r="R318" s="226"/>
      <c r="S318" s="226"/>
      <c r="T318" s="176"/>
      <c r="U318" s="191"/>
      <c r="V318" s="190"/>
      <c r="W318" s="190"/>
      <c r="X318" s="190"/>
      <c r="Y318" s="226"/>
      <c r="Z318" s="226"/>
      <c r="AA318" s="189"/>
      <c r="AB318" s="227"/>
      <c r="AC318" s="176"/>
    </row>
    <row r="319" spans="1:29" x14ac:dyDescent="0.25">
      <c r="A319" s="178"/>
      <c r="B319" s="268"/>
      <c r="C319" s="189"/>
      <c r="D319"/>
      <c r="E319"/>
      <c r="F319" s="176"/>
      <c r="G319" s="176"/>
      <c r="H319" s="224"/>
      <c r="I319" s="224"/>
      <c r="J319" s="225"/>
      <c r="K319" s="225"/>
      <c r="L319" s="226"/>
      <c r="M319" s="226"/>
      <c r="N319" s="226"/>
      <c r="O319" s="226"/>
      <c r="P319" s="226"/>
      <c r="Q319" s="226"/>
      <c r="R319" s="226"/>
      <c r="S319" s="226"/>
      <c r="T319" s="176"/>
      <c r="U319" s="191"/>
      <c r="V319" s="190"/>
      <c r="W319" s="190"/>
      <c r="X319" s="190"/>
      <c r="Y319" s="226"/>
      <c r="Z319" s="226"/>
      <c r="AA319" s="189"/>
      <c r="AB319" s="227"/>
      <c r="AC319" s="176"/>
    </row>
    <row r="320" spans="1:29" x14ac:dyDescent="0.25">
      <c r="A320" s="178"/>
      <c r="B320" s="268"/>
      <c r="C320" s="189"/>
      <c r="D320"/>
      <c r="E320"/>
      <c r="F320" s="176"/>
      <c r="G320" s="176"/>
      <c r="H320" s="224"/>
      <c r="I320" s="224"/>
      <c r="J320" s="225"/>
      <c r="K320" s="225"/>
      <c r="L320" s="226"/>
      <c r="M320" s="226"/>
      <c r="N320" s="226"/>
      <c r="O320" s="226"/>
      <c r="P320" s="226"/>
      <c r="Q320" s="226"/>
      <c r="R320" s="226"/>
      <c r="S320" s="226"/>
      <c r="T320" s="176"/>
      <c r="U320" s="191"/>
      <c r="V320" s="190"/>
      <c r="W320" s="190"/>
      <c r="X320" s="190"/>
      <c r="Y320" s="226"/>
      <c r="Z320" s="226"/>
      <c r="AA320" s="189"/>
      <c r="AB320" s="227"/>
      <c r="AC320" s="176"/>
    </row>
    <row r="321" spans="1:29" x14ac:dyDescent="0.25">
      <c r="A321" s="178"/>
      <c r="B321" s="268"/>
      <c r="C321" s="189"/>
      <c r="D321"/>
      <c r="E321"/>
      <c r="F321" s="176"/>
      <c r="G321" s="176"/>
      <c r="H321" s="224"/>
      <c r="I321" s="224"/>
      <c r="J321" s="225"/>
      <c r="K321" s="225"/>
      <c r="L321" s="226"/>
      <c r="M321" s="226"/>
      <c r="N321" s="226"/>
      <c r="O321" s="226"/>
      <c r="P321" s="226"/>
      <c r="Q321" s="226"/>
      <c r="R321" s="226"/>
      <c r="S321" s="226"/>
      <c r="T321" s="176"/>
      <c r="U321" s="191"/>
      <c r="V321" s="190"/>
      <c r="W321" s="190"/>
      <c r="X321" s="190"/>
      <c r="Y321" s="226"/>
      <c r="Z321" s="226"/>
      <c r="AA321" s="189"/>
      <c r="AB321" s="227"/>
      <c r="AC321" s="176"/>
    </row>
    <row r="322" spans="1:29" x14ac:dyDescent="0.25">
      <c r="A322" s="178"/>
      <c r="B322" s="268"/>
      <c r="C322" s="189"/>
      <c r="D322"/>
      <c r="E322"/>
      <c r="F322" s="176"/>
      <c r="G322" s="176"/>
      <c r="H322" s="224"/>
      <c r="I322" s="224"/>
      <c r="J322" s="225"/>
      <c r="K322" s="225"/>
      <c r="L322" s="226"/>
      <c r="M322" s="226"/>
      <c r="N322" s="226"/>
      <c r="O322" s="226"/>
      <c r="P322" s="226"/>
      <c r="Q322" s="226"/>
      <c r="R322" s="226"/>
      <c r="S322" s="226"/>
      <c r="T322" s="176"/>
      <c r="U322" s="191"/>
      <c r="V322" s="190"/>
      <c r="W322" s="190"/>
      <c r="X322" s="190"/>
      <c r="Y322" s="226"/>
      <c r="Z322" s="226"/>
      <c r="AA322" s="189"/>
      <c r="AB322" s="227"/>
      <c r="AC322" s="176"/>
    </row>
    <row r="323" spans="1:29" x14ac:dyDescent="0.25">
      <c r="A323" s="178"/>
      <c r="B323" s="268"/>
      <c r="C323" s="189"/>
      <c r="D323"/>
      <c r="E323"/>
      <c r="F323" s="176"/>
      <c r="G323" s="176"/>
      <c r="H323" s="224"/>
      <c r="I323" s="224"/>
      <c r="J323" s="225"/>
      <c r="K323" s="225"/>
      <c r="L323" s="226"/>
      <c r="M323" s="226"/>
      <c r="N323" s="226"/>
      <c r="O323" s="226"/>
      <c r="P323" s="226"/>
      <c r="Q323" s="226"/>
      <c r="R323" s="226"/>
      <c r="S323" s="226"/>
      <c r="T323" s="176"/>
      <c r="U323" s="191"/>
      <c r="V323" s="190"/>
      <c r="W323" s="190"/>
      <c r="X323" s="190"/>
      <c r="Y323" s="226"/>
      <c r="Z323" s="226"/>
      <c r="AA323" s="189"/>
      <c r="AB323" s="227"/>
      <c r="AC323" s="176"/>
    </row>
    <row r="324" spans="1:29" x14ac:dyDescent="0.25">
      <c r="A324" s="178"/>
      <c r="B324" s="268"/>
      <c r="C324" s="189"/>
      <c r="D324"/>
      <c r="E324"/>
      <c r="F324" s="176"/>
      <c r="G324" s="176"/>
      <c r="H324" s="224"/>
      <c r="I324" s="224"/>
      <c r="J324" s="225"/>
      <c r="K324" s="225"/>
      <c r="L324" s="226"/>
      <c r="M324" s="226"/>
      <c r="N324" s="226"/>
      <c r="O324" s="226"/>
      <c r="P324" s="226"/>
      <c r="Q324" s="226"/>
      <c r="R324" s="226"/>
      <c r="S324" s="226"/>
      <c r="T324" s="176"/>
      <c r="U324" s="191"/>
      <c r="V324" s="190"/>
      <c r="W324" s="190"/>
      <c r="X324" s="190"/>
      <c r="Y324" s="226"/>
      <c r="Z324" s="226"/>
      <c r="AA324" s="189"/>
      <c r="AB324" s="227"/>
      <c r="AC324" s="176"/>
    </row>
    <row r="325" spans="1:29" x14ac:dyDescent="0.25">
      <c r="A325" s="178"/>
      <c r="B325" s="268"/>
      <c r="C325" s="189"/>
      <c r="D325"/>
      <c r="E325"/>
      <c r="F325" s="176"/>
      <c r="G325" s="176"/>
      <c r="H325" s="224"/>
      <c r="I325" s="224"/>
      <c r="J325" s="225"/>
      <c r="K325" s="225"/>
      <c r="L325" s="226"/>
      <c r="M325" s="226"/>
      <c r="N325" s="226"/>
      <c r="O325" s="226"/>
      <c r="P325" s="226"/>
      <c r="Q325" s="226"/>
      <c r="R325" s="226"/>
      <c r="S325" s="226"/>
      <c r="T325" s="176"/>
      <c r="U325" s="191"/>
      <c r="V325" s="190"/>
      <c r="W325" s="190"/>
      <c r="X325" s="190"/>
      <c r="Y325" s="226"/>
      <c r="Z325" s="226"/>
      <c r="AA325" s="189"/>
      <c r="AB325" s="227"/>
      <c r="AC325" s="176"/>
    </row>
    <row r="326" spans="1:29" x14ac:dyDescent="0.25">
      <c r="A326" s="178"/>
      <c r="B326" s="268"/>
      <c r="C326" s="189"/>
      <c r="D326"/>
      <c r="E326"/>
      <c r="F326" s="176"/>
      <c r="G326" s="176"/>
      <c r="H326" s="224"/>
      <c r="I326" s="224"/>
      <c r="J326" s="225"/>
      <c r="K326" s="225"/>
      <c r="L326" s="226"/>
      <c r="M326" s="226"/>
      <c r="N326" s="226"/>
      <c r="O326" s="226"/>
      <c r="P326" s="226"/>
      <c r="Q326" s="226"/>
      <c r="R326" s="226"/>
      <c r="S326" s="226"/>
      <c r="T326" s="176"/>
      <c r="U326" s="191"/>
      <c r="V326" s="190"/>
      <c r="W326" s="190"/>
      <c r="X326" s="190"/>
      <c r="Y326" s="226"/>
      <c r="Z326" s="226"/>
      <c r="AA326" s="189"/>
      <c r="AB326" s="227"/>
      <c r="AC326" s="176"/>
    </row>
    <row r="327" spans="1:29" x14ac:dyDescent="0.25">
      <c r="A327" s="178"/>
      <c r="B327" s="268"/>
      <c r="C327" s="189"/>
      <c r="D327"/>
      <c r="E327"/>
      <c r="F327" s="176"/>
      <c r="G327" s="176"/>
      <c r="H327" s="224"/>
      <c r="I327" s="224"/>
      <c r="J327" s="225"/>
      <c r="K327" s="225"/>
      <c r="L327" s="226"/>
      <c r="M327" s="226"/>
      <c r="N327" s="226"/>
      <c r="O327" s="226"/>
      <c r="P327" s="226"/>
      <c r="Q327" s="226"/>
      <c r="R327" s="226"/>
      <c r="S327" s="226"/>
      <c r="T327" s="176"/>
      <c r="U327" s="191"/>
      <c r="V327" s="190"/>
      <c r="W327" s="190"/>
      <c r="X327" s="190"/>
      <c r="Y327" s="226"/>
      <c r="Z327" s="226"/>
      <c r="AA327" s="189"/>
      <c r="AB327" s="227"/>
      <c r="AC327" s="176"/>
    </row>
    <row r="328" spans="1:29" x14ac:dyDescent="0.25">
      <c r="A328" s="178"/>
      <c r="B328" s="268"/>
      <c r="C328" s="189"/>
      <c r="D328"/>
      <c r="E328"/>
      <c r="F328" s="176"/>
      <c r="G328" s="176"/>
      <c r="H328" s="224"/>
      <c r="I328" s="224"/>
      <c r="J328" s="225"/>
      <c r="K328" s="225"/>
      <c r="L328" s="226"/>
      <c r="M328" s="226"/>
      <c r="N328" s="226"/>
      <c r="O328" s="226"/>
      <c r="P328" s="226"/>
      <c r="Q328" s="226"/>
      <c r="R328" s="226"/>
      <c r="S328" s="226"/>
      <c r="T328" s="176"/>
      <c r="U328" s="191"/>
      <c r="V328" s="190"/>
      <c r="W328" s="190"/>
      <c r="X328" s="190"/>
      <c r="Y328" s="226"/>
      <c r="Z328" s="226"/>
      <c r="AA328" s="189"/>
      <c r="AB328" s="227"/>
      <c r="AC328" s="176"/>
    </row>
    <row r="329" spans="1:29" x14ac:dyDescent="0.25">
      <c r="A329" s="178"/>
      <c r="B329" s="268"/>
      <c r="C329" s="189"/>
      <c r="D329"/>
      <c r="E329"/>
      <c r="F329" s="176"/>
      <c r="G329" s="176"/>
      <c r="H329" s="224"/>
      <c r="I329" s="224"/>
      <c r="J329" s="225"/>
      <c r="K329" s="225"/>
      <c r="L329" s="226"/>
      <c r="M329" s="226"/>
      <c r="N329" s="226"/>
      <c r="O329" s="226"/>
      <c r="P329" s="226"/>
      <c r="Q329" s="226"/>
      <c r="R329" s="226"/>
      <c r="S329" s="226"/>
      <c r="T329" s="176"/>
      <c r="U329" s="191"/>
      <c r="V329" s="190"/>
      <c r="W329" s="190"/>
      <c r="X329" s="190"/>
      <c r="Y329" s="226"/>
      <c r="Z329" s="226"/>
      <c r="AA329" s="189"/>
      <c r="AB329" s="227"/>
      <c r="AC329" s="176"/>
    </row>
    <row r="330" spans="1:29" x14ac:dyDescent="0.25">
      <c r="A330" s="178"/>
      <c r="B330" s="268"/>
      <c r="C330" s="189"/>
      <c r="D330"/>
      <c r="E330"/>
      <c r="F330" s="176"/>
      <c r="G330" s="176"/>
      <c r="H330" s="224"/>
      <c r="I330" s="224"/>
      <c r="J330" s="225"/>
      <c r="K330" s="225"/>
      <c r="L330" s="226"/>
      <c r="M330" s="226"/>
      <c r="N330" s="226"/>
      <c r="O330" s="226"/>
      <c r="P330" s="226"/>
      <c r="Q330" s="226"/>
      <c r="R330" s="226"/>
      <c r="S330" s="226"/>
      <c r="T330" s="176"/>
      <c r="U330" s="191"/>
      <c r="V330" s="190"/>
      <c r="W330" s="190"/>
      <c r="X330" s="190"/>
      <c r="Y330" s="226"/>
      <c r="Z330" s="226"/>
      <c r="AA330" s="189"/>
      <c r="AB330" s="227"/>
      <c r="AC330" s="176"/>
    </row>
    <row r="331" spans="1:29" x14ac:dyDescent="0.25">
      <c r="A331" s="178"/>
      <c r="B331" s="268"/>
      <c r="C331" s="189"/>
      <c r="D331"/>
      <c r="E331"/>
      <c r="F331" s="176"/>
      <c r="G331" s="176"/>
      <c r="H331" s="224"/>
      <c r="I331" s="224"/>
      <c r="J331" s="225"/>
      <c r="K331" s="225"/>
      <c r="L331" s="226"/>
      <c r="M331" s="226"/>
      <c r="N331" s="226"/>
      <c r="O331" s="226"/>
      <c r="P331" s="226"/>
      <c r="Q331" s="226"/>
      <c r="R331" s="226"/>
      <c r="S331" s="226"/>
      <c r="T331" s="176"/>
      <c r="U331" s="191"/>
      <c r="V331" s="190"/>
      <c r="W331" s="190"/>
      <c r="X331" s="190"/>
      <c r="Y331" s="226"/>
      <c r="Z331" s="226"/>
      <c r="AA331" s="189"/>
      <c r="AB331" s="227"/>
      <c r="AC331" s="176"/>
    </row>
    <row r="332" spans="1:29" x14ac:dyDescent="0.25">
      <c r="A332" s="178"/>
      <c r="B332" s="268"/>
      <c r="C332" s="189"/>
      <c r="D332"/>
      <c r="E332"/>
      <c r="F332" s="176"/>
      <c r="G332" s="176"/>
      <c r="H332" s="224"/>
      <c r="I332" s="224"/>
      <c r="J332" s="225"/>
      <c r="K332" s="225"/>
      <c r="L332" s="226"/>
      <c r="M332" s="226"/>
      <c r="N332" s="226"/>
      <c r="O332" s="226"/>
      <c r="P332" s="226"/>
      <c r="Q332" s="226"/>
      <c r="R332" s="226"/>
      <c r="S332" s="226"/>
      <c r="T332" s="176"/>
      <c r="U332" s="191"/>
      <c r="V332" s="190"/>
      <c r="W332" s="190"/>
      <c r="X332" s="190"/>
      <c r="Y332" s="226"/>
      <c r="Z332" s="226"/>
      <c r="AA332" s="189"/>
      <c r="AB332" s="227"/>
      <c r="AC332" s="176"/>
    </row>
    <row r="333" spans="1:29" x14ac:dyDescent="0.25">
      <c r="A333" s="178"/>
      <c r="B333" s="268"/>
      <c r="C333" s="189"/>
      <c r="D333"/>
      <c r="E333"/>
      <c r="F333" s="176"/>
      <c r="G333" s="176"/>
      <c r="H333" s="224"/>
      <c r="I333" s="224"/>
      <c r="J333" s="225"/>
      <c r="K333" s="225"/>
      <c r="L333" s="226"/>
      <c r="M333" s="226"/>
      <c r="N333" s="226"/>
      <c r="O333" s="226"/>
      <c r="P333" s="226"/>
      <c r="Q333" s="226"/>
      <c r="R333" s="226"/>
      <c r="S333" s="226"/>
      <c r="T333" s="176"/>
      <c r="U333" s="191"/>
      <c r="V333" s="190"/>
      <c r="W333" s="190"/>
      <c r="X333" s="190"/>
      <c r="Y333" s="226"/>
      <c r="Z333" s="226"/>
      <c r="AA333" s="189"/>
      <c r="AB333" s="227"/>
      <c r="AC333" s="176"/>
    </row>
    <row r="334" spans="1:29" x14ac:dyDescent="0.25">
      <c r="A334" s="178"/>
      <c r="B334" s="268"/>
      <c r="C334" s="189"/>
      <c r="D334"/>
      <c r="E334"/>
      <c r="F334" s="176"/>
      <c r="G334" s="176"/>
      <c r="H334" s="224"/>
      <c r="I334" s="224"/>
      <c r="J334" s="225"/>
      <c r="K334" s="225"/>
      <c r="L334" s="226"/>
      <c r="M334" s="226"/>
      <c r="N334" s="226"/>
      <c r="O334" s="226"/>
      <c r="P334" s="226"/>
      <c r="Q334" s="226"/>
      <c r="R334" s="226"/>
      <c r="S334" s="226"/>
      <c r="T334" s="176"/>
      <c r="U334" s="191"/>
      <c r="V334" s="190"/>
      <c r="W334" s="190"/>
      <c r="X334" s="190"/>
      <c r="Y334" s="226"/>
      <c r="Z334" s="226"/>
      <c r="AA334" s="189"/>
      <c r="AB334" s="227"/>
      <c r="AC334" s="176"/>
    </row>
    <row r="335" spans="1:29" x14ac:dyDescent="0.25">
      <c r="A335" s="178"/>
      <c r="B335" s="268"/>
      <c r="C335" s="189"/>
      <c r="D335"/>
      <c r="E335"/>
      <c r="F335" s="176"/>
      <c r="G335" s="176"/>
      <c r="H335" s="224"/>
      <c r="I335" s="224"/>
      <c r="J335" s="225"/>
      <c r="K335" s="225"/>
      <c r="L335" s="226"/>
      <c r="M335" s="226"/>
      <c r="N335" s="226"/>
      <c r="O335" s="226"/>
      <c r="P335" s="226"/>
      <c r="Q335" s="226"/>
      <c r="R335" s="226"/>
      <c r="S335" s="226"/>
      <c r="T335" s="176"/>
      <c r="U335" s="191"/>
      <c r="V335" s="190"/>
      <c r="W335" s="190"/>
      <c r="X335" s="190"/>
      <c r="Y335" s="226"/>
      <c r="Z335" s="226"/>
      <c r="AA335" s="189"/>
      <c r="AB335" s="227"/>
      <c r="AC335" s="176"/>
    </row>
    <row r="336" spans="1:29" x14ac:dyDescent="0.25">
      <c r="A336" s="178"/>
      <c r="B336" s="268"/>
      <c r="C336" s="189"/>
      <c r="D336"/>
      <c r="E336"/>
      <c r="F336" s="176"/>
      <c r="G336" s="176"/>
      <c r="H336" s="224"/>
      <c r="I336" s="224"/>
      <c r="J336" s="225"/>
      <c r="K336" s="225"/>
      <c r="L336" s="226"/>
      <c r="M336" s="226"/>
      <c r="N336" s="226"/>
      <c r="O336" s="226"/>
      <c r="P336" s="226"/>
      <c r="Q336" s="226"/>
      <c r="R336" s="226"/>
      <c r="S336" s="226"/>
      <c r="T336" s="176"/>
      <c r="U336" s="191"/>
      <c r="V336" s="190"/>
      <c r="W336" s="190"/>
      <c r="X336" s="190"/>
      <c r="Y336" s="226"/>
      <c r="Z336" s="226"/>
      <c r="AA336" s="189"/>
      <c r="AB336" s="227"/>
      <c r="AC336" s="176"/>
    </row>
    <row r="337" spans="1:29" x14ac:dyDescent="0.25">
      <c r="A337"/>
      <c r="B337" s="65"/>
      <c r="C337" s="189"/>
      <c r="D337"/>
      <c r="E337"/>
      <c r="F337" s="176"/>
      <c r="G337" s="176"/>
      <c r="H337" s="224"/>
      <c r="I337" s="224"/>
      <c r="J337" s="225"/>
      <c r="K337" s="225"/>
      <c r="L337" s="226"/>
      <c r="M337" s="226"/>
      <c r="N337" s="226"/>
      <c r="O337" s="226"/>
      <c r="P337" s="226"/>
      <c r="Q337" s="226"/>
      <c r="R337" s="226"/>
      <c r="S337" s="226"/>
      <c r="T337" s="176"/>
      <c r="U337" s="191"/>
      <c r="V337" s="190"/>
      <c r="W337" s="190"/>
      <c r="X337" s="190"/>
      <c r="Y337" s="226"/>
      <c r="Z337" s="226"/>
      <c r="AA337" s="189"/>
      <c r="AB337" s="227"/>
      <c r="AC337" s="176"/>
    </row>
    <row r="338" spans="1:29" x14ac:dyDescent="0.25">
      <c r="A338"/>
      <c r="B338" s="65"/>
      <c r="C338" s="189"/>
      <c r="D338"/>
      <c r="E338"/>
      <c r="F338" s="176"/>
      <c r="G338" s="176"/>
      <c r="H338" s="224"/>
      <c r="I338" s="224"/>
      <c r="J338" s="225"/>
      <c r="K338" s="225"/>
      <c r="L338" s="226"/>
      <c r="M338" s="226"/>
      <c r="N338" s="226"/>
      <c r="O338" s="226"/>
      <c r="P338" s="226"/>
      <c r="Q338" s="226"/>
      <c r="R338" s="226"/>
      <c r="S338" s="226"/>
      <c r="T338" s="176"/>
      <c r="U338" s="191"/>
      <c r="V338" s="190"/>
      <c r="W338" s="190"/>
      <c r="X338" s="190"/>
      <c r="Y338" s="226"/>
      <c r="Z338" s="226"/>
      <c r="AA338" s="189"/>
      <c r="AB338" s="227"/>
      <c r="AC338" s="176"/>
    </row>
    <row r="339" spans="1:29" x14ac:dyDescent="0.25">
      <c r="A339"/>
      <c r="B339" s="65"/>
      <c r="C339" s="189"/>
      <c r="D339"/>
      <c r="E339"/>
      <c r="F339" s="176"/>
      <c r="G339" s="176"/>
      <c r="H339" s="224"/>
      <c r="I339" s="224"/>
      <c r="J339" s="225"/>
      <c r="K339" s="225"/>
      <c r="L339" s="226"/>
      <c r="M339" s="226"/>
      <c r="N339" s="226"/>
      <c r="O339" s="226"/>
      <c r="P339" s="226"/>
      <c r="Q339" s="226"/>
      <c r="R339" s="226"/>
      <c r="S339" s="226"/>
      <c r="T339" s="176"/>
      <c r="U339" s="191"/>
      <c r="V339" s="190"/>
      <c r="W339" s="190"/>
      <c r="X339" s="190"/>
      <c r="Y339" s="226"/>
      <c r="Z339" s="226"/>
      <c r="AA339" s="189"/>
      <c r="AB339" s="227"/>
      <c r="AC339" s="176"/>
    </row>
    <row r="340" spans="1:29" x14ac:dyDescent="0.25">
      <c r="A340"/>
      <c r="B340" s="65"/>
      <c r="C340" s="189"/>
      <c r="D340"/>
      <c r="E340"/>
      <c r="F340" s="176"/>
      <c r="G340" s="176"/>
      <c r="H340" s="224"/>
      <c r="I340" s="224"/>
      <c r="J340" s="225"/>
      <c r="K340" s="225"/>
      <c r="L340" s="226"/>
      <c r="M340" s="226"/>
      <c r="N340" s="226"/>
      <c r="O340" s="226"/>
      <c r="P340" s="226"/>
      <c r="Q340" s="226"/>
      <c r="R340" s="226"/>
      <c r="S340" s="226"/>
      <c r="T340" s="176"/>
      <c r="U340" s="191"/>
      <c r="V340" s="190"/>
      <c r="W340" s="190"/>
      <c r="X340" s="190"/>
      <c r="Y340" s="226"/>
      <c r="Z340" s="226"/>
      <c r="AA340" s="189"/>
      <c r="AB340" s="227"/>
      <c r="AC340" s="176"/>
    </row>
    <row r="341" spans="1:29" x14ac:dyDescent="0.25">
      <c r="A341"/>
      <c r="B341" s="65"/>
      <c r="C341" s="189"/>
      <c r="D341"/>
      <c r="E341"/>
      <c r="F341" s="176"/>
      <c r="G341" s="176"/>
      <c r="H341" s="224"/>
      <c r="I341" s="224"/>
      <c r="J341" s="225"/>
      <c r="K341" s="225"/>
      <c r="L341" s="226"/>
      <c r="M341" s="226"/>
      <c r="N341" s="226"/>
      <c r="O341" s="226"/>
      <c r="P341" s="226"/>
      <c r="Q341" s="226"/>
      <c r="R341" s="226"/>
      <c r="S341" s="226"/>
      <c r="T341" s="176"/>
      <c r="U341" s="191"/>
      <c r="V341" s="190"/>
      <c r="W341" s="190"/>
      <c r="X341" s="190"/>
      <c r="Y341" s="226"/>
      <c r="Z341" s="226"/>
      <c r="AA341" s="189"/>
      <c r="AB341" s="227"/>
      <c r="AC341" s="176"/>
    </row>
    <row r="342" spans="1:29" x14ac:dyDescent="0.25">
      <c r="A342"/>
      <c r="B342" s="65"/>
      <c r="C342" s="189"/>
      <c r="D342"/>
      <c r="E342"/>
      <c r="F342" s="176"/>
      <c r="G342" s="176"/>
      <c r="H342" s="224"/>
      <c r="I342" s="224"/>
      <c r="J342" s="225"/>
      <c r="K342" s="225"/>
      <c r="L342" s="226"/>
      <c r="M342" s="226"/>
      <c r="N342" s="226"/>
      <c r="O342" s="226"/>
      <c r="P342" s="226"/>
      <c r="Q342" s="226"/>
      <c r="R342" s="226"/>
      <c r="S342" s="226"/>
      <c r="T342" s="176"/>
      <c r="U342" s="191"/>
      <c r="V342" s="190"/>
      <c r="W342" s="190"/>
      <c r="X342" s="190"/>
      <c r="Y342" s="226"/>
      <c r="Z342" s="226"/>
      <c r="AA342" s="189"/>
      <c r="AB342" s="227"/>
      <c r="AC342" s="176"/>
    </row>
    <row r="343" spans="1:29" x14ac:dyDescent="0.25">
      <c r="A343"/>
      <c r="B343" s="65"/>
      <c r="C343" s="189"/>
      <c r="D343"/>
      <c r="E343"/>
      <c r="F343" s="176"/>
      <c r="G343" s="176"/>
      <c r="H343" s="224"/>
      <c r="I343" s="224"/>
      <c r="J343" s="225"/>
      <c r="K343" s="225"/>
      <c r="L343" s="226"/>
      <c r="M343" s="226"/>
      <c r="N343" s="226"/>
      <c r="O343" s="226"/>
      <c r="P343" s="226"/>
      <c r="Q343" s="226"/>
      <c r="R343" s="226"/>
      <c r="S343" s="226"/>
      <c r="T343" s="176"/>
      <c r="U343" s="191"/>
      <c r="V343" s="190"/>
      <c r="W343" s="190"/>
      <c r="X343" s="190"/>
      <c r="Y343" s="226"/>
      <c r="Z343" s="226"/>
      <c r="AA343" s="189"/>
      <c r="AB343" s="227"/>
      <c r="AC343" s="176"/>
    </row>
    <row r="344" spans="1:29" x14ac:dyDescent="0.25">
      <c r="A344"/>
      <c r="B344" s="65"/>
      <c r="C344" s="189"/>
      <c r="D344"/>
      <c r="E344"/>
      <c r="F344" s="176"/>
      <c r="G344" s="176"/>
      <c r="H344" s="224"/>
      <c r="I344" s="224"/>
      <c r="J344" s="225"/>
      <c r="K344" s="225"/>
      <c r="L344" s="226"/>
      <c r="M344" s="226"/>
      <c r="N344" s="226"/>
      <c r="O344" s="226"/>
      <c r="P344" s="226"/>
      <c r="Q344" s="226"/>
      <c r="R344" s="226"/>
      <c r="S344" s="226"/>
      <c r="T344" s="176"/>
      <c r="U344" s="191"/>
      <c r="V344" s="190"/>
      <c r="W344" s="190"/>
      <c r="X344" s="190"/>
      <c r="Y344" s="226"/>
      <c r="Z344" s="226"/>
      <c r="AA344" s="189"/>
      <c r="AB344" s="227"/>
      <c r="AC344" s="176"/>
    </row>
    <row r="345" spans="1:29" x14ac:dyDescent="0.25">
      <c r="A345"/>
      <c r="B345" s="65"/>
      <c r="C345" s="189"/>
      <c r="D345"/>
      <c r="E345"/>
      <c r="F345" s="176"/>
      <c r="G345" s="176"/>
      <c r="H345" s="224"/>
      <c r="I345" s="224"/>
      <c r="J345" s="225"/>
      <c r="K345" s="225"/>
      <c r="L345" s="226"/>
      <c r="M345" s="226"/>
      <c r="N345" s="226"/>
      <c r="O345" s="226"/>
      <c r="P345" s="226"/>
      <c r="Q345" s="226"/>
      <c r="R345" s="226"/>
      <c r="S345" s="226"/>
      <c r="T345" s="176"/>
      <c r="U345" s="191"/>
      <c r="V345" s="190"/>
      <c r="W345" s="190"/>
      <c r="X345" s="190"/>
      <c r="Y345" s="226"/>
      <c r="Z345" s="226"/>
      <c r="AA345" s="189"/>
      <c r="AB345" s="227"/>
      <c r="AC345" s="176"/>
    </row>
    <row r="346" spans="1:29" x14ac:dyDescent="0.25">
      <c r="A346"/>
      <c r="B346" s="65"/>
      <c r="C346" s="189"/>
      <c r="D346"/>
      <c r="E346"/>
      <c r="F346" s="176"/>
      <c r="G346" s="176"/>
      <c r="H346" s="224"/>
      <c r="I346" s="224"/>
      <c r="J346" s="225"/>
      <c r="K346" s="225"/>
      <c r="L346" s="226"/>
      <c r="M346" s="226"/>
      <c r="N346" s="226"/>
      <c r="O346" s="226"/>
      <c r="P346" s="226"/>
      <c r="Q346" s="226"/>
      <c r="R346" s="226"/>
      <c r="S346" s="226"/>
      <c r="T346" s="176"/>
      <c r="U346" s="191"/>
      <c r="V346" s="190"/>
      <c r="W346" s="190"/>
      <c r="X346" s="190"/>
      <c r="Y346" s="226"/>
      <c r="Z346" s="226"/>
      <c r="AA346" s="189"/>
      <c r="AB346" s="271"/>
      <c r="AC346" s="176"/>
    </row>
    <row r="347" spans="1:29" x14ac:dyDescent="0.25">
      <c r="A347"/>
      <c r="B347" s="65"/>
      <c r="C347" s="189"/>
      <c r="D347"/>
      <c r="E347"/>
      <c r="F347" s="176"/>
      <c r="G347" s="176"/>
      <c r="H347" s="224"/>
      <c r="I347" s="224"/>
      <c r="J347" s="225"/>
      <c r="K347" s="225"/>
      <c r="L347" s="226"/>
      <c r="M347" s="226"/>
      <c r="N347" s="226"/>
      <c r="O347" s="226"/>
      <c r="P347" s="226"/>
      <c r="Q347" s="226"/>
      <c r="R347" s="226"/>
      <c r="S347" s="226"/>
      <c r="T347" s="176"/>
      <c r="U347" s="191"/>
      <c r="V347" s="190"/>
      <c r="W347" s="190"/>
      <c r="X347" s="190"/>
      <c r="Y347" s="226"/>
      <c r="Z347" s="226"/>
      <c r="AA347" s="189"/>
      <c r="AB347" s="271"/>
      <c r="AC347" s="176"/>
    </row>
    <row r="348" spans="1:29" x14ac:dyDescent="0.25">
      <c r="A348"/>
      <c r="B348" s="65"/>
      <c r="C348" s="189"/>
      <c r="D348"/>
      <c r="E348"/>
      <c r="F348" s="176"/>
      <c r="G348" s="176"/>
      <c r="H348" s="224"/>
      <c r="I348" s="224"/>
      <c r="J348" s="225"/>
      <c r="K348" s="225"/>
      <c r="L348" s="226"/>
      <c r="M348" s="226"/>
      <c r="N348" s="226"/>
      <c r="O348" s="226"/>
      <c r="P348" s="226"/>
      <c r="Q348" s="226"/>
      <c r="R348" s="226"/>
      <c r="S348" s="226"/>
      <c r="T348" s="176"/>
      <c r="U348" s="191"/>
      <c r="V348" s="190"/>
      <c r="W348" s="190"/>
      <c r="X348" s="190"/>
      <c r="Y348" s="226"/>
      <c r="Z348" s="226"/>
      <c r="AA348" s="189"/>
      <c r="AB348" s="271"/>
      <c r="AC348" s="176"/>
    </row>
    <row r="349" spans="1:29" x14ac:dyDescent="0.25">
      <c r="A349"/>
      <c r="B349" s="65"/>
      <c r="C349" s="189"/>
      <c r="D349"/>
      <c r="E349"/>
      <c r="F349" s="176"/>
      <c r="G349" s="176"/>
      <c r="H349" s="224"/>
      <c r="I349" s="224"/>
      <c r="J349" s="225"/>
      <c r="K349" s="225"/>
      <c r="L349" s="226"/>
      <c r="M349" s="226"/>
      <c r="N349" s="226"/>
      <c r="O349" s="226"/>
      <c r="P349" s="226"/>
      <c r="Q349" s="226"/>
      <c r="R349" s="226"/>
      <c r="S349" s="226"/>
      <c r="T349" s="176"/>
      <c r="U349" s="191"/>
      <c r="V349" s="190"/>
      <c r="W349" s="190"/>
      <c r="X349" s="190"/>
      <c r="Y349" s="226"/>
      <c r="Z349" s="226"/>
      <c r="AA349" s="189"/>
      <c r="AB349" s="271"/>
      <c r="AC349" s="176"/>
    </row>
    <row r="350" spans="1:29" x14ac:dyDescent="0.25">
      <c r="A350"/>
      <c r="B350" s="65"/>
      <c r="C350" s="189"/>
      <c r="D350"/>
      <c r="E350"/>
      <c r="F350" s="176"/>
      <c r="G350" s="176"/>
      <c r="H350" s="224"/>
      <c r="I350" s="224"/>
      <c r="J350" s="225"/>
      <c r="K350" s="225"/>
      <c r="L350" s="226"/>
      <c r="M350" s="226"/>
      <c r="N350" s="226"/>
      <c r="O350" s="226"/>
      <c r="P350" s="226"/>
      <c r="Q350" s="226"/>
      <c r="R350" s="226"/>
      <c r="S350" s="226"/>
      <c r="T350" s="176"/>
      <c r="U350" s="191"/>
      <c r="V350" s="190"/>
      <c r="W350" s="190"/>
      <c r="X350" s="190"/>
      <c r="Y350" s="226"/>
      <c r="Z350" s="226"/>
      <c r="AA350" s="189"/>
      <c r="AB350" s="271"/>
      <c r="AC350" s="176"/>
    </row>
    <row r="351" spans="1:29" x14ac:dyDescent="0.25">
      <c r="A351"/>
      <c r="B351" s="65"/>
      <c r="C351" s="189"/>
      <c r="D351"/>
      <c r="E351"/>
      <c r="F351" s="176"/>
      <c r="G351" s="176"/>
      <c r="H351" s="224"/>
      <c r="I351" s="224"/>
      <c r="J351" s="225"/>
      <c r="K351" s="225"/>
      <c r="L351" s="226"/>
      <c r="M351" s="226"/>
      <c r="N351" s="226"/>
      <c r="O351" s="226"/>
      <c r="P351" s="226"/>
      <c r="Q351" s="226"/>
      <c r="R351" s="226"/>
      <c r="S351" s="226"/>
      <c r="T351" s="176"/>
      <c r="U351" s="191"/>
      <c r="V351" s="190"/>
      <c r="W351" s="190"/>
      <c r="X351" s="190"/>
      <c r="Y351" s="226"/>
      <c r="Z351" s="226"/>
      <c r="AA351" s="189"/>
      <c r="AB351" s="271"/>
      <c r="AC351" s="176"/>
    </row>
    <row r="352" spans="1:29" x14ac:dyDescent="0.25">
      <c r="A352"/>
      <c r="B352" s="65"/>
      <c r="C352" s="189"/>
      <c r="D352"/>
      <c r="E352"/>
      <c r="F352" s="176"/>
      <c r="G352" s="176"/>
      <c r="H352" s="224"/>
      <c r="I352" s="224"/>
      <c r="J352" s="225"/>
      <c r="K352" s="225"/>
      <c r="L352" s="226"/>
      <c r="M352" s="226"/>
      <c r="N352" s="226"/>
      <c r="O352" s="226"/>
      <c r="P352" s="226"/>
      <c r="Q352" s="226"/>
      <c r="R352" s="226"/>
      <c r="S352" s="226"/>
      <c r="T352" s="176"/>
      <c r="U352" s="191"/>
      <c r="V352" s="190"/>
      <c r="W352" s="190"/>
      <c r="X352" s="190"/>
      <c r="Y352" s="226"/>
      <c r="Z352" s="226"/>
      <c r="AA352" s="189"/>
      <c r="AB352" s="271"/>
      <c r="AC352" s="176"/>
    </row>
    <row r="353" spans="1:29" x14ac:dyDescent="0.25">
      <c r="A353"/>
      <c r="B353" s="65"/>
      <c r="C353" s="189"/>
      <c r="D353"/>
      <c r="E353"/>
      <c r="F353" s="176"/>
      <c r="G353" s="176"/>
      <c r="H353" s="224"/>
      <c r="I353" s="224"/>
      <c r="J353" s="225"/>
      <c r="K353" s="225"/>
      <c r="L353" s="226"/>
      <c r="M353" s="226"/>
      <c r="N353" s="226"/>
      <c r="O353" s="226"/>
      <c r="P353" s="226"/>
      <c r="Q353" s="226"/>
      <c r="R353" s="226"/>
      <c r="S353" s="226"/>
      <c r="T353" s="176"/>
      <c r="U353" s="191"/>
      <c r="V353" s="190"/>
      <c r="W353" s="190"/>
      <c r="X353" s="190"/>
      <c r="Y353" s="226"/>
      <c r="Z353" s="226"/>
      <c r="AA353" s="189"/>
      <c r="AB353" s="271"/>
      <c r="AC353" s="176"/>
    </row>
    <row r="354" spans="1:29" x14ac:dyDescent="0.25">
      <c r="A354"/>
      <c r="B354" s="65"/>
      <c r="C354" s="189"/>
      <c r="D354"/>
      <c r="E354"/>
      <c r="F354" s="176"/>
      <c r="G354" s="176"/>
      <c r="H354" s="224"/>
      <c r="I354" s="224"/>
      <c r="J354" s="225"/>
      <c r="K354" s="225"/>
      <c r="L354" s="226"/>
      <c r="M354" s="226"/>
      <c r="N354" s="226"/>
      <c r="O354" s="226"/>
      <c r="P354" s="226"/>
      <c r="Q354" s="226"/>
      <c r="R354" s="226"/>
      <c r="S354" s="226"/>
      <c r="T354" s="176"/>
      <c r="U354" s="191"/>
      <c r="V354" s="190"/>
      <c r="W354" s="190"/>
      <c r="X354" s="190"/>
      <c r="Y354" s="226"/>
      <c r="Z354" s="226"/>
      <c r="AA354" s="189"/>
      <c r="AB354" s="271"/>
      <c r="AC354" s="176"/>
    </row>
    <row r="355" spans="1:29" x14ac:dyDescent="0.25">
      <c r="A355"/>
      <c r="B355" s="65"/>
      <c r="C355" s="189"/>
      <c r="D355"/>
      <c r="E355"/>
      <c r="F355" s="176"/>
      <c r="G355" s="176"/>
      <c r="H355" s="224"/>
      <c r="I355" s="224"/>
      <c r="J355" s="225"/>
      <c r="K355" s="225"/>
      <c r="L355" s="226"/>
      <c r="M355" s="226"/>
      <c r="N355" s="226"/>
      <c r="O355" s="226"/>
      <c r="P355" s="226"/>
      <c r="Q355" s="226"/>
      <c r="R355" s="226"/>
      <c r="S355" s="226"/>
      <c r="T355" s="176"/>
      <c r="U355" s="191"/>
      <c r="V355" s="190"/>
      <c r="W355" s="190"/>
      <c r="X355" s="190"/>
      <c r="Y355" s="226"/>
      <c r="Z355" s="226"/>
      <c r="AA355" s="189"/>
      <c r="AB355" s="271"/>
      <c r="AC355" s="176"/>
    </row>
    <row r="356" spans="1:29" x14ac:dyDescent="0.25">
      <c r="A356"/>
      <c r="B356" s="65"/>
      <c r="C356" s="189"/>
      <c r="D356"/>
      <c r="E356"/>
      <c r="F356" s="176"/>
      <c r="G356" s="176"/>
      <c r="H356" s="224"/>
      <c r="I356" s="224"/>
      <c r="J356" s="225"/>
      <c r="K356" s="225"/>
      <c r="L356" s="226"/>
      <c r="M356" s="226"/>
      <c r="N356" s="226"/>
      <c r="O356" s="226"/>
      <c r="P356" s="226"/>
      <c r="Q356" s="226"/>
      <c r="R356" s="226"/>
      <c r="S356" s="226"/>
      <c r="T356" s="176"/>
      <c r="U356" s="191"/>
      <c r="V356" s="190"/>
      <c r="W356" s="190"/>
      <c r="X356" s="190"/>
      <c r="Y356" s="226"/>
      <c r="Z356" s="226"/>
      <c r="AA356" s="189"/>
      <c r="AB356" s="271"/>
      <c r="AC356" s="176"/>
    </row>
    <row r="357" spans="1:29" x14ac:dyDescent="0.25">
      <c r="A357"/>
      <c r="B357" s="65"/>
      <c r="C357" s="189"/>
      <c r="D357"/>
      <c r="E357"/>
      <c r="F357" s="176"/>
      <c r="G357" s="176"/>
      <c r="H357" s="224"/>
      <c r="I357" s="224"/>
      <c r="J357" s="225"/>
      <c r="K357" s="225"/>
      <c r="L357" s="226"/>
      <c r="M357" s="226"/>
      <c r="N357" s="226"/>
      <c r="O357" s="226"/>
      <c r="P357" s="226"/>
      <c r="Q357" s="226"/>
      <c r="R357" s="226"/>
      <c r="S357" s="226"/>
      <c r="T357" s="176"/>
      <c r="U357" s="191"/>
      <c r="V357" s="190"/>
      <c r="W357" s="190"/>
      <c r="X357" s="190"/>
      <c r="Y357" s="226"/>
      <c r="Z357" s="226"/>
      <c r="AA357" s="189"/>
      <c r="AB357" s="271"/>
      <c r="AC357" s="176"/>
    </row>
    <row r="358" spans="1:29" x14ac:dyDescent="0.25">
      <c r="A358"/>
      <c r="B358" s="65"/>
      <c r="C358" s="189"/>
      <c r="D358"/>
      <c r="E358"/>
      <c r="F358" s="176"/>
      <c r="G358" s="176"/>
      <c r="H358" s="224"/>
      <c r="I358" s="224"/>
      <c r="J358" s="225"/>
      <c r="K358" s="225"/>
      <c r="L358" s="226"/>
      <c r="M358" s="226"/>
      <c r="N358" s="226"/>
      <c r="O358" s="226"/>
      <c r="P358" s="226"/>
      <c r="Q358" s="226"/>
      <c r="R358" s="226"/>
      <c r="S358" s="226"/>
      <c r="T358" s="176"/>
      <c r="U358" s="191"/>
      <c r="V358" s="190"/>
      <c r="W358" s="190"/>
      <c r="X358" s="190"/>
      <c r="Y358" s="226"/>
      <c r="Z358" s="226"/>
      <c r="AA358" s="189"/>
      <c r="AB358" s="271"/>
      <c r="AC358" s="176"/>
    </row>
    <row r="359" spans="1:29" x14ac:dyDescent="0.25">
      <c r="A359"/>
      <c r="B359" s="65"/>
      <c r="C359" s="189"/>
      <c r="D359"/>
      <c r="E359"/>
      <c r="F359" s="176"/>
      <c r="G359" s="176"/>
      <c r="H359" s="224"/>
      <c r="I359" s="224"/>
      <c r="J359" s="225"/>
      <c r="K359" s="225"/>
      <c r="L359" s="226"/>
      <c r="M359" s="226"/>
      <c r="N359" s="226"/>
      <c r="O359" s="226"/>
      <c r="P359" s="226"/>
      <c r="Q359" s="226"/>
      <c r="R359" s="226"/>
      <c r="S359" s="226"/>
      <c r="T359" s="176"/>
      <c r="U359" s="191"/>
      <c r="V359" s="190"/>
      <c r="W359" s="190"/>
      <c r="X359" s="190"/>
      <c r="Y359" s="226"/>
      <c r="Z359" s="226"/>
      <c r="AA359" s="189"/>
      <c r="AB359" s="271"/>
      <c r="AC359" s="176"/>
    </row>
    <row r="360" spans="1:29" x14ac:dyDescent="0.25">
      <c r="A360"/>
      <c r="B360" s="65"/>
      <c r="C360" s="189"/>
      <c r="D360"/>
      <c r="E360"/>
      <c r="F360" s="176"/>
      <c r="G360" s="176"/>
      <c r="H360" s="224"/>
      <c r="I360" s="224"/>
      <c r="J360" s="225"/>
      <c r="K360" s="225"/>
      <c r="L360" s="226"/>
      <c r="M360" s="226"/>
      <c r="N360" s="226"/>
      <c r="O360" s="226"/>
      <c r="P360" s="226"/>
      <c r="Q360" s="226"/>
      <c r="R360" s="226"/>
      <c r="S360" s="226"/>
      <c r="T360" s="176"/>
      <c r="U360" s="191"/>
      <c r="V360" s="190"/>
      <c r="W360" s="190"/>
      <c r="X360" s="190"/>
      <c r="Y360" s="226"/>
      <c r="Z360" s="226"/>
      <c r="AA360" s="189"/>
      <c r="AB360" s="271"/>
      <c r="AC360" s="176"/>
    </row>
    <row r="361" spans="1:29" x14ac:dyDescent="0.25">
      <c r="A361"/>
      <c r="B361" s="65"/>
      <c r="C361" s="189"/>
      <c r="D361"/>
      <c r="E361"/>
      <c r="F361" s="176"/>
      <c r="G361" s="176"/>
      <c r="H361" s="224"/>
      <c r="I361" s="224"/>
      <c r="J361" s="225"/>
      <c r="K361" s="225"/>
      <c r="L361" s="226"/>
      <c r="M361" s="226"/>
      <c r="N361" s="226"/>
      <c r="O361" s="226"/>
      <c r="P361" s="226"/>
      <c r="Q361" s="226"/>
      <c r="R361" s="226"/>
      <c r="S361" s="226"/>
      <c r="T361" s="176"/>
      <c r="U361" s="191"/>
      <c r="V361" s="190"/>
      <c r="W361" s="190"/>
      <c r="X361" s="190"/>
      <c r="Y361" s="226"/>
      <c r="Z361" s="226"/>
      <c r="AA361" s="189"/>
      <c r="AB361" s="271"/>
      <c r="AC361" s="176"/>
    </row>
    <row r="362" spans="1:29" x14ac:dyDescent="0.25">
      <c r="A362"/>
      <c r="B362" s="65"/>
      <c r="C362" s="189"/>
      <c r="D362"/>
      <c r="E362"/>
      <c r="F362" s="176"/>
      <c r="G362" s="176"/>
      <c r="H362" s="224"/>
      <c r="I362" s="224"/>
      <c r="J362" s="225"/>
      <c r="K362" s="225"/>
      <c r="L362" s="226"/>
      <c r="M362" s="226"/>
      <c r="N362" s="226"/>
      <c r="O362" s="226"/>
      <c r="P362" s="226"/>
      <c r="Q362" s="226"/>
      <c r="R362" s="226"/>
      <c r="S362" s="226"/>
      <c r="T362" s="176"/>
      <c r="U362" s="191"/>
      <c r="V362" s="190"/>
      <c r="W362" s="190"/>
      <c r="X362" s="190"/>
      <c r="Y362" s="226"/>
      <c r="Z362" s="226"/>
      <c r="AA362" s="189"/>
      <c r="AB362" s="271"/>
      <c r="AC362" s="176"/>
    </row>
    <row r="363" spans="1:29" x14ac:dyDescent="0.25">
      <c r="A363"/>
      <c r="B363" s="65"/>
      <c r="C363" s="189"/>
      <c r="D363"/>
      <c r="E363"/>
      <c r="F363" s="176"/>
      <c r="G363" s="176"/>
      <c r="H363" s="224"/>
      <c r="I363" s="224"/>
      <c r="J363" s="225"/>
      <c r="K363" s="225"/>
      <c r="L363" s="226"/>
      <c r="M363" s="226"/>
      <c r="N363" s="226"/>
      <c r="O363" s="226"/>
      <c r="P363" s="226"/>
      <c r="Q363" s="226"/>
      <c r="R363" s="226"/>
      <c r="S363" s="226"/>
      <c r="T363" s="176"/>
      <c r="U363" s="191"/>
      <c r="V363" s="190"/>
      <c r="W363" s="190"/>
      <c r="X363" s="190"/>
      <c r="Y363" s="226"/>
      <c r="Z363" s="226"/>
      <c r="AA363" s="189"/>
      <c r="AB363" s="271"/>
      <c r="AC363" s="176"/>
    </row>
    <row r="364" spans="1:29" x14ac:dyDescent="0.25">
      <c r="A364"/>
      <c r="B364" s="65"/>
      <c r="C364" s="189"/>
      <c r="D364"/>
      <c r="E364"/>
      <c r="F364" s="176"/>
      <c r="G364" s="176"/>
      <c r="H364" s="224"/>
      <c r="I364" s="224"/>
      <c r="J364" s="225"/>
      <c r="K364" s="225"/>
      <c r="L364" s="226"/>
      <c r="M364" s="226"/>
      <c r="N364" s="226"/>
      <c r="O364" s="226"/>
      <c r="P364" s="226"/>
      <c r="Q364" s="226"/>
      <c r="R364" s="226"/>
      <c r="S364" s="226"/>
      <c r="T364" s="176"/>
      <c r="U364" s="191"/>
      <c r="V364" s="190"/>
      <c r="W364" s="190"/>
      <c r="X364" s="190"/>
      <c r="Y364" s="226"/>
      <c r="Z364" s="226"/>
      <c r="AA364" s="189"/>
      <c r="AB364" s="271"/>
      <c r="AC364" s="176"/>
    </row>
    <row r="365" spans="1:29" x14ac:dyDescent="0.25">
      <c r="A365"/>
      <c r="B365" s="65"/>
      <c r="C365" s="189"/>
      <c r="D365"/>
      <c r="E365"/>
      <c r="F365" s="176"/>
      <c r="G365" s="176"/>
      <c r="H365" s="224"/>
      <c r="I365" s="224"/>
      <c r="J365" s="225"/>
      <c r="K365" s="225"/>
      <c r="L365" s="226"/>
      <c r="M365" s="226"/>
      <c r="N365" s="226"/>
      <c r="O365" s="226"/>
      <c r="P365" s="226"/>
      <c r="Q365" s="226"/>
      <c r="R365" s="226"/>
      <c r="S365" s="226"/>
      <c r="T365" s="176"/>
      <c r="U365" s="191"/>
      <c r="V365" s="190"/>
      <c r="W365" s="190"/>
      <c r="X365" s="190"/>
      <c r="Y365" s="226"/>
      <c r="Z365" s="226"/>
      <c r="AA365" s="189"/>
      <c r="AB365" s="271"/>
      <c r="AC365" s="176"/>
    </row>
    <row r="366" spans="1:29" x14ac:dyDescent="0.25">
      <c r="A366"/>
      <c r="B366" s="65"/>
      <c r="C366" s="189"/>
      <c r="D366"/>
      <c r="E366"/>
      <c r="F366" s="176"/>
      <c r="G366" s="176"/>
      <c r="H366" s="224"/>
      <c r="I366" s="224"/>
      <c r="J366" s="225"/>
      <c r="K366" s="225"/>
      <c r="L366" s="226"/>
      <c r="M366" s="226"/>
      <c r="N366" s="226"/>
      <c r="O366" s="226"/>
      <c r="P366" s="226"/>
      <c r="Q366" s="226"/>
      <c r="R366" s="226"/>
      <c r="S366" s="226"/>
      <c r="T366" s="176"/>
      <c r="U366" s="191"/>
      <c r="V366" s="190"/>
      <c r="W366" s="190"/>
      <c r="X366" s="190"/>
      <c r="Y366" s="226"/>
      <c r="Z366" s="226"/>
      <c r="AA366" s="189"/>
      <c r="AB366" s="271"/>
      <c r="AC366" s="176"/>
    </row>
    <row r="367" spans="1:29" x14ac:dyDescent="0.25">
      <c r="A367"/>
      <c r="B367" s="65"/>
      <c r="C367" s="189"/>
      <c r="D367"/>
      <c r="E367"/>
      <c r="F367" s="176"/>
      <c r="G367" s="176"/>
      <c r="H367" s="224"/>
      <c r="I367" s="224"/>
      <c r="J367" s="225"/>
      <c r="K367" s="225"/>
      <c r="L367" s="226"/>
      <c r="M367" s="226"/>
      <c r="N367" s="226"/>
      <c r="O367" s="226"/>
      <c r="P367" s="226"/>
      <c r="Q367" s="226"/>
      <c r="R367" s="226"/>
      <c r="S367" s="226"/>
      <c r="T367" s="176"/>
      <c r="U367" s="191"/>
      <c r="V367" s="190"/>
      <c r="W367" s="190"/>
      <c r="X367" s="190"/>
      <c r="Y367" s="226"/>
      <c r="Z367" s="226"/>
      <c r="AA367" s="189"/>
      <c r="AB367" s="271"/>
      <c r="AC367" s="176"/>
    </row>
    <row r="368" spans="1:29" x14ac:dyDescent="0.25">
      <c r="A368"/>
      <c r="B368" s="65"/>
      <c r="C368" s="189"/>
      <c r="D368"/>
      <c r="E368"/>
      <c r="F368" s="176"/>
      <c r="G368" s="176"/>
      <c r="H368" s="224"/>
      <c r="I368" s="224"/>
      <c r="J368" s="225"/>
      <c r="K368" s="225"/>
      <c r="L368" s="226"/>
      <c r="M368" s="226"/>
      <c r="N368" s="226"/>
      <c r="O368" s="226"/>
      <c r="P368" s="226"/>
      <c r="Q368" s="226"/>
      <c r="R368" s="226"/>
      <c r="S368" s="226"/>
      <c r="T368" s="176"/>
      <c r="U368" s="191"/>
      <c r="V368" s="190"/>
      <c r="W368" s="190"/>
      <c r="X368" s="190"/>
      <c r="Y368" s="226"/>
      <c r="Z368" s="226"/>
      <c r="AA368" s="189"/>
      <c r="AB368" s="271"/>
      <c r="AC368" s="176"/>
    </row>
    <row r="369" spans="1:29" x14ac:dyDescent="0.25">
      <c r="A369"/>
      <c r="B369" s="65"/>
      <c r="C369" s="189"/>
      <c r="D369"/>
      <c r="E369"/>
      <c r="F369" s="176"/>
      <c r="G369" s="176"/>
      <c r="H369" s="224"/>
      <c r="I369" s="224"/>
      <c r="J369" s="225"/>
      <c r="K369" s="225"/>
      <c r="L369" s="226"/>
      <c r="M369" s="226"/>
      <c r="N369" s="226"/>
      <c r="O369" s="226"/>
      <c r="P369" s="226"/>
      <c r="Q369" s="226"/>
      <c r="R369" s="226"/>
      <c r="S369" s="226"/>
      <c r="T369" s="176"/>
      <c r="U369" s="191"/>
      <c r="V369" s="190"/>
      <c r="W369" s="190"/>
      <c r="X369" s="190"/>
      <c r="Y369" s="226"/>
      <c r="Z369" s="226"/>
      <c r="AA369" s="189"/>
      <c r="AB369" s="271"/>
      <c r="AC369" s="176"/>
    </row>
    <row r="370" spans="1:29" x14ac:dyDescent="0.25">
      <c r="A370"/>
      <c r="B370" s="65"/>
      <c r="C370" s="189"/>
      <c r="D370"/>
      <c r="E370"/>
      <c r="F370" s="176"/>
      <c r="G370" s="176"/>
      <c r="H370" s="224"/>
      <c r="I370" s="224"/>
      <c r="J370" s="225"/>
      <c r="K370" s="225"/>
      <c r="L370" s="226"/>
      <c r="M370" s="226"/>
      <c r="N370" s="226"/>
      <c r="O370" s="226"/>
      <c r="P370" s="226"/>
      <c r="Q370" s="226"/>
      <c r="R370" s="226"/>
      <c r="S370" s="226"/>
      <c r="T370" s="176"/>
      <c r="U370" s="191"/>
      <c r="V370" s="190"/>
      <c r="W370" s="190"/>
      <c r="X370" s="190"/>
      <c r="Y370" s="226"/>
      <c r="Z370" s="226"/>
      <c r="AA370" s="189"/>
      <c r="AB370" s="271"/>
      <c r="AC370" s="176"/>
    </row>
    <row r="371" spans="1:29" x14ac:dyDescent="0.25">
      <c r="A371"/>
      <c r="B371" s="65"/>
      <c r="C371" s="189"/>
      <c r="D371"/>
      <c r="E371"/>
      <c r="F371" s="176"/>
      <c r="G371" s="176"/>
      <c r="H371" s="224"/>
      <c r="I371" s="224"/>
      <c r="J371" s="225"/>
      <c r="K371" s="225"/>
      <c r="L371" s="226"/>
      <c r="M371" s="226"/>
      <c r="N371" s="226"/>
      <c r="O371" s="226"/>
      <c r="P371" s="226"/>
      <c r="Q371" s="226"/>
      <c r="R371" s="226"/>
      <c r="S371" s="226"/>
      <c r="T371" s="176"/>
      <c r="U371" s="191"/>
      <c r="V371" s="190"/>
      <c r="W371" s="190"/>
      <c r="X371" s="190"/>
      <c r="Y371" s="226"/>
      <c r="Z371" s="226"/>
      <c r="AA371" s="189"/>
      <c r="AB371" s="271"/>
      <c r="AC371" s="176"/>
    </row>
    <row r="372" spans="1:29" x14ac:dyDescent="0.25">
      <c r="A372"/>
      <c r="B372" s="65"/>
      <c r="C372" s="189"/>
      <c r="D372"/>
      <c r="E372"/>
      <c r="F372" s="176"/>
      <c r="G372" s="176"/>
      <c r="H372" s="224"/>
      <c r="I372" s="224"/>
      <c r="J372" s="225"/>
      <c r="K372" s="225"/>
      <c r="L372" s="226"/>
      <c r="M372" s="226"/>
      <c r="N372" s="226"/>
      <c r="O372" s="226"/>
      <c r="P372" s="226"/>
      <c r="Q372" s="226"/>
      <c r="R372" s="226"/>
      <c r="S372" s="226"/>
      <c r="T372" s="176"/>
      <c r="U372" s="191"/>
      <c r="V372" s="190"/>
      <c r="W372" s="190"/>
      <c r="X372" s="190"/>
      <c r="Y372" s="226"/>
      <c r="Z372" s="226"/>
      <c r="AA372" s="189"/>
      <c r="AB372" s="271"/>
      <c r="AC372" s="176"/>
    </row>
    <row r="373" spans="1:29" x14ac:dyDescent="0.25">
      <c r="A373"/>
      <c r="B373" s="65"/>
      <c r="C373" s="189"/>
      <c r="D373"/>
      <c r="E373"/>
      <c r="F373" s="176"/>
      <c r="G373" s="176"/>
      <c r="H373" s="224"/>
      <c r="I373" s="224"/>
      <c r="J373" s="225"/>
      <c r="K373" s="225"/>
      <c r="L373" s="226"/>
      <c r="M373" s="226"/>
      <c r="N373" s="226"/>
      <c r="O373" s="226"/>
      <c r="P373" s="226"/>
      <c r="Q373" s="226"/>
      <c r="R373" s="226"/>
      <c r="S373" s="226"/>
      <c r="T373" s="176"/>
      <c r="U373" s="191"/>
      <c r="V373" s="190"/>
      <c r="W373" s="190"/>
      <c r="X373" s="190"/>
      <c r="Y373" s="226"/>
      <c r="Z373" s="226"/>
      <c r="AA373" s="189"/>
      <c r="AB373" s="271"/>
      <c r="AC373" s="176"/>
    </row>
    <row r="374" spans="1:29" x14ac:dyDescent="0.25">
      <c r="A374"/>
      <c r="B374" s="65"/>
      <c r="C374" s="189"/>
      <c r="D374"/>
      <c r="E374"/>
      <c r="F374" s="176"/>
      <c r="G374" s="176"/>
      <c r="H374" s="224"/>
      <c r="I374" s="224"/>
      <c r="J374" s="225"/>
      <c r="K374" s="225"/>
      <c r="L374" s="226"/>
      <c r="M374" s="226"/>
      <c r="N374" s="226"/>
      <c r="O374" s="226"/>
      <c r="P374" s="226"/>
      <c r="Q374" s="226"/>
      <c r="R374" s="226"/>
      <c r="S374" s="226"/>
      <c r="T374" s="176"/>
      <c r="U374" s="191"/>
      <c r="V374" s="190"/>
      <c r="W374" s="190"/>
      <c r="X374" s="190"/>
      <c r="Y374" s="226"/>
      <c r="Z374" s="226"/>
      <c r="AA374" s="189"/>
      <c r="AB374" s="271"/>
      <c r="AC374" s="176"/>
    </row>
    <row r="375" spans="1:29" x14ac:dyDescent="0.25">
      <c r="A375"/>
      <c r="B375" s="65"/>
      <c r="C375" s="189"/>
      <c r="D375"/>
      <c r="E375"/>
      <c r="F375" s="176"/>
      <c r="G375" s="176"/>
      <c r="H375" s="224"/>
      <c r="I375" s="224"/>
      <c r="J375" s="225"/>
      <c r="K375" s="225"/>
      <c r="L375" s="226"/>
      <c r="M375" s="226"/>
      <c r="N375" s="226"/>
      <c r="O375" s="226"/>
      <c r="P375" s="226"/>
      <c r="Q375" s="226"/>
      <c r="R375" s="226"/>
      <c r="S375" s="226"/>
      <c r="T375" s="176"/>
      <c r="U375" s="191"/>
      <c r="V375" s="190"/>
      <c r="W375" s="190"/>
      <c r="X375" s="190"/>
      <c r="Y375" s="226"/>
      <c r="Z375" s="226"/>
      <c r="AA375" s="189"/>
      <c r="AB375" s="271"/>
      <c r="AC375" s="176"/>
    </row>
    <row r="376" spans="1:29" x14ac:dyDescent="0.25">
      <c r="A376"/>
      <c r="B376" s="65"/>
      <c r="C376" s="189"/>
      <c r="D376"/>
      <c r="E376"/>
      <c r="F376" s="176"/>
      <c r="G376" s="176"/>
      <c r="H376" s="224"/>
      <c r="I376" s="224"/>
      <c r="J376" s="225"/>
      <c r="K376" s="225"/>
      <c r="L376" s="226"/>
      <c r="M376" s="226"/>
      <c r="N376" s="226"/>
      <c r="O376" s="226"/>
      <c r="P376" s="226"/>
      <c r="Q376" s="226"/>
      <c r="R376" s="226"/>
      <c r="S376" s="226"/>
      <c r="T376" s="176"/>
      <c r="U376" s="191"/>
      <c r="V376" s="190"/>
      <c r="W376" s="190"/>
      <c r="X376" s="190"/>
      <c r="Y376" s="226"/>
      <c r="Z376" s="226"/>
      <c r="AA376" s="189"/>
      <c r="AB376" s="271"/>
      <c r="AC376" s="176"/>
    </row>
    <row r="377" spans="1:29" x14ac:dyDescent="0.25">
      <c r="A377"/>
      <c r="B377" s="65"/>
      <c r="C377" s="189"/>
      <c r="D377"/>
      <c r="E377"/>
      <c r="F377" s="176"/>
      <c r="G377" s="176"/>
      <c r="H377" s="224"/>
      <c r="I377" s="224"/>
      <c r="J377" s="225"/>
      <c r="K377" s="225"/>
      <c r="L377" s="226"/>
      <c r="M377" s="226"/>
      <c r="N377" s="226"/>
      <c r="O377" s="226"/>
      <c r="P377" s="226"/>
      <c r="Q377" s="226"/>
      <c r="R377" s="226"/>
      <c r="S377" s="226"/>
      <c r="T377" s="176"/>
      <c r="U377" s="191"/>
      <c r="V377" s="190"/>
      <c r="W377" s="190"/>
      <c r="X377" s="190"/>
      <c r="Y377" s="226"/>
      <c r="Z377" s="226"/>
      <c r="AA377" s="189"/>
      <c r="AB377" s="271"/>
      <c r="AC377" s="176"/>
    </row>
    <row r="378" spans="1:29" x14ac:dyDescent="0.25">
      <c r="A378"/>
      <c r="B378" s="65"/>
      <c r="C378" s="189"/>
      <c r="D378"/>
      <c r="E378"/>
      <c r="F378" s="176"/>
      <c r="G378" s="176"/>
      <c r="H378" s="224"/>
      <c r="I378" s="224"/>
      <c r="J378" s="225"/>
      <c r="K378" s="225"/>
      <c r="L378" s="226"/>
      <c r="M378" s="226"/>
      <c r="N378" s="226"/>
      <c r="O378" s="226"/>
      <c r="P378" s="226"/>
      <c r="Q378" s="226"/>
      <c r="R378" s="226"/>
      <c r="S378" s="226"/>
      <c r="T378" s="176"/>
      <c r="U378" s="191"/>
      <c r="V378" s="190"/>
      <c r="W378" s="190"/>
      <c r="X378" s="190"/>
      <c r="Y378" s="226"/>
      <c r="Z378" s="226"/>
      <c r="AA378" s="189"/>
      <c r="AB378" s="271"/>
      <c r="AC378" s="176"/>
    </row>
    <row r="379" spans="1:29" x14ac:dyDescent="0.25">
      <c r="A379"/>
      <c r="B379" s="65"/>
      <c r="C379" s="189"/>
      <c r="D379"/>
      <c r="E379"/>
      <c r="F379" s="176"/>
      <c r="G379" s="176"/>
      <c r="H379" s="224"/>
      <c r="I379" s="224"/>
      <c r="J379" s="225"/>
      <c r="K379" s="225"/>
      <c r="L379" s="226"/>
      <c r="M379" s="226"/>
      <c r="N379" s="226"/>
      <c r="O379" s="226"/>
      <c r="P379" s="226"/>
      <c r="Q379" s="226"/>
      <c r="R379" s="226"/>
      <c r="S379" s="226"/>
      <c r="T379" s="176"/>
      <c r="U379" s="191"/>
      <c r="V379" s="190"/>
      <c r="W379" s="190"/>
      <c r="X379" s="190"/>
      <c r="Y379" s="226"/>
      <c r="Z379" s="226"/>
      <c r="AA379" s="189"/>
      <c r="AB379" s="271"/>
      <c r="AC379" s="176"/>
    </row>
    <row r="380" spans="1:29" x14ac:dyDescent="0.25">
      <c r="A380"/>
      <c r="B380" s="65"/>
      <c r="C380" s="189"/>
      <c r="D380"/>
      <c r="E380"/>
      <c r="F380" s="176"/>
      <c r="G380" s="176"/>
      <c r="H380" s="224"/>
      <c r="I380" s="224"/>
      <c r="J380" s="225"/>
      <c r="K380" s="225"/>
      <c r="L380" s="226"/>
      <c r="M380" s="226"/>
      <c r="N380" s="226"/>
      <c r="O380" s="226"/>
      <c r="P380" s="226"/>
      <c r="Q380" s="226"/>
      <c r="R380" s="226"/>
      <c r="S380" s="226"/>
      <c r="T380" s="176"/>
      <c r="U380" s="191"/>
      <c r="V380" s="190"/>
      <c r="W380" s="190"/>
      <c r="X380" s="190"/>
      <c r="Y380" s="226"/>
      <c r="Z380" s="226"/>
      <c r="AA380" s="189"/>
      <c r="AB380" s="271"/>
      <c r="AC380" s="176"/>
    </row>
    <row r="381" spans="1:29" x14ac:dyDescent="0.25">
      <c r="A381"/>
      <c r="B381" s="65"/>
      <c r="C381" s="189"/>
      <c r="D381"/>
      <c r="E381"/>
      <c r="F381" s="176"/>
      <c r="G381" s="176"/>
      <c r="H381" s="224"/>
      <c r="I381" s="224"/>
      <c r="J381" s="225"/>
      <c r="K381" s="225"/>
      <c r="L381" s="226"/>
      <c r="M381" s="226"/>
      <c r="N381" s="226"/>
      <c r="O381" s="226"/>
      <c r="P381" s="226"/>
      <c r="Q381" s="226"/>
      <c r="R381" s="226"/>
      <c r="S381" s="226"/>
      <c r="T381" s="176"/>
      <c r="U381" s="191"/>
      <c r="V381" s="190"/>
      <c r="W381" s="190"/>
      <c r="X381" s="190"/>
      <c r="Y381" s="226"/>
      <c r="Z381" s="226"/>
      <c r="AA381" s="189"/>
      <c r="AB381" s="271"/>
      <c r="AC381" s="176"/>
    </row>
    <row r="382" spans="1:29" x14ac:dyDescent="0.25">
      <c r="A382"/>
      <c r="B382" s="65"/>
      <c r="C382" s="189"/>
      <c r="D382"/>
      <c r="E382"/>
      <c r="F382" s="176"/>
      <c r="G382" s="176"/>
      <c r="H382" s="224"/>
      <c r="I382" s="224"/>
      <c r="J382" s="225"/>
      <c r="K382" s="225"/>
      <c r="L382" s="226"/>
      <c r="M382" s="226"/>
      <c r="N382" s="226"/>
      <c r="O382" s="226"/>
      <c r="P382" s="226"/>
      <c r="Q382" s="226"/>
      <c r="R382" s="226"/>
      <c r="S382" s="226"/>
      <c r="T382" s="176"/>
      <c r="U382" s="191"/>
      <c r="V382" s="190"/>
      <c r="W382" s="190"/>
      <c r="X382" s="190"/>
      <c r="Y382" s="226"/>
      <c r="Z382" s="226"/>
      <c r="AA382" s="189"/>
      <c r="AB382" s="271"/>
      <c r="AC382" s="176"/>
    </row>
    <row r="383" spans="1:29" x14ac:dyDescent="0.25">
      <c r="A383"/>
      <c r="B383" s="65"/>
      <c r="C383" s="189"/>
      <c r="D383"/>
      <c r="E383"/>
      <c r="F383" s="176"/>
      <c r="G383" s="176"/>
      <c r="H383" s="224"/>
      <c r="I383" s="224"/>
      <c r="J383" s="225"/>
      <c r="K383" s="225"/>
      <c r="L383" s="226"/>
      <c r="M383" s="226"/>
      <c r="N383" s="226"/>
      <c r="O383" s="226"/>
      <c r="P383" s="226"/>
      <c r="Q383" s="226"/>
      <c r="R383" s="226"/>
      <c r="S383" s="226"/>
      <c r="T383" s="176"/>
      <c r="U383" s="191"/>
      <c r="V383" s="190"/>
      <c r="W383" s="190"/>
      <c r="X383" s="190"/>
      <c r="Y383" s="226"/>
      <c r="Z383" s="226"/>
      <c r="AA383" s="189"/>
      <c r="AB383" s="271"/>
      <c r="AC383" s="176"/>
    </row>
    <row r="384" spans="1:29" x14ac:dyDescent="0.25">
      <c r="A384"/>
      <c r="B384" s="65"/>
      <c r="C384" s="189"/>
      <c r="D384"/>
      <c r="E384"/>
      <c r="F384" s="176"/>
      <c r="G384" s="176"/>
      <c r="H384" s="224"/>
      <c r="I384" s="224"/>
      <c r="J384" s="225"/>
      <c r="K384" s="225"/>
      <c r="L384" s="226"/>
      <c r="M384" s="226"/>
      <c r="N384" s="226"/>
      <c r="O384" s="226"/>
      <c r="P384" s="226"/>
      <c r="Q384" s="226"/>
      <c r="R384" s="226"/>
      <c r="S384" s="226"/>
      <c r="T384" s="176"/>
      <c r="U384" s="191"/>
      <c r="V384" s="190"/>
      <c r="W384" s="190"/>
      <c r="X384" s="190"/>
      <c r="Y384" s="226"/>
      <c r="Z384" s="226"/>
      <c r="AA384" s="189"/>
      <c r="AB384" s="271"/>
      <c r="AC384" s="176"/>
    </row>
    <row r="385" spans="1:29" x14ac:dyDescent="0.25">
      <c r="A385"/>
      <c r="B385" s="65"/>
      <c r="C385" s="189"/>
      <c r="D385"/>
      <c r="E385"/>
      <c r="F385" s="176"/>
      <c r="G385" s="176"/>
      <c r="H385" s="224"/>
      <c r="I385" s="224"/>
      <c r="J385" s="225"/>
      <c r="K385" s="225"/>
      <c r="L385" s="226"/>
      <c r="M385" s="226"/>
      <c r="N385" s="226"/>
      <c r="O385" s="226"/>
      <c r="P385" s="226"/>
      <c r="Q385" s="226"/>
      <c r="R385" s="226"/>
      <c r="S385" s="226"/>
      <c r="T385" s="176"/>
      <c r="U385" s="191"/>
      <c r="V385" s="190"/>
      <c r="W385" s="190"/>
      <c r="X385" s="190"/>
      <c r="Y385" s="226"/>
      <c r="Z385" s="226"/>
      <c r="AA385" s="189"/>
      <c r="AB385" s="271"/>
      <c r="AC385" s="176"/>
    </row>
    <row r="386" spans="1:29" x14ac:dyDescent="0.25">
      <c r="A386"/>
      <c r="B386" s="65"/>
      <c r="C386" s="189"/>
      <c r="D386"/>
      <c r="E386"/>
      <c r="F386" s="176"/>
      <c r="G386" s="176"/>
      <c r="H386" s="224"/>
      <c r="I386" s="224"/>
      <c r="J386" s="225"/>
      <c r="K386" s="225"/>
      <c r="L386" s="226"/>
      <c r="M386" s="226"/>
      <c r="N386" s="226"/>
      <c r="O386" s="226"/>
      <c r="P386" s="226"/>
      <c r="Q386" s="226"/>
      <c r="R386" s="226"/>
      <c r="S386" s="226"/>
      <c r="T386" s="176"/>
      <c r="U386" s="191"/>
      <c r="V386" s="190"/>
      <c r="W386" s="190"/>
      <c r="X386" s="190"/>
      <c r="Y386" s="226"/>
      <c r="Z386" s="226"/>
      <c r="AA386" s="189"/>
      <c r="AB386" s="271"/>
      <c r="AC386" s="176"/>
    </row>
    <row r="387" spans="1:29" x14ac:dyDescent="0.25">
      <c r="A387"/>
      <c r="B387" s="65"/>
      <c r="C387" s="189"/>
      <c r="D387"/>
      <c r="E387"/>
      <c r="F387" s="176"/>
      <c r="G387" s="176"/>
      <c r="H387" s="224"/>
      <c r="I387" s="224"/>
      <c r="J387" s="225"/>
      <c r="K387" s="225"/>
      <c r="L387" s="226"/>
      <c r="M387" s="226"/>
      <c r="N387" s="226"/>
      <c r="O387" s="226"/>
      <c r="P387" s="226"/>
      <c r="Q387" s="226"/>
      <c r="R387" s="226"/>
      <c r="S387" s="226"/>
      <c r="T387" s="176"/>
      <c r="U387" s="191"/>
      <c r="V387" s="190"/>
      <c r="W387" s="190"/>
      <c r="X387" s="190"/>
      <c r="Y387" s="226"/>
      <c r="Z387" s="226"/>
      <c r="AA387" s="189"/>
      <c r="AB387" s="271"/>
      <c r="AC387" s="176"/>
    </row>
    <row r="388" spans="1:29" x14ac:dyDescent="0.25">
      <c r="A388"/>
      <c r="B388" s="65"/>
      <c r="C388" s="189"/>
      <c r="D388"/>
      <c r="E388"/>
      <c r="F388" s="176"/>
      <c r="G388" s="176"/>
      <c r="H388" s="224"/>
      <c r="I388" s="224"/>
      <c r="J388" s="225"/>
      <c r="K388" s="225"/>
      <c r="L388" s="226"/>
      <c r="M388" s="226"/>
      <c r="N388" s="226"/>
      <c r="O388" s="226"/>
      <c r="P388" s="226"/>
      <c r="Q388" s="226"/>
      <c r="R388" s="226"/>
      <c r="S388" s="226"/>
      <c r="T388" s="176"/>
      <c r="U388" s="191"/>
      <c r="V388" s="190"/>
      <c r="W388" s="190"/>
      <c r="X388" s="190"/>
      <c r="Y388" s="226"/>
      <c r="Z388" s="226"/>
      <c r="AA388" s="189"/>
      <c r="AB388" s="271"/>
      <c r="AC388" s="176"/>
    </row>
    <row r="389" spans="1:29" x14ac:dyDescent="0.25">
      <c r="A389"/>
      <c r="B389" s="65"/>
      <c r="C389" s="189"/>
      <c r="D389"/>
      <c r="E389"/>
      <c r="F389" s="176"/>
      <c r="G389" s="176"/>
      <c r="H389" s="224"/>
      <c r="I389" s="224"/>
      <c r="J389" s="225"/>
      <c r="K389" s="225"/>
      <c r="L389" s="226"/>
      <c r="M389" s="226"/>
      <c r="N389" s="226"/>
      <c r="O389" s="226"/>
      <c r="P389" s="226"/>
      <c r="Q389" s="226"/>
      <c r="R389" s="226"/>
      <c r="S389" s="226"/>
      <c r="T389" s="176"/>
      <c r="U389" s="191"/>
      <c r="V389" s="190"/>
      <c r="W389" s="190"/>
      <c r="X389" s="190"/>
      <c r="Y389" s="226"/>
      <c r="Z389" s="226"/>
      <c r="AA389" s="189"/>
      <c r="AB389" s="271"/>
      <c r="AC389" s="176"/>
    </row>
    <row r="390" spans="1:29" x14ac:dyDescent="0.25">
      <c r="A390"/>
      <c r="B390" s="65"/>
      <c r="C390" s="189"/>
      <c r="D390"/>
      <c r="E390"/>
      <c r="F390" s="176"/>
      <c r="G390" s="176"/>
      <c r="H390" s="224"/>
      <c r="I390" s="224"/>
      <c r="J390" s="225"/>
      <c r="K390" s="225"/>
      <c r="L390" s="226"/>
      <c r="M390" s="226"/>
      <c r="N390" s="226"/>
      <c r="O390" s="226"/>
      <c r="P390" s="226"/>
      <c r="Q390" s="226"/>
      <c r="R390" s="226"/>
      <c r="S390" s="226"/>
      <c r="T390" s="176"/>
      <c r="U390" s="191"/>
      <c r="V390" s="190"/>
      <c r="W390" s="190"/>
      <c r="X390" s="190"/>
      <c r="Y390" s="226"/>
      <c r="Z390" s="226"/>
      <c r="AA390" s="189"/>
      <c r="AB390" s="271"/>
      <c r="AC390" s="176"/>
    </row>
    <row r="391" spans="1:29" x14ac:dyDescent="0.25">
      <c r="A391"/>
      <c r="B391" s="65"/>
      <c r="C391" s="189"/>
      <c r="D391"/>
      <c r="E391"/>
      <c r="F391" s="176"/>
      <c r="G391" s="176"/>
      <c r="H391" s="224"/>
      <c r="I391" s="224"/>
      <c r="J391" s="225"/>
      <c r="K391" s="225"/>
      <c r="L391" s="226"/>
      <c r="M391" s="226"/>
      <c r="N391" s="226"/>
      <c r="O391" s="226"/>
      <c r="P391" s="226"/>
      <c r="Q391" s="226"/>
      <c r="R391" s="226"/>
      <c r="S391" s="226"/>
      <c r="T391" s="176"/>
      <c r="U391" s="191"/>
      <c r="V391" s="190"/>
      <c r="W391" s="190"/>
      <c r="X391" s="190"/>
      <c r="Y391" s="226"/>
      <c r="Z391" s="226"/>
      <c r="AA391" s="189"/>
      <c r="AB391" s="271"/>
      <c r="AC391" s="176"/>
    </row>
    <row r="392" spans="1:29" x14ac:dyDescent="0.25">
      <c r="A392"/>
      <c r="B392" s="65"/>
      <c r="C392" s="189"/>
      <c r="D392"/>
      <c r="E392"/>
      <c r="F392" s="176"/>
      <c r="G392" s="176"/>
      <c r="H392" s="224"/>
      <c r="I392" s="224"/>
      <c r="J392" s="225"/>
      <c r="K392" s="225"/>
      <c r="L392" s="226"/>
      <c r="M392" s="226"/>
      <c r="N392" s="226"/>
      <c r="O392" s="226"/>
      <c r="P392" s="226"/>
      <c r="Q392" s="226"/>
      <c r="R392" s="226"/>
      <c r="S392" s="226"/>
      <c r="T392" s="176"/>
      <c r="U392" s="191"/>
      <c r="V392" s="190"/>
      <c r="W392" s="190"/>
      <c r="X392" s="190"/>
      <c r="Y392" s="226"/>
      <c r="Z392" s="226"/>
      <c r="AA392" s="189"/>
      <c r="AB392" s="271"/>
      <c r="AC392" s="176"/>
    </row>
    <row r="393" spans="1:29" x14ac:dyDescent="0.25">
      <c r="A393"/>
      <c r="B393" s="65"/>
      <c r="C393" s="189"/>
      <c r="D393"/>
      <c r="E393"/>
      <c r="F393" s="176"/>
      <c r="G393" s="176"/>
      <c r="H393" s="224"/>
      <c r="I393" s="224"/>
      <c r="J393" s="225"/>
      <c r="K393" s="225"/>
      <c r="L393" s="226"/>
      <c r="M393" s="226"/>
      <c r="N393" s="226"/>
      <c r="O393" s="226"/>
      <c r="P393" s="226"/>
      <c r="Q393" s="226"/>
      <c r="R393" s="226"/>
      <c r="S393" s="226"/>
      <c r="T393" s="176"/>
      <c r="U393" s="191"/>
      <c r="V393" s="190"/>
      <c r="W393" s="190"/>
      <c r="X393" s="190"/>
      <c r="Y393" s="226"/>
      <c r="Z393" s="226"/>
      <c r="AA393" s="189"/>
      <c r="AB393" s="271"/>
      <c r="AC393" s="176"/>
    </row>
    <row r="394" spans="1:29" x14ac:dyDescent="0.25">
      <c r="A394"/>
      <c r="B394" s="65"/>
      <c r="C394" s="189"/>
      <c r="D394"/>
      <c r="E394"/>
      <c r="F394" s="176"/>
      <c r="G394" s="176"/>
      <c r="H394" s="224"/>
      <c r="I394" s="224"/>
      <c r="J394" s="225"/>
      <c r="K394" s="225"/>
      <c r="L394" s="226"/>
      <c r="M394" s="226"/>
      <c r="N394" s="226"/>
      <c r="O394" s="226"/>
      <c r="P394" s="226"/>
      <c r="Q394" s="226"/>
      <c r="R394" s="226"/>
      <c r="S394" s="226"/>
      <c r="T394" s="176"/>
      <c r="U394" s="191"/>
      <c r="V394" s="190"/>
      <c r="W394" s="190"/>
      <c r="X394" s="190"/>
      <c r="Y394" s="226"/>
      <c r="Z394" s="226"/>
      <c r="AA394" s="189"/>
      <c r="AB394" s="271"/>
      <c r="AC394" s="176"/>
    </row>
    <row r="395" spans="1:29" x14ac:dyDescent="0.25">
      <c r="A395"/>
      <c r="B395" s="65"/>
      <c r="C395" s="189"/>
      <c r="D395"/>
      <c r="E395"/>
      <c r="F395" s="176"/>
      <c r="G395" s="176"/>
      <c r="H395" s="224"/>
      <c r="I395" s="224"/>
      <c r="J395" s="225"/>
      <c r="K395" s="225"/>
      <c r="L395" s="226"/>
      <c r="M395" s="226"/>
      <c r="N395" s="226"/>
      <c r="O395" s="226"/>
      <c r="P395" s="226"/>
      <c r="Q395" s="226"/>
      <c r="R395" s="226"/>
      <c r="S395" s="226"/>
      <c r="T395" s="176"/>
      <c r="U395" s="191"/>
      <c r="V395" s="190"/>
      <c r="W395" s="190"/>
      <c r="X395" s="190"/>
      <c r="Y395" s="226"/>
      <c r="Z395" s="226"/>
      <c r="AA395" s="189"/>
      <c r="AB395" s="271"/>
      <c r="AC395" s="176"/>
    </row>
    <row r="396" spans="1:29" x14ac:dyDescent="0.25">
      <c r="A396" s="178"/>
      <c r="B396" s="268"/>
      <c r="C396" s="189"/>
      <c r="D396"/>
      <c r="E396"/>
      <c r="F396" s="176"/>
      <c r="G396" s="176"/>
      <c r="H396" s="224"/>
      <c r="I396" s="224"/>
      <c r="J396" s="225"/>
      <c r="K396" s="225"/>
      <c r="L396" s="226"/>
      <c r="M396" s="226"/>
      <c r="N396" s="226"/>
      <c r="O396" s="226"/>
      <c r="P396" s="226"/>
      <c r="Q396" s="226"/>
      <c r="R396" s="226"/>
      <c r="S396" s="226"/>
      <c r="T396" s="176"/>
      <c r="U396" s="191"/>
      <c r="V396" s="190"/>
      <c r="W396" s="190"/>
      <c r="X396" s="190"/>
      <c r="Y396" s="226"/>
      <c r="Z396" s="226"/>
      <c r="AA396" s="189"/>
      <c r="AB396" s="271"/>
      <c r="AC396" s="176"/>
    </row>
    <row r="397" spans="1:29" x14ac:dyDescent="0.25">
      <c r="A397" s="178"/>
      <c r="B397" s="268"/>
      <c r="C397" s="189"/>
      <c r="D397"/>
      <c r="E397"/>
      <c r="F397" s="176"/>
      <c r="G397" s="176"/>
      <c r="H397" s="224"/>
      <c r="I397" s="224"/>
      <c r="J397" s="225"/>
      <c r="K397" s="225"/>
      <c r="L397" s="226"/>
      <c r="M397" s="226"/>
      <c r="N397" s="226"/>
      <c r="O397" s="226"/>
      <c r="P397" s="226"/>
      <c r="Q397" s="226"/>
      <c r="R397" s="226"/>
      <c r="S397" s="226"/>
      <c r="T397" s="176"/>
      <c r="U397" s="191"/>
      <c r="V397" s="190"/>
      <c r="W397" s="190"/>
      <c r="X397" s="190"/>
      <c r="Y397" s="226"/>
      <c r="Z397" s="226"/>
      <c r="AA397" s="189"/>
      <c r="AB397" s="271"/>
      <c r="AC397" s="176"/>
    </row>
    <row r="398" spans="1:29" x14ac:dyDescent="0.25">
      <c r="A398" s="178"/>
      <c r="B398" s="268"/>
      <c r="C398" s="189"/>
      <c r="D398"/>
      <c r="E398"/>
      <c r="F398" s="176"/>
      <c r="G398" s="176"/>
      <c r="H398" s="224"/>
      <c r="I398" s="224"/>
      <c r="J398" s="225"/>
      <c r="K398" s="225"/>
      <c r="L398" s="226"/>
      <c r="M398" s="226"/>
      <c r="N398" s="226"/>
      <c r="O398" s="226"/>
      <c r="P398" s="226"/>
      <c r="Q398" s="226"/>
      <c r="R398" s="226"/>
      <c r="S398" s="226"/>
      <c r="T398" s="176"/>
      <c r="U398" s="191"/>
      <c r="V398" s="190"/>
      <c r="W398" s="190"/>
      <c r="X398" s="190"/>
      <c r="Y398" s="226"/>
      <c r="Z398" s="226"/>
      <c r="AA398" s="189"/>
      <c r="AB398" s="271"/>
      <c r="AC398" s="176"/>
    </row>
    <row r="399" spans="1:29" x14ac:dyDescent="0.25">
      <c r="A399" s="178"/>
      <c r="B399" s="268"/>
      <c r="C399" s="189"/>
      <c r="D399"/>
      <c r="E399"/>
      <c r="F399" s="176"/>
      <c r="G399" s="176"/>
      <c r="H399" s="224"/>
      <c r="I399" s="224"/>
      <c r="J399" s="225"/>
      <c r="K399" s="225"/>
      <c r="L399" s="226"/>
      <c r="M399" s="226"/>
      <c r="N399" s="226"/>
      <c r="O399" s="226"/>
      <c r="P399" s="226"/>
      <c r="Q399" s="226"/>
      <c r="R399" s="226"/>
      <c r="S399" s="226"/>
      <c r="T399" s="176"/>
      <c r="U399" s="191"/>
      <c r="V399" s="190"/>
      <c r="W399" s="190"/>
      <c r="X399" s="190"/>
      <c r="Y399" s="226"/>
      <c r="Z399" s="226"/>
      <c r="AA399" s="189"/>
      <c r="AB399" s="271"/>
      <c r="AC399" s="176"/>
    </row>
    <row r="400" spans="1:29" x14ac:dyDescent="0.25">
      <c r="A400" s="178"/>
      <c r="B400" s="268"/>
      <c r="C400" s="189"/>
      <c r="D400"/>
      <c r="E400"/>
      <c r="F400" s="176"/>
      <c r="G400" s="176"/>
      <c r="H400" s="224"/>
      <c r="I400" s="224"/>
      <c r="J400" s="225"/>
      <c r="K400" s="225"/>
      <c r="L400" s="226"/>
      <c r="M400" s="226"/>
      <c r="N400" s="226"/>
      <c r="O400" s="226"/>
      <c r="P400" s="226"/>
      <c r="Q400" s="226"/>
      <c r="R400" s="226"/>
      <c r="S400" s="226"/>
      <c r="T400" s="176"/>
      <c r="U400" s="191"/>
      <c r="V400" s="190"/>
      <c r="W400" s="190"/>
      <c r="X400" s="190"/>
      <c r="Y400" s="226"/>
      <c r="Z400" s="226"/>
      <c r="AA400" s="189"/>
      <c r="AB400" s="271"/>
      <c r="AC400" s="176"/>
    </row>
    <row r="401" spans="1:29" x14ac:dyDescent="0.25">
      <c r="A401" s="178"/>
      <c r="B401" s="268"/>
      <c r="C401" s="189"/>
      <c r="D401"/>
      <c r="E401"/>
      <c r="F401" s="176"/>
      <c r="G401" s="176"/>
      <c r="H401" s="224"/>
      <c r="I401" s="224"/>
      <c r="J401" s="225"/>
      <c r="K401" s="225"/>
      <c r="L401" s="226"/>
      <c r="M401" s="226"/>
      <c r="N401" s="226"/>
      <c r="O401" s="226"/>
      <c r="P401" s="226"/>
      <c r="Q401" s="226"/>
      <c r="R401" s="226"/>
      <c r="S401" s="226"/>
      <c r="T401" s="176"/>
      <c r="U401" s="191"/>
      <c r="V401" s="190"/>
      <c r="W401" s="190"/>
      <c r="X401" s="190"/>
      <c r="Y401" s="226"/>
      <c r="Z401" s="226"/>
      <c r="AA401" s="189"/>
      <c r="AB401" s="271"/>
      <c r="AC401" s="176"/>
    </row>
    <row r="402" spans="1:29" x14ac:dyDescent="0.25">
      <c r="A402" s="178"/>
      <c r="B402" s="268"/>
      <c r="C402" s="189"/>
      <c r="D402"/>
      <c r="E402"/>
      <c r="F402" s="176"/>
      <c r="G402" s="176"/>
      <c r="H402" s="224"/>
      <c r="I402" s="224"/>
      <c r="J402" s="225"/>
      <c r="K402" s="225"/>
      <c r="L402" s="226"/>
      <c r="M402" s="226"/>
      <c r="N402" s="226"/>
      <c r="O402" s="226"/>
      <c r="P402" s="226"/>
      <c r="Q402" s="226"/>
      <c r="R402" s="226"/>
      <c r="S402" s="226"/>
      <c r="T402" s="176"/>
      <c r="U402" s="191"/>
      <c r="V402" s="190"/>
      <c r="W402" s="190"/>
      <c r="X402" s="190"/>
      <c r="Y402" s="226"/>
      <c r="Z402" s="226"/>
      <c r="AA402" s="189"/>
      <c r="AB402" s="271"/>
      <c r="AC402" s="176"/>
    </row>
    <row r="403" spans="1:29" x14ac:dyDescent="0.25">
      <c r="A403" s="270"/>
      <c r="B403" s="269"/>
      <c r="C403" s="189"/>
      <c r="D403"/>
      <c r="E403"/>
      <c r="F403" s="176"/>
      <c r="G403" s="176"/>
      <c r="H403" s="224"/>
      <c r="I403" s="224"/>
      <c r="J403" s="225"/>
      <c r="K403" s="225"/>
      <c r="L403" s="226"/>
      <c r="M403" s="226"/>
      <c r="N403" s="226"/>
      <c r="O403" s="226"/>
      <c r="P403" s="226"/>
      <c r="Q403" s="226"/>
      <c r="R403" s="226"/>
      <c r="S403" s="226"/>
      <c r="T403" s="176"/>
      <c r="U403" s="191"/>
      <c r="V403" s="190"/>
      <c r="W403" s="190"/>
      <c r="X403" s="190"/>
      <c r="Y403" s="226"/>
      <c r="Z403" s="226"/>
      <c r="AA403" s="189"/>
      <c r="AB403" s="271"/>
      <c r="AC403" s="176"/>
    </row>
    <row r="404" spans="1:29" x14ac:dyDescent="0.25">
      <c r="A404"/>
      <c r="B404"/>
      <c r="C404" s="189"/>
      <c r="D404"/>
      <c r="E404"/>
      <c r="F404" s="176"/>
      <c r="G404" s="176"/>
      <c r="H404" s="224"/>
      <c r="I404" s="224"/>
      <c r="J404" s="225"/>
      <c r="K404" s="225"/>
      <c r="L404" s="226"/>
      <c r="M404" s="226"/>
      <c r="N404" s="226"/>
      <c r="O404" s="226"/>
      <c r="P404" s="226"/>
      <c r="Q404" s="226"/>
      <c r="R404" s="226"/>
      <c r="S404" s="226"/>
      <c r="T404" s="176"/>
      <c r="U404" s="191"/>
      <c r="V404" s="190"/>
      <c r="W404" s="190"/>
      <c r="X404" s="190"/>
      <c r="Y404" s="226"/>
      <c r="Z404" s="226"/>
      <c r="AA404" s="189"/>
    </row>
    <row r="405" spans="1:29" x14ac:dyDescent="0.25">
      <c r="A405"/>
      <c r="B405"/>
      <c r="C405" s="189"/>
      <c r="D405"/>
      <c r="E405"/>
      <c r="F405" s="176"/>
      <c r="G405" s="176"/>
      <c r="H405" s="224"/>
      <c r="I405" s="224"/>
      <c r="J405" s="225"/>
      <c r="K405" s="225"/>
      <c r="L405" s="226"/>
      <c r="M405" s="226"/>
      <c r="N405" s="226"/>
      <c r="O405" s="226"/>
      <c r="P405" s="226"/>
      <c r="Q405" s="226"/>
      <c r="R405" s="226"/>
      <c r="S405" s="226"/>
      <c r="T405" s="176"/>
      <c r="U405" s="191"/>
      <c r="V405" s="190"/>
      <c r="W405" s="190"/>
      <c r="X405" s="190"/>
      <c r="Y405" s="226"/>
      <c r="Z405" s="226"/>
      <c r="AA405" s="189"/>
    </row>
    <row r="406" spans="1:29" x14ac:dyDescent="0.25">
      <c r="A406"/>
      <c r="B406"/>
      <c r="C406" s="189"/>
      <c r="D406"/>
      <c r="E406"/>
      <c r="F406" s="176"/>
      <c r="G406" s="176"/>
      <c r="H406" s="224"/>
      <c r="I406" s="224"/>
      <c r="J406" s="225"/>
      <c r="K406" s="225"/>
      <c r="L406" s="226"/>
      <c r="M406" s="226"/>
      <c r="N406" s="226"/>
      <c r="O406" s="226"/>
      <c r="P406" s="226"/>
      <c r="Q406" s="226"/>
      <c r="R406" s="226"/>
      <c r="S406" s="226"/>
      <c r="T406" s="176"/>
      <c r="U406" s="191"/>
      <c r="V406" s="190"/>
      <c r="W406" s="190"/>
      <c r="X406" s="190"/>
      <c r="Y406" s="226"/>
      <c r="Z406" s="226"/>
      <c r="AA406" s="189"/>
    </row>
    <row r="407" spans="1:29" x14ac:dyDescent="0.25">
      <c r="A407"/>
      <c r="B407"/>
      <c r="C407" s="189"/>
      <c r="D407"/>
      <c r="E407"/>
      <c r="F407" s="176"/>
      <c r="G407" s="176"/>
      <c r="H407" s="224"/>
      <c r="I407" s="224"/>
      <c r="J407" s="225"/>
      <c r="K407" s="225"/>
      <c r="L407" s="226"/>
      <c r="M407" s="226"/>
      <c r="N407" s="226"/>
      <c r="O407" s="226"/>
      <c r="P407" s="226"/>
      <c r="Q407" s="226"/>
      <c r="R407" s="226"/>
      <c r="S407" s="226"/>
      <c r="T407" s="176"/>
      <c r="U407" s="191"/>
      <c r="V407" s="190"/>
      <c r="W407" s="190"/>
      <c r="X407" s="190"/>
      <c r="Y407" s="226"/>
      <c r="Z407" s="226"/>
      <c r="AA407" s="189"/>
    </row>
    <row r="408" spans="1:29" x14ac:dyDescent="0.25">
      <c r="A408"/>
      <c r="B408"/>
      <c r="C408" s="189"/>
      <c r="D408"/>
      <c r="E408"/>
      <c r="F408" s="176"/>
      <c r="G408" s="176"/>
      <c r="H408" s="224"/>
      <c r="I408" s="224"/>
      <c r="J408" s="225"/>
      <c r="K408" s="225"/>
      <c r="L408" s="226"/>
      <c r="M408" s="226"/>
      <c r="N408" s="226"/>
      <c r="O408" s="226"/>
      <c r="P408" s="226"/>
      <c r="Q408" s="226"/>
      <c r="R408" s="226"/>
      <c r="S408" s="226"/>
      <c r="T408" s="176"/>
      <c r="U408" s="191"/>
      <c r="V408" s="190"/>
      <c r="W408" s="190"/>
      <c r="X408" s="190"/>
      <c r="Y408" s="226"/>
      <c r="Z408" s="226"/>
      <c r="AA408" s="189"/>
    </row>
    <row r="409" spans="1:29" x14ac:dyDescent="0.25">
      <c r="A409"/>
      <c r="B409"/>
      <c r="C409" s="189"/>
      <c r="D409"/>
      <c r="E409"/>
      <c r="F409" s="176"/>
      <c r="G409" s="176"/>
      <c r="H409" s="224"/>
      <c r="I409" s="224"/>
      <c r="J409" s="225"/>
      <c r="K409" s="225"/>
      <c r="L409" s="226"/>
      <c r="M409" s="226"/>
      <c r="N409" s="226"/>
      <c r="O409" s="226"/>
      <c r="P409" s="226"/>
      <c r="Q409" s="226"/>
      <c r="R409" s="226"/>
      <c r="S409" s="226"/>
      <c r="T409" s="176"/>
      <c r="U409" s="191"/>
      <c r="V409" s="190"/>
      <c r="W409" s="190"/>
      <c r="X409" s="190"/>
      <c r="Y409" s="226"/>
      <c r="Z409" s="226"/>
      <c r="AA409" s="189"/>
    </row>
    <row r="410" spans="1:29" x14ac:dyDescent="0.25">
      <c r="A410"/>
      <c r="B410"/>
      <c r="C410" s="189"/>
      <c r="D410"/>
      <c r="E410"/>
      <c r="F410" s="176"/>
      <c r="G410" s="176"/>
      <c r="H410" s="224"/>
      <c r="I410" s="224"/>
      <c r="J410" s="225"/>
      <c r="K410" s="225"/>
      <c r="L410" s="226"/>
      <c r="M410" s="226"/>
      <c r="N410" s="226"/>
      <c r="O410" s="226"/>
      <c r="P410" s="226"/>
      <c r="Q410" s="226"/>
      <c r="R410" s="226"/>
      <c r="S410" s="226"/>
      <c r="T410" s="176"/>
      <c r="U410" s="191"/>
      <c r="V410" s="190"/>
      <c r="W410" s="190"/>
      <c r="X410" s="190"/>
      <c r="Y410" s="226"/>
      <c r="Z410" s="226"/>
      <c r="AA410" s="189"/>
    </row>
    <row r="411" spans="1:29" x14ac:dyDescent="0.25">
      <c r="A411"/>
      <c r="B411"/>
      <c r="C411" s="189"/>
      <c r="D411"/>
      <c r="E411"/>
      <c r="F411" s="176"/>
      <c r="G411" s="176"/>
      <c r="H411" s="224"/>
      <c r="I411" s="224"/>
      <c r="J411" s="225"/>
      <c r="K411" s="225"/>
      <c r="L411" s="226"/>
      <c r="M411" s="226"/>
      <c r="N411" s="226"/>
      <c r="O411" s="226"/>
      <c r="P411" s="226"/>
      <c r="Q411" s="226"/>
      <c r="R411" s="226"/>
      <c r="S411" s="226"/>
      <c r="T411" s="176"/>
      <c r="U411" s="191"/>
      <c r="V411" s="190"/>
      <c r="W411" s="190"/>
      <c r="X411" s="190"/>
      <c r="Y411" s="226"/>
      <c r="Z411" s="226"/>
      <c r="AA411" s="189"/>
    </row>
    <row r="412" spans="1:29" x14ac:dyDescent="0.25">
      <c r="A412"/>
      <c r="B412"/>
      <c r="C412" s="189"/>
      <c r="D412"/>
      <c r="E412"/>
      <c r="F412" s="176"/>
      <c r="G412" s="176"/>
      <c r="H412" s="224"/>
      <c r="I412" s="224"/>
      <c r="J412" s="225"/>
      <c r="K412" s="225"/>
      <c r="L412" s="226"/>
      <c r="M412" s="226"/>
      <c r="N412" s="226"/>
      <c r="O412" s="226"/>
      <c r="P412" s="226"/>
      <c r="Q412" s="226"/>
      <c r="R412" s="226"/>
      <c r="S412" s="226"/>
      <c r="T412" s="176"/>
      <c r="U412" s="191"/>
      <c r="V412" s="190"/>
      <c r="W412" s="190"/>
      <c r="X412" s="190"/>
      <c r="Y412" s="226"/>
      <c r="Z412" s="226"/>
      <c r="AA412" s="189"/>
    </row>
    <row r="413" spans="1:29" x14ac:dyDescent="0.25">
      <c r="A413"/>
      <c r="B413"/>
      <c r="C413" s="189"/>
      <c r="D413"/>
      <c r="E413"/>
      <c r="F413" s="176"/>
      <c r="G413" s="176"/>
      <c r="H413" s="224"/>
      <c r="I413" s="224"/>
      <c r="J413" s="225"/>
      <c r="K413" s="225"/>
      <c r="L413" s="226"/>
      <c r="M413" s="226"/>
      <c r="N413" s="226"/>
      <c r="O413" s="226"/>
      <c r="P413" s="226"/>
      <c r="Q413" s="226"/>
      <c r="R413" s="226"/>
      <c r="S413" s="226"/>
      <c r="T413" s="176"/>
      <c r="U413" s="191"/>
      <c r="V413" s="190"/>
      <c r="W413" s="190"/>
      <c r="X413" s="190"/>
      <c r="Y413" s="226"/>
      <c r="Z413" s="226"/>
      <c r="AA413" s="189"/>
    </row>
    <row r="414" spans="1:29" x14ac:dyDescent="0.25">
      <c r="A414"/>
      <c r="B414"/>
      <c r="C414" s="189"/>
      <c r="D414"/>
      <c r="E414"/>
      <c r="F414" s="176"/>
      <c r="G414" s="176"/>
      <c r="H414" s="224"/>
      <c r="I414" s="224"/>
      <c r="J414" s="225"/>
      <c r="K414" s="225"/>
      <c r="L414" s="226"/>
      <c r="M414" s="226"/>
      <c r="N414" s="226"/>
      <c r="O414" s="226"/>
      <c r="P414" s="226"/>
      <c r="Q414" s="226"/>
      <c r="R414" s="226"/>
      <c r="S414" s="226"/>
      <c r="T414" s="176"/>
      <c r="U414" s="191"/>
      <c r="V414" s="190"/>
      <c r="W414" s="190"/>
      <c r="X414" s="190"/>
      <c r="Y414" s="226"/>
      <c r="Z414" s="226"/>
      <c r="AA414" s="189"/>
    </row>
    <row r="415" spans="1:29" x14ac:dyDescent="0.25">
      <c r="A415"/>
      <c r="B415"/>
      <c r="C415" s="189"/>
      <c r="D415"/>
      <c r="E415"/>
      <c r="F415" s="176"/>
      <c r="G415" s="176"/>
      <c r="H415" s="224"/>
      <c r="I415" s="224"/>
      <c r="J415" s="225"/>
      <c r="K415" s="225"/>
      <c r="L415" s="226"/>
      <c r="M415" s="226"/>
      <c r="N415" s="226"/>
      <c r="O415" s="226"/>
      <c r="P415" s="226"/>
      <c r="Q415" s="226"/>
      <c r="R415" s="226"/>
      <c r="S415" s="226"/>
      <c r="T415" s="176"/>
      <c r="U415" s="191"/>
      <c r="V415" s="190"/>
      <c r="W415" s="190"/>
      <c r="X415" s="190"/>
      <c r="Y415" s="226"/>
      <c r="Z415" s="226"/>
      <c r="AA415" s="189"/>
    </row>
    <row r="416" spans="1:29" x14ac:dyDescent="0.25">
      <c r="A416"/>
      <c r="B416"/>
      <c r="C416" s="189"/>
      <c r="D416"/>
      <c r="E416"/>
      <c r="F416" s="176"/>
      <c r="G416" s="176"/>
      <c r="H416" s="224"/>
      <c r="I416" s="224"/>
      <c r="J416" s="225"/>
      <c r="K416" s="225"/>
      <c r="L416" s="226"/>
      <c r="M416" s="226"/>
      <c r="N416" s="226"/>
      <c r="O416" s="226"/>
      <c r="P416" s="226"/>
      <c r="Q416" s="226"/>
      <c r="R416" s="226"/>
      <c r="S416" s="226"/>
      <c r="T416" s="176"/>
      <c r="U416" s="191"/>
      <c r="V416" s="190"/>
      <c r="W416" s="190"/>
      <c r="X416" s="190"/>
      <c r="Y416" s="226"/>
      <c r="Z416" s="226"/>
      <c r="AA416" s="189"/>
    </row>
    <row r="417" spans="1:27" x14ac:dyDescent="0.25">
      <c r="A417"/>
      <c r="B417"/>
      <c r="C417" s="189"/>
      <c r="D417"/>
      <c r="E417"/>
      <c r="F417" s="176"/>
      <c r="G417" s="176"/>
      <c r="H417" s="224"/>
      <c r="I417" s="224"/>
      <c r="J417" s="225"/>
      <c r="K417" s="225"/>
      <c r="L417" s="226"/>
      <c r="M417" s="226"/>
      <c r="N417" s="226"/>
      <c r="O417" s="226"/>
      <c r="P417" s="226"/>
      <c r="Q417" s="226"/>
      <c r="R417" s="226"/>
      <c r="S417" s="226"/>
      <c r="T417" s="176"/>
      <c r="U417" s="191"/>
      <c r="V417" s="190"/>
      <c r="W417" s="190"/>
      <c r="X417" s="190"/>
      <c r="Y417" s="226"/>
      <c r="Z417" s="226"/>
      <c r="AA417" s="189"/>
    </row>
    <row r="418" spans="1:27" x14ac:dyDescent="0.25">
      <c r="A418"/>
      <c r="B418"/>
      <c r="C418" s="189"/>
      <c r="D418"/>
      <c r="E418"/>
      <c r="F418" s="176"/>
      <c r="G418" s="176"/>
      <c r="H418" s="224"/>
      <c r="I418" s="224"/>
      <c r="J418" s="225"/>
      <c r="K418" s="225"/>
      <c r="L418" s="226"/>
      <c r="M418" s="226"/>
      <c r="N418" s="226"/>
      <c r="O418" s="226"/>
      <c r="P418" s="226"/>
      <c r="Q418" s="226"/>
      <c r="R418" s="226"/>
      <c r="S418" s="226"/>
      <c r="T418" s="176"/>
      <c r="U418" s="191"/>
      <c r="V418" s="190"/>
      <c r="W418" s="190"/>
      <c r="X418" s="190"/>
      <c r="Y418" s="226"/>
      <c r="Z418" s="226"/>
      <c r="AA418" s="189"/>
    </row>
    <row r="419" spans="1:27" x14ac:dyDescent="0.25">
      <c r="A419"/>
      <c r="B419"/>
      <c r="C419" s="189"/>
      <c r="D419"/>
      <c r="E419"/>
      <c r="F419" s="176"/>
      <c r="G419" s="176"/>
      <c r="H419" s="224"/>
      <c r="I419" s="224"/>
      <c r="J419" s="225"/>
      <c r="K419" s="225"/>
      <c r="L419" s="226"/>
      <c r="M419" s="226"/>
      <c r="N419" s="226"/>
      <c r="O419" s="226"/>
      <c r="P419" s="226"/>
      <c r="Q419" s="226"/>
      <c r="R419" s="226"/>
      <c r="S419" s="226"/>
      <c r="T419" s="176"/>
      <c r="U419" s="191"/>
      <c r="V419" s="190"/>
      <c r="W419" s="190"/>
      <c r="X419" s="190"/>
      <c r="Y419" s="226"/>
      <c r="Z419" s="226"/>
      <c r="AA419" s="189"/>
    </row>
    <row r="420" spans="1:27" x14ac:dyDescent="0.25">
      <c r="A420"/>
      <c r="B420"/>
      <c r="C420" s="189"/>
      <c r="D420"/>
      <c r="E420"/>
      <c r="F420" s="176"/>
      <c r="G420" s="176"/>
      <c r="H420" s="224"/>
      <c r="I420" s="224"/>
      <c r="J420" s="225"/>
      <c r="K420" s="225"/>
      <c r="L420" s="226"/>
      <c r="M420" s="226"/>
      <c r="N420" s="226"/>
      <c r="O420" s="226"/>
      <c r="P420" s="226"/>
      <c r="Q420" s="226"/>
      <c r="R420" s="226"/>
      <c r="S420" s="226"/>
      <c r="T420" s="176"/>
      <c r="U420" s="191"/>
      <c r="V420" s="190"/>
      <c r="W420" s="190"/>
      <c r="X420" s="190"/>
      <c r="Y420" s="226"/>
      <c r="Z420" s="226"/>
      <c r="AA420" s="189"/>
    </row>
    <row r="421" spans="1:27" x14ac:dyDescent="0.25">
      <c r="A421"/>
      <c r="B421"/>
      <c r="C421" s="189"/>
      <c r="D421"/>
      <c r="E421"/>
      <c r="F421" s="176"/>
      <c r="G421" s="176"/>
      <c r="H421" s="224"/>
      <c r="I421" s="224"/>
      <c r="J421" s="225"/>
      <c r="K421" s="225"/>
      <c r="L421" s="226"/>
      <c r="M421" s="226"/>
      <c r="N421" s="226"/>
      <c r="O421" s="226"/>
      <c r="P421" s="226"/>
      <c r="Q421" s="226"/>
      <c r="R421" s="226"/>
      <c r="S421" s="226"/>
      <c r="T421" s="176"/>
      <c r="U421" s="191"/>
      <c r="V421" s="190"/>
      <c r="W421" s="190"/>
      <c r="X421" s="190"/>
      <c r="Y421" s="226"/>
      <c r="Z421" s="226"/>
      <c r="AA421" s="189"/>
    </row>
    <row r="422" spans="1:27" x14ac:dyDescent="0.25">
      <c r="A422"/>
      <c r="B422"/>
      <c r="C422" s="189"/>
      <c r="D422"/>
      <c r="E422"/>
      <c r="F422" s="176"/>
      <c r="G422" s="176"/>
      <c r="H422" s="224"/>
      <c r="I422" s="224"/>
      <c r="J422" s="225"/>
      <c r="K422" s="225"/>
      <c r="L422" s="226"/>
      <c r="M422" s="226"/>
      <c r="N422" s="226"/>
      <c r="O422" s="226"/>
      <c r="P422" s="226"/>
      <c r="Q422" s="226"/>
      <c r="R422" s="226"/>
      <c r="S422" s="226"/>
      <c r="T422" s="176"/>
      <c r="U422" s="191"/>
      <c r="V422" s="190"/>
      <c r="W422" s="190"/>
      <c r="X422" s="190"/>
      <c r="Y422" s="226"/>
      <c r="Z422" s="226"/>
      <c r="AA422" s="189"/>
    </row>
    <row r="423" spans="1:27" x14ac:dyDescent="0.25">
      <c r="A423"/>
      <c r="B423"/>
      <c r="C423" s="189"/>
      <c r="D423"/>
      <c r="E423"/>
      <c r="F423" s="176"/>
      <c r="G423" s="176"/>
      <c r="H423" s="224"/>
      <c r="I423" s="224"/>
      <c r="J423" s="225"/>
      <c r="K423" s="225"/>
      <c r="L423" s="226"/>
      <c r="M423" s="226"/>
      <c r="N423" s="226"/>
      <c r="O423" s="226"/>
      <c r="P423" s="226"/>
      <c r="Q423" s="226"/>
      <c r="R423" s="226"/>
      <c r="S423" s="226"/>
      <c r="T423" s="176"/>
      <c r="U423" s="191"/>
      <c r="V423" s="190"/>
      <c r="W423" s="190"/>
      <c r="X423" s="190"/>
      <c r="Y423" s="226"/>
      <c r="Z423" s="226"/>
      <c r="AA423" s="189"/>
    </row>
    <row r="424" spans="1:27" x14ac:dyDescent="0.25">
      <c r="A424"/>
      <c r="B424"/>
      <c r="C424" s="189"/>
      <c r="D424"/>
      <c r="E424"/>
      <c r="F424" s="176"/>
      <c r="G424" s="176"/>
      <c r="H424" s="224"/>
      <c r="I424" s="224"/>
      <c r="J424" s="225"/>
      <c r="K424" s="225"/>
      <c r="L424" s="226"/>
      <c r="M424" s="226"/>
      <c r="N424" s="226"/>
      <c r="O424" s="226"/>
      <c r="P424" s="226"/>
      <c r="Q424" s="226"/>
      <c r="R424" s="226"/>
      <c r="S424" s="226"/>
      <c r="T424" s="176"/>
      <c r="U424" s="191"/>
      <c r="V424" s="190"/>
      <c r="W424" s="190"/>
      <c r="X424" s="190"/>
      <c r="Y424" s="226"/>
      <c r="Z424" s="226"/>
      <c r="AA424" s="189"/>
    </row>
    <row r="425" spans="1:27" x14ac:dyDescent="0.25">
      <c r="A425"/>
      <c r="B425"/>
      <c r="C425" s="189"/>
      <c r="D425"/>
      <c r="E425"/>
      <c r="F425" s="176"/>
      <c r="G425" s="176"/>
      <c r="H425" s="224"/>
      <c r="I425" s="224"/>
      <c r="J425" s="225"/>
      <c r="K425" s="225"/>
      <c r="L425" s="226"/>
      <c r="M425" s="226"/>
      <c r="N425" s="226"/>
      <c r="O425" s="226"/>
      <c r="P425" s="226"/>
      <c r="Q425" s="226"/>
      <c r="R425" s="226"/>
      <c r="S425" s="226"/>
      <c r="T425" s="176"/>
      <c r="U425" s="191"/>
      <c r="V425" s="190"/>
      <c r="W425" s="190"/>
      <c r="X425" s="190"/>
      <c r="Y425" s="226"/>
      <c r="Z425" s="226"/>
      <c r="AA425" s="189"/>
    </row>
    <row r="426" spans="1:27" x14ac:dyDescent="0.25">
      <c r="A426"/>
      <c r="B426"/>
      <c r="C426" s="189"/>
      <c r="D426"/>
      <c r="E426"/>
      <c r="F426" s="176"/>
      <c r="G426" s="176"/>
      <c r="H426" s="224"/>
      <c r="I426" s="224"/>
      <c r="J426" s="225"/>
      <c r="K426" s="225"/>
      <c r="L426" s="226"/>
      <c r="M426" s="226"/>
      <c r="N426" s="226"/>
      <c r="O426" s="226"/>
      <c r="P426" s="226"/>
      <c r="Q426" s="226"/>
      <c r="R426" s="226"/>
      <c r="S426" s="226"/>
      <c r="T426" s="176"/>
      <c r="U426" s="191"/>
      <c r="V426" s="190"/>
      <c r="W426" s="190"/>
      <c r="X426" s="190"/>
      <c r="Y426" s="226"/>
      <c r="Z426" s="226"/>
      <c r="AA426" s="189"/>
    </row>
    <row r="427" spans="1:27" x14ac:dyDescent="0.25">
      <c r="A427"/>
      <c r="B427"/>
      <c r="C427" s="189"/>
      <c r="D427"/>
      <c r="E427"/>
      <c r="F427" s="176"/>
      <c r="G427" s="176"/>
      <c r="H427" s="224"/>
      <c r="I427" s="224"/>
      <c r="J427" s="225"/>
      <c r="K427" s="225"/>
      <c r="L427" s="226"/>
      <c r="M427" s="226"/>
      <c r="N427" s="226"/>
      <c r="O427" s="226"/>
      <c r="P427" s="226"/>
      <c r="Q427" s="226"/>
      <c r="R427" s="226"/>
      <c r="S427" s="226"/>
      <c r="T427" s="176"/>
      <c r="U427" s="191"/>
      <c r="V427" s="190"/>
      <c r="W427" s="190"/>
      <c r="X427" s="190"/>
      <c r="Y427" s="226"/>
      <c r="Z427" s="226"/>
      <c r="AA427" s="189"/>
    </row>
    <row r="428" spans="1:27" x14ac:dyDescent="0.25">
      <c r="A428"/>
      <c r="B428"/>
      <c r="C428" s="189"/>
      <c r="D428"/>
      <c r="E428"/>
      <c r="F428" s="176"/>
      <c r="G428" s="176"/>
      <c r="H428" s="224"/>
      <c r="I428" s="224"/>
      <c r="J428" s="225"/>
      <c r="K428" s="225"/>
      <c r="L428" s="226"/>
      <c r="M428" s="226"/>
      <c r="N428" s="226"/>
      <c r="O428" s="226"/>
      <c r="P428" s="226"/>
      <c r="Q428" s="226"/>
      <c r="R428" s="226"/>
      <c r="S428" s="226"/>
      <c r="T428" s="176"/>
      <c r="U428" s="191"/>
      <c r="V428" s="190"/>
      <c r="W428" s="190"/>
      <c r="X428" s="190"/>
      <c r="Y428" s="226"/>
      <c r="Z428" s="226"/>
      <c r="AA428" s="189"/>
    </row>
    <row r="429" spans="1:27" x14ac:dyDescent="0.25">
      <c r="A429"/>
      <c r="B429"/>
      <c r="C429" s="189"/>
      <c r="D429"/>
      <c r="E429"/>
      <c r="F429" s="176"/>
      <c r="G429" s="176"/>
      <c r="H429" s="224"/>
      <c r="I429" s="224"/>
      <c r="J429" s="225"/>
      <c r="K429" s="225"/>
      <c r="L429" s="226"/>
      <c r="M429" s="226"/>
      <c r="N429" s="226"/>
      <c r="O429" s="226"/>
      <c r="P429" s="226"/>
      <c r="Q429" s="226"/>
      <c r="R429" s="226"/>
      <c r="S429" s="226"/>
      <c r="T429" s="176"/>
      <c r="U429" s="191"/>
      <c r="V429" s="190"/>
      <c r="W429" s="190"/>
      <c r="X429" s="190"/>
      <c r="Y429" s="226"/>
      <c r="Z429" s="226"/>
      <c r="AA429" s="189"/>
    </row>
    <row r="430" spans="1:27" x14ac:dyDescent="0.25">
      <c r="A430"/>
      <c r="B430"/>
      <c r="C430" s="189"/>
      <c r="D430"/>
      <c r="E430"/>
      <c r="F430" s="176"/>
      <c r="G430" s="176"/>
      <c r="H430" s="224"/>
      <c r="I430" s="224"/>
      <c r="J430" s="225"/>
      <c r="K430" s="225"/>
      <c r="L430" s="226"/>
      <c r="M430" s="226"/>
      <c r="N430" s="226"/>
      <c r="O430" s="226"/>
      <c r="P430" s="226"/>
      <c r="Q430" s="226"/>
      <c r="R430" s="226"/>
      <c r="S430" s="226"/>
      <c r="T430" s="176"/>
      <c r="U430" s="191"/>
      <c r="V430" s="190"/>
      <c r="W430" s="190"/>
      <c r="X430" s="190"/>
      <c r="Y430" s="226"/>
      <c r="Z430" s="226"/>
      <c r="AA430" s="189"/>
    </row>
    <row r="431" spans="1:27" x14ac:dyDescent="0.25">
      <c r="A431"/>
      <c r="B431"/>
      <c r="C431" s="189"/>
      <c r="D431"/>
      <c r="E431"/>
      <c r="F431" s="176"/>
      <c r="G431" s="176"/>
      <c r="H431" s="224"/>
      <c r="I431" s="224"/>
      <c r="J431" s="225"/>
      <c r="K431" s="225"/>
      <c r="L431" s="226"/>
      <c r="M431" s="226"/>
      <c r="N431" s="226"/>
      <c r="O431" s="226"/>
      <c r="P431" s="226"/>
      <c r="Q431" s="226"/>
      <c r="R431" s="226"/>
      <c r="S431" s="226"/>
      <c r="T431" s="176"/>
      <c r="U431" s="191"/>
      <c r="V431" s="190"/>
      <c r="W431" s="190"/>
      <c r="X431" s="190"/>
      <c r="Y431" s="226"/>
      <c r="Z431" s="226"/>
      <c r="AA431" s="189"/>
    </row>
    <row r="432" spans="1:27" x14ac:dyDescent="0.25">
      <c r="A432"/>
      <c r="B432"/>
      <c r="C432" s="189"/>
      <c r="D432"/>
      <c r="E432"/>
      <c r="F432" s="176"/>
      <c r="G432" s="176"/>
      <c r="H432" s="224"/>
      <c r="I432" s="224"/>
      <c r="J432" s="225"/>
      <c r="K432" s="225"/>
      <c r="L432" s="226"/>
      <c r="M432" s="226"/>
      <c r="N432" s="226"/>
      <c r="O432" s="226"/>
      <c r="P432" s="226"/>
      <c r="Q432" s="226"/>
      <c r="R432" s="226"/>
      <c r="S432" s="226"/>
      <c r="T432" s="176"/>
      <c r="U432" s="191"/>
      <c r="V432" s="190"/>
      <c r="W432" s="190"/>
      <c r="X432" s="190"/>
      <c r="Y432" s="226"/>
      <c r="Z432" s="226"/>
      <c r="AA432" s="189"/>
    </row>
    <row r="433" spans="1:27" x14ac:dyDescent="0.25">
      <c r="A433"/>
      <c r="B433"/>
      <c r="C433" s="189"/>
      <c r="D433"/>
      <c r="E433"/>
      <c r="F433" s="176"/>
      <c r="G433" s="176"/>
      <c r="H433" s="224"/>
      <c r="I433" s="224"/>
      <c r="J433" s="225"/>
      <c r="K433" s="225"/>
      <c r="L433" s="226"/>
      <c r="M433" s="226"/>
      <c r="N433" s="226"/>
      <c r="O433" s="226"/>
      <c r="P433" s="226"/>
      <c r="Q433" s="226"/>
      <c r="R433" s="226"/>
      <c r="S433" s="226"/>
      <c r="T433" s="176"/>
      <c r="U433" s="191"/>
      <c r="V433" s="190"/>
      <c r="W433" s="190"/>
      <c r="X433" s="190"/>
      <c r="Y433" s="226"/>
      <c r="Z433" s="226"/>
      <c r="AA433" s="189"/>
    </row>
    <row r="434" spans="1:27" x14ac:dyDescent="0.25">
      <c r="A434"/>
      <c r="B434"/>
      <c r="C434" s="189"/>
      <c r="D434"/>
      <c r="E434"/>
      <c r="F434" s="176"/>
      <c r="G434" s="176"/>
      <c r="H434" s="224"/>
      <c r="I434" s="224"/>
      <c r="J434" s="225"/>
      <c r="K434" s="225"/>
      <c r="L434" s="226"/>
      <c r="M434" s="226"/>
      <c r="N434" s="226"/>
      <c r="O434" s="226"/>
      <c r="P434" s="226"/>
      <c r="Q434" s="226"/>
      <c r="R434" s="226"/>
      <c r="S434" s="226"/>
      <c r="T434" s="176"/>
      <c r="U434" s="191"/>
      <c r="V434" s="190"/>
      <c r="W434" s="190"/>
      <c r="X434" s="190"/>
      <c r="Y434" s="226"/>
      <c r="Z434" s="226"/>
      <c r="AA434" s="189"/>
    </row>
    <row r="435" spans="1:27" x14ac:dyDescent="0.25">
      <c r="A435"/>
      <c r="B435"/>
      <c r="C435" s="189"/>
      <c r="D435"/>
      <c r="E435"/>
      <c r="F435" s="176"/>
      <c r="G435" s="176"/>
      <c r="H435" s="224"/>
      <c r="I435" s="224"/>
      <c r="J435" s="225"/>
      <c r="K435" s="225"/>
      <c r="L435" s="226"/>
      <c r="M435" s="226"/>
      <c r="N435" s="226"/>
      <c r="O435" s="226"/>
      <c r="P435" s="226"/>
      <c r="Q435" s="226"/>
      <c r="R435" s="226"/>
      <c r="S435" s="226"/>
      <c r="T435" s="176"/>
      <c r="U435" s="191"/>
      <c r="V435" s="190"/>
      <c r="W435" s="190"/>
      <c r="X435" s="190"/>
      <c r="Y435" s="226"/>
      <c r="Z435" s="226"/>
      <c r="AA435" s="189"/>
    </row>
    <row r="436" spans="1:27" x14ac:dyDescent="0.25">
      <c r="A436"/>
      <c r="B436"/>
      <c r="C436" s="189"/>
      <c r="D436"/>
      <c r="E436"/>
      <c r="F436" s="176"/>
      <c r="G436" s="176"/>
      <c r="H436" s="224"/>
      <c r="I436" s="224"/>
      <c r="J436" s="225"/>
      <c r="K436" s="225"/>
      <c r="L436" s="226"/>
      <c r="M436" s="226"/>
      <c r="N436" s="226"/>
      <c r="O436" s="226"/>
      <c r="P436" s="226"/>
      <c r="Q436" s="226"/>
      <c r="R436" s="226"/>
      <c r="S436" s="226"/>
      <c r="T436" s="176"/>
      <c r="U436" s="191"/>
      <c r="V436" s="190"/>
      <c r="W436" s="190"/>
      <c r="X436" s="190"/>
      <c r="Y436" s="226"/>
      <c r="Z436" s="226"/>
      <c r="AA436" s="189"/>
    </row>
    <row r="437" spans="1:27" x14ac:dyDescent="0.25">
      <c r="A437"/>
      <c r="B437"/>
      <c r="C437" s="189"/>
      <c r="D437"/>
      <c r="E437"/>
      <c r="F437" s="176"/>
      <c r="G437" s="176"/>
      <c r="H437" s="224"/>
      <c r="I437" s="224"/>
      <c r="J437" s="225"/>
      <c r="K437" s="225"/>
      <c r="L437" s="226"/>
      <c r="M437" s="226"/>
      <c r="N437" s="226"/>
      <c r="O437" s="226"/>
      <c r="P437" s="226"/>
      <c r="Q437" s="226"/>
      <c r="R437" s="226"/>
      <c r="S437" s="226"/>
      <c r="T437" s="176"/>
      <c r="U437" s="191"/>
      <c r="V437" s="190"/>
      <c r="W437" s="190"/>
      <c r="X437" s="190"/>
      <c r="Y437" s="226"/>
      <c r="Z437" s="226"/>
      <c r="AA437" s="189"/>
    </row>
    <row r="438" spans="1:27" x14ac:dyDescent="0.25">
      <c r="A438"/>
      <c r="B438"/>
      <c r="C438" s="189"/>
      <c r="D438"/>
      <c r="E438"/>
      <c r="F438" s="176"/>
      <c r="G438" s="176"/>
      <c r="H438" s="224"/>
      <c r="I438" s="224"/>
      <c r="J438" s="225"/>
      <c r="K438" s="225"/>
      <c r="L438" s="226"/>
      <c r="M438" s="226"/>
      <c r="N438" s="226"/>
      <c r="O438" s="226"/>
      <c r="P438" s="226"/>
      <c r="Q438" s="226"/>
      <c r="R438" s="226"/>
      <c r="S438" s="226"/>
      <c r="T438" s="176"/>
      <c r="U438" s="191"/>
      <c r="V438" s="190"/>
      <c r="W438" s="190"/>
      <c r="X438" s="190"/>
      <c r="Y438" s="226"/>
      <c r="Z438" s="226"/>
      <c r="AA438" s="189"/>
    </row>
    <row r="439" spans="1:27" x14ac:dyDescent="0.25">
      <c r="A439"/>
      <c r="B439"/>
      <c r="C439" s="189"/>
      <c r="D439"/>
      <c r="E439"/>
      <c r="F439" s="176"/>
      <c r="G439" s="176"/>
      <c r="H439" s="224"/>
      <c r="I439" s="224"/>
      <c r="J439" s="225"/>
      <c r="K439" s="225"/>
      <c r="L439" s="226"/>
      <c r="M439" s="226"/>
      <c r="N439" s="226"/>
      <c r="O439" s="226"/>
      <c r="P439" s="226"/>
      <c r="Q439" s="226"/>
      <c r="R439" s="226"/>
      <c r="S439" s="226"/>
      <c r="T439" s="176"/>
      <c r="U439" s="191"/>
      <c r="V439" s="190"/>
      <c r="W439" s="190"/>
      <c r="X439" s="190"/>
      <c r="Y439" s="226"/>
      <c r="Z439" s="226"/>
      <c r="AA439" s="189"/>
    </row>
    <row r="440" spans="1:27" x14ac:dyDescent="0.25">
      <c r="A440"/>
      <c r="B440"/>
      <c r="C440" s="189"/>
      <c r="D440"/>
      <c r="E440"/>
      <c r="F440" s="176"/>
      <c r="G440" s="176"/>
      <c r="H440" s="224"/>
      <c r="I440" s="224"/>
      <c r="J440" s="225"/>
      <c r="K440" s="225"/>
      <c r="L440" s="226"/>
      <c r="M440" s="226"/>
      <c r="N440" s="226"/>
      <c r="O440" s="226"/>
      <c r="P440" s="226"/>
      <c r="Q440" s="226"/>
      <c r="R440" s="226"/>
      <c r="S440" s="226"/>
      <c r="T440" s="176"/>
      <c r="U440" s="191"/>
      <c r="V440" s="190"/>
      <c r="W440" s="190"/>
      <c r="X440" s="190"/>
      <c r="Y440" s="226"/>
      <c r="Z440" s="226"/>
      <c r="AA440" s="189"/>
    </row>
    <row r="441" spans="1:27" x14ac:dyDescent="0.25">
      <c r="A441"/>
      <c r="B441"/>
      <c r="C441" s="189"/>
      <c r="D441"/>
      <c r="E441"/>
      <c r="F441" s="176"/>
      <c r="G441" s="176"/>
      <c r="H441" s="224"/>
      <c r="I441" s="224"/>
      <c r="J441" s="225"/>
      <c r="K441" s="225"/>
      <c r="L441" s="226"/>
      <c r="M441" s="226"/>
      <c r="N441" s="226"/>
      <c r="O441" s="226"/>
      <c r="P441" s="226"/>
      <c r="Q441" s="226"/>
      <c r="R441" s="226"/>
      <c r="S441" s="226"/>
      <c r="T441" s="176"/>
      <c r="U441" s="191"/>
      <c r="V441" s="190"/>
      <c r="W441" s="190"/>
      <c r="X441" s="190"/>
      <c r="Y441" s="226"/>
      <c r="Z441" s="226"/>
      <c r="AA441" s="189"/>
    </row>
    <row r="442" spans="1:27" x14ac:dyDescent="0.25">
      <c r="A442"/>
      <c r="B442"/>
      <c r="C442" s="189"/>
      <c r="D442"/>
      <c r="E442"/>
      <c r="F442" s="176"/>
      <c r="G442" s="176"/>
      <c r="H442" s="224"/>
      <c r="I442" s="224"/>
      <c r="J442" s="225"/>
      <c r="K442" s="225"/>
      <c r="L442" s="226"/>
      <c r="M442" s="226"/>
      <c r="N442" s="226"/>
      <c r="O442" s="226"/>
      <c r="P442" s="226"/>
      <c r="Q442" s="226"/>
      <c r="R442" s="226"/>
      <c r="S442" s="226"/>
      <c r="T442" s="176"/>
      <c r="U442" s="191"/>
      <c r="V442" s="190"/>
      <c r="W442" s="190"/>
      <c r="X442" s="190"/>
      <c r="Y442" s="226"/>
      <c r="Z442" s="226"/>
      <c r="AA442" s="189"/>
    </row>
    <row r="443" spans="1:27" x14ac:dyDescent="0.25">
      <c r="A443"/>
      <c r="B443"/>
      <c r="C443" s="189"/>
      <c r="D443"/>
      <c r="E443"/>
      <c r="F443" s="176"/>
      <c r="G443" s="176"/>
      <c r="H443" s="224"/>
      <c r="I443" s="224"/>
      <c r="J443" s="225"/>
      <c r="K443" s="225"/>
      <c r="L443" s="226"/>
      <c r="M443" s="226"/>
      <c r="N443" s="226"/>
      <c r="O443" s="226"/>
      <c r="P443" s="226"/>
      <c r="Q443" s="226"/>
      <c r="R443" s="226"/>
      <c r="S443" s="226"/>
      <c r="T443" s="176"/>
      <c r="U443" s="191"/>
      <c r="V443" s="190"/>
      <c r="W443" s="190"/>
      <c r="X443" s="190"/>
      <c r="Y443" s="226"/>
      <c r="Z443" s="226"/>
      <c r="AA443" s="189"/>
    </row>
    <row r="444" spans="1:27" x14ac:dyDescent="0.25">
      <c r="A444"/>
      <c r="B444"/>
      <c r="C444" s="189"/>
      <c r="D444"/>
      <c r="E444"/>
      <c r="F444" s="176"/>
      <c r="G444" s="176"/>
      <c r="H444" s="224"/>
      <c r="I444" s="224"/>
      <c r="J444" s="225"/>
      <c r="K444" s="225"/>
      <c r="L444" s="226"/>
      <c r="M444" s="226"/>
      <c r="N444" s="226"/>
      <c r="O444" s="226"/>
      <c r="P444" s="226"/>
      <c r="Q444" s="226"/>
      <c r="R444" s="226"/>
      <c r="S444" s="226"/>
      <c r="T444" s="176"/>
      <c r="U444" s="191"/>
      <c r="V444" s="190"/>
      <c r="W444" s="190"/>
      <c r="X444" s="190"/>
      <c r="Y444" s="226"/>
      <c r="Z444" s="226"/>
      <c r="AA444" s="189"/>
    </row>
    <row r="445" spans="1:27" x14ac:dyDescent="0.25">
      <c r="A445"/>
      <c r="B445"/>
      <c r="C445" s="189"/>
      <c r="D445"/>
      <c r="E445"/>
      <c r="F445" s="176"/>
      <c r="G445" s="176"/>
      <c r="H445" s="224"/>
      <c r="I445" s="224"/>
      <c r="J445" s="225"/>
      <c r="K445" s="225"/>
      <c r="L445" s="226"/>
      <c r="M445" s="226"/>
      <c r="N445" s="226"/>
      <c r="O445" s="226"/>
      <c r="P445" s="226"/>
      <c r="Q445" s="226"/>
      <c r="R445" s="226"/>
      <c r="S445" s="226"/>
      <c r="T445" s="176"/>
      <c r="U445" s="191"/>
      <c r="V445" s="190"/>
      <c r="W445" s="190"/>
      <c r="X445" s="190"/>
      <c r="Y445" s="226"/>
      <c r="Z445" s="226"/>
      <c r="AA445" s="189"/>
    </row>
    <row r="446" spans="1:27" x14ac:dyDescent="0.25">
      <c r="A446"/>
      <c r="B446"/>
      <c r="C446" s="189"/>
      <c r="D446"/>
      <c r="E446"/>
      <c r="F446" s="176"/>
      <c r="G446" s="176"/>
      <c r="H446" s="224"/>
      <c r="I446" s="224"/>
      <c r="J446" s="225"/>
      <c r="K446" s="225"/>
      <c r="L446" s="226"/>
      <c r="M446" s="226"/>
      <c r="N446" s="226"/>
      <c r="O446" s="226"/>
      <c r="P446" s="226"/>
      <c r="Q446" s="226"/>
      <c r="R446" s="226"/>
      <c r="S446" s="226"/>
      <c r="T446" s="176"/>
      <c r="U446" s="191"/>
      <c r="V446" s="190"/>
      <c r="W446" s="190"/>
      <c r="X446" s="190"/>
      <c r="Y446" s="226"/>
      <c r="Z446" s="226"/>
      <c r="AA446" s="189"/>
    </row>
    <row r="447" spans="1:27" x14ac:dyDescent="0.25">
      <c r="A447"/>
      <c r="B447"/>
      <c r="C447" s="189"/>
      <c r="D447"/>
      <c r="E447"/>
      <c r="F447" s="176"/>
      <c r="G447" s="176"/>
      <c r="H447" s="224"/>
      <c r="I447" s="224"/>
      <c r="J447" s="225"/>
      <c r="K447" s="225"/>
      <c r="L447" s="226"/>
      <c r="M447" s="226"/>
      <c r="N447" s="226"/>
      <c r="O447" s="226"/>
      <c r="P447" s="226"/>
      <c r="Q447" s="226"/>
      <c r="R447" s="226"/>
      <c r="S447" s="226"/>
      <c r="T447" s="176"/>
      <c r="U447" s="191"/>
      <c r="V447" s="190"/>
      <c r="W447" s="190"/>
      <c r="X447" s="190"/>
      <c r="Y447" s="226"/>
      <c r="Z447" s="226"/>
      <c r="AA447" s="189"/>
    </row>
    <row r="448" spans="1:27" x14ac:dyDescent="0.25">
      <c r="A448"/>
      <c r="B448"/>
      <c r="C448" s="189"/>
      <c r="D448"/>
      <c r="E448"/>
      <c r="F448" s="176"/>
      <c r="G448" s="176"/>
      <c r="H448" s="224"/>
      <c r="I448" s="224"/>
      <c r="J448" s="225"/>
      <c r="K448" s="225"/>
      <c r="L448" s="226"/>
      <c r="M448" s="226"/>
      <c r="N448" s="226"/>
      <c r="O448" s="226"/>
      <c r="P448" s="226"/>
      <c r="Q448" s="226"/>
      <c r="R448" s="226"/>
      <c r="S448" s="226"/>
      <c r="T448" s="176"/>
      <c r="U448" s="191"/>
      <c r="V448" s="190"/>
      <c r="W448" s="190"/>
      <c r="X448" s="190"/>
      <c r="Y448" s="226"/>
      <c r="Z448" s="226"/>
      <c r="AA448" s="189"/>
    </row>
    <row r="449" spans="1:27" x14ac:dyDescent="0.25">
      <c r="A449"/>
      <c r="B449"/>
      <c r="C449" s="189"/>
      <c r="D449"/>
      <c r="E449"/>
      <c r="F449" s="176"/>
      <c r="G449" s="176"/>
      <c r="H449" s="224"/>
      <c r="I449" s="224"/>
      <c r="J449" s="225"/>
      <c r="K449" s="225"/>
      <c r="L449" s="226"/>
      <c r="M449" s="226"/>
      <c r="N449" s="226"/>
      <c r="O449" s="226"/>
      <c r="P449" s="226"/>
      <c r="Q449" s="226"/>
      <c r="R449" s="226"/>
      <c r="S449" s="226"/>
      <c r="T449" s="176"/>
      <c r="U449" s="191"/>
      <c r="V449" s="190"/>
      <c r="W449" s="190"/>
      <c r="X449" s="190"/>
      <c r="Y449" s="226"/>
      <c r="Z449" s="226"/>
      <c r="AA449" s="189"/>
    </row>
    <row r="450" spans="1:27" x14ac:dyDescent="0.25">
      <c r="A450"/>
      <c r="B450"/>
      <c r="C450" s="189"/>
      <c r="D450"/>
      <c r="E450"/>
      <c r="F450" s="176"/>
      <c r="G450" s="176"/>
      <c r="H450" s="224"/>
      <c r="I450" s="224"/>
      <c r="J450" s="225"/>
      <c r="K450" s="225"/>
      <c r="L450" s="226"/>
      <c r="M450" s="226"/>
      <c r="N450" s="226"/>
      <c r="O450" s="226"/>
      <c r="P450" s="226"/>
      <c r="Q450" s="226"/>
      <c r="R450" s="226"/>
      <c r="S450" s="226"/>
      <c r="T450" s="176"/>
      <c r="U450" s="191"/>
      <c r="V450" s="190"/>
      <c r="W450" s="190"/>
      <c r="X450" s="190"/>
      <c r="Y450" s="226"/>
      <c r="Z450" s="226"/>
      <c r="AA450" s="189"/>
    </row>
    <row r="451" spans="1:27" x14ac:dyDescent="0.25">
      <c r="A451"/>
      <c r="B451"/>
      <c r="C451" s="189"/>
      <c r="D451"/>
      <c r="E451"/>
      <c r="F451" s="176"/>
      <c r="G451" s="176"/>
      <c r="H451" s="224"/>
      <c r="I451" s="224"/>
      <c r="J451" s="225"/>
      <c r="K451" s="225"/>
      <c r="L451" s="226"/>
      <c r="M451" s="226"/>
      <c r="N451" s="226"/>
      <c r="O451" s="226"/>
      <c r="P451" s="226"/>
      <c r="Q451" s="226"/>
      <c r="R451" s="226"/>
      <c r="S451" s="226"/>
      <c r="T451" s="176"/>
      <c r="U451" s="191"/>
      <c r="V451" s="190"/>
      <c r="W451" s="190"/>
      <c r="X451" s="190"/>
      <c r="Y451" s="226"/>
      <c r="Z451" s="226"/>
      <c r="AA451" s="189"/>
    </row>
    <row r="452" spans="1:27" x14ac:dyDescent="0.25">
      <c r="A452"/>
      <c r="B452"/>
      <c r="C452" s="189"/>
      <c r="D452"/>
      <c r="E452"/>
      <c r="F452" s="176"/>
      <c r="G452" s="176"/>
      <c r="H452" s="224"/>
      <c r="I452" s="224"/>
      <c r="J452" s="225"/>
      <c r="K452" s="225"/>
      <c r="L452" s="226"/>
      <c r="M452" s="226"/>
      <c r="N452" s="226"/>
      <c r="O452" s="226"/>
      <c r="P452" s="226"/>
      <c r="Q452" s="226"/>
      <c r="R452" s="226"/>
      <c r="S452" s="226"/>
      <c r="T452" s="176"/>
      <c r="U452" s="191"/>
      <c r="V452" s="190"/>
      <c r="W452" s="190"/>
      <c r="X452" s="190"/>
      <c r="Y452" s="226"/>
      <c r="Z452" s="226"/>
      <c r="AA452" s="189"/>
    </row>
    <row r="453" spans="1:27" x14ac:dyDescent="0.25">
      <c r="A453"/>
      <c r="B453"/>
      <c r="C453" s="189"/>
      <c r="D453"/>
      <c r="E453"/>
      <c r="F453" s="176"/>
      <c r="G453" s="176"/>
      <c r="H453" s="224"/>
      <c r="I453" s="224"/>
      <c r="J453" s="225"/>
      <c r="K453" s="225"/>
      <c r="L453" s="226"/>
      <c r="M453" s="226"/>
      <c r="N453" s="226"/>
      <c r="O453" s="226"/>
      <c r="P453" s="226"/>
      <c r="Q453" s="226"/>
      <c r="R453" s="226"/>
      <c r="S453" s="226"/>
      <c r="T453" s="176"/>
      <c r="U453" s="191"/>
      <c r="V453" s="190"/>
      <c r="W453" s="190"/>
      <c r="X453" s="190"/>
      <c r="Y453" s="226"/>
      <c r="Z453" s="226"/>
      <c r="AA453" s="189"/>
    </row>
    <row r="454" spans="1:27" x14ac:dyDescent="0.25">
      <c r="A454"/>
      <c r="B454"/>
      <c r="C454" s="189"/>
      <c r="D454"/>
      <c r="E454"/>
      <c r="F454" s="176"/>
      <c r="G454" s="176"/>
      <c r="H454" s="224"/>
      <c r="I454" s="224"/>
      <c r="J454" s="225"/>
      <c r="K454" s="225"/>
      <c r="L454" s="226"/>
      <c r="M454" s="226"/>
      <c r="N454" s="226"/>
      <c r="O454" s="226"/>
      <c r="P454" s="226"/>
      <c r="Q454" s="226"/>
      <c r="R454" s="226"/>
      <c r="S454" s="226"/>
      <c r="T454" s="176"/>
      <c r="U454" s="191"/>
      <c r="V454" s="190"/>
      <c r="W454" s="190"/>
      <c r="X454" s="190"/>
      <c r="Y454" s="226"/>
      <c r="Z454" s="226"/>
      <c r="AA454" s="189"/>
    </row>
    <row r="455" spans="1:27" x14ac:dyDescent="0.25">
      <c r="A455"/>
      <c r="B455"/>
      <c r="C455" s="189"/>
      <c r="D455"/>
      <c r="E455"/>
      <c r="F455" s="176"/>
      <c r="G455" s="176"/>
      <c r="H455" s="224"/>
      <c r="I455" s="224"/>
      <c r="J455" s="225"/>
      <c r="K455" s="225"/>
      <c r="L455" s="226"/>
      <c r="M455" s="226"/>
      <c r="N455" s="226"/>
      <c r="O455" s="226"/>
      <c r="P455" s="226"/>
      <c r="Q455" s="226"/>
      <c r="R455" s="226"/>
      <c r="S455" s="226"/>
      <c r="T455" s="176"/>
      <c r="U455" s="191"/>
      <c r="V455" s="190"/>
      <c r="W455" s="190"/>
      <c r="X455" s="190"/>
      <c r="Y455" s="226"/>
      <c r="Z455" s="226"/>
      <c r="AA455" s="189"/>
    </row>
    <row r="456" spans="1:27" x14ac:dyDescent="0.25">
      <c r="A456"/>
      <c r="B456"/>
      <c r="C456" s="189"/>
      <c r="D456"/>
      <c r="E456"/>
      <c r="F456" s="176"/>
      <c r="G456" s="176"/>
      <c r="H456" s="224"/>
      <c r="I456" s="224"/>
      <c r="J456" s="225"/>
      <c r="K456" s="225"/>
      <c r="L456" s="226"/>
      <c r="M456" s="226"/>
      <c r="N456" s="226"/>
      <c r="O456" s="226"/>
      <c r="P456" s="226"/>
      <c r="Q456" s="226"/>
      <c r="R456" s="226"/>
      <c r="S456" s="226"/>
      <c r="T456" s="176"/>
      <c r="U456" s="191"/>
      <c r="V456" s="190"/>
      <c r="W456" s="190"/>
      <c r="X456" s="190"/>
      <c r="Y456" s="226"/>
      <c r="Z456" s="226"/>
      <c r="AA456" s="189"/>
    </row>
    <row r="457" spans="1:27" x14ac:dyDescent="0.25">
      <c r="A457"/>
      <c r="B457"/>
      <c r="C457" s="189"/>
      <c r="D457"/>
      <c r="E457"/>
      <c r="F457" s="176"/>
      <c r="G457" s="176"/>
      <c r="H457" s="224"/>
      <c r="I457" s="224"/>
      <c r="J457" s="225"/>
      <c r="K457" s="225"/>
      <c r="L457" s="226"/>
      <c r="M457" s="226"/>
      <c r="N457" s="226"/>
      <c r="O457" s="226"/>
      <c r="P457" s="226"/>
      <c r="Q457" s="226"/>
      <c r="R457" s="226"/>
      <c r="S457" s="226"/>
      <c r="T457" s="176"/>
      <c r="U457" s="191"/>
      <c r="V457" s="190"/>
      <c r="W457" s="190"/>
      <c r="X457" s="190"/>
      <c r="Y457" s="226"/>
      <c r="Z457" s="226"/>
      <c r="AA457" s="189"/>
    </row>
    <row r="458" spans="1:27" x14ac:dyDescent="0.25">
      <c r="A458"/>
      <c r="B458"/>
      <c r="C458" s="189"/>
      <c r="D458"/>
      <c r="E458"/>
      <c r="F458" s="176"/>
      <c r="G458" s="176"/>
      <c r="H458" s="224"/>
      <c r="I458" s="224"/>
      <c r="J458" s="225"/>
      <c r="K458" s="225"/>
      <c r="L458" s="226"/>
      <c r="M458" s="226"/>
      <c r="N458" s="226"/>
      <c r="O458" s="226"/>
      <c r="P458" s="226"/>
      <c r="Q458" s="226"/>
      <c r="R458" s="226"/>
      <c r="S458" s="226"/>
      <c r="T458" s="176"/>
      <c r="U458" s="191"/>
      <c r="V458" s="190"/>
      <c r="W458" s="190"/>
      <c r="X458" s="190"/>
      <c r="Y458" s="226"/>
      <c r="Z458" s="226"/>
      <c r="AA458" s="189"/>
    </row>
    <row r="459" spans="1:27" x14ac:dyDescent="0.25">
      <c r="A459"/>
      <c r="B459"/>
      <c r="C459" s="189"/>
      <c r="D459"/>
      <c r="E459"/>
      <c r="F459" s="176"/>
      <c r="G459" s="176"/>
      <c r="H459" s="224"/>
      <c r="I459" s="224"/>
      <c r="J459" s="225"/>
      <c r="K459" s="225"/>
      <c r="L459" s="226"/>
      <c r="M459" s="226"/>
      <c r="N459" s="226"/>
      <c r="O459" s="226"/>
      <c r="P459" s="226"/>
      <c r="Q459" s="226"/>
      <c r="R459" s="226"/>
      <c r="S459" s="226"/>
      <c r="T459" s="176"/>
      <c r="U459" s="191"/>
      <c r="V459" s="190"/>
      <c r="W459" s="190"/>
      <c r="X459" s="190"/>
      <c r="Y459" s="226"/>
      <c r="Z459" s="226"/>
      <c r="AA459" s="189"/>
    </row>
    <row r="460" spans="1:27" x14ac:dyDescent="0.25">
      <c r="A460"/>
      <c r="B460"/>
      <c r="C460" s="189"/>
      <c r="D460"/>
      <c r="E460"/>
      <c r="F460" s="176"/>
      <c r="G460" s="176"/>
      <c r="H460" s="224"/>
      <c r="I460" s="224"/>
      <c r="J460" s="225"/>
      <c r="K460" s="225"/>
      <c r="L460" s="226"/>
      <c r="M460" s="226"/>
      <c r="N460" s="226"/>
      <c r="O460" s="226"/>
      <c r="P460" s="226"/>
      <c r="Q460" s="226"/>
      <c r="R460" s="226"/>
      <c r="S460" s="226"/>
      <c r="T460" s="176"/>
      <c r="U460" s="191"/>
      <c r="V460" s="190"/>
      <c r="W460" s="190"/>
      <c r="X460" s="190"/>
      <c r="Y460" s="226"/>
      <c r="Z460" s="226"/>
      <c r="AA460" s="189"/>
    </row>
    <row r="461" spans="1:27" x14ac:dyDescent="0.25">
      <c r="A461"/>
      <c r="B461"/>
      <c r="C461" s="189"/>
      <c r="D461"/>
      <c r="E461"/>
      <c r="F461" s="176"/>
      <c r="G461" s="176"/>
      <c r="H461" s="224"/>
      <c r="I461" s="224"/>
      <c r="J461" s="225"/>
      <c r="K461" s="225"/>
      <c r="L461" s="226"/>
      <c r="M461" s="226"/>
      <c r="N461" s="226"/>
      <c r="O461" s="226"/>
      <c r="P461" s="226"/>
      <c r="Q461" s="226"/>
      <c r="R461" s="226"/>
      <c r="S461" s="226"/>
      <c r="T461" s="176"/>
      <c r="U461" s="191"/>
      <c r="V461" s="190"/>
      <c r="W461" s="190"/>
      <c r="X461" s="190"/>
      <c r="Y461" s="226"/>
      <c r="Z461" s="226"/>
      <c r="AA461" s="189"/>
    </row>
    <row r="462" spans="1:27" x14ac:dyDescent="0.25">
      <c r="A462"/>
      <c r="B462"/>
      <c r="C462" s="189"/>
      <c r="D462"/>
      <c r="E462"/>
      <c r="F462" s="176"/>
      <c r="G462" s="176"/>
      <c r="H462" s="224"/>
      <c r="I462" s="224"/>
      <c r="J462" s="225"/>
      <c r="K462" s="225"/>
      <c r="L462" s="226"/>
      <c r="M462" s="226"/>
      <c r="N462" s="226"/>
      <c r="O462" s="226"/>
      <c r="P462" s="226"/>
      <c r="Q462" s="226"/>
      <c r="R462" s="226"/>
      <c r="S462" s="226"/>
      <c r="T462" s="176"/>
      <c r="U462" s="191"/>
      <c r="V462" s="190"/>
      <c r="W462" s="190"/>
      <c r="X462" s="190"/>
      <c r="Y462" s="226"/>
      <c r="Z462" s="226"/>
      <c r="AA462" s="189"/>
    </row>
    <row r="463" spans="1:27" x14ac:dyDescent="0.25">
      <c r="A463"/>
      <c r="B463"/>
      <c r="C463" s="189"/>
      <c r="D463"/>
      <c r="E463"/>
      <c r="F463" s="176"/>
      <c r="G463" s="176"/>
      <c r="H463" s="224"/>
      <c r="I463" s="224"/>
      <c r="J463" s="225"/>
      <c r="K463" s="225"/>
      <c r="L463" s="226"/>
      <c r="M463" s="226"/>
      <c r="N463" s="226"/>
      <c r="O463" s="226"/>
      <c r="P463" s="226"/>
      <c r="Q463" s="226"/>
      <c r="R463" s="226"/>
      <c r="S463" s="226"/>
      <c r="T463" s="176"/>
      <c r="U463" s="191"/>
      <c r="V463" s="190"/>
      <c r="W463" s="190"/>
      <c r="X463" s="190"/>
      <c r="Y463" s="226"/>
      <c r="Z463" s="226"/>
      <c r="AA463" s="189"/>
    </row>
    <row r="464" spans="1:27" x14ac:dyDescent="0.25">
      <c r="A464"/>
      <c r="B464"/>
      <c r="C464" s="189"/>
      <c r="D464"/>
      <c r="E464"/>
      <c r="F464" s="176"/>
      <c r="G464" s="176"/>
      <c r="H464" s="224"/>
      <c r="I464" s="224"/>
      <c r="J464" s="225"/>
      <c r="K464" s="225"/>
      <c r="L464" s="226"/>
      <c r="M464" s="226"/>
      <c r="N464" s="226"/>
      <c r="O464" s="226"/>
      <c r="P464" s="226"/>
      <c r="Q464" s="226"/>
      <c r="R464" s="226"/>
      <c r="S464" s="226"/>
      <c r="T464" s="176"/>
      <c r="U464" s="191"/>
      <c r="V464" s="190"/>
      <c r="W464" s="190"/>
      <c r="X464" s="190"/>
      <c r="Y464" s="226"/>
      <c r="Z464" s="226"/>
      <c r="AA464" s="189"/>
    </row>
    <row r="465" spans="1:27" x14ac:dyDescent="0.25">
      <c r="A465"/>
      <c r="B465"/>
      <c r="C465" s="189"/>
      <c r="D465"/>
      <c r="E465"/>
      <c r="F465" s="176"/>
      <c r="G465" s="176"/>
      <c r="H465" s="224"/>
      <c r="I465" s="224"/>
      <c r="J465" s="225"/>
      <c r="K465" s="225"/>
      <c r="L465" s="226"/>
      <c r="M465" s="226"/>
      <c r="N465" s="226"/>
      <c r="O465" s="226"/>
      <c r="P465" s="226"/>
      <c r="Q465" s="226"/>
      <c r="R465" s="226"/>
      <c r="S465" s="226"/>
      <c r="T465" s="176"/>
      <c r="U465" s="191"/>
      <c r="V465" s="190"/>
      <c r="W465" s="190"/>
      <c r="X465" s="190"/>
      <c r="Y465" s="226"/>
      <c r="Z465" s="226"/>
      <c r="AA465" s="189"/>
    </row>
    <row r="466" spans="1:27" x14ac:dyDescent="0.25">
      <c r="A466"/>
      <c r="B466"/>
      <c r="C466" s="189"/>
      <c r="D466"/>
      <c r="E466"/>
      <c r="F466" s="176"/>
      <c r="G466" s="176"/>
      <c r="H466" s="224"/>
      <c r="I466" s="224"/>
      <c r="J466" s="225"/>
      <c r="K466" s="225"/>
      <c r="L466" s="226"/>
      <c r="M466" s="226"/>
      <c r="N466" s="226"/>
      <c r="O466" s="226"/>
      <c r="P466" s="226"/>
      <c r="Q466" s="226"/>
      <c r="R466" s="226"/>
      <c r="S466" s="226"/>
      <c r="T466" s="176"/>
      <c r="U466" s="191"/>
      <c r="V466" s="190"/>
      <c r="W466" s="190"/>
      <c r="X466" s="190"/>
      <c r="Y466" s="226"/>
      <c r="Z466" s="226"/>
      <c r="AA466" s="189"/>
    </row>
    <row r="467" spans="1:27" x14ac:dyDescent="0.25">
      <c r="A467"/>
      <c r="B467"/>
      <c r="C467" s="189"/>
      <c r="D467"/>
      <c r="E467"/>
      <c r="F467" s="176"/>
      <c r="G467" s="176"/>
      <c r="H467" s="224"/>
      <c r="I467" s="224"/>
      <c r="J467" s="225"/>
      <c r="K467" s="225"/>
      <c r="L467" s="226"/>
      <c r="M467" s="226"/>
      <c r="N467" s="226"/>
      <c r="O467" s="226"/>
      <c r="P467" s="226"/>
      <c r="Q467" s="226"/>
      <c r="R467" s="226"/>
      <c r="S467" s="226"/>
      <c r="T467" s="176"/>
      <c r="U467" s="191"/>
      <c r="V467" s="190"/>
      <c r="W467" s="190"/>
      <c r="X467" s="190"/>
      <c r="Y467" s="226"/>
      <c r="Z467" s="226"/>
      <c r="AA467" s="189"/>
    </row>
    <row r="468" spans="1:27" x14ac:dyDescent="0.25">
      <c r="A468"/>
      <c r="B468"/>
      <c r="C468" s="189"/>
      <c r="D468"/>
      <c r="E468"/>
      <c r="F468" s="176"/>
      <c r="G468" s="176"/>
      <c r="H468" s="224"/>
      <c r="I468" s="224"/>
      <c r="J468" s="225"/>
      <c r="K468" s="225"/>
      <c r="L468" s="226"/>
      <c r="M468" s="226"/>
      <c r="N468" s="226"/>
      <c r="O468" s="226"/>
      <c r="P468" s="226"/>
      <c r="Q468" s="226"/>
      <c r="R468" s="226"/>
      <c r="S468" s="226"/>
      <c r="T468" s="176"/>
      <c r="U468" s="191"/>
      <c r="V468" s="190"/>
      <c r="W468" s="190"/>
      <c r="X468" s="190"/>
      <c r="Y468" s="226"/>
      <c r="Z468" s="226"/>
      <c r="AA468" s="189"/>
    </row>
    <row r="469" spans="1:27" x14ac:dyDescent="0.25">
      <c r="A469"/>
      <c r="B469"/>
      <c r="C469" s="189"/>
      <c r="D469"/>
      <c r="E469"/>
      <c r="F469" s="176"/>
      <c r="G469" s="176"/>
      <c r="H469" s="224"/>
      <c r="I469" s="224"/>
      <c r="J469" s="225"/>
      <c r="K469" s="225"/>
      <c r="L469" s="226"/>
      <c r="M469" s="226"/>
      <c r="N469" s="226"/>
      <c r="O469" s="226"/>
      <c r="P469" s="226"/>
      <c r="Q469" s="226"/>
      <c r="R469" s="226"/>
      <c r="S469" s="226"/>
      <c r="T469" s="176"/>
      <c r="U469" s="191"/>
      <c r="V469" s="190"/>
      <c r="W469" s="190"/>
      <c r="X469" s="190"/>
      <c r="Y469" s="226"/>
      <c r="Z469" s="226"/>
      <c r="AA469" s="189"/>
    </row>
    <row r="470" spans="1:27" x14ac:dyDescent="0.25">
      <c r="A470"/>
      <c r="B470"/>
      <c r="C470" s="189"/>
      <c r="D470"/>
      <c r="E470"/>
      <c r="F470" s="176"/>
      <c r="G470" s="176"/>
      <c r="H470" s="224"/>
      <c r="I470" s="224"/>
      <c r="J470" s="225"/>
      <c r="K470" s="225"/>
      <c r="L470" s="226"/>
      <c r="M470" s="226"/>
      <c r="N470" s="226"/>
      <c r="O470" s="226"/>
      <c r="P470" s="226"/>
      <c r="Q470" s="226"/>
      <c r="R470" s="226"/>
      <c r="S470" s="226"/>
      <c r="T470" s="176"/>
      <c r="U470" s="191"/>
      <c r="V470" s="190"/>
      <c r="W470" s="190"/>
      <c r="X470" s="190"/>
      <c r="Y470" s="226"/>
      <c r="Z470" s="226"/>
      <c r="AA470" s="189"/>
    </row>
    <row r="471" spans="1:27" x14ac:dyDescent="0.25">
      <c r="A471"/>
      <c r="B471"/>
      <c r="C471" s="189"/>
      <c r="D471"/>
      <c r="E471"/>
      <c r="F471" s="176"/>
      <c r="G471" s="176"/>
      <c r="H471" s="224"/>
      <c r="I471" s="224"/>
      <c r="J471" s="225"/>
      <c r="K471" s="225"/>
      <c r="L471" s="226"/>
      <c r="M471" s="226"/>
      <c r="N471" s="226"/>
      <c r="O471" s="226"/>
      <c r="P471" s="226"/>
      <c r="Q471" s="226"/>
      <c r="R471" s="226"/>
      <c r="S471" s="226"/>
      <c r="T471" s="176"/>
      <c r="U471" s="191"/>
      <c r="V471" s="190"/>
      <c r="W471" s="190"/>
      <c r="X471" s="190"/>
      <c r="Y471" s="226"/>
      <c r="Z471" s="226"/>
      <c r="AA471" s="189"/>
    </row>
    <row r="472" spans="1:27" x14ac:dyDescent="0.25">
      <c r="A472"/>
      <c r="B472"/>
      <c r="C472" s="189"/>
      <c r="D472"/>
      <c r="E472"/>
      <c r="F472" s="176"/>
      <c r="G472" s="176"/>
      <c r="H472" s="224"/>
      <c r="I472" s="224"/>
      <c r="J472" s="225"/>
      <c r="K472" s="225"/>
      <c r="L472" s="226"/>
      <c r="M472" s="226"/>
      <c r="N472" s="226"/>
      <c r="O472" s="226"/>
      <c r="P472" s="226"/>
      <c r="Q472" s="226"/>
      <c r="R472" s="226"/>
      <c r="S472" s="226"/>
      <c r="T472" s="176"/>
      <c r="U472" s="191"/>
      <c r="V472" s="190"/>
      <c r="W472" s="190"/>
      <c r="X472" s="190"/>
      <c r="Y472" s="226"/>
      <c r="Z472" s="226"/>
      <c r="AA472" s="189"/>
    </row>
    <row r="473" spans="1:27" x14ac:dyDescent="0.25">
      <c r="A473"/>
      <c r="B473"/>
      <c r="C473" s="189"/>
      <c r="D473"/>
      <c r="E473"/>
      <c r="F473" s="176"/>
      <c r="G473" s="176"/>
      <c r="H473" s="224"/>
      <c r="I473" s="224"/>
      <c r="J473" s="225"/>
      <c r="K473" s="225"/>
      <c r="L473" s="226"/>
      <c r="M473" s="226"/>
      <c r="N473" s="226"/>
      <c r="O473" s="226"/>
      <c r="P473" s="226"/>
      <c r="Q473" s="226"/>
      <c r="R473" s="226"/>
      <c r="S473" s="226"/>
      <c r="T473" s="176"/>
      <c r="U473" s="191"/>
      <c r="V473" s="190"/>
      <c r="W473" s="190"/>
      <c r="X473" s="190"/>
      <c r="Y473" s="226"/>
      <c r="Z473" s="226"/>
      <c r="AA473" s="189"/>
    </row>
    <row r="474" spans="1:27" x14ac:dyDescent="0.25">
      <c r="A474"/>
      <c r="B474"/>
      <c r="C474" s="189"/>
      <c r="D474"/>
      <c r="E474"/>
      <c r="F474" s="176"/>
      <c r="G474" s="176"/>
      <c r="H474" s="224"/>
      <c r="I474" s="224"/>
      <c r="J474" s="225"/>
      <c r="K474" s="225"/>
      <c r="L474" s="226"/>
      <c r="M474" s="226"/>
      <c r="N474" s="226"/>
      <c r="O474" s="226"/>
      <c r="P474" s="226"/>
      <c r="Q474" s="226"/>
      <c r="R474" s="226"/>
      <c r="S474" s="226"/>
      <c r="T474" s="176"/>
      <c r="U474" s="191"/>
      <c r="V474" s="190"/>
      <c r="W474" s="190"/>
      <c r="X474" s="190"/>
      <c r="Y474" s="226"/>
      <c r="Z474" s="226"/>
      <c r="AA474" s="189"/>
    </row>
    <row r="475" spans="1:27" x14ac:dyDescent="0.25">
      <c r="A475"/>
      <c r="B475"/>
      <c r="C475" s="189"/>
      <c r="D475"/>
      <c r="E475"/>
      <c r="F475" s="176"/>
      <c r="G475" s="176"/>
      <c r="H475" s="224"/>
      <c r="I475" s="224"/>
      <c r="J475" s="225"/>
      <c r="K475" s="225"/>
      <c r="L475" s="226"/>
      <c r="M475" s="226"/>
      <c r="N475" s="226"/>
      <c r="O475" s="226"/>
      <c r="P475" s="226"/>
      <c r="Q475" s="226"/>
      <c r="R475" s="226"/>
      <c r="S475" s="226"/>
      <c r="T475" s="176"/>
      <c r="U475" s="191"/>
      <c r="V475" s="190"/>
      <c r="W475" s="190"/>
      <c r="X475" s="190"/>
      <c r="Y475" s="226"/>
      <c r="Z475" s="226"/>
      <c r="AA475" s="189"/>
    </row>
    <row r="476" spans="1:27" x14ac:dyDescent="0.25">
      <c r="A476"/>
      <c r="B476"/>
      <c r="C476" s="189"/>
      <c r="D476"/>
      <c r="E476"/>
      <c r="F476" s="176"/>
      <c r="G476" s="176"/>
      <c r="H476" s="224"/>
      <c r="I476" s="224"/>
      <c r="J476" s="225"/>
      <c r="K476" s="225"/>
      <c r="L476" s="226"/>
      <c r="M476" s="226"/>
      <c r="N476" s="226"/>
      <c r="O476" s="226"/>
      <c r="P476" s="226"/>
      <c r="Q476" s="226"/>
      <c r="R476" s="226"/>
      <c r="S476" s="226"/>
      <c r="T476" s="176"/>
      <c r="U476" s="191"/>
      <c r="V476" s="190"/>
      <c r="W476" s="190"/>
      <c r="X476" s="190"/>
      <c r="Y476" s="226"/>
      <c r="Z476" s="226"/>
      <c r="AA476" s="189"/>
    </row>
    <row r="477" spans="1:27" x14ac:dyDescent="0.25">
      <c r="A477"/>
      <c r="B477"/>
      <c r="C477" s="189"/>
      <c r="D477"/>
      <c r="E477"/>
      <c r="F477" s="176"/>
      <c r="G477" s="176"/>
      <c r="H477" s="224"/>
      <c r="I477" s="224"/>
      <c r="J477" s="225"/>
      <c r="K477" s="225"/>
      <c r="L477" s="226"/>
      <c r="M477" s="226"/>
      <c r="N477" s="226"/>
      <c r="O477" s="226"/>
      <c r="P477" s="226"/>
      <c r="Q477" s="226"/>
      <c r="R477" s="226"/>
      <c r="S477" s="226"/>
      <c r="T477" s="176"/>
      <c r="U477" s="191"/>
      <c r="V477" s="190"/>
      <c r="W477" s="190"/>
      <c r="X477" s="190"/>
      <c r="Y477" s="226"/>
      <c r="Z477" s="226"/>
      <c r="AA477" s="189"/>
    </row>
    <row r="478" spans="1:27" x14ac:dyDescent="0.25">
      <c r="A478"/>
      <c r="B478"/>
      <c r="C478" s="189"/>
      <c r="D478"/>
      <c r="E478"/>
      <c r="F478" s="176"/>
      <c r="G478" s="176"/>
      <c r="H478" s="224"/>
      <c r="I478" s="224"/>
      <c r="J478" s="225"/>
      <c r="K478" s="225"/>
      <c r="L478" s="226"/>
      <c r="M478" s="226"/>
      <c r="N478" s="226"/>
      <c r="O478" s="226"/>
      <c r="P478" s="226"/>
      <c r="Q478" s="226"/>
      <c r="R478" s="226"/>
      <c r="S478" s="226"/>
      <c r="T478" s="176"/>
      <c r="U478" s="191"/>
      <c r="V478" s="190"/>
      <c r="W478" s="190"/>
      <c r="X478" s="190"/>
      <c r="Y478" s="226"/>
      <c r="Z478" s="226"/>
      <c r="AA478" s="189"/>
    </row>
    <row r="479" spans="1:27" x14ac:dyDescent="0.25">
      <c r="A479"/>
      <c r="B479"/>
      <c r="C479" s="189"/>
      <c r="D479"/>
      <c r="E479"/>
      <c r="F479" s="176"/>
      <c r="G479" s="176"/>
      <c r="H479" s="224"/>
      <c r="I479" s="224"/>
      <c r="J479" s="225"/>
      <c r="K479" s="225"/>
      <c r="L479" s="226"/>
      <c r="M479" s="226"/>
      <c r="N479" s="226"/>
      <c r="O479" s="226"/>
      <c r="P479" s="226"/>
      <c r="Q479" s="226"/>
      <c r="R479" s="226"/>
      <c r="S479" s="226"/>
      <c r="T479" s="176"/>
      <c r="U479" s="191"/>
      <c r="V479" s="190"/>
      <c r="W479" s="190"/>
      <c r="X479" s="190"/>
      <c r="Y479" s="226"/>
      <c r="Z479" s="226"/>
      <c r="AA479" s="189"/>
    </row>
    <row r="480" spans="1:27" x14ac:dyDescent="0.25">
      <c r="A480"/>
      <c r="B480"/>
      <c r="C480" s="189"/>
      <c r="D480"/>
      <c r="E480"/>
      <c r="F480" s="176"/>
      <c r="G480" s="176"/>
      <c r="H480" s="224"/>
      <c r="I480" s="224"/>
      <c r="J480" s="225"/>
      <c r="K480" s="225"/>
      <c r="L480" s="226"/>
      <c r="M480" s="226"/>
      <c r="N480" s="226"/>
      <c r="O480" s="226"/>
      <c r="P480" s="226"/>
      <c r="Q480" s="226"/>
      <c r="R480" s="226"/>
      <c r="S480" s="226"/>
      <c r="T480" s="176"/>
      <c r="U480" s="191"/>
      <c r="V480" s="190"/>
      <c r="W480" s="190"/>
      <c r="X480" s="190"/>
      <c r="Y480" s="226"/>
      <c r="Z480" s="226"/>
      <c r="AA480" s="189"/>
    </row>
    <row r="481" spans="1:27" x14ac:dyDescent="0.25">
      <c r="A481"/>
      <c r="B481"/>
      <c r="C481" s="189"/>
      <c r="D481"/>
      <c r="E481"/>
      <c r="F481" s="176"/>
      <c r="G481" s="176"/>
      <c r="H481" s="224"/>
      <c r="I481" s="224"/>
      <c r="J481" s="225"/>
      <c r="K481" s="225"/>
      <c r="L481" s="226"/>
      <c r="M481" s="226"/>
      <c r="N481" s="226"/>
      <c r="O481" s="226"/>
      <c r="P481" s="226"/>
      <c r="Q481" s="226"/>
      <c r="R481" s="226"/>
      <c r="S481" s="226"/>
      <c r="T481" s="176"/>
      <c r="U481" s="191"/>
      <c r="V481" s="190"/>
      <c r="W481" s="190"/>
      <c r="X481" s="190"/>
      <c r="Y481" s="226"/>
      <c r="Z481" s="226"/>
      <c r="AA481" s="189"/>
    </row>
    <row r="482" spans="1:27" x14ac:dyDescent="0.25">
      <c r="A482"/>
      <c r="B482"/>
      <c r="C482" s="189"/>
      <c r="D482"/>
      <c r="E482"/>
      <c r="F482" s="176"/>
      <c r="G482" s="176"/>
      <c r="H482" s="224"/>
      <c r="I482" s="224"/>
      <c r="J482" s="225"/>
      <c r="K482" s="225"/>
      <c r="L482" s="226"/>
      <c r="M482" s="226"/>
      <c r="N482" s="226"/>
      <c r="O482" s="226"/>
      <c r="P482" s="226"/>
      <c r="Q482" s="226"/>
      <c r="R482" s="226"/>
      <c r="S482" s="226"/>
      <c r="T482" s="176"/>
      <c r="U482" s="191"/>
      <c r="V482" s="190"/>
      <c r="W482" s="190"/>
      <c r="X482" s="190"/>
      <c r="Y482" s="226"/>
      <c r="Z482" s="226"/>
      <c r="AA482" s="189"/>
    </row>
    <row r="483" spans="1:27" x14ac:dyDescent="0.25">
      <c r="A483"/>
      <c r="B483"/>
      <c r="C483" s="189"/>
      <c r="D483"/>
      <c r="E483"/>
      <c r="F483" s="176"/>
      <c r="G483" s="176"/>
      <c r="H483" s="224"/>
      <c r="I483" s="224"/>
      <c r="J483" s="225"/>
      <c r="K483" s="225"/>
      <c r="L483" s="226"/>
      <c r="M483" s="226"/>
      <c r="N483" s="226"/>
      <c r="O483" s="226"/>
      <c r="P483" s="226"/>
      <c r="Q483" s="226"/>
      <c r="R483" s="226"/>
      <c r="S483" s="226"/>
      <c r="T483" s="176"/>
      <c r="U483" s="191"/>
      <c r="V483" s="190"/>
      <c r="W483" s="190"/>
      <c r="X483" s="190"/>
      <c r="Y483" s="226"/>
      <c r="Z483" s="226"/>
      <c r="AA483" s="189"/>
    </row>
    <row r="484" spans="1:27" x14ac:dyDescent="0.25">
      <c r="A484"/>
      <c r="B484"/>
      <c r="C484" s="189"/>
      <c r="D484"/>
      <c r="E484"/>
      <c r="F484" s="176"/>
      <c r="G484" s="176"/>
      <c r="H484" s="224"/>
      <c r="I484" s="224"/>
      <c r="J484" s="225"/>
      <c r="K484" s="225"/>
      <c r="L484" s="226"/>
      <c r="M484" s="226"/>
      <c r="N484" s="226"/>
      <c r="O484" s="226"/>
      <c r="P484" s="226"/>
      <c r="Q484" s="226"/>
      <c r="R484" s="226"/>
      <c r="S484" s="226"/>
      <c r="T484" s="176"/>
      <c r="U484" s="191"/>
      <c r="V484" s="190"/>
      <c r="W484" s="190"/>
      <c r="X484" s="190"/>
      <c r="Y484" s="226"/>
      <c r="Z484" s="226"/>
      <c r="AA484" s="189"/>
    </row>
    <row r="485" spans="1:27" x14ac:dyDescent="0.25">
      <c r="A485"/>
      <c r="B485"/>
      <c r="C485" s="189"/>
      <c r="D485"/>
      <c r="E485"/>
      <c r="F485" s="176"/>
      <c r="G485" s="176"/>
      <c r="H485" s="224"/>
      <c r="I485" s="224"/>
      <c r="J485" s="225"/>
      <c r="K485" s="225"/>
      <c r="L485" s="226"/>
      <c r="M485" s="226"/>
      <c r="N485" s="226"/>
      <c r="O485" s="226"/>
      <c r="P485" s="226"/>
      <c r="Q485" s="226"/>
      <c r="R485" s="226"/>
      <c r="S485" s="226"/>
      <c r="T485" s="176"/>
      <c r="U485" s="191"/>
      <c r="V485" s="190"/>
      <c r="W485" s="190"/>
      <c r="X485" s="190"/>
      <c r="Y485" s="226"/>
      <c r="Z485" s="226"/>
      <c r="AA485" s="189"/>
    </row>
    <row r="486" spans="1:27" x14ac:dyDescent="0.25">
      <c r="A486"/>
      <c r="B486"/>
      <c r="C486" s="189"/>
      <c r="D486"/>
      <c r="E486"/>
      <c r="F486" s="176"/>
      <c r="G486" s="176"/>
      <c r="H486" s="224"/>
      <c r="I486" s="224"/>
      <c r="J486" s="225"/>
      <c r="K486" s="225"/>
      <c r="L486" s="226"/>
      <c r="M486" s="226"/>
      <c r="N486" s="226"/>
      <c r="O486" s="226"/>
      <c r="P486" s="226"/>
      <c r="Q486" s="226"/>
      <c r="R486" s="226"/>
      <c r="S486" s="226"/>
      <c r="T486" s="176"/>
      <c r="U486" s="191"/>
      <c r="V486" s="190"/>
      <c r="W486" s="190"/>
      <c r="X486" s="190"/>
      <c r="Y486" s="226"/>
      <c r="Z486" s="226"/>
      <c r="AA486" s="189"/>
    </row>
    <row r="487" spans="1:27" x14ac:dyDescent="0.25">
      <c r="A487"/>
      <c r="B487"/>
      <c r="C487" s="189"/>
      <c r="D487"/>
      <c r="E487"/>
      <c r="F487" s="176"/>
      <c r="G487" s="176"/>
      <c r="H487" s="224"/>
      <c r="I487" s="224"/>
      <c r="J487" s="225"/>
      <c r="K487" s="225"/>
      <c r="L487" s="226"/>
      <c r="M487" s="226"/>
      <c r="N487" s="226"/>
      <c r="O487" s="226"/>
      <c r="P487" s="226"/>
      <c r="Q487" s="226"/>
      <c r="R487" s="226"/>
      <c r="S487" s="226"/>
      <c r="T487" s="176"/>
      <c r="U487" s="191"/>
      <c r="V487" s="190"/>
      <c r="W487" s="190"/>
      <c r="X487" s="190"/>
      <c r="Y487" s="226"/>
      <c r="Z487" s="226"/>
      <c r="AA487" s="189"/>
    </row>
    <row r="488" spans="1:27" x14ac:dyDescent="0.25">
      <c r="A488"/>
      <c r="B488"/>
      <c r="C488" s="189"/>
      <c r="D488"/>
      <c r="E488"/>
      <c r="F488" s="176"/>
      <c r="G488" s="176"/>
      <c r="H488" s="224"/>
      <c r="I488" s="224"/>
      <c r="J488" s="225"/>
      <c r="K488" s="225"/>
      <c r="L488" s="226"/>
      <c r="M488" s="226"/>
      <c r="N488" s="226"/>
      <c r="O488" s="226"/>
      <c r="P488" s="226"/>
      <c r="Q488" s="226"/>
      <c r="R488" s="226"/>
      <c r="S488" s="226"/>
      <c r="T488" s="176"/>
      <c r="U488" s="191"/>
      <c r="V488" s="190"/>
      <c r="W488" s="190"/>
      <c r="X488" s="190"/>
      <c r="Y488" s="226"/>
      <c r="Z488" s="226"/>
      <c r="AA488" s="189"/>
    </row>
    <row r="489" spans="1:27" x14ac:dyDescent="0.25">
      <c r="A489"/>
      <c r="B489"/>
      <c r="C489" s="189"/>
      <c r="D489"/>
      <c r="E489"/>
      <c r="F489" s="176"/>
      <c r="G489" s="176"/>
      <c r="H489" s="224"/>
      <c r="I489" s="224"/>
      <c r="J489" s="225"/>
      <c r="K489" s="225"/>
      <c r="L489" s="226"/>
      <c r="M489" s="226"/>
      <c r="N489" s="226"/>
      <c r="O489" s="226"/>
      <c r="P489" s="226"/>
      <c r="Q489" s="226"/>
      <c r="R489" s="226"/>
      <c r="S489" s="226"/>
      <c r="T489" s="176"/>
      <c r="U489" s="191"/>
      <c r="V489" s="190"/>
      <c r="W489" s="190"/>
      <c r="X489" s="190"/>
      <c r="Y489" s="226"/>
      <c r="Z489" s="226"/>
      <c r="AA489" s="189"/>
    </row>
    <row r="490" spans="1:27" x14ac:dyDescent="0.25">
      <c r="A490"/>
      <c r="B490"/>
      <c r="C490" s="189"/>
      <c r="D490"/>
      <c r="E490"/>
      <c r="F490" s="176"/>
      <c r="G490" s="176"/>
      <c r="H490" s="224"/>
      <c r="I490" s="224"/>
      <c r="J490" s="225"/>
      <c r="K490" s="225"/>
      <c r="L490" s="226"/>
      <c r="M490" s="226"/>
      <c r="N490" s="226"/>
      <c r="O490" s="226"/>
      <c r="P490" s="226"/>
      <c r="Q490" s="226"/>
      <c r="R490" s="226"/>
      <c r="S490" s="226"/>
      <c r="T490" s="176"/>
      <c r="U490" s="191"/>
      <c r="V490" s="190"/>
      <c r="W490" s="190"/>
      <c r="X490" s="190"/>
      <c r="Y490" s="226"/>
      <c r="Z490" s="226"/>
      <c r="AA490" s="189"/>
    </row>
    <row r="491" spans="1:27" x14ac:dyDescent="0.25">
      <c r="A491"/>
      <c r="B491"/>
      <c r="C491" s="189"/>
      <c r="D491"/>
      <c r="E491"/>
      <c r="F491" s="176"/>
      <c r="G491" s="176"/>
      <c r="H491" s="224"/>
      <c r="I491" s="224"/>
      <c r="J491" s="225"/>
      <c r="K491" s="225"/>
      <c r="L491" s="226"/>
      <c r="M491" s="226"/>
      <c r="N491" s="226"/>
      <c r="O491" s="226"/>
      <c r="P491" s="226"/>
      <c r="Q491" s="226"/>
      <c r="R491" s="226"/>
      <c r="S491" s="226"/>
      <c r="T491" s="176"/>
      <c r="U491" s="191"/>
      <c r="V491" s="190"/>
      <c r="W491" s="190"/>
      <c r="X491" s="190"/>
      <c r="Y491" s="226"/>
      <c r="Z491" s="226"/>
      <c r="AA491" s="189"/>
    </row>
    <row r="492" spans="1:27" x14ac:dyDescent="0.25">
      <c r="A492"/>
      <c r="B492"/>
      <c r="C492" s="189"/>
      <c r="D492"/>
      <c r="E492"/>
      <c r="F492" s="176"/>
      <c r="G492" s="176"/>
      <c r="H492" s="224"/>
      <c r="I492" s="224"/>
      <c r="J492" s="225"/>
      <c r="K492" s="225"/>
      <c r="L492" s="226"/>
      <c r="M492" s="226"/>
      <c r="N492" s="226"/>
      <c r="O492" s="226"/>
      <c r="P492" s="226"/>
      <c r="Q492" s="226"/>
      <c r="R492" s="226"/>
      <c r="S492" s="226"/>
      <c r="T492" s="176"/>
      <c r="U492" s="191"/>
      <c r="V492" s="190"/>
      <c r="W492" s="190"/>
      <c r="X492" s="190"/>
      <c r="Y492" s="226"/>
      <c r="Z492" s="226"/>
      <c r="AA492" s="189"/>
    </row>
    <row r="493" spans="1:27" x14ac:dyDescent="0.25">
      <c r="A493"/>
      <c r="B493"/>
      <c r="C493" s="189"/>
      <c r="D493"/>
      <c r="E493"/>
      <c r="F493" s="176"/>
      <c r="G493" s="176"/>
      <c r="H493" s="224"/>
      <c r="I493" s="224"/>
      <c r="J493" s="225"/>
      <c r="K493" s="225"/>
      <c r="L493" s="226"/>
      <c r="M493" s="226"/>
      <c r="N493" s="226"/>
      <c r="O493" s="226"/>
      <c r="P493" s="226"/>
      <c r="Q493" s="226"/>
      <c r="R493" s="226"/>
      <c r="S493" s="226"/>
      <c r="T493" s="176"/>
      <c r="U493" s="191"/>
      <c r="V493" s="190"/>
      <c r="W493" s="190"/>
      <c r="X493" s="190"/>
      <c r="Y493" s="226"/>
      <c r="Z493" s="226"/>
      <c r="AA493" s="189"/>
    </row>
    <row r="494" spans="1:27" x14ac:dyDescent="0.25">
      <c r="A494"/>
      <c r="B494"/>
      <c r="C494" s="189"/>
      <c r="D494"/>
      <c r="E494"/>
      <c r="F494" s="176"/>
      <c r="G494" s="176"/>
      <c r="H494" s="224"/>
      <c r="I494" s="224"/>
      <c r="J494" s="225"/>
      <c r="K494" s="225"/>
      <c r="L494" s="226"/>
      <c r="M494" s="226"/>
      <c r="N494" s="226"/>
      <c r="O494" s="226"/>
      <c r="P494" s="226"/>
      <c r="Q494" s="226"/>
      <c r="R494" s="226"/>
      <c r="S494" s="226"/>
      <c r="T494" s="176"/>
      <c r="U494" s="191"/>
      <c r="V494" s="190"/>
      <c r="W494" s="190"/>
      <c r="X494" s="190"/>
      <c r="Y494" s="226"/>
      <c r="Z494" s="226"/>
      <c r="AA494" s="189"/>
    </row>
    <row r="495" spans="1:27" x14ac:dyDescent="0.25">
      <c r="A495"/>
      <c r="B495"/>
      <c r="C495" s="189"/>
      <c r="D495"/>
      <c r="E495"/>
      <c r="F495" s="176"/>
      <c r="G495" s="176"/>
      <c r="H495" s="224"/>
      <c r="I495" s="224"/>
      <c r="J495" s="225"/>
      <c r="K495" s="225"/>
      <c r="L495" s="226"/>
      <c r="M495" s="226"/>
      <c r="N495" s="226"/>
      <c r="O495" s="226"/>
      <c r="P495" s="226"/>
      <c r="Q495" s="226"/>
      <c r="R495" s="226"/>
      <c r="S495" s="226"/>
      <c r="T495" s="176"/>
      <c r="U495" s="191"/>
      <c r="V495" s="190"/>
      <c r="W495" s="190"/>
      <c r="X495" s="190"/>
      <c r="Y495" s="226"/>
      <c r="Z495" s="226"/>
      <c r="AA495" s="189"/>
    </row>
    <row r="496" spans="1:27" x14ac:dyDescent="0.25">
      <c r="A496"/>
      <c r="B496"/>
      <c r="C496" s="189"/>
      <c r="D496"/>
      <c r="E496"/>
      <c r="F496" s="176"/>
      <c r="G496" s="176"/>
      <c r="H496" s="224"/>
      <c r="I496" s="224"/>
      <c r="J496" s="225"/>
      <c r="K496" s="225"/>
      <c r="L496" s="226"/>
      <c r="M496" s="226"/>
      <c r="N496" s="226"/>
      <c r="O496" s="226"/>
      <c r="P496" s="226"/>
      <c r="Q496" s="226"/>
      <c r="R496" s="226"/>
      <c r="S496" s="226"/>
      <c r="T496" s="176"/>
      <c r="U496" s="191"/>
      <c r="V496" s="190"/>
      <c r="W496" s="190"/>
      <c r="X496" s="190"/>
      <c r="Y496" s="226"/>
      <c r="Z496" s="226"/>
      <c r="AA496" s="189"/>
    </row>
    <row r="497" spans="1:27" x14ac:dyDescent="0.25">
      <c r="A497"/>
      <c r="B497"/>
      <c r="C497" s="189"/>
      <c r="D497"/>
      <c r="E497"/>
      <c r="F497" s="176"/>
      <c r="G497" s="176"/>
      <c r="H497" s="224"/>
      <c r="I497" s="224"/>
      <c r="J497" s="225"/>
      <c r="K497" s="225"/>
      <c r="L497" s="226"/>
      <c r="M497" s="226"/>
      <c r="N497" s="226"/>
      <c r="O497" s="226"/>
      <c r="P497" s="226"/>
      <c r="Q497" s="226"/>
      <c r="R497" s="226"/>
      <c r="S497" s="226"/>
      <c r="T497" s="176"/>
      <c r="U497" s="191"/>
      <c r="V497" s="190"/>
      <c r="W497" s="190"/>
      <c r="X497" s="190"/>
      <c r="Y497" s="226"/>
      <c r="Z497" s="226"/>
      <c r="AA497" s="189"/>
    </row>
    <row r="498" spans="1:27" x14ac:dyDescent="0.25">
      <c r="A498"/>
      <c r="B498"/>
      <c r="C498" s="189"/>
      <c r="D498"/>
      <c r="E498"/>
      <c r="F498" s="176"/>
      <c r="G498" s="176"/>
      <c r="H498" s="224"/>
      <c r="I498" s="224"/>
      <c r="J498" s="225"/>
      <c r="K498" s="225"/>
      <c r="L498" s="226"/>
      <c r="M498" s="226"/>
      <c r="N498" s="226"/>
      <c r="O498" s="226"/>
      <c r="P498" s="226"/>
      <c r="Q498" s="226"/>
      <c r="R498" s="226"/>
      <c r="S498" s="226"/>
      <c r="T498" s="176"/>
      <c r="U498" s="191"/>
      <c r="V498" s="190"/>
      <c r="W498" s="190"/>
      <c r="X498" s="190"/>
      <c r="Y498" s="226"/>
      <c r="Z498" s="226"/>
      <c r="AA498" s="189"/>
    </row>
    <row r="499" spans="1:27" x14ac:dyDescent="0.25">
      <c r="A499"/>
      <c r="B499"/>
      <c r="C499" s="189"/>
      <c r="D499"/>
      <c r="E499"/>
      <c r="F499" s="176"/>
      <c r="G499" s="176"/>
      <c r="H499" s="224"/>
      <c r="I499" s="224"/>
      <c r="J499" s="225"/>
      <c r="K499" s="225"/>
      <c r="L499" s="226"/>
      <c r="M499" s="226"/>
      <c r="N499" s="226"/>
      <c r="O499" s="226"/>
      <c r="P499" s="226"/>
      <c r="Q499" s="226"/>
      <c r="R499" s="226"/>
      <c r="S499" s="226"/>
      <c r="T499" s="176"/>
      <c r="U499" s="191"/>
      <c r="V499" s="190"/>
      <c r="W499" s="190"/>
      <c r="X499" s="190"/>
      <c r="Y499" s="226"/>
      <c r="Z499" s="226"/>
      <c r="AA499" s="189"/>
    </row>
    <row r="500" spans="1:27" x14ac:dyDescent="0.25">
      <c r="A500"/>
      <c r="B500"/>
      <c r="C500" s="189"/>
      <c r="D500"/>
      <c r="E500"/>
      <c r="F500" s="176"/>
      <c r="G500" s="176"/>
      <c r="H500" s="224"/>
      <c r="I500" s="224"/>
      <c r="J500" s="225"/>
      <c r="K500" s="225"/>
      <c r="L500" s="226"/>
      <c r="M500" s="226"/>
      <c r="N500" s="226"/>
      <c r="O500" s="226"/>
      <c r="P500" s="226"/>
      <c r="Q500" s="226"/>
      <c r="R500" s="226"/>
      <c r="S500" s="226"/>
      <c r="T500" s="176"/>
      <c r="U500" s="191"/>
      <c r="V500" s="190"/>
      <c r="W500" s="190"/>
      <c r="X500" s="190"/>
      <c r="Y500" s="226"/>
      <c r="Z500" s="226"/>
      <c r="AA500" s="189"/>
    </row>
    <row r="501" spans="1:27" x14ac:dyDescent="0.25">
      <c r="A501"/>
      <c r="B501"/>
      <c r="C501" s="189"/>
      <c r="D501"/>
      <c r="E501"/>
      <c r="F501" s="176"/>
      <c r="G501" s="176"/>
      <c r="H501" s="224"/>
      <c r="I501" s="224"/>
      <c r="J501" s="225"/>
      <c r="K501" s="225"/>
      <c r="L501" s="226"/>
      <c r="M501" s="226"/>
      <c r="N501" s="226"/>
      <c r="O501" s="226"/>
      <c r="P501" s="226"/>
      <c r="Q501" s="226"/>
      <c r="R501" s="226"/>
      <c r="S501" s="226"/>
      <c r="T501" s="176"/>
      <c r="U501" s="191"/>
      <c r="V501" s="190"/>
      <c r="W501" s="190"/>
      <c r="X501" s="190"/>
      <c r="Y501" s="226"/>
      <c r="Z501" s="226"/>
      <c r="AA501" s="189"/>
    </row>
    <row r="502" spans="1:27" x14ac:dyDescent="0.25">
      <c r="A502"/>
      <c r="B502"/>
      <c r="C502" s="189"/>
      <c r="D502"/>
      <c r="E502"/>
      <c r="F502" s="176"/>
      <c r="G502" s="176"/>
      <c r="H502" s="224"/>
      <c r="I502" s="224"/>
      <c r="J502" s="225"/>
      <c r="K502" s="225"/>
      <c r="L502" s="226"/>
      <c r="M502" s="226"/>
      <c r="N502" s="226"/>
      <c r="O502" s="226"/>
      <c r="P502" s="226"/>
      <c r="Q502" s="226"/>
      <c r="R502" s="226"/>
      <c r="S502" s="226"/>
      <c r="T502" s="176"/>
      <c r="U502" s="191"/>
      <c r="V502" s="190"/>
      <c r="W502" s="190"/>
      <c r="X502" s="190"/>
      <c r="Y502" s="226"/>
      <c r="Z502" s="226"/>
      <c r="AA502" s="189"/>
    </row>
    <row r="503" spans="1:27" x14ac:dyDescent="0.25">
      <c r="A503"/>
      <c r="B503"/>
      <c r="C503" s="189"/>
      <c r="D503"/>
      <c r="E503"/>
      <c r="F503" s="176"/>
      <c r="G503" s="176"/>
      <c r="H503" s="224"/>
      <c r="I503" s="224"/>
      <c r="J503" s="225"/>
      <c r="K503" s="225"/>
      <c r="L503" s="226"/>
      <c r="M503" s="226"/>
      <c r="N503" s="226"/>
      <c r="O503" s="226"/>
      <c r="P503" s="226"/>
      <c r="Q503" s="226"/>
      <c r="R503" s="226"/>
      <c r="S503" s="226"/>
      <c r="T503" s="176"/>
      <c r="U503" s="191"/>
      <c r="V503" s="190"/>
      <c r="W503" s="190"/>
      <c r="X503" s="190"/>
      <c r="Y503" s="226"/>
      <c r="Z503" s="226"/>
      <c r="AA503" s="189"/>
    </row>
    <row r="504" spans="1:27" x14ac:dyDescent="0.25">
      <c r="A504"/>
      <c r="B504"/>
      <c r="C504" s="189"/>
      <c r="D504"/>
      <c r="E504"/>
      <c r="F504" s="176"/>
      <c r="G504" s="176"/>
      <c r="H504" s="224"/>
      <c r="I504" s="224"/>
      <c r="J504" s="225"/>
      <c r="K504" s="225"/>
      <c r="L504" s="226"/>
      <c r="M504" s="226"/>
      <c r="N504" s="226"/>
      <c r="O504" s="226"/>
      <c r="P504" s="226"/>
      <c r="Q504" s="226"/>
      <c r="R504" s="226"/>
      <c r="S504" s="226"/>
      <c r="T504" s="176"/>
      <c r="U504" s="191"/>
      <c r="V504" s="190"/>
      <c r="W504" s="190"/>
      <c r="X504" s="190"/>
      <c r="Y504" s="226"/>
      <c r="Z504" s="226"/>
      <c r="AA504" s="189"/>
    </row>
    <row r="505" spans="1:27" x14ac:dyDescent="0.25">
      <c r="A505"/>
      <c r="B505"/>
      <c r="C505" s="189"/>
      <c r="D505"/>
      <c r="E505"/>
      <c r="F505" s="176"/>
      <c r="G505" s="176"/>
      <c r="H505" s="224"/>
      <c r="I505" s="224"/>
      <c r="J505" s="225"/>
      <c r="K505" s="225"/>
      <c r="L505" s="226"/>
      <c r="M505" s="226"/>
      <c r="N505" s="226"/>
      <c r="O505" s="226"/>
      <c r="P505" s="226"/>
      <c r="Q505" s="226"/>
      <c r="R505" s="226"/>
      <c r="S505" s="226"/>
      <c r="T505" s="176"/>
      <c r="U505" s="191"/>
      <c r="V505" s="190"/>
      <c r="W505" s="190"/>
      <c r="X505" s="190"/>
      <c r="Y505" s="226"/>
      <c r="Z505" s="226"/>
      <c r="AA505" s="189"/>
    </row>
    <row r="506" spans="1:27" x14ac:dyDescent="0.25">
      <c r="A506" s="267"/>
      <c r="B506" s="268"/>
      <c r="C506" s="189"/>
      <c r="D506"/>
      <c r="E506"/>
      <c r="F506" s="176"/>
      <c r="G506" s="176"/>
      <c r="H506" s="224"/>
      <c r="I506" s="224"/>
      <c r="J506" s="225"/>
      <c r="K506" s="225"/>
      <c r="L506" s="226"/>
      <c r="M506" s="226"/>
      <c r="N506" s="226"/>
      <c r="O506" s="226"/>
      <c r="P506" s="226"/>
      <c r="Q506" s="226"/>
      <c r="R506" s="226"/>
      <c r="S506" s="226"/>
      <c r="T506" s="176"/>
      <c r="U506" s="191"/>
      <c r="V506" s="190"/>
      <c r="W506" s="190"/>
      <c r="X506" s="190"/>
      <c r="Y506" s="226"/>
      <c r="Z506" s="226"/>
      <c r="AA506" s="189"/>
    </row>
    <row r="507" spans="1:27" x14ac:dyDescent="0.25">
      <c r="A507" s="267"/>
      <c r="B507" s="268"/>
      <c r="C507" s="189"/>
      <c r="D507"/>
      <c r="E507"/>
      <c r="F507" s="176"/>
      <c r="G507" s="176"/>
      <c r="H507" s="224"/>
      <c r="I507" s="224"/>
      <c r="J507" s="225"/>
      <c r="K507" s="225"/>
      <c r="L507" s="226"/>
      <c r="M507" s="226"/>
      <c r="N507" s="226"/>
      <c r="O507" s="226"/>
      <c r="P507" s="226"/>
      <c r="Q507" s="226"/>
      <c r="R507" s="226"/>
      <c r="S507" s="226"/>
      <c r="T507" s="176"/>
      <c r="U507" s="191"/>
      <c r="V507" s="190"/>
      <c r="W507" s="190"/>
      <c r="X507" s="190"/>
      <c r="Y507" s="226"/>
      <c r="Z507" s="226"/>
      <c r="AA507" s="189"/>
    </row>
    <row r="508" spans="1:27" x14ac:dyDescent="0.25">
      <c r="A508" s="267"/>
      <c r="B508" s="268"/>
      <c r="C508" s="189"/>
      <c r="D508"/>
      <c r="E508"/>
      <c r="F508" s="176"/>
      <c r="G508" s="176"/>
      <c r="H508" s="224"/>
      <c r="I508" s="224"/>
      <c r="J508" s="225"/>
      <c r="K508" s="225"/>
      <c r="L508" s="226"/>
      <c r="M508" s="226"/>
      <c r="N508" s="226"/>
      <c r="O508" s="226"/>
      <c r="P508" s="226"/>
      <c r="Q508" s="226"/>
      <c r="R508" s="226"/>
      <c r="S508" s="226"/>
      <c r="T508" s="176"/>
      <c r="U508" s="191"/>
      <c r="V508" s="190"/>
      <c r="W508" s="190"/>
      <c r="X508" s="190"/>
      <c r="Y508" s="226"/>
      <c r="Z508" s="226"/>
      <c r="AA508" s="189"/>
    </row>
    <row r="509" spans="1:27" x14ac:dyDescent="0.25">
      <c r="A509" s="267"/>
      <c r="B509" s="268"/>
      <c r="C509" s="189"/>
      <c r="D509"/>
      <c r="E509"/>
      <c r="F509" s="176"/>
      <c r="G509" s="176"/>
      <c r="H509" s="224"/>
      <c r="I509" s="224"/>
      <c r="J509" s="225"/>
      <c r="K509" s="225"/>
      <c r="L509" s="226"/>
      <c r="M509" s="226"/>
      <c r="N509" s="226"/>
      <c r="O509" s="226"/>
      <c r="P509" s="226"/>
      <c r="Q509" s="226"/>
      <c r="R509" s="226"/>
      <c r="S509" s="226"/>
      <c r="T509" s="176"/>
      <c r="U509" s="191"/>
      <c r="V509" s="190"/>
      <c r="W509" s="190"/>
      <c r="X509" s="190"/>
      <c r="Y509" s="226"/>
      <c r="Z509" s="226"/>
      <c r="AA509" s="189"/>
    </row>
    <row r="510" spans="1:27" x14ac:dyDescent="0.25">
      <c r="A510" s="267"/>
      <c r="B510" s="268"/>
      <c r="C510" s="189"/>
      <c r="D510"/>
      <c r="E510"/>
      <c r="F510" s="176"/>
      <c r="G510" s="176"/>
      <c r="H510" s="224"/>
      <c r="I510" s="224"/>
      <c r="J510" s="225"/>
      <c r="K510" s="225"/>
      <c r="L510" s="226"/>
      <c r="M510" s="226"/>
      <c r="N510" s="226"/>
      <c r="O510" s="226"/>
      <c r="P510" s="226"/>
      <c r="Q510" s="226"/>
      <c r="R510" s="226"/>
      <c r="S510" s="226"/>
      <c r="T510" s="176"/>
      <c r="U510" s="191"/>
      <c r="V510" s="190"/>
      <c r="W510" s="190"/>
      <c r="X510" s="190"/>
      <c r="Y510" s="226"/>
      <c r="Z510" s="226"/>
      <c r="AA510" s="189"/>
    </row>
    <row r="511" spans="1:27" x14ac:dyDescent="0.25">
      <c r="A511" s="267"/>
      <c r="B511" s="268"/>
      <c r="C511" s="189"/>
      <c r="D511"/>
      <c r="E511"/>
      <c r="F511" s="176"/>
      <c r="G511" s="176"/>
      <c r="H511" s="224"/>
      <c r="I511" s="224"/>
      <c r="J511" s="225"/>
      <c r="K511" s="225"/>
      <c r="L511" s="226"/>
      <c r="M511" s="226"/>
      <c r="N511" s="226"/>
      <c r="O511" s="226"/>
      <c r="P511" s="226"/>
      <c r="Q511" s="226"/>
      <c r="R511" s="226"/>
      <c r="S511" s="226"/>
      <c r="T511" s="176"/>
      <c r="U511" s="191"/>
      <c r="V511" s="190"/>
      <c r="W511" s="190"/>
      <c r="X511" s="190"/>
      <c r="Y511" s="226"/>
      <c r="Z511" s="226"/>
      <c r="AA511" s="189"/>
    </row>
    <row r="512" spans="1:27" x14ac:dyDescent="0.25">
      <c r="A512" s="267"/>
      <c r="B512" s="268"/>
      <c r="C512" s="189"/>
      <c r="D512"/>
      <c r="E512"/>
      <c r="F512" s="176"/>
      <c r="G512" s="176"/>
      <c r="H512" s="224"/>
      <c r="I512" s="224"/>
      <c r="J512" s="225"/>
      <c r="K512" s="225"/>
      <c r="L512" s="226"/>
      <c r="M512" s="226"/>
      <c r="N512" s="226"/>
      <c r="O512" s="226"/>
      <c r="P512" s="226"/>
      <c r="Q512" s="226"/>
      <c r="R512" s="226"/>
      <c r="S512" s="226"/>
      <c r="T512" s="176"/>
      <c r="U512" s="191"/>
      <c r="V512" s="190"/>
      <c r="W512" s="190"/>
      <c r="X512" s="190"/>
      <c r="Y512" s="226"/>
      <c r="Z512" s="226"/>
      <c r="AA512" s="189"/>
    </row>
    <row r="513" spans="1:27" x14ac:dyDescent="0.25">
      <c r="A513" s="267"/>
      <c r="B513" s="268"/>
      <c r="C513" s="189"/>
      <c r="D513"/>
      <c r="E513"/>
      <c r="F513" s="176"/>
      <c r="G513" s="176"/>
      <c r="H513" s="224"/>
      <c r="I513" s="224"/>
      <c r="J513" s="225"/>
      <c r="K513" s="225"/>
      <c r="L513" s="226"/>
      <c r="M513" s="226"/>
      <c r="N513" s="226"/>
      <c r="O513" s="226"/>
      <c r="P513" s="226"/>
      <c r="Q513" s="226"/>
      <c r="R513" s="226"/>
      <c r="S513" s="226"/>
      <c r="T513" s="176"/>
      <c r="U513" s="191"/>
      <c r="V513" s="190"/>
      <c r="W513" s="190"/>
      <c r="X513" s="190"/>
      <c r="Y513" s="226"/>
      <c r="Z513" s="226"/>
      <c r="AA513" s="189"/>
    </row>
    <row r="514" spans="1:27" x14ac:dyDescent="0.25">
      <c r="A514" s="267"/>
      <c r="B514" s="268"/>
      <c r="C514" s="189"/>
      <c r="D514"/>
      <c r="E514"/>
      <c r="F514" s="176"/>
      <c r="G514" s="176"/>
      <c r="H514" s="224"/>
      <c r="I514" s="224"/>
      <c r="J514" s="225"/>
      <c r="K514" s="225"/>
      <c r="L514" s="226"/>
      <c r="M514" s="226"/>
      <c r="N514" s="226"/>
      <c r="O514" s="226"/>
      <c r="P514" s="226"/>
      <c r="Q514" s="226"/>
      <c r="R514" s="226"/>
      <c r="S514" s="226"/>
      <c r="T514" s="176"/>
      <c r="U514" s="191"/>
      <c r="V514" s="190"/>
      <c r="W514" s="190"/>
      <c r="X514" s="190"/>
      <c r="Y514" s="226"/>
      <c r="Z514" s="226"/>
      <c r="AA514" s="189"/>
    </row>
    <row r="515" spans="1:27" x14ac:dyDescent="0.25">
      <c r="A515" s="267"/>
      <c r="B515" s="268"/>
      <c r="C515" s="189"/>
      <c r="D515"/>
      <c r="E515"/>
      <c r="F515" s="176"/>
      <c r="G515" s="176"/>
      <c r="H515" s="224"/>
      <c r="I515" s="224"/>
      <c r="J515" s="225"/>
      <c r="K515" s="225"/>
      <c r="L515" s="226"/>
      <c r="M515" s="226"/>
      <c r="N515" s="226"/>
      <c r="O515" s="226"/>
      <c r="P515" s="226"/>
      <c r="Q515" s="226"/>
      <c r="R515" s="226"/>
      <c r="S515" s="226"/>
      <c r="T515" s="176"/>
      <c r="U515" s="191"/>
      <c r="V515" s="190"/>
      <c r="W515" s="190"/>
      <c r="X515" s="190"/>
      <c r="Y515" s="226"/>
      <c r="Z515" s="226"/>
      <c r="AA515" s="189"/>
    </row>
    <row r="516" spans="1:27" x14ac:dyDescent="0.25">
      <c r="A516" s="267"/>
      <c r="B516" s="268"/>
      <c r="C516" s="189"/>
      <c r="D516"/>
      <c r="E516"/>
      <c r="F516" s="176"/>
      <c r="G516" s="176"/>
      <c r="H516" s="224"/>
      <c r="I516" s="224"/>
      <c r="J516" s="225"/>
      <c r="K516" s="225"/>
      <c r="L516" s="226"/>
      <c r="M516" s="226"/>
      <c r="N516" s="226"/>
      <c r="O516" s="226"/>
      <c r="P516" s="226"/>
      <c r="Q516" s="226"/>
      <c r="R516" s="226"/>
      <c r="S516" s="226"/>
      <c r="T516" s="176"/>
      <c r="U516" s="191"/>
      <c r="V516" s="190"/>
      <c r="W516" s="190"/>
      <c r="X516" s="190"/>
      <c r="Y516" s="226"/>
      <c r="Z516" s="226"/>
      <c r="AA516" s="189"/>
    </row>
    <row r="517" spans="1:27" x14ac:dyDescent="0.25">
      <c r="A517" s="267"/>
      <c r="B517" s="268"/>
      <c r="C517" s="189"/>
      <c r="D517"/>
      <c r="E517"/>
      <c r="F517" s="176"/>
      <c r="G517" s="176"/>
      <c r="H517" s="224"/>
      <c r="I517" s="224"/>
      <c r="J517" s="225"/>
      <c r="K517" s="225"/>
      <c r="L517" s="226"/>
      <c r="M517" s="226"/>
      <c r="N517" s="226"/>
      <c r="O517" s="226"/>
      <c r="P517" s="226"/>
      <c r="Q517" s="226"/>
      <c r="R517" s="226"/>
      <c r="S517" s="226"/>
      <c r="T517" s="176"/>
      <c r="U517" s="191"/>
      <c r="V517" s="190"/>
      <c r="W517" s="190"/>
      <c r="X517" s="190"/>
      <c r="Y517" s="226"/>
      <c r="Z517" s="226"/>
      <c r="AA517" s="189"/>
    </row>
    <row r="518" spans="1:27" x14ac:dyDescent="0.25">
      <c r="A518" s="267"/>
      <c r="B518" s="268"/>
      <c r="C518" s="189"/>
      <c r="D518"/>
      <c r="E518"/>
      <c r="F518" s="176"/>
      <c r="G518" s="176"/>
      <c r="H518" s="224"/>
      <c r="I518" s="224"/>
      <c r="J518" s="225"/>
      <c r="K518" s="225"/>
      <c r="L518" s="226"/>
      <c r="M518" s="226"/>
      <c r="N518" s="226"/>
      <c r="O518" s="226"/>
      <c r="P518" s="226"/>
      <c r="Q518" s="226"/>
      <c r="R518" s="226"/>
      <c r="S518" s="226"/>
      <c r="T518" s="176"/>
      <c r="U518" s="191"/>
      <c r="V518" s="190"/>
      <c r="W518" s="190"/>
      <c r="X518" s="190"/>
      <c r="Y518" s="226"/>
      <c r="Z518" s="226"/>
      <c r="AA518" s="189"/>
    </row>
    <row r="519" spans="1:27" x14ac:dyDescent="0.25">
      <c r="A519" s="267"/>
      <c r="B519" s="268"/>
      <c r="C519" s="189"/>
      <c r="D519"/>
      <c r="E519"/>
      <c r="F519" s="176"/>
      <c r="G519" s="176"/>
      <c r="H519" s="224"/>
      <c r="I519" s="224"/>
      <c r="J519" s="225"/>
      <c r="K519" s="225"/>
      <c r="L519" s="226"/>
      <c r="M519" s="226"/>
      <c r="N519" s="226"/>
      <c r="O519" s="226"/>
      <c r="P519" s="226"/>
      <c r="Q519" s="226"/>
      <c r="R519" s="226"/>
      <c r="S519" s="226"/>
      <c r="T519" s="176"/>
      <c r="U519" s="191"/>
      <c r="V519" s="190"/>
      <c r="W519" s="190"/>
      <c r="X519" s="190"/>
      <c r="Y519" s="226"/>
      <c r="Z519" s="226"/>
      <c r="AA519" s="189"/>
    </row>
    <row r="520" spans="1:27" x14ac:dyDescent="0.25">
      <c r="A520" s="267"/>
      <c r="B520" s="268"/>
      <c r="C520" s="189"/>
      <c r="D520"/>
      <c r="E520"/>
      <c r="F520" s="176"/>
      <c r="G520" s="176"/>
      <c r="H520" s="224"/>
      <c r="I520" s="224"/>
      <c r="J520" s="225"/>
      <c r="K520" s="225"/>
      <c r="L520" s="226"/>
      <c r="M520" s="226"/>
      <c r="N520" s="226"/>
      <c r="O520" s="226"/>
      <c r="P520" s="226"/>
      <c r="Q520" s="226"/>
      <c r="R520" s="226"/>
      <c r="S520" s="226"/>
      <c r="T520" s="176"/>
      <c r="U520" s="191"/>
      <c r="V520" s="190"/>
      <c r="W520" s="190"/>
      <c r="X520" s="190"/>
      <c r="Y520" s="226"/>
      <c r="Z520" s="226"/>
      <c r="AA520" s="189"/>
    </row>
    <row r="521" spans="1:27" x14ac:dyDescent="0.25">
      <c r="A521" s="267"/>
      <c r="B521" s="268"/>
      <c r="C521" s="189"/>
      <c r="D521"/>
      <c r="E521"/>
      <c r="F521" s="176"/>
      <c r="G521" s="176"/>
      <c r="H521" s="224"/>
      <c r="I521" s="224"/>
      <c r="J521" s="225"/>
      <c r="K521" s="225"/>
      <c r="L521" s="226"/>
      <c r="M521" s="226"/>
      <c r="N521" s="226"/>
      <c r="O521" s="226"/>
      <c r="P521" s="226"/>
      <c r="Q521" s="226"/>
      <c r="R521" s="226"/>
      <c r="S521" s="226"/>
      <c r="T521" s="176"/>
      <c r="U521" s="191"/>
      <c r="V521" s="190"/>
      <c r="W521" s="190"/>
      <c r="X521" s="190"/>
      <c r="Y521" s="226"/>
      <c r="Z521" s="226"/>
      <c r="AA521" s="189"/>
    </row>
    <row r="522" spans="1:27" x14ac:dyDescent="0.25">
      <c r="A522" s="267"/>
      <c r="B522" s="268"/>
      <c r="C522" s="189"/>
      <c r="D522"/>
      <c r="E522"/>
      <c r="F522" s="176"/>
      <c r="G522" s="176"/>
      <c r="H522" s="224"/>
      <c r="I522" s="224"/>
      <c r="J522" s="225"/>
      <c r="K522" s="225"/>
      <c r="L522" s="226"/>
      <c r="M522" s="226"/>
      <c r="N522" s="226"/>
      <c r="O522" s="226"/>
      <c r="P522" s="226"/>
      <c r="Q522" s="226"/>
      <c r="R522" s="226"/>
      <c r="S522" s="226"/>
      <c r="T522" s="176"/>
      <c r="U522" s="191"/>
      <c r="V522" s="190"/>
      <c r="W522" s="190"/>
      <c r="X522" s="190"/>
      <c r="Y522" s="226"/>
      <c r="Z522" s="226"/>
      <c r="AA522" s="189"/>
    </row>
    <row r="523" spans="1:27" x14ac:dyDescent="0.25">
      <c r="A523" s="267"/>
      <c r="B523" s="268"/>
      <c r="C523" s="189"/>
      <c r="D523"/>
      <c r="E523"/>
      <c r="F523" s="176"/>
      <c r="G523" s="176"/>
      <c r="H523" s="224"/>
      <c r="I523" s="224"/>
      <c r="J523" s="225"/>
      <c r="K523" s="225"/>
      <c r="L523" s="226"/>
      <c r="M523" s="226"/>
      <c r="N523" s="226"/>
      <c r="O523" s="226"/>
      <c r="P523" s="226"/>
      <c r="Q523" s="226"/>
      <c r="R523" s="226"/>
      <c r="S523" s="226"/>
      <c r="T523" s="176"/>
      <c r="U523" s="191"/>
      <c r="V523" s="190"/>
      <c r="W523" s="190"/>
      <c r="X523" s="190"/>
      <c r="Y523" s="226"/>
      <c r="Z523" s="226"/>
      <c r="AA523" s="189"/>
    </row>
    <row r="524" spans="1:27" x14ac:dyDescent="0.25">
      <c r="A524" s="267"/>
      <c r="B524" s="268"/>
      <c r="C524" s="189"/>
      <c r="D524"/>
      <c r="E524"/>
      <c r="F524" s="176"/>
      <c r="G524" s="176"/>
      <c r="H524" s="224"/>
      <c r="I524" s="224"/>
      <c r="J524" s="225"/>
      <c r="K524" s="225"/>
      <c r="L524" s="226"/>
      <c r="M524" s="226"/>
      <c r="N524" s="226"/>
      <c r="O524" s="226"/>
      <c r="P524" s="226"/>
      <c r="Q524" s="226"/>
      <c r="R524" s="226"/>
      <c r="S524" s="226"/>
      <c r="T524" s="176"/>
      <c r="U524" s="191"/>
      <c r="V524" s="190"/>
      <c r="W524" s="190"/>
      <c r="X524" s="190"/>
      <c r="Y524" s="226"/>
      <c r="Z524" s="226"/>
      <c r="AA524" s="189"/>
    </row>
    <row r="525" spans="1:27" x14ac:dyDescent="0.25">
      <c r="A525" s="267"/>
      <c r="B525" s="268"/>
      <c r="C525" s="189"/>
      <c r="D525"/>
      <c r="E525"/>
      <c r="F525" s="176"/>
      <c r="G525" s="176"/>
      <c r="H525" s="224"/>
      <c r="I525" s="224"/>
      <c r="J525" s="225"/>
      <c r="K525" s="225"/>
      <c r="L525" s="226"/>
      <c r="M525" s="226"/>
      <c r="N525" s="226"/>
      <c r="O525" s="226"/>
      <c r="P525" s="226"/>
      <c r="Q525" s="226"/>
      <c r="R525" s="226"/>
      <c r="S525" s="226"/>
      <c r="T525" s="176"/>
      <c r="U525" s="191"/>
      <c r="V525" s="190"/>
      <c r="W525" s="190"/>
      <c r="X525" s="190"/>
      <c r="Y525" s="226"/>
      <c r="Z525" s="226"/>
      <c r="AA525" s="189"/>
    </row>
    <row r="526" spans="1:27" x14ac:dyDescent="0.25">
      <c r="A526" s="267"/>
      <c r="B526" s="268"/>
      <c r="C526" s="189"/>
      <c r="D526"/>
      <c r="E526"/>
      <c r="F526" s="176"/>
      <c r="G526" s="176"/>
      <c r="H526" s="224"/>
      <c r="I526" s="224"/>
      <c r="J526" s="225"/>
      <c r="K526" s="225"/>
      <c r="L526" s="226"/>
      <c r="M526" s="226"/>
      <c r="N526" s="226"/>
      <c r="O526" s="226"/>
      <c r="P526" s="226"/>
      <c r="Q526" s="226"/>
      <c r="R526" s="226"/>
      <c r="S526" s="226"/>
      <c r="T526" s="176"/>
      <c r="U526" s="191"/>
      <c r="V526" s="190"/>
      <c r="W526" s="190"/>
      <c r="X526" s="190"/>
      <c r="Y526" s="226"/>
      <c r="Z526" s="226"/>
      <c r="AA526" s="189"/>
    </row>
    <row r="527" spans="1:27" x14ac:dyDescent="0.25">
      <c r="A527" s="267"/>
      <c r="B527" s="268"/>
      <c r="C527" s="189"/>
      <c r="D527"/>
      <c r="E527"/>
      <c r="F527" s="176"/>
      <c r="G527" s="176"/>
      <c r="H527" s="224"/>
      <c r="I527" s="224"/>
      <c r="J527" s="225"/>
      <c r="K527" s="225"/>
      <c r="L527" s="226"/>
      <c r="M527" s="226"/>
      <c r="N527" s="226"/>
      <c r="O527" s="226"/>
      <c r="P527" s="226"/>
      <c r="Q527" s="226"/>
      <c r="R527" s="226"/>
      <c r="S527" s="226"/>
      <c r="T527" s="176"/>
      <c r="U527" s="191"/>
      <c r="V527" s="190"/>
      <c r="W527" s="190"/>
      <c r="X527" s="190"/>
      <c r="Y527" s="226"/>
      <c r="Z527" s="226"/>
      <c r="AA527" s="189"/>
    </row>
    <row r="528" spans="1:27" x14ac:dyDescent="0.25">
      <c r="A528" s="267"/>
      <c r="B528" s="268"/>
      <c r="C528" s="189"/>
      <c r="D528"/>
      <c r="E528"/>
      <c r="F528" s="176"/>
      <c r="G528" s="176"/>
      <c r="H528" s="224"/>
      <c r="I528" s="224"/>
      <c r="J528" s="225"/>
      <c r="K528" s="225"/>
      <c r="L528" s="226"/>
      <c r="M528" s="226"/>
      <c r="N528" s="226"/>
      <c r="O528" s="226"/>
      <c r="P528" s="226"/>
      <c r="Q528" s="226"/>
      <c r="R528" s="226"/>
      <c r="S528" s="226"/>
      <c r="T528" s="176"/>
      <c r="U528" s="191"/>
      <c r="V528" s="190"/>
      <c r="W528" s="190"/>
      <c r="X528" s="190"/>
      <c r="Y528" s="226"/>
      <c r="Z528" s="226"/>
      <c r="AA528" s="189"/>
    </row>
    <row r="529" spans="1:27" x14ac:dyDescent="0.25">
      <c r="A529" s="267"/>
      <c r="B529" s="268"/>
      <c r="C529" s="189"/>
      <c r="D529"/>
      <c r="E529"/>
      <c r="F529" s="176"/>
      <c r="G529" s="176"/>
      <c r="H529" s="224"/>
      <c r="I529" s="224"/>
      <c r="J529" s="225"/>
      <c r="K529" s="225"/>
      <c r="L529" s="226"/>
      <c r="M529" s="226"/>
      <c r="N529" s="226"/>
      <c r="O529" s="226"/>
      <c r="P529" s="226"/>
      <c r="Q529" s="226"/>
      <c r="R529" s="226"/>
      <c r="S529" s="226"/>
      <c r="T529" s="176"/>
      <c r="U529" s="191"/>
      <c r="V529" s="190"/>
      <c r="W529" s="190"/>
      <c r="X529" s="190"/>
      <c r="Y529" s="226"/>
      <c r="Z529" s="226"/>
      <c r="AA529" s="189"/>
    </row>
    <row r="530" spans="1:27" x14ac:dyDescent="0.25">
      <c r="A530" s="267"/>
      <c r="B530" s="268"/>
      <c r="C530" s="189"/>
      <c r="D530"/>
      <c r="E530"/>
      <c r="F530" s="176"/>
      <c r="G530" s="176"/>
      <c r="H530" s="224"/>
      <c r="I530" s="224"/>
      <c r="J530" s="225"/>
      <c r="K530" s="225"/>
      <c r="L530" s="226"/>
      <c r="M530" s="226"/>
      <c r="N530" s="226"/>
      <c r="O530" s="226"/>
      <c r="P530" s="226"/>
      <c r="Q530" s="226"/>
      <c r="R530" s="226"/>
      <c r="S530" s="226"/>
      <c r="T530" s="176"/>
      <c r="U530" s="191"/>
      <c r="V530" s="190"/>
      <c r="W530" s="190"/>
      <c r="X530" s="190"/>
      <c r="Y530" s="226"/>
      <c r="Z530" s="226"/>
      <c r="AA530" s="189"/>
    </row>
    <row r="531" spans="1:27" x14ac:dyDescent="0.25">
      <c r="A531" s="267"/>
      <c r="B531" s="268"/>
      <c r="C531" s="189"/>
      <c r="D531"/>
      <c r="E531"/>
      <c r="F531" s="176"/>
      <c r="G531" s="176"/>
      <c r="H531" s="224"/>
      <c r="I531" s="224"/>
      <c r="J531" s="225"/>
      <c r="K531" s="225"/>
      <c r="L531" s="226"/>
      <c r="M531" s="226"/>
      <c r="N531" s="226"/>
      <c r="O531" s="226"/>
      <c r="P531" s="226"/>
      <c r="Q531" s="226"/>
      <c r="R531" s="226"/>
      <c r="S531" s="226"/>
      <c r="T531" s="176"/>
      <c r="U531" s="191"/>
      <c r="V531" s="190"/>
      <c r="W531" s="190"/>
      <c r="X531" s="190"/>
      <c r="Y531" s="226"/>
      <c r="Z531" s="226"/>
      <c r="AA531" s="189"/>
    </row>
    <row r="532" spans="1:27" x14ac:dyDescent="0.25">
      <c r="A532" s="267"/>
      <c r="B532" s="268"/>
      <c r="C532" s="189"/>
      <c r="D532"/>
      <c r="E532"/>
      <c r="F532" s="176"/>
      <c r="G532" s="176"/>
      <c r="H532" s="224"/>
      <c r="I532" s="224"/>
      <c r="J532" s="225"/>
      <c r="K532" s="225"/>
      <c r="L532" s="226"/>
      <c r="M532" s="226"/>
      <c r="N532" s="226"/>
      <c r="O532" s="226"/>
      <c r="P532" s="226"/>
      <c r="Q532" s="226"/>
      <c r="R532" s="226"/>
      <c r="S532" s="226"/>
      <c r="T532" s="176"/>
      <c r="U532" s="191"/>
      <c r="V532" s="190"/>
      <c r="W532" s="190"/>
      <c r="X532" s="190"/>
      <c r="Y532" s="226"/>
      <c r="Z532" s="226"/>
      <c r="AA532" s="189"/>
    </row>
    <row r="533" spans="1:27" x14ac:dyDescent="0.25">
      <c r="A533" s="267"/>
      <c r="B533" s="268"/>
      <c r="C533" s="189"/>
      <c r="D533"/>
      <c r="E533"/>
      <c r="F533" s="176"/>
      <c r="G533" s="176"/>
      <c r="H533" s="224"/>
      <c r="I533" s="224"/>
      <c r="J533" s="225"/>
      <c r="K533" s="225"/>
      <c r="L533" s="226"/>
      <c r="M533" s="226"/>
      <c r="N533" s="226"/>
      <c r="O533" s="226"/>
      <c r="P533" s="226"/>
      <c r="Q533" s="226"/>
      <c r="R533" s="226"/>
      <c r="S533" s="226"/>
      <c r="T533" s="176"/>
      <c r="U533" s="191"/>
      <c r="V533" s="190"/>
      <c r="W533" s="190"/>
      <c r="X533" s="190"/>
      <c r="Y533" s="226"/>
      <c r="Z533" s="226"/>
      <c r="AA533" s="189"/>
    </row>
    <row r="534" spans="1:27" x14ac:dyDescent="0.25">
      <c r="A534" s="267"/>
      <c r="B534" s="268"/>
      <c r="C534" s="189"/>
      <c r="D534"/>
      <c r="E534"/>
      <c r="F534" s="176"/>
      <c r="G534" s="176"/>
      <c r="H534" s="224"/>
      <c r="I534" s="224"/>
      <c r="J534" s="225"/>
      <c r="K534" s="225"/>
      <c r="L534" s="226"/>
      <c r="M534" s="226"/>
      <c r="N534" s="226"/>
      <c r="O534" s="226"/>
      <c r="P534" s="226"/>
      <c r="Q534" s="226"/>
      <c r="R534" s="226"/>
      <c r="S534" s="226"/>
      <c r="T534" s="176"/>
      <c r="U534" s="191"/>
      <c r="V534" s="190"/>
      <c r="W534" s="190"/>
      <c r="X534" s="190"/>
      <c r="Y534" s="226"/>
      <c r="Z534" s="226"/>
      <c r="AA534" s="189"/>
    </row>
    <row r="535" spans="1:27" x14ac:dyDescent="0.25">
      <c r="A535" s="267"/>
      <c r="B535" s="268"/>
      <c r="C535" s="189"/>
      <c r="D535"/>
      <c r="E535"/>
      <c r="F535" s="176"/>
      <c r="G535" s="176"/>
      <c r="H535" s="224"/>
      <c r="I535" s="224"/>
      <c r="J535" s="225"/>
      <c r="K535" s="225"/>
      <c r="L535" s="226"/>
      <c r="M535" s="226"/>
      <c r="N535" s="226"/>
      <c r="O535" s="226"/>
      <c r="P535" s="226"/>
      <c r="Q535" s="226"/>
      <c r="R535" s="226"/>
      <c r="S535" s="226"/>
      <c r="T535" s="176"/>
      <c r="U535" s="191"/>
      <c r="V535" s="190"/>
      <c r="W535" s="190"/>
      <c r="X535" s="190"/>
      <c r="Y535" s="226"/>
      <c r="Z535" s="226"/>
      <c r="AA535" s="189"/>
    </row>
    <row r="536" spans="1:27" x14ac:dyDescent="0.25">
      <c r="A536" s="267"/>
      <c r="B536" s="268"/>
      <c r="C536" s="189"/>
      <c r="D536"/>
      <c r="E536"/>
      <c r="F536" s="176"/>
      <c r="G536" s="176"/>
      <c r="H536" s="224"/>
      <c r="I536" s="224"/>
      <c r="J536" s="225"/>
      <c r="K536" s="225"/>
      <c r="L536" s="226"/>
      <c r="M536" s="226"/>
      <c r="N536" s="226"/>
      <c r="O536" s="226"/>
      <c r="P536" s="226"/>
      <c r="Q536" s="226"/>
      <c r="R536" s="226"/>
      <c r="S536" s="226"/>
      <c r="T536" s="176"/>
      <c r="U536" s="191"/>
      <c r="V536" s="190"/>
      <c r="W536" s="190"/>
      <c r="X536" s="190"/>
      <c r="Y536" s="226"/>
      <c r="Z536" s="226"/>
      <c r="AA536" s="189"/>
    </row>
    <row r="537" spans="1:27" x14ac:dyDescent="0.25">
      <c r="A537" s="267"/>
      <c r="B537" s="268"/>
      <c r="C537" s="189"/>
      <c r="D537"/>
      <c r="E537"/>
      <c r="F537" s="176"/>
      <c r="G537" s="176"/>
      <c r="H537" s="224"/>
      <c r="I537" s="224"/>
      <c r="J537" s="225"/>
      <c r="K537" s="225"/>
      <c r="L537" s="226"/>
      <c r="M537" s="226"/>
      <c r="N537" s="226"/>
      <c r="O537" s="226"/>
      <c r="P537" s="226"/>
      <c r="Q537" s="226"/>
      <c r="R537" s="226"/>
      <c r="S537" s="226"/>
      <c r="T537" s="176"/>
      <c r="U537" s="191"/>
      <c r="V537" s="190"/>
      <c r="W537" s="190"/>
      <c r="X537" s="190"/>
      <c r="Y537" s="226"/>
      <c r="Z537" s="226"/>
      <c r="AA537" s="189"/>
    </row>
    <row r="538" spans="1:27" x14ac:dyDescent="0.25">
      <c r="A538" s="267"/>
      <c r="B538" s="268"/>
      <c r="C538" s="189"/>
      <c r="D538"/>
      <c r="E538"/>
      <c r="F538" s="176"/>
      <c r="G538" s="176"/>
      <c r="H538" s="224"/>
      <c r="I538" s="224"/>
      <c r="J538" s="225"/>
      <c r="K538" s="225"/>
      <c r="L538" s="226"/>
      <c r="M538" s="226"/>
      <c r="N538" s="226"/>
      <c r="O538" s="226"/>
      <c r="P538" s="226"/>
      <c r="Q538" s="226"/>
      <c r="R538" s="226"/>
      <c r="S538" s="226"/>
      <c r="T538" s="176"/>
      <c r="U538" s="191"/>
      <c r="V538" s="190"/>
      <c r="W538" s="190"/>
      <c r="X538" s="190"/>
      <c r="Y538" s="226"/>
      <c r="Z538" s="226"/>
      <c r="AA538" s="189"/>
    </row>
    <row r="539" spans="1:27" x14ac:dyDescent="0.25">
      <c r="A539" s="267"/>
      <c r="B539" s="268"/>
      <c r="C539" s="189"/>
      <c r="D539"/>
      <c r="E539"/>
      <c r="F539" s="176"/>
      <c r="G539" s="176"/>
      <c r="H539" s="224"/>
      <c r="I539" s="224"/>
      <c r="J539" s="225"/>
      <c r="K539" s="225"/>
      <c r="L539" s="226"/>
      <c r="M539" s="226"/>
      <c r="N539" s="226"/>
      <c r="O539" s="226"/>
      <c r="P539" s="226"/>
      <c r="Q539" s="226"/>
      <c r="R539" s="226"/>
      <c r="S539" s="226"/>
      <c r="T539" s="176"/>
      <c r="U539" s="191"/>
      <c r="V539" s="190"/>
      <c r="W539" s="190"/>
      <c r="X539" s="190"/>
      <c r="Y539" s="226"/>
      <c r="Z539" s="226"/>
      <c r="AA539" s="189"/>
    </row>
    <row r="540" spans="1:27" x14ac:dyDescent="0.25">
      <c r="A540" s="267"/>
      <c r="B540" s="268"/>
      <c r="C540" s="189"/>
      <c r="D540"/>
      <c r="E540"/>
      <c r="F540" s="176"/>
      <c r="G540" s="176"/>
      <c r="H540" s="224"/>
      <c r="I540" s="224"/>
      <c r="J540" s="225"/>
      <c r="K540" s="225"/>
      <c r="L540" s="226"/>
      <c r="M540" s="226"/>
      <c r="N540" s="226"/>
      <c r="O540" s="226"/>
      <c r="P540" s="226"/>
      <c r="Q540" s="226"/>
      <c r="R540" s="226"/>
      <c r="S540" s="226"/>
      <c r="T540" s="176"/>
      <c r="U540" s="191"/>
      <c r="V540" s="190"/>
      <c r="W540" s="190"/>
      <c r="X540" s="190"/>
      <c r="Y540" s="226"/>
      <c r="Z540" s="226"/>
      <c r="AA540" s="189"/>
    </row>
    <row r="541" spans="1:27" x14ac:dyDescent="0.25">
      <c r="A541" s="267"/>
      <c r="B541" s="268"/>
      <c r="C541" s="189"/>
      <c r="D541"/>
      <c r="E541"/>
      <c r="F541" s="176"/>
      <c r="G541" s="176"/>
      <c r="H541" s="224"/>
      <c r="I541" s="224"/>
      <c r="J541" s="225"/>
      <c r="K541" s="225"/>
      <c r="L541" s="226"/>
      <c r="M541" s="226"/>
      <c r="N541" s="226"/>
      <c r="O541" s="226"/>
      <c r="P541" s="226"/>
      <c r="Q541" s="226"/>
      <c r="R541" s="226"/>
      <c r="S541" s="226"/>
      <c r="T541" s="176"/>
      <c r="U541" s="191"/>
      <c r="V541" s="190"/>
      <c r="W541" s="190"/>
      <c r="X541" s="190"/>
      <c r="Y541" s="226"/>
      <c r="Z541" s="226"/>
      <c r="AA541" s="189"/>
    </row>
    <row r="542" spans="1:27" x14ac:dyDescent="0.25">
      <c r="A542" s="267"/>
      <c r="B542" s="268"/>
      <c r="C542" s="189"/>
      <c r="D542"/>
      <c r="E542"/>
      <c r="F542" s="176"/>
      <c r="G542" s="176"/>
      <c r="H542" s="224"/>
      <c r="I542" s="224"/>
      <c r="J542" s="225"/>
      <c r="K542" s="225"/>
      <c r="L542" s="226"/>
      <c r="M542" s="226"/>
      <c r="N542" s="226"/>
      <c r="O542" s="226"/>
      <c r="P542" s="226"/>
      <c r="Q542" s="226"/>
      <c r="R542" s="226"/>
      <c r="S542" s="226"/>
      <c r="T542" s="176"/>
      <c r="U542" s="191"/>
      <c r="V542" s="190"/>
      <c r="W542" s="190"/>
      <c r="X542" s="190"/>
      <c r="Y542" s="226"/>
      <c r="Z542" s="226"/>
      <c r="AA542" s="189"/>
    </row>
    <row r="543" spans="1:27" x14ac:dyDescent="0.25">
      <c r="A543" s="267"/>
      <c r="B543" s="268"/>
      <c r="C543" s="189"/>
      <c r="D543"/>
      <c r="E543"/>
      <c r="F543" s="176"/>
      <c r="G543" s="176"/>
      <c r="H543" s="224"/>
      <c r="I543" s="224"/>
      <c r="J543" s="225"/>
      <c r="K543" s="225"/>
      <c r="L543" s="226"/>
      <c r="M543" s="226"/>
      <c r="N543" s="226"/>
      <c r="O543" s="226"/>
      <c r="P543" s="226"/>
      <c r="Q543" s="226"/>
      <c r="R543" s="226"/>
      <c r="S543" s="226"/>
      <c r="T543" s="176"/>
      <c r="U543" s="191"/>
      <c r="V543" s="190"/>
      <c r="W543" s="190"/>
      <c r="X543" s="190"/>
      <c r="Y543" s="226"/>
      <c r="Z543" s="226"/>
      <c r="AA543" s="189"/>
    </row>
    <row r="544" spans="1:27" x14ac:dyDescent="0.25">
      <c r="A544" s="267"/>
      <c r="B544" s="268"/>
      <c r="C544" s="189"/>
      <c r="D544"/>
      <c r="E544"/>
      <c r="F544" s="176"/>
      <c r="G544" s="176"/>
      <c r="H544" s="224"/>
      <c r="I544" s="224"/>
      <c r="J544" s="225"/>
      <c r="K544" s="225"/>
      <c r="L544" s="226"/>
      <c r="M544" s="226"/>
      <c r="N544" s="226"/>
      <c r="O544" s="226"/>
      <c r="P544" s="226"/>
      <c r="Q544" s="226"/>
      <c r="R544" s="226"/>
      <c r="S544" s="226"/>
      <c r="T544" s="176"/>
      <c r="U544" s="191"/>
      <c r="V544" s="190"/>
      <c r="W544" s="190"/>
      <c r="X544" s="190"/>
      <c r="Y544" s="226"/>
      <c r="Z544" s="226"/>
      <c r="AA544" s="189"/>
    </row>
    <row r="545" spans="1:27" x14ac:dyDescent="0.25">
      <c r="A545" s="267"/>
      <c r="B545" s="268"/>
      <c r="C545" s="189"/>
      <c r="D545"/>
      <c r="E545"/>
      <c r="F545" s="176"/>
      <c r="G545" s="176"/>
      <c r="H545" s="224"/>
      <c r="I545" s="224"/>
      <c r="J545" s="225"/>
      <c r="K545" s="225"/>
      <c r="L545" s="226"/>
      <c r="M545" s="226"/>
      <c r="N545" s="226"/>
      <c r="O545" s="226"/>
      <c r="P545" s="226"/>
      <c r="Q545" s="226"/>
      <c r="R545" s="226"/>
      <c r="S545" s="226"/>
      <c r="T545" s="176"/>
      <c r="U545" s="191"/>
      <c r="V545" s="190"/>
      <c r="W545" s="190"/>
      <c r="X545" s="190"/>
      <c r="Y545" s="226"/>
      <c r="Z545" s="226"/>
      <c r="AA545" s="189"/>
    </row>
    <row r="546" spans="1:27" x14ac:dyDescent="0.25">
      <c r="A546" s="267"/>
      <c r="B546" s="268"/>
      <c r="C546" s="189"/>
      <c r="D546"/>
      <c r="E546"/>
      <c r="F546" s="176"/>
      <c r="G546" s="176"/>
      <c r="H546" s="224"/>
      <c r="I546" s="224"/>
      <c r="J546" s="225"/>
      <c r="K546" s="225"/>
      <c r="L546" s="226"/>
      <c r="M546" s="226"/>
      <c r="N546" s="226"/>
      <c r="O546" s="226"/>
      <c r="P546" s="226"/>
      <c r="Q546" s="226"/>
      <c r="R546" s="226"/>
      <c r="S546" s="226"/>
      <c r="T546" s="176"/>
      <c r="U546" s="191"/>
      <c r="V546" s="190"/>
      <c r="W546" s="190"/>
      <c r="X546" s="190"/>
      <c r="Y546" s="226"/>
      <c r="Z546" s="226"/>
      <c r="AA546" s="189"/>
    </row>
    <row r="547" spans="1:27" x14ac:dyDescent="0.25">
      <c r="A547" s="267"/>
      <c r="B547" s="268"/>
      <c r="C547" s="189"/>
      <c r="D547"/>
      <c r="E547"/>
      <c r="F547" s="176"/>
      <c r="G547" s="176"/>
      <c r="H547" s="224"/>
      <c r="I547" s="224"/>
      <c r="J547" s="225"/>
      <c r="K547" s="225"/>
      <c r="L547" s="226"/>
      <c r="M547" s="226"/>
      <c r="N547" s="226"/>
      <c r="O547" s="226"/>
      <c r="P547" s="226"/>
      <c r="Q547" s="226"/>
      <c r="R547" s="226"/>
      <c r="S547" s="226"/>
      <c r="T547" s="176"/>
      <c r="U547" s="191"/>
      <c r="V547" s="190"/>
      <c r="W547" s="190"/>
      <c r="X547" s="190"/>
      <c r="Y547" s="226"/>
      <c r="Z547" s="226"/>
      <c r="AA547" s="189"/>
    </row>
    <row r="548" spans="1:27" x14ac:dyDescent="0.25">
      <c r="D548" s="175"/>
      <c r="E548" s="175"/>
      <c r="H548" s="201"/>
      <c r="I548" s="201"/>
      <c r="J548" s="217"/>
      <c r="K548" s="217"/>
      <c r="L548" s="185"/>
      <c r="M548" s="185"/>
      <c r="N548" s="185"/>
      <c r="O548" s="185"/>
      <c r="P548" s="185"/>
      <c r="Q548" s="185"/>
      <c r="R548" s="168"/>
      <c r="S548" s="168"/>
      <c r="U548" s="170"/>
      <c r="V548" s="171"/>
      <c r="W548" s="171"/>
      <c r="X548" s="171"/>
      <c r="Y548" s="185"/>
      <c r="Z548" s="185"/>
    </row>
    <row r="549" spans="1:27" x14ac:dyDescent="0.25">
      <c r="D549" s="175"/>
      <c r="E549" s="175"/>
      <c r="H549" s="201"/>
      <c r="I549" s="201"/>
      <c r="J549" s="217"/>
      <c r="K549" s="217"/>
      <c r="L549" s="185"/>
      <c r="M549" s="185"/>
      <c r="N549" s="185"/>
      <c r="O549" s="185"/>
      <c r="P549" s="185"/>
      <c r="Q549" s="185"/>
      <c r="R549" s="168"/>
      <c r="S549" s="168"/>
      <c r="U549" s="170"/>
      <c r="V549" s="171"/>
      <c r="W549" s="171"/>
      <c r="X549" s="171"/>
      <c r="Y549" s="185"/>
      <c r="Z549" s="185"/>
    </row>
    <row r="550" spans="1:27" x14ac:dyDescent="0.25">
      <c r="D550" s="175"/>
      <c r="E550" s="175"/>
      <c r="H550" s="201"/>
      <c r="I550" s="201"/>
      <c r="J550" s="217"/>
      <c r="K550" s="217"/>
      <c r="L550" s="185"/>
      <c r="M550" s="185"/>
      <c r="N550" s="185"/>
      <c r="O550" s="185"/>
      <c r="P550" s="185"/>
      <c r="Q550" s="185"/>
      <c r="R550" s="168"/>
      <c r="S550" s="168"/>
      <c r="U550" s="170"/>
      <c r="V550" s="171"/>
      <c r="W550" s="171"/>
      <c r="X550" s="171"/>
      <c r="Y550" s="185"/>
      <c r="Z550" s="185"/>
    </row>
    <row r="551" spans="1:27" x14ac:dyDescent="0.25">
      <c r="D551" s="175"/>
      <c r="E551" s="175"/>
      <c r="H551" s="201"/>
      <c r="I551" s="201"/>
      <c r="J551" s="217"/>
      <c r="K551" s="217"/>
      <c r="L551" s="185"/>
      <c r="M551" s="185"/>
      <c r="N551" s="185"/>
      <c r="O551" s="185"/>
      <c r="P551" s="185"/>
      <c r="Q551" s="185"/>
      <c r="R551" s="168"/>
      <c r="S551" s="168"/>
      <c r="U551" s="170"/>
      <c r="V551" s="171"/>
      <c r="W551" s="171"/>
      <c r="X551" s="171"/>
      <c r="Y551" s="185"/>
      <c r="Z551" s="185"/>
    </row>
    <row r="552" spans="1:27" x14ac:dyDescent="0.25">
      <c r="D552" s="175"/>
      <c r="E552" s="175"/>
      <c r="H552" s="201"/>
      <c r="I552" s="201"/>
      <c r="J552" s="217"/>
      <c r="K552" s="217"/>
      <c r="L552" s="185"/>
      <c r="M552" s="185"/>
      <c r="N552" s="185"/>
      <c r="O552" s="185"/>
      <c r="P552" s="185"/>
      <c r="Q552" s="185"/>
      <c r="R552" s="168"/>
      <c r="S552" s="168"/>
      <c r="U552" s="170"/>
      <c r="V552" s="171"/>
      <c r="W552" s="171"/>
      <c r="X552" s="171"/>
      <c r="Y552" s="185"/>
      <c r="Z552" s="185"/>
    </row>
    <row r="553" spans="1:27" x14ac:dyDescent="0.25">
      <c r="D553" s="175"/>
      <c r="E553" s="175"/>
      <c r="H553" s="201"/>
      <c r="I553" s="201"/>
      <c r="J553" s="217"/>
      <c r="K553" s="217"/>
      <c r="L553" s="185"/>
      <c r="M553" s="185"/>
      <c r="N553" s="185"/>
      <c r="O553" s="185"/>
      <c r="P553" s="185"/>
      <c r="Q553" s="185"/>
      <c r="R553" s="168"/>
      <c r="S553" s="168"/>
      <c r="U553" s="170"/>
      <c r="V553" s="171"/>
      <c r="W553" s="171"/>
      <c r="X553" s="171"/>
      <c r="Y553" s="185"/>
      <c r="Z553" s="185"/>
    </row>
    <row r="554" spans="1:27" x14ac:dyDescent="0.25">
      <c r="D554" s="175"/>
      <c r="E554" s="175"/>
      <c r="H554" s="201"/>
      <c r="I554" s="201"/>
      <c r="J554" s="217"/>
      <c r="K554" s="217"/>
      <c r="L554" s="185"/>
      <c r="M554" s="185"/>
      <c r="N554" s="185"/>
      <c r="O554" s="185"/>
      <c r="P554" s="185"/>
      <c r="Q554" s="185"/>
      <c r="R554" s="168"/>
      <c r="S554" s="168"/>
      <c r="U554" s="170"/>
      <c r="V554" s="171"/>
      <c r="W554" s="171"/>
      <c r="X554" s="171"/>
      <c r="Y554" s="185"/>
      <c r="Z554" s="185"/>
    </row>
    <row r="555" spans="1:27" x14ac:dyDescent="0.25">
      <c r="D555" s="175"/>
      <c r="E555" s="175"/>
      <c r="H555" s="201"/>
      <c r="I555" s="201"/>
      <c r="J555" s="217"/>
      <c r="K555" s="217"/>
      <c r="L555" s="185"/>
      <c r="M555" s="185"/>
      <c r="N555" s="185"/>
      <c r="O555" s="185"/>
      <c r="P555" s="185"/>
      <c r="Q555" s="185"/>
      <c r="R555" s="168"/>
      <c r="S555" s="168"/>
      <c r="U555" s="170"/>
      <c r="V555" s="171"/>
      <c r="W555" s="171"/>
      <c r="X555" s="171"/>
      <c r="Y555" s="185"/>
      <c r="Z555" s="185"/>
    </row>
    <row r="556" spans="1:27" x14ac:dyDescent="0.25">
      <c r="D556" s="175"/>
      <c r="E556" s="175"/>
      <c r="H556" s="201"/>
      <c r="I556" s="201"/>
      <c r="J556" s="217"/>
      <c r="K556" s="217"/>
      <c r="L556" s="185"/>
      <c r="M556" s="185"/>
      <c r="N556" s="185"/>
      <c r="O556" s="185"/>
      <c r="P556" s="185"/>
      <c r="Q556" s="185"/>
      <c r="R556" s="168"/>
      <c r="S556" s="168"/>
      <c r="U556" s="170"/>
      <c r="V556" s="171"/>
      <c r="W556" s="171"/>
      <c r="X556" s="171"/>
      <c r="Y556" s="185"/>
      <c r="Z556" s="185"/>
    </row>
    <row r="557" spans="1:27" x14ac:dyDescent="0.25">
      <c r="D557" s="175"/>
      <c r="E557" s="175"/>
      <c r="H557" s="201"/>
      <c r="I557" s="201"/>
      <c r="J557" s="217"/>
      <c r="K557" s="217"/>
      <c r="L557" s="185"/>
      <c r="M557" s="185"/>
      <c r="N557" s="185"/>
      <c r="O557" s="185"/>
      <c r="P557" s="185"/>
      <c r="Q557" s="185"/>
      <c r="R557" s="168"/>
      <c r="S557" s="168"/>
      <c r="U557" s="170"/>
      <c r="V557" s="171"/>
      <c r="W557" s="171"/>
      <c r="X557" s="171"/>
      <c r="Y557" s="185"/>
      <c r="Z557" s="185"/>
    </row>
    <row r="558" spans="1:27" x14ac:dyDescent="0.25">
      <c r="D558" s="175"/>
      <c r="E558" s="175"/>
      <c r="H558" s="201"/>
      <c r="I558" s="201"/>
      <c r="J558" s="217"/>
      <c r="K558" s="217"/>
      <c r="L558" s="185"/>
      <c r="M558" s="185"/>
      <c r="N558" s="185"/>
      <c r="O558" s="185"/>
      <c r="P558" s="185"/>
      <c r="Q558" s="185"/>
      <c r="R558" s="168"/>
      <c r="S558" s="168"/>
      <c r="U558" s="170"/>
      <c r="V558" s="171"/>
      <c r="W558" s="171"/>
      <c r="X558" s="171"/>
      <c r="Y558" s="185"/>
      <c r="Z558" s="185"/>
    </row>
    <row r="559" spans="1:27" x14ac:dyDescent="0.25">
      <c r="D559" s="175"/>
      <c r="E559" s="175"/>
      <c r="H559" s="201"/>
      <c r="I559" s="201"/>
      <c r="J559" s="217"/>
      <c r="K559" s="217"/>
      <c r="L559" s="185"/>
      <c r="M559" s="185"/>
      <c r="N559" s="185"/>
      <c r="O559" s="185"/>
      <c r="P559" s="185"/>
      <c r="Q559" s="185"/>
      <c r="R559" s="168"/>
      <c r="S559" s="168"/>
      <c r="U559" s="170"/>
      <c r="V559" s="171"/>
      <c r="W559" s="171"/>
      <c r="X559" s="171"/>
      <c r="Y559" s="185"/>
      <c r="Z559" s="185"/>
    </row>
    <row r="560" spans="1:27" x14ac:dyDescent="0.25">
      <c r="D560" s="175"/>
      <c r="E560" s="175"/>
      <c r="H560" s="201"/>
      <c r="I560" s="201"/>
      <c r="J560" s="217"/>
      <c r="K560" s="217"/>
      <c r="L560" s="185"/>
      <c r="M560" s="185"/>
      <c r="N560" s="185"/>
      <c r="O560" s="185"/>
      <c r="P560" s="185"/>
      <c r="Q560" s="185"/>
      <c r="R560" s="168"/>
      <c r="S560" s="168"/>
      <c r="U560" s="170"/>
      <c r="V560" s="171"/>
      <c r="W560" s="171"/>
      <c r="X560" s="171"/>
      <c r="Y560" s="185"/>
      <c r="Z560" s="185"/>
    </row>
    <row r="561" spans="4:26" x14ac:dyDescent="0.25">
      <c r="D561" s="175"/>
      <c r="E561" s="175"/>
      <c r="H561" s="201"/>
      <c r="I561" s="201"/>
      <c r="J561" s="217"/>
      <c r="K561" s="217"/>
      <c r="L561" s="185"/>
      <c r="M561" s="185"/>
      <c r="N561" s="185"/>
      <c r="O561" s="185"/>
      <c r="P561" s="185"/>
      <c r="Q561" s="185"/>
      <c r="R561" s="168"/>
      <c r="S561" s="168"/>
      <c r="U561" s="170"/>
      <c r="V561" s="171"/>
      <c r="W561" s="171"/>
      <c r="X561" s="171"/>
      <c r="Y561" s="185"/>
      <c r="Z561" s="185"/>
    </row>
    <row r="562" spans="4:26" x14ac:dyDescent="0.25">
      <c r="D562" s="175"/>
      <c r="E562" s="175"/>
      <c r="H562" s="201"/>
      <c r="I562" s="201"/>
      <c r="J562" s="217"/>
      <c r="K562" s="217"/>
      <c r="L562" s="185"/>
      <c r="M562" s="185"/>
      <c r="N562" s="185"/>
      <c r="O562" s="185"/>
      <c r="P562" s="185"/>
      <c r="Q562" s="185"/>
      <c r="R562" s="168"/>
      <c r="S562" s="168"/>
      <c r="U562" s="170"/>
      <c r="V562" s="171"/>
      <c r="W562" s="171"/>
      <c r="X562" s="171"/>
      <c r="Y562" s="185"/>
      <c r="Z562" s="185"/>
    </row>
    <row r="563" spans="4:26" x14ac:dyDescent="0.25">
      <c r="D563" s="175"/>
      <c r="E563" s="175"/>
      <c r="H563" s="201"/>
      <c r="I563" s="201"/>
      <c r="J563" s="217"/>
      <c r="K563" s="217"/>
      <c r="L563" s="185"/>
      <c r="M563" s="185"/>
      <c r="N563" s="185"/>
      <c r="O563" s="185"/>
      <c r="P563" s="185"/>
      <c r="Q563" s="185"/>
      <c r="R563" s="168"/>
      <c r="S563" s="168"/>
      <c r="U563" s="170"/>
      <c r="V563" s="171"/>
      <c r="W563" s="171"/>
      <c r="X563" s="171"/>
      <c r="Y563" s="185"/>
      <c r="Z563" s="185"/>
    </row>
    <row r="564" spans="4:26" x14ac:dyDescent="0.25">
      <c r="D564" s="175"/>
      <c r="E564" s="175"/>
      <c r="H564" s="201"/>
      <c r="I564" s="201"/>
      <c r="J564" s="217"/>
      <c r="K564" s="217"/>
      <c r="L564" s="185"/>
      <c r="M564" s="185"/>
      <c r="N564" s="185"/>
      <c r="O564" s="185"/>
      <c r="P564" s="185"/>
      <c r="Q564" s="185"/>
      <c r="R564" s="168"/>
      <c r="S564" s="168"/>
      <c r="U564" s="170"/>
      <c r="V564" s="171"/>
      <c r="W564" s="171"/>
      <c r="X564" s="171"/>
      <c r="Y564" s="185"/>
      <c r="Z564" s="185"/>
    </row>
    <row r="565" spans="4:26" x14ac:dyDescent="0.25">
      <c r="D565" s="175"/>
      <c r="E565" s="175"/>
      <c r="H565" s="201"/>
      <c r="I565" s="201"/>
      <c r="J565" s="217"/>
      <c r="K565" s="217"/>
      <c r="L565" s="185"/>
      <c r="M565" s="185"/>
      <c r="N565" s="185"/>
      <c r="O565" s="185"/>
      <c r="P565" s="185"/>
      <c r="Q565" s="185"/>
      <c r="R565" s="168"/>
      <c r="S565" s="168"/>
      <c r="U565" s="170"/>
      <c r="V565" s="171"/>
      <c r="W565" s="171"/>
      <c r="X565" s="171"/>
      <c r="Y565" s="185"/>
      <c r="Z565" s="185"/>
    </row>
    <row r="566" spans="4:26" x14ac:dyDescent="0.25">
      <c r="D566" s="175"/>
      <c r="E566" s="175"/>
      <c r="H566" s="201"/>
      <c r="I566" s="201"/>
      <c r="J566" s="217"/>
      <c r="K566" s="217"/>
      <c r="L566" s="185"/>
      <c r="M566" s="185"/>
      <c r="N566" s="185"/>
      <c r="O566" s="185"/>
      <c r="P566" s="185"/>
      <c r="Q566" s="185"/>
      <c r="R566" s="168"/>
      <c r="S566" s="168"/>
      <c r="U566" s="170"/>
      <c r="V566" s="171"/>
      <c r="W566" s="171"/>
      <c r="X566" s="171"/>
      <c r="Y566" s="185"/>
      <c r="Z566" s="185"/>
    </row>
    <row r="567" spans="4:26" x14ac:dyDescent="0.25">
      <c r="D567" s="175"/>
      <c r="E567" s="175"/>
      <c r="H567" s="201"/>
      <c r="I567" s="201"/>
      <c r="J567" s="217"/>
      <c r="K567" s="217"/>
      <c r="L567" s="185"/>
      <c r="M567" s="185"/>
      <c r="N567" s="185"/>
      <c r="O567" s="185"/>
      <c r="P567" s="185"/>
      <c r="Q567" s="185"/>
      <c r="R567" s="168"/>
      <c r="S567" s="168"/>
      <c r="U567" s="170"/>
      <c r="V567" s="171"/>
      <c r="W567" s="171"/>
      <c r="X567" s="171"/>
      <c r="Y567" s="185"/>
      <c r="Z567" s="185"/>
    </row>
    <row r="568" spans="4:26" x14ac:dyDescent="0.25">
      <c r="D568" s="175"/>
      <c r="E568" s="175"/>
      <c r="H568" s="201"/>
      <c r="I568" s="201"/>
      <c r="J568" s="217"/>
      <c r="K568" s="217"/>
      <c r="L568" s="185"/>
      <c r="M568" s="185"/>
      <c r="N568" s="185"/>
      <c r="O568" s="185"/>
      <c r="P568" s="185"/>
      <c r="Q568" s="185"/>
      <c r="R568" s="168"/>
      <c r="S568" s="168"/>
      <c r="U568" s="170"/>
      <c r="V568" s="171"/>
      <c r="W568" s="171"/>
      <c r="X568" s="171"/>
      <c r="Y568" s="185"/>
      <c r="Z568" s="185"/>
    </row>
    <row r="569" spans="4:26" x14ac:dyDescent="0.25">
      <c r="D569" s="175"/>
      <c r="E569" s="175"/>
      <c r="H569" s="201"/>
      <c r="I569" s="201"/>
      <c r="J569" s="217"/>
      <c r="K569" s="217"/>
      <c r="L569" s="185"/>
      <c r="M569" s="185"/>
      <c r="N569" s="185"/>
      <c r="O569" s="185"/>
      <c r="P569" s="185"/>
      <c r="Q569" s="185"/>
      <c r="R569" s="168"/>
      <c r="S569" s="168"/>
      <c r="U569" s="170"/>
      <c r="V569" s="171"/>
      <c r="W569" s="171"/>
      <c r="X569" s="171"/>
      <c r="Y569" s="185"/>
      <c r="Z569" s="185"/>
    </row>
    <row r="570" spans="4:26" x14ac:dyDescent="0.25">
      <c r="D570" s="175"/>
      <c r="E570" s="175"/>
      <c r="H570" s="201"/>
      <c r="I570" s="201"/>
      <c r="J570" s="217"/>
      <c r="K570" s="217"/>
      <c r="L570" s="185"/>
      <c r="M570" s="185"/>
      <c r="N570" s="185"/>
      <c r="O570" s="185"/>
      <c r="P570" s="185"/>
      <c r="Q570" s="185"/>
      <c r="R570" s="168"/>
      <c r="S570" s="168"/>
      <c r="U570" s="170"/>
      <c r="V570" s="171"/>
      <c r="W570" s="171"/>
      <c r="X570" s="171"/>
      <c r="Y570" s="185"/>
      <c r="Z570" s="185"/>
    </row>
    <row r="571" spans="4:26" x14ac:dyDescent="0.25">
      <c r="D571" s="175"/>
      <c r="E571" s="175"/>
      <c r="H571" s="201"/>
      <c r="I571" s="201"/>
      <c r="J571" s="217"/>
      <c r="K571" s="217"/>
      <c r="L571" s="185"/>
      <c r="M571" s="185"/>
      <c r="N571" s="185"/>
      <c r="O571" s="185"/>
      <c r="P571" s="185"/>
      <c r="Q571" s="185"/>
      <c r="R571" s="168"/>
      <c r="S571" s="168"/>
      <c r="U571" s="170"/>
      <c r="V571" s="171"/>
      <c r="W571" s="171"/>
      <c r="X571" s="171"/>
      <c r="Y571" s="185"/>
      <c r="Z571" s="185"/>
    </row>
    <row r="572" spans="4:26" x14ac:dyDescent="0.25">
      <c r="D572" s="175"/>
      <c r="E572" s="175"/>
      <c r="H572" s="201"/>
      <c r="I572" s="201"/>
      <c r="J572" s="217"/>
      <c r="K572" s="217"/>
      <c r="L572" s="185"/>
      <c r="M572" s="185"/>
      <c r="N572" s="185"/>
      <c r="O572" s="185"/>
      <c r="P572" s="185"/>
      <c r="Q572" s="185"/>
      <c r="R572" s="168"/>
      <c r="S572" s="168"/>
      <c r="U572" s="170"/>
      <c r="V572" s="171"/>
      <c r="W572" s="171"/>
      <c r="X572" s="171"/>
      <c r="Y572" s="185"/>
      <c r="Z572" s="185"/>
    </row>
    <row r="573" spans="4:26" x14ac:dyDescent="0.25">
      <c r="D573" s="175"/>
      <c r="E573" s="175"/>
      <c r="H573" s="201"/>
      <c r="I573" s="201"/>
      <c r="J573" s="217"/>
      <c r="K573" s="217"/>
      <c r="L573" s="185"/>
      <c r="M573" s="185"/>
      <c r="N573" s="185"/>
      <c r="O573" s="185"/>
      <c r="P573" s="185"/>
      <c r="Q573" s="185"/>
      <c r="R573" s="168"/>
      <c r="S573" s="168"/>
      <c r="U573" s="170"/>
      <c r="V573" s="171"/>
      <c r="W573" s="171"/>
      <c r="X573" s="171"/>
      <c r="Y573" s="185"/>
      <c r="Z573" s="185"/>
    </row>
    <row r="574" spans="4:26" x14ac:dyDescent="0.25">
      <c r="D574" s="175"/>
      <c r="E574" s="175"/>
      <c r="H574" s="201"/>
      <c r="I574" s="201"/>
      <c r="J574" s="217"/>
      <c r="K574" s="217"/>
      <c r="L574" s="185"/>
      <c r="M574" s="185"/>
      <c r="N574" s="185"/>
      <c r="O574" s="185"/>
      <c r="P574" s="185"/>
      <c r="Q574" s="185"/>
      <c r="R574" s="168"/>
      <c r="S574" s="168"/>
      <c r="U574" s="170"/>
      <c r="V574" s="171"/>
      <c r="W574" s="171"/>
      <c r="X574" s="171"/>
      <c r="Y574" s="185"/>
      <c r="Z574" s="185"/>
    </row>
    <row r="575" spans="4:26" x14ac:dyDescent="0.25">
      <c r="D575" s="175"/>
      <c r="E575" s="175"/>
      <c r="H575" s="201"/>
      <c r="I575" s="201"/>
      <c r="J575" s="217"/>
      <c r="K575" s="217"/>
      <c r="L575" s="185"/>
      <c r="M575" s="185"/>
      <c r="N575" s="185"/>
      <c r="O575" s="185"/>
      <c r="P575" s="185"/>
      <c r="Q575" s="185"/>
      <c r="R575" s="168"/>
      <c r="S575" s="168"/>
      <c r="U575" s="170"/>
      <c r="V575" s="171"/>
      <c r="W575" s="171"/>
      <c r="X575" s="171"/>
      <c r="Y575" s="185"/>
      <c r="Z575" s="185"/>
    </row>
    <row r="576" spans="4:26" x14ac:dyDescent="0.25">
      <c r="D576" s="175"/>
      <c r="E576" s="175"/>
      <c r="H576" s="201"/>
      <c r="I576" s="201"/>
      <c r="J576" s="217"/>
      <c r="K576" s="217"/>
      <c r="L576" s="185"/>
      <c r="M576" s="185"/>
      <c r="N576" s="185"/>
      <c r="O576" s="185"/>
      <c r="P576" s="185"/>
      <c r="Q576" s="185"/>
      <c r="R576" s="168"/>
      <c r="S576" s="168"/>
      <c r="U576" s="170"/>
      <c r="V576" s="171"/>
      <c r="W576" s="171"/>
      <c r="X576" s="171"/>
      <c r="Y576" s="185"/>
      <c r="Z576" s="185"/>
    </row>
    <row r="577" spans="4:26" x14ac:dyDescent="0.25">
      <c r="D577" s="175"/>
      <c r="E577" s="175"/>
      <c r="H577" s="201"/>
      <c r="I577" s="201"/>
      <c r="J577" s="217"/>
      <c r="K577" s="217"/>
      <c r="L577" s="185"/>
      <c r="M577" s="185"/>
      <c r="N577" s="185"/>
      <c r="O577" s="185"/>
      <c r="P577" s="185"/>
      <c r="Q577" s="185"/>
      <c r="R577" s="168"/>
      <c r="S577" s="168"/>
      <c r="U577" s="170"/>
      <c r="V577" s="171"/>
      <c r="W577" s="171"/>
      <c r="X577" s="171"/>
      <c r="Y577" s="185"/>
      <c r="Z577" s="185"/>
    </row>
    <row r="578" spans="4:26" x14ac:dyDescent="0.25">
      <c r="D578" s="175"/>
      <c r="E578" s="175"/>
      <c r="H578" s="201"/>
      <c r="I578" s="201"/>
      <c r="J578" s="217"/>
      <c r="K578" s="217"/>
      <c r="L578" s="185"/>
      <c r="M578" s="185"/>
      <c r="N578" s="185"/>
      <c r="O578" s="185"/>
      <c r="P578" s="185"/>
      <c r="Q578" s="185"/>
      <c r="R578" s="168"/>
      <c r="S578" s="168"/>
      <c r="U578" s="170"/>
      <c r="V578" s="171"/>
      <c r="W578" s="171"/>
      <c r="X578" s="171"/>
      <c r="Y578" s="185"/>
      <c r="Z578" s="185"/>
    </row>
    <row r="579" spans="4:26" x14ac:dyDescent="0.25">
      <c r="D579" s="175"/>
      <c r="E579" s="175"/>
      <c r="H579" s="201"/>
      <c r="I579" s="201"/>
      <c r="J579" s="217"/>
      <c r="K579" s="217"/>
      <c r="L579" s="185"/>
      <c r="M579" s="185"/>
      <c r="N579" s="185"/>
      <c r="O579" s="185"/>
      <c r="P579" s="185"/>
      <c r="Q579" s="185"/>
      <c r="R579" s="168"/>
      <c r="S579" s="168"/>
      <c r="U579" s="170"/>
      <c r="V579" s="171"/>
      <c r="W579" s="171"/>
      <c r="X579" s="171"/>
      <c r="Y579" s="185"/>
      <c r="Z579" s="185"/>
    </row>
    <row r="580" spans="4:26" x14ac:dyDescent="0.25">
      <c r="D580" s="175"/>
      <c r="E580" s="175"/>
      <c r="H580" s="201"/>
      <c r="I580" s="201"/>
      <c r="J580" s="217"/>
      <c r="K580" s="217"/>
      <c r="L580" s="185"/>
      <c r="M580" s="185"/>
      <c r="N580" s="185"/>
      <c r="O580" s="185"/>
      <c r="P580" s="185"/>
      <c r="Q580" s="185"/>
      <c r="R580" s="168"/>
      <c r="S580" s="168"/>
      <c r="U580" s="170"/>
      <c r="V580" s="171"/>
      <c r="W580" s="171"/>
      <c r="X580" s="171"/>
      <c r="Y580" s="185"/>
      <c r="Z580" s="185"/>
    </row>
    <row r="581" spans="4:26" x14ac:dyDescent="0.25">
      <c r="D581" s="175"/>
      <c r="E581" s="175"/>
      <c r="H581" s="201"/>
      <c r="I581" s="201"/>
      <c r="J581" s="217"/>
      <c r="K581" s="217"/>
      <c r="L581" s="185"/>
      <c r="M581" s="185"/>
      <c r="N581" s="185"/>
      <c r="O581" s="185"/>
      <c r="P581" s="185"/>
      <c r="Q581" s="185"/>
      <c r="R581" s="168"/>
      <c r="S581" s="168"/>
      <c r="U581" s="170"/>
      <c r="V581" s="171"/>
      <c r="W581" s="171"/>
      <c r="X581" s="171"/>
      <c r="Y581" s="185"/>
      <c r="Z581" s="185"/>
    </row>
    <row r="582" spans="4:26" x14ac:dyDescent="0.25">
      <c r="D582" s="175"/>
      <c r="E582" s="175"/>
      <c r="H582" s="201"/>
      <c r="I582" s="201"/>
      <c r="J582" s="217"/>
      <c r="K582" s="217"/>
      <c r="L582" s="185"/>
      <c r="M582" s="185"/>
      <c r="N582" s="185"/>
      <c r="O582" s="185"/>
      <c r="P582" s="185"/>
      <c r="Q582" s="185"/>
      <c r="R582" s="168"/>
      <c r="S582" s="168"/>
      <c r="U582" s="170"/>
      <c r="V582" s="171"/>
      <c r="W582" s="171"/>
      <c r="X582" s="171"/>
      <c r="Y582" s="185"/>
      <c r="Z582" s="185"/>
    </row>
    <row r="583" spans="4:26" x14ac:dyDescent="0.25">
      <c r="D583" s="175"/>
      <c r="E583" s="175"/>
      <c r="H583" s="201"/>
      <c r="I583" s="201"/>
      <c r="J583" s="217"/>
      <c r="K583" s="217"/>
      <c r="L583" s="185"/>
      <c r="M583" s="185"/>
      <c r="N583" s="185"/>
      <c r="O583" s="185"/>
      <c r="P583" s="185"/>
      <c r="Q583" s="185"/>
      <c r="R583" s="168"/>
      <c r="S583" s="168"/>
      <c r="U583" s="170"/>
      <c r="V583" s="171"/>
      <c r="W583" s="171"/>
      <c r="X583" s="171"/>
      <c r="Y583" s="185"/>
      <c r="Z583" s="185"/>
    </row>
    <row r="584" spans="4:26" x14ac:dyDescent="0.25">
      <c r="D584" s="175"/>
      <c r="E584" s="175"/>
      <c r="H584" s="201"/>
      <c r="I584" s="201"/>
      <c r="J584" s="217"/>
      <c r="K584" s="217"/>
      <c r="L584" s="185"/>
      <c r="M584" s="185"/>
      <c r="N584" s="185"/>
      <c r="O584" s="185"/>
      <c r="P584" s="185"/>
      <c r="Q584" s="185"/>
      <c r="R584" s="168"/>
      <c r="S584" s="168"/>
      <c r="U584" s="170"/>
      <c r="V584" s="171"/>
      <c r="W584" s="171"/>
      <c r="X584" s="171"/>
      <c r="Y584" s="185"/>
      <c r="Z584" s="185"/>
    </row>
    <row r="585" spans="4:26" x14ac:dyDescent="0.25">
      <c r="D585" s="175"/>
      <c r="E585" s="175"/>
      <c r="H585" s="201"/>
      <c r="I585" s="201"/>
      <c r="J585" s="217"/>
      <c r="K585" s="217"/>
      <c r="L585" s="185"/>
      <c r="M585" s="185"/>
      <c r="N585" s="185"/>
      <c r="O585" s="185"/>
      <c r="P585" s="185"/>
      <c r="Q585" s="185"/>
      <c r="R585" s="168"/>
      <c r="S585" s="168"/>
      <c r="U585" s="170"/>
      <c r="V585" s="171"/>
      <c r="W585" s="171"/>
      <c r="X585" s="171"/>
      <c r="Y585" s="185"/>
      <c r="Z585" s="185"/>
    </row>
    <row r="586" spans="4:26" x14ac:dyDescent="0.25">
      <c r="D586" s="175"/>
      <c r="E586" s="175"/>
      <c r="H586" s="201"/>
      <c r="I586" s="201"/>
      <c r="J586" s="217"/>
      <c r="K586" s="217"/>
      <c r="L586" s="185"/>
      <c r="M586" s="185"/>
      <c r="N586" s="185"/>
      <c r="O586" s="185"/>
      <c r="P586" s="185"/>
      <c r="Q586" s="185"/>
      <c r="R586" s="168"/>
      <c r="S586" s="168"/>
      <c r="U586" s="170"/>
      <c r="V586" s="171"/>
      <c r="W586" s="171"/>
      <c r="X586" s="171"/>
      <c r="Y586" s="185"/>
      <c r="Z586" s="185"/>
    </row>
    <row r="587" spans="4:26" x14ac:dyDescent="0.25">
      <c r="D587" s="175"/>
      <c r="E587" s="175"/>
      <c r="H587" s="201"/>
      <c r="I587" s="201"/>
      <c r="J587" s="217"/>
      <c r="K587" s="217"/>
      <c r="L587" s="185"/>
      <c r="M587" s="185"/>
      <c r="N587" s="185"/>
      <c r="O587" s="185"/>
      <c r="P587" s="185"/>
      <c r="Q587" s="185"/>
      <c r="R587" s="168"/>
      <c r="S587" s="168"/>
      <c r="U587" s="170"/>
      <c r="V587" s="171"/>
      <c r="W587" s="171"/>
      <c r="X587" s="171"/>
      <c r="Y587" s="185"/>
      <c r="Z587" s="185"/>
    </row>
    <row r="588" spans="4:26" x14ac:dyDescent="0.25">
      <c r="D588" s="175"/>
      <c r="E588" s="175"/>
      <c r="H588" s="201"/>
      <c r="I588" s="201"/>
      <c r="J588" s="217"/>
      <c r="K588" s="217"/>
      <c r="L588" s="185"/>
      <c r="M588" s="185"/>
      <c r="N588" s="185"/>
      <c r="O588" s="185"/>
      <c r="P588" s="185"/>
      <c r="Q588" s="185"/>
      <c r="R588" s="168"/>
      <c r="S588" s="168"/>
      <c r="U588" s="170"/>
      <c r="V588" s="171"/>
      <c r="W588" s="171"/>
      <c r="X588" s="171"/>
      <c r="Y588" s="185"/>
      <c r="Z588" s="185"/>
    </row>
    <row r="589" spans="4:26" x14ac:dyDescent="0.25">
      <c r="D589" s="175"/>
      <c r="E589" s="175"/>
      <c r="H589" s="201"/>
      <c r="I589" s="201"/>
      <c r="J589" s="217"/>
      <c r="K589" s="217"/>
      <c r="L589" s="185"/>
      <c r="M589" s="185"/>
      <c r="N589" s="185"/>
      <c r="O589" s="185"/>
      <c r="P589" s="185"/>
      <c r="Q589" s="185"/>
      <c r="R589" s="168"/>
      <c r="S589" s="168"/>
      <c r="U589" s="170"/>
      <c r="V589" s="171"/>
      <c r="W589" s="171"/>
      <c r="X589" s="171"/>
      <c r="Y589" s="185"/>
      <c r="Z589" s="185"/>
    </row>
    <row r="590" spans="4:26" x14ac:dyDescent="0.25">
      <c r="D590" s="175"/>
      <c r="E590" s="175"/>
      <c r="H590" s="201"/>
      <c r="I590" s="201"/>
      <c r="J590" s="217"/>
      <c r="K590" s="217"/>
      <c r="L590" s="185"/>
      <c r="M590" s="185"/>
      <c r="N590" s="185"/>
      <c r="O590" s="185"/>
      <c r="P590" s="185"/>
      <c r="Q590" s="185"/>
      <c r="R590" s="168"/>
      <c r="S590" s="168"/>
      <c r="U590" s="170"/>
      <c r="V590" s="171"/>
      <c r="W590" s="171"/>
      <c r="X590" s="171"/>
      <c r="Y590" s="185"/>
      <c r="Z590" s="185"/>
    </row>
    <row r="591" spans="4:26" x14ac:dyDescent="0.25">
      <c r="D591" s="175"/>
      <c r="E591" s="175"/>
      <c r="H591" s="201"/>
      <c r="I591" s="201"/>
      <c r="J591" s="217"/>
      <c r="K591" s="217"/>
      <c r="L591" s="185"/>
      <c r="M591" s="185"/>
      <c r="N591" s="185"/>
      <c r="O591" s="185"/>
      <c r="P591" s="185"/>
      <c r="Q591" s="185"/>
      <c r="R591" s="168"/>
      <c r="S591" s="168"/>
      <c r="U591" s="170"/>
      <c r="V591" s="171"/>
      <c r="W591" s="171"/>
      <c r="X591" s="171"/>
      <c r="Y591" s="185"/>
      <c r="Z591" s="185"/>
    </row>
    <row r="592" spans="4:26" x14ac:dyDescent="0.25">
      <c r="D592" s="175"/>
      <c r="E592" s="175"/>
      <c r="H592" s="201"/>
      <c r="I592" s="201"/>
      <c r="J592" s="217"/>
      <c r="K592" s="217"/>
      <c r="L592" s="185"/>
      <c r="M592" s="185"/>
      <c r="N592" s="185"/>
      <c r="O592" s="185"/>
      <c r="P592" s="185"/>
      <c r="Q592" s="185"/>
      <c r="R592" s="168"/>
      <c r="S592" s="168"/>
      <c r="U592" s="170"/>
      <c r="V592" s="171"/>
      <c r="W592" s="171"/>
      <c r="X592" s="171"/>
      <c r="Y592" s="185"/>
      <c r="Z592" s="185"/>
    </row>
    <row r="593" spans="4:26" x14ac:dyDescent="0.25">
      <c r="D593" s="175"/>
      <c r="E593" s="175"/>
      <c r="H593" s="201"/>
      <c r="I593" s="201"/>
      <c r="J593" s="217"/>
      <c r="K593" s="217"/>
      <c r="L593" s="185"/>
      <c r="M593" s="185"/>
      <c r="N593" s="185"/>
      <c r="O593" s="185"/>
      <c r="P593" s="185"/>
      <c r="Q593" s="185"/>
      <c r="R593" s="168"/>
      <c r="S593" s="168"/>
      <c r="U593" s="170"/>
      <c r="V593" s="171"/>
      <c r="W593" s="171"/>
      <c r="X593" s="171"/>
      <c r="Y593" s="185"/>
      <c r="Z593" s="185"/>
    </row>
    <row r="594" spans="4:26" x14ac:dyDescent="0.25">
      <c r="D594" s="175"/>
      <c r="E594" s="175"/>
      <c r="H594" s="201"/>
      <c r="I594" s="201"/>
      <c r="J594" s="217"/>
      <c r="K594" s="217"/>
      <c r="L594" s="185"/>
      <c r="M594" s="185"/>
      <c r="N594" s="185"/>
      <c r="O594" s="185"/>
      <c r="P594" s="185"/>
      <c r="Q594" s="185"/>
      <c r="R594" s="168"/>
      <c r="S594" s="168"/>
      <c r="U594" s="170"/>
      <c r="V594" s="171"/>
      <c r="W594" s="171"/>
      <c r="X594" s="171"/>
      <c r="Y594" s="185"/>
      <c r="Z594" s="185"/>
    </row>
    <row r="595" spans="4:26" x14ac:dyDescent="0.25">
      <c r="D595" s="175"/>
      <c r="E595" s="175"/>
      <c r="H595" s="201"/>
      <c r="I595" s="201"/>
      <c r="J595" s="217"/>
      <c r="K595" s="217"/>
      <c r="L595" s="185"/>
      <c r="M595" s="185"/>
      <c r="N595" s="185"/>
      <c r="O595" s="185"/>
      <c r="P595" s="185"/>
      <c r="Q595" s="185"/>
      <c r="R595" s="168"/>
      <c r="S595" s="168"/>
      <c r="U595" s="170"/>
      <c r="V595" s="171"/>
      <c r="W595" s="171"/>
      <c r="X595" s="171"/>
      <c r="Y595" s="185"/>
      <c r="Z595" s="185"/>
    </row>
    <row r="596" spans="4:26" x14ac:dyDescent="0.25">
      <c r="D596" s="175"/>
      <c r="E596" s="175"/>
      <c r="H596" s="201"/>
      <c r="I596" s="201"/>
      <c r="J596" s="217"/>
      <c r="K596" s="217"/>
      <c r="L596" s="185"/>
      <c r="M596" s="185"/>
      <c r="N596" s="185"/>
      <c r="O596" s="185"/>
      <c r="P596" s="185"/>
      <c r="Q596" s="185"/>
      <c r="R596" s="168"/>
      <c r="S596" s="168"/>
      <c r="U596" s="170"/>
      <c r="V596" s="171"/>
      <c r="W596" s="171"/>
      <c r="X596" s="171"/>
      <c r="Y596" s="185"/>
      <c r="Z596" s="185"/>
    </row>
    <row r="597" spans="4:26" x14ac:dyDescent="0.25">
      <c r="D597" s="223"/>
      <c r="E597" s="175"/>
      <c r="H597" s="201"/>
      <c r="I597" s="201"/>
      <c r="J597" s="217"/>
      <c r="K597" s="217"/>
      <c r="L597" s="185"/>
      <c r="M597" s="185"/>
      <c r="N597" s="185"/>
      <c r="O597" s="185"/>
      <c r="P597" s="185"/>
      <c r="Q597" s="185"/>
      <c r="R597" s="168"/>
      <c r="S597" s="168"/>
      <c r="U597" s="170"/>
      <c r="V597" s="171"/>
      <c r="W597" s="171"/>
      <c r="X597" s="171"/>
      <c r="Y597" s="185"/>
      <c r="Z597" s="185"/>
    </row>
    <row r="598" spans="4:26" x14ac:dyDescent="0.25">
      <c r="D598" s="175"/>
      <c r="E598" s="175"/>
      <c r="H598" s="201"/>
      <c r="I598" s="201"/>
      <c r="J598" s="217"/>
      <c r="K598" s="217"/>
      <c r="L598" s="185"/>
      <c r="M598" s="185"/>
      <c r="N598" s="185"/>
      <c r="O598" s="185"/>
      <c r="P598" s="185"/>
      <c r="Q598" s="185"/>
      <c r="R598" s="168"/>
      <c r="S598" s="168"/>
      <c r="U598" s="170"/>
      <c r="V598" s="171"/>
      <c r="W598" s="171"/>
      <c r="X598" s="171"/>
      <c r="Y598" s="185"/>
      <c r="Z598" s="185"/>
    </row>
    <row r="599" spans="4:26" x14ac:dyDescent="0.25">
      <c r="D599" s="175"/>
      <c r="E599" s="175"/>
      <c r="H599" s="201"/>
      <c r="I599" s="201"/>
      <c r="J599" s="217"/>
      <c r="K599" s="217"/>
      <c r="L599" s="185"/>
      <c r="M599" s="185"/>
      <c r="N599" s="185"/>
      <c r="O599" s="185"/>
      <c r="P599" s="185"/>
      <c r="Q599" s="185"/>
      <c r="R599" s="168"/>
      <c r="S599" s="168"/>
      <c r="U599" s="170"/>
      <c r="V599" s="171"/>
      <c r="W599" s="171"/>
      <c r="X599" s="171"/>
      <c r="Y599" s="185"/>
      <c r="Z599" s="185"/>
    </row>
    <row r="600" spans="4:26" x14ac:dyDescent="0.25">
      <c r="D600" s="175"/>
      <c r="E600" s="175"/>
      <c r="H600" s="201"/>
      <c r="I600" s="201"/>
      <c r="J600" s="217"/>
      <c r="K600" s="217"/>
      <c r="L600" s="185"/>
      <c r="M600" s="185"/>
      <c r="N600" s="185"/>
      <c r="O600" s="185"/>
      <c r="P600" s="185"/>
      <c r="Q600" s="185"/>
      <c r="R600" s="168"/>
      <c r="S600" s="168"/>
      <c r="U600" s="170"/>
      <c r="V600" s="171"/>
      <c r="W600" s="171"/>
      <c r="X600" s="171"/>
      <c r="Y600" s="185"/>
      <c r="Z600" s="185"/>
    </row>
    <row r="601" spans="4:26" x14ac:dyDescent="0.25">
      <c r="D601" s="175"/>
      <c r="E601" s="175"/>
      <c r="H601" s="201"/>
      <c r="I601" s="201"/>
      <c r="J601" s="217"/>
      <c r="K601" s="217"/>
      <c r="L601" s="185"/>
      <c r="M601" s="185"/>
      <c r="N601" s="185"/>
      <c r="O601" s="185"/>
      <c r="P601" s="185"/>
      <c r="Q601" s="185"/>
      <c r="R601" s="168"/>
      <c r="S601" s="168"/>
      <c r="U601" s="170"/>
      <c r="V601" s="171"/>
      <c r="W601" s="171"/>
      <c r="X601" s="171"/>
      <c r="Y601" s="185"/>
      <c r="Z601" s="185"/>
    </row>
    <row r="602" spans="4:26" x14ac:dyDescent="0.25">
      <c r="D602" s="223"/>
      <c r="E602" s="175"/>
      <c r="H602" s="201"/>
      <c r="I602" s="201"/>
      <c r="J602" s="217"/>
      <c r="K602" s="217"/>
      <c r="L602" s="185"/>
      <c r="M602" s="185"/>
      <c r="N602" s="185"/>
      <c r="O602" s="185"/>
      <c r="P602" s="185"/>
      <c r="Q602" s="185"/>
      <c r="R602" s="168"/>
      <c r="S602" s="168"/>
      <c r="U602" s="170"/>
      <c r="V602" s="171"/>
      <c r="W602" s="171"/>
      <c r="X602" s="171"/>
      <c r="Y602" s="185"/>
      <c r="Z602" s="185"/>
    </row>
    <row r="603" spans="4:26" x14ac:dyDescent="0.25">
      <c r="D603" s="175"/>
      <c r="E603" s="175"/>
      <c r="H603" s="201"/>
      <c r="I603" s="201"/>
      <c r="J603" s="217"/>
      <c r="K603" s="217"/>
      <c r="L603" s="185"/>
      <c r="M603" s="185"/>
      <c r="N603" s="185"/>
      <c r="O603" s="185"/>
      <c r="P603" s="185"/>
      <c r="Q603" s="185"/>
      <c r="R603" s="168"/>
      <c r="S603" s="168"/>
      <c r="U603" s="170"/>
      <c r="V603" s="171"/>
      <c r="W603" s="171"/>
      <c r="X603" s="171"/>
      <c r="Y603" s="185"/>
      <c r="Z603" s="185"/>
    </row>
    <row r="604" spans="4:26" x14ac:dyDescent="0.25">
      <c r="D604" s="175"/>
      <c r="E604" s="175"/>
      <c r="H604" s="201"/>
      <c r="I604" s="201"/>
      <c r="J604" s="217"/>
      <c r="K604" s="217"/>
      <c r="L604" s="185"/>
      <c r="M604" s="185"/>
      <c r="N604" s="185"/>
      <c r="O604" s="185"/>
      <c r="P604" s="185"/>
      <c r="Q604" s="185"/>
      <c r="R604" s="168"/>
      <c r="S604" s="168"/>
      <c r="U604" s="170"/>
      <c r="V604" s="171"/>
      <c r="W604" s="171"/>
      <c r="X604" s="171"/>
      <c r="Y604" s="185"/>
      <c r="Z604" s="185"/>
    </row>
    <row r="605" spans="4:26" x14ac:dyDescent="0.25">
      <c r="D605" s="175"/>
      <c r="E605" s="175"/>
      <c r="H605" s="201"/>
      <c r="I605" s="201"/>
      <c r="J605" s="217"/>
      <c r="K605" s="217"/>
      <c r="L605" s="185"/>
      <c r="M605" s="185"/>
      <c r="N605" s="185"/>
      <c r="O605" s="185"/>
      <c r="P605" s="185"/>
      <c r="Q605" s="185"/>
      <c r="R605" s="168"/>
      <c r="S605" s="168"/>
      <c r="U605" s="170"/>
      <c r="V605" s="171"/>
      <c r="W605" s="171"/>
      <c r="X605" s="171"/>
      <c r="Y605" s="185"/>
      <c r="Z605" s="185"/>
    </row>
    <row r="606" spans="4:26" x14ac:dyDescent="0.25">
      <c r="D606" s="175"/>
      <c r="E606" s="175"/>
      <c r="H606" s="201"/>
      <c r="I606" s="201"/>
      <c r="J606" s="217"/>
      <c r="K606" s="217"/>
      <c r="L606" s="185"/>
      <c r="M606" s="185"/>
      <c r="N606" s="185"/>
      <c r="O606" s="185"/>
      <c r="P606" s="185"/>
      <c r="Q606" s="185"/>
      <c r="R606" s="168"/>
      <c r="S606" s="168"/>
      <c r="U606" s="170"/>
      <c r="V606" s="171"/>
      <c r="W606" s="171"/>
      <c r="X606" s="171"/>
      <c r="Y606" s="185"/>
      <c r="Z606" s="185"/>
    </row>
    <row r="607" spans="4:26" x14ac:dyDescent="0.25">
      <c r="D607" s="175"/>
      <c r="E607" s="175"/>
      <c r="H607" s="201"/>
      <c r="I607" s="201"/>
      <c r="J607" s="217"/>
      <c r="K607" s="217"/>
      <c r="L607" s="185"/>
      <c r="M607" s="185"/>
      <c r="N607" s="185"/>
      <c r="O607" s="185"/>
      <c r="P607" s="185"/>
      <c r="Q607" s="185"/>
      <c r="R607" s="168"/>
      <c r="S607" s="168"/>
      <c r="U607" s="170"/>
      <c r="V607" s="171"/>
      <c r="W607" s="171"/>
      <c r="X607" s="171"/>
      <c r="Y607" s="185"/>
      <c r="Z607" s="185"/>
    </row>
    <row r="608" spans="4:26" x14ac:dyDescent="0.25">
      <c r="D608" s="175"/>
      <c r="E608" s="175"/>
      <c r="H608" s="201"/>
      <c r="I608" s="201"/>
      <c r="J608" s="217"/>
      <c r="K608" s="217"/>
      <c r="L608" s="185"/>
      <c r="M608" s="185"/>
      <c r="N608" s="185"/>
      <c r="O608" s="185"/>
      <c r="P608" s="185"/>
      <c r="Q608" s="185"/>
      <c r="R608" s="168"/>
      <c r="S608" s="168"/>
      <c r="U608" s="170"/>
      <c r="V608" s="171"/>
      <c r="W608" s="171"/>
      <c r="X608" s="171"/>
      <c r="Y608" s="185"/>
      <c r="Z608" s="185"/>
    </row>
    <row r="609" spans="4:26" x14ac:dyDescent="0.25">
      <c r="D609" s="175"/>
      <c r="E609" s="175"/>
      <c r="H609" s="201"/>
      <c r="I609" s="201"/>
      <c r="J609" s="217"/>
      <c r="K609" s="217"/>
      <c r="L609" s="185"/>
      <c r="M609" s="185"/>
      <c r="N609" s="185"/>
      <c r="O609" s="185"/>
      <c r="P609" s="185"/>
      <c r="Q609" s="185"/>
      <c r="R609" s="168"/>
      <c r="S609" s="168"/>
      <c r="U609" s="170"/>
      <c r="V609" s="171"/>
      <c r="W609" s="171"/>
      <c r="X609" s="171"/>
      <c r="Y609" s="185"/>
      <c r="Z609" s="185"/>
    </row>
    <row r="610" spans="4:26" x14ac:dyDescent="0.25">
      <c r="D610" s="175"/>
      <c r="E610" s="175"/>
      <c r="H610" s="201"/>
      <c r="I610" s="201"/>
      <c r="J610" s="217"/>
      <c r="K610" s="217"/>
      <c r="L610" s="185"/>
      <c r="M610" s="185"/>
      <c r="N610" s="185"/>
      <c r="O610" s="185"/>
      <c r="P610" s="185"/>
      <c r="Q610" s="185"/>
      <c r="R610" s="168"/>
      <c r="S610" s="168"/>
      <c r="U610" s="170"/>
      <c r="V610" s="171"/>
      <c r="W610" s="171"/>
      <c r="X610" s="171"/>
      <c r="Y610" s="185"/>
      <c r="Z610" s="185"/>
    </row>
    <row r="611" spans="4:26" x14ac:dyDescent="0.25">
      <c r="D611" s="175"/>
      <c r="E611" s="175"/>
      <c r="H611" s="201"/>
      <c r="I611" s="201"/>
      <c r="J611" s="217"/>
      <c r="K611" s="217"/>
      <c r="L611" s="185"/>
      <c r="M611" s="185"/>
      <c r="N611" s="185"/>
      <c r="O611" s="185"/>
      <c r="P611" s="185"/>
      <c r="Q611" s="185"/>
      <c r="R611" s="168"/>
      <c r="S611" s="168"/>
      <c r="U611" s="170"/>
      <c r="V611" s="171"/>
      <c r="W611" s="171"/>
      <c r="X611" s="171"/>
      <c r="Y611" s="185"/>
      <c r="Z611" s="185"/>
    </row>
    <row r="612" spans="4:26" x14ac:dyDescent="0.25">
      <c r="D612" s="175"/>
      <c r="E612" s="175"/>
      <c r="H612" s="201"/>
      <c r="I612" s="201"/>
      <c r="J612" s="217"/>
      <c r="K612" s="217"/>
      <c r="L612" s="185"/>
      <c r="M612" s="185"/>
      <c r="N612" s="185"/>
      <c r="O612" s="185"/>
      <c r="P612" s="185"/>
      <c r="Q612" s="185"/>
      <c r="R612" s="168"/>
      <c r="S612" s="168"/>
      <c r="U612" s="170"/>
      <c r="V612" s="171"/>
      <c r="W612" s="171"/>
      <c r="X612" s="171"/>
      <c r="Y612" s="185"/>
      <c r="Z612" s="185"/>
    </row>
    <row r="613" spans="4:26" x14ac:dyDescent="0.25">
      <c r="D613" s="175"/>
      <c r="E613" s="175"/>
      <c r="H613" s="201"/>
      <c r="I613" s="201"/>
      <c r="J613" s="217"/>
      <c r="K613" s="217"/>
      <c r="L613" s="185"/>
      <c r="M613" s="185"/>
      <c r="N613" s="185"/>
      <c r="O613" s="185"/>
      <c r="P613" s="185"/>
      <c r="Q613" s="185"/>
      <c r="R613" s="168"/>
      <c r="S613" s="168"/>
      <c r="U613" s="170"/>
      <c r="V613" s="171"/>
      <c r="W613" s="171"/>
      <c r="X613" s="171"/>
      <c r="Y613" s="185"/>
      <c r="Z613" s="185"/>
    </row>
    <row r="614" spans="4:26" x14ac:dyDescent="0.25">
      <c r="D614" s="175"/>
      <c r="E614" s="175"/>
      <c r="H614" s="201"/>
      <c r="I614" s="201"/>
      <c r="J614" s="217"/>
      <c r="K614" s="217"/>
      <c r="L614" s="185"/>
      <c r="M614" s="185"/>
      <c r="N614" s="185"/>
      <c r="O614" s="185"/>
      <c r="P614" s="185"/>
      <c r="Q614" s="185"/>
      <c r="R614" s="168"/>
      <c r="S614" s="168"/>
      <c r="U614" s="170"/>
      <c r="V614" s="171"/>
      <c r="W614" s="171"/>
      <c r="X614" s="171"/>
      <c r="Y614" s="185"/>
      <c r="Z614" s="185"/>
    </row>
    <row r="615" spans="4:26" x14ac:dyDescent="0.25">
      <c r="D615" s="175"/>
      <c r="E615" s="175"/>
      <c r="H615" s="201"/>
      <c r="I615" s="201"/>
      <c r="J615" s="217"/>
      <c r="K615" s="217"/>
      <c r="L615" s="185"/>
      <c r="M615" s="185"/>
      <c r="N615" s="185"/>
      <c r="O615" s="185"/>
      <c r="P615" s="185"/>
      <c r="Q615" s="185"/>
      <c r="R615" s="168"/>
      <c r="S615" s="168"/>
      <c r="U615" s="170"/>
      <c r="V615" s="171"/>
      <c r="W615" s="171"/>
      <c r="X615" s="171"/>
      <c r="Y615" s="185"/>
      <c r="Z615" s="185"/>
    </row>
    <row r="616" spans="4:26" x14ac:dyDescent="0.25">
      <c r="D616" s="175"/>
      <c r="E616" s="175"/>
      <c r="H616" s="201"/>
      <c r="I616" s="201"/>
      <c r="J616" s="217"/>
      <c r="K616" s="217"/>
      <c r="L616" s="185"/>
      <c r="M616" s="185"/>
      <c r="N616" s="185"/>
      <c r="O616" s="185"/>
      <c r="P616" s="185"/>
      <c r="Q616" s="185"/>
      <c r="R616" s="168"/>
      <c r="S616" s="168"/>
      <c r="U616" s="170"/>
      <c r="V616" s="171"/>
      <c r="W616" s="171"/>
      <c r="X616" s="171"/>
      <c r="Y616" s="185"/>
      <c r="Z616" s="185"/>
    </row>
    <row r="617" spans="4:26" x14ac:dyDescent="0.25">
      <c r="D617" s="175"/>
      <c r="E617" s="175"/>
      <c r="H617" s="201"/>
      <c r="I617" s="201"/>
      <c r="J617" s="217"/>
      <c r="K617" s="217"/>
      <c r="L617" s="185"/>
      <c r="M617" s="185"/>
      <c r="N617" s="185"/>
      <c r="O617" s="185"/>
      <c r="P617" s="185"/>
      <c r="Q617" s="185"/>
      <c r="R617" s="168"/>
      <c r="S617" s="168"/>
      <c r="U617" s="170"/>
      <c r="V617" s="171"/>
      <c r="W617" s="171"/>
      <c r="X617" s="171"/>
      <c r="Y617" s="185"/>
      <c r="Z617" s="185"/>
    </row>
    <row r="618" spans="4:26" x14ac:dyDescent="0.25">
      <c r="D618" s="175"/>
      <c r="E618" s="175"/>
      <c r="H618" s="201"/>
      <c r="I618" s="201"/>
      <c r="J618" s="217"/>
      <c r="K618" s="217"/>
      <c r="L618" s="185"/>
      <c r="M618" s="185"/>
      <c r="N618" s="185"/>
      <c r="O618" s="185"/>
      <c r="P618" s="185"/>
      <c r="Q618" s="185"/>
      <c r="R618" s="168"/>
      <c r="S618" s="168"/>
      <c r="U618" s="170"/>
      <c r="V618" s="171"/>
      <c r="W618" s="171"/>
      <c r="X618" s="171"/>
      <c r="Y618" s="185"/>
      <c r="Z618" s="185"/>
    </row>
    <row r="619" spans="4:26" x14ac:dyDescent="0.25">
      <c r="D619" s="175"/>
      <c r="E619" s="175"/>
      <c r="H619" s="201"/>
      <c r="I619" s="201"/>
      <c r="J619" s="217"/>
      <c r="K619" s="217"/>
      <c r="L619" s="185"/>
      <c r="M619" s="185"/>
      <c r="N619" s="185"/>
      <c r="O619" s="185"/>
      <c r="P619" s="185"/>
      <c r="Q619" s="185"/>
      <c r="R619" s="168"/>
      <c r="S619" s="168"/>
      <c r="U619" s="170"/>
      <c r="V619" s="171"/>
      <c r="W619" s="171"/>
      <c r="X619" s="171"/>
      <c r="Y619" s="185"/>
      <c r="Z619" s="185"/>
    </row>
    <row r="620" spans="4:26" x14ac:dyDescent="0.25">
      <c r="D620" s="175"/>
      <c r="E620" s="175"/>
      <c r="H620" s="201"/>
      <c r="I620" s="201"/>
      <c r="J620" s="217"/>
      <c r="K620" s="217"/>
      <c r="L620" s="185"/>
      <c r="M620" s="185"/>
      <c r="N620" s="185"/>
      <c r="O620" s="185"/>
      <c r="P620" s="185"/>
      <c r="Q620" s="185"/>
      <c r="R620" s="168"/>
      <c r="S620" s="168"/>
      <c r="U620" s="170"/>
      <c r="V620" s="171"/>
      <c r="W620" s="171"/>
      <c r="X620" s="171"/>
      <c r="Y620" s="185"/>
      <c r="Z620" s="185"/>
    </row>
    <row r="621" spans="4:26" x14ac:dyDescent="0.25">
      <c r="D621" s="175"/>
      <c r="E621" s="175"/>
      <c r="H621" s="201"/>
      <c r="I621" s="201"/>
      <c r="J621" s="217"/>
      <c r="K621" s="217"/>
      <c r="L621" s="185"/>
      <c r="M621" s="185"/>
      <c r="N621" s="185"/>
      <c r="O621" s="185"/>
      <c r="P621" s="185"/>
      <c r="Q621" s="185"/>
      <c r="R621" s="168"/>
      <c r="S621" s="168"/>
      <c r="U621" s="170"/>
      <c r="V621" s="171"/>
      <c r="W621" s="171"/>
      <c r="X621" s="171"/>
      <c r="Y621" s="185"/>
      <c r="Z621" s="185"/>
    </row>
    <row r="622" spans="4:26" x14ac:dyDescent="0.25">
      <c r="D622" s="175"/>
      <c r="E622" s="175"/>
      <c r="H622" s="201"/>
      <c r="I622" s="201"/>
      <c r="J622" s="217"/>
      <c r="K622" s="217"/>
      <c r="L622" s="185"/>
      <c r="M622" s="185"/>
      <c r="N622" s="185"/>
      <c r="O622" s="185"/>
      <c r="P622" s="185"/>
      <c r="Q622" s="185"/>
      <c r="R622" s="168"/>
      <c r="S622" s="168"/>
      <c r="U622" s="170"/>
      <c r="V622" s="171"/>
      <c r="W622" s="171"/>
      <c r="X622" s="171"/>
      <c r="Y622" s="185"/>
      <c r="Z622" s="185"/>
    </row>
    <row r="623" spans="4:26" x14ac:dyDescent="0.25">
      <c r="D623" s="175"/>
      <c r="E623" s="175"/>
      <c r="H623" s="201"/>
      <c r="I623" s="201"/>
      <c r="J623" s="217"/>
      <c r="K623" s="217"/>
      <c r="L623" s="185"/>
      <c r="M623" s="185"/>
      <c r="N623" s="185"/>
      <c r="O623" s="185"/>
      <c r="P623" s="185"/>
      <c r="Q623" s="185"/>
      <c r="R623" s="168"/>
      <c r="S623" s="168"/>
      <c r="U623" s="170"/>
      <c r="V623" s="171"/>
      <c r="W623" s="171"/>
      <c r="X623" s="171"/>
      <c r="Y623" s="185"/>
      <c r="Z623" s="185"/>
    </row>
    <row r="624" spans="4:26" x14ac:dyDescent="0.25">
      <c r="D624" s="175"/>
      <c r="E624" s="175"/>
      <c r="H624" s="201"/>
      <c r="I624" s="201"/>
      <c r="J624" s="217"/>
      <c r="K624" s="217"/>
      <c r="L624" s="185"/>
      <c r="M624" s="185"/>
      <c r="N624" s="185"/>
      <c r="O624" s="185"/>
      <c r="P624" s="185"/>
      <c r="Q624" s="185"/>
      <c r="R624" s="168"/>
      <c r="S624" s="168"/>
      <c r="U624" s="170"/>
      <c r="V624" s="171"/>
      <c r="W624" s="171"/>
      <c r="X624" s="171"/>
      <c r="Y624" s="185"/>
      <c r="Z624" s="185"/>
    </row>
    <row r="625" spans="4:26" x14ac:dyDescent="0.25">
      <c r="D625" s="175"/>
      <c r="E625" s="175"/>
      <c r="H625" s="201"/>
      <c r="I625" s="201"/>
      <c r="J625" s="217"/>
      <c r="K625" s="217"/>
      <c r="L625" s="185"/>
      <c r="M625" s="185"/>
      <c r="N625" s="185"/>
      <c r="O625" s="185"/>
      <c r="P625" s="185"/>
      <c r="Q625" s="185"/>
      <c r="R625" s="168"/>
      <c r="S625" s="168"/>
      <c r="U625" s="170"/>
      <c r="V625" s="171"/>
      <c r="W625" s="171"/>
      <c r="X625" s="171"/>
      <c r="Y625" s="185"/>
      <c r="Z625" s="185"/>
    </row>
    <row r="626" spans="4:26" x14ac:dyDescent="0.25">
      <c r="D626" s="175"/>
      <c r="E626" s="175"/>
      <c r="H626" s="201"/>
      <c r="I626" s="201"/>
      <c r="J626" s="217"/>
      <c r="K626" s="217"/>
      <c r="L626" s="185"/>
      <c r="M626" s="185"/>
      <c r="N626" s="185"/>
      <c r="O626" s="185"/>
      <c r="P626" s="185"/>
      <c r="Q626" s="185"/>
      <c r="R626" s="168"/>
      <c r="S626" s="168"/>
      <c r="U626" s="170"/>
      <c r="V626" s="171"/>
      <c r="W626" s="171"/>
      <c r="X626" s="171"/>
      <c r="Y626" s="185"/>
      <c r="Z626" s="185"/>
    </row>
    <row r="627" spans="4:26" x14ac:dyDescent="0.25">
      <c r="D627" s="175"/>
      <c r="E627" s="175"/>
      <c r="H627" s="201"/>
      <c r="I627" s="201"/>
      <c r="J627" s="217"/>
      <c r="K627" s="217"/>
      <c r="L627" s="185"/>
      <c r="M627" s="185"/>
      <c r="N627" s="185"/>
      <c r="O627" s="185"/>
      <c r="P627" s="185"/>
      <c r="Q627" s="185"/>
      <c r="R627" s="168"/>
      <c r="S627" s="168"/>
      <c r="U627" s="170"/>
      <c r="V627" s="171"/>
      <c r="W627" s="171"/>
      <c r="X627" s="171"/>
      <c r="Y627" s="185"/>
      <c r="Z627" s="185"/>
    </row>
    <row r="628" spans="4:26" x14ac:dyDescent="0.25">
      <c r="D628" s="175"/>
      <c r="E628" s="175"/>
      <c r="H628" s="201"/>
      <c r="I628" s="201"/>
      <c r="J628" s="217"/>
      <c r="K628" s="217"/>
      <c r="L628" s="185"/>
      <c r="M628" s="185"/>
      <c r="N628" s="185"/>
      <c r="O628" s="185"/>
      <c r="P628" s="185"/>
      <c r="Q628" s="185"/>
      <c r="R628" s="168"/>
      <c r="S628" s="168"/>
      <c r="U628" s="170"/>
      <c r="V628" s="171"/>
      <c r="W628" s="171"/>
      <c r="X628" s="171"/>
      <c r="Y628" s="185"/>
      <c r="Z628" s="185"/>
    </row>
    <row r="629" spans="4:26" x14ac:dyDescent="0.25">
      <c r="D629" s="175"/>
      <c r="E629" s="175"/>
      <c r="H629" s="201"/>
      <c r="I629" s="201"/>
      <c r="J629" s="217"/>
      <c r="K629" s="217"/>
      <c r="L629" s="185"/>
      <c r="M629" s="185"/>
      <c r="N629" s="185"/>
      <c r="O629" s="185"/>
      <c r="P629" s="185"/>
      <c r="Q629" s="185"/>
      <c r="R629" s="168"/>
      <c r="S629" s="168"/>
      <c r="U629" s="170"/>
      <c r="V629" s="171"/>
      <c r="W629" s="171"/>
      <c r="X629" s="171"/>
      <c r="Y629" s="185"/>
      <c r="Z629" s="185"/>
    </row>
    <row r="630" spans="4:26" x14ac:dyDescent="0.25">
      <c r="D630" s="175"/>
      <c r="E630" s="175"/>
      <c r="H630" s="201"/>
      <c r="I630" s="201"/>
      <c r="J630" s="217"/>
      <c r="K630" s="217"/>
      <c r="L630" s="185"/>
      <c r="M630" s="185"/>
      <c r="N630" s="185"/>
      <c r="O630" s="185"/>
      <c r="P630" s="185"/>
      <c r="Q630" s="185"/>
      <c r="R630" s="168"/>
      <c r="S630" s="168"/>
      <c r="U630" s="170"/>
      <c r="V630" s="171"/>
      <c r="W630" s="171"/>
      <c r="X630" s="171"/>
      <c r="Y630" s="185"/>
      <c r="Z630" s="185"/>
    </row>
    <row r="631" spans="4:26" x14ac:dyDescent="0.25">
      <c r="D631" s="175"/>
      <c r="E631" s="175"/>
      <c r="H631" s="201"/>
      <c r="I631" s="201"/>
      <c r="J631" s="217"/>
      <c r="K631" s="217"/>
      <c r="L631" s="185"/>
      <c r="M631" s="185"/>
      <c r="N631" s="185"/>
      <c r="O631" s="185"/>
      <c r="P631" s="185"/>
      <c r="Q631" s="185"/>
      <c r="R631" s="168"/>
      <c r="S631" s="168"/>
      <c r="U631" s="170"/>
      <c r="V631" s="171"/>
      <c r="W631" s="171"/>
      <c r="X631" s="171"/>
      <c r="Y631" s="185"/>
      <c r="Z631" s="185"/>
    </row>
    <row r="632" spans="4:26" x14ac:dyDescent="0.25">
      <c r="D632" s="175"/>
      <c r="E632" s="175"/>
      <c r="H632" s="201"/>
      <c r="I632" s="201"/>
      <c r="J632" s="217"/>
      <c r="K632" s="217"/>
      <c r="L632" s="185"/>
      <c r="M632" s="185"/>
      <c r="N632" s="185"/>
      <c r="O632" s="185"/>
      <c r="P632" s="185"/>
      <c r="Q632" s="185"/>
      <c r="R632" s="168"/>
      <c r="S632" s="168"/>
      <c r="U632" s="170"/>
      <c r="V632" s="171"/>
      <c r="W632" s="171"/>
      <c r="X632" s="171"/>
      <c r="Y632" s="185"/>
      <c r="Z632" s="185"/>
    </row>
    <row r="633" spans="4:26" x14ac:dyDescent="0.25">
      <c r="D633" s="175"/>
      <c r="E633" s="175"/>
      <c r="H633" s="201"/>
      <c r="I633" s="201"/>
      <c r="J633" s="217"/>
      <c r="K633" s="217"/>
      <c r="L633" s="185"/>
      <c r="M633" s="185"/>
      <c r="N633" s="185"/>
      <c r="O633" s="185"/>
      <c r="P633" s="185"/>
      <c r="Q633" s="185"/>
      <c r="R633" s="168"/>
      <c r="S633" s="168"/>
      <c r="U633" s="170"/>
      <c r="V633" s="171"/>
      <c r="W633" s="171"/>
      <c r="X633" s="171"/>
      <c r="Y633" s="185"/>
      <c r="Z633" s="185"/>
    </row>
    <row r="634" spans="4:26" x14ac:dyDescent="0.25">
      <c r="D634" s="175"/>
      <c r="E634" s="175"/>
      <c r="H634" s="201"/>
      <c r="I634" s="201"/>
      <c r="J634" s="217"/>
      <c r="K634" s="217"/>
      <c r="L634" s="185"/>
      <c r="M634" s="185"/>
      <c r="N634" s="185"/>
      <c r="O634" s="185"/>
      <c r="P634" s="185"/>
      <c r="Q634" s="185"/>
      <c r="R634" s="168"/>
      <c r="S634" s="168"/>
      <c r="U634" s="170"/>
      <c r="V634" s="171"/>
      <c r="W634" s="171"/>
      <c r="X634" s="171"/>
      <c r="Y634" s="185"/>
      <c r="Z634" s="185"/>
    </row>
    <row r="635" spans="4:26" x14ac:dyDescent="0.25">
      <c r="D635" s="175"/>
      <c r="E635" s="175"/>
      <c r="H635" s="201"/>
      <c r="I635" s="201"/>
      <c r="J635" s="217"/>
      <c r="K635" s="217"/>
      <c r="L635" s="185"/>
      <c r="M635" s="185"/>
      <c r="N635" s="185"/>
      <c r="O635" s="185"/>
      <c r="P635" s="185"/>
      <c r="Q635" s="185"/>
      <c r="R635" s="168"/>
      <c r="S635" s="168"/>
      <c r="U635" s="170"/>
      <c r="V635" s="171"/>
      <c r="W635" s="171"/>
      <c r="X635" s="171"/>
      <c r="Y635" s="185"/>
      <c r="Z635" s="185"/>
    </row>
    <row r="636" spans="4:26" x14ac:dyDescent="0.25">
      <c r="D636" s="175"/>
      <c r="E636" s="175"/>
      <c r="H636" s="201"/>
      <c r="I636" s="201"/>
      <c r="J636" s="217"/>
      <c r="K636" s="217"/>
      <c r="L636" s="185"/>
      <c r="M636" s="185"/>
      <c r="N636" s="185"/>
      <c r="O636" s="185"/>
      <c r="P636" s="185"/>
      <c r="Q636" s="185"/>
      <c r="R636" s="168"/>
      <c r="S636" s="168"/>
      <c r="U636" s="170"/>
      <c r="V636" s="171"/>
      <c r="W636" s="171"/>
      <c r="X636" s="171"/>
      <c r="Y636" s="185"/>
      <c r="Z636" s="185"/>
    </row>
    <row r="637" spans="4:26" x14ac:dyDescent="0.25">
      <c r="D637" s="175"/>
      <c r="E637" s="175"/>
      <c r="H637" s="201"/>
      <c r="I637" s="201"/>
      <c r="J637" s="217"/>
      <c r="K637" s="217"/>
      <c r="L637" s="185"/>
      <c r="M637" s="185"/>
      <c r="N637" s="185"/>
      <c r="O637" s="185"/>
      <c r="P637" s="185"/>
      <c r="Q637" s="185"/>
      <c r="R637" s="168"/>
      <c r="S637" s="168"/>
      <c r="U637" s="170"/>
      <c r="V637" s="171"/>
      <c r="W637" s="171"/>
      <c r="X637" s="171"/>
      <c r="Y637" s="185"/>
      <c r="Z637" s="185"/>
    </row>
    <row r="638" spans="4:26" x14ac:dyDescent="0.25">
      <c r="D638" s="175"/>
      <c r="E638" s="175"/>
      <c r="H638" s="201"/>
      <c r="I638" s="201"/>
      <c r="J638" s="217"/>
      <c r="K638" s="217"/>
      <c r="L638" s="185"/>
      <c r="M638" s="185"/>
      <c r="N638" s="185"/>
      <c r="O638" s="185"/>
      <c r="P638" s="185"/>
      <c r="Q638" s="185"/>
      <c r="R638" s="168"/>
      <c r="S638" s="168"/>
      <c r="U638" s="170"/>
      <c r="V638" s="171"/>
      <c r="W638" s="171"/>
      <c r="X638" s="171"/>
      <c r="Y638" s="185"/>
      <c r="Z638" s="185"/>
    </row>
    <row r="639" spans="4:26" x14ac:dyDescent="0.25">
      <c r="D639" s="175"/>
      <c r="E639" s="175"/>
      <c r="H639" s="201"/>
      <c r="I639" s="201"/>
      <c r="J639" s="217"/>
      <c r="K639" s="217"/>
      <c r="L639" s="185"/>
      <c r="M639" s="185"/>
      <c r="N639" s="185"/>
      <c r="O639" s="185"/>
      <c r="P639" s="185"/>
      <c r="Q639" s="185"/>
      <c r="R639" s="168"/>
      <c r="S639" s="168"/>
      <c r="U639" s="170"/>
      <c r="V639" s="171"/>
      <c r="W639" s="171"/>
      <c r="X639" s="171"/>
      <c r="Y639" s="185"/>
      <c r="Z639" s="185"/>
    </row>
    <row r="640" spans="4:26" x14ac:dyDescent="0.25">
      <c r="D640" s="175"/>
      <c r="E640" s="175"/>
      <c r="H640" s="201"/>
      <c r="I640" s="201"/>
      <c r="J640" s="217"/>
      <c r="K640" s="217"/>
      <c r="L640" s="185"/>
      <c r="M640" s="185"/>
      <c r="N640" s="185"/>
      <c r="O640" s="185"/>
      <c r="P640" s="185"/>
      <c r="Q640" s="185"/>
      <c r="R640" s="168"/>
      <c r="S640" s="168"/>
      <c r="U640" s="170"/>
      <c r="V640" s="171"/>
      <c r="W640" s="171"/>
      <c r="X640" s="171"/>
      <c r="Y640" s="185"/>
      <c r="Z640" s="185"/>
    </row>
    <row r="641" spans="4:26" x14ac:dyDescent="0.25">
      <c r="D641" s="175"/>
      <c r="E641" s="175"/>
      <c r="H641" s="201"/>
      <c r="I641" s="201"/>
      <c r="J641" s="217"/>
      <c r="K641" s="217"/>
      <c r="L641" s="185"/>
      <c r="M641" s="185"/>
      <c r="N641" s="185"/>
      <c r="O641" s="185"/>
      <c r="P641" s="185"/>
      <c r="Q641" s="185"/>
      <c r="R641" s="168"/>
      <c r="S641" s="168"/>
      <c r="U641" s="170"/>
      <c r="V641" s="171"/>
      <c r="W641" s="171"/>
      <c r="X641" s="171"/>
      <c r="Y641" s="185"/>
      <c r="Z641" s="185"/>
    </row>
    <row r="642" spans="4:26" x14ac:dyDescent="0.25">
      <c r="D642" s="175"/>
      <c r="E642" s="175"/>
      <c r="H642" s="201"/>
      <c r="I642" s="201"/>
      <c r="J642" s="217"/>
      <c r="K642" s="217"/>
      <c r="L642" s="185"/>
      <c r="M642" s="185"/>
      <c r="N642" s="185"/>
      <c r="O642" s="185"/>
      <c r="P642" s="185"/>
      <c r="Q642" s="185"/>
      <c r="R642" s="168"/>
      <c r="S642" s="168"/>
      <c r="U642" s="170"/>
      <c r="V642" s="171"/>
      <c r="W642" s="171"/>
      <c r="X642" s="171"/>
      <c r="Y642" s="185"/>
      <c r="Z642" s="185"/>
    </row>
    <row r="643" spans="4:26" x14ac:dyDescent="0.25">
      <c r="D643" s="175"/>
      <c r="E643" s="175"/>
      <c r="H643" s="201"/>
      <c r="I643" s="201"/>
      <c r="J643" s="217"/>
      <c r="K643" s="217"/>
      <c r="L643" s="185"/>
      <c r="M643" s="185"/>
      <c r="N643" s="185"/>
      <c r="O643" s="185"/>
      <c r="P643" s="185"/>
      <c r="Q643" s="185"/>
      <c r="R643" s="168"/>
      <c r="S643" s="168"/>
      <c r="U643" s="170"/>
      <c r="V643" s="171"/>
      <c r="W643" s="171"/>
      <c r="X643" s="171"/>
      <c r="Y643" s="185"/>
      <c r="Z643" s="185"/>
    </row>
    <row r="644" spans="4:26" x14ac:dyDescent="0.25">
      <c r="D644" s="175"/>
      <c r="E644" s="175"/>
      <c r="H644" s="201"/>
      <c r="I644" s="201"/>
      <c r="J644" s="217"/>
      <c r="K644" s="217"/>
      <c r="L644" s="185"/>
      <c r="M644" s="185"/>
      <c r="N644" s="185"/>
      <c r="O644" s="185"/>
      <c r="P644" s="185"/>
      <c r="Q644" s="185"/>
      <c r="R644" s="168"/>
      <c r="S644" s="168"/>
      <c r="U644" s="170"/>
      <c r="V644" s="171"/>
      <c r="W644" s="171"/>
      <c r="X644" s="171"/>
      <c r="Y644" s="185"/>
      <c r="Z644" s="185"/>
    </row>
    <row r="645" spans="4:26" x14ac:dyDescent="0.25">
      <c r="D645" s="175"/>
      <c r="E645" s="175"/>
      <c r="H645" s="201"/>
      <c r="I645" s="201"/>
      <c r="J645" s="217"/>
      <c r="K645" s="217"/>
      <c r="L645" s="185"/>
      <c r="M645" s="185"/>
      <c r="N645" s="185"/>
      <c r="O645" s="185"/>
      <c r="P645" s="185"/>
      <c r="Q645" s="185"/>
      <c r="R645" s="168"/>
      <c r="S645" s="168"/>
      <c r="U645" s="170"/>
      <c r="V645" s="171"/>
      <c r="W645" s="171"/>
      <c r="X645" s="171"/>
      <c r="Y645" s="185"/>
      <c r="Z645" s="185"/>
    </row>
    <row r="646" spans="4:26" x14ac:dyDescent="0.25">
      <c r="D646" s="175"/>
      <c r="E646" s="175"/>
      <c r="H646" s="201"/>
      <c r="I646" s="201"/>
      <c r="J646" s="217"/>
      <c r="K646" s="217"/>
      <c r="L646" s="185"/>
      <c r="M646" s="185"/>
      <c r="N646" s="185"/>
      <c r="O646" s="185"/>
      <c r="P646" s="185"/>
      <c r="Q646" s="185"/>
      <c r="R646" s="168"/>
      <c r="S646" s="168"/>
      <c r="U646" s="170"/>
      <c r="V646" s="171"/>
      <c r="W646" s="171"/>
      <c r="X646" s="171"/>
      <c r="Y646" s="185"/>
      <c r="Z646" s="185"/>
    </row>
    <row r="647" spans="4:26" x14ac:dyDescent="0.25">
      <c r="D647" s="175"/>
      <c r="E647" s="175"/>
      <c r="H647" s="201"/>
      <c r="I647" s="201"/>
      <c r="J647" s="217"/>
      <c r="K647" s="217"/>
      <c r="L647" s="185"/>
      <c r="M647" s="185"/>
      <c r="N647" s="185"/>
      <c r="O647" s="185"/>
      <c r="P647" s="185"/>
      <c r="Q647" s="185"/>
      <c r="R647" s="168"/>
      <c r="S647" s="168"/>
      <c r="U647" s="170"/>
      <c r="V647" s="171"/>
      <c r="W647" s="171"/>
      <c r="X647" s="171"/>
      <c r="Y647" s="185"/>
      <c r="Z647" s="185"/>
    </row>
    <row r="648" spans="4:26" x14ac:dyDescent="0.25">
      <c r="D648" s="175"/>
      <c r="E648" s="175"/>
      <c r="H648" s="201"/>
      <c r="I648" s="201"/>
      <c r="J648" s="217"/>
      <c r="K648" s="217"/>
      <c r="L648" s="185"/>
      <c r="M648" s="185"/>
      <c r="N648" s="185"/>
      <c r="O648" s="185"/>
      <c r="P648" s="185"/>
      <c r="Q648" s="185"/>
      <c r="R648" s="168"/>
      <c r="S648" s="168"/>
      <c r="U648" s="170"/>
      <c r="V648" s="171"/>
      <c r="W648" s="171"/>
      <c r="X648" s="171"/>
      <c r="Y648" s="185"/>
      <c r="Z648" s="185"/>
    </row>
    <row r="649" spans="4:26" x14ac:dyDescent="0.25">
      <c r="D649" s="175"/>
      <c r="E649" s="175"/>
      <c r="H649" s="201"/>
      <c r="I649" s="201"/>
      <c r="J649" s="217"/>
      <c r="K649" s="217"/>
      <c r="L649" s="185"/>
      <c r="M649" s="185"/>
      <c r="N649" s="185"/>
      <c r="O649" s="185"/>
      <c r="P649" s="185"/>
      <c r="Q649" s="185"/>
      <c r="R649" s="168"/>
      <c r="S649" s="168"/>
      <c r="U649" s="170"/>
      <c r="V649" s="171"/>
      <c r="W649" s="171"/>
      <c r="X649" s="171"/>
      <c r="Y649" s="185"/>
      <c r="Z649" s="185"/>
    </row>
    <row r="650" spans="4:26" x14ac:dyDescent="0.25">
      <c r="D650" s="175"/>
      <c r="E650" s="175"/>
      <c r="H650" s="201"/>
      <c r="I650" s="201"/>
      <c r="J650" s="217"/>
      <c r="K650" s="217"/>
      <c r="L650" s="185"/>
      <c r="M650" s="185"/>
      <c r="N650" s="185"/>
      <c r="O650" s="185"/>
      <c r="P650" s="185"/>
      <c r="Q650" s="185"/>
      <c r="R650" s="168"/>
      <c r="S650" s="168"/>
      <c r="U650" s="170"/>
      <c r="V650" s="171"/>
      <c r="W650" s="171"/>
      <c r="X650" s="171"/>
      <c r="Y650" s="185"/>
      <c r="Z650" s="185"/>
    </row>
    <row r="651" spans="4:26" x14ac:dyDescent="0.25">
      <c r="D651" s="175"/>
      <c r="E651" s="175"/>
      <c r="H651" s="201"/>
      <c r="I651" s="201"/>
      <c r="J651" s="217"/>
      <c r="K651" s="217"/>
      <c r="L651" s="185"/>
      <c r="M651" s="185"/>
      <c r="N651" s="185"/>
      <c r="O651" s="185"/>
      <c r="P651" s="185"/>
      <c r="Q651" s="185"/>
      <c r="R651" s="168"/>
      <c r="S651" s="168"/>
      <c r="U651" s="170"/>
      <c r="V651" s="171"/>
      <c r="W651" s="171"/>
      <c r="X651" s="171"/>
      <c r="Y651" s="185"/>
      <c r="Z651" s="185"/>
    </row>
    <row r="652" spans="4:26" x14ac:dyDescent="0.25">
      <c r="D652" s="175"/>
      <c r="E652" s="175"/>
      <c r="H652" s="201"/>
      <c r="I652" s="201"/>
      <c r="J652" s="217"/>
      <c r="K652" s="217"/>
      <c r="L652" s="185"/>
      <c r="M652" s="185"/>
      <c r="N652" s="185"/>
      <c r="O652" s="185"/>
      <c r="P652" s="185"/>
      <c r="Q652" s="185"/>
      <c r="R652" s="168"/>
      <c r="S652" s="168"/>
      <c r="U652" s="170"/>
      <c r="V652" s="171"/>
      <c r="W652" s="171"/>
      <c r="X652" s="171"/>
      <c r="Y652" s="185"/>
      <c r="Z652" s="185"/>
    </row>
    <row r="653" spans="4:26" x14ac:dyDescent="0.25">
      <c r="D653" s="175"/>
      <c r="E653" s="175"/>
      <c r="H653" s="201"/>
      <c r="I653" s="201"/>
      <c r="J653" s="217"/>
      <c r="K653" s="217"/>
      <c r="L653" s="185"/>
      <c r="M653" s="185"/>
      <c r="N653" s="185"/>
      <c r="O653" s="185"/>
      <c r="P653" s="185"/>
      <c r="Q653" s="185"/>
      <c r="R653" s="168"/>
      <c r="S653" s="168"/>
      <c r="U653" s="170"/>
      <c r="V653" s="171"/>
      <c r="W653" s="171"/>
      <c r="X653" s="171"/>
      <c r="Y653" s="185"/>
      <c r="Z653" s="185"/>
    </row>
    <row r="654" spans="4:26" x14ac:dyDescent="0.25">
      <c r="D654" s="175"/>
      <c r="E654" s="175"/>
      <c r="H654" s="201"/>
      <c r="I654" s="201"/>
      <c r="J654" s="217"/>
      <c r="K654" s="217"/>
      <c r="L654" s="185"/>
      <c r="M654" s="185"/>
      <c r="N654" s="185"/>
      <c r="O654" s="185"/>
      <c r="P654" s="185"/>
      <c r="Q654" s="185"/>
      <c r="R654" s="168"/>
      <c r="S654" s="168"/>
      <c r="U654" s="170"/>
      <c r="V654" s="171"/>
      <c r="W654" s="171"/>
      <c r="X654" s="171"/>
      <c r="Y654" s="185"/>
      <c r="Z654" s="185"/>
    </row>
    <row r="655" spans="4:26" x14ac:dyDescent="0.25">
      <c r="D655" s="175"/>
      <c r="E655" s="175"/>
      <c r="H655" s="201"/>
      <c r="I655" s="201"/>
      <c r="J655" s="217"/>
      <c r="K655" s="217"/>
      <c r="L655" s="185"/>
      <c r="M655" s="185"/>
      <c r="N655" s="185"/>
      <c r="O655" s="185"/>
      <c r="P655" s="185"/>
      <c r="Q655" s="185"/>
      <c r="R655" s="168"/>
      <c r="S655" s="168"/>
      <c r="U655" s="170"/>
      <c r="V655" s="171"/>
      <c r="W655" s="171"/>
      <c r="X655" s="171"/>
      <c r="Y655" s="185"/>
      <c r="Z655" s="185"/>
    </row>
    <row r="656" spans="4:26" x14ac:dyDescent="0.25">
      <c r="D656" s="175"/>
      <c r="E656" s="175"/>
      <c r="H656" s="201"/>
      <c r="I656" s="201"/>
      <c r="J656" s="217"/>
      <c r="K656" s="217"/>
      <c r="L656" s="185"/>
      <c r="M656" s="185"/>
      <c r="N656" s="185"/>
      <c r="O656" s="185"/>
      <c r="P656" s="185"/>
      <c r="Q656" s="185"/>
      <c r="R656" s="168"/>
      <c r="S656" s="168"/>
      <c r="U656" s="170"/>
      <c r="V656" s="171"/>
      <c r="W656" s="171"/>
      <c r="X656" s="171"/>
      <c r="Y656" s="185"/>
      <c r="Z656" s="185"/>
    </row>
    <row r="657" spans="4:26" x14ac:dyDescent="0.25">
      <c r="D657" s="175"/>
      <c r="E657" s="175"/>
      <c r="H657" s="201"/>
      <c r="I657" s="201"/>
      <c r="J657" s="217"/>
      <c r="K657" s="217"/>
      <c r="L657" s="185"/>
      <c r="M657" s="185"/>
      <c r="N657" s="185"/>
      <c r="O657" s="185"/>
      <c r="P657" s="185"/>
      <c r="Q657" s="185"/>
      <c r="R657" s="168"/>
      <c r="S657" s="168"/>
      <c r="U657" s="170"/>
      <c r="V657" s="171"/>
      <c r="W657" s="171"/>
      <c r="X657" s="171"/>
      <c r="Y657" s="185"/>
      <c r="Z657" s="185"/>
    </row>
    <row r="658" spans="4:26" x14ac:dyDescent="0.25">
      <c r="D658" s="175"/>
      <c r="E658" s="175"/>
      <c r="H658" s="201"/>
      <c r="I658" s="201"/>
      <c r="J658" s="217"/>
      <c r="K658" s="217"/>
      <c r="L658" s="185"/>
      <c r="M658" s="185"/>
      <c r="N658" s="185"/>
      <c r="O658" s="185"/>
      <c r="P658" s="185"/>
      <c r="Q658" s="185"/>
      <c r="R658" s="168"/>
      <c r="S658" s="168"/>
      <c r="U658" s="170"/>
      <c r="V658" s="171"/>
      <c r="W658" s="171"/>
      <c r="X658" s="171"/>
      <c r="Y658" s="185"/>
      <c r="Z658" s="185"/>
    </row>
    <row r="659" spans="4:26" x14ac:dyDescent="0.25">
      <c r="D659" s="175"/>
      <c r="E659" s="175"/>
      <c r="H659" s="201"/>
      <c r="I659" s="201"/>
      <c r="J659" s="217"/>
      <c r="K659" s="217"/>
      <c r="L659" s="185"/>
      <c r="M659" s="185"/>
      <c r="N659" s="185"/>
      <c r="O659" s="185"/>
      <c r="P659" s="185"/>
      <c r="Q659" s="185"/>
      <c r="R659" s="168"/>
      <c r="S659" s="168"/>
      <c r="U659" s="170"/>
      <c r="V659" s="171"/>
      <c r="W659" s="171"/>
      <c r="X659" s="171"/>
      <c r="Y659" s="185"/>
      <c r="Z659" s="185"/>
    </row>
    <row r="660" spans="4:26" x14ac:dyDescent="0.25">
      <c r="D660" s="175"/>
      <c r="E660" s="175"/>
      <c r="H660" s="201"/>
      <c r="I660" s="201"/>
      <c r="J660" s="217"/>
      <c r="K660" s="217"/>
      <c r="L660" s="185"/>
      <c r="M660" s="185"/>
      <c r="N660" s="185"/>
      <c r="O660" s="185"/>
      <c r="P660" s="185"/>
      <c r="Q660" s="185"/>
      <c r="R660" s="168"/>
      <c r="S660" s="168"/>
      <c r="U660" s="170"/>
      <c r="V660" s="171"/>
      <c r="W660" s="171"/>
      <c r="X660" s="171"/>
      <c r="Y660" s="185"/>
      <c r="Z660" s="185"/>
    </row>
    <row r="661" spans="4:26" x14ac:dyDescent="0.25">
      <c r="D661" s="175"/>
      <c r="E661" s="175"/>
      <c r="H661" s="201"/>
      <c r="I661" s="201"/>
      <c r="J661" s="217"/>
      <c r="K661" s="217"/>
      <c r="L661" s="185"/>
      <c r="M661" s="185"/>
      <c r="N661" s="185"/>
      <c r="O661" s="185"/>
      <c r="P661" s="185"/>
      <c r="Q661" s="185"/>
      <c r="R661" s="168"/>
      <c r="S661" s="168"/>
      <c r="U661" s="170"/>
      <c r="V661" s="171"/>
      <c r="W661" s="171"/>
      <c r="X661" s="171"/>
      <c r="Y661" s="185"/>
      <c r="Z661" s="185"/>
    </row>
    <row r="662" spans="4:26" x14ac:dyDescent="0.25">
      <c r="D662" s="175"/>
      <c r="E662" s="175"/>
      <c r="H662" s="201"/>
      <c r="I662" s="201"/>
      <c r="J662" s="217"/>
      <c r="K662" s="217"/>
      <c r="L662" s="185"/>
      <c r="M662" s="185"/>
      <c r="N662" s="185"/>
      <c r="O662" s="185"/>
      <c r="P662" s="185"/>
      <c r="Q662" s="185"/>
      <c r="R662" s="168"/>
      <c r="S662" s="168"/>
      <c r="U662" s="170"/>
      <c r="V662" s="171"/>
      <c r="W662" s="171"/>
      <c r="X662" s="171"/>
      <c r="Y662" s="185"/>
      <c r="Z662" s="185"/>
    </row>
    <row r="663" spans="4:26" x14ac:dyDescent="0.25">
      <c r="D663" s="175"/>
      <c r="E663" s="175"/>
      <c r="H663" s="201"/>
      <c r="I663" s="201"/>
      <c r="J663" s="217"/>
      <c r="K663" s="217"/>
      <c r="L663" s="185"/>
      <c r="M663" s="185"/>
      <c r="N663" s="185"/>
      <c r="O663" s="185"/>
      <c r="P663" s="185"/>
      <c r="Q663" s="185"/>
      <c r="R663" s="168"/>
      <c r="S663" s="168"/>
      <c r="U663" s="170"/>
      <c r="V663" s="171"/>
      <c r="W663" s="171"/>
      <c r="X663" s="171"/>
      <c r="Y663" s="185"/>
      <c r="Z663" s="185"/>
    </row>
    <row r="664" spans="4:26" x14ac:dyDescent="0.25">
      <c r="D664" s="175"/>
      <c r="E664" s="175"/>
      <c r="H664" s="201"/>
      <c r="I664" s="201"/>
      <c r="J664" s="217"/>
      <c r="K664" s="217"/>
      <c r="L664" s="185"/>
      <c r="M664" s="185"/>
      <c r="N664" s="185"/>
      <c r="O664" s="185"/>
      <c r="P664" s="185"/>
      <c r="Q664" s="185"/>
      <c r="R664" s="168"/>
      <c r="S664" s="168"/>
      <c r="U664" s="170"/>
      <c r="V664" s="171"/>
      <c r="W664" s="171"/>
      <c r="X664" s="171"/>
      <c r="Y664" s="185"/>
      <c r="Z664" s="185"/>
    </row>
    <row r="665" spans="4:26" x14ac:dyDescent="0.25">
      <c r="D665" s="175"/>
      <c r="E665" s="175"/>
      <c r="H665" s="201"/>
      <c r="I665" s="201"/>
      <c r="J665" s="217"/>
      <c r="K665" s="217"/>
      <c r="L665" s="185"/>
      <c r="M665" s="185"/>
      <c r="N665" s="185"/>
      <c r="O665" s="185"/>
      <c r="P665" s="185"/>
      <c r="Q665" s="185"/>
      <c r="R665" s="168"/>
      <c r="S665" s="168"/>
      <c r="U665" s="170"/>
      <c r="V665" s="171"/>
      <c r="W665" s="171"/>
      <c r="X665" s="171"/>
      <c r="Y665" s="185"/>
      <c r="Z665" s="185"/>
    </row>
    <row r="666" spans="4:26" x14ac:dyDescent="0.25">
      <c r="D666" s="175"/>
      <c r="E666" s="175"/>
      <c r="H666" s="201"/>
      <c r="I666" s="201"/>
      <c r="J666" s="217"/>
      <c r="K666" s="217"/>
      <c r="L666" s="185"/>
      <c r="M666" s="185"/>
      <c r="N666" s="185"/>
      <c r="O666" s="185"/>
      <c r="P666" s="185"/>
      <c r="Q666" s="185"/>
      <c r="R666" s="168"/>
      <c r="S666" s="168"/>
      <c r="U666" s="170"/>
      <c r="V666" s="171"/>
      <c r="W666" s="171"/>
      <c r="X666" s="171"/>
      <c r="Y666" s="185"/>
      <c r="Z666" s="185"/>
    </row>
    <row r="667" spans="4:26" x14ac:dyDescent="0.25">
      <c r="D667" s="175"/>
      <c r="E667" s="175"/>
      <c r="H667" s="201"/>
      <c r="I667" s="201"/>
      <c r="J667" s="217"/>
      <c r="K667" s="217"/>
      <c r="L667" s="185"/>
      <c r="M667" s="185"/>
      <c r="N667" s="185"/>
      <c r="O667" s="185"/>
      <c r="P667" s="185"/>
      <c r="Q667" s="185"/>
      <c r="R667" s="168"/>
      <c r="S667" s="168"/>
      <c r="U667" s="170"/>
      <c r="V667" s="171"/>
      <c r="W667" s="171"/>
      <c r="X667" s="171"/>
      <c r="Y667" s="185"/>
      <c r="Z667" s="185"/>
    </row>
    <row r="668" spans="4:26" x14ac:dyDescent="0.25">
      <c r="D668" s="175"/>
      <c r="E668" s="175"/>
      <c r="H668" s="201"/>
      <c r="I668" s="201"/>
      <c r="J668" s="217"/>
      <c r="K668" s="217"/>
      <c r="L668" s="185"/>
      <c r="M668" s="185"/>
      <c r="N668" s="185"/>
      <c r="O668" s="185"/>
      <c r="P668" s="185"/>
      <c r="Q668" s="185"/>
      <c r="R668" s="168"/>
      <c r="S668" s="168"/>
      <c r="U668" s="170"/>
      <c r="V668" s="171"/>
      <c r="W668" s="171"/>
      <c r="X668" s="171"/>
      <c r="Y668" s="185"/>
      <c r="Z668" s="185"/>
    </row>
    <row r="669" spans="4:26" x14ac:dyDescent="0.25">
      <c r="D669" s="175"/>
      <c r="E669" s="175"/>
      <c r="H669" s="201"/>
      <c r="I669" s="201"/>
      <c r="J669" s="217"/>
      <c r="K669" s="217"/>
      <c r="L669" s="185"/>
      <c r="M669" s="185"/>
      <c r="N669" s="185"/>
      <c r="O669" s="185"/>
      <c r="P669" s="185"/>
      <c r="Q669" s="185"/>
      <c r="R669" s="168"/>
      <c r="S669" s="168"/>
      <c r="U669" s="170"/>
      <c r="V669" s="171"/>
      <c r="W669" s="171"/>
      <c r="X669" s="171"/>
      <c r="Y669" s="185"/>
      <c r="Z669" s="185"/>
    </row>
    <row r="670" spans="4:26" x14ac:dyDescent="0.25">
      <c r="D670" s="175"/>
      <c r="E670" s="175"/>
      <c r="H670" s="201"/>
      <c r="I670" s="201"/>
      <c r="J670" s="217"/>
      <c r="K670" s="217"/>
      <c r="L670" s="185"/>
      <c r="M670" s="185"/>
      <c r="N670" s="185"/>
      <c r="O670" s="185"/>
      <c r="P670" s="185"/>
      <c r="Q670" s="185"/>
      <c r="R670" s="168"/>
      <c r="S670" s="168"/>
      <c r="U670" s="170"/>
      <c r="V670" s="171"/>
      <c r="W670" s="171"/>
      <c r="X670" s="171"/>
      <c r="Y670" s="185"/>
      <c r="Z670" s="185"/>
    </row>
    <row r="671" spans="4:26" x14ac:dyDescent="0.25">
      <c r="D671" s="175"/>
      <c r="E671" s="175"/>
      <c r="H671" s="201"/>
      <c r="I671" s="201"/>
      <c r="J671" s="217"/>
      <c r="K671" s="217"/>
      <c r="L671" s="185"/>
      <c r="M671" s="185"/>
      <c r="N671" s="185"/>
      <c r="O671" s="185"/>
      <c r="P671" s="185"/>
      <c r="Q671" s="185"/>
      <c r="R671" s="168"/>
      <c r="S671" s="168"/>
      <c r="U671" s="170"/>
      <c r="V671" s="171"/>
      <c r="W671" s="171"/>
      <c r="X671" s="171"/>
      <c r="Y671" s="185"/>
      <c r="Z671" s="185"/>
    </row>
    <row r="672" spans="4:26" x14ac:dyDescent="0.25">
      <c r="D672" s="175"/>
      <c r="E672" s="175"/>
      <c r="H672" s="201"/>
      <c r="I672" s="201"/>
      <c r="J672" s="217"/>
      <c r="K672" s="217"/>
      <c r="L672" s="185"/>
      <c r="M672" s="185"/>
      <c r="N672" s="185"/>
      <c r="O672" s="185"/>
      <c r="P672" s="185"/>
      <c r="Q672" s="185"/>
      <c r="R672" s="168"/>
      <c r="S672" s="168"/>
      <c r="U672" s="170"/>
      <c r="V672" s="171"/>
      <c r="W672" s="171"/>
      <c r="X672" s="171"/>
      <c r="Y672" s="185"/>
      <c r="Z672" s="185"/>
    </row>
    <row r="673" spans="4:26" x14ac:dyDescent="0.25">
      <c r="D673" s="175"/>
      <c r="E673" s="175"/>
      <c r="H673" s="201"/>
      <c r="I673" s="201"/>
      <c r="J673" s="217"/>
      <c r="K673" s="217"/>
      <c r="L673" s="185"/>
      <c r="M673" s="185"/>
      <c r="N673" s="185"/>
      <c r="O673" s="185"/>
      <c r="P673" s="185"/>
      <c r="Q673" s="185"/>
      <c r="R673" s="168"/>
      <c r="S673" s="168"/>
      <c r="U673" s="170"/>
      <c r="V673" s="171"/>
      <c r="W673" s="171"/>
      <c r="X673" s="171"/>
      <c r="Y673" s="185"/>
      <c r="Z673" s="185"/>
    </row>
    <row r="674" spans="4:26" x14ac:dyDescent="0.25">
      <c r="D674" s="175"/>
      <c r="E674" s="175"/>
      <c r="H674" s="201"/>
      <c r="I674" s="201"/>
      <c r="J674" s="217"/>
      <c r="K674" s="217"/>
      <c r="L674" s="185"/>
      <c r="M674" s="185"/>
      <c r="N674" s="185"/>
      <c r="O674" s="185"/>
      <c r="P674" s="185"/>
      <c r="Q674" s="185"/>
      <c r="R674" s="168"/>
      <c r="S674" s="168"/>
      <c r="U674" s="170"/>
      <c r="V674" s="171"/>
      <c r="W674" s="171"/>
      <c r="X674" s="171"/>
      <c r="Y674" s="185"/>
      <c r="Z674" s="185"/>
    </row>
    <row r="675" spans="4:26" x14ac:dyDescent="0.25">
      <c r="D675" s="175"/>
      <c r="E675" s="175"/>
      <c r="H675" s="201"/>
      <c r="I675" s="201"/>
      <c r="J675" s="217"/>
      <c r="K675" s="217"/>
      <c r="L675" s="185"/>
      <c r="M675" s="185"/>
      <c r="N675" s="185"/>
      <c r="O675" s="185"/>
      <c r="P675" s="185"/>
      <c r="Q675" s="185"/>
      <c r="R675" s="168"/>
      <c r="S675" s="168"/>
      <c r="U675" s="170"/>
      <c r="V675" s="171"/>
      <c r="W675" s="171"/>
      <c r="X675" s="171"/>
      <c r="Y675" s="185"/>
      <c r="Z675" s="185"/>
    </row>
    <row r="676" spans="4:26" x14ac:dyDescent="0.25">
      <c r="D676" s="175"/>
      <c r="E676" s="175"/>
      <c r="H676" s="201"/>
      <c r="I676" s="201"/>
      <c r="J676" s="217"/>
      <c r="K676" s="217"/>
      <c r="L676" s="185"/>
      <c r="M676" s="185"/>
      <c r="N676" s="185"/>
      <c r="O676" s="185"/>
      <c r="P676" s="185"/>
      <c r="Q676" s="185"/>
      <c r="R676" s="168"/>
      <c r="S676" s="168"/>
      <c r="U676" s="170"/>
      <c r="V676" s="171"/>
      <c r="W676" s="171"/>
      <c r="X676" s="171"/>
      <c r="Y676" s="185"/>
      <c r="Z676" s="185"/>
    </row>
    <row r="677" spans="4:26" x14ac:dyDescent="0.25">
      <c r="D677" s="175"/>
      <c r="E677" s="175"/>
      <c r="H677" s="201"/>
      <c r="I677" s="201"/>
      <c r="J677" s="217"/>
      <c r="K677" s="217"/>
      <c r="L677" s="185"/>
      <c r="M677" s="185"/>
      <c r="N677" s="185"/>
      <c r="O677" s="185"/>
      <c r="P677" s="185"/>
      <c r="Q677" s="185"/>
      <c r="R677" s="168"/>
      <c r="S677" s="168"/>
      <c r="U677" s="170"/>
      <c r="V677" s="171"/>
      <c r="W677" s="171"/>
      <c r="X677" s="171"/>
      <c r="Y677" s="185"/>
      <c r="Z677" s="185"/>
    </row>
    <row r="678" spans="4:26" x14ac:dyDescent="0.25">
      <c r="D678" s="175"/>
      <c r="E678" s="175"/>
      <c r="H678" s="201"/>
      <c r="I678" s="201"/>
      <c r="J678" s="217"/>
      <c r="K678" s="217"/>
      <c r="L678" s="185"/>
      <c r="M678" s="185"/>
      <c r="N678" s="185"/>
      <c r="O678" s="185"/>
      <c r="P678" s="185"/>
      <c r="Q678" s="185"/>
      <c r="R678" s="168"/>
      <c r="S678" s="168"/>
      <c r="U678" s="170"/>
      <c r="V678" s="171"/>
      <c r="W678" s="171"/>
      <c r="X678" s="171"/>
      <c r="Y678" s="185"/>
      <c r="Z678" s="185"/>
    </row>
    <row r="679" spans="4:26" x14ac:dyDescent="0.25">
      <c r="D679" s="175"/>
      <c r="E679" s="175"/>
      <c r="H679" s="201"/>
      <c r="I679" s="201"/>
      <c r="J679" s="217"/>
      <c r="K679" s="217"/>
      <c r="L679" s="185"/>
      <c r="M679" s="185"/>
      <c r="N679" s="185"/>
      <c r="O679" s="185"/>
      <c r="P679" s="185"/>
      <c r="Q679" s="185"/>
      <c r="R679" s="168"/>
      <c r="S679" s="168"/>
      <c r="U679" s="170"/>
      <c r="V679" s="171"/>
      <c r="W679" s="171"/>
      <c r="X679" s="171"/>
      <c r="Y679" s="185"/>
      <c r="Z679" s="185"/>
    </row>
    <row r="680" spans="4:26" x14ac:dyDescent="0.25">
      <c r="D680" s="175"/>
      <c r="E680" s="175"/>
      <c r="H680" s="201"/>
      <c r="I680" s="201"/>
      <c r="J680" s="217"/>
      <c r="K680" s="217"/>
      <c r="L680" s="185"/>
      <c r="M680" s="185"/>
      <c r="N680" s="185"/>
      <c r="O680" s="185"/>
      <c r="P680" s="185"/>
      <c r="Q680" s="185"/>
      <c r="R680" s="168"/>
      <c r="S680" s="168"/>
      <c r="U680" s="170"/>
      <c r="V680" s="171"/>
      <c r="W680" s="171"/>
      <c r="X680" s="171"/>
      <c r="Y680" s="185"/>
      <c r="Z680" s="185"/>
    </row>
    <row r="681" spans="4:26" x14ac:dyDescent="0.25">
      <c r="D681" s="175"/>
      <c r="E681" s="175"/>
      <c r="H681" s="201"/>
      <c r="I681" s="201"/>
      <c r="J681" s="217"/>
      <c r="K681" s="217"/>
      <c r="L681" s="185"/>
      <c r="M681" s="185"/>
      <c r="N681" s="185"/>
      <c r="O681" s="185"/>
      <c r="P681" s="185"/>
      <c r="Q681" s="185"/>
      <c r="R681" s="168"/>
      <c r="S681" s="168"/>
      <c r="U681" s="170"/>
      <c r="V681" s="171"/>
      <c r="W681" s="171"/>
      <c r="X681" s="171"/>
      <c r="Y681" s="185"/>
      <c r="Z681" s="185"/>
    </row>
    <row r="682" spans="4:26" x14ac:dyDescent="0.25">
      <c r="D682" s="175"/>
      <c r="E682" s="175"/>
      <c r="H682" s="201"/>
      <c r="I682" s="201"/>
      <c r="J682" s="217"/>
      <c r="K682" s="217"/>
      <c r="L682" s="185"/>
      <c r="M682" s="185"/>
      <c r="N682" s="185"/>
      <c r="O682" s="185"/>
      <c r="P682" s="185"/>
      <c r="Q682" s="185"/>
      <c r="R682" s="168"/>
      <c r="S682" s="168"/>
      <c r="U682" s="170"/>
      <c r="V682" s="171"/>
      <c r="W682" s="171"/>
      <c r="X682" s="171"/>
      <c r="Y682" s="185"/>
      <c r="Z682" s="185"/>
    </row>
    <row r="683" spans="4:26" x14ac:dyDescent="0.25">
      <c r="D683" s="175"/>
      <c r="E683" s="175"/>
      <c r="H683" s="201"/>
      <c r="I683" s="201"/>
      <c r="J683" s="217"/>
      <c r="K683" s="217"/>
      <c r="L683" s="185"/>
      <c r="M683" s="185"/>
      <c r="N683" s="185"/>
      <c r="O683" s="185"/>
      <c r="P683" s="185"/>
      <c r="Q683" s="185"/>
      <c r="R683" s="168"/>
      <c r="S683" s="168"/>
      <c r="U683" s="170"/>
      <c r="V683" s="171"/>
      <c r="W683" s="171"/>
      <c r="X683" s="171"/>
      <c r="Y683" s="185"/>
      <c r="Z683" s="185"/>
    </row>
    <row r="684" spans="4:26" x14ac:dyDescent="0.25">
      <c r="D684" s="175"/>
      <c r="E684" s="175"/>
      <c r="H684" s="201"/>
      <c r="I684" s="201"/>
      <c r="J684" s="217"/>
      <c r="K684" s="217"/>
      <c r="L684" s="185"/>
      <c r="M684" s="185"/>
      <c r="N684" s="185"/>
      <c r="O684" s="185"/>
      <c r="P684" s="185"/>
      <c r="Q684" s="185"/>
      <c r="R684" s="168"/>
      <c r="S684" s="168"/>
      <c r="U684" s="170"/>
      <c r="V684" s="171"/>
      <c r="W684" s="171"/>
      <c r="X684" s="171"/>
      <c r="Y684" s="185"/>
      <c r="Z684" s="185"/>
    </row>
    <row r="685" spans="4:26" x14ac:dyDescent="0.25">
      <c r="D685" s="175"/>
      <c r="E685" s="175"/>
      <c r="H685" s="201"/>
      <c r="I685" s="201"/>
      <c r="J685" s="217"/>
      <c r="K685" s="217"/>
      <c r="L685" s="185"/>
      <c r="M685" s="185"/>
      <c r="N685" s="185"/>
      <c r="O685" s="185"/>
      <c r="P685" s="185"/>
      <c r="Q685" s="185"/>
      <c r="R685" s="168"/>
      <c r="S685" s="168"/>
      <c r="U685" s="170"/>
      <c r="V685" s="171"/>
      <c r="W685" s="171"/>
      <c r="X685" s="171"/>
      <c r="Y685" s="185"/>
      <c r="Z685" s="185"/>
    </row>
    <row r="686" spans="4:26" x14ac:dyDescent="0.25">
      <c r="D686" s="175"/>
      <c r="E686" s="175"/>
      <c r="H686" s="201"/>
      <c r="I686" s="201"/>
      <c r="J686" s="217"/>
      <c r="K686" s="217"/>
      <c r="L686" s="185"/>
      <c r="M686" s="185"/>
      <c r="N686" s="185"/>
      <c r="O686" s="185"/>
      <c r="P686" s="185"/>
      <c r="Q686" s="185"/>
      <c r="R686" s="168"/>
      <c r="S686" s="168"/>
      <c r="U686" s="170"/>
      <c r="V686" s="171"/>
      <c r="W686" s="171"/>
      <c r="X686" s="171"/>
      <c r="Y686" s="185"/>
      <c r="Z686" s="185"/>
    </row>
    <row r="687" spans="4:26" x14ac:dyDescent="0.25">
      <c r="D687" s="175"/>
      <c r="E687" s="175"/>
      <c r="H687" s="201"/>
      <c r="I687" s="201"/>
      <c r="J687" s="217"/>
      <c r="K687" s="217"/>
      <c r="L687" s="185"/>
      <c r="M687" s="185"/>
      <c r="N687" s="185"/>
      <c r="O687" s="185"/>
      <c r="P687" s="185"/>
      <c r="Q687" s="185"/>
      <c r="R687" s="168"/>
      <c r="S687" s="168"/>
      <c r="U687" s="170"/>
      <c r="V687" s="171"/>
      <c r="W687" s="171"/>
      <c r="X687" s="171"/>
      <c r="Y687" s="185"/>
      <c r="Z687" s="185"/>
    </row>
    <row r="688" spans="4:26" x14ac:dyDescent="0.25">
      <c r="D688" s="175"/>
      <c r="E688" s="175"/>
      <c r="H688" s="201"/>
      <c r="I688" s="201"/>
      <c r="J688" s="217"/>
      <c r="K688" s="217"/>
      <c r="L688" s="185"/>
      <c r="M688" s="185"/>
      <c r="N688" s="185"/>
      <c r="O688" s="185"/>
      <c r="P688" s="185"/>
      <c r="Q688" s="185"/>
      <c r="R688" s="168"/>
      <c r="S688" s="168"/>
      <c r="U688" s="170"/>
      <c r="V688" s="171"/>
      <c r="W688" s="171"/>
      <c r="X688" s="171"/>
      <c r="Y688" s="185"/>
      <c r="Z688" s="185"/>
    </row>
    <row r="689" spans="4:26" x14ac:dyDescent="0.25">
      <c r="D689" s="175"/>
      <c r="E689" s="175"/>
      <c r="H689" s="201"/>
      <c r="I689" s="201"/>
      <c r="J689" s="217"/>
      <c r="K689" s="217"/>
      <c r="L689" s="185"/>
      <c r="M689" s="185"/>
      <c r="N689" s="185"/>
      <c r="O689" s="185"/>
      <c r="P689" s="185"/>
      <c r="Q689" s="185"/>
      <c r="R689" s="168"/>
      <c r="S689" s="168"/>
      <c r="U689" s="170"/>
      <c r="V689" s="171"/>
      <c r="W689" s="171"/>
      <c r="X689" s="171"/>
      <c r="Y689" s="185"/>
      <c r="Z689" s="185"/>
    </row>
    <row r="690" spans="4:26" x14ac:dyDescent="0.25">
      <c r="D690" s="175"/>
      <c r="E690" s="175"/>
      <c r="H690" s="201"/>
      <c r="I690" s="201"/>
      <c r="J690" s="217"/>
      <c r="K690" s="217"/>
      <c r="L690" s="185"/>
      <c r="M690" s="185"/>
      <c r="N690" s="185"/>
      <c r="O690" s="185"/>
      <c r="P690" s="185"/>
      <c r="Q690" s="185"/>
      <c r="R690" s="168"/>
      <c r="S690" s="168"/>
      <c r="U690" s="170"/>
      <c r="V690" s="171"/>
      <c r="W690" s="171"/>
      <c r="X690" s="171"/>
      <c r="Y690" s="185"/>
      <c r="Z690" s="185"/>
    </row>
    <row r="691" spans="4:26" x14ac:dyDescent="0.25">
      <c r="D691" s="175"/>
      <c r="E691" s="175"/>
      <c r="H691" s="201"/>
      <c r="I691" s="201"/>
      <c r="J691" s="217"/>
      <c r="K691" s="217"/>
      <c r="L691" s="185"/>
      <c r="M691" s="185"/>
      <c r="N691" s="185"/>
      <c r="O691" s="185"/>
      <c r="P691" s="185"/>
      <c r="Q691" s="185"/>
      <c r="R691" s="168"/>
      <c r="S691" s="168"/>
      <c r="U691" s="170"/>
      <c r="V691" s="171"/>
      <c r="W691" s="171"/>
      <c r="X691" s="171"/>
      <c r="Y691" s="185"/>
      <c r="Z691" s="185"/>
    </row>
    <row r="692" spans="4:26" x14ac:dyDescent="0.25">
      <c r="D692" s="175"/>
      <c r="E692" s="175"/>
      <c r="H692" s="201"/>
      <c r="I692" s="201"/>
      <c r="J692" s="217"/>
      <c r="K692" s="217"/>
      <c r="L692" s="185"/>
      <c r="M692" s="185"/>
      <c r="N692" s="185"/>
      <c r="O692" s="185"/>
      <c r="P692" s="185"/>
      <c r="Q692" s="185"/>
      <c r="R692" s="168"/>
      <c r="S692" s="168"/>
      <c r="U692" s="170"/>
      <c r="V692" s="171"/>
      <c r="W692" s="171"/>
      <c r="X692" s="171"/>
      <c r="Y692" s="185"/>
      <c r="Z692" s="185"/>
    </row>
    <row r="693" spans="4:26" x14ac:dyDescent="0.25">
      <c r="D693" s="175"/>
      <c r="E693" s="175"/>
      <c r="H693" s="201"/>
      <c r="I693" s="201"/>
      <c r="J693" s="217"/>
      <c r="K693" s="217"/>
      <c r="L693" s="185"/>
      <c r="M693" s="185"/>
      <c r="N693" s="185"/>
      <c r="O693" s="185"/>
      <c r="P693" s="185"/>
      <c r="Q693" s="185"/>
      <c r="R693" s="168"/>
      <c r="S693" s="168"/>
      <c r="U693" s="170"/>
      <c r="V693" s="171"/>
      <c r="W693" s="171"/>
      <c r="X693" s="171"/>
      <c r="Y693" s="185"/>
      <c r="Z693" s="185"/>
    </row>
    <row r="694" spans="4:26" x14ac:dyDescent="0.25">
      <c r="D694" s="175"/>
      <c r="E694" s="175"/>
      <c r="H694" s="201"/>
      <c r="I694" s="201"/>
      <c r="J694" s="217"/>
      <c r="K694" s="217"/>
      <c r="L694" s="185"/>
      <c r="M694" s="185"/>
      <c r="N694" s="185"/>
      <c r="O694" s="185"/>
      <c r="P694" s="185"/>
      <c r="Q694" s="185"/>
      <c r="R694" s="168"/>
      <c r="S694" s="168"/>
      <c r="U694" s="170"/>
      <c r="V694" s="171"/>
      <c r="W694" s="171"/>
      <c r="X694" s="171"/>
      <c r="Y694" s="185"/>
      <c r="Z694" s="185"/>
    </row>
    <row r="695" spans="4:26" x14ac:dyDescent="0.25">
      <c r="D695" s="175"/>
      <c r="E695" s="175"/>
      <c r="H695" s="201"/>
      <c r="I695" s="201"/>
      <c r="J695" s="217"/>
      <c r="K695" s="217"/>
      <c r="L695" s="185"/>
      <c r="M695" s="185"/>
      <c r="N695" s="185"/>
      <c r="O695" s="185"/>
      <c r="P695" s="185"/>
      <c r="Q695" s="185"/>
      <c r="R695" s="168"/>
      <c r="S695" s="168"/>
      <c r="U695" s="170"/>
      <c r="V695" s="171"/>
      <c r="W695" s="171"/>
      <c r="X695" s="171"/>
      <c r="Y695" s="185"/>
      <c r="Z695" s="185"/>
    </row>
    <row r="696" spans="4:26" x14ac:dyDescent="0.25">
      <c r="D696" s="175"/>
      <c r="E696" s="175"/>
      <c r="H696" s="201"/>
      <c r="I696" s="201"/>
      <c r="J696" s="217"/>
      <c r="K696" s="217"/>
      <c r="L696" s="185"/>
      <c r="M696" s="185"/>
      <c r="N696" s="185"/>
      <c r="O696" s="185"/>
      <c r="P696" s="185"/>
      <c r="Q696" s="185"/>
      <c r="R696" s="168"/>
      <c r="S696" s="168"/>
      <c r="U696" s="170"/>
      <c r="V696" s="171"/>
      <c r="W696" s="171"/>
      <c r="X696" s="171"/>
      <c r="Y696" s="185"/>
      <c r="Z696" s="185"/>
    </row>
    <row r="697" spans="4:26" x14ac:dyDescent="0.25">
      <c r="D697" s="175"/>
      <c r="E697" s="175"/>
      <c r="H697" s="201"/>
      <c r="I697" s="201"/>
      <c r="J697" s="217"/>
      <c r="K697" s="217"/>
      <c r="L697" s="185"/>
      <c r="M697" s="185"/>
      <c r="N697" s="185"/>
      <c r="O697" s="185"/>
      <c r="P697" s="185"/>
      <c r="Q697" s="185"/>
      <c r="R697" s="168"/>
      <c r="S697" s="168"/>
      <c r="U697" s="170"/>
      <c r="V697" s="171"/>
      <c r="W697" s="171"/>
      <c r="X697" s="171"/>
      <c r="Y697" s="185"/>
      <c r="Z697" s="185"/>
    </row>
    <row r="698" spans="4:26" x14ac:dyDescent="0.25">
      <c r="D698" s="175"/>
      <c r="E698" s="175"/>
      <c r="H698" s="201"/>
      <c r="I698" s="201"/>
      <c r="J698" s="217"/>
      <c r="K698" s="217"/>
      <c r="L698" s="185"/>
      <c r="M698" s="185"/>
      <c r="N698" s="185"/>
      <c r="O698" s="185"/>
      <c r="P698" s="185"/>
      <c r="Q698" s="185"/>
      <c r="R698" s="168"/>
      <c r="S698" s="168"/>
      <c r="U698" s="170"/>
      <c r="V698" s="171"/>
      <c r="W698" s="171"/>
      <c r="X698" s="171"/>
      <c r="Y698" s="185"/>
      <c r="Z698" s="185"/>
    </row>
    <row r="699" spans="4:26" x14ac:dyDescent="0.25">
      <c r="D699" s="175"/>
      <c r="E699" s="175"/>
      <c r="H699" s="201"/>
      <c r="I699" s="201"/>
      <c r="J699" s="217"/>
      <c r="K699" s="217"/>
      <c r="L699" s="185"/>
      <c r="M699" s="185"/>
      <c r="N699" s="185"/>
      <c r="O699" s="185"/>
      <c r="P699" s="185"/>
      <c r="Q699" s="185"/>
      <c r="R699" s="168"/>
      <c r="S699" s="168"/>
      <c r="U699" s="170"/>
      <c r="V699" s="171"/>
      <c r="W699" s="171"/>
      <c r="X699" s="171"/>
      <c r="Y699" s="185"/>
      <c r="Z699" s="185"/>
    </row>
    <row r="700" spans="4:26" x14ac:dyDescent="0.25">
      <c r="D700" s="175"/>
      <c r="E700" s="175"/>
      <c r="H700" s="201"/>
      <c r="I700" s="201"/>
      <c r="J700" s="217"/>
      <c r="K700" s="217"/>
      <c r="L700" s="185"/>
      <c r="M700" s="185"/>
      <c r="N700" s="185"/>
      <c r="O700" s="185"/>
      <c r="P700" s="185"/>
      <c r="Q700" s="185"/>
      <c r="R700" s="168"/>
      <c r="S700" s="168"/>
      <c r="U700" s="170"/>
      <c r="V700" s="171"/>
      <c r="W700" s="171"/>
      <c r="X700" s="171"/>
      <c r="Y700" s="185"/>
      <c r="Z700" s="185"/>
    </row>
    <row r="701" spans="4:26" x14ac:dyDescent="0.25">
      <c r="D701" s="175"/>
      <c r="E701" s="175"/>
      <c r="H701" s="201"/>
      <c r="I701" s="201"/>
      <c r="J701" s="217"/>
      <c r="K701" s="217"/>
      <c r="L701" s="185"/>
      <c r="M701" s="185"/>
      <c r="N701" s="185"/>
      <c r="O701" s="185"/>
      <c r="P701" s="185"/>
      <c r="Q701" s="185"/>
      <c r="R701" s="168"/>
      <c r="S701" s="168"/>
      <c r="U701" s="170"/>
      <c r="V701" s="171"/>
      <c r="W701" s="171"/>
      <c r="X701" s="171"/>
      <c r="Y701" s="185"/>
      <c r="Z701" s="185"/>
    </row>
    <row r="702" spans="4:26" x14ac:dyDescent="0.25">
      <c r="D702" s="175"/>
      <c r="E702" s="175"/>
      <c r="H702" s="201"/>
      <c r="I702" s="201"/>
      <c r="J702" s="217"/>
      <c r="K702" s="217"/>
      <c r="L702" s="185"/>
      <c r="M702" s="185"/>
      <c r="N702" s="185"/>
      <c r="O702" s="185"/>
      <c r="P702" s="185"/>
      <c r="Q702" s="185"/>
      <c r="R702" s="168"/>
      <c r="S702" s="168"/>
      <c r="U702" s="170"/>
      <c r="V702" s="171"/>
      <c r="W702" s="171"/>
      <c r="X702" s="171"/>
      <c r="Y702" s="185"/>
      <c r="Z702" s="185"/>
    </row>
    <row r="703" spans="4:26" x14ac:dyDescent="0.25">
      <c r="D703" s="175"/>
      <c r="E703" s="175"/>
      <c r="H703" s="201"/>
      <c r="I703" s="201"/>
      <c r="J703" s="217"/>
      <c r="K703" s="217"/>
      <c r="L703" s="185"/>
      <c r="M703" s="185"/>
      <c r="N703" s="185"/>
      <c r="O703" s="185"/>
      <c r="P703" s="185"/>
      <c r="Q703" s="185"/>
      <c r="R703" s="168"/>
      <c r="S703" s="168"/>
      <c r="U703" s="170"/>
      <c r="V703" s="171"/>
      <c r="W703" s="171"/>
      <c r="X703" s="171"/>
      <c r="Y703" s="185"/>
      <c r="Z703" s="185"/>
    </row>
    <row r="704" spans="4:26" x14ac:dyDescent="0.25">
      <c r="D704" s="175"/>
      <c r="E704" s="175"/>
      <c r="H704" s="201"/>
      <c r="I704" s="201"/>
      <c r="J704" s="217"/>
      <c r="K704" s="217"/>
      <c r="L704" s="185"/>
      <c r="M704" s="185"/>
      <c r="N704" s="185"/>
      <c r="O704" s="185"/>
      <c r="P704" s="185"/>
      <c r="Q704" s="185"/>
      <c r="R704" s="168"/>
      <c r="S704" s="168"/>
      <c r="U704" s="170"/>
      <c r="V704" s="171"/>
      <c r="W704" s="171"/>
      <c r="X704" s="171"/>
      <c r="Y704" s="185"/>
      <c r="Z704" s="185"/>
    </row>
    <row r="705" spans="4:26" x14ac:dyDescent="0.25">
      <c r="D705" s="175"/>
      <c r="E705" s="175"/>
      <c r="H705" s="201"/>
      <c r="I705" s="201"/>
      <c r="J705" s="217"/>
      <c r="K705" s="217"/>
      <c r="L705" s="185"/>
      <c r="M705" s="185"/>
      <c r="N705" s="185"/>
      <c r="O705" s="185"/>
      <c r="P705" s="185"/>
      <c r="Q705" s="185"/>
      <c r="R705" s="168"/>
      <c r="S705" s="168"/>
      <c r="U705" s="170"/>
      <c r="V705" s="171"/>
      <c r="W705" s="171"/>
      <c r="X705" s="171"/>
      <c r="Y705" s="185"/>
      <c r="Z705" s="185"/>
    </row>
    <row r="706" spans="4:26" x14ac:dyDescent="0.25">
      <c r="D706" s="175"/>
      <c r="E706" s="175"/>
      <c r="H706" s="201"/>
      <c r="I706" s="201"/>
      <c r="J706" s="217"/>
      <c r="K706" s="217"/>
      <c r="L706" s="185"/>
      <c r="M706" s="185"/>
      <c r="N706" s="185"/>
      <c r="O706" s="185"/>
      <c r="P706" s="185"/>
      <c r="Q706" s="185"/>
      <c r="R706" s="168"/>
      <c r="S706" s="168"/>
      <c r="U706" s="170"/>
      <c r="V706" s="171"/>
      <c r="W706" s="171"/>
      <c r="X706" s="171"/>
      <c r="Y706" s="185"/>
      <c r="Z706" s="185"/>
    </row>
    <row r="707" spans="4:26" x14ac:dyDescent="0.25">
      <c r="D707" s="175"/>
      <c r="E707" s="175"/>
      <c r="H707" s="201"/>
      <c r="I707" s="201"/>
      <c r="J707" s="217"/>
      <c r="K707" s="217"/>
      <c r="L707" s="185"/>
      <c r="M707" s="185"/>
      <c r="N707" s="185"/>
      <c r="O707" s="185"/>
      <c r="P707" s="185"/>
      <c r="Q707" s="185"/>
      <c r="R707" s="168"/>
      <c r="S707" s="168"/>
      <c r="U707" s="170"/>
      <c r="V707" s="171"/>
      <c r="W707" s="171"/>
      <c r="X707" s="171"/>
      <c r="Y707" s="185"/>
      <c r="Z707" s="185"/>
    </row>
    <row r="708" spans="4:26" x14ac:dyDescent="0.25">
      <c r="D708" s="175"/>
      <c r="E708" s="175"/>
      <c r="H708" s="201"/>
      <c r="I708" s="201"/>
      <c r="J708" s="217"/>
      <c r="K708" s="217"/>
      <c r="L708" s="185"/>
      <c r="M708" s="185"/>
      <c r="N708" s="185"/>
      <c r="O708" s="185"/>
      <c r="P708" s="185"/>
      <c r="Q708" s="185"/>
      <c r="R708" s="168"/>
      <c r="S708" s="168"/>
      <c r="U708" s="170"/>
      <c r="V708" s="171"/>
      <c r="W708" s="171"/>
      <c r="X708" s="171"/>
      <c r="Y708" s="185"/>
      <c r="Z708" s="185"/>
    </row>
    <row r="709" spans="4:26" x14ac:dyDescent="0.25">
      <c r="D709" s="175"/>
      <c r="E709" s="175"/>
      <c r="H709" s="201"/>
      <c r="I709" s="201"/>
      <c r="J709" s="217"/>
      <c r="K709" s="217"/>
      <c r="L709" s="185"/>
      <c r="M709" s="185"/>
      <c r="N709" s="185"/>
      <c r="O709" s="185"/>
      <c r="P709" s="185"/>
      <c r="Q709" s="185"/>
      <c r="R709" s="168"/>
      <c r="S709" s="168"/>
      <c r="U709" s="170"/>
      <c r="V709" s="171"/>
      <c r="W709" s="171"/>
      <c r="X709" s="171"/>
      <c r="Y709" s="185"/>
      <c r="Z709" s="185"/>
    </row>
    <row r="710" spans="4:26" x14ac:dyDescent="0.25">
      <c r="D710" s="175"/>
      <c r="E710" s="175"/>
      <c r="H710" s="201"/>
      <c r="I710" s="201"/>
      <c r="J710" s="217"/>
      <c r="K710" s="217"/>
      <c r="L710" s="185"/>
      <c r="M710" s="185"/>
      <c r="N710" s="185"/>
      <c r="O710" s="185"/>
      <c r="P710" s="185"/>
      <c r="Q710" s="185"/>
      <c r="R710" s="168"/>
      <c r="S710" s="168"/>
      <c r="U710" s="170"/>
      <c r="V710" s="171"/>
      <c r="W710" s="171"/>
      <c r="X710" s="171"/>
      <c r="Y710" s="185"/>
      <c r="Z710" s="185"/>
    </row>
    <row r="711" spans="4:26" x14ac:dyDescent="0.25">
      <c r="D711" s="175"/>
      <c r="E711" s="175"/>
      <c r="H711" s="201"/>
      <c r="I711" s="201"/>
      <c r="J711" s="217"/>
      <c r="K711" s="217"/>
      <c r="L711" s="185"/>
      <c r="M711" s="185"/>
      <c r="N711" s="185"/>
      <c r="O711" s="185"/>
      <c r="P711" s="185"/>
      <c r="Q711" s="185"/>
      <c r="R711" s="168"/>
      <c r="S711" s="168"/>
      <c r="U711" s="170"/>
      <c r="V711" s="171"/>
      <c r="W711" s="171"/>
      <c r="X711" s="171"/>
      <c r="Y711" s="185"/>
      <c r="Z711" s="185"/>
    </row>
    <row r="712" spans="4:26" x14ac:dyDescent="0.25">
      <c r="D712" s="175"/>
      <c r="E712" s="175"/>
      <c r="H712" s="201"/>
      <c r="I712" s="201"/>
      <c r="J712" s="217"/>
      <c r="K712" s="217"/>
      <c r="L712" s="185"/>
      <c r="M712" s="185"/>
      <c r="N712" s="185"/>
      <c r="O712" s="185"/>
      <c r="P712" s="185"/>
      <c r="Q712" s="185"/>
      <c r="R712" s="168"/>
      <c r="S712" s="168"/>
      <c r="U712" s="170"/>
      <c r="V712" s="171"/>
      <c r="W712" s="171"/>
      <c r="X712" s="171"/>
      <c r="Y712" s="185"/>
      <c r="Z712" s="185"/>
    </row>
    <row r="713" spans="4:26" x14ac:dyDescent="0.25">
      <c r="D713" s="175"/>
      <c r="E713" s="175"/>
      <c r="H713" s="201"/>
      <c r="I713" s="201"/>
      <c r="J713" s="217"/>
      <c r="K713" s="217"/>
      <c r="L713" s="185"/>
      <c r="M713" s="185"/>
      <c r="N713" s="185"/>
      <c r="O713" s="185"/>
      <c r="P713" s="185"/>
      <c r="Q713" s="185"/>
      <c r="R713" s="168"/>
      <c r="S713" s="168"/>
      <c r="U713" s="170"/>
      <c r="V713" s="171"/>
      <c r="W713" s="171"/>
      <c r="X713" s="171"/>
      <c r="Y713" s="185"/>
      <c r="Z713" s="185"/>
    </row>
    <row r="714" spans="4:26" x14ac:dyDescent="0.25">
      <c r="D714" s="175"/>
      <c r="E714" s="175"/>
      <c r="H714" s="201"/>
      <c r="I714" s="201"/>
      <c r="J714" s="217"/>
      <c r="K714" s="217"/>
      <c r="L714" s="185"/>
      <c r="M714" s="185"/>
      <c r="N714" s="185"/>
      <c r="O714" s="185"/>
      <c r="P714" s="185"/>
      <c r="Q714" s="185"/>
      <c r="R714" s="168"/>
      <c r="S714" s="168"/>
      <c r="U714" s="170"/>
      <c r="V714" s="171"/>
      <c r="W714" s="171"/>
      <c r="X714" s="171"/>
      <c r="Y714" s="185"/>
      <c r="Z714" s="185"/>
    </row>
    <row r="715" spans="4:26" x14ac:dyDescent="0.25">
      <c r="D715" s="175"/>
      <c r="E715" s="175"/>
      <c r="H715" s="201"/>
      <c r="I715" s="201"/>
      <c r="J715" s="217"/>
      <c r="K715" s="217"/>
      <c r="L715" s="185"/>
      <c r="M715" s="185"/>
      <c r="N715" s="185"/>
      <c r="O715" s="185"/>
      <c r="P715" s="185"/>
      <c r="Q715" s="185"/>
      <c r="R715" s="168"/>
      <c r="S715" s="168"/>
      <c r="U715" s="170"/>
      <c r="V715" s="171"/>
      <c r="W715" s="171"/>
      <c r="X715" s="171"/>
      <c r="Y715" s="185"/>
      <c r="Z715" s="185"/>
    </row>
    <row r="716" spans="4:26" x14ac:dyDescent="0.25">
      <c r="D716" s="175"/>
      <c r="E716" s="175"/>
      <c r="H716" s="201"/>
      <c r="I716" s="201"/>
      <c r="J716" s="217"/>
      <c r="K716" s="217"/>
      <c r="L716" s="185"/>
      <c r="M716" s="185"/>
      <c r="N716" s="185"/>
      <c r="O716" s="185"/>
      <c r="P716" s="185"/>
      <c r="Q716" s="185"/>
      <c r="R716" s="168"/>
      <c r="S716" s="168"/>
      <c r="U716" s="170"/>
      <c r="V716" s="171"/>
      <c r="W716" s="171"/>
      <c r="X716" s="171"/>
      <c r="Y716" s="185"/>
      <c r="Z716" s="185"/>
    </row>
    <row r="717" spans="4:26" x14ac:dyDescent="0.25">
      <c r="D717" s="175"/>
      <c r="E717" s="175"/>
      <c r="H717" s="201"/>
      <c r="I717" s="201"/>
      <c r="J717" s="217"/>
      <c r="K717" s="217"/>
      <c r="L717" s="185"/>
      <c r="M717" s="185"/>
      <c r="N717" s="185"/>
      <c r="O717" s="185"/>
      <c r="P717" s="185"/>
      <c r="Q717" s="185"/>
      <c r="R717" s="168"/>
      <c r="S717" s="168"/>
      <c r="U717" s="170"/>
      <c r="V717" s="171"/>
      <c r="W717" s="171"/>
      <c r="X717" s="171"/>
      <c r="Y717" s="185"/>
      <c r="Z717" s="185"/>
    </row>
    <row r="718" spans="4:26" x14ac:dyDescent="0.25">
      <c r="D718" s="175"/>
      <c r="E718" s="175"/>
      <c r="H718" s="201"/>
      <c r="I718" s="201"/>
      <c r="J718" s="217"/>
      <c r="K718" s="217"/>
      <c r="L718" s="185"/>
      <c r="M718" s="185"/>
      <c r="N718" s="185"/>
      <c r="O718" s="185"/>
      <c r="P718" s="185"/>
      <c r="Q718" s="185"/>
      <c r="R718" s="168"/>
      <c r="S718" s="168"/>
      <c r="U718" s="170"/>
      <c r="V718" s="171"/>
      <c r="W718" s="171"/>
      <c r="X718" s="171"/>
      <c r="Y718" s="185"/>
      <c r="Z718" s="185"/>
    </row>
    <row r="719" spans="4:26" x14ac:dyDescent="0.25">
      <c r="D719" s="175"/>
      <c r="E719" s="175"/>
      <c r="H719" s="201"/>
      <c r="I719" s="201"/>
      <c r="J719" s="217"/>
      <c r="K719" s="217"/>
      <c r="L719" s="185"/>
      <c r="M719" s="185"/>
      <c r="N719" s="185"/>
      <c r="O719" s="185"/>
      <c r="P719" s="185"/>
      <c r="Q719" s="185"/>
      <c r="R719" s="168"/>
      <c r="S719" s="168"/>
      <c r="U719" s="170"/>
      <c r="V719" s="171"/>
      <c r="W719" s="171"/>
      <c r="X719" s="171"/>
      <c r="Y719" s="185"/>
      <c r="Z719" s="185"/>
    </row>
    <row r="720" spans="4:26" x14ac:dyDescent="0.25">
      <c r="D720" s="175"/>
      <c r="E720" s="175"/>
      <c r="H720" s="201"/>
      <c r="I720" s="201"/>
      <c r="J720" s="217"/>
      <c r="K720" s="217"/>
      <c r="L720" s="185"/>
      <c r="M720" s="185"/>
      <c r="N720" s="185"/>
      <c r="O720" s="185"/>
      <c r="P720" s="185"/>
      <c r="Q720" s="185"/>
      <c r="R720" s="168"/>
      <c r="S720" s="168"/>
      <c r="U720" s="170"/>
      <c r="V720" s="171"/>
      <c r="W720" s="171"/>
      <c r="X720" s="171"/>
      <c r="Y720" s="185"/>
      <c r="Z720" s="185"/>
    </row>
    <row r="721" spans="4:26" x14ac:dyDescent="0.25">
      <c r="D721" s="175"/>
      <c r="E721" s="175"/>
      <c r="H721" s="201"/>
      <c r="I721" s="201"/>
      <c r="J721" s="217"/>
      <c r="K721" s="217"/>
      <c r="L721" s="185"/>
      <c r="M721" s="185"/>
      <c r="N721" s="185"/>
      <c r="O721" s="185"/>
      <c r="P721" s="185"/>
      <c r="Q721" s="185"/>
      <c r="R721" s="168"/>
      <c r="S721" s="168"/>
      <c r="U721" s="170"/>
      <c r="V721" s="171"/>
      <c r="W721" s="171"/>
      <c r="X721" s="171"/>
      <c r="Y721" s="185"/>
      <c r="Z721" s="185"/>
    </row>
    <row r="722" spans="4:26" x14ac:dyDescent="0.25">
      <c r="D722" s="175"/>
      <c r="E722" s="175"/>
      <c r="H722" s="201"/>
      <c r="I722" s="201"/>
      <c r="J722" s="217"/>
      <c r="K722" s="217"/>
      <c r="L722" s="185"/>
      <c r="M722" s="185"/>
      <c r="N722" s="185"/>
      <c r="O722" s="185"/>
      <c r="P722" s="185"/>
      <c r="Q722" s="185"/>
      <c r="R722" s="168"/>
      <c r="S722" s="168"/>
      <c r="U722" s="170"/>
      <c r="V722" s="171"/>
      <c r="W722" s="171"/>
      <c r="X722" s="171"/>
      <c r="Y722" s="185"/>
      <c r="Z722" s="185"/>
    </row>
    <row r="723" spans="4:26" x14ac:dyDescent="0.25">
      <c r="D723" s="175"/>
      <c r="E723" s="175"/>
      <c r="H723" s="201"/>
      <c r="I723" s="201"/>
      <c r="J723" s="217"/>
      <c r="K723" s="217"/>
      <c r="L723" s="185"/>
      <c r="M723" s="185"/>
      <c r="N723" s="185"/>
      <c r="O723" s="185"/>
      <c r="P723" s="185"/>
      <c r="Q723" s="185"/>
      <c r="R723" s="168"/>
      <c r="S723" s="168"/>
      <c r="U723" s="170"/>
      <c r="V723" s="171"/>
      <c r="W723" s="171"/>
      <c r="X723" s="171"/>
      <c r="Y723" s="185"/>
      <c r="Z723" s="185"/>
    </row>
    <row r="724" spans="4:26" x14ac:dyDescent="0.25">
      <c r="D724" s="175"/>
      <c r="E724" s="175"/>
      <c r="H724" s="201"/>
      <c r="I724" s="201"/>
      <c r="J724" s="217"/>
      <c r="K724" s="217"/>
      <c r="L724" s="185"/>
      <c r="M724" s="185"/>
      <c r="N724" s="185"/>
      <c r="O724" s="185"/>
      <c r="P724" s="185"/>
      <c r="Q724" s="185"/>
      <c r="R724" s="168"/>
      <c r="S724" s="168"/>
      <c r="U724" s="170"/>
      <c r="V724" s="171"/>
      <c r="W724" s="171"/>
      <c r="X724" s="171"/>
      <c r="Y724" s="185"/>
      <c r="Z724" s="185"/>
    </row>
    <row r="725" spans="4:26" x14ac:dyDescent="0.25">
      <c r="D725" s="175"/>
      <c r="E725" s="175"/>
      <c r="H725" s="201"/>
      <c r="I725" s="201"/>
      <c r="J725" s="217"/>
      <c r="K725" s="217"/>
      <c r="L725" s="185"/>
      <c r="M725" s="185"/>
      <c r="N725" s="185"/>
      <c r="O725" s="185"/>
      <c r="P725" s="185"/>
      <c r="Q725" s="185"/>
      <c r="R725" s="168"/>
      <c r="S725" s="168"/>
      <c r="U725" s="170"/>
      <c r="V725" s="171"/>
      <c r="W725" s="171"/>
      <c r="X725" s="171"/>
      <c r="Y725" s="185"/>
      <c r="Z725" s="185"/>
    </row>
    <row r="726" spans="4:26" x14ac:dyDescent="0.25">
      <c r="D726" s="175"/>
      <c r="E726" s="175"/>
      <c r="H726" s="201"/>
      <c r="I726" s="201"/>
      <c r="J726" s="217"/>
      <c r="K726" s="217"/>
      <c r="L726" s="185"/>
      <c r="M726" s="185"/>
      <c r="N726" s="185"/>
      <c r="O726" s="185"/>
      <c r="P726" s="185"/>
      <c r="Q726" s="185"/>
      <c r="R726" s="168"/>
      <c r="S726" s="168"/>
      <c r="U726" s="170"/>
      <c r="V726" s="171"/>
      <c r="W726" s="171"/>
      <c r="X726" s="171"/>
      <c r="Y726" s="185"/>
      <c r="Z726" s="185"/>
    </row>
    <row r="727" spans="4:26" x14ac:dyDescent="0.25">
      <c r="D727" s="175"/>
      <c r="E727" s="175"/>
      <c r="H727" s="201"/>
      <c r="I727" s="201"/>
      <c r="J727" s="217"/>
      <c r="K727" s="217"/>
      <c r="L727" s="185"/>
      <c r="M727" s="185"/>
      <c r="N727" s="185"/>
      <c r="O727" s="185"/>
      <c r="P727" s="185"/>
      <c r="Q727" s="185"/>
      <c r="R727" s="168"/>
      <c r="S727" s="168"/>
      <c r="U727" s="170"/>
      <c r="V727" s="171"/>
      <c r="W727" s="171"/>
      <c r="X727" s="171"/>
      <c r="Y727" s="185"/>
      <c r="Z727" s="185"/>
    </row>
    <row r="728" spans="4:26" x14ac:dyDescent="0.25">
      <c r="D728" s="175"/>
      <c r="E728" s="175"/>
      <c r="H728" s="201"/>
      <c r="I728" s="201"/>
      <c r="J728" s="217"/>
      <c r="K728" s="217"/>
      <c r="L728" s="185"/>
      <c r="M728" s="185"/>
      <c r="N728" s="185"/>
      <c r="O728" s="185"/>
      <c r="P728" s="185"/>
      <c r="Q728" s="185"/>
      <c r="R728" s="168"/>
      <c r="S728" s="168"/>
      <c r="U728" s="170"/>
      <c r="V728" s="171"/>
      <c r="W728" s="171"/>
      <c r="X728" s="171"/>
      <c r="Y728" s="185"/>
      <c r="Z728" s="185"/>
    </row>
    <row r="729" spans="4:26" x14ac:dyDescent="0.25">
      <c r="D729" s="175"/>
      <c r="E729" s="175"/>
      <c r="H729" s="201"/>
      <c r="I729" s="201"/>
      <c r="J729" s="217"/>
      <c r="K729" s="217"/>
      <c r="L729" s="185"/>
      <c r="M729" s="185"/>
      <c r="N729" s="185"/>
      <c r="O729" s="185"/>
      <c r="P729" s="185"/>
      <c r="Q729" s="185"/>
      <c r="R729" s="168"/>
      <c r="S729" s="168"/>
      <c r="U729" s="170"/>
      <c r="V729" s="171"/>
      <c r="W729" s="171"/>
      <c r="X729" s="171"/>
      <c r="Y729" s="185"/>
      <c r="Z729" s="185"/>
    </row>
    <row r="730" spans="4:26" x14ac:dyDescent="0.25">
      <c r="D730" s="175"/>
      <c r="E730" s="175"/>
      <c r="H730" s="201"/>
      <c r="I730" s="201"/>
      <c r="J730" s="217"/>
      <c r="K730" s="217"/>
      <c r="L730" s="185"/>
      <c r="M730" s="185"/>
      <c r="N730" s="185"/>
      <c r="O730" s="185"/>
      <c r="P730" s="185"/>
      <c r="Q730" s="185"/>
      <c r="R730" s="168"/>
      <c r="S730" s="168"/>
      <c r="U730" s="170"/>
      <c r="V730" s="171"/>
      <c r="W730" s="171"/>
      <c r="X730" s="171"/>
      <c r="Y730" s="185"/>
      <c r="Z730" s="185"/>
    </row>
    <row r="731" spans="4:26" x14ac:dyDescent="0.25">
      <c r="D731" s="175"/>
      <c r="E731" s="175"/>
      <c r="H731" s="201"/>
      <c r="I731" s="201"/>
      <c r="J731" s="217"/>
      <c r="K731" s="217"/>
      <c r="L731" s="185"/>
      <c r="M731" s="185"/>
      <c r="N731" s="185"/>
      <c r="O731" s="185"/>
      <c r="P731" s="185"/>
      <c r="Q731" s="185"/>
      <c r="R731" s="168"/>
      <c r="S731" s="168"/>
      <c r="U731" s="170"/>
      <c r="V731" s="171"/>
      <c r="W731" s="171"/>
      <c r="X731" s="171"/>
      <c r="Y731" s="185"/>
      <c r="Z731" s="185"/>
    </row>
    <row r="732" spans="4:26" x14ac:dyDescent="0.25">
      <c r="D732" s="175"/>
      <c r="E732" s="175"/>
      <c r="H732" s="201"/>
      <c r="I732" s="201"/>
      <c r="J732" s="217"/>
      <c r="K732" s="217"/>
      <c r="L732" s="185"/>
      <c r="M732" s="185"/>
      <c r="N732" s="185"/>
      <c r="O732" s="185"/>
      <c r="P732" s="185"/>
      <c r="Q732" s="185"/>
      <c r="R732" s="168"/>
      <c r="S732" s="168"/>
      <c r="U732" s="170"/>
      <c r="V732" s="171"/>
      <c r="W732" s="171"/>
      <c r="X732" s="171"/>
      <c r="Y732" s="185"/>
      <c r="Z732" s="185"/>
    </row>
    <row r="733" spans="4:26" x14ac:dyDescent="0.25">
      <c r="D733" s="175"/>
      <c r="E733" s="175"/>
      <c r="H733" s="201"/>
      <c r="I733" s="201"/>
      <c r="J733" s="217"/>
      <c r="K733" s="217"/>
      <c r="L733" s="185"/>
      <c r="M733" s="185"/>
      <c r="N733" s="185"/>
      <c r="O733" s="185"/>
      <c r="P733" s="185"/>
      <c r="Q733" s="185"/>
      <c r="R733" s="168"/>
      <c r="S733" s="168"/>
      <c r="U733" s="170"/>
      <c r="V733" s="171"/>
      <c r="W733" s="171"/>
      <c r="X733" s="171"/>
      <c r="Y733" s="185"/>
      <c r="Z733" s="185"/>
    </row>
    <row r="734" spans="4:26" x14ac:dyDescent="0.25">
      <c r="D734" s="175"/>
      <c r="E734" s="175"/>
      <c r="H734" s="201"/>
      <c r="I734" s="201"/>
      <c r="J734" s="217"/>
      <c r="K734" s="217"/>
      <c r="L734" s="185"/>
      <c r="M734" s="185"/>
      <c r="N734" s="185"/>
      <c r="O734" s="185"/>
      <c r="P734" s="185"/>
      <c r="Q734" s="185"/>
      <c r="R734" s="168"/>
      <c r="S734" s="168"/>
      <c r="U734" s="170"/>
      <c r="V734" s="171"/>
      <c r="W734" s="171"/>
      <c r="X734" s="171"/>
      <c r="Y734" s="185"/>
      <c r="Z734" s="185"/>
    </row>
    <row r="735" spans="4:26" x14ac:dyDescent="0.25">
      <c r="D735" s="175"/>
      <c r="E735" s="175"/>
      <c r="H735" s="201"/>
      <c r="I735" s="201"/>
      <c r="J735" s="217"/>
      <c r="K735" s="217"/>
      <c r="L735" s="185"/>
      <c r="M735" s="185"/>
      <c r="N735" s="185"/>
      <c r="O735" s="185"/>
      <c r="P735" s="185"/>
      <c r="Q735" s="185"/>
      <c r="R735" s="168"/>
      <c r="S735" s="168"/>
      <c r="U735" s="170"/>
      <c r="V735" s="171"/>
      <c r="W735" s="171"/>
      <c r="X735" s="171"/>
      <c r="Y735" s="185"/>
      <c r="Z735" s="185"/>
    </row>
    <row r="736" spans="4:26" x14ac:dyDescent="0.25">
      <c r="D736" s="175"/>
      <c r="E736" s="175"/>
      <c r="H736" s="201"/>
      <c r="I736" s="201"/>
      <c r="J736" s="217"/>
      <c r="K736" s="217"/>
      <c r="L736" s="185"/>
      <c r="M736" s="185"/>
      <c r="N736" s="185"/>
      <c r="O736" s="185"/>
      <c r="P736" s="185"/>
      <c r="Q736" s="185"/>
      <c r="R736" s="168"/>
      <c r="S736" s="168"/>
      <c r="U736" s="170"/>
      <c r="V736" s="171"/>
      <c r="W736" s="171"/>
      <c r="X736" s="171"/>
      <c r="Y736" s="185"/>
      <c r="Z736" s="185"/>
    </row>
    <row r="737" spans="4:26" x14ac:dyDescent="0.25">
      <c r="D737" s="175"/>
      <c r="E737" s="175"/>
      <c r="H737" s="201"/>
      <c r="I737" s="201"/>
      <c r="J737" s="217"/>
      <c r="K737" s="217"/>
      <c r="L737" s="185"/>
      <c r="M737" s="185"/>
      <c r="N737" s="185"/>
      <c r="O737" s="185"/>
      <c r="P737" s="185"/>
      <c r="Q737" s="185"/>
      <c r="R737" s="168"/>
      <c r="S737" s="168"/>
      <c r="U737" s="170"/>
      <c r="V737" s="171"/>
      <c r="W737" s="171"/>
      <c r="X737" s="171"/>
      <c r="Y737" s="185"/>
      <c r="Z737" s="185"/>
    </row>
    <row r="738" spans="4:26" x14ac:dyDescent="0.25">
      <c r="D738" s="175"/>
      <c r="E738" s="175"/>
      <c r="H738" s="201"/>
      <c r="I738" s="201"/>
      <c r="J738" s="217"/>
      <c r="K738" s="217"/>
      <c r="L738" s="185"/>
      <c r="M738" s="185"/>
      <c r="N738" s="185"/>
      <c r="O738" s="185"/>
      <c r="P738" s="185"/>
      <c r="Q738" s="185"/>
      <c r="R738" s="168"/>
      <c r="S738" s="168"/>
      <c r="U738" s="170"/>
      <c r="V738" s="171"/>
      <c r="W738" s="171"/>
      <c r="X738" s="171"/>
      <c r="Y738" s="185"/>
      <c r="Z738" s="185"/>
    </row>
    <row r="739" spans="4:26" x14ac:dyDescent="0.25">
      <c r="D739" s="175"/>
      <c r="E739" s="175"/>
      <c r="H739" s="201"/>
      <c r="I739" s="201"/>
      <c r="J739" s="217"/>
      <c r="K739" s="217"/>
      <c r="L739" s="185"/>
      <c r="M739" s="185"/>
      <c r="N739" s="185"/>
      <c r="O739" s="185"/>
      <c r="P739" s="185"/>
      <c r="Q739" s="185"/>
      <c r="R739" s="168"/>
      <c r="S739" s="168"/>
      <c r="U739" s="170"/>
      <c r="V739" s="171"/>
      <c r="W739" s="171"/>
      <c r="X739" s="171"/>
      <c r="Y739" s="185"/>
      <c r="Z739" s="185"/>
    </row>
    <row r="740" spans="4:26" x14ac:dyDescent="0.25">
      <c r="D740" s="175"/>
      <c r="E740" s="175"/>
      <c r="H740" s="201"/>
      <c r="I740" s="201"/>
      <c r="J740" s="217"/>
      <c r="K740" s="217"/>
      <c r="L740" s="185"/>
      <c r="M740" s="185"/>
      <c r="N740" s="185"/>
      <c r="O740" s="185"/>
      <c r="P740" s="185"/>
      <c r="Q740" s="185"/>
      <c r="R740" s="168"/>
      <c r="S740" s="168"/>
      <c r="U740" s="170"/>
      <c r="V740" s="171"/>
      <c r="W740" s="171"/>
      <c r="X740" s="171"/>
      <c r="Y740" s="185"/>
      <c r="Z740" s="185"/>
    </row>
    <row r="741" spans="4:26" x14ac:dyDescent="0.25">
      <c r="D741" s="175"/>
      <c r="E741" s="175"/>
      <c r="H741" s="201"/>
      <c r="I741" s="201"/>
      <c r="J741" s="217"/>
      <c r="K741" s="217"/>
      <c r="L741" s="185"/>
      <c r="M741" s="185"/>
      <c r="N741" s="185"/>
      <c r="O741" s="185"/>
      <c r="P741" s="185"/>
      <c r="Q741" s="185"/>
      <c r="R741" s="168"/>
      <c r="S741" s="168"/>
      <c r="U741" s="170"/>
      <c r="V741" s="171"/>
      <c r="W741" s="171"/>
      <c r="X741" s="171"/>
      <c r="Y741" s="185"/>
      <c r="Z741" s="185"/>
    </row>
    <row r="742" spans="4:26" x14ac:dyDescent="0.25">
      <c r="D742" s="175"/>
      <c r="E742" s="175"/>
      <c r="H742" s="201"/>
      <c r="I742" s="201"/>
      <c r="J742" s="217"/>
      <c r="K742" s="217"/>
      <c r="L742" s="185"/>
      <c r="M742" s="185"/>
      <c r="N742" s="185"/>
      <c r="O742" s="185"/>
      <c r="P742" s="185"/>
      <c r="Q742" s="185"/>
      <c r="R742" s="168"/>
      <c r="S742" s="168"/>
      <c r="U742" s="170"/>
      <c r="V742" s="171"/>
      <c r="W742" s="171"/>
      <c r="X742" s="171"/>
      <c r="Y742" s="185"/>
      <c r="Z742" s="185"/>
    </row>
    <row r="743" spans="4:26" x14ac:dyDescent="0.25">
      <c r="D743" s="175"/>
      <c r="E743" s="175"/>
      <c r="H743" s="201"/>
      <c r="I743" s="201"/>
      <c r="J743" s="217"/>
      <c r="K743" s="217"/>
      <c r="L743" s="185"/>
      <c r="M743" s="185"/>
      <c r="N743" s="185"/>
      <c r="O743" s="185"/>
      <c r="P743" s="185"/>
      <c r="Q743" s="185"/>
      <c r="R743" s="168"/>
      <c r="S743" s="168"/>
      <c r="U743" s="170"/>
      <c r="V743" s="171"/>
      <c r="W743" s="171"/>
      <c r="X743" s="171"/>
      <c r="Y743" s="185"/>
      <c r="Z743" s="185"/>
    </row>
    <row r="744" spans="4:26" x14ac:dyDescent="0.25">
      <c r="D744" s="175"/>
      <c r="E744" s="175"/>
      <c r="H744" s="201"/>
      <c r="I744" s="201"/>
      <c r="J744" s="217"/>
      <c r="K744" s="217"/>
      <c r="L744" s="185"/>
      <c r="M744" s="185"/>
      <c r="N744" s="185"/>
      <c r="O744" s="185"/>
      <c r="P744" s="185"/>
      <c r="Q744" s="185"/>
      <c r="R744" s="168"/>
      <c r="S744" s="168"/>
      <c r="U744" s="170"/>
      <c r="V744" s="171"/>
      <c r="W744" s="171"/>
      <c r="X744" s="171"/>
      <c r="Y744" s="185"/>
      <c r="Z744" s="185"/>
    </row>
    <row r="745" spans="4:26" x14ac:dyDescent="0.25">
      <c r="D745" s="175"/>
      <c r="E745" s="175"/>
      <c r="H745" s="201"/>
      <c r="I745" s="201"/>
      <c r="J745" s="217"/>
      <c r="K745" s="217"/>
      <c r="L745" s="185"/>
      <c r="M745" s="185"/>
      <c r="N745" s="185"/>
      <c r="O745" s="185"/>
      <c r="P745" s="185"/>
      <c r="Q745" s="185"/>
      <c r="R745" s="168"/>
      <c r="S745" s="168"/>
      <c r="U745" s="170"/>
      <c r="V745" s="171"/>
      <c r="W745" s="171"/>
      <c r="X745" s="171"/>
      <c r="Y745" s="185"/>
      <c r="Z745" s="185"/>
    </row>
    <row r="746" spans="4:26" x14ac:dyDescent="0.25">
      <c r="D746" s="175"/>
      <c r="E746" s="175"/>
      <c r="H746" s="201"/>
      <c r="I746" s="201"/>
      <c r="J746" s="217"/>
      <c r="K746" s="217"/>
      <c r="L746" s="185"/>
      <c r="M746" s="185"/>
      <c r="N746" s="185"/>
      <c r="O746" s="185"/>
      <c r="P746" s="185"/>
      <c r="Q746" s="185"/>
      <c r="R746" s="168"/>
      <c r="S746" s="168"/>
      <c r="U746" s="170"/>
      <c r="V746" s="171"/>
      <c r="W746" s="171"/>
      <c r="X746" s="171"/>
      <c r="Y746" s="185"/>
      <c r="Z746" s="185"/>
    </row>
    <row r="747" spans="4:26" x14ac:dyDescent="0.25">
      <c r="D747" s="175"/>
      <c r="E747" s="175"/>
      <c r="H747" s="201"/>
      <c r="I747" s="201"/>
      <c r="J747" s="217"/>
      <c r="K747" s="217"/>
      <c r="L747" s="185"/>
      <c r="M747" s="185"/>
      <c r="N747" s="185"/>
      <c r="O747" s="185"/>
      <c r="P747" s="185"/>
      <c r="Q747" s="185"/>
      <c r="R747" s="168"/>
      <c r="S747" s="168"/>
      <c r="U747" s="170"/>
      <c r="V747" s="171"/>
      <c r="W747" s="171"/>
      <c r="X747" s="171"/>
      <c r="Y747" s="185"/>
      <c r="Z747" s="185"/>
    </row>
    <row r="748" spans="4:26" x14ac:dyDescent="0.25">
      <c r="D748" s="175"/>
      <c r="E748" s="175"/>
      <c r="H748" s="201"/>
      <c r="I748" s="201"/>
      <c r="J748" s="217"/>
      <c r="K748" s="217"/>
      <c r="L748" s="185"/>
      <c r="M748" s="185"/>
      <c r="N748" s="185"/>
      <c r="O748" s="185"/>
      <c r="P748" s="185"/>
      <c r="Q748" s="185"/>
      <c r="R748" s="168"/>
      <c r="S748" s="168"/>
      <c r="U748" s="170"/>
      <c r="V748" s="171"/>
      <c r="W748" s="171"/>
      <c r="X748" s="171"/>
      <c r="Y748" s="185"/>
      <c r="Z748" s="185"/>
    </row>
    <row r="749" spans="4:26" x14ac:dyDescent="0.25">
      <c r="D749" s="175"/>
      <c r="E749" s="175"/>
      <c r="H749" s="201"/>
      <c r="I749" s="201"/>
      <c r="J749" s="217"/>
      <c r="K749" s="217"/>
      <c r="L749" s="185"/>
      <c r="M749" s="185"/>
      <c r="N749" s="185"/>
      <c r="O749" s="185"/>
      <c r="P749" s="185"/>
      <c r="Q749" s="185"/>
      <c r="R749" s="168"/>
      <c r="S749" s="168"/>
      <c r="U749" s="170"/>
      <c r="V749" s="171"/>
      <c r="W749" s="171"/>
      <c r="X749" s="171"/>
      <c r="Y749" s="185"/>
      <c r="Z749" s="185"/>
    </row>
    <row r="750" spans="4:26" x14ac:dyDescent="0.25">
      <c r="D750" s="175"/>
      <c r="E750" s="175"/>
      <c r="H750" s="201"/>
      <c r="I750" s="201"/>
      <c r="J750" s="217"/>
      <c r="K750" s="217"/>
      <c r="L750" s="185"/>
      <c r="M750" s="185"/>
      <c r="N750" s="185"/>
      <c r="O750" s="185"/>
      <c r="P750" s="185"/>
      <c r="Q750" s="185"/>
      <c r="R750" s="168"/>
      <c r="S750" s="168"/>
      <c r="U750" s="170"/>
      <c r="V750" s="171"/>
      <c r="W750" s="171"/>
      <c r="X750" s="171"/>
      <c r="Y750" s="185"/>
      <c r="Z750" s="185"/>
    </row>
    <row r="751" spans="4:26" x14ac:dyDescent="0.25">
      <c r="D751" s="175"/>
      <c r="E751" s="175"/>
      <c r="H751" s="201"/>
      <c r="I751" s="201"/>
      <c r="J751" s="217"/>
      <c r="K751" s="217"/>
      <c r="L751" s="185"/>
      <c r="M751" s="185"/>
      <c r="N751" s="185"/>
      <c r="O751" s="185"/>
      <c r="P751" s="185"/>
      <c r="Q751" s="185"/>
      <c r="R751" s="168"/>
      <c r="S751" s="168"/>
      <c r="U751" s="170"/>
      <c r="V751" s="171"/>
      <c r="W751" s="171"/>
      <c r="X751" s="171"/>
      <c r="Y751" s="185"/>
      <c r="Z751" s="185"/>
    </row>
    <row r="752" spans="4:26" x14ac:dyDescent="0.25">
      <c r="D752" s="175"/>
      <c r="E752" s="175"/>
      <c r="H752" s="201"/>
      <c r="I752" s="201"/>
      <c r="J752" s="217"/>
      <c r="K752" s="217"/>
      <c r="L752" s="185"/>
      <c r="M752" s="185"/>
      <c r="N752" s="185"/>
      <c r="O752" s="185"/>
      <c r="P752" s="185"/>
      <c r="Q752" s="185"/>
      <c r="R752" s="168"/>
      <c r="S752" s="168"/>
      <c r="U752" s="170"/>
      <c r="V752" s="171"/>
      <c r="W752" s="171"/>
      <c r="X752" s="171"/>
      <c r="Y752" s="185"/>
      <c r="Z752" s="185"/>
    </row>
    <row r="753" spans="4:26" x14ac:dyDescent="0.25">
      <c r="D753" s="175"/>
      <c r="E753" s="175"/>
      <c r="H753" s="201"/>
      <c r="I753" s="201"/>
      <c r="J753" s="217"/>
      <c r="K753" s="217"/>
      <c r="L753" s="185"/>
      <c r="M753" s="185"/>
      <c r="N753" s="185"/>
      <c r="O753" s="185"/>
      <c r="P753" s="185"/>
      <c r="Q753" s="185"/>
      <c r="R753" s="168"/>
      <c r="S753" s="168"/>
      <c r="U753" s="170"/>
      <c r="V753" s="171"/>
      <c r="W753" s="171"/>
      <c r="X753" s="171"/>
      <c r="Y753" s="185"/>
      <c r="Z753" s="185"/>
    </row>
    <row r="754" spans="4:26" x14ac:dyDescent="0.25">
      <c r="D754" s="175"/>
      <c r="E754" s="175"/>
      <c r="H754" s="201"/>
      <c r="I754" s="201"/>
      <c r="J754" s="217"/>
      <c r="K754" s="217"/>
      <c r="L754" s="185"/>
      <c r="M754" s="185"/>
      <c r="N754" s="185"/>
      <c r="O754" s="185"/>
      <c r="P754" s="185"/>
      <c r="Q754" s="185"/>
      <c r="R754" s="168"/>
      <c r="S754" s="168"/>
      <c r="U754" s="170"/>
      <c r="V754" s="171"/>
      <c r="W754" s="171"/>
      <c r="X754" s="171"/>
      <c r="Y754" s="185"/>
      <c r="Z754" s="185"/>
    </row>
    <row r="755" spans="4:26" x14ac:dyDescent="0.25">
      <c r="D755" s="175"/>
      <c r="E755" s="175"/>
      <c r="H755" s="201"/>
      <c r="I755" s="201"/>
      <c r="J755" s="217"/>
      <c r="K755" s="217"/>
      <c r="L755" s="185"/>
      <c r="M755" s="185"/>
      <c r="N755" s="185"/>
      <c r="O755" s="185"/>
      <c r="P755" s="185"/>
      <c r="Q755" s="185"/>
      <c r="R755" s="168"/>
      <c r="S755" s="168"/>
      <c r="U755" s="170"/>
      <c r="V755" s="171"/>
      <c r="W755" s="171"/>
      <c r="X755" s="171"/>
      <c r="Y755" s="185"/>
      <c r="Z755" s="185"/>
    </row>
    <row r="756" spans="4:26" x14ac:dyDescent="0.25">
      <c r="D756" s="175"/>
      <c r="E756" s="175"/>
      <c r="H756" s="201"/>
      <c r="I756" s="201"/>
      <c r="J756" s="217"/>
      <c r="K756" s="217"/>
      <c r="L756" s="185"/>
      <c r="M756" s="185"/>
      <c r="N756" s="185"/>
      <c r="O756" s="185"/>
      <c r="P756" s="185"/>
      <c r="Q756" s="185"/>
      <c r="R756" s="168"/>
      <c r="S756" s="168"/>
      <c r="U756" s="170"/>
      <c r="V756" s="171"/>
      <c r="W756" s="171"/>
      <c r="X756" s="171"/>
      <c r="Y756" s="185"/>
      <c r="Z756" s="185"/>
    </row>
    <row r="757" spans="4:26" x14ac:dyDescent="0.25">
      <c r="D757" s="175"/>
      <c r="E757" s="175"/>
      <c r="H757" s="201"/>
      <c r="I757" s="201"/>
      <c r="J757" s="217"/>
      <c r="K757" s="217"/>
      <c r="L757" s="185"/>
      <c r="M757" s="185"/>
      <c r="N757" s="185"/>
      <c r="O757" s="185"/>
      <c r="P757" s="185"/>
      <c r="Q757" s="185"/>
      <c r="R757" s="168"/>
      <c r="S757" s="168"/>
      <c r="U757" s="170"/>
      <c r="V757" s="171"/>
      <c r="W757" s="171"/>
      <c r="X757" s="171"/>
      <c r="Y757" s="185"/>
      <c r="Z757" s="185"/>
    </row>
    <row r="758" spans="4:26" x14ac:dyDescent="0.25">
      <c r="D758" s="175"/>
      <c r="E758" s="175"/>
      <c r="H758" s="201"/>
      <c r="I758" s="201"/>
      <c r="J758" s="217"/>
      <c r="K758" s="217"/>
      <c r="L758" s="185"/>
      <c r="M758" s="185"/>
      <c r="N758" s="185"/>
      <c r="O758" s="185"/>
      <c r="P758" s="185"/>
      <c r="Q758" s="185"/>
      <c r="R758" s="168"/>
      <c r="S758" s="168"/>
      <c r="U758" s="170"/>
      <c r="V758" s="171"/>
      <c r="W758" s="171"/>
      <c r="X758" s="171"/>
      <c r="Y758" s="185"/>
      <c r="Z758" s="185"/>
    </row>
    <row r="759" spans="4:26" x14ac:dyDescent="0.25">
      <c r="D759" s="175"/>
      <c r="E759" s="175"/>
      <c r="H759" s="201"/>
      <c r="I759" s="201"/>
      <c r="J759" s="217"/>
      <c r="K759" s="217"/>
      <c r="L759" s="185"/>
      <c r="M759" s="185"/>
      <c r="N759" s="185"/>
      <c r="O759" s="185"/>
      <c r="P759" s="185"/>
      <c r="Q759" s="185"/>
      <c r="R759" s="168"/>
      <c r="S759" s="168"/>
      <c r="U759" s="170"/>
      <c r="V759" s="171"/>
      <c r="W759" s="171"/>
      <c r="X759" s="171"/>
      <c r="Y759" s="185"/>
      <c r="Z759" s="185"/>
    </row>
    <row r="760" spans="4:26" x14ac:dyDescent="0.25">
      <c r="D760" s="175"/>
      <c r="E760" s="175"/>
      <c r="H760" s="201"/>
      <c r="I760" s="201"/>
      <c r="J760" s="217"/>
      <c r="K760" s="217"/>
      <c r="L760" s="185"/>
      <c r="M760" s="185"/>
      <c r="N760" s="185"/>
      <c r="O760" s="185"/>
      <c r="P760" s="185"/>
      <c r="Q760" s="185"/>
      <c r="R760" s="168"/>
      <c r="S760" s="168"/>
      <c r="U760" s="170"/>
      <c r="V760" s="171"/>
      <c r="W760" s="171"/>
      <c r="X760" s="171"/>
      <c r="Y760" s="185"/>
      <c r="Z760" s="185"/>
    </row>
    <row r="761" spans="4:26" x14ac:dyDescent="0.25">
      <c r="D761" s="175"/>
      <c r="E761" s="175"/>
      <c r="H761" s="201"/>
      <c r="I761" s="201"/>
      <c r="J761" s="217"/>
      <c r="K761" s="217"/>
      <c r="L761" s="185"/>
      <c r="M761" s="185"/>
      <c r="N761" s="185"/>
      <c r="O761" s="185"/>
      <c r="P761" s="185"/>
      <c r="Q761" s="185"/>
      <c r="R761" s="168"/>
      <c r="S761" s="168"/>
      <c r="U761" s="170"/>
      <c r="V761" s="171"/>
      <c r="W761" s="171"/>
      <c r="X761" s="171"/>
      <c r="Y761" s="185"/>
      <c r="Z761" s="185"/>
    </row>
    <row r="762" spans="4:26" x14ac:dyDescent="0.25">
      <c r="D762" s="175"/>
      <c r="E762" s="175"/>
      <c r="H762" s="201"/>
      <c r="I762" s="201"/>
      <c r="J762" s="217"/>
      <c r="K762" s="217"/>
      <c r="L762" s="185"/>
      <c r="M762" s="185"/>
      <c r="N762" s="185"/>
      <c r="O762" s="185"/>
      <c r="P762" s="185"/>
      <c r="Q762" s="185"/>
      <c r="R762" s="168"/>
      <c r="S762" s="168"/>
      <c r="U762" s="170"/>
      <c r="V762" s="171"/>
      <c r="W762" s="171"/>
      <c r="X762" s="171"/>
      <c r="Y762" s="185"/>
      <c r="Z762" s="185"/>
    </row>
    <row r="763" spans="4:26" x14ac:dyDescent="0.25">
      <c r="D763" s="175"/>
      <c r="E763" s="175"/>
      <c r="H763" s="201"/>
      <c r="I763" s="201"/>
      <c r="J763" s="217"/>
      <c r="K763" s="217"/>
      <c r="L763" s="185"/>
      <c r="M763" s="185"/>
      <c r="N763" s="185"/>
      <c r="O763" s="185"/>
      <c r="P763" s="185"/>
      <c r="Q763" s="185"/>
      <c r="R763" s="168"/>
      <c r="S763" s="168"/>
      <c r="U763" s="170"/>
      <c r="V763" s="171"/>
      <c r="W763" s="171"/>
      <c r="X763" s="171"/>
      <c r="Y763" s="185"/>
      <c r="Z763" s="185"/>
    </row>
    <row r="764" spans="4:26" x14ac:dyDescent="0.25">
      <c r="D764" s="175"/>
      <c r="E764" s="175"/>
      <c r="H764" s="201"/>
      <c r="I764" s="201"/>
      <c r="J764" s="217"/>
      <c r="K764" s="217"/>
      <c r="L764" s="185"/>
      <c r="M764" s="185"/>
      <c r="N764" s="185"/>
      <c r="O764" s="185"/>
      <c r="P764" s="185"/>
      <c r="Q764" s="185"/>
      <c r="R764" s="168"/>
      <c r="S764" s="168"/>
      <c r="U764" s="170"/>
      <c r="V764" s="171"/>
      <c r="W764" s="171"/>
      <c r="X764" s="171"/>
      <c r="Y764" s="185"/>
      <c r="Z764" s="185"/>
    </row>
    <row r="765" spans="4:26" x14ac:dyDescent="0.25">
      <c r="D765" s="175"/>
      <c r="E765" s="175"/>
      <c r="H765" s="201"/>
      <c r="I765" s="201"/>
      <c r="J765" s="217"/>
      <c r="K765" s="217"/>
      <c r="L765" s="185"/>
      <c r="M765" s="185"/>
      <c r="N765" s="185"/>
      <c r="O765" s="185"/>
      <c r="P765" s="185"/>
      <c r="Q765" s="185"/>
      <c r="R765" s="168"/>
      <c r="S765" s="168"/>
      <c r="U765" s="170"/>
      <c r="V765" s="171"/>
      <c r="W765" s="171"/>
      <c r="X765" s="171"/>
      <c r="Y765" s="185"/>
      <c r="Z765" s="185"/>
    </row>
    <row r="766" spans="4:26" x14ac:dyDescent="0.25">
      <c r="D766" s="175"/>
      <c r="E766" s="175"/>
      <c r="H766" s="201"/>
      <c r="I766" s="201"/>
      <c r="J766" s="217"/>
      <c r="K766" s="217"/>
      <c r="L766" s="185"/>
      <c r="M766" s="185"/>
      <c r="N766" s="185"/>
      <c r="O766" s="185"/>
      <c r="P766" s="185"/>
      <c r="Q766" s="185"/>
      <c r="R766" s="168"/>
      <c r="S766" s="168"/>
      <c r="U766" s="170"/>
      <c r="V766" s="171"/>
      <c r="W766" s="171"/>
      <c r="X766" s="171"/>
      <c r="Y766" s="185"/>
      <c r="Z766" s="185"/>
    </row>
    <row r="767" spans="4:26" x14ac:dyDescent="0.25">
      <c r="D767" s="175"/>
      <c r="E767" s="175"/>
      <c r="H767" s="201"/>
      <c r="I767" s="201"/>
      <c r="J767" s="217"/>
      <c r="K767" s="217"/>
      <c r="L767" s="185"/>
      <c r="M767" s="185"/>
      <c r="N767" s="185"/>
      <c r="O767" s="185"/>
      <c r="P767" s="185"/>
      <c r="Q767" s="185"/>
      <c r="R767" s="168"/>
      <c r="S767" s="168"/>
      <c r="U767" s="170"/>
      <c r="V767" s="171"/>
      <c r="W767" s="171"/>
      <c r="X767" s="171"/>
      <c r="Y767" s="185"/>
      <c r="Z767" s="185"/>
    </row>
    <row r="768" spans="4:26" x14ac:dyDescent="0.25">
      <c r="D768" s="175"/>
      <c r="E768" s="175"/>
      <c r="H768" s="201"/>
      <c r="I768" s="201"/>
      <c r="J768" s="217"/>
      <c r="K768" s="217"/>
      <c r="L768" s="185"/>
      <c r="M768" s="185"/>
      <c r="N768" s="185"/>
      <c r="O768" s="185"/>
      <c r="P768" s="185"/>
      <c r="Q768" s="185"/>
      <c r="R768" s="168"/>
      <c r="S768" s="168"/>
      <c r="U768" s="170"/>
      <c r="V768" s="171"/>
      <c r="W768" s="171"/>
      <c r="X768" s="171"/>
      <c r="Y768" s="185"/>
      <c r="Z768" s="185"/>
    </row>
    <row r="769" spans="4:26" x14ac:dyDescent="0.25">
      <c r="D769" s="175"/>
      <c r="E769" s="175"/>
      <c r="H769" s="201"/>
      <c r="I769" s="201"/>
      <c r="J769" s="217"/>
      <c r="K769" s="217"/>
      <c r="L769" s="185"/>
      <c r="M769" s="185"/>
      <c r="N769" s="185"/>
      <c r="O769" s="185"/>
      <c r="P769" s="185"/>
      <c r="Q769" s="185"/>
      <c r="R769" s="168"/>
      <c r="S769" s="168"/>
      <c r="U769" s="170"/>
      <c r="V769" s="171"/>
      <c r="W769" s="171"/>
      <c r="X769" s="171"/>
      <c r="Y769" s="185"/>
      <c r="Z769" s="185"/>
    </row>
    <row r="770" spans="4:26" x14ac:dyDescent="0.25">
      <c r="D770" s="175"/>
      <c r="E770" s="175"/>
      <c r="H770" s="201"/>
      <c r="I770" s="201"/>
      <c r="J770" s="217"/>
      <c r="K770" s="217"/>
      <c r="L770" s="185"/>
      <c r="M770" s="185"/>
      <c r="N770" s="185"/>
      <c r="O770" s="185"/>
      <c r="P770" s="185"/>
      <c r="Q770" s="185"/>
      <c r="R770" s="168"/>
      <c r="S770" s="168"/>
      <c r="U770" s="170"/>
      <c r="V770" s="171"/>
      <c r="W770" s="171"/>
      <c r="X770" s="171"/>
      <c r="Y770" s="185"/>
      <c r="Z770" s="185"/>
    </row>
    <row r="771" spans="4:26" x14ac:dyDescent="0.25">
      <c r="D771" s="175"/>
      <c r="E771" s="175"/>
      <c r="H771" s="201"/>
      <c r="I771" s="201"/>
      <c r="J771" s="217"/>
      <c r="K771" s="217"/>
      <c r="L771" s="185"/>
      <c r="M771" s="185"/>
      <c r="N771" s="185"/>
      <c r="O771" s="185"/>
      <c r="P771" s="185"/>
      <c r="Q771" s="185"/>
      <c r="R771" s="168"/>
      <c r="S771" s="168"/>
      <c r="U771" s="170"/>
      <c r="V771" s="171"/>
      <c r="W771" s="171"/>
      <c r="X771" s="171"/>
      <c r="Y771" s="185"/>
      <c r="Z771" s="185"/>
    </row>
    <row r="772" spans="4:26" x14ac:dyDescent="0.25">
      <c r="D772" s="175"/>
      <c r="E772" s="175"/>
      <c r="H772" s="201"/>
      <c r="I772" s="201"/>
      <c r="J772" s="217"/>
      <c r="K772" s="217"/>
      <c r="L772" s="185"/>
      <c r="M772" s="185"/>
      <c r="N772" s="185"/>
      <c r="O772" s="185"/>
      <c r="P772" s="185"/>
      <c r="Q772" s="185"/>
      <c r="R772" s="168"/>
      <c r="S772" s="168"/>
      <c r="U772" s="170"/>
      <c r="V772" s="171"/>
      <c r="W772" s="171"/>
      <c r="X772" s="171"/>
      <c r="Y772" s="185"/>
      <c r="Z772" s="185"/>
    </row>
    <row r="773" spans="4:26" x14ac:dyDescent="0.25">
      <c r="D773" s="175"/>
      <c r="E773" s="175"/>
      <c r="H773" s="201"/>
      <c r="I773" s="201"/>
      <c r="J773" s="217"/>
      <c r="K773" s="217"/>
      <c r="L773" s="185"/>
      <c r="M773" s="185"/>
      <c r="N773" s="185"/>
      <c r="O773" s="185"/>
      <c r="P773" s="185"/>
      <c r="Q773" s="185"/>
      <c r="R773" s="168"/>
      <c r="S773" s="168"/>
      <c r="U773" s="170"/>
      <c r="V773" s="171"/>
      <c r="W773" s="171"/>
      <c r="X773" s="171"/>
      <c r="Y773" s="185"/>
      <c r="Z773" s="185"/>
    </row>
    <row r="774" spans="4:26" x14ac:dyDescent="0.25">
      <c r="D774" s="175"/>
      <c r="E774" s="175"/>
      <c r="H774" s="201"/>
      <c r="I774" s="201"/>
      <c r="J774" s="217"/>
      <c r="K774" s="217"/>
      <c r="L774" s="185"/>
      <c r="M774" s="185"/>
      <c r="N774" s="185"/>
      <c r="O774" s="185"/>
      <c r="P774" s="185"/>
      <c r="Q774" s="185"/>
      <c r="R774" s="168"/>
      <c r="S774" s="168"/>
      <c r="U774" s="170"/>
      <c r="V774" s="171"/>
      <c r="W774" s="171"/>
      <c r="X774" s="171"/>
      <c r="Y774" s="185"/>
      <c r="Z774" s="185"/>
    </row>
    <row r="775" spans="4:26" x14ac:dyDescent="0.25">
      <c r="D775" s="175"/>
      <c r="E775" s="175"/>
      <c r="H775" s="201"/>
      <c r="I775" s="201"/>
      <c r="J775" s="217"/>
      <c r="K775" s="217"/>
      <c r="L775" s="185"/>
      <c r="M775" s="185"/>
      <c r="N775" s="185"/>
      <c r="O775" s="185"/>
      <c r="P775" s="185"/>
      <c r="Q775" s="185"/>
      <c r="R775" s="168"/>
      <c r="S775" s="168"/>
      <c r="U775" s="170"/>
      <c r="V775" s="171"/>
      <c r="W775" s="171"/>
      <c r="X775" s="171"/>
      <c r="Y775" s="185"/>
      <c r="Z775" s="185"/>
    </row>
    <row r="776" spans="4:26" x14ac:dyDescent="0.25">
      <c r="D776" s="175"/>
      <c r="E776" s="175"/>
      <c r="H776" s="201"/>
      <c r="I776" s="201"/>
      <c r="J776" s="217"/>
      <c r="K776" s="217"/>
      <c r="L776" s="185"/>
      <c r="M776" s="185"/>
      <c r="N776" s="185"/>
      <c r="O776" s="185"/>
      <c r="P776" s="185"/>
      <c r="Q776" s="185"/>
      <c r="R776" s="168"/>
      <c r="S776" s="168"/>
      <c r="U776" s="170"/>
      <c r="V776" s="171"/>
      <c r="W776" s="171"/>
      <c r="X776" s="171"/>
      <c r="Y776" s="185"/>
      <c r="Z776" s="185"/>
    </row>
    <row r="777" spans="4:26" x14ac:dyDescent="0.25">
      <c r="D777" s="175"/>
      <c r="E777" s="175"/>
      <c r="H777" s="201"/>
      <c r="I777" s="201"/>
      <c r="J777" s="217"/>
      <c r="K777" s="217"/>
      <c r="L777" s="185"/>
      <c r="M777" s="185"/>
      <c r="N777" s="185"/>
      <c r="O777" s="185"/>
      <c r="P777" s="185"/>
      <c r="Q777" s="185"/>
      <c r="R777" s="168"/>
      <c r="S777" s="168"/>
      <c r="U777" s="170"/>
      <c r="V777" s="171"/>
      <c r="W777" s="171"/>
      <c r="X777" s="171"/>
      <c r="Y777" s="185"/>
      <c r="Z777" s="185"/>
    </row>
    <row r="778" spans="4:26" x14ac:dyDescent="0.25">
      <c r="D778" s="175"/>
      <c r="E778" s="175"/>
      <c r="H778" s="201"/>
      <c r="I778" s="201"/>
      <c r="J778" s="217"/>
      <c r="K778" s="217"/>
      <c r="L778" s="185"/>
      <c r="M778" s="185"/>
      <c r="N778" s="185"/>
      <c r="O778" s="185"/>
      <c r="P778" s="185"/>
      <c r="Q778" s="185"/>
      <c r="R778" s="168"/>
      <c r="S778" s="168"/>
      <c r="U778" s="170"/>
      <c r="V778" s="171"/>
      <c r="W778" s="171"/>
      <c r="X778" s="171"/>
      <c r="Y778" s="185"/>
      <c r="Z778" s="185"/>
    </row>
    <row r="779" spans="4:26" x14ac:dyDescent="0.25">
      <c r="D779" s="175"/>
      <c r="E779" s="175"/>
      <c r="H779" s="201"/>
      <c r="I779" s="201"/>
      <c r="J779" s="217"/>
      <c r="K779" s="217"/>
      <c r="L779" s="185"/>
      <c r="M779" s="185"/>
      <c r="N779" s="185"/>
      <c r="O779" s="185"/>
      <c r="P779" s="185"/>
      <c r="Q779" s="185"/>
      <c r="R779" s="168"/>
      <c r="S779" s="168"/>
      <c r="U779" s="170"/>
      <c r="V779" s="171"/>
      <c r="W779" s="171"/>
      <c r="X779" s="171"/>
      <c r="Y779" s="185"/>
      <c r="Z779" s="185"/>
    </row>
    <row r="780" spans="4:26" x14ac:dyDescent="0.25">
      <c r="D780" s="175"/>
      <c r="E780" s="175"/>
      <c r="H780" s="201"/>
      <c r="I780" s="201"/>
      <c r="J780" s="217"/>
      <c r="K780" s="217"/>
      <c r="L780" s="185"/>
      <c r="M780" s="185"/>
      <c r="N780" s="185"/>
      <c r="O780" s="185"/>
      <c r="P780" s="185"/>
      <c r="Q780" s="185"/>
      <c r="R780" s="168"/>
      <c r="S780" s="168"/>
      <c r="U780" s="170"/>
      <c r="V780" s="171"/>
      <c r="W780" s="171"/>
      <c r="X780" s="171"/>
      <c r="Y780" s="185"/>
      <c r="Z780" s="185"/>
    </row>
    <row r="781" spans="4:26" x14ac:dyDescent="0.25">
      <c r="D781" s="175"/>
      <c r="E781" s="175"/>
      <c r="H781" s="201"/>
      <c r="I781" s="201"/>
      <c r="J781" s="217"/>
      <c r="K781" s="217"/>
      <c r="L781" s="185"/>
      <c r="M781" s="185"/>
      <c r="N781" s="185"/>
      <c r="O781" s="185"/>
      <c r="P781" s="185"/>
      <c r="Q781" s="185"/>
      <c r="R781" s="168"/>
      <c r="S781" s="168"/>
      <c r="U781" s="170"/>
      <c r="V781" s="171"/>
      <c r="W781" s="171"/>
      <c r="X781" s="171"/>
      <c r="Y781" s="185"/>
      <c r="Z781" s="185"/>
    </row>
    <row r="782" spans="4:26" x14ac:dyDescent="0.25">
      <c r="D782" s="175"/>
      <c r="E782" s="175"/>
      <c r="H782" s="201"/>
      <c r="I782" s="201"/>
      <c r="J782" s="217"/>
      <c r="K782" s="217"/>
      <c r="L782" s="185"/>
      <c r="M782" s="185"/>
      <c r="N782" s="185"/>
      <c r="O782" s="185"/>
      <c r="P782" s="185"/>
      <c r="Q782" s="185"/>
      <c r="R782" s="168"/>
      <c r="S782" s="168"/>
      <c r="U782" s="170"/>
      <c r="V782" s="171"/>
      <c r="W782" s="171"/>
      <c r="X782" s="171"/>
      <c r="Y782" s="185"/>
      <c r="Z782" s="185"/>
    </row>
    <row r="783" spans="4:26" x14ac:dyDescent="0.25">
      <c r="D783" s="175"/>
      <c r="E783" s="175"/>
      <c r="H783" s="201"/>
      <c r="I783" s="201"/>
      <c r="J783" s="217"/>
      <c r="K783" s="217"/>
      <c r="L783" s="185"/>
      <c r="M783" s="185"/>
      <c r="N783" s="185"/>
      <c r="O783" s="185"/>
      <c r="P783" s="185"/>
      <c r="Q783" s="185"/>
      <c r="R783" s="168"/>
      <c r="S783" s="168"/>
      <c r="U783" s="170"/>
      <c r="V783" s="171"/>
      <c r="W783" s="171"/>
      <c r="X783" s="171"/>
      <c r="Y783" s="185"/>
      <c r="Z783" s="185"/>
    </row>
    <row r="784" spans="4:26" x14ac:dyDescent="0.25">
      <c r="D784" s="175"/>
      <c r="E784" s="175"/>
      <c r="H784" s="201"/>
      <c r="I784" s="201"/>
      <c r="J784" s="217"/>
      <c r="K784" s="217"/>
      <c r="L784" s="185"/>
      <c r="M784" s="185"/>
      <c r="N784" s="185"/>
      <c r="O784" s="185"/>
      <c r="P784" s="185"/>
      <c r="Q784" s="185"/>
      <c r="R784" s="168"/>
      <c r="S784" s="168"/>
      <c r="U784" s="170"/>
      <c r="V784" s="171"/>
      <c r="W784" s="171"/>
      <c r="X784" s="171"/>
      <c r="Y784" s="185"/>
      <c r="Z784" s="185"/>
    </row>
    <row r="785" spans="4:26" x14ac:dyDescent="0.25">
      <c r="D785" s="175"/>
      <c r="E785" s="175"/>
      <c r="H785" s="201"/>
      <c r="I785" s="201"/>
      <c r="J785" s="217"/>
      <c r="K785" s="217"/>
      <c r="L785" s="185"/>
      <c r="M785" s="185"/>
      <c r="N785" s="185"/>
      <c r="O785" s="185"/>
      <c r="P785" s="185"/>
      <c r="Q785" s="185"/>
      <c r="R785" s="168"/>
      <c r="S785" s="168"/>
      <c r="U785" s="170"/>
      <c r="V785" s="171"/>
      <c r="W785" s="171"/>
      <c r="X785" s="171"/>
      <c r="Y785" s="185"/>
      <c r="Z785" s="185"/>
    </row>
    <row r="786" spans="4:26" x14ac:dyDescent="0.25">
      <c r="D786" s="175"/>
      <c r="E786" s="175"/>
      <c r="H786" s="201"/>
      <c r="I786" s="201"/>
      <c r="J786" s="217"/>
      <c r="K786" s="217"/>
      <c r="L786" s="185"/>
      <c r="M786" s="185"/>
      <c r="N786" s="185"/>
      <c r="O786" s="185"/>
      <c r="P786" s="185"/>
      <c r="Q786" s="185"/>
      <c r="R786" s="168"/>
      <c r="S786" s="168"/>
      <c r="U786" s="170"/>
      <c r="V786" s="171"/>
      <c r="W786" s="171"/>
      <c r="X786" s="171"/>
      <c r="Y786" s="185"/>
      <c r="Z786" s="185"/>
    </row>
    <row r="787" spans="4:26" x14ac:dyDescent="0.25">
      <c r="D787" s="175"/>
      <c r="E787" s="175"/>
      <c r="H787" s="201"/>
      <c r="I787" s="201"/>
      <c r="J787" s="217"/>
      <c r="K787" s="217"/>
      <c r="L787" s="185"/>
      <c r="M787" s="185"/>
      <c r="N787" s="185"/>
      <c r="O787" s="185"/>
      <c r="P787" s="185"/>
      <c r="Q787" s="185"/>
      <c r="R787" s="168"/>
      <c r="S787" s="168"/>
      <c r="U787" s="170"/>
      <c r="V787" s="171"/>
      <c r="W787" s="171"/>
      <c r="X787" s="171"/>
      <c r="Y787" s="185"/>
      <c r="Z787" s="185"/>
    </row>
    <row r="788" spans="4:26" x14ac:dyDescent="0.25">
      <c r="D788" s="175"/>
      <c r="E788" s="175"/>
      <c r="H788" s="201"/>
      <c r="I788" s="201"/>
      <c r="J788" s="217"/>
      <c r="K788" s="217"/>
      <c r="L788" s="185"/>
      <c r="M788" s="185"/>
      <c r="N788" s="185"/>
      <c r="O788" s="185"/>
      <c r="P788" s="185"/>
      <c r="Q788" s="185"/>
      <c r="R788" s="168"/>
      <c r="S788" s="168"/>
      <c r="U788" s="170"/>
      <c r="V788" s="171"/>
      <c r="W788" s="171"/>
      <c r="X788" s="171"/>
      <c r="Y788" s="185"/>
      <c r="Z788" s="185"/>
    </row>
    <row r="789" spans="4:26" x14ac:dyDescent="0.25">
      <c r="D789" s="175"/>
      <c r="E789" s="175"/>
      <c r="H789" s="201"/>
      <c r="I789" s="201"/>
      <c r="J789" s="217"/>
      <c r="K789" s="217"/>
      <c r="L789" s="185"/>
      <c r="M789" s="185"/>
      <c r="N789" s="185"/>
      <c r="O789" s="185"/>
      <c r="P789" s="185"/>
      <c r="Q789" s="185"/>
      <c r="R789" s="168"/>
      <c r="S789" s="168"/>
      <c r="U789" s="170"/>
      <c r="V789" s="171"/>
      <c r="W789" s="171"/>
      <c r="X789" s="171"/>
      <c r="Y789" s="185"/>
      <c r="Z789" s="185"/>
    </row>
    <row r="790" spans="4:26" x14ac:dyDescent="0.25">
      <c r="D790" s="175"/>
      <c r="E790" s="175"/>
      <c r="H790" s="201"/>
      <c r="I790" s="201"/>
      <c r="J790" s="217"/>
      <c r="K790" s="217"/>
      <c r="L790" s="185"/>
      <c r="M790" s="185"/>
      <c r="N790" s="185"/>
      <c r="O790" s="185"/>
      <c r="P790" s="185"/>
      <c r="Q790" s="185"/>
      <c r="R790" s="168"/>
      <c r="S790" s="168"/>
      <c r="U790" s="170"/>
      <c r="V790" s="171"/>
      <c r="W790" s="171"/>
      <c r="X790" s="171"/>
      <c r="Y790" s="185"/>
      <c r="Z790" s="185"/>
    </row>
    <row r="791" spans="4:26" x14ac:dyDescent="0.25">
      <c r="D791" s="175"/>
      <c r="E791" s="175"/>
      <c r="H791" s="201"/>
      <c r="I791" s="201"/>
      <c r="J791" s="217"/>
      <c r="K791" s="217"/>
      <c r="L791" s="185"/>
      <c r="M791" s="185"/>
      <c r="N791" s="185"/>
      <c r="O791" s="185"/>
      <c r="P791" s="185"/>
      <c r="Q791" s="185"/>
      <c r="R791" s="168"/>
      <c r="S791" s="168"/>
      <c r="U791" s="170"/>
      <c r="V791" s="171"/>
      <c r="W791" s="171"/>
      <c r="X791" s="171"/>
      <c r="Y791" s="185"/>
      <c r="Z791" s="185"/>
    </row>
    <row r="792" spans="4:26" x14ac:dyDescent="0.25">
      <c r="D792" s="175"/>
      <c r="E792" s="175"/>
      <c r="H792" s="201"/>
      <c r="I792" s="201"/>
      <c r="J792" s="217"/>
      <c r="K792" s="217"/>
      <c r="L792" s="185"/>
      <c r="M792" s="185"/>
      <c r="N792" s="185"/>
      <c r="O792" s="185"/>
      <c r="P792" s="185"/>
      <c r="Q792" s="185"/>
      <c r="R792" s="168"/>
      <c r="S792" s="168"/>
      <c r="U792" s="170"/>
      <c r="V792" s="171"/>
      <c r="W792" s="171"/>
      <c r="X792" s="171"/>
      <c r="Y792" s="185"/>
      <c r="Z792" s="185"/>
    </row>
    <row r="793" spans="4:26" x14ac:dyDescent="0.25">
      <c r="D793" s="175"/>
      <c r="E793" s="175"/>
      <c r="H793" s="201"/>
      <c r="I793" s="201"/>
      <c r="J793" s="217"/>
      <c r="K793" s="217"/>
      <c r="L793" s="185"/>
      <c r="M793" s="185"/>
      <c r="N793" s="185"/>
      <c r="O793" s="185"/>
      <c r="P793" s="185"/>
      <c r="Q793" s="185"/>
      <c r="R793" s="168"/>
      <c r="S793" s="168"/>
      <c r="U793" s="170"/>
      <c r="V793" s="171"/>
      <c r="W793" s="171"/>
      <c r="X793" s="171"/>
      <c r="Y793" s="185"/>
      <c r="Z793" s="185"/>
    </row>
    <row r="794" spans="4:26" x14ac:dyDescent="0.25">
      <c r="D794" s="175"/>
      <c r="E794" s="175"/>
      <c r="H794" s="201"/>
      <c r="I794" s="201"/>
      <c r="J794" s="217"/>
      <c r="K794" s="217"/>
      <c r="L794" s="185"/>
      <c r="M794" s="185"/>
      <c r="N794" s="185"/>
      <c r="O794" s="185"/>
      <c r="P794" s="185"/>
      <c r="Q794" s="185"/>
      <c r="R794" s="168"/>
      <c r="S794" s="168"/>
      <c r="U794" s="170"/>
      <c r="V794" s="171"/>
      <c r="W794" s="171"/>
      <c r="X794" s="171"/>
      <c r="Y794" s="185"/>
      <c r="Z794" s="185"/>
    </row>
    <row r="795" spans="4:26" x14ac:dyDescent="0.25">
      <c r="D795" s="175"/>
      <c r="E795" s="175"/>
      <c r="H795" s="201"/>
      <c r="I795" s="201"/>
      <c r="J795" s="217"/>
      <c r="K795" s="217"/>
      <c r="L795" s="185"/>
      <c r="M795" s="185"/>
      <c r="N795" s="185"/>
      <c r="O795" s="185"/>
      <c r="P795" s="185"/>
      <c r="Q795" s="185"/>
      <c r="R795" s="168"/>
      <c r="S795" s="168"/>
      <c r="U795" s="170"/>
      <c r="V795" s="171"/>
      <c r="W795" s="171"/>
      <c r="X795" s="171"/>
      <c r="Y795" s="185"/>
      <c r="Z795" s="185"/>
    </row>
    <row r="796" spans="4:26" x14ac:dyDescent="0.25">
      <c r="D796" s="175"/>
      <c r="E796" s="175"/>
      <c r="H796" s="201"/>
      <c r="I796" s="201"/>
      <c r="J796" s="217"/>
      <c r="K796" s="217"/>
      <c r="L796" s="185"/>
      <c r="M796" s="185"/>
      <c r="N796" s="185"/>
      <c r="O796" s="185"/>
      <c r="P796" s="185"/>
      <c r="Q796" s="185"/>
      <c r="R796" s="168"/>
      <c r="S796" s="168"/>
      <c r="U796" s="170"/>
      <c r="V796" s="171"/>
      <c r="W796" s="171"/>
      <c r="X796" s="171"/>
      <c r="Y796" s="185"/>
      <c r="Z796" s="185"/>
    </row>
    <row r="797" spans="4:26" x14ac:dyDescent="0.25">
      <c r="D797" s="175"/>
      <c r="E797" s="175"/>
      <c r="H797" s="201"/>
      <c r="I797" s="201"/>
      <c r="J797" s="217"/>
      <c r="K797" s="217"/>
      <c r="L797" s="185"/>
      <c r="M797" s="185"/>
      <c r="N797" s="185"/>
      <c r="O797" s="185"/>
      <c r="P797" s="185"/>
      <c r="Q797" s="185"/>
      <c r="R797" s="168"/>
      <c r="S797" s="168"/>
      <c r="U797" s="170"/>
      <c r="V797" s="171"/>
      <c r="W797" s="171"/>
      <c r="X797" s="171"/>
      <c r="Y797" s="185"/>
      <c r="Z797" s="185"/>
    </row>
    <row r="798" spans="4:26" x14ac:dyDescent="0.25">
      <c r="D798" s="175"/>
      <c r="E798" s="175"/>
      <c r="H798" s="201"/>
      <c r="I798" s="201"/>
      <c r="J798" s="217"/>
      <c r="K798" s="217"/>
      <c r="L798" s="185"/>
      <c r="M798" s="185"/>
      <c r="N798" s="185"/>
      <c r="O798" s="185"/>
      <c r="P798" s="185"/>
      <c r="Q798" s="185"/>
      <c r="R798" s="168"/>
      <c r="S798" s="168"/>
      <c r="U798" s="170"/>
      <c r="V798" s="171"/>
      <c r="W798" s="171"/>
      <c r="X798" s="171"/>
      <c r="Y798" s="185"/>
      <c r="Z798" s="185"/>
    </row>
    <row r="799" spans="4:26" x14ac:dyDescent="0.25">
      <c r="D799" s="175"/>
      <c r="E799" s="175"/>
      <c r="H799" s="201"/>
      <c r="I799" s="201"/>
      <c r="J799" s="217"/>
      <c r="K799" s="217"/>
      <c r="L799" s="185"/>
      <c r="M799" s="185"/>
      <c r="N799" s="185"/>
      <c r="O799" s="185"/>
      <c r="P799" s="185"/>
      <c r="Q799" s="185"/>
      <c r="R799" s="168"/>
      <c r="S799" s="168"/>
      <c r="U799" s="170"/>
      <c r="V799" s="171"/>
      <c r="W799" s="171"/>
      <c r="X799" s="171"/>
      <c r="Y799" s="185"/>
      <c r="Z799" s="185"/>
    </row>
    <row r="800" spans="4:26" x14ac:dyDescent="0.25">
      <c r="D800" s="175"/>
      <c r="E800" s="175"/>
      <c r="H800" s="201"/>
      <c r="I800" s="201"/>
      <c r="J800" s="217"/>
      <c r="K800" s="217"/>
      <c r="L800" s="185"/>
      <c r="M800" s="185"/>
      <c r="N800" s="185"/>
      <c r="O800" s="185"/>
      <c r="P800" s="185"/>
      <c r="Q800" s="185"/>
      <c r="R800" s="168"/>
      <c r="S800" s="168"/>
      <c r="U800" s="170"/>
      <c r="V800" s="171"/>
      <c r="W800" s="171"/>
      <c r="X800" s="171"/>
      <c r="Y800" s="185"/>
      <c r="Z800" s="185"/>
    </row>
    <row r="801" spans="4:26" x14ac:dyDescent="0.25">
      <c r="D801" s="175"/>
      <c r="E801" s="175"/>
      <c r="H801" s="201"/>
      <c r="I801" s="201"/>
      <c r="J801" s="217"/>
      <c r="K801" s="217"/>
      <c r="L801" s="185"/>
      <c r="M801" s="185"/>
      <c r="N801" s="185"/>
      <c r="O801" s="185"/>
      <c r="P801" s="185"/>
      <c r="Q801" s="185"/>
      <c r="R801" s="168"/>
      <c r="S801" s="168"/>
      <c r="U801" s="170"/>
      <c r="V801" s="171"/>
      <c r="W801" s="171"/>
      <c r="X801" s="171"/>
      <c r="Y801" s="185"/>
      <c r="Z801" s="185"/>
    </row>
    <row r="802" spans="4:26" x14ac:dyDescent="0.25">
      <c r="D802" s="175"/>
      <c r="E802" s="175"/>
      <c r="H802" s="201"/>
      <c r="I802" s="201"/>
      <c r="J802" s="217"/>
      <c r="K802" s="217"/>
      <c r="L802" s="185"/>
      <c r="M802" s="185"/>
      <c r="N802" s="185"/>
      <c r="O802" s="185"/>
      <c r="P802" s="185"/>
      <c r="Q802" s="185"/>
      <c r="R802" s="168"/>
      <c r="S802" s="168"/>
      <c r="U802" s="170"/>
      <c r="V802" s="171"/>
      <c r="W802" s="171"/>
      <c r="X802" s="171"/>
      <c r="Y802" s="185"/>
      <c r="Z802" s="185"/>
    </row>
    <row r="803" spans="4:26" x14ac:dyDescent="0.25">
      <c r="D803" s="175"/>
      <c r="E803" s="175"/>
      <c r="H803" s="201"/>
      <c r="I803" s="201"/>
      <c r="J803" s="217"/>
      <c r="K803" s="217"/>
      <c r="L803" s="185"/>
      <c r="M803" s="185"/>
      <c r="N803" s="185"/>
      <c r="O803" s="185"/>
      <c r="P803" s="185"/>
      <c r="Q803" s="185"/>
      <c r="R803" s="168"/>
      <c r="S803" s="168"/>
      <c r="U803" s="170"/>
      <c r="V803" s="171"/>
      <c r="W803" s="171"/>
      <c r="X803" s="171"/>
      <c r="Y803" s="185"/>
      <c r="Z803" s="185"/>
    </row>
    <row r="804" spans="4:26" x14ac:dyDescent="0.25">
      <c r="D804" s="175"/>
      <c r="E804" s="175"/>
      <c r="H804" s="201"/>
      <c r="I804" s="201"/>
      <c r="J804" s="217"/>
      <c r="K804" s="217"/>
      <c r="L804" s="185"/>
      <c r="M804" s="185"/>
      <c r="N804" s="185"/>
      <c r="O804" s="185"/>
      <c r="P804" s="185"/>
      <c r="Q804" s="185"/>
      <c r="R804" s="168"/>
      <c r="S804" s="168"/>
      <c r="U804" s="170"/>
      <c r="V804" s="171"/>
      <c r="W804" s="171"/>
      <c r="X804" s="171"/>
      <c r="Y804" s="185"/>
      <c r="Z804" s="185"/>
    </row>
    <row r="805" spans="4:26" x14ac:dyDescent="0.25">
      <c r="D805" s="175"/>
      <c r="E805" s="175"/>
      <c r="H805" s="201"/>
      <c r="I805" s="201"/>
      <c r="J805" s="217"/>
      <c r="K805" s="217"/>
      <c r="L805" s="185"/>
      <c r="M805" s="185"/>
      <c r="N805" s="185"/>
      <c r="O805" s="185"/>
      <c r="P805" s="185"/>
      <c r="Q805" s="185"/>
      <c r="R805" s="168"/>
      <c r="S805" s="168"/>
      <c r="U805" s="170"/>
      <c r="V805" s="171"/>
      <c r="W805" s="171"/>
      <c r="X805" s="171"/>
      <c r="Y805" s="185"/>
      <c r="Z805" s="185"/>
    </row>
    <row r="806" spans="4:26" x14ac:dyDescent="0.25">
      <c r="D806" s="175"/>
      <c r="E806" s="175"/>
      <c r="H806" s="201"/>
      <c r="I806" s="201"/>
      <c r="J806" s="217"/>
      <c r="K806" s="217"/>
      <c r="L806" s="185"/>
      <c r="M806" s="185"/>
      <c r="N806" s="185"/>
      <c r="O806" s="185"/>
      <c r="P806" s="185"/>
      <c r="Q806" s="185"/>
      <c r="R806" s="168"/>
      <c r="S806" s="168"/>
      <c r="U806" s="170"/>
      <c r="V806" s="171"/>
      <c r="W806" s="171"/>
      <c r="X806" s="171"/>
      <c r="Y806" s="185"/>
      <c r="Z806" s="185"/>
    </row>
    <row r="807" spans="4:26" x14ac:dyDescent="0.25">
      <c r="D807" s="175"/>
      <c r="E807" s="175"/>
      <c r="H807" s="201"/>
      <c r="I807" s="201"/>
      <c r="J807" s="217"/>
      <c r="K807" s="217"/>
      <c r="L807" s="185"/>
      <c r="M807" s="185"/>
      <c r="N807" s="185"/>
      <c r="O807" s="185"/>
      <c r="P807" s="185"/>
      <c r="Q807" s="185"/>
      <c r="R807" s="168"/>
      <c r="S807" s="168"/>
      <c r="U807" s="170"/>
      <c r="V807" s="171"/>
      <c r="W807" s="171"/>
      <c r="X807" s="171"/>
      <c r="Y807" s="185"/>
      <c r="Z807" s="185"/>
    </row>
    <row r="808" spans="4:26" x14ac:dyDescent="0.25">
      <c r="D808" s="175"/>
      <c r="E808" s="175"/>
      <c r="H808" s="201"/>
      <c r="I808" s="201"/>
      <c r="J808" s="217"/>
      <c r="K808" s="217"/>
      <c r="L808" s="185"/>
      <c r="M808" s="185"/>
      <c r="N808" s="185"/>
      <c r="O808" s="185"/>
      <c r="P808" s="185"/>
      <c r="Q808" s="185"/>
      <c r="R808" s="168"/>
      <c r="S808" s="168"/>
      <c r="U808" s="170"/>
      <c r="V808" s="171"/>
      <c r="W808" s="171"/>
      <c r="X808" s="171"/>
      <c r="Y808" s="185"/>
      <c r="Z808" s="185"/>
    </row>
    <row r="809" spans="4:26" x14ac:dyDescent="0.25">
      <c r="D809" s="175"/>
      <c r="E809" s="175"/>
      <c r="H809" s="201"/>
      <c r="I809" s="201"/>
      <c r="J809" s="217"/>
      <c r="K809" s="217"/>
      <c r="L809" s="185"/>
      <c r="M809" s="185"/>
      <c r="N809" s="185"/>
      <c r="O809" s="185"/>
      <c r="P809" s="185"/>
      <c r="Q809" s="185"/>
      <c r="R809" s="168"/>
      <c r="S809" s="168"/>
      <c r="U809" s="170"/>
      <c r="V809" s="171"/>
      <c r="W809" s="171"/>
      <c r="X809" s="171"/>
      <c r="Y809" s="185"/>
      <c r="Z809" s="185"/>
    </row>
    <row r="810" spans="4:26" x14ac:dyDescent="0.25">
      <c r="D810" s="175"/>
      <c r="E810" s="175"/>
      <c r="H810" s="201"/>
      <c r="I810" s="201"/>
      <c r="J810" s="217"/>
      <c r="K810" s="217"/>
      <c r="L810" s="185"/>
      <c r="M810" s="185"/>
      <c r="N810" s="185"/>
      <c r="O810" s="185"/>
      <c r="P810" s="185"/>
      <c r="Q810" s="185"/>
      <c r="R810" s="168"/>
      <c r="S810" s="168"/>
      <c r="U810" s="170"/>
      <c r="V810" s="171"/>
      <c r="W810" s="171"/>
      <c r="X810" s="171"/>
      <c r="Y810" s="185"/>
      <c r="Z810" s="185"/>
    </row>
    <row r="811" spans="4:26" x14ac:dyDescent="0.25">
      <c r="D811" s="175"/>
      <c r="E811" s="175"/>
      <c r="H811" s="201"/>
      <c r="I811" s="201"/>
      <c r="J811" s="217"/>
      <c r="K811" s="217"/>
      <c r="L811" s="185"/>
      <c r="M811" s="185"/>
      <c r="N811" s="185"/>
      <c r="O811" s="185"/>
      <c r="P811" s="185"/>
      <c r="Q811" s="185"/>
      <c r="R811" s="168"/>
      <c r="S811" s="168"/>
      <c r="U811" s="170"/>
      <c r="V811" s="171"/>
      <c r="W811" s="171"/>
      <c r="X811" s="171"/>
      <c r="Y811" s="185"/>
      <c r="Z811" s="185"/>
    </row>
    <row r="812" spans="4:26" x14ac:dyDescent="0.25">
      <c r="D812" s="175"/>
      <c r="E812" s="175"/>
      <c r="H812" s="201"/>
      <c r="I812" s="201"/>
      <c r="J812" s="217"/>
      <c r="K812" s="217"/>
      <c r="L812" s="185"/>
      <c r="M812" s="185"/>
      <c r="N812" s="185"/>
      <c r="O812" s="185"/>
      <c r="P812" s="185"/>
      <c r="Q812" s="185"/>
      <c r="R812" s="168"/>
      <c r="S812" s="168"/>
      <c r="U812" s="170"/>
      <c r="V812" s="171"/>
      <c r="W812" s="171"/>
      <c r="X812" s="171"/>
      <c r="Y812" s="185"/>
      <c r="Z812" s="185"/>
    </row>
    <row r="813" spans="4:26" x14ac:dyDescent="0.25">
      <c r="D813" s="175"/>
      <c r="E813" s="175"/>
      <c r="H813" s="201"/>
      <c r="I813" s="201"/>
      <c r="J813" s="217"/>
      <c r="K813" s="217"/>
      <c r="L813" s="185"/>
      <c r="M813" s="185"/>
      <c r="N813" s="185"/>
      <c r="O813" s="185"/>
      <c r="P813" s="185"/>
      <c r="Q813" s="185"/>
      <c r="R813" s="168"/>
      <c r="S813" s="168"/>
      <c r="U813" s="170"/>
      <c r="V813" s="171"/>
      <c r="W813" s="171"/>
      <c r="X813" s="171"/>
      <c r="Y813" s="185"/>
      <c r="Z813" s="185"/>
    </row>
    <row r="814" spans="4:26" x14ac:dyDescent="0.25">
      <c r="D814" s="175"/>
      <c r="E814" s="175"/>
      <c r="H814" s="201"/>
      <c r="I814" s="201"/>
      <c r="J814" s="217"/>
      <c r="K814" s="217"/>
      <c r="L814" s="185"/>
      <c r="M814" s="185"/>
      <c r="N814" s="185"/>
      <c r="O814" s="185"/>
      <c r="P814" s="185"/>
      <c r="Q814" s="185"/>
      <c r="R814" s="168"/>
      <c r="S814" s="168"/>
      <c r="U814" s="170"/>
      <c r="V814" s="171"/>
      <c r="W814" s="171"/>
      <c r="X814" s="171"/>
      <c r="Y814" s="185"/>
      <c r="Z814" s="185"/>
    </row>
    <row r="815" spans="4:26" x14ac:dyDescent="0.25">
      <c r="D815" s="175"/>
      <c r="E815" s="175"/>
      <c r="H815" s="201"/>
      <c r="I815" s="201"/>
      <c r="J815" s="217"/>
      <c r="K815" s="217"/>
      <c r="L815" s="185"/>
      <c r="M815" s="185"/>
      <c r="N815" s="185"/>
      <c r="O815" s="185"/>
      <c r="P815" s="185"/>
      <c r="Q815" s="185"/>
      <c r="R815" s="168"/>
      <c r="S815" s="168"/>
      <c r="U815" s="170"/>
      <c r="V815" s="171"/>
      <c r="W815" s="171"/>
      <c r="X815" s="171"/>
      <c r="Y815" s="185"/>
      <c r="Z815" s="185"/>
    </row>
    <row r="816" spans="4:26" x14ac:dyDescent="0.25">
      <c r="D816" s="175"/>
      <c r="E816" s="175"/>
      <c r="H816" s="201"/>
      <c r="I816" s="201"/>
      <c r="J816" s="217"/>
      <c r="K816" s="217"/>
      <c r="L816" s="185"/>
      <c r="M816" s="185"/>
      <c r="N816" s="185"/>
      <c r="O816" s="185"/>
      <c r="P816" s="185"/>
      <c r="Q816" s="185"/>
      <c r="R816" s="168"/>
      <c r="S816" s="168"/>
      <c r="U816" s="170"/>
      <c r="V816" s="171"/>
      <c r="W816" s="171"/>
      <c r="X816" s="171"/>
      <c r="Y816" s="185"/>
      <c r="Z816" s="185"/>
    </row>
    <row r="817" spans="4:26" x14ac:dyDescent="0.25">
      <c r="D817" s="175"/>
      <c r="E817" s="175"/>
      <c r="H817" s="201"/>
      <c r="I817" s="201"/>
      <c r="J817" s="217"/>
      <c r="K817" s="217"/>
      <c r="L817" s="185"/>
      <c r="M817" s="185"/>
      <c r="N817" s="185"/>
      <c r="O817" s="185"/>
      <c r="P817" s="185"/>
      <c r="Q817" s="185"/>
      <c r="R817" s="168"/>
      <c r="S817" s="168"/>
      <c r="U817" s="170"/>
      <c r="V817" s="171"/>
      <c r="W817" s="171"/>
      <c r="X817" s="171"/>
      <c r="Y817" s="185"/>
      <c r="Z817" s="185"/>
    </row>
    <row r="818" spans="4:26" x14ac:dyDescent="0.25">
      <c r="D818" s="175"/>
      <c r="E818" s="175"/>
      <c r="H818" s="201"/>
      <c r="I818" s="201"/>
      <c r="J818" s="217"/>
      <c r="K818" s="217"/>
      <c r="L818" s="185"/>
      <c r="M818" s="185"/>
      <c r="N818" s="185"/>
      <c r="O818" s="185"/>
      <c r="P818" s="185"/>
      <c r="Q818" s="185"/>
      <c r="R818" s="168"/>
      <c r="S818" s="168"/>
      <c r="U818" s="170"/>
      <c r="V818" s="171"/>
      <c r="W818" s="171"/>
      <c r="X818" s="171"/>
      <c r="Y818" s="185"/>
      <c r="Z818" s="185"/>
    </row>
    <row r="819" spans="4:26" x14ac:dyDescent="0.25">
      <c r="D819" s="175"/>
      <c r="E819" s="175"/>
      <c r="H819" s="201"/>
      <c r="I819" s="201"/>
      <c r="J819" s="217"/>
      <c r="K819" s="217"/>
      <c r="L819" s="185"/>
      <c r="M819" s="185"/>
      <c r="N819" s="185"/>
      <c r="O819" s="185"/>
      <c r="P819" s="185"/>
      <c r="Q819" s="185"/>
      <c r="R819" s="168"/>
      <c r="S819" s="168"/>
      <c r="U819" s="170"/>
      <c r="V819" s="171"/>
      <c r="W819" s="171"/>
      <c r="X819" s="171"/>
      <c r="Y819" s="185"/>
      <c r="Z819" s="185"/>
    </row>
    <row r="820" spans="4:26" x14ac:dyDescent="0.25">
      <c r="D820" s="175"/>
      <c r="E820" s="175"/>
      <c r="H820" s="201"/>
      <c r="I820" s="201"/>
      <c r="J820" s="217"/>
      <c r="K820" s="217"/>
      <c r="L820" s="185"/>
      <c r="M820" s="185"/>
      <c r="N820" s="185"/>
      <c r="O820" s="185"/>
      <c r="P820" s="185"/>
      <c r="Q820" s="185"/>
      <c r="R820" s="168"/>
      <c r="S820" s="168"/>
      <c r="U820" s="170"/>
      <c r="V820" s="171"/>
      <c r="W820" s="171"/>
      <c r="X820" s="171"/>
      <c r="Y820" s="185"/>
      <c r="Z820" s="185"/>
    </row>
    <row r="821" spans="4:26" x14ac:dyDescent="0.25">
      <c r="D821" s="175"/>
      <c r="E821" s="175"/>
      <c r="H821" s="201"/>
      <c r="I821" s="201"/>
      <c r="J821" s="217"/>
      <c r="K821" s="217"/>
      <c r="L821" s="185"/>
      <c r="M821" s="185"/>
      <c r="N821" s="185"/>
      <c r="O821" s="185"/>
      <c r="P821" s="185"/>
      <c r="Q821" s="185"/>
      <c r="R821" s="168"/>
      <c r="S821" s="168"/>
      <c r="U821" s="170"/>
      <c r="V821" s="171"/>
      <c r="W821" s="171"/>
      <c r="X821" s="171"/>
      <c r="Y821" s="185"/>
      <c r="Z821" s="185"/>
    </row>
    <row r="822" spans="4:26" x14ac:dyDescent="0.25">
      <c r="D822" s="175"/>
      <c r="E822" s="175"/>
      <c r="H822" s="201"/>
      <c r="I822" s="201"/>
      <c r="J822" s="217"/>
      <c r="K822" s="217"/>
      <c r="L822" s="185"/>
      <c r="M822" s="185"/>
      <c r="N822" s="185"/>
      <c r="O822" s="185"/>
      <c r="P822" s="185"/>
      <c r="Q822" s="185"/>
      <c r="R822" s="168"/>
      <c r="S822" s="168"/>
      <c r="U822" s="170"/>
      <c r="V822" s="171"/>
      <c r="W822" s="171"/>
      <c r="X822" s="171"/>
      <c r="Y822" s="185"/>
      <c r="Z822" s="185"/>
    </row>
    <row r="823" spans="4:26" x14ac:dyDescent="0.25">
      <c r="D823" s="175"/>
      <c r="E823" s="175"/>
      <c r="H823" s="201"/>
      <c r="I823" s="201"/>
      <c r="J823" s="217"/>
      <c r="K823" s="217"/>
      <c r="L823" s="185"/>
      <c r="M823" s="185"/>
      <c r="N823" s="185"/>
      <c r="O823" s="185"/>
      <c r="P823" s="185"/>
      <c r="Q823" s="185"/>
      <c r="R823" s="168"/>
      <c r="S823" s="168"/>
      <c r="U823" s="170"/>
      <c r="V823" s="171"/>
      <c r="W823" s="171"/>
      <c r="X823" s="171"/>
      <c r="Y823" s="185"/>
      <c r="Z823" s="185"/>
    </row>
    <row r="824" spans="4:26" x14ac:dyDescent="0.25">
      <c r="D824" s="175"/>
      <c r="E824" s="175"/>
      <c r="H824" s="201"/>
      <c r="I824" s="201"/>
      <c r="J824" s="217"/>
      <c r="K824" s="217"/>
      <c r="L824" s="185"/>
      <c r="M824" s="185"/>
      <c r="N824" s="185"/>
      <c r="O824" s="185"/>
      <c r="P824" s="185"/>
      <c r="Q824" s="185"/>
      <c r="R824" s="168"/>
      <c r="S824" s="168"/>
      <c r="U824" s="170"/>
      <c r="V824" s="171"/>
      <c r="W824" s="171"/>
      <c r="X824" s="171"/>
      <c r="Y824" s="185"/>
      <c r="Z824" s="185"/>
    </row>
    <row r="825" spans="4:26" x14ac:dyDescent="0.25">
      <c r="D825" s="175"/>
      <c r="E825" s="175"/>
      <c r="H825" s="201"/>
      <c r="I825" s="201"/>
      <c r="J825" s="217"/>
      <c r="K825" s="217"/>
      <c r="L825" s="185"/>
      <c r="M825" s="185"/>
      <c r="N825" s="185"/>
      <c r="O825" s="185"/>
      <c r="P825" s="185"/>
      <c r="Q825" s="185"/>
      <c r="R825" s="168"/>
      <c r="S825" s="168"/>
      <c r="U825" s="170"/>
      <c r="V825" s="171"/>
      <c r="W825" s="171"/>
      <c r="X825" s="171"/>
      <c r="Y825" s="185"/>
      <c r="Z825" s="185"/>
    </row>
    <row r="826" spans="4:26" x14ac:dyDescent="0.25">
      <c r="D826" s="175"/>
      <c r="E826" s="175"/>
      <c r="H826" s="201"/>
      <c r="I826" s="201"/>
      <c r="J826" s="217"/>
      <c r="K826" s="217"/>
      <c r="L826" s="185"/>
      <c r="M826" s="185"/>
      <c r="N826" s="185"/>
      <c r="O826" s="185"/>
      <c r="P826" s="185"/>
      <c r="Q826" s="185"/>
      <c r="R826" s="168"/>
      <c r="S826" s="168"/>
      <c r="U826" s="170"/>
      <c r="V826" s="171"/>
      <c r="W826" s="171"/>
      <c r="X826" s="171"/>
      <c r="Y826" s="185"/>
      <c r="Z826" s="185"/>
    </row>
    <row r="827" spans="4:26" x14ac:dyDescent="0.25">
      <c r="D827" s="175"/>
      <c r="E827" s="175"/>
      <c r="H827" s="201"/>
      <c r="I827" s="201"/>
      <c r="J827" s="217"/>
      <c r="K827" s="217"/>
      <c r="L827" s="185"/>
      <c r="M827" s="185"/>
      <c r="N827" s="185"/>
      <c r="O827" s="185"/>
      <c r="P827" s="185"/>
      <c r="Q827" s="185"/>
      <c r="R827" s="168"/>
      <c r="S827" s="168"/>
      <c r="U827" s="170"/>
      <c r="V827" s="171"/>
      <c r="W827" s="171"/>
      <c r="X827" s="171"/>
      <c r="Y827" s="185"/>
      <c r="Z827" s="185"/>
    </row>
    <row r="828" spans="4:26" x14ac:dyDescent="0.25">
      <c r="D828" s="175"/>
      <c r="E828" s="175"/>
      <c r="H828" s="201"/>
      <c r="I828" s="201"/>
      <c r="J828" s="217"/>
      <c r="K828" s="217"/>
      <c r="L828" s="185"/>
      <c r="M828" s="185"/>
      <c r="N828" s="185"/>
      <c r="O828" s="185"/>
      <c r="P828" s="185"/>
      <c r="Q828" s="185"/>
      <c r="R828" s="168"/>
      <c r="S828" s="168"/>
      <c r="U828" s="170"/>
      <c r="V828" s="171"/>
      <c r="W828" s="171"/>
      <c r="X828" s="171"/>
      <c r="Y828" s="185"/>
      <c r="Z828" s="185"/>
    </row>
    <row r="829" spans="4:26" x14ac:dyDescent="0.25">
      <c r="D829" s="175"/>
      <c r="E829" s="175"/>
      <c r="H829" s="201"/>
      <c r="I829" s="201"/>
      <c r="J829" s="217"/>
      <c r="K829" s="217"/>
      <c r="L829" s="185"/>
      <c r="M829" s="185"/>
      <c r="N829" s="185"/>
      <c r="O829" s="185"/>
      <c r="P829" s="185"/>
      <c r="Q829" s="185"/>
      <c r="R829" s="168"/>
      <c r="S829" s="168"/>
      <c r="U829" s="170"/>
      <c r="V829" s="171"/>
      <c r="W829" s="171"/>
      <c r="X829" s="171"/>
      <c r="Y829" s="185"/>
      <c r="Z829" s="185"/>
    </row>
    <row r="830" spans="4:26" x14ac:dyDescent="0.25">
      <c r="D830" s="175"/>
      <c r="E830" s="175"/>
      <c r="H830" s="201"/>
      <c r="I830" s="201"/>
      <c r="J830" s="217"/>
      <c r="K830" s="217"/>
      <c r="L830" s="185"/>
      <c r="M830" s="185"/>
      <c r="N830" s="185"/>
      <c r="O830" s="185"/>
      <c r="P830" s="185"/>
      <c r="Q830" s="185"/>
      <c r="R830" s="168"/>
      <c r="S830" s="168"/>
      <c r="U830" s="170"/>
      <c r="V830" s="171"/>
      <c r="W830" s="171"/>
      <c r="X830" s="171"/>
      <c r="Y830" s="185"/>
      <c r="Z830" s="185"/>
    </row>
    <row r="831" spans="4:26" x14ac:dyDescent="0.25">
      <c r="D831" s="175"/>
      <c r="E831" s="175"/>
      <c r="H831" s="201"/>
      <c r="I831" s="201"/>
      <c r="J831" s="217"/>
      <c r="K831" s="217"/>
      <c r="L831" s="185"/>
      <c r="M831" s="185"/>
      <c r="N831" s="185"/>
      <c r="O831" s="185"/>
      <c r="P831" s="185"/>
      <c r="Q831" s="185"/>
      <c r="R831" s="168"/>
      <c r="S831" s="168"/>
      <c r="U831" s="170"/>
      <c r="V831" s="171"/>
      <c r="W831" s="171"/>
      <c r="X831" s="171"/>
      <c r="Y831" s="185"/>
      <c r="Z831" s="185"/>
    </row>
    <row r="832" spans="4:26" x14ac:dyDescent="0.25">
      <c r="D832" s="175"/>
      <c r="E832" s="175"/>
      <c r="H832" s="201"/>
      <c r="I832" s="201"/>
      <c r="J832" s="217"/>
      <c r="K832" s="217"/>
      <c r="L832" s="185"/>
      <c r="M832" s="185"/>
      <c r="N832" s="185"/>
      <c r="O832" s="185"/>
      <c r="P832" s="185"/>
      <c r="Q832" s="185"/>
      <c r="R832" s="168"/>
      <c r="S832" s="168"/>
      <c r="U832" s="170"/>
      <c r="V832" s="171"/>
      <c r="W832" s="171"/>
      <c r="X832" s="171"/>
      <c r="Y832" s="185"/>
      <c r="Z832" s="185"/>
    </row>
    <row r="833" spans="4:26" x14ac:dyDescent="0.25">
      <c r="D833" s="175"/>
      <c r="E833" s="175"/>
      <c r="H833" s="201"/>
      <c r="I833" s="201"/>
      <c r="J833" s="217"/>
      <c r="K833" s="217"/>
      <c r="L833" s="185"/>
      <c r="M833" s="185"/>
      <c r="N833" s="185"/>
      <c r="O833" s="185"/>
      <c r="P833" s="185"/>
      <c r="Q833" s="185"/>
      <c r="R833" s="168"/>
      <c r="S833" s="168"/>
      <c r="U833" s="170"/>
      <c r="V833" s="171"/>
      <c r="W833" s="171"/>
      <c r="X833" s="171"/>
      <c r="Y833" s="185"/>
      <c r="Z833" s="185"/>
    </row>
    <row r="834" spans="4:26" x14ac:dyDescent="0.25">
      <c r="D834" s="175"/>
      <c r="E834" s="175"/>
      <c r="H834" s="201"/>
      <c r="I834" s="201"/>
      <c r="J834" s="217"/>
      <c r="K834" s="217"/>
      <c r="L834" s="185"/>
      <c r="M834" s="185"/>
      <c r="N834" s="185"/>
      <c r="O834" s="185"/>
      <c r="P834" s="185"/>
      <c r="Q834" s="185"/>
      <c r="R834" s="168"/>
      <c r="S834" s="168"/>
      <c r="U834" s="170"/>
      <c r="V834" s="171"/>
      <c r="W834" s="171"/>
      <c r="X834" s="171"/>
      <c r="Y834" s="185"/>
      <c r="Z834" s="185"/>
    </row>
    <row r="835" spans="4:26" x14ac:dyDescent="0.25">
      <c r="D835" s="175"/>
      <c r="E835" s="175"/>
      <c r="H835" s="201"/>
      <c r="I835" s="201"/>
      <c r="J835" s="217"/>
      <c r="K835" s="217"/>
      <c r="L835" s="185"/>
      <c r="M835" s="185"/>
      <c r="N835" s="185"/>
      <c r="O835" s="185"/>
      <c r="P835" s="185"/>
      <c r="Q835" s="185"/>
      <c r="R835" s="168"/>
      <c r="S835" s="168"/>
      <c r="U835" s="170"/>
      <c r="V835" s="171"/>
      <c r="W835" s="171"/>
      <c r="X835" s="171"/>
      <c r="Y835" s="185"/>
      <c r="Z835" s="185"/>
    </row>
    <row r="836" spans="4:26" x14ac:dyDescent="0.25">
      <c r="D836" s="175"/>
      <c r="E836" s="175"/>
      <c r="H836" s="201"/>
      <c r="I836" s="201"/>
      <c r="J836" s="217"/>
      <c r="K836" s="217"/>
      <c r="L836" s="185"/>
      <c r="M836" s="185"/>
      <c r="N836" s="185"/>
      <c r="O836" s="185"/>
      <c r="P836" s="185"/>
      <c r="Q836" s="185"/>
      <c r="R836" s="168"/>
      <c r="S836" s="168"/>
      <c r="U836" s="170"/>
      <c r="V836" s="171"/>
      <c r="W836" s="171"/>
      <c r="X836" s="171"/>
      <c r="Y836" s="185"/>
      <c r="Z836" s="185"/>
    </row>
    <row r="837" spans="4:26" x14ac:dyDescent="0.25">
      <c r="D837" s="175"/>
      <c r="E837" s="175"/>
      <c r="H837" s="201"/>
      <c r="I837" s="201"/>
      <c r="J837" s="217"/>
      <c r="K837" s="217"/>
      <c r="L837" s="185"/>
      <c r="M837" s="185"/>
      <c r="N837" s="185"/>
      <c r="O837" s="185"/>
      <c r="P837" s="185"/>
      <c r="Q837" s="185"/>
      <c r="R837" s="168"/>
      <c r="S837" s="168"/>
      <c r="U837" s="170"/>
      <c r="V837" s="171"/>
      <c r="W837" s="171"/>
      <c r="X837" s="171"/>
      <c r="Y837" s="185"/>
      <c r="Z837" s="185"/>
    </row>
    <row r="838" spans="4:26" x14ac:dyDescent="0.25">
      <c r="D838" s="175"/>
      <c r="E838" s="175"/>
      <c r="H838" s="201"/>
      <c r="I838" s="201"/>
      <c r="J838" s="217"/>
      <c r="K838" s="217"/>
      <c r="L838" s="185"/>
      <c r="M838" s="185"/>
      <c r="N838" s="185"/>
      <c r="O838" s="185"/>
      <c r="P838" s="185"/>
      <c r="Q838" s="185"/>
      <c r="R838" s="168"/>
      <c r="S838" s="168"/>
      <c r="U838" s="170"/>
      <c r="V838" s="171"/>
      <c r="W838" s="171"/>
      <c r="X838" s="171"/>
      <c r="Y838" s="185"/>
      <c r="Z838" s="185"/>
    </row>
    <row r="839" spans="4:26" x14ac:dyDescent="0.25">
      <c r="D839" s="175"/>
      <c r="E839" s="175"/>
      <c r="H839" s="201"/>
      <c r="I839" s="201"/>
      <c r="J839" s="217"/>
      <c r="K839" s="217"/>
      <c r="L839" s="185"/>
      <c r="M839" s="185"/>
      <c r="N839" s="185"/>
      <c r="O839" s="185"/>
      <c r="P839" s="185"/>
      <c r="Q839" s="185"/>
      <c r="R839" s="168"/>
      <c r="S839" s="168"/>
      <c r="U839" s="170"/>
      <c r="V839" s="171"/>
      <c r="W839" s="171"/>
      <c r="X839" s="171"/>
      <c r="Y839" s="185"/>
      <c r="Z839" s="185"/>
    </row>
    <row r="840" spans="4:26" x14ac:dyDescent="0.25">
      <c r="D840" s="175"/>
      <c r="E840" s="175"/>
      <c r="H840" s="201"/>
      <c r="I840" s="201"/>
      <c r="J840" s="217"/>
      <c r="K840" s="217"/>
      <c r="L840" s="185"/>
      <c r="M840" s="185"/>
      <c r="N840" s="185"/>
      <c r="O840" s="185"/>
      <c r="P840" s="185"/>
      <c r="Q840" s="185"/>
      <c r="R840" s="168"/>
      <c r="S840" s="168"/>
      <c r="U840" s="170"/>
      <c r="V840" s="171"/>
      <c r="W840" s="171"/>
      <c r="X840" s="171"/>
      <c r="Y840" s="185"/>
      <c r="Z840" s="185"/>
    </row>
    <row r="841" spans="4:26" x14ac:dyDescent="0.25">
      <c r="D841" s="175"/>
      <c r="E841" s="175"/>
      <c r="H841" s="201"/>
      <c r="I841" s="201"/>
      <c r="J841" s="217"/>
      <c r="K841" s="217"/>
      <c r="L841" s="185"/>
      <c r="M841" s="185"/>
      <c r="N841" s="185"/>
      <c r="O841" s="185"/>
      <c r="P841" s="185"/>
      <c r="Q841" s="185"/>
      <c r="R841" s="168"/>
      <c r="S841" s="168"/>
      <c r="U841" s="170"/>
      <c r="V841" s="171"/>
      <c r="W841" s="171"/>
      <c r="X841" s="171"/>
      <c r="Y841" s="185"/>
      <c r="Z841" s="185"/>
    </row>
    <row r="842" spans="4:26" x14ac:dyDescent="0.25">
      <c r="D842" s="175"/>
      <c r="E842" s="175"/>
      <c r="H842" s="201"/>
      <c r="I842" s="201"/>
      <c r="J842" s="217"/>
      <c r="K842" s="217"/>
      <c r="L842" s="185"/>
      <c r="M842" s="185"/>
      <c r="N842" s="185"/>
      <c r="O842" s="185"/>
      <c r="P842" s="185"/>
      <c r="Q842" s="185"/>
      <c r="R842" s="168"/>
      <c r="S842" s="168"/>
      <c r="U842" s="170"/>
      <c r="V842" s="171"/>
      <c r="W842" s="171"/>
      <c r="X842" s="171"/>
      <c r="Y842" s="185"/>
      <c r="Z842" s="185"/>
    </row>
    <row r="843" spans="4:26" x14ac:dyDescent="0.25">
      <c r="D843" s="175"/>
      <c r="E843" s="175"/>
      <c r="H843" s="201"/>
      <c r="I843" s="201"/>
      <c r="J843" s="217"/>
      <c r="K843" s="217"/>
      <c r="L843" s="185"/>
      <c r="M843" s="185"/>
      <c r="N843" s="185"/>
      <c r="O843" s="185"/>
      <c r="P843" s="185"/>
      <c r="Q843" s="185"/>
      <c r="R843" s="168"/>
      <c r="S843" s="168"/>
      <c r="U843" s="170"/>
      <c r="V843" s="171"/>
      <c r="W843" s="171"/>
      <c r="X843" s="171"/>
      <c r="Y843" s="185"/>
      <c r="Z843" s="185"/>
    </row>
    <row r="844" spans="4:26" x14ac:dyDescent="0.25">
      <c r="D844" s="175"/>
      <c r="E844" s="175"/>
      <c r="H844" s="201"/>
      <c r="I844" s="201"/>
      <c r="J844" s="217"/>
      <c r="K844" s="217"/>
      <c r="L844" s="185"/>
      <c r="M844" s="185"/>
      <c r="N844" s="185"/>
      <c r="O844" s="185"/>
      <c r="P844" s="185"/>
      <c r="Q844" s="185"/>
      <c r="R844" s="168"/>
      <c r="S844" s="168"/>
      <c r="U844" s="170"/>
      <c r="V844" s="171"/>
      <c r="W844" s="171"/>
      <c r="X844" s="171"/>
      <c r="Y844" s="185"/>
      <c r="Z844" s="185"/>
    </row>
    <row r="845" spans="4:26" x14ac:dyDescent="0.25">
      <c r="D845" s="175"/>
      <c r="E845" s="175"/>
      <c r="H845" s="201"/>
      <c r="I845" s="201"/>
      <c r="J845" s="217"/>
      <c r="K845" s="217"/>
      <c r="L845" s="185"/>
      <c r="M845" s="185"/>
      <c r="N845" s="185"/>
      <c r="O845" s="185"/>
      <c r="P845" s="185"/>
      <c r="Q845" s="185"/>
      <c r="R845" s="168"/>
      <c r="S845" s="168"/>
      <c r="U845" s="170"/>
      <c r="V845" s="171"/>
      <c r="W845" s="171"/>
      <c r="X845" s="171"/>
      <c r="Y845" s="185"/>
      <c r="Z845" s="185"/>
    </row>
    <row r="846" spans="4:26" x14ac:dyDescent="0.25">
      <c r="D846" s="175"/>
      <c r="E846" s="175"/>
      <c r="H846" s="201"/>
      <c r="I846" s="201"/>
      <c r="J846" s="217"/>
      <c r="K846" s="217"/>
      <c r="L846" s="185"/>
      <c r="M846" s="185"/>
      <c r="N846" s="185"/>
      <c r="O846" s="185"/>
      <c r="P846" s="185"/>
      <c r="Q846" s="185"/>
      <c r="R846" s="168"/>
      <c r="S846" s="168"/>
      <c r="U846" s="170"/>
      <c r="V846" s="171"/>
      <c r="W846" s="171"/>
      <c r="X846" s="171"/>
      <c r="Y846" s="185"/>
      <c r="Z846" s="185"/>
    </row>
    <row r="847" spans="4:26" x14ac:dyDescent="0.25">
      <c r="D847" s="175"/>
      <c r="E847" s="175"/>
      <c r="H847" s="201"/>
      <c r="I847" s="201"/>
      <c r="J847" s="217"/>
      <c r="K847" s="217"/>
      <c r="L847" s="185"/>
      <c r="M847" s="185"/>
      <c r="N847" s="185"/>
      <c r="O847" s="185"/>
      <c r="P847" s="185"/>
      <c r="Q847" s="185"/>
      <c r="R847" s="168"/>
      <c r="S847" s="168"/>
      <c r="U847" s="170"/>
      <c r="V847" s="171"/>
      <c r="W847" s="171"/>
      <c r="X847" s="171"/>
      <c r="Y847" s="185"/>
      <c r="Z847" s="185"/>
    </row>
    <row r="848" spans="4:26" x14ac:dyDescent="0.25">
      <c r="D848" s="175"/>
      <c r="E848" s="175"/>
      <c r="H848" s="201"/>
      <c r="I848" s="201"/>
      <c r="J848" s="217"/>
      <c r="K848" s="217"/>
      <c r="L848" s="185"/>
      <c r="M848" s="185"/>
      <c r="N848" s="185"/>
      <c r="O848" s="185"/>
      <c r="P848" s="185"/>
      <c r="Q848" s="185"/>
      <c r="R848" s="168"/>
      <c r="S848" s="168"/>
      <c r="U848" s="170"/>
      <c r="V848" s="171"/>
      <c r="W848" s="171"/>
      <c r="X848" s="171"/>
      <c r="Y848" s="185"/>
      <c r="Z848" s="185"/>
    </row>
    <row r="849" spans="4:26" x14ac:dyDescent="0.25">
      <c r="D849" s="175"/>
      <c r="E849" s="175"/>
      <c r="H849" s="201"/>
      <c r="I849" s="201"/>
      <c r="J849" s="217"/>
      <c r="K849" s="217"/>
      <c r="L849" s="185"/>
      <c r="M849" s="185"/>
      <c r="N849" s="185"/>
      <c r="O849" s="185"/>
      <c r="P849" s="185"/>
      <c r="Q849" s="185"/>
      <c r="R849" s="168"/>
      <c r="S849" s="168"/>
      <c r="U849" s="170"/>
      <c r="V849" s="171"/>
      <c r="W849" s="171"/>
      <c r="X849" s="171"/>
      <c r="Y849" s="185"/>
      <c r="Z849" s="185"/>
    </row>
    <row r="850" spans="4:26" x14ac:dyDescent="0.25">
      <c r="D850" s="175"/>
      <c r="E850" s="175"/>
      <c r="H850" s="201"/>
      <c r="I850" s="201"/>
      <c r="J850" s="217"/>
      <c r="K850" s="217"/>
      <c r="L850" s="185"/>
      <c r="M850" s="185"/>
      <c r="N850" s="185"/>
      <c r="O850" s="185"/>
      <c r="P850" s="185"/>
      <c r="Q850" s="185"/>
      <c r="R850" s="168"/>
      <c r="S850" s="168"/>
      <c r="U850" s="170"/>
      <c r="V850" s="171"/>
      <c r="W850" s="171"/>
      <c r="X850" s="171"/>
      <c r="Y850" s="185"/>
      <c r="Z850" s="185"/>
    </row>
    <row r="851" spans="4:26" x14ac:dyDescent="0.25">
      <c r="D851" s="175"/>
      <c r="E851" s="175"/>
      <c r="H851" s="201"/>
      <c r="I851" s="201"/>
      <c r="J851" s="217"/>
      <c r="K851" s="217"/>
      <c r="L851" s="185"/>
      <c r="M851" s="185"/>
      <c r="N851" s="185"/>
      <c r="O851" s="185"/>
      <c r="P851" s="185"/>
      <c r="Q851" s="185"/>
      <c r="R851" s="168"/>
      <c r="S851" s="168"/>
      <c r="U851" s="170"/>
      <c r="V851" s="171"/>
      <c r="W851" s="171"/>
      <c r="X851" s="171"/>
      <c r="Y851" s="185"/>
      <c r="Z851" s="185"/>
    </row>
    <row r="852" spans="4:26" x14ac:dyDescent="0.25">
      <c r="D852" s="175"/>
      <c r="E852" s="175"/>
      <c r="H852" s="201"/>
      <c r="I852" s="201"/>
      <c r="J852" s="217"/>
      <c r="K852" s="217"/>
      <c r="L852" s="185"/>
      <c r="M852" s="185"/>
      <c r="N852" s="185"/>
      <c r="O852" s="185"/>
      <c r="P852" s="185"/>
      <c r="Q852" s="185"/>
      <c r="R852" s="168"/>
      <c r="S852" s="168"/>
      <c r="U852" s="170"/>
      <c r="V852" s="171"/>
      <c r="W852" s="171"/>
      <c r="X852" s="171"/>
      <c r="Y852" s="185"/>
      <c r="Z852" s="185"/>
    </row>
    <row r="853" spans="4:26" x14ac:dyDescent="0.25">
      <c r="D853" s="175"/>
      <c r="E853" s="175"/>
      <c r="H853" s="201"/>
      <c r="I853" s="201"/>
      <c r="J853" s="217"/>
      <c r="K853" s="217"/>
      <c r="L853" s="185"/>
      <c r="M853" s="185"/>
      <c r="N853" s="185"/>
      <c r="O853" s="185"/>
      <c r="P853" s="185"/>
      <c r="Q853" s="185"/>
      <c r="R853" s="168"/>
      <c r="S853" s="168"/>
      <c r="U853" s="170"/>
      <c r="V853" s="171"/>
      <c r="W853" s="171"/>
      <c r="X853" s="171"/>
      <c r="Y853" s="185"/>
      <c r="Z853" s="185"/>
    </row>
    <row r="854" spans="4:26" x14ac:dyDescent="0.25">
      <c r="D854" s="175"/>
      <c r="E854" s="175"/>
      <c r="H854" s="201"/>
      <c r="I854" s="201"/>
      <c r="J854" s="217"/>
      <c r="K854" s="217"/>
      <c r="L854" s="185"/>
      <c r="M854" s="185"/>
      <c r="N854" s="185"/>
      <c r="O854" s="185"/>
      <c r="P854" s="185"/>
      <c r="Q854" s="185"/>
      <c r="R854" s="168"/>
      <c r="S854" s="168"/>
      <c r="U854" s="170"/>
      <c r="V854" s="171"/>
      <c r="W854" s="171"/>
      <c r="X854" s="171"/>
      <c r="Y854" s="185"/>
      <c r="Z854" s="185"/>
    </row>
    <row r="855" spans="4:26" x14ac:dyDescent="0.25">
      <c r="D855" s="175"/>
      <c r="E855" s="175"/>
      <c r="H855" s="201"/>
      <c r="I855" s="201"/>
      <c r="J855" s="217"/>
      <c r="K855" s="217"/>
      <c r="L855" s="185"/>
      <c r="M855" s="185"/>
      <c r="N855" s="185"/>
      <c r="O855" s="185"/>
      <c r="P855" s="185"/>
      <c r="Q855" s="185"/>
      <c r="R855" s="168"/>
      <c r="S855" s="168"/>
      <c r="U855" s="170"/>
      <c r="V855" s="171"/>
      <c r="W855" s="171"/>
      <c r="X855" s="171"/>
      <c r="Y855" s="185"/>
      <c r="Z855" s="185"/>
    </row>
    <row r="856" spans="4:26" x14ac:dyDescent="0.25">
      <c r="D856" s="175"/>
      <c r="E856" s="175"/>
      <c r="H856" s="201"/>
      <c r="I856" s="201"/>
      <c r="J856" s="217"/>
      <c r="K856" s="217"/>
      <c r="L856" s="185"/>
      <c r="M856" s="185"/>
      <c r="N856" s="185"/>
      <c r="O856" s="185"/>
      <c r="P856" s="185"/>
      <c r="Q856" s="185"/>
      <c r="R856" s="168"/>
      <c r="S856" s="168"/>
      <c r="U856" s="170"/>
      <c r="V856" s="171"/>
      <c r="W856" s="171"/>
      <c r="X856" s="171"/>
      <c r="Y856" s="185"/>
      <c r="Z856" s="185"/>
    </row>
    <row r="857" spans="4:26" x14ac:dyDescent="0.25">
      <c r="D857" s="175"/>
      <c r="E857" s="175"/>
      <c r="H857" s="201"/>
      <c r="I857" s="201"/>
      <c r="J857" s="217"/>
      <c r="K857" s="217"/>
      <c r="L857" s="185"/>
      <c r="M857" s="185"/>
      <c r="N857" s="185"/>
      <c r="O857" s="185"/>
      <c r="P857" s="185"/>
      <c r="Q857" s="185"/>
      <c r="R857" s="168"/>
      <c r="S857" s="168"/>
      <c r="U857" s="170"/>
      <c r="V857" s="171"/>
      <c r="W857" s="171"/>
      <c r="X857" s="171"/>
      <c r="Y857" s="185"/>
      <c r="Z857" s="185"/>
    </row>
    <row r="858" spans="4:26" x14ac:dyDescent="0.25">
      <c r="D858" s="175"/>
      <c r="E858" s="175"/>
      <c r="H858" s="201"/>
      <c r="I858" s="201"/>
      <c r="J858" s="217"/>
      <c r="K858" s="217"/>
      <c r="L858" s="185"/>
      <c r="M858" s="185"/>
      <c r="N858" s="185"/>
      <c r="O858" s="185"/>
      <c r="P858" s="185"/>
      <c r="Q858" s="185"/>
      <c r="R858" s="168"/>
      <c r="S858" s="168"/>
      <c r="U858" s="170"/>
      <c r="V858" s="171"/>
      <c r="W858" s="171"/>
      <c r="X858" s="171"/>
      <c r="Y858" s="185"/>
      <c r="Z858" s="185"/>
    </row>
    <row r="859" spans="4:26" x14ac:dyDescent="0.25">
      <c r="D859" s="175"/>
      <c r="E859" s="175"/>
      <c r="H859" s="201"/>
      <c r="I859" s="201"/>
      <c r="J859" s="217"/>
      <c r="K859" s="217"/>
      <c r="L859" s="185"/>
      <c r="M859" s="185"/>
      <c r="N859" s="185"/>
      <c r="O859" s="185"/>
      <c r="P859" s="185"/>
      <c r="Q859" s="185"/>
      <c r="R859" s="168"/>
      <c r="S859" s="168"/>
      <c r="U859" s="170"/>
      <c r="V859" s="171"/>
      <c r="W859" s="171"/>
      <c r="X859" s="171"/>
      <c r="Y859" s="185"/>
      <c r="Z859" s="185"/>
    </row>
    <row r="860" spans="4:26" x14ac:dyDescent="0.25">
      <c r="D860" s="175"/>
      <c r="E860" s="175"/>
      <c r="H860" s="201"/>
      <c r="I860" s="201"/>
      <c r="J860" s="217"/>
      <c r="K860" s="217"/>
      <c r="L860" s="185"/>
      <c r="M860" s="185"/>
      <c r="N860" s="185"/>
      <c r="O860" s="185"/>
      <c r="P860" s="185"/>
      <c r="Q860" s="185"/>
      <c r="R860" s="168"/>
      <c r="S860" s="168"/>
      <c r="U860" s="170"/>
      <c r="V860" s="171"/>
      <c r="W860" s="171"/>
      <c r="X860" s="171"/>
      <c r="Y860" s="185"/>
      <c r="Z860" s="185"/>
    </row>
    <row r="861" spans="4:26" x14ac:dyDescent="0.25">
      <c r="D861" s="175"/>
      <c r="E861" s="175"/>
      <c r="H861" s="201"/>
      <c r="I861" s="201"/>
      <c r="J861" s="217"/>
      <c r="K861" s="217"/>
      <c r="L861" s="185"/>
      <c r="M861" s="185"/>
      <c r="N861" s="185"/>
      <c r="O861" s="185"/>
      <c r="P861" s="185"/>
      <c r="Q861" s="185"/>
      <c r="R861" s="168"/>
      <c r="S861" s="168"/>
      <c r="U861" s="170"/>
      <c r="V861" s="171"/>
      <c r="W861" s="171"/>
      <c r="X861" s="171"/>
      <c r="Y861" s="185"/>
      <c r="Z861" s="185"/>
    </row>
    <row r="862" spans="4:26" x14ac:dyDescent="0.25">
      <c r="D862" s="223"/>
      <c r="E862" s="175"/>
      <c r="H862" s="201"/>
      <c r="I862" s="201"/>
      <c r="J862" s="217"/>
      <c r="K862" s="217"/>
      <c r="L862" s="185"/>
      <c r="M862" s="185"/>
      <c r="N862" s="185"/>
      <c r="O862" s="185"/>
      <c r="P862" s="185"/>
      <c r="Q862" s="185"/>
      <c r="R862" s="168"/>
      <c r="S862" s="168"/>
      <c r="U862" s="170"/>
      <c r="V862" s="171"/>
      <c r="W862" s="171"/>
      <c r="X862" s="171"/>
      <c r="Y862" s="185"/>
      <c r="Z862" s="185"/>
    </row>
    <row r="863" spans="4:26" x14ac:dyDescent="0.25">
      <c r="D863" s="223"/>
      <c r="E863" s="175"/>
      <c r="H863" s="201"/>
      <c r="I863" s="201"/>
      <c r="J863" s="217"/>
      <c r="K863" s="217"/>
      <c r="L863" s="185"/>
      <c r="M863" s="185"/>
      <c r="N863" s="185"/>
      <c r="O863" s="185"/>
      <c r="P863" s="185"/>
      <c r="Q863" s="185"/>
      <c r="R863" s="168"/>
      <c r="S863" s="168"/>
      <c r="U863" s="170"/>
      <c r="V863" s="171"/>
      <c r="W863" s="171"/>
      <c r="X863" s="171"/>
      <c r="Y863" s="185"/>
      <c r="Z863" s="185"/>
    </row>
    <row r="864" spans="4:26" x14ac:dyDescent="0.25">
      <c r="D864" s="175"/>
      <c r="E864" s="175"/>
      <c r="H864" s="201"/>
      <c r="I864" s="201"/>
      <c r="J864" s="217"/>
      <c r="K864" s="217"/>
      <c r="L864" s="185"/>
      <c r="M864" s="185"/>
      <c r="N864" s="185"/>
      <c r="O864" s="185"/>
      <c r="P864" s="185"/>
      <c r="Q864" s="185"/>
      <c r="R864" s="168"/>
      <c r="S864" s="168"/>
      <c r="U864" s="170"/>
      <c r="V864" s="171"/>
      <c r="W864" s="171"/>
      <c r="X864" s="171"/>
      <c r="Y864" s="185"/>
      <c r="Z864" s="185"/>
    </row>
    <row r="865" spans="4:26" x14ac:dyDescent="0.25">
      <c r="D865" s="175"/>
      <c r="E865" s="175"/>
      <c r="H865" s="201"/>
      <c r="I865" s="201"/>
      <c r="J865" s="217"/>
      <c r="K865" s="217"/>
      <c r="L865" s="185"/>
      <c r="M865" s="185"/>
      <c r="N865" s="185"/>
      <c r="O865" s="185"/>
      <c r="P865" s="185"/>
      <c r="Q865" s="185"/>
      <c r="R865" s="168"/>
      <c r="S865" s="168"/>
      <c r="U865" s="170"/>
      <c r="V865" s="171"/>
      <c r="W865" s="171"/>
      <c r="X865" s="171"/>
      <c r="Y865" s="185"/>
      <c r="Z865" s="185"/>
    </row>
    <row r="866" spans="4:26" x14ac:dyDescent="0.25">
      <c r="D866" s="175"/>
      <c r="E866" s="175"/>
      <c r="H866" s="201"/>
      <c r="I866" s="201"/>
      <c r="J866" s="217"/>
      <c r="K866" s="217"/>
      <c r="L866" s="185"/>
      <c r="M866" s="185"/>
      <c r="N866" s="185"/>
      <c r="O866" s="185"/>
      <c r="P866" s="185"/>
      <c r="Q866" s="185"/>
      <c r="R866" s="168"/>
      <c r="S866" s="168"/>
      <c r="U866" s="170"/>
      <c r="V866" s="171"/>
      <c r="W866" s="171"/>
      <c r="X866" s="171"/>
      <c r="Y866" s="185"/>
      <c r="Z866" s="185"/>
    </row>
    <row r="867" spans="4:26" x14ac:dyDescent="0.25">
      <c r="D867" s="175"/>
      <c r="E867" s="175"/>
      <c r="H867" s="201"/>
      <c r="I867" s="201"/>
      <c r="J867" s="217"/>
      <c r="K867" s="217"/>
      <c r="L867" s="185"/>
      <c r="M867" s="185"/>
      <c r="N867" s="185"/>
      <c r="O867" s="185"/>
      <c r="P867" s="185"/>
      <c r="Q867" s="185"/>
      <c r="R867" s="168"/>
      <c r="S867" s="168"/>
      <c r="U867" s="170"/>
      <c r="V867" s="171"/>
      <c r="W867" s="171"/>
      <c r="X867" s="171"/>
      <c r="Y867" s="185"/>
      <c r="Z867" s="185"/>
    </row>
    <row r="868" spans="4:26" x14ac:dyDescent="0.25">
      <c r="D868" s="175"/>
      <c r="E868" s="175"/>
      <c r="H868" s="201"/>
      <c r="I868" s="201"/>
      <c r="J868" s="217"/>
      <c r="K868" s="217"/>
      <c r="L868" s="185"/>
      <c r="M868" s="185"/>
      <c r="N868" s="185"/>
      <c r="O868" s="185"/>
      <c r="P868" s="185"/>
      <c r="Q868" s="185"/>
      <c r="R868" s="168"/>
      <c r="S868" s="168"/>
      <c r="U868" s="170"/>
      <c r="V868" s="171"/>
      <c r="W868" s="171"/>
      <c r="X868" s="171"/>
      <c r="Y868" s="185"/>
      <c r="Z868" s="185"/>
    </row>
    <row r="869" spans="4:26" x14ac:dyDescent="0.25">
      <c r="D869" s="175"/>
      <c r="E869" s="175"/>
      <c r="H869" s="201"/>
      <c r="I869" s="201"/>
      <c r="J869" s="217"/>
      <c r="K869" s="217"/>
      <c r="L869" s="185"/>
      <c r="M869" s="185"/>
      <c r="N869" s="185"/>
      <c r="O869" s="185"/>
      <c r="P869" s="185"/>
      <c r="Q869" s="185"/>
      <c r="R869" s="168"/>
      <c r="S869" s="168"/>
      <c r="U869" s="170"/>
      <c r="V869" s="171"/>
      <c r="W869" s="171"/>
      <c r="X869" s="171"/>
      <c r="Y869" s="185"/>
      <c r="Z869" s="185"/>
    </row>
    <row r="870" spans="4:26" x14ac:dyDescent="0.25">
      <c r="D870" s="175"/>
      <c r="E870" s="175"/>
      <c r="H870" s="201"/>
      <c r="I870" s="201"/>
      <c r="J870" s="217"/>
      <c r="K870" s="217"/>
      <c r="L870" s="185"/>
      <c r="M870" s="185"/>
      <c r="N870" s="185"/>
      <c r="O870" s="185"/>
      <c r="P870" s="185"/>
      <c r="Q870" s="185"/>
      <c r="R870" s="168"/>
      <c r="S870" s="168"/>
      <c r="U870" s="170"/>
      <c r="V870" s="171"/>
      <c r="W870" s="171"/>
      <c r="X870" s="171"/>
      <c r="Y870" s="185"/>
      <c r="Z870" s="185"/>
    </row>
    <row r="871" spans="4:26" x14ac:dyDescent="0.25">
      <c r="D871" s="175"/>
      <c r="E871" s="175"/>
      <c r="H871" s="201"/>
      <c r="I871" s="201"/>
      <c r="J871" s="217"/>
      <c r="K871" s="217"/>
      <c r="L871" s="185"/>
      <c r="M871" s="185"/>
      <c r="N871" s="185"/>
      <c r="O871" s="185"/>
      <c r="P871" s="185"/>
      <c r="Q871" s="185"/>
      <c r="R871" s="168"/>
      <c r="S871" s="168"/>
      <c r="U871" s="170"/>
      <c r="V871" s="171"/>
      <c r="W871" s="171"/>
      <c r="X871" s="171"/>
      <c r="Y871" s="185"/>
      <c r="Z871" s="185"/>
    </row>
    <row r="872" spans="4:26" x14ac:dyDescent="0.25">
      <c r="D872" s="175"/>
      <c r="E872" s="175"/>
      <c r="H872" s="201"/>
      <c r="I872" s="201"/>
      <c r="J872" s="217"/>
      <c r="K872" s="217"/>
      <c r="L872" s="185"/>
      <c r="M872" s="185"/>
      <c r="N872" s="185"/>
      <c r="O872" s="185"/>
      <c r="P872" s="185"/>
      <c r="Q872" s="185"/>
      <c r="R872" s="168"/>
      <c r="S872" s="168"/>
      <c r="U872" s="170"/>
      <c r="V872" s="171"/>
      <c r="W872" s="171"/>
      <c r="X872" s="171"/>
      <c r="Y872" s="185"/>
      <c r="Z872" s="185"/>
    </row>
    <row r="873" spans="4:26" x14ac:dyDescent="0.25">
      <c r="D873" s="175"/>
      <c r="E873" s="175"/>
      <c r="H873" s="201"/>
      <c r="I873" s="201"/>
      <c r="J873" s="217"/>
      <c r="K873" s="217"/>
      <c r="L873" s="185"/>
      <c r="M873" s="185"/>
      <c r="N873" s="185"/>
      <c r="O873" s="185"/>
      <c r="P873" s="185"/>
      <c r="Q873" s="185"/>
      <c r="R873" s="168"/>
      <c r="S873" s="168"/>
      <c r="U873" s="170"/>
      <c r="V873" s="171"/>
      <c r="W873" s="171"/>
      <c r="X873" s="171"/>
      <c r="Y873" s="185"/>
      <c r="Z873" s="185"/>
    </row>
    <row r="874" spans="4:26" x14ac:dyDescent="0.25">
      <c r="D874" s="175"/>
      <c r="E874" s="175"/>
      <c r="H874" s="201"/>
      <c r="I874" s="201"/>
      <c r="J874" s="217"/>
      <c r="K874" s="217"/>
      <c r="L874" s="185"/>
      <c r="M874" s="185"/>
      <c r="N874" s="185"/>
      <c r="O874" s="185"/>
      <c r="P874" s="185"/>
      <c r="Q874" s="185"/>
      <c r="R874" s="168"/>
      <c r="S874" s="168"/>
      <c r="U874" s="170"/>
      <c r="V874" s="171"/>
      <c r="W874" s="171"/>
      <c r="X874" s="171"/>
      <c r="Y874" s="185"/>
      <c r="Z874" s="185"/>
    </row>
    <row r="875" spans="4:26" x14ac:dyDescent="0.25">
      <c r="D875" s="175"/>
      <c r="E875" s="175"/>
      <c r="H875" s="201"/>
      <c r="I875" s="201"/>
      <c r="J875" s="217"/>
      <c r="K875" s="217"/>
      <c r="L875" s="185"/>
      <c r="M875" s="185"/>
      <c r="N875" s="185"/>
      <c r="O875" s="185"/>
      <c r="P875" s="185"/>
      <c r="Q875" s="185"/>
      <c r="R875" s="168"/>
      <c r="S875" s="168"/>
      <c r="U875" s="170"/>
      <c r="V875" s="171"/>
      <c r="W875" s="171"/>
      <c r="X875" s="171"/>
      <c r="Y875" s="185"/>
      <c r="Z875" s="185"/>
    </row>
    <row r="876" spans="4:26" x14ac:dyDescent="0.25">
      <c r="D876" s="175"/>
      <c r="E876" s="175"/>
      <c r="H876" s="201"/>
      <c r="I876" s="201"/>
      <c r="J876" s="217"/>
      <c r="K876" s="217"/>
      <c r="L876" s="185"/>
      <c r="M876" s="185"/>
      <c r="N876" s="185"/>
      <c r="O876" s="185"/>
      <c r="P876" s="185"/>
      <c r="Q876" s="185"/>
      <c r="R876" s="168"/>
      <c r="S876" s="168"/>
      <c r="U876" s="170"/>
      <c r="V876" s="171"/>
      <c r="W876" s="171"/>
      <c r="X876" s="171"/>
      <c r="Y876" s="185"/>
      <c r="Z876" s="185"/>
    </row>
    <row r="877" spans="4:26" x14ac:dyDescent="0.25">
      <c r="D877" s="175"/>
      <c r="E877" s="175"/>
      <c r="H877" s="201"/>
      <c r="I877" s="201"/>
      <c r="J877" s="217"/>
      <c r="K877" s="217"/>
      <c r="L877" s="185"/>
      <c r="M877" s="185"/>
      <c r="N877" s="185"/>
      <c r="O877" s="185"/>
      <c r="P877" s="185"/>
      <c r="Q877" s="185"/>
      <c r="R877" s="168"/>
      <c r="S877" s="168"/>
      <c r="U877" s="170"/>
      <c r="V877" s="171"/>
      <c r="W877" s="171"/>
      <c r="X877" s="171"/>
      <c r="Y877" s="185"/>
      <c r="Z877" s="185"/>
    </row>
    <row r="878" spans="4:26" x14ac:dyDescent="0.25">
      <c r="D878" s="175"/>
      <c r="E878" s="175"/>
      <c r="H878" s="201"/>
      <c r="I878" s="201"/>
      <c r="J878" s="217"/>
      <c r="K878" s="217"/>
      <c r="L878" s="185"/>
      <c r="M878" s="185"/>
      <c r="N878" s="185"/>
      <c r="O878" s="185"/>
      <c r="P878" s="185"/>
      <c r="Q878" s="185"/>
      <c r="R878" s="168"/>
      <c r="S878" s="168"/>
      <c r="U878" s="170"/>
      <c r="V878" s="171"/>
      <c r="W878" s="171"/>
      <c r="X878" s="171"/>
      <c r="Y878" s="185"/>
      <c r="Z878" s="185"/>
    </row>
    <row r="879" spans="4:26" x14ac:dyDescent="0.25">
      <c r="D879" s="175"/>
      <c r="E879" s="175"/>
      <c r="H879" s="201"/>
      <c r="I879" s="201"/>
      <c r="J879" s="217"/>
      <c r="K879" s="217"/>
      <c r="L879" s="185"/>
      <c r="M879" s="185"/>
      <c r="N879" s="185"/>
      <c r="O879" s="185"/>
      <c r="P879" s="185"/>
      <c r="Q879" s="185"/>
      <c r="R879" s="168"/>
      <c r="S879" s="168"/>
      <c r="U879" s="170"/>
      <c r="V879" s="171"/>
      <c r="W879" s="171"/>
      <c r="X879" s="171"/>
      <c r="Y879" s="185"/>
      <c r="Z879" s="185"/>
    </row>
    <row r="880" spans="4:26" x14ac:dyDescent="0.25">
      <c r="D880" s="175"/>
      <c r="E880" s="175"/>
      <c r="H880" s="201"/>
      <c r="I880" s="201"/>
      <c r="J880" s="217"/>
      <c r="K880" s="217"/>
      <c r="L880" s="185"/>
      <c r="M880" s="185"/>
      <c r="N880" s="185"/>
      <c r="O880" s="185"/>
      <c r="P880" s="185"/>
      <c r="Q880" s="185"/>
      <c r="R880" s="168"/>
      <c r="S880" s="168"/>
      <c r="U880" s="170"/>
      <c r="V880" s="171"/>
      <c r="W880" s="171"/>
      <c r="X880" s="171"/>
      <c r="Y880" s="185"/>
      <c r="Z880" s="185"/>
    </row>
    <row r="881" spans="4:26" x14ac:dyDescent="0.25">
      <c r="D881" s="175"/>
      <c r="E881" s="175"/>
      <c r="H881" s="201"/>
      <c r="I881" s="201"/>
      <c r="J881" s="217"/>
      <c r="K881" s="217"/>
      <c r="L881" s="185"/>
      <c r="M881" s="185"/>
      <c r="N881" s="185"/>
      <c r="O881" s="185"/>
      <c r="P881" s="185"/>
      <c r="Q881" s="185"/>
      <c r="R881" s="168"/>
      <c r="S881" s="168"/>
      <c r="U881" s="170"/>
      <c r="V881" s="171"/>
      <c r="W881" s="171"/>
      <c r="X881" s="171"/>
      <c r="Y881" s="185"/>
      <c r="Z881" s="185"/>
    </row>
    <row r="882" spans="4:26" x14ac:dyDescent="0.25">
      <c r="D882" s="175"/>
      <c r="E882" s="175"/>
      <c r="H882" s="201"/>
      <c r="I882" s="201"/>
      <c r="J882" s="217"/>
      <c r="K882" s="217"/>
      <c r="L882" s="185"/>
      <c r="M882" s="185"/>
      <c r="N882" s="185"/>
      <c r="O882" s="185"/>
      <c r="P882" s="185"/>
      <c r="Q882" s="185"/>
      <c r="R882" s="168"/>
      <c r="S882" s="168"/>
      <c r="U882" s="170"/>
      <c r="V882" s="171"/>
      <c r="W882" s="171"/>
      <c r="X882" s="171"/>
      <c r="Y882" s="185"/>
      <c r="Z882" s="185"/>
    </row>
    <row r="883" spans="4:26" x14ac:dyDescent="0.25">
      <c r="D883" s="175"/>
      <c r="E883" s="175"/>
      <c r="H883" s="201"/>
      <c r="I883" s="201"/>
      <c r="J883" s="217"/>
      <c r="K883" s="217"/>
      <c r="L883" s="185"/>
      <c r="M883" s="185"/>
      <c r="N883" s="185"/>
      <c r="O883" s="185"/>
      <c r="P883" s="185"/>
      <c r="Q883" s="185"/>
      <c r="R883" s="168"/>
      <c r="S883" s="168"/>
      <c r="U883" s="170"/>
      <c r="V883" s="171"/>
      <c r="W883" s="171"/>
      <c r="X883" s="171"/>
      <c r="Y883" s="185"/>
      <c r="Z883" s="185"/>
    </row>
    <row r="884" spans="4:26" x14ac:dyDescent="0.25">
      <c r="D884" s="175"/>
      <c r="E884" s="175"/>
      <c r="H884" s="201"/>
      <c r="I884" s="201"/>
      <c r="J884" s="217"/>
      <c r="K884" s="217"/>
      <c r="L884" s="185"/>
      <c r="M884" s="185"/>
      <c r="N884" s="185"/>
      <c r="O884" s="185"/>
      <c r="P884" s="185"/>
      <c r="Q884" s="185"/>
      <c r="R884" s="168"/>
      <c r="S884" s="168"/>
      <c r="U884" s="170"/>
      <c r="V884" s="171"/>
      <c r="W884" s="171"/>
      <c r="X884" s="171"/>
      <c r="Y884" s="185"/>
      <c r="Z884" s="185"/>
    </row>
    <row r="885" spans="4:26" x14ac:dyDescent="0.25">
      <c r="D885" s="175"/>
      <c r="E885" s="175"/>
      <c r="H885" s="201"/>
      <c r="I885" s="201"/>
      <c r="J885" s="217"/>
      <c r="K885" s="217"/>
      <c r="L885" s="185"/>
      <c r="M885" s="185"/>
      <c r="N885" s="185"/>
      <c r="O885" s="185"/>
      <c r="P885" s="185"/>
      <c r="Q885" s="185"/>
      <c r="R885" s="168"/>
      <c r="S885" s="168"/>
      <c r="U885" s="170"/>
      <c r="V885" s="171"/>
      <c r="W885" s="171"/>
      <c r="X885" s="171"/>
      <c r="Y885" s="185"/>
      <c r="Z885" s="185"/>
    </row>
    <row r="886" spans="4:26" x14ac:dyDescent="0.25">
      <c r="D886" s="175"/>
      <c r="E886" s="175"/>
      <c r="H886" s="201"/>
      <c r="I886" s="201"/>
      <c r="J886" s="217"/>
      <c r="K886" s="217"/>
      <c r="L886" s="185"/>
      <c r="M886" s="185"/>
      <c r="N886" s="185"/>
      <c r="O886" s="185"/>
      <c r="P886" s="185"/>
      <c r="Q886" s="185"/>
      <c r="R886" s="168"/>
      <c r="S886" s="168"/>
      <c r="U886" s="170"/>
      <c r="V886" s="171"/>
      <c r="W886" s="171"/>
      <c r="X886" s="171"/>
      <c r="Y886" s="185"/>
      <c r="Z886" s="185"/>
    </row>
    <row r="887" spans="4:26" x14ac:dyDescent="0.25">
      <c r="D887" s="175"/>
      <c r="E887" s="175"/>
      <c r="H887" s="201"/>
      <c r="I887" s="201"/>
      <c r="J887" s="217"/>
      <c r="K887" s="217"/>
      <c r="L887" s="185"/>
      <c r="M887" s="185"/>
      <c r="N887" s="185"/>
      <c r="O887" s="185"/>
      <c r="P887" s="185"/>
      <c r="Q887" s="185"/>
      <c r="R887" s="168"/>
      <c r="S887" s="168"/>
      <c r="U887" s="170"/>
      <c r="V887" s="171"/>
      <c r="W887" s="171"/>
      <c r="X887" s="171"/>
      <c r="Y887" s="185"/>
      <c r="Z887" s="185"/>
    </row>
    <row r="888" spans="4:26" x14ac:dyDescent="0.25">
      <c r="D888" s="175"/>
      <c r="E888" s="175"/>
      <c r="H888" s="201"/>
      <c r="I888" s="201"/>
      <c r="J888" s="217"/>
      <c r="K888" s="217"/>
      <c r="L888" s="185"/>
      <c r="M888" s="185"/>
      <c r="N888" s="185"/>
      <c r="O888" s="185"/>
      <c r="P888" s="185"/>
      <c r="Q888" s="185"/>
      <c r="R888" s="168"/>
      <c r="S888" s="168"/>
      <c r="U888" s="170"/>
      <c r="V888" s="171"/>
      <c r="W888" s="171"/>
      <c r="X888" s="171"/>
      <c r="Y888" s="185"/>
      <c r="Z888" s="185"/>
    </row>
    <row r="889" spans="4:26" x14ac:dyDescent="0.25">
      <c r="D889" s="175"/>
      <c r="E889" s="175"/>
      <c r="H889" s="201"/>
      <c r="I889" s="201"/>
      <c r="J889" s="217"/>
      <c r="K889" s="217"/>
      <c r="L889" s="185"/>
      <c r="M889" s="185"/>
      <c r="N889" s="185"/>
      <c r="O889" s="185"/>
      <c r="P889" s="185"/>
      <c r="Q889" s="185"/>
      <c r="R889" s="168"/>
      <c r="S889" s="168"/>
      <c r="U889" s="170"/>
      <c r="V889" s="171"/>
      <c r="W889" s="171"/>
      <c r="X889" s="171"/>
      <c r="Y889" s="185"/>
      <c r="Z889" s="185"/>
    </row>
    <row r="890" spans="4:26" x14ac:dyDescent="0.25">
      <c r="D890" s="175"/>
      <c r="E890" s="175"/>
      <c r="H890" s="201"/>
      <c r="I890" s="201"/>
      <c r="J890" s="217"/>
      <c r="K890" s="217"/>
      <c r="L890" s="185"/>
      <c r="M890" s="185"/>
      <c r="N890" s="185"/>
      <c r="O890" s="185"/>
      <c r="P890" s="185"/>
      <c r="Q890" s="185"/>
      <c r="R890" s="168"/>
      <c r="S890" s="168"/>
      <c r="U890" s="170"/>
      <c r="V890" s="171"/>
      <c r="W890" s="171"/>
      <c r="X890" s="171"/>
      <c r="Y890" s="185"/>
      <c r="Z890" s="185"/>
    </row>
    <row r="891" spans="4:26" x14ac:dyDescent="0.25">
      <c r="D891" s="175"/>
      <c r="E891" s="175"/>
      <c r="H891" s="201"/>
      <c r="I891" s="201"/>
      <c r="J891" s="217"/>
      <c r="K891" s="217"/>
      <c r="L891" s="185"/>
      <c r="M891" s="185"/>
      <c r="N891" s="185"/>
      <c r="O891" s="185"/>
      <c r="P891" s="185"/>
      <c r="Q891" s="185"/>
      <c r="R891" s="168"/>
      <c r="S891" s="168"/>
      <c r="U891" s="170"/>
      <c r="V891" s="171"/>
      <c r="W891" s="171"/>
      <c r="X891" s="171"/>
      <c r="Y891" s="185"/>
      <c r="Z891" s="185"/>
    </row>
    <row r="892" spans="4:26" x14ac:dyDescent="0.25">
      <c r="D892" s="175"/>
      <c r="E892" s="175"/>
      <c r="H892" s="201"/>
      <c r="I892" s="201"/>
      <c r="J892" s="217"/>
      <c r="K892" s="217"/>
      <c r="L892" s="185"/>
      <c r="M892" s="185"/>
      <c r="N892" s="185"/>
      <c r="O892" s="185"/>
      <c r="P892" s="185"/>
      <c r="Q892" s="185"/>
      <c r="R892" s="168"/>
      <c r="S892" s="168"/>
      <c r="U892" s="170"/>
      <c r="V892" s="171"/>
      <c r="W892" s="171"/>
      <c r="X892" s="171"/>
      <c r="Y892" s="185"/>
      <c r="Z892" s="185"/>
    </row>
    <row r="893" spans="4:26" x14ac:dyDescent="0.25">
      <c r="D893" s="175"/>
      <c r="E893" s="175"/>
      <c r="H893" s="201"/>
      <c r="I893" s="201"/>
      <c r="J893" s="217"/>
      <c r="K893" s="217"/>
      <c r="L893" s="185"/>
      <c r="M893" s="185"/>
      <c r="N893" s="185"/>
      <c r="O893" s="185"/>
      <c r="P893" s="185"/>
      <c r="Q893" s="185"/>
      <c r="R893" s="168"/>
      <c r="S893" s="168"/>
      <c r="U893" s="170"/>
      <c r="V893" s="171"/>
      <c r="W893" s="171"/>
      <c r="X893" s="171"/>
      <c r="Y893" s="185"/>
      <c r="Z893" s="185"/>
    </row>
    <row r="894" spans="4:26" x14ac:dyDescent="0.25">
      <c r="D894" s="175"/>
      <c r="E894" s="175"/>
      <c r="H894" s="201"/>
      <c r="I894" s="201"/>
      <c r="J894" s="217"/>
      <c r="K894" s="217"/>
      <c r="L894" s="185"/>
      <c r="M894" s="185"/>
      <c r="N894" s="185"/>
      <c r="O894" s="185"/>
      <c r="P894" s="185"/>
      <c r="Q894" s="185"/>
      <c r="R894" s="168"/>
      <c r="S894" s="168"/>
      <c r="U894" s="170"/>
      <c r="V894" s="171"/>
      <c r="W894" s="171"/>
      <c r="X894" s="171"/>
      <c r="Y894" s="185"/>
      <c r="Z894" s="185"/>
    </row>
    <row r="895" spans="4:26" x14ac:dyDescent="0.25">
      <c r="D895" s="175"/>
      <c r="E895" s="175"/>
      <c r="H895" s="201"/>
      <c r="I895" s="201"/>
      <c r="J895" s="217"/>
      <c r="K895" s="217"/>
      <c r="L895" s="185"/>
      <c r="M895" s="185"/>
      <c r="N895" s="185"/>
      <c r="O895" s="185"/>
      <c r="P895" s="185"/>
      <c r="Q895" s="185"/>
      <c r="R895" s="168"/>
      <c r="S895" s="168"/>
      <c r="U895" s="170"/>
      <c r="V895" s="171"/>
      <c r="W895" s="171"/>
      <c r="X895" s="171"/>
      <c r="Y895" s="185"/>
      <c r="Z895" s="185"/>
    </row>
    <row r="896" spans="4:26" x14ac:dyDescent="0.25">
      <c r="D896" s="175"/>
      <c r="E896" s="175"/>
      <c r="H896" s="201"/>
      <c r="I896" s="201"/>
      <c r="J896" s="217"/>
      <c r="K896" s="217"/>
      <c r="L896" s="185"/>
      <c r="M896" s="185"/>
      <c r="N896" s="185"/>
      <c r="O896" s="185"/>
      <c r="P896" s="185"/>
      <c r="Q896" s="185"/>
      <c r="R896" s="168"/>
      <c r="S896" s="168"/>
      <c r="U896" s="170"/>
      <c r="V896" s="171"/>
      <c r="W896" s="171"/>
      <c r="X896" s="171"/>
      <c r="Y896" s="185"/>
      <c r="Z896" s="185"/>
    </row>
    <row r="897" spans="4:26" x14ac:dyDescent="0.25">
      <c r="D897" s="175"/>
      <c r="E897" s="175"/>
      <c r="H897" s="201"/>
      <c r="I897" s="201"/>
      <c r="J897" s="217"/>
      <c r="K897" s="217"/>
      <c r="L897" s="185"/>
      <c r="M897" s="185"/>
      <c r="N897" s="185"/>
      <c r="O897" s="185"/>
      <c r="P897" s="185"/>
      <c r="Q897" s="185"/>
      <c r="R897" s="168"/>
      <c r="S897" s="168"/>
      <c r="U897" s="170"/>
      <c r="V897" s="171"/>
      <c r="W897" s="171"/>
      <c r="X897" s="171"/>
      <c r="Y897" s="185"/>
      <c r="Z897" s="185"/>
    </row>
    <row r="898" spans="4:26" x14ac:dyDescent="0.25">
      <c r="D898" s="175"/>
      <c r="E898" s="175"/>
      <c r="H898" s="201"/>
      <c r="I898" s="201"/>
      <c r="J898" s="217"/>
      <c r="K898" s="217"/>
      <c r="L898" s="185"/>
      <c r="M898" s="185"/>
      <c r="N898" s="185"/>
      <c r="O898" s="185"/>
      <c r="P898" s="185"/>
      <c r="Q898" s="185"/>
      <c r="R898" s="168"/>
      <c r="S898" s="168"/>
      <c r="U898" s="170"/>
      <c r="V898" s="171"/>
      <c r="W898" s="171"/>
      <c r="X898" s="171"/>
      <c r="Y898" s="185"/>
      <c r="Z898" s="185"/>
    </row>
    <row r="899" spans="4:26" x14ac:dyDescent="0.25">
      <c r="D899" s="175"/>
      <c r="E899" s="175"/>
      <c r="H899" s="201"/>
      <c r="I899" s="201"/>
      <c r="J899" s="217"/>
      <c r="K899" s="217"/>
      <c r="L899" s="185"/>
      <c r="M899" s="185"/>
      <c r="N899" s="185"/>
      <c r="O899" s="185"/>
      <c r="P899" s="185"/>
      <c r="Q899" s="185"/>
      <c r="R899" s="168"/>
      <c r="S899" s="168"/>
      <c r="U899" s="170"/>
      <c r="V899" s="171"/>
      <c r="W899" s="171"/>
      <c r="X899" s="171"/>
      <c r="Y899" s="185"/>
      <c r="Z899" s="185"/>
    </row>
    <row r="900" spans="4:26" x14ac:dyDescent="0.25">
      <c r="D900" s="175"/>
      <c r="E900" s="175"/>
      <c r="H900" s="201"/>
      <c r="I900" s="201"/>
      <c r="J900" s="217"/>
      <c r="K900" s="217"/>
      <c r="L900" s="185"/>
      <c r="M900" s="185"/>
      <c r="N900" s="185"/>
      <c r="O900" s="185"/>
      <c r="P900" s="185"/>
      <c r="Q900" s="185"/>
      <c r="R900" s="168"/>
      <c r="S900" s="168"/>
      <c r="U900" s="170"/>
      <c r="V900" s="171"/>
      <c r="W900" s="171"/>
      <c r="X900" s="171"/>
      <c r="Y900" s="185"/>
      <c r="Z900" s="185"/>
    </row>
    <row r="901" spans="4:26" x14ac:dyDescent="0.25">
      <c r="D901" s="175"/>
      <c r="E901" s="175"/>
      <c r="H901" s="201"/>
      <c r="I901" s="201"/>
      <c r="J901" s="217"/>
      <c r="K901" s="217"/>
      <c r="L901" s="185"/>
      <c r="M901" s="185"/>
      <c r="N901" s="185"/>
      <c r="O901" s="185"/>
      <c r="P901" s="185"/>
      <c r="Q901" s="185"/>
      <c r="R901" s="168"/>
      <c r="S901" s="168"/>
      <c r="U901" s="170"/>
      <c r="V901" s="171"/>
      <c r="W901" s="171"/>
      <c r="X901" s="171"/>
      <c r="Y901" s="185"/>
      <c r="Z901" s="185"/>
    </row>
    <row r="902" spans="4:26" x14ac:dyDescent="0.25">
      <c r="D902" s="175"/>
      <c r="E902" s="175"/>
      <c r="H902" s="201"/>
      <c r="I902" s="201"/>
      <c r="J902" s="217"/>
      <c r="K902" s="217"/>
      <c r="L902" s="185"/>
      <c r="M902" s="185"/>
      <c r="N902" s="185"/>
      <c r="O902" s="185"/>
      <c r="P902" s="185"/>
      <c r="Q902" s="185"/>
      <c r="R902" s="168"/>
      <c r="S902" s="168"/>
      <c r="U902" s="170"/>
      <c r="V902" s="171"/>
      <c r="W902" s="171"/>
      <c r="X902" s="171"/>
      <c r="Y902" s="185"/>
      <c r="Z902" s="185"/>
    </row>
    <row r="903" spans="4:26" x14ac:dyDescent="0.25">
      <c r="D903" s="175"/>
      <c r="E903" s="175"/>
      <c r="H903" s="201"/>
      <c r="I903" s="201"/>
      <c r="J903" s="217"/>
      <c r="K903" s="217"/>
      <c r="L903" s="185"/>
      <c r="M903" s="185"/>
      <c r="N903" s="185"/>
      <c r="O903" s="185"/>
      <c r="P903" s="185"/>
      <c r="Q903" s="185"/>
      <c r="R903" s="168"/>
      <c r="S903" s="168"/>
      <c r="U903" s="170"/>
      <c r="V903" s="171"/>
      <c r="W903" s="171"/>
      <c r="X903" s="171"/>
      <c r="Y903" s="185"/>
      <c r="Z903" s="185"/>
    </row>
    <row r="904" spans="4:26" x14ac:dyDescent="0.25">
      <c r="D904" s="175"/>
      <c r="E904" s="175"/>
      <c r="H904" s="201"/>
      <c r="I904" s="201"/>
      <c r="J904" s="217"/>
      <c r="K904" s="217"/>
      <c r="L904" s="185"/>
      <c r="M904" s="185"/>
      <c r="N904" s="185"/>
      <c r="O904" s="185"/>
      <c r="P904" s="185"/>
      <c r="Q904" s="185"/>
      <c r="R904" s="168"/>
      <c r="S904" s="168"/>
      <c r="U904" s="170"/>
      <c r="V904" s="171"/>
      <c r="W904" s="171"/>
      <c r="X904" s="171"/>
      <c r="Y904" s="185"/>
      <c r="Z904" s="185"/>
    </row>
    <row r="905" spans="4:26" x14ac:dyDescent="0.25">
      <c r="D905" s="175"/>
      <c r="E905" s="175"/>
      <c r="H905" s="201"/>
      <c r="I905" s="201"/>
      <c r="J905" s="217"/>
      <c r="K905" s="217"/>
      <c r="L905" s="185"/>
      <c r="M905" s="185"/>
      <c r="N905" s="185"/>
      <c r="O905" s="185"/>
      <c r="P905" s="185"/>
      <c r="Q905" s="185"/>
      <c r="R905" s="168"/>
      <c r="S905" s="168"/>
      <c r="U905" s="170"/>
      <c r="V905" s="171"/>
      <c r="W905" s="171"/>
      <c r="X905" s="171"/>
      <c r="Y905" s="185"/>
      <c r="Z905" s="185"/>
    </row>
    <row r="906" spans="4:26" x14ac:dyDescent="0.25">
      <c r="D906" s="175"/>
      <c r="E906" s="175"/>
      <c r="H906" s="201"/>
      <c r="I906" s="201"/>
      <c r="J906" s="217"/>
      <c r="K906" s="217"/>
      <c r="L906" s="185"/>
      <c r="M906" s="185"/>
      <c r="N906" s="185"/>
      <c r="O906" s="185"/>
      <c r="P906" s="185"/>
      <c r="Q906" s="185"/>
      <c r="R906" s="168"/>
      <c r="S906" s="168"/>
      <c r="U906" s="170"/>
      <c r="V906" s="171"/>
      <c r="W906" s="171"/>
      <c r="X906" s="171"/>
      <c r="Y906" s="185"/>
      <c r="Z906" s="185"/>
    </row>
    <row r="907" spans="4:26" x14ac:dyDescent="0.25">
      <c r="D907" s="175"/>
      <c r="E907" s="175"/>
      <c r="H907" s="201"/>
      <c r="I907" s="201"/>
      <c r="J907" s="217"/>
      <c r="K907" s="217"/>
      <c r="L907" s="185"/>
      <c r="M907" s="185"/>
      <c r="N907" s="185"/>
      <c r="O907" s="185"/>
      <c r="P907" s="185"/>
      <c r="Q907" s="185"/>
      <c r="R907" s="168"/>
      <c r="S907" s="168"/>
      <c r="U907" s="170"/>
      <c r="V907" s="171"/>
      <c r="W907" s="171"/>
      <c r="X907" s="171"/>
      <c r="Y907" s="185"/>
      <c r="Z907" s="185"/>
    </row>
    <row r="908" spans="4:26" x14ac:dyDescent="0.25">
      <c r="D908" s="175"/>
      <c r="E908" s="175"/>
      <c r="H908" s="201"/>
      <c r="I908" s="201"/>
      <c r="J908" s="217"/>
      <c r="K908" s="217"/>
      <c r="L908" s="185"/>
      <c r="M908" s="185"/>
      <c r="N908" s="185"/>
      <c r="O908" s="185"/>
      <c r="P908" s="185"/>
      <c r="Q908" s="185"/>
      <c r="R908" s="168"/>
      <c r="S908" s="168"/>
      <c r="U908" s="170"/>
      <c r="V908" s="171"/>
      <c r="W908" s="171"/>
      <c r="X908" s="171"/>
      <c r="Y908" s="185"/>
      <c r="Z908" s="185"/>
    </row>
    <row r="909" spans="4:26" x14ac:dyDescent="0.25">
      <c r="D909" s="175"/>
      <c r="E909" s="175"/>
      <c r="H909" s="201"/>
      <c r="I909" s="201"/>
      <c r="J909" s="217"/>
      <c r="K909" s="217"/>
      <c r="L909" s="185"/>
      <c r="M909" s="185"/>
      <c r="N909" s="185"/>
      <c r="O909" s="185"/>
      <c r="P909" s="185"/>
      <c r="Q909" s="185"/>
      <c r="R909" s="168"/>
      <c r="S909" s="168"/>
      <c r="U909" s="170"/>
      <c r="V909" s="171"/>
      <c r="W909" s="171"/>
      <c r="X909" s="171"/>
      <c r="Y909" s="185"/>
      <c r="Z909" s="185"/>
    </row>
    <row r="910" spans="4:26" x14ac:dyDescent="0.25">
      <c r="D910" s="175"/>
      <c r="E910" s="175"/>
      <c r="H910" s="201"/>
      <c r="I910" s="201"/>
      <c r="J910" s="217"/>
      <c r="K910" s="217"/>
      <c r="L910" s="185"/>
      <c r="M910" s="185"/>
      <c r="N910" s="185"/>
      <c r="O910" s="185"/>
      <c r="P910" s="185"/>
      <c r="Q910" s="185"/>
      <c r="R910" s="168"/>
      <c r="S910" s="168"/>
      <c r="U910" s="170"/>
      <c r="V910" s="171"/>
      <c r="W910" s="171"/>
      <c r="X910" s="171"/>
      <c r="Y910" s="185"/>
      <c r="Z910" s="185"/>
    </row>
    <row r="911" spans="4:26" x14ac:dyDescent="0.25">
      <c r="D911" s="175"/>
      <c r="E911" s="175"/>
      <c r="H911" s="201"/>
      <c r="I911" s="201"/>
      <c r="J911" s="217"/>
      <c r="K911" s="217"/>
      <c r="L911" s="185"/>
      <c r="M911" s="185"/>
      <c r="N911" s="185"/>
      <c r="O911" s="185"/>
      <c r="P911" s="185"/>
      <c r="Q911" s="185"/>
      <c r="R911" s="168"/>
      <c r="S911" s="168"/>
      <c r="U911" s="170"/>
      <c r="V911" s="171"/>
      <c r="W911" s="171"/>
      <c r="X911" s="171"/>
      <c r="Y911" s="185"/>
      <c r="Z911" s="185"/>
    </row>
    <row r="912" spans="4:26" x14ac:dyDescent="0.25">
      <c r="D912" s="175"/>
      <c r="E912" s="175"/>
      <c r="H912" s="201"/>
      <c r="I912" s="201"/>
      <c r="J912" s="217"/>
      <c r="K912" s="217"/>
      <c r="L912" s="185"/>
      <c r="M912" s="185"/>
      <c r="N912" s="185"/>
      <c r="O912" s="185"/>
      <c r="P912" s="185"/>
      <c r="Q912" s="185"/>
      <c r="R912" s="168"/>
      <c r="S912" s="168"/>
      <c r="U912" s="170"/>
      <c r="V912" s="171"/>
      <c r="W912" s="171"/>
      <c r="X912" s="171"/>
      <c r="Y912" s="185"/>
      <c r="Z912" s="185"/>
    </row>
    <row r="913" spans="4:26" x14ac:dyDescent="0.25">
      <c r="D913" s="175"/>
      <c r="E913" s="175"/>
      <c r="H913" s="201"/>
      <c r="I913" s="201"/>
      <c r="J913" s="217"/>
      <c r="K913" s="217"/>
      <c r="L913" s="185"/>
      <c r="M913" s="185"/>
      <c r="N913" s="185"/>
      <c r="O913" s="185"/>
      <c r="P913" s="185"/>
      <c r="Q913" s="185"/>
      <c r="R913" s="168"/>
      <c r="S913" s="168"/>
      <c r="U913" s="170"/>
      <c r="V913" s="171"/>
      <c r="W913" s="171"/>
      <c r="X913" s="171"/>
      <c r="Y913" s="185"/>
      <c r="Z913" s="185"/>
    </row>
    <row r="914" spans="4:26" x14ac:dyDescent="0.25">
      <c r="D914" s="175"/>
      <c r="E914" s="175"/>
      <c r="H914" s="201"/>
      <c r="I914" s="201"/>
      <c r="J914" s="217"/>
      <c r="K914" s="217"/>
      <c r="L914" s="185"/>
      <c r="M914" s="185"/>
      <c r="N914" s="185"/>
      <c r="O914" s="185"/>
      <c r="P914" s="185"/>
      <c r="Q914" s="185"/>
      <c r="R914" s="168"/>
      <c r="S914" s="168"/>
      <c r="U914" s="170"/>
      <c r="V914" s="171"/>
      <c r="W914" s="171"/>
      <c r="X914" s="171"/>
      <c r="Y914" s="185"/>
      <c r="Z914" s="185"/>
    </row>
    <row r="915" spans="4:26" x14ac:dyDescent="0.25">
      <c r="D915" s="175"/>
      <c r="E915" s="175"/>
      <c r="H915" s="201"/>
      <c r="I915" s="201"/>
      <c r="J915" s="217"/>
      <c r="K915" s="217"/>
      <c r="L915" s="185"/>
      <c r="M915" s="185"/>
      <c r="N915" s="185"/>
      <c r="O915" s="185"/>
      <c r="P915" s="185"/>
      <c r="Q915" s="185"/>
      <c r="R915" s="168"/>
      <c r="S915" s="168"/>
      <c r="U915" s="170"/>
      <c r="V915" s="171"/>
      <c r="W915" s="171"/>
      <c r="X915" s="171"/>
      <c r="Y915" s="185"/>
      <c r="Z915" s="185"/>
    </row>
    <row r="916" spans="4:26" x14ac:dyDescent="0.25">
      <c r="D916" s="175"/>
      <c r="E916" s="175"/>
      <c r="H916" s="201"/>
      <c r="I916" s="201"/>
      <c r="J916" s="217"/>
      <c r="K916" s="217"/>
      <c r="L916" s="185"/>
      <c r="M916" s="185"/>
      <c r="N916" s="185"/>
      <c r="O916" s="185"/>
      <c r="P916" s="185"/>
      <c r="Q916" s="185"/>
      <c r="R916" s="168"/>
      <c r="S916" s="168"/>
      <c r="U916" s="170"/>
      <c r="V916" s="171"/>
      <c r="W916" s="171"/>
      <c r="X916" s="171"/>
      <c r="Y916" s="185"/>
      <c r="Z916" s="185"/>
    </row>
    <row r="917" spans="4:26" x14ac:dyDescent="0.25">
      <c r="D917" s="175"/>
      <c r="E917" s="175"/>
      <c r="H917" s="201"/>
      <c r="I917" s="201"/>
      <c r="J917" s="217"/>
      <c r="K917" s="217"/>
      <c r="L917" s="185"/>
      <c r="M917" s="185"/>
      <c r="N917" s="185"/>
      <c r="O917" s="185"/>
      <c r="P917" s="185"/>
      <c r="Q917" s="185"/>
      <c r="R917" s="168"/>
      <c r="S917" s="168"/>
      <c r="U917" s="170"/>
      <c r="V917" s="171"/>
      <c r="W917" s="171"/>
      <c r="X917" s="171"/>
      <c r="Y917" s="185"/>
      <c r="Z917" s="185"/>
    </row>
    <row r="918" spans="4:26" x14ac:dyDescent="0.25">
      <c r="D918" s="175"/>
      <c r="E918" s="175"/>
      <c r="H918" s="201"/>
      <c r="I918" s="201"/>
      <c r="J918" s="217"/>
      <c r="K918" s="217"/>
      <c r="L918" s="185"/>
      <c r="M918" s="185"/>
      <c r="N918" s="185"/>
      <c r="O918" s="185"/>
      <c r="P918" s="185"/>
      <c r="Q918" s="185"/>
      <c r="R918" s="168"/>
      <c r="S918" s="168"/>
      <c r="U918" s="170"/>
      <c r="V918" s="171"/>
      <c r="W918" s="171"/>
      <c r="X918" s="171"/>
      <c r="Y918" s="185"/>
      <c r="Z918" s="185"/>
    </row>
    <row r="919" spans="4:26" x14ac:dyDescent="0.25">
      <c r="D919" s="175"/>
      <c r="E919" s="175"/>
      <c r="H919" s="201"/>
      <c r="I919" s="201"/>
      <c r="J919" s="217"/>
      <c r="K919" s="217"/>
      <c r="L919" s="185"/>
      <c r="M919" s="185"/>
      <c r="N919" s="185"/>
      <c r="O919" s="185"/>
      <c r="P919" s="185"/>
      <c r="Q919" s="185"/>
      <c r="R919" s="168"/>
      <c r="S919" s="168"/>
      <c r="U919" s="170"/>
      <c r="V919" s="171"/>
      <c r="W919" s="171"/>
      <c r="X919" s="171"/>
      <c r="Y919" s="185"/>
      <c r="Z919" s="185"/>
    </row>
    <row r="920" spans="4:26" x14ac:dyDescent="0.25">
      <c r="D920" s="175"/>
      <c r="E920" s="175"/>
      <c r="H920" s="201"/>
      <c r="I920" s="201"/>
      <c r="J920" s="217"/>
      <c r="K920" s="217"/>
      <c r="L920" s="185"/>
      <c r="M920" s="185"/>
      <c r="N920" s="185"/>
      <c r="O920" s="185"/>
      <c r="P920" s="185"/>
      <c r="Q920" s="185"/>
      <c r="R920" s="168"/>
      <c r="S920" s="168"/>
      <c r="U920" s="170"/>
      <c r="V920" s="171"/>
      <c r="W920" s="171"/>
      <c r="X920" s="171"/>
      <c r="Y920" s="185"/>
      <c r="Z920" s="185"/>
    </row>
    <row r="921" spans="4:26" x14ac:dyDescent="0.25">
      <c r="D921" s="175"/>
      <c r="E921" s="175"/>
      <c r="H921" s="201"/>
      <c r="I921" s="201"/>
      <c r="J921" s="217"/>
      <c r="K921" s="217"/>
      <c r="L921" s="185"/>
      <c r="M921" s="185"/>
      <c r="N921" s="185"/>
      <c r="O921" s="185"/>
      <c r="P921" s="185"/>
      <c r="Q921" s="185"/>
      <c r="R921" s="168"/>
      <c r="S921" s="168"/>
      <c r="U921" s="170"/>
      <c r="V921" s="171"/>
      <c r="W921" s="171"/>
      <c r="X921" s="171"/>
      <c r="Y921" s="185"/>
      <c r="Z921" s="185"/>
    </row>
    <row r="922" spans="4:26" x14ac:dyDescent="0.25">
      <c r="D922" s="175"/>
      <c r="E922" s="175"/>
      <c r="H922" s="201"/>
      <c r="I922" s="201"/>
      <c r="J922" s="217"/>
      <c r="K922" s="217"/>
      <c r="L922" s="185"/>
      <c r="M922" s="185"/>
      <c r="N922" s="185"/>
      <c r="O922" s="185"/>
      <c r="P922" s="185"/>
      <c r="Q922" s="185"/>
      <c r="R922" s="168"/>
      <c r="S922" s="168"/>
      <c r="U922" s="170"/>
      <c r="V922" s="171"/>
      <c r="W922" s="171"/>
      <c r="X922" s="171"/>
      <c r="Y922" s="185"/>
      <c r="Z922" s="185"/>
    </row>
    <row r="923" spans="4:26" x14ac:dyDescent="0.25">
      <c r="D923" s="175"/>
      <c r="E923" s="175"/>
      <c r="H923" s="201"/>
      <c r="I923" s="201"/>
      <c r="J923" s="217"/>
      <c r="K923" s="217"/>
      <c r="L923" s="185"/>
      <c r="M923" s="185"/>
      <c r="N923" s="185"/>
      <c r="O923" s="185"/>
      <c r="P923" s="185"/>
      <c r="Q923" s="185"/>
      <c r="R923" s="168"/>
      <c r="S923" s="168"/>
      <c r="U923" s="170"/>
      <c r="V923" s="171"/>
      <c r="W923" s="171"/>
      <c r="X923" s="171"/>
      <c r="Y923" s="185"/>
      <c r="Z923" s="185"/>
    </row>
    <row r="924" spans="4:26" x14ac:dyDescent="0.25">
      <c r="D924" s="175"/>
      <c r="E924" s="175"/>
      <c r="H924" s="201"/>
      <c r="I924" s="201"/>
      <c r="J924" s="217"/>
      <c r="K924" s="217"/>
      <c r="L924" s="185"/>
      <c r="M924" s="185"/>
      <c r="N924" s="185"/>
      <c r="O924" s="185"/>
      <c r="P924" s="185"/>
      <c r="Q924" s="185"/>
      <c r="R924" s="168"/>
      <c r="S924" s="168"/>
      <c r="U924" s="170"/>
      <c r="V924" s="171"/>
      <c r="W924" s="171"/>
      <c r="X924" s="171"/>
      <c r="Y924" s="185"/>
      <c r="Z924" s="185"/>
    </row>
    <row r="925" spans="4:26" x14ac:dyDescent="0.25">
      <c r="D925" s="175"/>
      <c r="E925" s="175"/>
      <c r="H925" s="201"/>
      <c r="I925" s="201"/>
      <c r="J925" s="217"/>
      <c r="K925" s="217"/>
      <c r="L925" s="185"/>
      <c r="M925" s="185"/>
      <c r="N925" s="185"/>
      <c r="O925" s="185"/>
      <c r="P925" s="185"/>
      <c r="Q925" s="185"/>
      <c r="R925" s="168"/>
      <c r="S925" s="168"/>
      <c r="U925" s="170"/>
      <c r="V925" s="171"/>
      <c r="W925" s="171"/>
      <c r="X925" s="171"/>
      <c r="Y925" s="185"/>
      <c r="Z925" s="185"/>
    </row>
    <row r="926" spans="4:26" x14ac:dyDescent="0.25">
      <c r="D926" s="175"/>
      <c r="E926" s="175"/>
      <c r="H926" s="201"/>
      <c r="I926" s="201"/>
      <c r="J926" s="217"/>
      <c r="K926" s="217"/>
      <c r="L926" s="185"/>
      <c r="M926" s="185"/>
      <c r="N926" s="185"/>
      <c r="O926" s="185"/>
      <c r="P926" s="185"/>
      <c r="Q926" s="185"/>
      <c r="R926" s="168"/>
      <c r="S926" s="168"/>
      <c r="U926" s="170"/>
      <c r="V926" s="171"/>
      <c r="W926" s="171"/>
      <c r="X926" s="171"/>
      <c r="Y926" s="185"/>
      <c r="Z926" s="185"/>
    </row>
    <row r="927" spans="4:26" x14ac:dyDescent="0.25">
      <c r="D927" s="175"/>
      <c r="E927" s="175"/>
      <c r="H927" s="201"/>
      <c r="I927" s="201"/>
      <c r="J927" s="217"/>
      <c r="K927" s="217"/>
      <c r="L927" s="185"/>
      <c r="M927" s="185"/>
      <c r="N927" s="185"/>
      <c r="O927" s="185"/>
      <c r="P927" s="185"/>
      <c r="Q927" s="185"/>
      <c r="R927" s="168"/>
      <c r="S927" s="168"/>
      <c r="U927" s="170"/>
      <c r="V927" s="171"/>
      <c r="W927" s="171"/>
      <c r="X927" s="171"/>
      <c r="Y927" s="185"/>
      <c r="Z927" s="185"/>
    </row>
    <row r="928" spans="4:26" x14ac:dyDescent="0.25">
      <c r="D928" s="175"/>
      <c r="E928" s="175"/>
      <c r="H928" s="201"/>
      <c r="I928" s="201"/>
      <c r="J928" s="217"/>
      <c r="K928" s="217"/>
      <c r="L928" s="185"/>
      <c r="M928" s="185"/>
      <c r="N928" s="185"/>
      <c r="O928" s="185"/>
      <c r="P928" s="185"/>
      <c r="Q928" s="185"/>
      <c r="R928" s="168"/>
      <c r="S928" s="168"/>
      <c r="U928" s="170"/>
      <c r="V928" s="171"/>
      <c r="W928" s="171"/>
      <c r="X928" s="171"/>
      <c r="Y928" s="185"/>
      <c r="Z928" s="185"/>
    </row>
    <row r="929" spans="4:26" x14ac:dyDescent="0.25">
      <c r="D929" s="175"/>
      <c r="E929" s="175"/>
      <c r="H929" s="201"/>
      <c r="I929" s="201"/>
      <c r="J929" s="217"/>
      <c r="K929" s="217"/>
      <c r="L929" s="185"/>
      <c r="M929" s="185"/>
      <c r="N929" s="185"/>
      <c r="O929" s="185"/>
      <c r="P929" s="185"/>
      <c r="Q929" s="185"/>
      <c r="R929" s="168"/>
      <c r="S929" s="168"/>
      <c r="U929" s="170"/>
      <c r="V929" s="171"/>
      <c r="W929" s="171"/>
      <c r="X929" s="171"/>
      <c r="Y929" s="185"/>
      <c r="Z929" s="185"/>
    </row>
    <row r="930" spans="4:26" x14ac:dyDescent="0.25">
      <c r="D930" s="175"/>
      <c r="E930" s="175"/>
      <c r="H930" s="201"/>
      <c r="I930" s="201"/>
      <c r="J930" s="217"/>
      <c r="K930" s="217"/>
      <c r="L930" s="185"/>
      <c r="M930" s="185"/>
      <c r="N930" s="185"/>
      <c r="O930" s="185"/>
      <c r="P930" s="185"/>
      <c r="Q930" s="185"/>
      <c r="R930" s="168"/>
      <c r="S930" s="168"/>
      <c r="U930" s="170"/>
      <c r="V930" s="171"/>
      <c r="W930" s="171"/>
      <c r="X930" s="171"/>
      <c r="Y930" s="185"/>
      <c r="Z930" s="185"/>
    </row>
    <row r="931" spans="4:26" x14ac:dyDescent="0.25">
      <c r="D931" s="175"/>
      <c r="E931" s="175"/>
      <c r="H931" s="201"/>
      <c r="I931" s="201"/>
      <c r="J931" s="217"/>
      <c r="K931" s="217"/>
      <c r="L931" s="185"/>
      <c r="M931" s="185"/>
      <c r="N931" s="185"/>
      <c r="O931" s="185"/>
      <c r="P931" s="185"/>
      <c r="Q931" s="185"/>
      <c r="R931" s="168"/>
      <c r="S931" s="168"/>
      <c r="U931" s="170"/>
      <c r="V931" s="171"/>
      <c r="W931" s="171"/>
      <c r="X931" s="171"/>
      <c r="Y931" s="185"/>
      <c r="Z931" s="185"/>
    </row>
    <row r="932" spans="4:26" x14ac:dyDescent="0.25">
      <c r="D932" s="175"/>
      <c r="E932" s="175"/>
      <c r="H932" s="201"/>
      <c r="I932" s="201"/>
      <c r="J932" s="217"/>
      <c r="K932" s="217"/>
      <c r="L932" s="185"/>
      <c r="M932" s="185"/>
      <c r="N932" s="185"/>
      <c r="O932" s="185"/>
      <c r="P932" s="185"/>
      <c r="Q932" s="185"/>
      <c r="R932" s="168"/>
      <c r="S932" s="168"/>
      <c r="U932" s="170"/>
      <c r="V932" s="171"/>
      <c r="W932" s="171"/>
      <c r="X932" s="171"/>
      <c r="Y932" s="185"/>
      <c r="Z932" s="185"/>
    </row>
    <row r="933" spans="4:26" x14ac:dyDescent="0.25">
      <c r="D933" s="175"/>
      <c r="E933" s="175"/>
      <c r="H933" s="201"/>
      <c r="I933" s="201"/>
      <c r="J933" s="217"/>
      <c r="K933" s="217"/>
      <c r="L933" s="185"/>
      <c r="M933" s="185"/>
      <c r="N933" s="185"/>
      <c r="O933" s="185"/>
      <c r="P933" s="185"/>
      <c r="Q933" s="185"/>
      <c r="R933" s="168"/>
      <c r="S933" s="168"/>
      <c r="U933" s="170"/>
      <c r="V933" s="171"/>
      <c r="W933" s="171"/>
      <c r="X933" s="171"/>
      <c r="Y933" s="185"/>
      <c r="Z933" s="185"/>
    </row>
    <row r="934" spans="4:26" x14ac:dyDescent="0.25">
      <c r="D934" s="223"/>
      <c r="E934" s="175"/>
      <c r="H934" s="201"/>
      <c r="I934" s="201"/>
      <c r="J934" s="217"/>
      <c r="K934" s="217"/>
      <c r="L934" s="185"/>
      <c r="M934" s="185"/>
      <c r="N934" s="185"/>
      <c r="O934" s="185"/>
      <c r="P934" s="185"/>
      <c r="Q934" s="185"/>
      <c r="R934" s="168"/>
      <c r="S934" s="168"/>
      <c r="U934" s="170"/>
      <c r="V934" s="171"/>
      <c r="W934" s="171"/>
      <c r="X934" s="171"/>
      <c r="Y934" s="185"/>
      <c r="Z934" s="185"/>
    </row>
    <row r="935" spans="4:26" x14ac:dyDescent="0.25">
      <c r="D935" s="175"/>
      <c r="E935" s="175"/>
      <c r="H935" s="201"/>
      <c r="I935" s="201"/>
      <c r="J935" s="217"/>
      <c r="K935" s="217"/>
      <c r="L935" s="185"/>
      <c r="M935" s="185"/>
      <c r="N935" s="185"/>
      <c r="O935" s="185"/>
      <c r="P935" s="185"/>
      <c r="Q935" s="185"/>
      <c r="R935" s="168"/>
      <c r="S935" s="168"/>
      <c r="U935" s="170"/>
      <c r="V935" s="171"/>
      <c r="W935" s="171"/>
      <c r="X935" s="171"/>
      <c r="Y935" s="185"/>
      <c r="Z935" s="185"/>
    </row>
    <row r="936" spans="4:26" x14ac:dyDescent="0.25">
      <c r="D936" s="175"/>
      <c r="E936" s="175"/>
      <c r="H936" s="201"/>
      <c r="I936" s="201"/>
      <c r="J936" s="217"/>
      <c r="K936" s="217"/>
      <c r="L936" s="185"/>
      <c r="M936" s="185"/>
      <c r="N936" s="185"/>
      <c r="O936" s="185"/>
      <c r="P936" s="185"/>
      <c r="Q936" s="185"/>
      <c r="R936" s="168"/>
      <c r="S936" s="168"/>
      <c r="U936" s="170"/>
      <c r="V936" s="171"/>
      <c r="W936" s="171"/>
      <c r="X936" s="171"/>
      <c r="Y936" s="185"/>
      <c r="Z936" s="185"/>
    </row>
    <row r="937" spans="4:26" x14ac:dyDescent="0.25">
      <c r="D937" s="175"/>
      <c r="E937" s="175"/>
      <c r="H937" s="201"/>
      <c r="I937" s="201"/>
      <c r="J937" s="217"/>
      <c r="K937" s="217"/>
      <c r="L937" s="185"/>
      <c r="M937" s="185"/>
      <c r="N937" s="185"/>
      <c r="O937" s="185"/>
      <c r="P937" s="185"/>
      <c r="Q937" s="185"/>
      <c r="R937" s="168"/>
      <c r="S937" s="168"/>
      <c r="U937" s="170"/>
      <c r="V937" s="171"/>
      <c r="W937" s="171"/>
      <c r="X937" s="171"/>
      <c r="Y937" s="185"/>
      <c r="Z937" s="185"/>
    </row>
    <row r="938" spans="4:26" x14ac:dyDescent="0.25">
      <c r="D938" s="175"/>
      <c r="E938" s="175"/>
      <c r="H938" s="201"/>
      <c r="I938" s="201"/>
      <c r="J938" s="217"/>
      <c r="K938" s="217"/>
      <c r="L938" s="185"/>
      <c r="M938" s="185"/>
      <c r="N938" s="185"/>
      <c r="O938" s="185"/>
      <c r="P938" s="185"/>
      <c r="Q938" s="185"/>
      <c r="R938" s="168"/>
      <c r="S938" s="168"/>
      <c r="U938" s="170"/>
      <c r="V938" s="171"/>
      <c r="W938" s="171"/>
      <c r="X938" s="171"/>
      <c r="Y938" s="185"/>
      <c r="Z938" s="185"/>
    </row>
    <row r="939" spans="4:26" x14ac:dyDescent="0.25">
      <c r="D939" s="175"/>
      <c r="E939" s="175"/>
      <c r="H939" s="201"/>
      <c r="I939" s="201"/>
      <c r="J939" s="217"/>
      <c r="K939" s="217"/>
      <c r="L939" s="185"/>
      <c r="M939" s="185"/>
      <c r="N939" s="185"/>
      <c r="O939" s="185"/>
      <c r="P939" s="185"/>
      <c r="Q939" s="185"/>
      <c r="R939" s="168"/>
      <c r="S939" s="168"/>
      <c r="U939" s="170"/>
      <c r="V939" s="171"/>
      <c r="W939" s="171"/>
      <c r="X939" s="171"/>
      <c r="Y939" s="185"/>
      <c r="Z939" s="185"/>
    </row>
    <row r="940" spans="4:26" x14ac:dyDescent="0.25">
      <c r="D940" s="175"/>
      <c r="E940" s="175"/>
      <c r="H940" s="201"/>
      <c r="I940" s="201"/>
      <c r="J940" s="217"/>
      <c r="K940" s="217"/>
      <c r="L940" s="185"/>
      <c r="M940" s="185"/>
      <c r="N940" s="185"/>
      <c r="O940" s="185"/>
      <c r="P940" s="185"/>
      <c r="Q940" s="185"/>
      <c r="R940" s="168"/>
      <c r="S940" s="168"/>
      <c r="U940" s="170"/>
      <c r="V940" s="171"/>
      <c r="W940" s="171"/>
      <c r="X940" s="171"/>
      <c r="Y940" s="185"/>
      <c r="Z940" s="185"/>
    </row>
    <row r="941" spans="4:26" x14ac:dyDescent="0.25">
      <c r="D941" s="175"/>
      <c r="E941" s="175"/>
      <c r="H941" s="201"/>
      <c r="I941" s="201"/>
      <c r="J941" s="217"/>
      <c r="K941" s="217"/>
      <c r="L941" s="185"/>
      <c r="M941" s="185"/>
      <c r="N941" s="185"/>
      <c r="O941" s="185"/>
      <c r="P941" s="185"/>
      <c r="Q941" s="185"/>
      <c r="R941" s="168"/>
      <c r="S941" s="168"/>
      <c r="U941" s="170"/>
      <c r="V941" s="171"/>
      <c r="W941" s="171"/>
      <c r="X941" s="171"/>
      <c r="Y941" s="185"/>
      <c r="Z941" s="185"/>
    </row>
    <row r="942" spans="4:26" x14ac:dyDescent="0.25">
      <c r="D942" s="175"/>
      <c r="E942" s="175"/>
      <c r="H942" s="201"/>
      <c r="I942" s="201"/>
      <c r="J942" s="217"/>
      <c r="K942" s="217"/>
      <c r="L942" s="185"/>
      <c r="M942" s="185"/>
      <c r="N942" s="185"/>
      <c r="O942" s="185"/>
      <c r="P942" s="185"/>
      <c r="Q942" s="185"/>
      <c r="R942" s="168"/>
      <c r="S942" s="168"/>
      <c r="U942" s="170"/>
      <c r="V942" s="171"/>
      <c r="W942" s="171"/>
      <c r="X942" s="171"/>
      <c r="Y942" s="185"/>
      <c r="Z942" s="185"/>
    </row>
    <row r="943" spans="4:26" x14ac:dyDescent="0.25">
      <c r="D943" s="175"/>
      <c r="E943" s="175"/>
      <c r="H943" s="201"/>
      <c r="I943" s="201"/>
      <c r="J943" s="217"/>
      <c r="K943" s="217"/>
      <c r="L943" s="185"/>
      <c r="M943" s="185"/>
      <c r="N943" s="185"/>
      <c r="O943" s="185"/>
      <c r="P943" s="185"/>
      <c r="Q943" s="185"/>
      <c r="R943" s="168"/>
      <c r="S943" s="168"/>
      <c r="U943" s="170"/>
      <c r="V943" s="171"/>
      <c r="W943" s="171"/>
      <c r="X943" s="171"/>
      <c r="Y943" s="185"/>
      <c r="Z943" s="185"/>
    </row>
    <row r="944" spans="4:26" x14ac:dyDescent="0.25">
      <c r="D944" s="175"/>
      <c r="E944" s="175"/>
      <c r="H944" s="201"/>
      <c r="I944" s="201"/>
      <c r="J944" s="217"/>
      <c r="K944" s="217"/>
      <c r="L944" s="185"/>
      <c r="M944" s="185"/>
      <c r="N944" s="185"/>
      <c r="O944" s="185"/>
      <c r="P944" s="185"/>
      <c r="Q944" s="185"/>
      <c r="R944" s="168"/>
      <c r="S944" s="168"/>
      <c r="U944" s="170"/>
      <c r="V944" s="171"/>
      <c r="W944" s="171"/>
      <c r="X944" s="171"/>
      <c r="Y944" s="185"/>
      <c r="Z944" s="185"/>
    </row>
    <row r="945" spans="4:29" x14ac:dyDescent="0.25">
      <c r="D945" s="175"/>
      <c r="E945" s="175"/>
      <c r="H945" s="201"/>
      <c r="I945" s="201"/>
      <c r="J945" s="217"/>
      <c r="K945" s="217"/>
      <c r="L945" s="185"/>
      <c r="M945" s="185"/>
      <c r="N945" s="185"/>
      <c r="O945" s="185"/>
      <c r="P945" s="185"/>
      <c r="Q945" s="185"/>
      <c r="R945" s="168"/>
      <c r="S945" s="168"/>
      <c r="U945" s="170"/>
      <c r="V945" s="171"/>
      <c r="W945" s="171"/>
      <c r="X945" s="171"/>
      <c r="Y945" s="185"/>
      <c r="Z945" s="185"/>
    </row>
    <row r="946" spans="4:29" x14ac:dyDescent="0.25">
      <c r="D946" s="175"/>
      <c r="E946" s="175"/>
      <c r="H946" s="201"/>
      <c r="I946" s="201"/>
      <c r="J946" s="217"/>
      <c r="K946" s="217"/>
      <c r="L946" s="185"/>
      <c r="M946" s="185"/>
      <c r="N946" s="185"/>
      <c r="O946" s="185"/>
      <c r="P946" s="185"/>
      <c r="Q946" s="185"/>
      <c r="R946" s="168"/>
      <c r="S946" s="168"/>
      <c r="U946" s="170"/>
      <c r="V946" s="171"/>
      <c r="W946" s="171"/>
      <c r="X946" s="171"/>
      <c r="Y946" s="185"/>
      <c r="Z946" s="185"/>
    </row>
    <row r="947" spans="4:29" x14ac:dyDescent="0.25">
      <c r="D947" s="175"/>
      <c r="E947" s="175"/>
      <c r="H947" s="201"/>
      <c r="I947" s="201"/>
      <c r="J947" s="217"/>
      <c r="K947" s="217"/>
      <c r="L947" s="185"/>
      <c r="M947" s="185"/>
      <c r="N947" s="185"/>
      <c r="O947" s="185"/>
      <c r="P947" s="185"/>
      <c r="Q947" s="185"/>
      <c r="R947" s="168"/>
      <c r="S947" s="168"/>
      <c r="U947" s="170"/>
      <c r="V947" s="171"/>
      <c r="W947" s="171"/>
      <c r="X947" s="171"/>
      <c r="Y947" s="185"/>
      <c r="Z947" s="185"/>
    </row>
    <row r="948" spans="4:29" x14ac:dyDescent="0.25">
      <c r="D948" s="175"/>
      <c r="E948" s="175"/>
      <c r="H948" s="201"/>
      <c r="I948" s="201"/>
      <c r="J948" s="217"/>
      <c r="K948" s="217"/>
      <c r="L948" s="185"/>
      <c r="M948" s="185"/>
      <c r="N948" s="185"/>
      <c r="O948" s="185"/>
      <c r="P948" s="185"/>
      <c r="Q948" s="185"/>
      <c r="R948" s="168"/>
      <c r="S948" s="168"/>
      <c r="U948" s="170"/>
      <c r="V948" s="171"/>
      <c r="W948" s="171"/>
      <c r="X948" s="171"/>
      <c r="Y948" s="185"/>
      <c r="Z948" s="185"/>
    </row>
    <row r="949" spans="4:29" x14ac:dyDescent="0.25">
      <c r="D949" s="175"/>
      <c r="E949" s="175"/>
      <c r="H949" s="201"/>
      <c r="I949" s="201"/>
      <c r="J949" s="217"/>
      <c r="K949" s="217"/>
      <c r="L949" s="185"/>
      <c r="M949" s="185"/>
      <c r="N949" s="185"/>
      <c r="O949" s="185"/>
      <c r="P949" s="185"/>
      <c r="Q949" s="185"/>
      <c r="R949" s="168"/>
      <c r="S949" s="168"/>
      <c r="U949" s="170"/>
      <c r="V949" s="171"/>
      <c r="W949" s="171"/>
      <c r="X949" s="171"/>
      <c r="Y949" s="185"/>
      <c r="Z949" s="185"/>
    </row>
    <row r="950" spans="4:29" x14ac:dyDescent="0.25">
      <c r="D950" s="175"/>
      <c r="E950" s="175"/>
      <c r="H950" s="201"/>
      <c r="I950" s="201"/>
      <c r="J950" s="217"/>
      <c r="K950" s="217"/>
      <c r="L950" s="185"/>
      <c r="M950" s="185"/>
      <c r="N950" s="185"/>
      <c r="O950" s="185"/>
      <c r="P950" s="185"/>
      <c r="Q950" s="185"/>
      <c r="R950" s="168"/>
      <c r="S950" s="168"/>
      <c r="U950" s="170"/>
      <c r="V950" s="171"/>
      <c r="W950" s="171"/>
      <c r="X950" s="171"/>
      <c r="Y950" s="185"/>
      <c r="Z950" s="185"/>
    </row>
    <row r="951" spans="4:29" x14ac:dyDescent="0.25">
      <c r="D951" s="175"/>
      <c r="E951" s="175"/>
      <c r="H951" s="201"/>
      <c r="I951" s="201"/>
      <c r="J951" s="217"/>
      <c r="K951" s="217"/>
      <c r="L951" s="185"/>
      <c r="M951" s="185"/>
      <c r="N951" s="185"/>
      <c r="O951" s="185"/>
      <c r="P951" s="185"/>
      <c r="Q951" s="185"/>
      <c r="R951" s="168"/>
      <c r="S951" s="168"/>
      <c r="U951" s="170"/>
      <c r="V951" s="171"/>
      <c r="W951" s="171"/>
      <c r="X951" s="171"/>
      <c r="Y951" s="185"/>
      <c r="Z951" s="185"/>
    </row>
    <row r="952" spans="4:29" x14ac:dyDescent="0.25">
      <c r="D952" s="175"/>
      <c r="E952" s="175"/>
      <c r="H952" s="201"/>
      <c r="I952" s="201"/>
      <c r="J952" s="217"/>
      <c r="K952" s="217"/>
      <c r="L952" s="185"/>
      <c r="M952" s="185"/>
      <c r="N952" s="185"/>
      <c r="O952" s="185"/>
      <c r="P952" s="185"/>
      <c r="Q952" s="185"/>
      <c r="R952" s="168"/>
      <c r="S952" s="168"/>
      <c r="U952" s="170"/>
      <c r="V952" s="171"/>
      <c r="W952" s="171"/>
      <c r="X952" s="171"/>
      <c r="Y952" s="185"/>
      <c r="Z952" s="185"/>
    </row>
    <row r="953" spans="4:29" x14ac:dyDescent="0.25">
      <c r="D953" s="175"/>
      <c r="E953" s="175"/>
      <c r="H953" s="201"/>
      <c r="I953" s="201"/>
      <c r="J953" s="217"/>
      <c r="K953" s="217"/>
      <c r="L953" s="185"/>
      <c r="M953" s="185"/>
      <c r="N953" s="185"/>
      <c r="O953" s="185"/>
      <c r="P953" s="185"/>
      <c r="Q953" s="185"/>
      <c r="R953" s="168"/>
      <c r="S953" s="168"/>
      <c r="U953" s="170"/>
      <c r="V953" s="171"/>
      <c r="W953" s="171"/>
      <c r="X953" s="171"/>
      <c r="Y953" s="185"/>
      <c r="Z953" s="185"/>
    </row>
    <row r="954" spans="4:29" x14ac:dyDescent="0.25">
      <c r="D954" s="175"/>
      <c r="E954" s="175"/>
      <c r="H954" s="201"/>
      <c r="I954" s="201"/>
      <c r="J954" s="217"/>
      <c r="K954" s="217"/>
      <c r="L954" s="185"/>
      <c r="M954" s="185"/>
      <c r="N954" s="185"/>
      <c r="O954" s="185"/>
      <c r="P954" s="185"/>
      <c r="Q954" s="185"/>
      <c r="R954" s="168"/>
      <c r="S954" s="168"/>
      <c r="U954" s="170"/>
      <c r="V954" s="171"/>
      <c r="W954" s="171"/>
      <c r="X954" s="171"/>
      <c r="Y954" s="185"/>
      <c r="Z954" s="185"/>
      <c r="AC954" s="194"/>
    </row>
    <row r="955" spans="4:29" x14ac:dyDescent="0.25">
      <c r="D955" s="175"/>
      <c r="E955" s="175"/>
      <c r="H955" s="201"/>
      <c r="I955" s="201"/>
      <c r="J955" s="217"/>
      <c r="K955" s="217"/>
      <c r="L955" s="185"/>
      <c r="M955" s="185"/>
      <c r="N955" s="185"/>
      <c r="O955" s="185"/>
      <c r="P955" s="185"/>
      <c r="Q955" s="185"/>
      <c r="R955" s="168"/>
      <c r="S955" s="168"/>
      <c r="U955" s="170"/>
      <c r="V955" s="171"/>
      <c r="W955" s="171"/>
      <c r="X955" s="171"/>
      <c r="Y955" s="185"/>
      <c r="Z955" s="185"/>
    </row>
    <row r="956" spans="4:29" x14ac:dyDescent="0.25">
      <c r="D956" s="175"/>
      <c r="E956" s="175"/>
      <c r="H956" s="201"/>
      <c r="I956" s="201"/>
      <c r="J956" s="217"/>
      <c r="K956" s="217"/>
      <c r="L956" s="185"/>
      <c r="M956" s="185"/>
      <c r="N956" s="185"/>
      <c r="O956" s="185"/>
      <c r="P956" s="185"/>
      <c r="Q956" s="185"/>
      <c r="R956" s="168"/>
      <c r="S956" s="168"/>
      <c r="U956" s="170"/>
      <c r="V956" s="171"/>
      <c r="W956" s="171"/>
      <c r="X956" s="171"/>
      <c r="Y956" s="185"/>
      <c r="Z956" s="185"/>
    </row>
    <row r="957" spans="4:29" x14ac:dyDescent="0.25">
      <c r="D957" s="175"/>
      <c r="E957" s="175"/>
      <c r="H957" s="201"/>
      <c r="I957" s="201"/>
      <c r="J957" s="217"/>
      <c r="K957" s="217"/>
      <c r="L957" s="185"/>
      <c r="M957" s="185"/>
      <c r="N957" s="185"/>
      <c r="O957" s="185"/>
      <c r="P957" s="185"/>
      <c r="Q957" s="185"/>
      <c r="R957" s="168"/>
      <c r="S957" s="168"/>
      <c r="U957" s="170"/>
      <c r="V957" s="171"/>
      <c r="W957" s="171"/>
      <c r="X957" s="171"/>
      <c r="Y957" s="185"/>
      <c r="Z957" s="185"/>
    </row>
    <row r="958" spans="4:29" x14ac:dyDescent="0.25">
      <c r="D958" s="175"/>
      <c r="E958" s="175"/>
      <c r="H958" s="201"/>
      <c r="I958" s="201"/>
      <c r="J958" s="217"/>
      <c r="K958" s="217"/>
      <c r="L958" s="185"/>
      <c r="M958" s="185"/>
      <c r="N958" s="185"/>
      <c r="O958" s="185"/>
      <c r="P958" s="185"/>
      <c r="Q958" s="185"/>
      <c r="R958" s="168"/>
      <c r="S958" s="168"/>
      <c r="U958" s="170"/>
      <c r="V958" s="171"/>
      <c r="W958" s="171"/>
      <c r="X958" s="171"/>
      <c r="Y958" s="185"/>
      <c r="Z958" s="185"/>
    </row>
    <row r="959" spans="4:29" x14ac:dyDescent="0.25">
      <c r="D959" s="175"/>
      <c r="E959" s="175"/>
      <c r="H959" s="201"/>
      <c r="I959" s="201"/>
      <c r="J959" s="217"/>
      <c r="K959" s="217"/>
      <c r="L959" s="185"/>
      <c r="M959" s="185"/>
      <c r="N959" s="185"/>
      <c r="O959" s="185"/>
      <c r="P959" s="185"/>
      <c r="Q959" s="185"/>
      <c r="R959" s="168"/>
      <c r="S959" s="168"/>
      <c r="U959" s="170"/>
      <c r="V959" s="171"/>
      <c r="W959" s="171"/>
      <c r="X959" s="171"/>
      <c r="Y959" s="185"/>
      <c r="Z959" s="185"/>
    </row>
    <row r="960" spans="4:29" x14ac:dyDescent="0.25">
      <c r="D960" s="175"/>
      <c r="E960" s="175"/>
      <c r="H960" s="201"/>
      <c r="I960" s="201"/>
      <c r="J960" s="217"/>
      <c r="K960" s="217"/>
      <c r="L960" s="185"/>
      <c r="M960" s="185"/>
      <c r="N960" s="185"/>
      <c r="O960" s="185"/>
      <c r="P960" s="185"/>
      <c r="Q960" s="185"/>
      <c r="R960" s="168"/>
      <c r="S960" s="168"/>
      <c r="U960" s="170"/>
      <c r="V960" s="171"/>
      <c r="W960" s="171"/>
      <c r="X960" s="171"/>
      <c r="Y960" s="185"/>
      <c r="Z960" s="185"/>
    </row>
    <row r="961" spans="4:26" x14ac:dyDescent="0.25">
      <c r="D961" s="175"/>
      <c r="E961" s="175"/>
      <c r="H961" s="201"/>
      <c r="I961" s="201"/>
      <c r="J961" s="217"/>
      <c r="K961" s="217"/>
      <c r="L961" s="185"/>
      <c r="M961" s="185"/>
      <c r="N961" s="185"/>
      <c r="O961" s="185"/>
      <c r="P961" s="185"/>
      <c r="Q961" s="185"/>
      <c r="R961" s="168"/>
      <c r="S961" s="168"/>
      <c r="U961" s="170"/>
      <c r="V961" s="171"/>
      <c r="W961" s="171"/>
      <c r="X961" s="171"/>
      <c r="Y961" s="185"/>
      <c r="Z961" s="185"/>
    </row>
    <row r="962" spans="4:26" x14ac:dyDescent="0.25">
      <c r="D962" s="175"/>
      <c r="E962" s="175"/>
      <c r="H962" s="201"/>
      <c r="I962" s="201"/>
      <c r="J962" s="217"/>
      <c r="K962" s="217"/>
      <c r="L962" s="185"/>
      <c r="M962" s="185"/>
      <c r="N962" s="185"/>
      <c r="O962" s="185"/>
      <c r="P962" s="185"/>
      <c r="Q962" s="185"/>
      <c r="R962" s="168"/>
      <c r="S962" s="168"/>
      <c r="U962" s="170"/>
      <c r="V962" s="171"/>
      <c r="W962" s="171"/>
      <c r="X962" s="171"/>
      <c r="Y962" s="185"/>
      <c r="Z962" s="185"/>
    </row>
    <row r="963" spans="4:26" x14ac:dyDescent="0.25">
      <c r="D963" s="175"/>
      <c r="E963" s="175"/>
      <c r="H963" s="201"/>
      <c r="I963" s="201"/>
      <c r="J963" s="217"/>
      <c r="K963" s="217"/>
      <c r="L963" s="185"/>
      <c r="M963" s="185"/>
      <c r="N963" s="185"/>
      <c r="O963" s="185"/>
      <c r="P963" s="185"/>
      <c r="Q963" s="185"/>
      <c r="R963" s="168"/>
      <c r="S963" s="168"/>
      <c r="U963" s="170"/>
      <c r="V963" s="171"/>
      <c r="W963" s="171"/>
      <c r="X963" s="171"/>
      <c r="Y963" s="185"/>
      <c r="Z963" s="185"/>
    </row>
    <row r="964" spans="4:26" x14ac:dyDescent="0.25">
      <c r="D964" s="175"/>
      <c r="E964" s="175"/>
      <c r="H964" s="201"/>
      <c r="I964" s="201"/>
      <c r="J964" s="217"/>
      <c r="K964" s="217"/>
      <c r="L964" s="185"/>
      <c r="M964" s="185"/>
      <c r="N964" s="185"/>
      <c r="O964" s="185"/>
      <c r="P964" s="185"/>
      <c r="Q964" s="185"/>
      <c r="R964" s="168"/>
      <c r="S964" s="168"/>
      <c r="U964" s="170"/>
      <c r="V964" s="171"/>
      <c r="W964" s="171"/>
      <c r="X964" s="171"/>
      <c r="Y964" s="185"/>
      <c r="Z964" s="185"/>
    </row>
    <row r="965" spans="4:26" x14ac:dyDescent="0.25">
      <c r="D965" s="175"/>
      <c r="E965" s="175"/>
      <c r="H965" s="201"/>
      <c r="I965" s="201"/>
      <c r="J965" s="217"/>
      <c r="K965" s="217"/>
      <c r="L965" s="185"/>
      <c r="M965" s="185"/>
      <c r="N965" s="185"/>
      <c r="O965" s="185"/>
      <c r="P965" s="185"/>
      <c r="Q965" s="185"/>
      <c r="R965" s="168"/>
      <c r="S965" s="168"/>
      <c r="U965" s="170"/>
      <c r="V965" s="171"/>
      <c r="W965" s="171"/>
      <c r="X965" s="171"/>
      <c r="Y965" s="185"/>
      <c r="Z965" s="185"/>
    </row>
    <row r="966" spans="4:26" x14ac:dyDescent="0.25">
      <c r="D966" s="175"/>
      <c r="E966" s="175"/>
      <c r="H966" s="201"/>
      <c r="I966" s="201"/>
      <c r="J966" s="217"/>
      <c r="K966" s="217"/>
      <c r="L966" s="185"/>
      <c r="M966" s="185"/>
      <c r="N966" s="185"/>
      <c r="O966" s="185"/>
      <c r="P966" s="185"/>
      <c r="Q966" s="185"/>
      <c r="R966" s="168"/>
      <c r="S966" s="168"/>
      <c r="U966" s="170"/>
      <c r="V966" s="171"/>
      <c r="W966" s="171"/>
      <c r="X966" s="171"/>
      <c r="Y966" s="185"/>
      <c r="Z966" s="185"/>
    </row>
    <row r="967" spans="4:26" x14ac:dyDescent="0.25">
      <c r="D967" s="175"/>
      <c r="E967" s="175"/>
      <c r="H967" s="201"/>
      <c r="I967" s="201"/>
      <c r="J967" s="217"/>
      <c r="K967" s="217"/>
      <c r="L967" s="185"/>
      <c r="M967" s="185"/>
      <c r="N967" s="185"/>
      <c r="O967" s="185"/>
      <c r="P967" s="185"/>
      <c r="Q967" s="185"/>
      <c r="R967" s="168"/>
      <c r="S967" s="168"/>
      <c r="U967" s="170"/>
      <c r="V967" s="171"/>
      <c r="W967" s="171"/>
      <c r="X967" s="171"/>
      <c r="Y967" s="185"/>
      <c r="Z967" s="185"/>
    </row>
    <row r="968" spans="4:26" x14ac:dyDescent="0.25">
      <c r="D968" s="175"/>
      <c r="E968" s="175"/>
      <c r="H968" s="201"/>
      <c r="I968" s="201"/>
      <c r="J968" s="217"/>
      <c r="K968" s="217"/>
      <c r="L968" s="185"/>
      <c r="M968" s="185"/>
      <c r="N968" s="185"/>
      <c r="O968" s="185"/>
      <c r="P968" s="185"/>
      <c r="Q968" s="185"/>
      <c r="R968" s="168"/>
      <c r="S968" s="168"/>
      <c r="U968" s="170"/>
      <c r="V968" s="171"/>
      <c r="W968" s="171"/>
      <c r="X968" s="171"/>
      <c r="Y968" s="185"/>
      <c r="Z968" s="185"/>
    </row>
    <row r="969" spans="4:26" x14ac:dyDescent="0.25">
      <c r="D969" s="175"/>
      <c r="E969" s="175"/>
      <c r="H969" s="201"/>
      <c r="I969" s="201"/>
      <c r="J969" s="217"/>
      <c r="K969" s="217"/>
      <c r="L969" s="185"/>
      <c r="M969" s="185"/>
      <c r="N969" s="185"/>
      <c r="O969" s="185"/>
      <c r="P969" s="185"/>
      <c r="Q969" s="185"/>
      <c r="R969" s="168"/>
      <c r="S969" s="168"/>
      <c r="U969" s="170"/>
      <c r="V969" s="171"/>
      <c r="W969" s="171"/>
      <c r="X969" s="171"/>
      <c r="Y969" s="185"/>
      <c r="Z969" s="185"/>
    </row>
    <row r="970" spans="4:26" x14ac:dyDescent="0.25">
      <c r="D970" s="175"/>
      <c r="E970" s="175"/>
      <c r="H970" s="201"/>
      <c r="I970" s="201"/>
      <c r="J970" s="217"/>
      <c r="K970" s="217"/>
      <c r="L970" s="185"/>
      <c r="M970" s="185"/>
      <c r="N970" s="185"/>
      <c r="O970" s="185"/>
      <c r="P970" s="185"/>
      <c r="Q970" s="185"/>
      <c r="R970" s="168"/>
      <c r="S970" s="168"/>
      <c r="U970" s="170"/>
      <c r="V970" s="171"/>
      <c r="W970" s="171"/>
      <c r="X970" s="171"/>
      <c r="Y970" s="185"/>
      <c r="Z970" s="185"/>
    </row>
    <row r="971" spans="4:26" x14ac:dyDescent="0.25">
      <c r="D971" s="175"/>
      <c r="E971" s="175"/>
      <c r="H971" s="201"/>
      <c r="I971" s="201"/>
      <c r="J971" s="217"/>
      <c r="K971" s="217"/>
      <c r="L971" s="185"/>
      <c r="M971" s="185"/>
      <c r="N971" s="185"/>
      <c r="O971" s="185"/>
      <c r="P971" s="185"/>
      <c r="Q971" s="185"/>
      <c r="R971" s="168"/>
      <c r="S971" s="168"/>
      <c r="U971" s="170"/>
      <c r="V971" s="171"/>
      <c r="W971" s="171"/>
      <c r="X971" s="171"/>
      <c r="Y971" s="185"/>
      <c r="Z971" s="185"/>
    </row>
    <row r="972" spans="4:26" x14ac:dyDescent="0.25">
      <c r="D972" s="175"/>
      <c r="E972" s="175"/>
      <c r="H972" s="201"/>
      <c r="I972" s="201"/>
      <c r="J972" s="217"/>
      <c r="K972" s="217"/>
      <c r="L972" s="185"/>
      <c r="M972" s="185"/>
      <c r="N972" s="185"/>
      <c r="O972" s="185"/>
      <c r="P972" s="185"/>
      <c r="Q972" s="185"/>
      <c r="R972" s="168"/>
      <c r="S972" s="168"/>
      <c r="U972" s="170"/>
      <c r="V972" s="171"/>
      <c r="W972" s="171"/>
      <c r="X972" s="171"/>
      <c r="Y972" s="185"/>
      <c r="Z972" s="185"/>
    </row>
    <row r="973" spans="4:26" x14ac:dyDescent="0.25">
      <c r="D973" s="175"/>
      <c r="E973" s="175"/>
      <c r="H973" s="201"/>
      <c r="I973" s="201"/>
      <c r="J973" s="217"/>
      <c r="K973" s="217"/>
      <c r="L973" s="185"/>
      <c r="M973" s="185"/>
      <c r="N973" s="185"/>
      <c r="O973" s="185"/>
      <c r="P973" s="185"/>
      <c r="Q973" s="185"/>
      <c r="R973" s="168"/>
      <c r="S973" s="168"/>
      <c r="U973" s="170"/>
      <c r="V973" s="171"/>
      <c r="W973" s="171"/>
      <c r="X973" s="171"/>
      <c r="Y973" s="185"/>
      <c r="Z973" s="185"/>
    </row>
    <row r="974" spans="4:26" x14ac:dyDescent="0.25">
      <c r="D974" s="175"/>
      <c r="E974" s="175"/>
      <c r="H974" s="201"/>
      <c r="I974" s="201"/>
      <c r="J974" s="217"/>
      <c r="K974" s="217"/>
      <c r="L974" s="185"/>
      <c r="M974" s="185"/>
      <c r="N974" s="185"/>
      <c r="O974" s="185"/>
      <c r="P974" s="185"/>
      <c r="Q974" s="185"/>
      <c r="R974" s="168"/>
      <c r="S974" s="168"/>
      <c r="U974" s="170"/>
      <c r="V974" s="171"/>
      <c r="W974" s="171"/>
      <c r="X974" s="171"/>
      <c r="Y974" s="185"/>
      <c r="Z974" s="185"/>
    </row>
    <row r="975" spans="4:26" x14ac:dyDescent="0.25">
      <c r="D975" s="175"/>
      <c r="E975" s="175"/>
      <c r="H975" s="201"/>
      <c r="I975" s="201"/>
      <c r="J975" s="217"/>
      <c r="K975" s="217"/>
      <c r="L975" s="185"/>
      <c r="M975" s="185"/>
      <c r="N975" s="185"/>
      <c r="O975" s="185"/>
      <c r="P975" s="185"/>
      <c r="Q975" s="185"/>
      <c r="R975" s="168"/>
      <c r="S975" s="168"/>
      <c r="U975" s="170"/>
      <c r="V975" s="171"/>
      <c r="W975" s="171"/>
      <c r="X975" s="171"/>
      <c r="Y975" s="185"/>
      <c r="Z975" s="185"/>
    </row>
    <row r="976" spans="4:26" x14ac:dyDescent="0.25">
      <c r="D976" s="175"/>
      <c r="E976" s="175"/>
      <c r="H976" s="201"/>
      <c r="I976" s="201"/>
      <c r="J976" s="217"/>
      <c r="K976" s="217"/>
      <c r="L976" s="185"/>
      <c r="M976" s="185"/>
      <c r="N976" s="185"/>
      <c r="O976" s="185"/>
      <c r="P976" s="185"/>
      <c r="Q976" s="185"/>
      <c r="R976" s="168"/>
      <c r="S976" s="168"/>
      <c r="U976" s="170"/>
      <c r="V976" s="171"/>
      <c r="W976" s="171"/>
      <c r="X976" s="171"/>
      <c r="Y976" s="185"/>
      <c r="Z976" s="185"/>
    </row>
    <row r="977" spans="4:31" x14ac:dyDescent="0.25">
      <c r="D977" s="175"/>
      <c r="E977" s="175"/>
      <c r="H977" s="201"/>
      <c r="I977" s="201"/>
      <c r="J977" s="217"/>
      <c r="K977" s="217"/>
      <c r="L977" s="185"/>
      <c r="M977" s="185"/>
      <c r="N977" s="185"/>
      <c r="O977" s="185"/>
      <c r="P977" s="185"/>
      <c r="Q977" s="185"/>
      <c r="R977" s="168"/>
      <c r="S977" s="168"/>
      <c r="U977" s="170"/>
      <c r="V977" s="171"/>
      <c r="W977" s="171"/>
      <c r="X977" s="171"/>
      <c r="Y977" s="185"/>
      <c r="Z977" s="185"/>
    </row>
    <row r="978" spans="4:31" x14ac:dyDescent="0.25">
      <c r="D978" s="175"/>
      <c r="E978" s="175"/>
      <c r="H978" s="201"/>
      <c r="I978" s="201"/>
      <c r="J978" s="217"/>
      <c r="K978" s="217"/>
      <c r="L978" s="185"/>
      <c r="M978" s="185"/>
      <c r="N978" s="185"/>
      <c r="O978" s="185"/>
      <c r="P978" s="185"/>
      <c r="Q978" s="185"/>
      <c r="R978" s="168"/>
      <c r="S978" s="168"/>
      <c r="U978" s="170"/>
      <c r="V978" s="171"/>
      <c r="W978" s="171"/>
      <c r="X978" s="171"/>
      <c r="Y978" s="185"/>
      <c r="Z978" s="185"/>
    </row>
    <row r="979" spans="4:31" x14ac:dyDescent="0.25">
      <c r="D979" s="175"/>
      <c r="E979" s="175"/>
      <c r="H979" s="201"/>
      <c r="I979" s="201"/>
      <c r="J979" s="217"/>
      <c r="K979" s="217"/>
      <c r="L979" s="185"/>
      <c r="M979" s="185"/>
      <c r="N979" s="185"/>
      <c r="O979" s="185"/>
      <c r="P979" s="185"/>
      <c r="Q979" s="185"/>
      <c r="R979" s="168"/>
      <c r="S979" s="168"/>
      <c r="U979" s="170"/>
      <c r="V979" s="171"/>
      <c r="W979" s="171"/>
      <c r="X979" s="171"/>
      <c r="Y979" s="185"/>
      <c r="Z979" s="185"/>
    </row>
    <row r="980" spans="4:31" x14ac:dyDescent="0.25">
      <c r="D980" s="175"/>
      <c r="E980" s="175"/>
      <c r="H980" s="201"/>
      <c r="I980" s="201"/>
      <c r="J980" s="217"/>
      <c r="K980" s="217"/>
      <c r="L980" s="185"/>
      <c r="M980" s="185"/>
      <c r="N980" s="185"/>
      <c r="O980" s="185"/>
      <c r="P980" s="185"/>
      <c r="Q980" s="185"/>
      <c r="R980" s="168"/>
      <c r="S980" s="168"/>
      <c r="U980" s="170"/>
      <c r="V980" s="171"/>
      <c r="W980" s="171"/>
      <c r="X980" s="171"/>
      <c r="Y980" s="185"/>
      <c r="Z980" s="185"/>
    </row>
    <row r="981" spans="4:31" x14ac:dyDescent="0.25">
      <c r="D981" s="175"/>
      <c r="E981" s="175"/>
      <c r="H981" s="201"/>
      <c r="I981" s="201"/>
      <c r="J981" s="217"/>
      <c r="K981" s="217"/>
      <c r="L981" s="185"/>
      <c r="M981" s="185"/>
      <c r="N981" s="185"/>
      <c r="O981" s="185"/>
      <c r="P981" s="185"/>
      <c r="Q981" s="185"/>
      <c r="R981" s="168"/>
      <c r="S981" s="168"/>
      <c r="U981" s="170"/>
      <c r="V981" s="171"/>
      <c r="W981" s="171"/>
      <c r="X981" s="171"/>
      <c r="Y981" s="185"/>
      <c r="Z981" s="185"/>
    </row>
    <row r="982" spans="4:31" x14ac:dyDescent="0.25">
      <c r="D982" s="175"/>
      <c r="E982" s="175"/>
      <c r="H982" s="201"/>
      <c r="I982" s="201"/>
      <c r="J982" s="217"/>
      <c r="K982" s="217"/>
      <c r="L982" s="185"/>
      <c r="M982" s="185"/>
      <c r="N982" s="185"/>
      <c r="O982" s="185"/>
      <c r="P982" s="185"/>
      <c r="Q982" s="185"/>
      <c r="R982" s="168"/>
      <c r="S982" s="168"/>
      <c r="U982" s="170"/>
      <c r="V982" s="171"/>
      <c r="W982" s="171"/>
      <c r="X982" s="171"/>
      <c r="Y982" s="185"/>
      <c r="Z982" s="185"/>
    </row>
    <row r="983" spans="4:31" x14ac:dyDescent="0.25">
      <c r="D983" s="175"/>
      <c r="E983" s="175"/>
      <c r="H983" s="201"/>
      <c r="I983" s="201"/>
      <c r="J983" s="217"/>
      <c r="K983" s="217"/>
      <c r="L983" s="185"/>
      <c r="M983" s="185"/>
      <c r="N983" s="185"/>
      <c r="O983" s="185"/>
      <c r="P983" s="185"/>
      <c r="Q983" s="185"/>
      <c r="R983" s="168"/>
      <c r="S983" s="168"/>
      <c r="U983" s="170"/>
      <c r="V983" s="171"/>
      <c r="W983" s="171"/>
      <c r="X983" s="171"/>
      <c r="Y983" s="185"/>
      <c r="Z983" s="185"/>
    </row>
    <row r="984" spans="4:31" x14ac:dyDescent="0.25">
      <c r="D984" s="175"/>
      <c r="E984" s="175"/>
      <c r="H984" s="201"/>
      <c r="I984" s="201"/>
      <c r="J984" s="217"/>
      <c r="K984" s="217"/>
      <c r="L984" s="185"/>
      <c r="M984" s="185"/>
      <c r="N984" s="185"/>
      <c r="O984" s="185"/>
      <c r="P984" s="185"/>
      <c r="Q984" s="185"/>
      <c r="R984" s="168"/>
      <c r="S984" s="168"/>
      <c r="U984" s="170"/>
      <c r="V984" s="171"/>
      <c r="W984" s="171"/>
      <c r="X984" s="171"/>
      <c r="Y984" s="185"/>
      <c r="Z984" s="185"/>
      <c r="AC984" s="184"/>
    </row>
    <row r="985" spans="4:31" x14ac:dyDescent="0.25">
      <c r="D985" s="175"/>
      <c r="E985" s="175"/>
      <c r="H985" s="201"/>
      <c r="I985" s="201"/>
      <c r="J985" s="217"/>
      <c r="K985" s="217"/>
      <c r="L985" s="185"/>
      <c r="M985" s="185"/>
      <c r="N985" s="185"/>
      <c r="O985" s="185"/>
      <c r="P985" s="185"/>
      <c r="Q985" s="185"/>
      <c r="R985" s="168"/>
      <c r="S985" s="168"/>
      <c r="U985" s="170"/>
      <c r="V985" s="171"/>
      <c r="W985" s="171"/>
      <c r="X985" s="171"/>
      <c r="Y985" s="185"/>
      <c r="Z985" s="185"/>
    </row>
    <row r="986" spans="4:31" x14ac:dyDescent="0.25">
      <c r="D986" s="175"/>
      <c r="E986" s="175"/>
      <c r="H986" s="201"/>
      <c r="I986" s="201"/>
      <c r="J986" s="217"/>
      <c r="K986" s="217"/>
      <c r="L986" s="185"/>
      <c r="M986" s="185"/>
      <c r="N986" s="185"/>
      <c r="O986" s="185"/>
      <c r="P986" s="185"/>
      <c r="Q986" s="185"/>
      <c r="R986" s="168"/>
      <c r="S986" s="168"/>
      <c r="U986" s="170"/>
      <c r="V986" s="171"/>
      <c r="W986" s="171"/>
      <c r="X986" s="171"/>
      <c r="Y986" s="185"/>
      <c r="Z986" s="185"/>
    </row>
    <row r="987" spans="4:31" x14ac:dyDescent="0.25">
      <c r="D987" s="175"/>
      <c r="E987" s="175"/>
      <c r="H987" s="201"/>
      <c r="I987" s="201"/>
      <c r="J987" s="217"/>
      <c r="K987" s="217"/>
      <c r="L987" s="185"/>
      <c r="M987" s="185"/>
      <c r="N987" s="185"/>
      <c r="O987" s="185"/>
      <c r="P987" s="185"/>
      <c r="Q987" s="185"/>
      <c r="R987" s="168"/>
      <c r="S987" s="168"/>
      <c r="U987" s="170"/>
      <c r="V987" s="171"/>
      <c r="W987" s="171"/>
      <c r="X987" s="171"/>
      <c r="Y987" s="185"/>
      <c r="Z987" s="185"/>
    </row>
    <row r="988" spans="4:31" x14ac:dyDescent="0.25">
      <c r="D988" s="175"/>
      <c r="E988" s="175"/>
      <c r="H988" s="201"/>
      <c r="I988" s="201"/>
      <c r="J988" s="217"/>
      <c r="K988" s="217"/>
      <c r="L988" s="185"/>
      <c r="M988" s="185"/>
      <c r="N988" s="185"/>
      <c r="O988" s="185"/>
      <c r="P988" s="185"/>
      <c r="Q988" s="185"/>
      <c r="R988" s="168"/>
      <c r="S988" s="168"/>
      <c r="U988" s="170"/>
      <c r="V988" s="171"/>
      <c r="W988" s="171"/>
      <c r="X988" s="171"/>
      <c r="Y988" s="185"/>
      <c r="Z988" s="185"/>
    </row>
    <row r="989" spans="4:31" x14ac:dyDescent="0.25">
      <c r="D989" s="175"/>
      <c r="E989" s="175"/>
      <c r="H989" s="201"/>
      <c r="I989" s="201"/>
      <c r="J989" s="217"/>
      <c r="K989" s="217"/>
      <c r="L989" s="185"/>
      <c r="M989" s="185"/>
      <c r="N989" s="185"/>
      <c r="O989" s="185"/>
      <c r="P989" s="185"/>
      <c r="Q989" s="185"/>
      <c r="R989" s="168"/>
      <c r="S989" s="168"/>
      <c r="U989" s="170"/>
      <c r="V989" s="171"/>
      <c r="W989" s="171"/>
      <c r="X989" s="171"/>
      <c r="Y989" s="185"/>
      <c r="Z989" s="185"/>
    </row>
    <row r="990" spans="4:31" x14ac:dyDescent="0.25">
      <c r="D990" s="175"/>
      <c r="E990" s="175"/>
      <c r="H990" s="201"/>
      <c r="I990" s="201"/>
      <c r="J990" s="217"/>
      <c r="K990" s="217"/>
      <c r="L990" s="185"/>
      <c r="M990" s="185"/>
      <c r="N990" s="185"/>
      <c r="O990" s="185"/>
      <c r="P990" s="185"/>
      <c r="Q990" s="185"/>
      <c r="R990" s="168"/>
      <c r="S990" s="168"/>
      <c r="U990" s="170"/>
      <c r="V990" s="171"/>
      <c r="W990" s="171"/>
      <c r="X990" s="171"/>
      <c r="Y990" s="185"/>
      <c r="Z990" s="185"/>
    </row>
    <row r="991" spans="4:31" x14ac:dyDescent="0.25">
      <c r="D991" s="175"/>
      <c r="E991" s="175"/>
      <c r="H991" s="201"/>
      <c r="I991" s="201"/>
      <c r="J991" s="217"/>
      <c r="K991" s="217"/>
      <c r="L991" s="185"/>
      <c r="M991" s="185"/>
      <c r="N991" s="185"/>
      <c r="O991" s="185"/>
      <c r="P991" s="185"/>
      <c r="Q991" s="185"/>
      <c r="R991" s="168"/>
      <c r="S991" s="168"/>
      <c r="U991" s="170"/>
      <c r="V991" s="171"/>
      <c r="W991" s="171"/>
      <c r="X991" s="171"/>
      <c r="Y991" s="185"/>
      <c r="Z991" s="185"/>
    </row>
    <row r="992" spans="4:31" x14ac:dyDescent="0.25">
      <c r="D992" s="175"/>
      <c r="E992" s="175"/>
      <c r="H992" s="201"/>
      <c r="I992" s="201"/>
      <c r="J992" s="217"/>
      <c r="K992" s="217"/>
      <c r="L992" s="185"/>
      <c r="M992" s="185"/>
      <c r="N992" s="185"/>
      <c r="O992" s="185"/>
      <c r="P992" s="185"/>
      <c r="Q992" s="185"/>
      <c r="R992" s="168"/>
      <c r="S992" s="168"/>
      <c r="U992" s="170"/>
      <c r="V992" s="171"/>
      <c r="W992" s="171"/>
      <c r="X992" s="171"/>
      <c r="Y992" s="185"/>
      <c r="Z992" s="185"/>
      <c r="AE992" s="219"/>
    </row>
    <row r="993" spans="4:32" x14ac:dyDescent="0.25">
      <c r="D993" s="175"/>
      <c r="E993" s="175"/>
      <c r="H993" s="201"/>
      <c r="I993" s="201"/>
      <c r="J993" s="217"/>
      <c r="K993" s="217"/>
      <c r="L993" s="185"/>
      <c r="M993" s="185"/>
      <c r="N993" s="185"/>
      <c r="O993" s="185"/>
      <c r="P993" s="185"/>
      <c r="Q993" s="185"/>
      <c r="R993" s="168"/>
      <c r="S993" s="168"/>
      <c r="U993" s="170"/>
      <c r="V993" s="171"/>
      <c r="W993" s="171"/>
      <c r="X993" s="171"/>
      <c r="Y993" s="185"/>
      <c r="Z993" s="185"/>
    </row>
    <row r="994" spans="4:32" x14ac:dyDescent="0.25">
      <c r="D994" s="175"/>
      <c r="E994" s="175"/>
      <c r="H994" s="201"/>
      <c r="I994" s="201"/>
      <c r="J994" s="217"/>
      <c r="K994" s="217"/>
      <c r="L994" s="185"/>
      <c r="M994" s="185"/>
      <c r="N994" s="185"/>
      <c r="O994" s="185"/>
      <c r="P994" s="185"/>
      <c r="Q994" s="185"/>
      <c r="R994" s="168"/>
      <c r="S994" s="168"/>
      <c r="U994" s="170"/>
      <c r="V994" s="171"/>
      <c r="W994" s="171"/>
      <c r="X994" s="171"/>
      <c r="Y994" s="185"/>
      <c r="Z994" s="185"/>
    </row>
    <row r="995" spans="4:32" x14ac:dyDescent="0.25">
      <c r="D995" s="175"/>
      <c r="E995" s="175"/>
      <c r="H995" s="201"/>
      <c r="I995" s="201"/>
      <c r="J995" s="217"/>
      <c r="K995" s="217"/>
      <c r="L995" s="185"/>
      <c r="M995" s="185"/>
      <c r="N995" s="185"/>
      <c r="O995" s="185"/>
      <c r="P995" s="185"/>
      <c r="Q995" s="185"/>
      <c r="R995" s="168"/>
      <c r="S995" s="168"/>
      <c r="U995" s="170"/>
      <c r="V995" s="171"/>
      <c r="W995" s="171"/>
      <c r="X995" s="171"/>
      <c r="Y995" s="185"/>
      <c r="Z995" s="185"/>
    </row>
    <row r="996" spans="4:32" x14ac:dyDescent="0.25">
      <c r="D996" s="175"/>
      <c r="E996" s="175"/>
      <c r="H996" s="201"/>
      <c r="I996" s="201"/>
      <c r="J996" s="217"/>
      <c r="K996" s="217"/>
      <c r="L996" s="185"/>
      <c r="M996" s="185"/>
      <c r="N996" s="185"/>
      <c r="O996" s="185"/>
      <c r="P996" s="185"/>
      <c r="Q996" s="185"/>
      <c r="R996" s="168"/>
      <c r="S996" s="168"/>
      <c r="U996" s="170"/>
      <c r="V996" s="171"/>
      <c r="W996" s="171"/>
      <c r="X996" s="171"/>
      <c r="Y996" s="185"/>
      <c r="Z996" s="185"/>
    </row>
    <row r="997" spans="4:32" x14ac:dyDescent="0.25">
      <c r="D997" s="175"/>
      <c r="E997" s="175"/>
      <c r="H997" s="201"/>
      <c r="I997" s="201"/>
      <c r="J997" s="217"/>
      <c r="K997" s="217"/>
      <c r="L997" s="185"/>
      <c r="M997" s="185"/>
      <c r="N997" s="185"/>
      <c r="O997" s="185"/>
      <c r="P997" s="185"/>
      <c r="Q997" s="185"/>
      <c r="R997" s="168"/>
      <c r="S997" s="168"/>
      <c r="U997" s="170"/>
      <c r="V997" s="171"/>
      <c r="W997" s="171"/>
      <c r="X997" s="171"/>
      <c r="Y997" s="185"/>
      <c r="Z997" s="185"/>
    </row>
    <row r="998" spans="4:32" x14ac:dyDescent="0.25">
      <c r="D998" s="175"/>
      <c r="E998" s="175"/>
      <c r="H998" s="201"/>
      <c r="I998" s="201"/>
      <c r="J998" s="217"/>
      <c r="K998" s="217"/>
      <c r="L998" s="185"/>
      <c r="M998" s="185"/>
      <c r="N998" s="185"/>
      <c r="O998" s="185"/>
      <c r="P998" s="185"/>
      <c r="Q998" s="185"/>
      <c r="R998" s="168"/>
      <c r="S998" s="168"/>
      <c r="U998" s="170"/>
      <c r="V998" s="171"/>
      <c r="W998" s="171"/>
      <c r="X998" s="171"/>
      <c r="Y998" s="185"/>
      <c r="Z998" s="185"/>
      <c r="AC998" s="220"/>
      <c r="AE998" s="202"/>
      <c r="AF998" s="205"/>
    </row>
    <row r="999" spans="4:32" x14ac:dyDescent="0.25">
      <c r="D999" s="175"/>
      <c r="E999" s="175"/>
      <c r="H999" s="201"/>
      <c r="I999" s="201"/>
      <c r="J999" s="217"/>
      <c r="K999" s="217"/>
      <c r="L999" s="185"/>
      <c r="M999" s="185"/>
      <c r="N999" s="185"/>
      <c r="O999" s="185"/>
      <c r="P999" s="185"/>
      <c r="Q999" s="185"/>
      <c r="R999" s="168"/>
      <c r="S999" s="168"/>
      <c r="U999" s="170"/>
      <c r="V999" s="171"/>
      <c r="W999" s="171"/>
      <c r="X999" s="171"/>
      <c r="Y999" s="185"/>
      <c r="Z999" s="185"/>
    </row>
    <row r="1000" spans="4:32" x14ac:dyDescent="0.25">
      <c r="D1000" s="175"/>
      <c r="E1000" s="175"/>
      <c r="H1000" s="201"/>
      <c r="I1000" s="201"/>
      <c r="J1000" s="217"/>
      <c r="K1000" s="217"/>
      <c r="L1000" s="185"/>
      <c r="M1000" s="185"/>
      <c r="N1000" s="185"/>
      <c r="O1000" s="185"/>
      <c r="P1000" s="185"/>
      <c r="Q1000" s="185"/>
      <c r="R1000" s="168"/>
      <c r="S1000" s="168"/>
      <c r="U1000" s="170"/>
      <c r="V1000" s="171"/>
      <c r="W1000" s="171"/>
      <c r="X1000" s="171"/>
      <c r="Y1000" s="185"/>
      <c r="Z1000" s="185"/>
    </row>
    <row r="1001" spans="4:32" x14ac:dyDescent="0.25">
      <c r="D1001" s="175"/>
      <c r="E1001" s="175"/>
      <c r="H1001" s="201"/>
      <c r="I1001" s="201"/>
      <c r="J1001" s="217"/>
      <c r="K1001" s="217"/>
      <c r="L1001" s="185"/>
      <c r="M1001" s="185"/>
      <c r="N1001" s="185"/>
      <c r="O1001" s="185"/>
      <c r="P1001" s="185"/>
      <c r="Q1001" s="185"/>
      <c r="R1001" s="168"/>
      <c r="S1001" s="168"/>
      <c r="U1001" s="170"/>
      <c r="V1001" s="171"/>
      <c r="W1001" s="171"/>
      <c r="X1001" s="171"/>
      <c r="Y1001" s="185"/>
      <c r="Z1001" s="185"/>
      <c r="AC1001" s="221"/>
    </row>
    <row r="1002" spans="4:32" x14ac:dyDescent="0.25">
      <c r="D1002" s="175"/>
      <c r="E1002" s="175"/>
      <c r="H1002" s="201"/>
      <c r="I1002" s="201"/>
      <c r="J1002" s="217"/>
      <c r="K1002" s="217"/>
      <c r="L1002" s="185"/>
      <c r="M1002" s="185"/>
      <c r="N1002" s="185"/>
      <c r="O1002" s="185"/>
      <c r="P1002" s="185"/>
      <c r="Q1002" s="185"/>
      <c r="R1002" s="168"/>
      <c r="S1002" s="168"/>
      <c r="U1002" s="170"/>
      <c r="V1002" s="171"/>
      <c r="W1002" s="171"/>
      <c r="X1002" s="171"/>
      <c r="Y1002" s="185"/>
      <c r="Z1002" s="185"/>
    </row>
    <row r="1003" spans="4:32" x14ac:dyDescent="0.25">
      <c r="D1003" s="175"/>
      <c r="E1003" s="175"/>
      <c r="H1003" s="201"/>
      <c r="I1003" s="201"/>
      <c r="J1003" s="217"/>
      <c r="K1003" s="217"/>
      <c r="L1003" s="185"/>
      <c r="M1003" s="185"/>
      <c r="N1003" s="185"/>
      <c r="O1003" s="185"/>
      <c r="P1003" s="185"/>
      <c r="Q1003" s="185"/>
      <c r="R1003" s="168"/>
      <c r="S1003" s="168"/>
      <c r="U1003" s="170"/>
      <c r="V1003" s="171"/>
      <c r="W1003" s="171"/>
      <c r="X1003" s="171"/>
      <c r="Y1003" s="185"/>
      <c r="Z1003" s="185"/>
    </row>
    <row r="1004" spans="4:32" x14ac:dyDescent="0.25">
      <c r="D1004" s="175"/>
      <c r="E1004" s="175"/>
      <c r="H1004" s="201"/>
      <c r="I1004" s="201"/>
      <c r="J1004" s="217"/>
      <c r="K1004" s="217"/>
      <c r="L1004" s="185"/>
      <c r="M1004" s="185"/>
      <c r="N1004" s="185"/>
      <c r="O1004" s="185"/>
      <c r="P1004" s="185"/>
      <c r="Q1004" s="185"/>
      <c r="R1004" s="168"/>
      <c r="S1004" s="168"/>
      <c r="U1004" s="170"/>
      <c r="V1004" s="171"/>
      <c r="W1004" s="171"/>
      <c r="X1004" s="171"/>
      <c r="Y1004" s="185"/>
      <c r="Z1004" s="185"/>
      <c r="AC1004" s="182"/>
    </row>
    <row r="1005" spans="4:32" x14ac:dyDescent="0.25">
      <c r="D1005" s="175"/>
      <c r="E1005" s="175"/>
      <c r="H1005" s="201"/>
      <c r="I1005" s="201"/>
      <c r="J1005" s="217"/>
      <c r="K1005" s="217"/>
      <c r="L1005" s="185"/>
      <c r="M1005" s="185"/>
      <c r="N1005" s="185"/>
      <c r="O1005" s="185"/>
      <c r="P1005" s="185"/>
      <c r="Q1005" s="185"/>
      <c r="R1005" s="168"/>
      <c r="S1005" s="168"/>
      <c r="U1005" s="170"/>
      <c r="V1005" s="171"/>
      <c r="W1005" s="171"/>
      <c r="X1005" s="171"/>
      <c r="Y1005" s="185"/>
      <c r="Z1005" s="185"/>
    </row>
    <row r="1006" spans="4:32" x14ac:dyDescent="0.25">
      <c r="D1006" s="175"/>
      <c r="E1006" s="175"/>
      <c r="H1006" s="201"/>
      <c r="I1006" s="201"/>
      <c r="J1006" s="217"/>
      <c r="K1006" s="217"/>
      <c r="L1006" s="185"/>
      <c r="M1006" s="185"/>
      <c r="N1006" s="185"/>
      <c r="O1006" s="185"/>
      <c r="P1006" s="185"/>
      <c r="Q1006" s="185"/>
      <c r="R1006" s="168"/>
      <c r="S1006" s="168"/>
      <c r="U1006" s="170"/>
      <c r="V1006" s="171"/>
      <c r="W1006" s="171"/>
      <c r="X1006" s="171"/>
      <c r="Y1006" s="185"/>
      <c r="Z1006" s="185"/>
    </row>
    <row r="1007" spans="4:32" x14ac:dyDescent="0.25">
      <c r="D1007" s="175"/>
      <c r="E1007" s="175"/>
      <c r="H1007" s="201"/>
      <c r="I1007" s="201"/>
      <c r="J1007" s="217"/>
      <c r="K1007" s="217"/>
      <c r="L1007" s="185"/>
      <c r="M1007" s="185"/>
      <c r="N1007" s="185"/>
      <c r="O1007" s="185"/>
      <c r="P1007" s="185"/>
      <c r="Q1007" s="185"/>
      <c r="R1007" s="168"/>
      <c r="S1007" s="168"/>
      <c r="U1007" s="170"/>
      <c r="V1007" s="171"/>
      <c r="W1007" s="171"/>
      <c r="X1007" s="171"/>
      <c r="Y1007" s="185"/>
      <c r="Z1007" s="185"/>
    </row>
    <row r="1008" spans="4:32" x14ac:dyDescent="0.25">
      <c r="D1008" s="175"/>
      <c r="E1008" s="175"/>
      <c r="H1008" s="201"/>
      <c r="I1008" s="201"/>
      <c r="J1008" s="217"/>
      <c r="K1008" s="217"/>
      <c r="L1008" s="185"/>
      <c r="M1008" s="185"/>
      <c r="N1008" s="185"/>
      <c r="O1008" s="185"/>
      <c r="P1008" s="185"/>
      <c r="Q1008" s="185"/>
      <c r="R1008" s="168"/>
      <c r="S1008" s="168"/>
      <c r="U1008" s="170"/>
      <c r="V1008" s="171"/>
      <c r="W1008" s="171"/>
      <c r="X1008" s="171"/>
      <c r="Y1008" s="185"/>
      <c r="Z1008" s="185"/>
    </row>
    <row r="1009" spans="4:26" x14ac:dyDescent="0.25">
      <c r="D1009" s="175"/>
      <c r="E1009" s="175"/>
      <c r="H1009" s="201"/>
      <c r="I1009" s="201"/>
      <c r="J1009" s="217"/>
      <c r="K1009" s="217"/>
      <c r="L1009" s="185"/>
      <c r="M1009" s="185"/>
      <c r="N1009" s="185"/>
      <c r="O1009" s="185"/>
      <c r="P1009" s="185"/>
      <c r="Q1009" s="185"/>
      <c r="R1009" s="168"/>
      <c r="S1009" s="168"/>
      <c r="U1009" s="170"/>
      <c r="V1009" s="171"/>
      <c r="W1009" s="171"/>
      <c r="X1009" s="171"/>
      <c r="Y1009" s="185"/>
      <c r="Z1009" s="185"/>
    </row>
    <row r="1010" spans="4:26" x14ac:dyDescent="0.25">
      <c r="D1010" s="175"/>
      <c r="E1010" s="175"/>
      <c r="H1010" s="201"/>
      <c r="I1010" s="201"/>
      <c r="J1010" s="217"/>
      <c r="K1010" s="217"/>
      <c r="L1010" s="185"/>
      <c r="M1010" s="185"/>
      <c r="N1010" s="185"/>
      <c r="O1010" s="185"/>
      <c r="P1010" s="185"/>
      <c r="Q1010" s="185"/>
      <c r="R1010" s="168"/>
      <c r="S1010" s="168"/>
      <c r="U1010" s="170"/>
      <c r="V1010" s="171"/>
      <c r="W1010" s="171"/>
      <c r="X1010" s="171"/>
      <c r="Y1010" s="185"/>
      <c r="Z1010" s="185"/>
    </row>
    <row r="1011" spans="4:26" x14ac:dyDescent="0.25">
      <c r="D1011" s="175"/>
      <c r="E1011" s="175"/>
      <c r="H1011" s="201"/>
      <c r="I1011" s="201"/>
      <c r="J1011" s="217"/>
      <c r="K1011" s="217"/>
      <c r="L1011" s="185"/>
      <c r="M1011" s="185"/>
      <c r="N1011" s="185"/>
      <c r="O1011" s="185"/>
      <c r="P1011" s="185"/>
      <c r="Q1011" s="185"/>
      <c r="R1011" s="168"/>
      <c r="S1011" s="168"/>
      <c r="U1011" s="170"/>
      <c r="V1011" s="171"/>
      <c r="W1011" s="171"/>
      <c r="X1011" s="171"/>
      <c r="Y1011" s="185"/>
      <c r="Z1011" s="185"/>
    </row>
    <row r="1012" spans="4:26" x14ac:dyDescent="0.25">
      <c r="D1012" s="175"/>
      <c r="E1012" s="175"/>
      <c r="H1012" s="201"/>
      <c r="I1012" s="201"/>
      <c r="J1012" s="217"/>
      <c r="K1012" s="217"/>
      <c r="L1012" s="185"/>
      <c r="M1012" s="185"/>
      <c r="N1012" s="185"/>
      <c r="O1012" s="185"/>
      <c r="P1012" s="185"/>
      <c r="Q1012" s="185"/>
      <c r="R1012" s="168"/>
      <c r="S1012" s="168"/>
      <c r="U1012" s="170"/>
      <c r="V1012" s="171"/>
      <c r="W1012" s="171"/>
      <c r="X1012" s="171"/>
      <c r="Y1012" s="185"/>
      <c r="Z1012" s="185"/>
    </row>
    <row r="1013" spans="4:26" x14ac:dyDescent="0.25">
      <c r="D1013" s="175"/>
      <c r="E1013" s="175"/>
      <c r="H1013" s="201"/>
      <c r="I1013" s="201"/>
      <c r="J1013" s="217"/>
      <c r="K1013" s="217"/>
      <c r="L1013" s="185"/>
      <c r="M1013" s="185"/>
      <c r="N1013" s="185"/>
      <c r="O1013" s="185"/>
      <c r="P1013" s="185"/>
      <c r="Q1013" s="185"/>
      <c r="R1013" s="168"/>
      <c r="S1013" s="168"/>
      <c r="U1013" s="170"/>
      <c r="V1013" s="171"/>
      <c r="W1013" s="171"/>
      <c r="X1013" s="171"/>
      <c r="Y1013" s="185"/>
      <c r="Z1013" s="185"/>
    </row>
    <row r="1014" spans="4:26" x14ac:dyDescent="0.25">
      <c r="D1014" s="175"/>
      <c r="E1014" s="175"/>
      <c r="H1014" s="201"/>
      <c r="I1014" s="201"/>
      <c r="J1014" s="217"/>
      <c r="K1014" s="217"/>
      <c r="L1014" s="185"/>
      <c r="M1014" s="185"/>
      <c r="N1014" s="185"/>
      <c r="O1014" s="185"/>
      <c r="P1014" s="185"/>
      <c r="Q1014" s="185"/>
      <c r="R1014" s="168"/>
      <c r="S1014" s="168"/>
      <c r="U1014" s="170"/>
      <c r="V1014" s="171"/>
      <c r="W1014" s="171"/>
      <c r="X1014" s="171"/>
      <c r="Y1014" s="185"/>
      <c r="Z1014" s="185"/>
    </row>
    <row r="1015" spans="4:26" x14ac:dyDescent="0.25">
      <c r="D1015" s="175"/>
      <c r="E1015" s="175"/>
      <c r="H1015" s="201"/>
      <c r="I1015" s="201"/>
      <c r="J1015" s="217"/>
      <c r="K1015" s="217"/>
      <c r="L1015" s="185"/>
      <c r="M1015" s="185"/>
      <c r="N1015" s="185"/>
      <c r="O1015" s="185"/>
      <c r="P1015" s="185"/>
      <c r="Q1015" s="185"/>
      <c r="R1015" s="168"/>
      <c r="S1015" s="168"/>
      <c r="U1015" s="170"/>
      <c r="V1015" s="171"/>
      <c r="W1015" s="171"/>
      <c r="X1015" s="171"/>
      <c r="Y1015" s="185"/>
      <c r="Z1015" s="185"/>
    </row>
    <row r="1016" spans="4:26" x14ac:dyDescent="0.25">
      <c r="D1016" s="175"/>
      <c r="E1016" s="175"/>
      <c r="H1016" s="201"/>
      <c r="I1016" s="201"/>
      <c r="J1016" s="217"/>
      <c r="K1016" s="217"/>
      <c r="L1016" s="185"/>
      <c r="M1016" s="185"/>
      <c r="N1016" s="185"/>
      <c r="O1016" s="185"/>
      <c r="P1016" s="185"/>
      <c r="Q1016" s="185"/>
      <c r="R1016" s="168"/>
      <c r="S1016" s="168"/>
      <c r="U1016" s="170"/>
      <c r="V1016" s="171"/>
      <c r="W1016" s="171"/>
      <c r="X1016" s="171"/>
      <c r="Y1016" s="185"/>
      <c r="Z1016" s="185"/>
    </row>
    <row r="1017" spans="4:26" x14ac:dyDescent="0.25">
      <c r="D1017" s="175"/>
      <c r="E1017" s="175"/>
      <c r="H1017" s="201"/>
      <c r="I1017" s="201"/>
      <c r="J1017" s="217"/>
      <c r="K1017" s="217"/>
      <c r="L1017" s="185"/>
      <c r="M1017" s="185"/>
      <c r="N1017" s="185"/>
      <c r="O1017" s="185"/>
      <c r="P1017" s="185"/>
      <c r="Q1017" s="185"/>
      <c r="R1017" s="168"/>
      <c r="S1017" s="168"/>
      <c r="U1017" s="170"/>
      <c r="V1017" s="171"/>
      <c r="W1017" s="171"/>
      <c r="X1017" s="171"/>
      <c r="Y1017" s="185"/>
      <c r="Z1017" s="185"/>
    </row>
    <row r="1018" spans="4:26" x14ac:dyDescent="0.25">
      <c r="D1018" s="175"/>
      <c r="E1018" s="175"/>
      <c r="H1018" s="201"/>
      <c r="I1018" s="201"/>
      <c r="J1018" s="217"/>
      <c r="K1018" s="217"/>
      <c r="L1018" s="185"/>
      <c r="M1018" s="185"/>
      <c r="N1018" s="185"/>
      <c r="O1018" s="185"/>
      <c r="P1018" s="185"/>
      <c r="Q1018" s="185"/>
      <c r="R1018" s="168"/>
      <c r="S1018" s="168"/>
      <c r="U1018" s="170"/>
      <c r="V1018" s="171"/>
      <c r="W1018" s="171"/>
      <c r="X1018" s="171"/>
      <c r="Y1018" s="185"/>
      <c r="Z1018" s="185"/>
    </row>
    <row r="1019" spans="4:26" x14ac:dyDescent="0.25">
      <c r="D1019" s="175"/>
      <c r="E1019" s="175"/>
      <c r="H1019" s="201"/>
      <c r="I1019" s="201"/>
      <c r="J1019" s="217"/>
      <c r="K1019" s="217"/>
      <c r="L1019" s="185"/>
      <c r="M1019" s="185"/>
      <c r="N1019" s="185"/>
      <c r="O1019" s="185"/>
      <c r="P1019" s="185"/>
      <c r="Q1019" s="185"/>
      <c r="R1019" s="168"/>
      <c r="S1019" s="168"/>
      <c r="U1019" s="170"/>
      <c r="V1019" s="171"/>
      <c r="W1019" s="171"/>
      <c r="X1019" s="171"/>
      <c r="Y1019" s="185"/>
      <c r="Z1019" s="185"/>
    </row>
    <row r="1020" spans="4:26" x14ac:dyDescent="0.25">
      <c r="D1020" s="175"/>
      <c r="E1020" s="175"/>
      <c r="H1020" s="201"/>
      <c r="I1020" s="201"/>
      <c r="J1020" s="217"/>
      <c r="K1020" s="217"/>
      <c r="L1020" s="185"/>
      <c r="M1020" s="185"/>
      <c r="N1020" s="185"/>
      <c r="O1020" s="185"/>
      <c r="P1020" s="185"/>
      <c r="Q1020" s="185"/>
      <c r="R1020" s="168"/>
      <c r="S1020" s="168"/>
      <c r="U1020" s="170"/>
      <c r="V1020" s="171"/>
      <c r="W1020" s="171"/>
      <c r="X1020" s="171"/>
      <c r="Y1020" s="185"/>
      <c r="Z1020" s="185"/>
    </row>
    <row r="1021" spans="4:26" x14ac:dyDescent="0.25">
      <c r="D1021" s="175"/>
      <c r="E1021" s="175"/>
      <c r="H1021" s="201"/>
      <c r="I1021" s="201"/>
      <c r="J1021" s="217"/>
      <c r="K1021" s="217"/>
      <c r="L1021" s="185"/>
      <c r="M1021" s="185"/>
      <c r="N1021" s="185"/>
      <c r="O1021" s="185"/>
      <c r="P1021" s="185"/>
      <c r="Q1021" s="185"/>
      <c r="R1021" s="168"/>
      <c r="S1021" s="168"/>
      <c r="U1021" s="170"/>
      <c r="V1021" s="171"/>
      <c r="W1021" s="171"/>
      <c r="X1021" s="171"/>
      <c r="Y1021" s="185"/>
      <c r="Z1021" s="185"/>
    </row>
    <row r="1022" spans="4:26" x14ac:dyDescent="0.25">
      <c r="D1022" s="175"/>
      <c r="E1022" s="175"/>
      <c r="H1022" s="201"/>
      <c r="I1022" s="201"/>
      <c r="J1022" s="217"/>
      <c r="K1022" s="217"/>
      <c r="L1022" s="185"/>
      <c r="M1022" s="185"/>
      <c r="N1022" s="185"/>
      <c r="O1022" s="185"/>
      <c r="P1022" s="185"/>
      <c r="Q1022" s="185"/>
      <c r="R1022" s="168"/>
      <c r="S1022" s="168"/>
      <c r="U1022" s="170"/>
      <c r="V1022" s="171"/>
      <c r="W1022" s="171"/>
      <c r="X1022" s="171"/>
      <c r="Y1022" s="185"/>
      <c r="Z1022" s="185"/>
    </row>
    <row r="1023" spans="4:26" x14ac:dyDescent="0.25">
      <c r="D1023" s="175"/>
      <c r="E1023" s="175"/>
      <c r="H1023" s="201"/>
      <c r="I1023" s="201"/>
      <c r="J1023" s="217"/>
      <c r="K1023" s="217"/>
      <c r="L1023" s="185"/>
      <c r="M1023" s="185"/>
      <c r="N1023" s="185"/>
      <c r="O1023" s="185"/>
      <c r="P1023" s="185"/>
      <c r="Q1023" s="185"/>
      <c r="R1023" s="168"/>
      <c r="S1023" s="168"/>
      <c r="U1023" s="170"/>
      <c r="V1023" s="171"/>
      <c r="W1023" s="171"/>
      <c r="X1023" s="171"/>
      <c r="Y1023" s="185"/>
      <c r="Z1023" s="185"/>
    </row>
    <row r="1024" spans="4:26" x14ac:dyDescent="0.25">
      <c r="D1024" s="175"/>
      <c r="E1024" s="175"/>
      <c r="H1024" s="201"/>
      <c r="I1024" s="201"/>
      <c r="J1024" s="217"/>
      <c r="K1024" s="217"/>
      <c r="L1024" s="185"/>
      <c r="M1024" s="185"/>
      <c r="N1024" s="185"/>
      <c r="O1024" s="185"/>
      <c r="P1024" s="185"/>
      <c r="Q1024" s="185"/>
      <c r="R1024" s="168"/>
      <c r="S1024" s="168"/>
      <c r="U1024" s="170"/>
      <c r="V1024" s="171"/>
      <c r="W1024" s="171"/>
      <c r="X1024" s="171"/>
      <c r="Y1024" s="185"/>
      <c r="Z1024" s="185"/>
    </row>
    <row r="1025" spans="4:29" x14ac:dyDescent="0.25">
      <c r="D1025" s="175"/>
      <c r="E1025" s="175"/>
      <c r="H1025" s="201"/>
      <c r="I1025" s="201"/>
      <c r="J1025" s="217"/>
      <c r="K1025" s="217"/>
      <c r="L1025" s="185"/>
      <c r="M1025" s="185"/>
      <c r="N1025" s="185"/>
      <c r="O1025" s="185"/>
      <c r="P1025" s="185"/>
      <c r="Q1025" s="185"/>
      <c r="R1025" s="168"/>
      <c r="S1025" s="168"/>
      <c r="U1025" s="170"/>
      <c r="V1025" s="171"/>
      <c r="W1025" s="171"/>
      <c r="X1025" s="171"/>
      <c r="Y1025" s="185"/>
      <c r="Z1025" s="185"/>
    </row>
    <row r="1026" spans="4:29" x14ac:dyDescent="0.25">
      <c r="D1026" s="175"/>
      <c r="E1026" s="175"/>
      <c r="H1026" s="201"/>
      <c r="I1026" s="201"/>
      <c r="J1026" s="217"/>
      <c r="K1026" s="217"/>
      <c r="L1026" s="185"/>
      <c r="M1026" s="185"/>
      <c r="N1026" s="185"/>
      <c r="O1026" s="185"/>
      <c r="P1026" s="185"/>
      <c r="Q1026" s="185"/>
      <c r="R1026" s="168"/>
      <c r="S1026" s="168"/>
      <c r="U1026" s="170"/>
      <c r="V1026" s="171"/>
      <c r="W1026" s="171"/>
      <c r="X1026" s="171"/>
      <c r="Y1026" s="185"/>
      <c r="Z1026" s="185"/>
      <c r="AC1026" s="184"/>
    </row>
    <row r="1027" spans="4:29" x14ac:dyDescent="0.25">
      <c r="D1027" s="175"/>
      <c r="E1027" s="175"/>
      <c r="H1027" s="201"/>
      <c r="I1027" s="201"/>
      <c r="J1027" s="217"/>
      <c r="K1027" s="217"/>
      <c r="L1027" s="185"/>
      <c r="M1027" s="185"/>
      <c r="N1027" s="185"/>
      <c r="O1027" s="185"/>
      <c r="P1027" s="185"/>
      <c r="Q1027" s="185"/>
      <c r="R1027" s="168"/>
      <c r="S1027" s="168"/>
      <c r="U1027" s="170"/>
      <c r="V1027" s="171"/>
      <c r="W1027" s="171"/>
      <c r="X1027" s="171"/>
      <c r="Y1027" s="185"/>
      <c r="Z1027" s="185"/>
    </row>
    <row r="1028" spans="4:29" x14ac:dyDescent="0.25">
      <c r="D1028" s="175"/>
      <c r="E1028" s="175"/>
      <c r="H1028" s="201"/>
      <c r="I1028" s="201"/>
      <c r="J1028" s="217"/>
      <c r="K1028" s="217"/>
      <c r="L1028" s="185"/>
      <c r="M1028" s="185"/>
      <c r="N1028" s="185"/>
      <c r="O1028" s="185"/>
      <c r="P1028" s="185"/>
      <c r="Q1028" s="185"/>
      <c r="R1028" s="168"/>
      <c r="S1028" s="168"/>
      <c r="U1028" s="170"/>
      <c r="V1028" s="171"/>
      <c r="W1028" s="171"/>
      <c r="X1028" s="171"/>
      <c r="Y1028" s="185"/>
      <c r="Z1028" s="185"/>
    </row>
    <row r="1029" spans="4:29" x14ac:dyDescent="0.25">
      <c r="D1029" s="175"/>
      <c r="E1029" s="175"/>
      <c r="H1029" s="201"/>
      <c r="I1029" s="201"/>
      <c r="J1029" s="217"/>
      <c r="K1029" s="217"/>
      <c r="L1029" s="185"/>
      <c r="M1029" s="185"/>
      <c r="N1029" s="185"/>
      <c r="O1029" s="185"/>
      <c r="P1029" s="185"/>
      <c r="Q1029" s="185"/>
      <c r="R1029" s="168"/>
      <c r="S1029" s="168"/>
      <c r="U1029" s="170"/>
      <c r="V1029" s="171"/>
      <c r="W1029" s="171"/>
      <c r="X1029" s="171"/>
      <c r="Y1029" s="185"/>
      <c r="Z1029" s="185"/>
    </row>
    <row r="1030" spans="4:29" x14ac:dyDescent="0.25">
      <c r="D1030" s="175"/>
      <c r="E1030" s="175"/>
      <c r="H1030" s="201"/>
      <c r="I1030" s="201"/>
      <c r="J1030" s="217"/>
      <c r="K1030" s="217"/>
      <c r="L1030" s="185"/>
      <c r="M1030" s="185"/>
      <c r="N1030" s="185"/>
      <c r="O1030" s="185"/>
      <c r="P1030" s="185"/>
      <c r="Q1030" s="185"/>
      <c r="R1030" s="168"/>
      <c r="S1030" s="168"/>
      <c r="U1030" s="170"/>
      <c r="V1030" s="171"/>
      <c r="W1030" s="171"/>
      <c r="X1030" s="171"/>
      <c r="Y1030" s="185"/>
      <c r="Z1030" s="185"/>
    </row>
    <row r="1031" spans="4:29" x14ac:dyDescent="0.25">
      <c r="D1031" s="175"/>
      <c r="E1031" s="175"/>
      <c r="H1031" s="201"/>
      <c r="I1031" s="201"/>
      <c r="J1031" s="217"/>
      <c r="K1031" s="217"/>
      <c r="L1031" s="185"/>
      <c r="M1031" s="185"/>
      <c r="N1031" s="185"/>
      <c r="O1031" s="185"/>
      <c r="P1031" s="185"/>
      <c r="Q1031" s="185"/>
      <c r="R1031" s="168"/>
      <c r="S1031" s="168"/>
      <c r="U1031" s="170"/>
      <c r="V1031" s="171"/>
      <c r="W1031" s="171"/>
      <c r="X1031" s="171"/>
      <c r="Y1031" s="185"/>
      <c r="Z1031" s="185"/>
    </row>
    <row r="1032" spans="4:29" x14ac:dyDescent="0.25">
      <c r="D1032" s="175"/>
      <c r="E1032" s="175"/>
      <c r="H1032" s="201"/>
      <c r="I1032" s="201"/>
      <c r="J1032" s="217"/>
      <c r="K1032" s="217"/>
      <c r="L1032" s="185"/>
      <c r="M1032" s="185"/>
      <c r="N1032" s="185"/>
      <c r="O1032" s="185"/>
      <c r="P1032" s="185"/>
      <c r="Q1032" s="185"/>
      <c r="R1032" s="168"/>
      <c r="S1032" s="168"/>
      <c r="U1032" s="170"/>
      <c r="V1032" s="171"/>
      <c r="W1032" s="171"/>
      <c r="X1032" s="171"/>
      <c r="Y1032" s="185"/>
      <c r="Z1032" s="185"/>
    </row>
    <row r="1033" spans="4:29" x14ac:dyDescent="0.25">
      <c r="D1033" s="175"/>
      <c r="E1033" s="175"/>
      <c r="H1033" s="201"/>
      <c r="I1033" s="201"/>
      <c r="J1033" s="217"/>
      <c r="K1033" s="217"/>
      <c r="L1033" s="185"/>
      <c r="M1033" s="185"/>
      <c r="N1033" s="185"/>
      <c r="O1033" s="185"/>
      <c r="P1033" s="185"/>
      <c r="Q1033" s="185"/>
      <c r="R1033" s="168"/>
      <c r="S1033" s="168"/>
      <c r="U1033" s="170"/>
      <c r="V1033" s="171"/>
      <c r="W1033" s="171"/>
      <c r="X1033" s="171"/>
      <c r="Y1033" s="185"/>
      <c r="Z1033" s="185"/>
    </row>
    <row r="1034" spans="4:29" x14ac:dyDescent="0.25">
      <c r="D1034" s="175"/>
      <c r="E1034" s="175"/>
      <c r="H1034" s="201"/>
      <c r="I1034" s="201"/>
      <c r="J1034" s="217"/>
      <c r="K1034" s="217"/>
      <c r="L1034" s="185"/>
      <c r="M1034" s="185"/>
      <c r="N1034" s="185"/>
      <c r="O1034" s="185"/>
      <c r="P1034" s="185"/>
      <c r="Q1034" s="185"/>
      <c r="R1034" s="168"/>
      <c r="S1034" s="168"/>
      <c r="U1034" s="170"/>
      <c r="V1034" s="171"/>
      <c r="W1034" s="171"/>
      <c r="X1034" s="171"/>
      <c r="Y1034" s="185"/>
      <c r="Z1034" s="185"/>
    </row>
    <row r="1035" spans="4:29" x14ac:dyDescent="0.25">
      <c r="D1035" s="175"/>
      <c r="E1035" s="175"/>
      <c r="H1035" s="201"/>
      <c r="I1035" s="201"/>
      <c r="J1035" s="217"/>
      <c r="K1035" s="217"/>
      <c r="L1035" s="185"/>
      <c r="M1035" s="185"/>
      <c r="N1035" s="185"/>
      <c r="O1035" s="185"/>
      <c r="P1035" s="185"/>
      <c r="Q1035" s="185"/>
      <c r="R1035" s="168"/>
      <c r="S1035" s="168"/>
      <c r="U1035" s="170"/>
      <c r="V1035" s="171"/>
      <c r="W1035" s="171"/>
      <c r="X1035" s="171"/>
      <c r="Y1035" s="185"/>
      <c r="Z1035" s="185"/>
    </row>
    <row r="1036" spans="4:29" x14ac:dyDescent="0.25">
      <c r="D1036" s="175"/>
      <c r="E1036" s="175"/>
      <c r="H1036" s="201"/>
      <c r="I1036" s="201"/>
      <c r="J1036" s="217"/>
      <c r="K1036" s="217"/>
      <c r="L1036" s="185"/>
      <c r="M1036" s="185"/>
      <c r="N1036" s="185"/>
      <c r="O1036" s="185"/>
      <c r="P1036" s="185"/>
      <c r="Q1036" s="185"/>
      <c r="R1036" s="168"/>
      <c r="S1036" s="168"/>
      <c r="U1036" s="170"/>
      <c r="V1036" s="171"/>
      <c r="W1036" s="171"/>
      <c r="X1036" s="171"/>
      <c r="Y1036" s="185"/>
      <c r="Z1036" s="185"/>
    </row>
    <row r="1037" spans="4:29" x14ac:dyDescent="0.25">
      <c r="D1037" s="175"/>
      <c r="E1037" s="175"/>
      <c r="H1037" s="201"/>
      <c r="I1037" s="201"/>
      <c r="J1037" s="217"/>
      <c r="K1037" s="217"/>
      <c r="L1037" s="185"/>
      <c r="M1037" s="185"/>
      <c r="N1037" s="185"/>
      <c r="O1037" s="185"/>
      <c r="P1037" s="185"/>
      <c r="Q1037" s="185"/>
      <c r="R1037" s="168"/>
      <c r="S1037" s="168"/>
      <c r="U1037" s="170"/>
      <c r="V1037" s="171"/>
      <c r="W1037" s="171"/>
      <c r="X1037" s="171"/>
      <c r="Y1037" s="185"/>
      <c r="Z1037" s="185"/>
    </row>
    <row r="1038" spans="4:29" x14ac:dyDescent="0.25">
      <c r="D1038" s="175"/>
      <c r="E1038" s="175"/>
      <c r="H1038" s="201"/>
      <c r="I1038" s="201"/>
      <c r="J1038" s="217"/>
      <c r="K1038" s="217"/>
      <c r="L1038" s="185"/>
      <c r="M1038" s="185"/>
      <c r="N1038" s="185"/>
      <c r="O1038" s="185"/>
      <c r="P1038" s="185"/>
      <c r="Q1038" s="185"/>
      <c r="R1038" s="168"/>
      <c r="S1038" s="168"/>
      <c r="U1038" s="170"/>
      <c r="V1038" s="171"/>
      <c r="W1038" s="171"/>
      <c r="X1038" s="171"/>
      <c r="Y1038" s="185"/>
      <c r="Z1038" s="185"/>
    </row>
    <row r="1039" spans="4:29" x14ac:dyDescent="0.25">
      <c r="D1039" s="175"/>
      <c r="E1039" s="175"/>
      <c r="H1039" s="201"/>
      <c r="I1039" s="201"/>
      <c r="J1039" s="217"/>
      <c r="K1039" s="217"/>
      <c r="L1039" s="185"/>
      <c r="M1039" s="185"/>
      <c r="N1039" s="185"/>
      <c r="O1039" s="185"/>
      <c r="P1039" s="185"/>
      <c r="Q1039" s="185"/>
      <c r="R1039" s="168"/>
      <c r="S1039" s="168"/>
      <c r="U1039" s="170"/>
      <c r="V1039" s="171"/>
      <c r="W1039" s="171"/>
      <c r="X1039" s="171"/>
      <c r="Y1039" s="185"/>
      <c r="Z1039" s="185"/>
    </row>
    <row r="1040" spans="4:29" x14ac:dyDescent="0.25">
      <c r="D1040" s="175"/>
      <c r="E1040" s="175"/>
      <c r="H1040" s="201"/>
      <c r="I1040" s="201"/>
      <c r="J1040" s="217"/>
      <c r="K1040" s="217"/>
      <c r="L1040" s="185"/>
      <c r="M1040" s="185"/>
      <c r="N1040" s="185"/>
      <c r="O1040" s="185"/>
      <c r="P1040" s="185"/>
      <c r="Q1040" s="185"/>
      <c r="R1040" s="168"/>
      <c r="S1040" s="168"/>
      <c r="U1040" s="170"/>
      <c r="V1040" s="171"/>
      <c r="W1040" s="171"/>
      <c r="X1040" s="171"/>
      <c r="Y1040" s="185"/>
      <c r="Z1040" s="185"/>
    </row>
    <row r="1041" spans="4:26" x14ac:dyDescent="0.25">
      <c r="D1041" s="175"/>
      <c r="E1041" s="175"/>
      <c r="H1041" s="201"/>
      <c r="I1041" s="201"/>
      <c r="J1041" s="217"/>
      <c r="K1041" s="217"/>
      <c r="L1041" s="185"/>
      <c r="M1041" s="185"/>
      <c r="N1041" s="185"/>
      <c r="O1041" s="185"/>
      <c r="P1041" s="185"/>
      <c r="Q1041" s="185"/>
      <c r="R1041" s="168"/>
      <c r="S1041" s="168"/>
      <c r="U1041" s="170"/>
      <c r="V1041" s="171"/>
      <c r="W1041" s="171"/>
      <c r="X1041" s="171"/>
      <c r="Y1041" s="185"/>
      <c r="Z1041" s="185"/>
    </row>
    <row r="1042" spans="4:26" x14ac:dyDescent="0.25">
      <c r="D1042" s="175"/>
      <c r="E1042" s="175"/>
      <c r="H1042" s="201"/>
      <c r="I1042" s="201"/>
      <c r="J1042" s="217"/>
      <c r="K1042" s="217"/>
      <c r="L1042" s="185"/>
      <c r="M1042" s="185"/>
      <c r="N1042" s="185"/>
      <c r="O1042" s="185"/>
      <c r="P1042" s="185"/>
      <c r="Q1042" s="185"/>
      <c r="R1042" s="168"/>
      <c r="S1042" s="168"/>
      <c r="U1042" s="170"/>
      <c r="V1042" s="171"/>
      <c r="W1042" s="171"/>
      <c r="X1042" s="171"/>
      <c r="Y1042" s="185"/>
      <c r="Z1042" s="185"/>
    </row>
    <row r="1043" spans="4:26" x14ac:dyDescent="0.25">
      <c r="D1043" s="175"/>
      <c r="E1043" s="175"/>
      <c r="H1043" s="201"/>
      <c r="I1043" s="201"/>
      <c r="J1043" s="217"/>
      <c r="K1043" s="217"/>
      <c r="L1043" s="185"/>
      <c r="M1043" s="185"/>
      <c r="N1043" s="185"/>
      <c r="O1043" s="185"/>
      <c r="P1043" s="185"/>
      <c r="Q1043" s="185"/>
      <c r="R1043" s="168"/>
      <c r="S1043" s="168"/>
      <c r="U1043" s="170"/>
      <c r="V1043" s="171"/>
      <c r="W1043" s="171"/>
      <c r="X1043" s="171"/>
      <c r="Y1043" s="185"/>
      <c r="Z1043" s="185"/>
    </row>
    <row r="1044" spans="4:26" x14ac:dyDescent="0.25">
      <c r="D1044" s="175"/>
      <c r="E1044" s="175"/>
      <c r="H1044" s="201"/>
      <c r="I1044" s="201"/>
      <c r="J1044" s="217"/>
      <c r="K1044" s="217"/>
      <c r="L1044" s="185"/>
      <c r="M1044" s="185"/>
      <c r="N1044" s="185"/>
      <c r="O1044" s="185"/>
      <c r="P1044" s="185"/>
      <c r="Q1044" s="185"/>
      <c r="R1044" s="168"/>
      <c r="S1044" s="168"/>
      <c r="U1044" s="170"/>
      <c r="V1044" s="171"/>
      <c r="W1044" s="171"/>
      <c r="X1044" s="171"/>
      <c r="Y1044" s="185"/>
      <c r="Z1044" s="185"/>
    </row>
    <row r="1045" spans="4:26" x14ac:dyDescent="0.25">
      <c r="D1045" s="175"/>
      <c r="E1045" s="175"/>
      <c r="H1045" s="201"/>
      <c r="I1045" s="201"/>
      <c r="J1045" s="217"/>
      <c r="K1045" s="217"/>
      <c r="L1045" s="185"/>
      <c r="M1045" s="185"/>
      <c r="N1045" s="185"/>
      <c r="O1045" s="185"/>
      <c r="P1045" s="185"/>
      <c r="Q1045" s="185"/>
      <c r="R1045" s="168"/>
      <c r="S1045" s="168"/>
      <c r="U1045" s="170"/>
      <c r="V1045" s="171"/>
      <c r="W1045" s="171"/>
      <c r="X1045" s="171"/>
      <c r="Y1045" s="185"/>
      <c r="Z1045" s="185"/>
    </row>
    <row r="1046" spans="4:26" x14ac:dyDescent="0.25">
      <c r="D1046" s="175"/>
      <c r="E1046" s="175"/>
      <c r="H1046" s="201"/>
      <c r="I1046" s="201"/>
      <c r="J1046" s="217"/>
      <c r="K1046" s="217"/>
      <c r="L1046" s="185"/>
      <c r="M1046" s="185"/>
      <c r="N1046" s="185"/>
      <c r="O1046" s="185"/>
      <c r="P1046" s="185"/>
      <c r="Q1046" s="185"/>
      <c r="R1046" s="168"/>
      <c r="S1046" s="168"/>
      <c r="U1046" s="170"/>
      <c r="V1046" s="171"/>
      <c r="W1046" s="171"/>
      <c r="X1046" s="171"/>
      <c r="Y1046" s="185"/>
      <c r="Z1046" s="185"/>
    </row>
    <row r="1047" spans="4:26" x14ac:dyDescent="0.25">
      <c r="D1047" s="175"/>
      <c r="E1047" s="175"/>
      <c r="H1047" s="201"/>
      <c r="I1047" s="201"/>
      <c r="J1047" s="217"/>
      <c r="K1047" s="217"/>
      <c r="L1047" s="185"/>
      <c r="M1047" s="185"/>
      <c r="N1047" s="185"/>
      <c r="O1047" s="185"/>
      <c r="P1047" s="185"/>
      <c r="Q1047" s="185"/>
      <c r="R1047" s="168"/>
      <c r="S1047" s="168"/>
      <c r="U1047" s="170"/>
      <c r="V1047" s="171"/>
      <c r="W1047" s="171"/>
      <c r="X1047" s="171"/>
      <c r="Y1047" s="185"/>
      <c r="Z1047" s="185"/>
    </row>
    <row r="1048" spans="4:26" x14ac:dyDescent="0.25">
      <c r="D1048" s="175"/>
      <c r="E1048" s="175"/>
      <c r="H1048" s="201"/>
      <c r="I1048" s="201"/>
      <c r="J1048" s="217"/>
      <c r="K1048" s="217"/>
      <c r="L1048" s="185"/>
      <c r="M1048" s="185"/>
      <c r="N1048" s="185"/>
      <c r="O1048" s="185"/>
      <c r="P1048" s="185"/>
      <c r="Q1048" s="185"/>
      <c r="R1048" s="168"/>
      <c r="S1048" s="168"/>
      <c r="U1048" s="170"/>
      <c r="V1048" s="171"/>
      <c r="W1048" s="171"/>
      <c r="X1048" s="171"/>
      <c r="Y1048" s="185"/>
      <c r="Z1048" s="185"/>
    </row>
    <row r="1049" spans="4:26" x14ac:dyDescent="0.25">
      <c r="D1049" s="175"/>
      <c r="E1049" s="175"/>
      <c r="H1049" s="201"/>
      <c r="I1049" s="201"/>
      <c r="J1049" s="217"/>
      <c r="K1049" s="217"/>
      <c r="L1049" s="185"/>
      <c r="M1049" s="185"/>
      <c r="N1049" s="185"/>
      <c r="O1049" s="185"/>
      <c r="P1049" s="185"/>
      <c r="Q1049" s="185"/>
      <c r="R1049" s="168"/>
      <c r="S1049" s="168"/>
      <c r="U1049" s="170"/>
      <c r="V1049" s="171"/>
      <c r="W1049" s="171"/>
      <c r="X1049" s="171"/>
      <c r="Y1049" s="185"/>
      <c r="Z1049" s="185"/>
    </row>
    <row r="1050" spans="4:26" x14ac:dyDescent="0.25">
      <c r="D1050" s="175"/>
      <c r="E1050" s="175"/>
      <c r="H1050" s="201"/>
      <c r="I1050" s="201"/>
      <c r="J1050" s="217"/>
      <c r="K1050" s="217"/>
      <c r="L1050" s="185"/>
      <c r="M1050" s="185"/>
      <c r="N1050" s="185"/>
      <c r="O1050" s="185"/>
      <c r="P1050" s="185"/>
      <c r="Q1050" s="185"/>
      <c r="R1050" s="168"/>
      <c r="S1050" s="168"/>
      <c r="U1050" s="170"/>
      <c r="V1050" s="171"/>
      <c r="W1050" s="171"/>
      <c r="X1050" s="171"/>
      <c r="Y1050" s="185"/>
      <c r="Z1050" s="185"/>
    </row>
    <row r="1051" spans="4:26" x14ac:dyDescent="0.25">
      <c r="D1051" s="175"/>
      <c r="E1051" s="175"/>
      <c r="H1051" s="201"/>
      <c r="I1051" s="201"/>
      <c r="J1051" s="217"/>
      <c r="K1051" s="217"/>
      <c r="L1051" s="185"/>
      <c r="M1051" s="185"/>
      <c r="N1051" s="185"/>
      <c r="O1051" s="185"/>
      <c r="P1051" s="185"/>
      <c r="Q1051" s="185"/>
      <c r="R1051" s="168"/>
      <c r="S1051" s="168"/>
      <c r="U1051" s="170"/>
      <c r="V1051" s="171"/>
      <c r="W1051" s="171"/>
      <c r="X1051" s="171"/>
      <c r="Y1051" s="185"/>
      <c r="Z1051" s="185"/>
    </row>
    <row r="1052" spans="4:26" x14ac:dyDescent="0.25">
      <c r="D1052" s="175"/>
      <c r="E1052" s="175"/>
      <c r="H1052" s="201"/>
      <c r="I1052" s="201"/>
      <c r="J1052" s="217"/>
      <c r="K1052" s="217"/>
      <c r="L1052" s="185"/>
      <c r="M1052" s="185"/>
      <c r="N1052" s="185"/>
      <c r="O1052" s="185"/>
      <c r="P1052" s="185"/>
      <c r="Q1052" s="185"/>
      <c r="R1052" s="168"/>
      <c r="S1052" s="168"/>
      <c r="U1052" s="170"/>
      <c r="V1052" s="171"/>
      <c r="W1052" s="171"/>
      <c r="X1052" s="171"/>
      <c r="Y1052" s="185"/>
      <c r="Z1052" s="185"/>
    </row>
    <row r="1053" spans="4:26" x14ac:dyDescent="0.25">
      <c r="D1053" s="175"/>
      <c r="E1053" s="175"/>
      <c r="H1053" s="201"/>
      <c r="I1053" s="201"/>
      <c r="J1053" s="217"/>
      <c r="K1053" s="217"/>
      <c r="L1053" s="185"/>
      <c r="M1053" s="185"/>
      <c r="N1053" s="185"/>
      <c r="O1053" s="185"/>
      <c r="P1053" s="185"/>
      <c r="Q1053" s="185"/>
      <c r="R1053" s="168"/>
      <c r="S1053" s="168"/>
      <c r="U1053" s="170"/>
      <c r="V1053" s="171"/>
      <c r="W1053" s="171"/>
      <c r="X1053" s="171"/>
      <c r="Y1053" s="185"/>
      <c r="Z1053" s="185"/>
    </row>
    <row r="1054" spans="4:26" x14ac:dyDescent="0.25">
      <c r="D1054" s="175"/>
      <c r="E1054" s="175"/>
      <c r="H1054" s="201"/>
      <c r="I1054" s="201"/>
      <c r="J1054" s="217"/>
      <c r="K1054" s="217"/>
      <c r="L1054" s="185"/>
      <c r="M1054" s="185"/>
      <c r="N1054" s="185"/>
      <c r="O1054" s="185"/>
      <c r="P1054" s="185"/>
      <c r="Q1054" s="185"/>
      <c r="R1054" s="168"/>
      <c r="S1054" s="168"/>
      <c r="U1054" s="170"/>
      <c r="V1054" s="171"/>
      <c r="W1054" s="171"/>
      <c r="X1054" s="171"/>
      <c r="Y1054" s="185"/>
      <c r="Z1054" s="185"/>
    </row>
    <row r="1055" spans="4:26" x14ac:dyDescent="0.25">
      <c r="D1055" s="175"/>
      <c r="E1055" s="175"/>
      <c r="H1055" s="201"/>
      <c r="I1055" s="201"/>
      <c r="J1055" s="217"/>
      <c r="K1055" s="217"/>
      <c r="L1055" s="185"/>
      <c r="M1055" s="185"/>
      <c r="N1055" s="185"/>
      <c r="O1055" s="185"/>
      <c r="P1055" s="185"/>
      <c r="Q1055" s="185"/>
      <c r="R1055" s="168"/>
      <c r="S1055" s="168"/>
      <c r="U1055" s="170"/>
      <c r="V1055" s="171"/>
      <c r="W1055" s="171"/>
      <c r="X1055" s="171"/>
      <c r="Y1055" s="185"/>
      <c r="Z1055" s="185"/>
    </row>
    <row r="1056" spans="4:26" x14ac:dyDescent="0.25">
      <c r="D1056" s="175"/>
      <c r="E1056" s="175"/>
      <c r="H1056" s="201"/>
      <c r="I1056" s="201"/>
      <c r="J1056" s="217"/>
      <c r="K1056" s="217"/>
      <c r="L1056" s="185"/>
      <c r="M1056" s="185"/>
      <c r="N1056" s="185"/>
      <c r="O1056" s="185"/>
      <c r="P1056" s="185"/>
      <c r="Q1056" s="185"/>
      <c r="R1056" s="168"/>
      <c r="S1056" s="168"/>
      <c r="U1056" s="170"/>
      <c r="V1056" s="171"/>
      <c r="W1056" s="171"/>
      <c r="X1056" s="171"/>
      <c r="Y1056" s="185"/>
      <c r="Z1056" s="185"/>
    </row>
    <row r="1057" spans="4:31" x14ac:dyDescent="0.25">
      <c r="D1057" s="175"/>
      <c r="E1057" s="175"/>
      <c r="H1057" s="201"/>
      <c r="I1057" s="201"/>
      <c r="J1057" s="217"/>
      <c r="K1057" s="217"/>
      <c r="L1057" s="185"/>
      <c r="M1057" s="185"/>
      <c r="N1057" s="185"/>
      <c r="O1057" s="185"/>
      <c r="P1057" s="185"/>
      <c r="Q1057" s="185"/>
      <c r="R1057" s="168"/>
      <c r="S1057" s="168"/>
      <c r="U1057" s="170"/>
      <c r="V1057" s="171"/>
      <c r="W1057" s="171"/>
      <c r="X1057" s="171"/>
      <c r="Y1057" s="185"/>
      <c r="Z1057" s="185"/>
    </row>
    <row r="1058" spans="4:31" x14ac:dyDescent="0.25">
      <c r="D1058" s="175"/>
      <c r="E1058" s="175"/>
      <c r="H1058" s="201"/>
      <c r="I1058" s="201"/>
      <c r="J1058" s="217"/>
      <c r="K1058" s="217"/>
      <c r="L1058" s="185"/>
      <c r="M1058" s="185"/>
      <c r="N1058" s="185"/>
      <c r="O1058" s="185"/>
      <c r="P1058" s="185"/>
      <c r="Q1058" s="185"/>
      <c r="R1058" s="168"/>
      <c r="S1058" s="168"/>
      <c r="U1058" s="170"/>
      <c r="V1058" s="171"/>
      <c r="W1058" s="171"/>
      <c r="X1058" s="171"/>
      <c r="Y1058" s="185"/>
      <c r="Z1058" s="185"/>
    </row>
    <row r="1059" spans="4:31" x14ac:dyDescent="0.25">
      <c r="D1059" s="175"/>
      <c r="E1059" s="175"/>
      <c r="H1059" s="201"/>
      <c r="I1059" s="201"/>
      <c r="J1059" s="217"/>
      <c r="K1059" s="217"/>
      <c r="L1059" s="185"/>
      <c r="M1059" s="185"/>
      <c r="N1059" s="185"/>
      <c r="O1059" s="185"/>
      <c r="P1059" s="185"/>
      <c r="Q1059" s="185"/>
      <c r="R1059" s="168"/>
      <c r="S1059" s="168"/>
      <c r="U1059" s="170"/>
      <c r="V1059" s="171"/>
      <c r="W1059" s="171"/>
      <c r="X1059" s="171"/>
      <c r="Y1059" s="185"/>
      <c r="Z1059" s="185"/>
    </row>
    <row r="1060" spans="4:31" x14ac:dyDescent="0.25">
      <c r="D1060" s="175"/>
      <c r="E1060" s="175"/>
      <c r="H1060" s="201"/>
      <c r="I1060" s="201"/>
      <c r="J1060" s="217"/>
      <c r="K1060" s="217"/>
      <c r="L1060" s="185"/>
      <c r="M1060" s="185"/>
      <c r="N1060" s="185"/>
      <c r="O1060" s="185"/>
      <c r="P1060" s="185"/>
      <c r="Q1060" s="185"/>
      <c r="R1060" s="168"/>
      <c r="S1060" s="168"/>
      <c r="U1060" s="170"/>
      <c r="V1060" s="171"/>
      <c r="W1060" s="171"/>
      <c r="X1060" s="171"/>
      <c r="Y1060" s="185"/>
      <c r="Z1060" s="185"/>
    </row>
    <row r="1061" spans="4:31" x14ac:dyDescent="0.25">
      <c r="D1061" s="175"/>
      <c r="E1061" s="175"/>
      <c r="H1061" s="201"/>
      <c r="I1061" s="201"/>
      <c r="J1061" s="217"/>
      <c r="K1061" s="217"/>
      <c r="L1061" s="185"/>
      <c r="M1061" s="185"/>
      <c r="N1061" s="185"/>
      <c r="O1061" s="185"/>
      <c r="P1061" s="185"/>
      <c r="Q1061" s="185"/>
      <c r="R1061" s="168"/>
      <c r="S1061" s="168"/>
      <c r="U1061" s="170"/>
      <c r="V1061" s="171"/>
      <c r="W1061" s="171"/>
      <c r="X1061" s="171"/>
      <c r="Y1061" s="185"/>
      <c r="Z1061" s="185"/>
    </row>
    <row r="1062" spans="4:31" x14ac:dyDescent="0.25">
      <c r="D1062" s="175"/>
      <c r="E1062" s="175"/>
      <c r="H1062" s="201"/>
      <c r="I1062" s="201"/>
      <c r="J1062" s="217"/>
      <c r="K1062" s="217"/>
      <c r="L1062" s="185"/>
      <c r="M1062" s="185"/>
      <c r="N1062" s="185"/>
      <c r="O1062" s="185"/>
      <c r="P1062" s="185"/>
      <c r="Q1062" s="185"/>
      <c r="R1062" s="168"/>
      <c r="S1062" s="168"/>
      <c r="U1062" s="170"/>
      <c r="V1062" s="171"/>
      <c r="W1062" s="171"/>
      <c r="X1062" s="171"/>
      <c r="Y1062" s="185"/>
      <c r="Z1062" s="185"/>
    </row>
    <row r="1063" spans="4:31" x14ac:dyDescent="0.25">
      <c r="D1063" s="175"/>
      <c r="E1063" s="175"/>
      <c r="H1063" s="201"/>
      <c r="I1063" s="201"/>
      <c r="J1063" s="217"/>
      <c r="K1063" s="217"/>
      <c r="L1063" s="185"/>
      <c r="M1063" s="185"/>
      <c r="N1063" s="185"/>
      <c r="O1063" s="185"/>
      <c r="P1063" s="185"/>
      <c r="Q1063" s="185"/>
      <c r="R1063" s="168"/>
      <c r="S1063" s="168"/>
      <c r="U1063" s="170"/>
      <c r="V1063" s="171"/>
      <c r="W1063" s="171"/>
      <c r="X1063" s="171"/>
      <c r="Y1063" s="185"/>
      <c r="Z1063" s="185"/>
    </row>
    <row r="1064" spans="4:31" x14ac:dyDescent="0.25">
      <c r="D1064" s="175"/>
      <c r="E1064" s="175"/>
      <c r="H1064" s="201"/>
      <c r="I1064" s="201"/>
      <c r="J1064" s="217"/>
      <c r="K1064" s="217"/>
      <c r="L1064" s="185"/>
      <c r="M1064" s="185"/>
      <c r="N1064" s="185"/>
      <c r="O1064" s="185"/>
      <c r="P1064" s="185"/>
      <c r="Q1064" s="185"/>
      <c r="R1064" s="168"/>
      <c r="S1064" s="168"/>
      <c r="U1064" s="170"/>
      <c r="V1064" s="171"/>
      <c r="W1064" s="171"/>
      <c r="X1064" s="171"/>
      <c r="Y1064" s="185"/>
      <c r="Z1064" s="185"/>
      <c r="AE1064" s="170"/>
    </row>
    <row r="1065" spans="4:31" x14ac:dyDescent="0.25">
      <c r="D1065" s="175"/>
      <c r="E1065" s="175"/>
      <c r="H1065" s="201"/>
      <c r="I1065" s="201"/>
      <c r="J1065" s="217"/>
      <c r="K1065" s="217"/>
      <c r="L1065" s="185"/>
      <c r="M1065" s="185"/>
      <c r="N1065" s="185"/>
      <c r="O1065" s="185"/>
      <c r="P1065" s="185"/>
      <c r="Q1065" s="185"/>
      <c r="R1065" s="168"/>
      <c r="S1065" s="168"/>
      <c r="U1065" s="170"/>
      <c r="V1065" s="171"/>
      <c r="W1065" s="171"/>
      <c r="X1065" s="171"/>
      <c r="Y1065" s="185"/>
      <c r="Z1065" s="185"/>
    </row>
    <row r="1066" spans="4:31" x14ac:dyDescent="0.25">
      <c r="D1066" s="175"/>
      <c r="E1066" s="175"/>
      <c r="H1066" s="201"/>
      <c r="I1066" s="201"/>
      <c r="J1066" s="217"/>
      <c r="K1066" s="217"/>
      <c r="L1066" s="185"/>
      <c r="M1066" s="185"/>
      <c r="N1066" s="185"/>
      <c r="O1066" s="185"/>
      <c r="P1066" s="185"/>
      <c r="Q1066" s="185"/>
      <c r="R1066" s="168"/>
      <c r="S1066" s="168"/>
      <c r="U1066" s="170"/>
      <c r="V1066" s="171"/>
      <c r="W1066" s="171"/>
      <c r="X1066" s="171"/>
      <c r="Y1066" s="185"/>
      <c r="Z1066" s="185"/>
    </row>
    <row r="1067" spans="4:31" x14ac:dyDescent="0.25">
      <c r="D1067" s="175"/>
      <c r="E1067" s="175"/>
      <c r="H1067" s="201"/>
      <c r="I1067" s="201"/>
      <c r="J1067" s="217"/>
      <c r="K1067" s="217"/>
      <c r="L1067" s="185"/>
      <c r="M1067" s="185"/>
      <c r="N1067" s="185"/>
      <c r="O1067" s="185"/>
      <c r="P1067" s="185"/>
      <c r="Q1067" s="185"/>
      <c r="R1067" s="168"/>
      <c r="S1067" s="168"/>
      <c r="U1067" s="170"/>
      <c r="V1067" s="171"/>
      <c r="W1067" s="171"/>
      <c r="X1067" s="171"/>
      <c r="Y1067" s="185"/>
      <c r="Z1067" s="185"/>
      <c r="AE1067" s="170"/>
    </row>
    <row r="1068" spans="4:31" x14ac:dyDescent="0.25">
      <c r="D1068" s="175"/>
      <c r="E1068" s="175"/>
      <c r="H1068" s="201"/>
      <c r="I1068" s="201"/>
      <c r="J1068" s="217"/>
      <c r="K1068" s="217"/>
      <c r="L1068" s="185"/>
      <c r="M1068" s="185"/>
      <c r="N1068" s="185"/>
      <c r="O1068" s="185"/>
      <c r="P1068" s="185"/>
      <c r="Q1068" s="185"/>
      <c r="R1068" s="168"/>
      <c r="S1068" s="168"/>
      <c r="U1068" s="170"/>
      <c r="V1068" s="171"/>
      <c r="W1068" s="171"/>
      <c r="X1068" s="171"/>
      <c r="Y1068" s="185"/>
      <c r="Z1068" s="185"/>
    </row>
    <row r="1069" spans="4:31" x14ac:dyDescent="0.25">
      <c r="D1069" s="175"/>
      <c r="E1069" s="175"/>
      <c r="H1069" s="201"/>
      <c r="I1069" s="201"/>
      <c r="J1069" s="217"/>
      <c r="K1069" s="217"/>
      <c r="L1069" s="185"/>
      <c r="M1069" s="185"/>
      <c r="N1069" s="185"/>
      <c r="O1069" s="185"/>
      <c r="P1069" s="185"/>
      <c r="Q1069" s="185"/>
      <c r="R1069" s="168"/>
      <c r="S1069" s="168"/>
      <c r="U1069" s="170"/>
      <c r="V1069" s="171"/>
      <c r="W1069" s="171"/>
      <c r="X1069" s="171"/>
      <c r="Y1069" s="185"/>
      <c r="Z1069" s="185"/>
    </row>
    <row r="1070" spans="4:31" x14ac:dyDescent="0.25">
      <c r="D1070" s="175"/>
      <c r="E1070" s="175"/>
      <c r="H1070" s="201"/>
      <c r="I1070" s="201"/>
      <c r="J1070" s="217"/>
      <c r="K1070" s="217"/>
      <c r="L1070" s="185"/>
      <c r="M1070" s="185"/>
      <c r="N1070" s="185"/>
      <c r="O1070" s="185"/>
      <c r="P1070" s="185"/>
      <c r="Q1070" s="185"/>
      <c r="R1070" s="168"/>
      <c r="S1070" s="168"/>
      <c r="U1070" s="170"/>
      <c r="V1070" s="171"/>
      <c r="W1070" s="171"/>
      <c r="X1070" s="171"/>
      <c r="Y1070" s="185"/>
      <c r="Z1070" s="185"/>
    </row>
    <row r="1071" spans="4:31" x14ac:dyDescent="0.25">
      <c r="D1071" s="175"/>
      <c r="E1071" s="175"/>
      <c r="H1071" s="201"/>
      <c r="I1071" s="201"/>
      <c r="J1071" s="217"/>
      <c r="K1071" s="217"/>
      <c r="L1071" s="185"/>
      <c r="M1071" s="185"/>
      <c r="N1071" s="185"/>
      <c r="O1071" s="185"/>
      <c r="P1071" s="185"/>
      <c r="Q1071" s="185"/>
      <c r="R1071" s="168"/>
      <c r="S1071" s="168"/>
      <c r="U1071" s="170"/>
      <c r="V1071" s="171"/>
      <c r="W1071" s="171"/>
      <c r="X1071" s="171"/>
      <c r="Y1071" s="185"/>
      <c r="Z1071" s="185"/>
    </row>
    <row r="1072" spans="4:31" x14ac:dyDescent="0.25">
      <c r="D1072" s="175"/>
      <c r="E1072" s="175"/>
      <c r="H1072" s="201"/>
      <c r="I1072" s="201"/>
      <c r="J1072" s="217"/>
      <c r="K1072" s="217"/>
      <c r="L1072" s="185"/>
      <c r="M1072" s="185"/>
      <c r="N1072" s="185"/>
      <c r="O1072" s="185"/>
      <c r="P1072" s="185"/>
      <c r="Q1072" s="185"/>
      <c r="R1072" s="168"/>
      <c r="S1072" s="168"/>
      <c r="U1072" s="170"/>
      <c r="V1072" s="171"/>
      <c r="W1072" s="171"/>
      <c r="X1072" s="171"/>
      <c r="Y1072" s="185"/>
      <c r="Z1072" s="185"/>
    </row>
    <row r="1073" spans="4:26" x14ac:dyDescent="0.25">
      <c r="D1073" s="175"/>
      <c r="E1073" s="175"/>
      <c r="H1073" s="201"/>
      <c r="I1073" s="201"/>
      <c r="J1073" s="217"/>
      <c r="K1073" s="217"/>
      <c r="L1073" s="185"/>
      <c r="M1073" s="185"/>
      <c r="N1073" s="185"/>
      <c r="O1073" s="185"/>
      <c r="P1073" s="185"/>
      <c r="Q1073" s="185"/>
      <c r="R1073" s="168"/>
      <c r="S1073" s="168"/>
      <c r="U1073" s="170"/>
      <c r="V1073" s="171"/>
      <c r="W1073" s="171"/>
      <c r="X1073" s="171"/>
      <c r="Y1073" s="185"/>
      <c r="Z1073" s="185"/>
    </row>
    <row r="1074" spans="4:26" x14ac:dyDescent="0.25">
      <c r="D1074" s="175"/>
      <c r="E1074" s="175"/>
      <c r="H1074" s="201"/>
      <c r="I1074" s="201"/>
      <c r="J1074" s="217"/>
      <c r="K1074" s="217"/>
      <c r="L1074" s="185"/>
      <c r="M1074" s="185"/>
      <c r="N1074" s="185"/>
      <c r="O1074" s="185"/>
      <c r="P1074" s="185"/>
      <c r="Q1074" s="185"/>
      <c r="R1074" s="168"/>
      <c r="S1074" s="168"/>
      <c r="U1074" s="170"/>
      <c r="V1074" s="171"/>
      <c r="W1074" s="171"/>
      <c r="X1074" s="171"/>
      <c r="Y1074" s="185"/>
      <c r="Z1074" s="185"/>
    </row>
    <row r="1075" spans="4:26" x14ac:dyDescent="0.25">
      <c r="D1075" s="175"/>
      <c r="E1075" s="175"/>
      <c r="H1075" s="201"/>
      <c r="I1075" s="201"/>
      <c r="J1075" s="217"/>
      <c r="K1075" s="217"/>
      <c r="L1075" s="185"/>
      <c r="M1075" s="185"/>
      <c r="N1075" s="185"/>
      <c r="O1075" s="185"/>
      <c r="P1075" s="185"/>
      <c r="Q1075" s="185"/>
      <c r="R1075" s="168"/>
      <c r="S1075" s="168"/>
      <c r="U1075" s="170"/>
      <c r="V1075" s="171"/>
      <c r="W1075" s="171"/>
      <c r="X1075" s="171"/>
      <c r="Y1075" s="185"/>
      <c r="Z1075" s="185"/>
    </row>
    <row r="1076" spans="4:26" x14ac:dyDescent="0.25">
      <c r="D1076" s="175"/>
      <c r="E1076" s="175"/>
      <c r="H1076" s="201"/>
      <c r="I1076" s="201"/>
      <c r="J1076" s="217"/>
      <c r="K1076" s="217"/>
      <c r="L1076" s="185"/>
      <c r="M1076" s="185"/>
      <c r="N1076" s="185"/>
      <c r="O1076" s="185"/>
      <c r="P1076" s="185"/>
      <c r="Q1076" s="185"/>
      <c r="R1076" s="168"/>
      <c r="S1076" s="168"/>
      <c r="U1076" s="170"/>
      <c r="V1076" s="171"/>
      <c r="W1076" s="171"/>
      <c r="X1076" s="171"/>
      <c r="Y1076" s="185"/>
      <c r="Z1076" s="185"/>
    </row>
    <row r="1077" spans="4:26" x14ac:dyDescent="0.25">
      <c r="D1077" s="175"/>
      <c r="E1077" s="175"/>
      <c r="H1077" s="201"/>
      <c r="I1077" s="201"/>
      <c r="J1077" s="217"/>
      <c r="K1077" s="217"/>
      <c r="L1077" s="185"/>
      <c r="M1077" s="185"/>
      <c r="N1077" s="185"/>
      <c r="O1077" s="185"/>
      <c r="P1077" s="185"/>
      <c r="Q1077" s="185"/>
      <c r="R1077" s="168"/>
      <c r="S1077" s="168"/>
      <c r="U1077" s="170"/>
      <c r="V1077" s="171"/>
      <c r="W1077" s="171"/>
      <c r="X1077" s="171"/>
      <c r="Y1077" s="185"/>
      <c r="Z1077" s="185"/>
    </row>
    <row r="1078" spans="4:26" x14ac:dyDescent="0.25">
      <c r="D1078" s="175"/>
      <c r="E1078" s="175"/>
      <c r="H1078" s="201"/>
      <c r="I1078" s="201"/>
      <c r="J1078" s="217"/>
      <c r="K1078" s="217"/>
      <c r="L1078" s="185"/>
      <c r="M1078" s="185"/>
      <c r="N1078" s="185"/>
      <c r="O1078" s="185"/>
      <c r="P1078" s="185"/>
      <c r="Q1078" s="185"/>
      <c r="R1078" s="168"/>
      <c r="S1078" s="168"/>
      <c r="U1078" s="170"/>
      <c r="V1078" s="171"/>
      <c r="W1078" s="171"/>
      <c r="X1078" s="171"/>
      <c r="Y1078" s="185"/>
      <c r="Z1078" s="185"/>
    </row>
    <row r="1079" spans="4:26" x14ac:dyDescent="0.25">
      <c r="D1079" s="175"/>
      <c r="E1079" s="175"/>
      <c r="H1079" s="201"/>
      <c r="I1079" s="201"/>
      <c r="J1079" s="217"/>
      <c r="K1079" s="217"/>
      <c r="L1079" s="185"/>
      <c r="M1079" s="185"/>
      <c r="N1079" s="185"/>
      <c r="O1079" s="185"/>
      <c r="P1079" s="185"/>
      <c r="Q1079" s="185"/>
      <c r="R1079" s="168"/>
      <c r="S1079" s="168"/>
      <c r="U1079" s="170"/>
      <c r="V1079" s="171"/>
      <c r="W1079" s="171"/>
      <c r="X1079" s="171"/>
      <c r="Y1079" s="185"/>
      <c r="Z1079" s="185"/>
    </row>
    <row r="1080" spans="4:26" x14ac:dyDescent="0.25">
      <c r="D1080" s="175"/>
      <c r="E1080" s="175"/>
      <c r="H1080" s="201"/>
      <c r="I1080" s="201"/>
      <c r="J1080" s="217"/>
      <c r="K1080" s="217"/>
      <c r="L1080" s="185"/>
      <c r="M1080" s="185"/>
      <c r="N1080" s="185"/>
      <c r="O1080" s="185"/>
      <c r="P1080" s="185"/>
      <c r="Q1080" s="185"/>
      <c r="R1080" s="168"/>
      <c r="S1080" s="168"/>
      <c r="U1080" s="170"/>
      <c r="V1080" s="171"/>
      <c r="W1080" s="171"/>
      <c r="X1080" s="171"/>
      <c r="Y1080" s="185"/>
      <c r="Z1080" s="185"/>
    </row>
    <row r="1081" spans="4:26" x14ac:dyDescent="0.25">
      <c r="D1081" s="175"/>
      <c r="E1081" s="175"/>
      <c r="H1081" s="201"/>
      <c r="I1081" s="201"/>
      <c r="J1081" s="217"/>
      <c r="K1081" s="217"/>
      <c r="L1081" s="185"/>
      <c r="M1081" s="185"/>
      <c r="N1081" s="185"/>
      <c r="O1081" s="185"/>
      <c r="P1081" s="185"/>
      <c r="Q1081" s="185"/>
      <c r="R1081" s="168"/>
      <c r="S1081" s="168"/>
      <c r="U1081" s="170"/>
      <c r="V1081" s="171"/>
      <c r="W1081" s="171"/>
      <c r="X1081" s="171"/>
      <c r="Y1081" s="185"/>
      <c r="Z1081" s="185"/>
    </row>
    <row r="1082" spans="4:26" x14ac:dyDescent="0.25">
      <c r="D1082" s="175"/>
      <c r="E1082" s="175"/>
      <c r="H1082" s="201"/>
      <c r="I1082" s="201"/>
      <c r="J1082" s="217"/>
      <c r="K1082" s="217"/>
      <c r="L1082" s="185"/>
      <c r="M1082" s="185"/>
      <c r="N1082" s="185"/>
      <c r="O1082" s="185"/>
      <c r="P1082" s="185"/>
      <c r="Q1082" s="185"/>
      <c r="R1082" s="168"/>
      <c r="S1082" s="168"/>
      <c r="U1082" s="170"/>
      <c r="V1082" s="171"/>
      <c r="W1082" s="171"/>
      <c r="X1082" s="171"/>
      <c r="Y1082" s="185"/>
      <c r="Z1082" s="185"/>
    </row>
    <row r="1083" spans="4:26" x14ac:dyDescent="0.25">
      <c r="D1083" s="175"/>
      <c r="E1083" s="175"/>
      <c r="H1083" s="201"/>
      <c r="I1083" s="201"/>
      <c r="J1083" s="217"/>
      <c r="K1083" s="217"/>
      <c r="L1083" s="185"/>
      <c r="M1083" s="185"/>
      <c r="N1083" s="185"/>
      <c r="O1083" s="185"/>
      <c r="P1083" s="185"/>
      <c r="Q1083" s="185"/>
      <c r="R1083" s="168"/>
      <c r="S1083" s="168"/>
      <c r="U1083" s="170"/>
      <c r="V1083" s="171"/>
      <c r="W1083" s="171"/>
      <c r="X1083" s="171"/>
      <c r="Y1083" s="185"/>
      <c r="Z1083" s="185"/>
    </row>
    <row r="1084" spans="4:26" x14ac:dyDescent="0.25">
      <c r="D1084" s="175"/>
      <c r="E1084" s="175"/>
      <c r="H1084" s="201"/>
      <c r="I1084" s="201"/>
      <c r="J1084" s="217"/>
      <c r="K1084" s="217"/>
      <c r="L1084" s="185"/>
      <c r="M1084" s="185"/>
      <c r="N1084" s="185"/>
      <c r="O1084" s="185"/>
      <c r="P1084" s="185"/>
      <c r="Q1084" s="185"/>
      <c r="R1084" s="168"/>
      <c r="S1084" s="168"/>
      <c r="U1084" s="170"/>
      <c r="V1084" s="171"/>
      <c r="W1084" s="171"/>
      <c r="X1084" s="171"/>
      <c r="Y1084" s="185"/>
      <c r="Z1084" s="185"/>
    </row>
    <row r="1085" spans="4:26" x14ac:dyDescent="0.25">
      <c r="D1085" s="175"/>
      <c r="E1085" s="175"/>
      <c r="H1085" s="201"/>
      <c r="I1085" s="201"/>
      <c r="J1085" s="217"/>
      <c r="K1085" s="217"/>
      <c r="L1085" s="185"/>
      <c r="M1085" s="185"/>
      <c r="N1085" s="185"/>
      <c r="O1085" s="185"/>
      <c r="P1085" s="185"/>
      <c r="Q1085" s="185"/>
      <c r="R1085" s="168"/>
      <c r="S1085" s="168"/>
      <c r="U1085" s="170"/>
      <c r="V1085" s="171"/>
      <c r="W1085" s="171"/>
      <c r="X1085" s="171"/>
      <c r="Y1085" s="185"/>
      <c r="Z1085" s="185"/>
    </row>
    <row r="1086" spans="4:26" x14ac:dyDescent="0.25">
      <c r="D1086" s="223"/>
      <c r="E1086" s="175"/>
      <c r="H1086" s="201"/>
      <c r="I1086" s="201"/>
      <c r="J1086" s="217"/>
      <c r="K1086" s="217"/>
      <c r="L1086" s="185"/>
      <c r="M1086" s="185"/>
      <c r="N1086" s="185"/>
      <c r="O1086" s="185"/>
      <c r="P1086" s="185"/>
      <c r="Q1086" s="185"/>
      <c r="R1086" s="168"/>
      <c r="S1086" s="168"/>
      <c r="U1086" s="170"/>
      <c r="V1086" s="171"/>
      <c r="W1086" s="171"/>
      <c r="X1086" s="171"/>
      <c r="Y1086" s="185"/>
      <c r="Z1086" s="185"/>
    </row>
    <row r="1087" spans="4:26" x14ac:dyDescent="0.25">
      <c r="D1087" s="175"/>
      <c r="E1087" s="175"/>
      <c r="H1087" s="201"/>
      <c r="I1087" s="201"/>
      <c r="J1087" s="217"/>
      <c r="K1087" s="217"/>
      <c r="L1087" s="185"/>
      <c r="M1087" s="185"/>
      <c r="N1087" s="185"/>
      <c r="O1087" s="185"/>
      <c r="P1087" s="185"/>
      <c r="Q1087" s="185"/>
      <c r="R1087" s="168"/>
      <c r="S1087" s="168"/>
      <c r="U1087" s="170"/>
      <c r="V1087" s="171"/>
      <c r="W1087" s="171"/>
      <c r="X1087" s="171"/>
      <c r="Y1087" s="185"/>
      <c r="Z1087" s="185"/>
    </row>
    <row r="1088" spans="4:26" x14ac:dyDescent="0.25">
      <c r="D1088" s="175"/>
      <c r="E1088" s="175"/>
      <c r="H1088" s="201"/>
      <c r="I1088" s="201"/>
      <c r="J1088" s="217"/>
      <c r="K1088" s="217"/>
      <c r="L1088" s="185"/>
      <c r="M1088" s="185"/>
      <c r="N1088" s="185"/>
      <c r="O1088" s="185"/>
      <c r="P1088" s="185"/>
      <c r="Q1088" s="185"/>
      <c r="R1088" s="168"/>
      <c r="S1088" s="168"/>
      <c r="U1088" s="170"/>
      <c r="V1088" s="171"/>
      <c r="W1088" s="171"/>
      <c r="X1088" s="171"/>
      <c r="Y1088" s="185"/>
      <c r="Z1088" s="185"/>
    </row>
    <row r="1089" spans="4:26" x14ac:dyDescent="0.25">
      <c r="D1089" s="175"/>
      <c r="E1089" s="175"/>
      <c r="H1089" s="201"/>
      <c r="I1089" s="201"/>
      <c r="J1089" s="217"/>
      <c r="K1089" s="217"/>
      <c r="L1089" s="185"/>
      <c r="M1089" s="185"/>
      <c r="N1089" s="185"/>
      <c r="O1089" s="185"/>
      <c r="P1089" s="185"/>
      <c r="Q1089" s="185"/>
      <c r="R1089" s="168"/>
      <c r="S1089" s="168"/>
      <c r="U1089" s="170"/>
      <c r="V1089" s="171"/>
      <c r="W1089" s="171"/>
      <c r="X1089" s="171"/>
      <c r="Y1089" s="185"/>
      <c r="Z1089" s="185"/>
    </row>
    <row r="1090" spans="4:26" x14ac:dyDescent="0.25">
      <c r="D1090" s="175"/>
      <c r="E1090" s="175"/>
      <c r="H1090" s="201"/>
      <c r="I1090" s="201"/>
      <c r="J1090" s="217"/>
      <c r="K1090" s="217"/>
      <c r="L1090" s="185"/>
      <c r="M1090" s="185"/>
      <c r="N1090" s="185"/>
      <c r="O1090" s="185"/>
      <c r="P1090" s="185"/>
      <c r="Q1090" s="185"/>
      <c r="R1090" s="168"/>
      <c r="S1090" s="168"/>
      <c r="U1090" s="170"/>
      <c r="V1090" s="171"/>
      <c r="W1090" s="171"/>
      <c r="X1090" s="171"/>
      <c r="Y1090" s="185"/>
      <c r="Z1090" s="185"/>
    </row>
    <row r="1091" spans="4:26" x14ac:dyDescent="0.25">
      <c r="D1091" s="175"/>
      <c r="E1091" s="175"/>
      <c r="H1091" s="201"/>
      <c r="I1091" s="201"/>
      <c r="J1091" s="217"/>
      <c r="K1091" s="217"/>
      <c r="L1091" s="185"/>
      <c r="M1091" s="185"/>
      <c r="N1091" s="185"/>
      <c r="O1091" s="185"/>
      <c r="P1091" s="185"/>
      <c r="Q1091" s="185"/>
      <c r="R1091" s="168"/>
      <c r="S1091" s="168"/>
      <c r="U1091" s="170"/>
      <c r="V1091" s="171"/>
      <c r="W1091" s="171"/>
      <c r="X1091" s="171"/>
      <c r="Y1091" s="185"/>
      <c r="Z1091" s="185"/>
    </row>
    <row r="1092" spans="4:26" x14ac:dyDescent="0.25">
      <c r="D1092" s="175"/>
      <c r="E1092" s="175"/>
      <c r="H1092" s="201"/>
      <c r="I1092" s="201"/>
      <c r="J1092" s="217"/>
      <c r="K1092" s="217"/>
      <c r="L1092" s="185"/>
      <c r="M1092" s="185"/>
      <c r="N1092" s="185"/>
      <c r="O1092" s="185"/>
      <c r="P1092" s="185"/>
      <c r="Q1092" s="185"/>
      <c r="R1092" s="168"/>
      <c r="S1092" s="168"/>
      <c r="U1092" s="170"/>
      <c r="V1092" s="171"/>
      <c r="W1092" s="171"/>
      <c r="X1092" s="171"/>
      <c r="Y1092" s="185"/>
      <c r="Z1092" s="185"/>
    </row>
    <row r="1093" spans="4:26" x14ac:dyDescent="0.25">
      <c r="D1093" s="175"/>
      <c r="E1093" s="175"/>
      <c r="H1093" s="201"/>
      <c r="I1093" s="201"/>
      <c r="J1093" s="217"/>
      <c r="K1093" s="217"/>
      <c r="L1093" s="185"/>
      <c r="M1093" s="185"/>
      <c r="N1093" s="185"/>
      <c r="O1093" s="185"/>
      <c r="P1093" s="185"/>
      <c r="Q1093" s="185"/>
      <c r="R1093" s="168"/>
      <c r="S1093" s="168"/>
      <c r="U1093" s="170"/>
      <c r="V1093" s="171"/>
      <c r="W1093" s="171"/>
      <c r="X1093" s="171"/>
      <c r="Y1093" s="185"/>
      <c r="Z1093" s="185"/>
    </row>
    <row r="1094" spans="4:26" x14ac:dyDescent="0.25">
      <c r="D1094" s="175"/>
      <c r="E1094" s="175"/>
      <c r="H1094" s="201"/>
      <c r="I1094" s="201"/>
      <c r="J1094" s="217"/>
      <c r="K1094" s="217"/>
      <c r="L1094" s="185"/>
      <c r="M1094" s="185"/>
      <c r="N1094" s="185"/>
      <c r="O1094" s="185"/>
      <c r="P1094" s="185"/>
      <c r="Q1094" s="185"/>
      <c r="R1094" s="168"/>
      <c r="S1094" s="168"/>
      <c r="U1094" s="170"/>
      <c r="V1094" s="171"/>
      <c r="W1094" s="171"/>
      <c r="X1094" s="171"/>
      <c r="Y1094" s="185"/>
      <c r="Z1094" s="185"/>
    </row>
    <row r="1095" spans="4:26" x14ac:dyDescent="0.25">
      <c r="D1095" s="175"/>
      <c r="E1095" s="175"/>
      <c r="H1095" s="201"/>
      <c r="I1095" s="201"/>
      <c r="J1095" s="217"/>
      <c r="K1095" s="217"/>
      <c r="L1095" s="185"/>
      <c r="M1095" s="185"/>
      <c r="N1095" s="185"/>
      <c r="O1095" s="185"/>
      <c r="P1095" s="185"/>
      <c r="Q1095" s="185"/>
      <c r="R1095" s="168"/>
      <c r="S1095" s="168"/>
      <c r="U1095" s="170"/>
      <c r="V1095" s="171"/>
      <c r="W1095" s="171"/>
      <c r="X1095" s="171"/>
      <c r="Y1095" s="185"/>
      <c r="Z1095" s="185"/>
    </row>
    <row r="1096" spans="4:26" x14ac:dyDescent="0.25">
      <c r="D1096" s="175"/>
      <c r="E1096" s="175"/>
      <c r="H1096" s="201"/>
      <c r="I1096" s="201"/>
      <c r="J1096" s="217"/>
      <c r="K1096" s="217"/>
      <c r="L1096" s="185"/>
      <c r="M1096" s="185"/>
      <c r="N1096" s="185"/>
      <c r="O1096" s="185"/>
      <c r="P1096" s="185"/>
      <c r="Q1096" s="185"/>
      <c r="R1096" s="168"/>
      <c r="S1096" s="168"/>
      <c r="U1096" s="170"/>
      <c r="V1096" s="171"/>
      <c r="W1096" s="171"/>
      <c r="X1096" s="171"/>
      <c r="Y1096" s="185"/>
      <c r="Z1096" s="185"/>
    </row>
    <row r="1097" spans="4:26" x14ac:dyDescent="0.25">
      <c r="D1097" s="175"/>
      <c r="E1097" s="175"/>
      <c r="H1097" s="201"/>
      <c r="I1097" s="201"/>
      <c r="J1097" s="217"/>
      <c r="K1097" s="217"/>
      <c r="L1097" s="185"/>
      <c r="M1097" s="185"/>
      <c r="N1097" s="185"/>
      <c r="O1097" s="185"/>
      <c r="P1097" s="185"/>
      <c r="Q1097" s="185"/>
      <c r="R1097" s="168"/>
      <c r="S1097" s="168"/>
      <c r="U1097" s="170"/>
      <c r="V1097" s="171"/>
      <c r="W1097" s="171"/>
      <c r="X1097" s="171"/>
      <c r="Y1097" s="185"/>
      <c r="Z1097" s="185"/>
    </row>
    <row r="1098" spans="4:26" x14ac:dyDescent="0.25">
      <c r="D1098" s="175"/>
      <c r="E1098" s="175"/>
      <c r="H1098" s="201"/>
      <c r="I1098" s="201"/>
      <c r="J1098" s="217"/>
      <c r="K1098" s="217"/>
      <c r="L1098" s="185"/>
      <c r="M1098" s="185"/>
      <c r="N1098" s="185"/>
      <c r="O1098" s="185"/>
      <c r="P1098" s="185"/>
      <c r="Q1098" s="185"/>
      <c r="R1098" s="168"/>
      <c r="S1098" s="168"/>
      <c r="U1098" s="170"/>
      <c r="V1098" s="171"/>
      <c r="W1098" s="171"/>
      <c r="X1098" s="171"/>
      <c r="Y1098" s="185"/>
      <c r="Z1098" s="185"/>
    </row>
    <row r="1099" spans="4:26" x14ac:dyDescent="0.25">
      <c r="D1099" s="175"/>
      <c r="E1099" s="175"/>
      <c r="H1099" s="201"/>
      <c r="I1099" s="201"/>
      <c r="J1099" s="217"/>
      <c r="K1099" s="217"/>
      <c r="L1099" s="185"/>
      <c r="M1099" s="185"/>
      <c r="N1099" s="185"/>
      <c r="O1099" s="185"/>
      <c r="P1099" s="185"/>
      <c r="Q1099" s="185"/>
      <c r="R1099" s="168"/>
      <c r="S1099" s="168"/>
      <c r="U1099" s="170"/>
      <c r="V1099" s="171"/>
      <c r="W1099" s="171"/>
      <c r="X1099" s="171"/>
      <c r="Y1099" s="185"/>
      <c r="Z1099" s="185"/>
    </row>
    <row r="1100" spans="4:26" x14ac:dyDescent="0.25">
      <c r="D1100" s="175"/>
      <c r="E1100" s="175"/>
      <c r="H1100" s="201"/>
      <c r="I1100" s="201"/>
      <c r="J1100" s="217"/>
      <c r="K1100" s="217"/>
      <c r="L1100" s="185"/>
      <c r="M1100" s="185"/>
      <c r="N1100" s="185"/>
      <c r="O1100" s="185"/>
      <c r="P1100" s="185"/>
      <c r="Q1100" s="185"/>
      <c r="R1100" s="168"/>
      <c r="S1100" s="168"/>
      <c r="U1100" s="170"/>
      <c r="V1100" s="171"/>
      <c r="W1100" s="171"/>
      <c r="X1100" s="171"/>
      <c r="Y1100" s="185"/>
      <c r="Z1100" s="185"/>
    </row>
    <row r="1101" spans="4:26" x14ac:dyDescent="0.25">
      <c r="D1101" s="175"/>
      <c r="E1101" s="175"/>
      <c r="H1101" s="201"/>
      <c r="I1101" s="201"/>
      <c r="J1101" s="217"/>
      <c r="K1101" s="217"/>
      <c r="L1101" s="185"/>
      <c r="M1101" s="185"/>
      <c r="N1101" s="185"/>
      <c r="O1101" s="185"/>
      <c r="P1101" s="185"/>
      <c r="Q1101" s="185"/>
      <c r="R1101" s="168"/>
      <c r="S1101" s="168"/>
      <c r="U1101" s="170"/>
      <c r="V1101" s="171"/>
      <c r="W1101" s="171"/>
      <c r="X1101" s="171"/>
      <c r="Y1101" s="185"/>
      <c r="Z1101" s="185"/>
    </row>
    <row r="1102" spans="4:26" x14ac:dyDescent="0.25">
      <c r="D1102" s="175"/>
      <c r="E1102" s="175"/>
      <c r="H1102" s="201"/>
      <c r="I1102" s="201"/>
      <c r="J1102" s="217"/>
      <c r="K1102" s="217"/>
      <c r="L1102" s="185"/>
      <c r="M1102" s="185"/>
      <c r="N1102" s="185"/>
      <c r="O1102" s="185"/>
      <c r="P1102" s="185"/>
      <c r="Q1102" s="185"/>
      <c r="R1102" s="168"/>
      <c r="S1102" s="168"/>
      <c r="U1102" s="170"/>
      <c r="V1102" s="171"/>
      <c r="W1102" s="171"/>
      <c r="X1102" s="171"/>
      <c r="Y1102" s="185"/>
      <c r="Z1102" s="185"/>
    </row>
    <row r="1103" spans="4:26" x14ac:dyDescent="0.25">
      <c r="D1103" s="175"/>
      <c r="E1103" s="175"/>
      <c r="H1103" s="201"/>
      <c r="I1103" s="201"/>
      <c r="J1103" s="217"/>
      <c r="K1103" s="217"/>
      <c r="L1103" s="185"/>
      <c r="M1103" s="185"/>
      <c r="N1103" s="185"/>
      <c r="O1103" s="185"/>
      <c r="P1103" s="185"/>
      <c r="Q1103" s="185"/>
      <c r="R1103" s="168"/>
      <c r="S1103" s="168"/>
      <c r="U1103" s="170"/>
      <c r="V1103" s="171"/>
      <c r="W1103" s="171"/>
      <c r="X1103" s="171"/>
      <c r="Y1103" s="185"/>
      <c r="Z1103" s="185"/>
    </row>
    <row r="1104" spans="4:26" x14ac:dyDescent="0.25">
      <c r="D1104" s="175"/>
      <c r="E1104" s="175"/>
      <c r="H1104" s="201"/>
      <c r="I1104" s="201"/>
      <c r="J1104" s="217"/>
      <c r="K1104" s="217"/>
      <c r="L1104" s="185"/>
      <c r="M1104" s="185"/>
      <c r="N1104" s="185"/>
      <c r="O1104" s="185"/>
      <c r="P1104" s="185"/>
      <c r="Q1104" s="185"/>
      <c r="R1104" s="168"/>
      <c r="S1104" s="168"/>
      <c r="U1104" s="170"/>
      <c r="V1104" s="171"/>
      <c r="W1104" s="171"/>
      <c r="X1104" s="171"/>
      <c r="Y1104" s="185"/>
      <c r="Z1104" s="185"/>
    </row>
    <row r="1105" spans="4:26" x14ac:dyDescent="0.25">
      <c r="D1105" s="175"/>
      <c r="E1105" s="175"/>
      <c r="H1105" s="201"/>
      <c r="I1105" s="201"/>
      <c r="J1105" s="217"/>
      <c r="K1105" s="217"/>
      <c r="L1105" s="185"/>
      <c r="M1105" s="185"/>
      <c r="N1105" s="185"/>
      <c r="O1105" s="185"/>
      <c r="P1105" s="185"/>
      <c r="Q1105" s="185"/>
      <c r="R1105" s="168"/>
      <c r="S1105" s="168"/>
      <c r="U1105" s="170"/>
      <c r="V1105" s="171"/>
      <c r="W1105" s="171"/>
      <c r="X1105" s="171"/>
      <c r="Y1105" s="185"/>
      <c r="Z1105" s="185"/>
    </row>
    <row r="1106" spans="4:26" x14ac:dyDescent="0.25">
      <c r="D1106" s="175"/>
      <c r="E1106" s="175"/>
      <c r="H1106" s="201"/>
      <c r="I1106" s="201"/>
      <c r="J1106" s="217"/>
      <c r="K1106" s="217"/>
      <c r="L1106" s="185"/>
      <c r="M1106" s="185"/>
      <c r="N1106" s="185"/>
      <c r="O1106" s="185"/>
      <c r="P1106" s="185"/>
      <c r="Q1106" s="185"/>
      <c r="R1106" s="168"/>
      <c r="S1106" s="168"/>
      <c r="U1106" s="170"/>
      <c r="V1106" s="171"/>
      <c r="W1106" s="171"/>
      <c r="X1106" s="171"/>
      <c r="Y1106" s="185"/>
      <c r="Z1106" s="185"/>
    </row>
    <row r="1107" spans="4:26" x14ac:dyDescent="0.25">
      <c r="D1107" s="175"/>
      <c r="E1107" s="175"/>
      <c r="H1107" s="201"/>
      <c r="I1107" s="201"/>
      <c r="J1107" s="217"/>
      <c r="K1107" s="217"/>
      <c r="L1107" s="185"/>
      <c r="M1107" s="185"/>
      <c r="N1107" s="185"/>
      <c r="O1107" s="185"/>
      <c r="P1107" s="185"/>
      <c r="Q1107" s="185"/>
      <c r="R1107" s="168"/>
      <c r="S1107" s="168"/>
      <c r="U1107" s="170"/>
      <c r="V1107" s="171"/>
      <c r="W1107" s="171"/>
      <c r="X1107" s="171"/>
      <c r="Y1107" s="185"/>
      <c r="Z1107" s="185"/>
    </row>
    <row r="1108" spans="4:26" x14ac:dyDescent="0.25">
      <c r="D1108" s="175"/>
      <c r="E1108" s="175"/>
      <c r="H1108" s="201"/>
      <c r="I1108" s="201"/>
      <c r="J1108" s="217"/>
      <c r="K1108" s="217"/>
      <c r="L1108" s="185"/>
      <c r="M1108" s="185"/>
      <c r="N1108" s="185"/>
      <c r="O1108" s="185"/>
      <c r="P1108" s="185"/>
      <c r="Q1108" s="185"/>
      <c r="R1108" s="168"/>
      <c r="S1108" s="168"/>
      <c r="U1108" s="170"/>
      <c r="V1108" s="171"/>
      <c r="W1108" s="171"/>
      <c r="X1108" s="171"/>
      <c r="Y1108" s="185"/>
      <c r="Z1108" s="185"/>
    </row>
    <row r="1109" spans="4:26" x14ac:dyDescent="0.25">
      <c r="D1109" s="175"/>
      <c r="E1109" s="175"/>
      <c r="H1109" s="201"/>
      <c r="I1109" s="201"/>
      <c r="J1109" s="217"/>
      <c r="K1109" s="217"/>
      <c r="L1109" s="185"/>
      <c r="M1109" s="185"/>
      <c r="N1109" s="185"/>
      <c r="O1109" s="185"/>
      <c r="P1109" s="185"/>
      <c r="Q1109" s="185"/>
      <c r="R1109" s="168"/>
      <c r="S1109" s="168"/>
      <c r="U1109" s="170"/>
      <c r="V1109" s="171"/>
      <c r="W1109" s="171"/>
      <c r="X1109" s="171"/>
      <c r="Y1109" s="185"/>
      <c r="Z1109" s="185"/>
    </row>
    <row r="1110" spans="4:26" x14ac:dyDescent="0.25">
      <c r="D1110" s="175"/>
      <c r="E1110" s="175"/>
      <c r="H1110" s="201"/>
      <c r="I1110" s="201"/>
      <c r="J1110" s="217"/>
      <c r="K1110" s="217"/>
      <c r="L1110" s="185"/>
      <c r="M1110" s="185"/>
      <c r="N1110" s="185"/>
      <c r="O1110" s="185"/>
      <c r="P1110" s="185"/>
      <c r="Q1110" s="185"/>
      <c r="R1110" s="168"/>
      <c r="S1110" s="168"/>
      <c r="U1110" s="170"/>
      <c r="V1110" s="171"/>
      <c r="W1110" s="171"/>
      <c r="X1110" s="171"/>
      <c r="Y1110" s="185"/>
      <c r="Z1110" s="185"/>
    </row>
    <row r="1111" spans="4:26" x14ac:dyDescent="0.25">
      <c r="D1111" s="175"/>
      <c r="E1111" s="175"/>
      <c r="H1111" s="201"/>
      <c r="I1111" s="201"/>
      <c r="J1111" s="217"/>
      <c r="K1111" s="217"/>
      <c r="L1111" s="185"/>
      <c r="M1111" s="185"/>
      <c r="N1111" s="185"/>
      <c r="O1111" s="185"/>
      <c r="P1111" s="185"/>
      <c r="Q1111" s="185"/>
      <c r="R1111" s="168"/>
      <c r="S1111" s="168"/>
      <c r="U1111" s="170"/>
      <c r="V1111" s="171"/>
      <c r="W1111" s="171"/>
      <c r="X1111" s="171"/>
      <c r="Y1111" s="185"/>
      <c r="Z1111" s="185"/>
    </row>
    <row r="1112" spans="4:26" x14ac:dyDescent="0.25">
      <c r="D1112" s="175"/>
      <c r="E1112" s="175"/>
      <c r="H1112" s="201"/>
      <c r="I1112" s="201"/>
      <c r="J1112" s="217"/>
      <c r="K1112" s="217"/>
      <c r="L1112" s="185"/>
      <c r="M1112" s="185"/>
      <c r="N1112" s="185"/>
      <c r="O1112" s="185"/>
      <c r="P1112" s="185"/>
      <c r="Q1112" s="185"/>
      <c r="R1112" s="168"/>
      <c r="S1112" s="168"/>
      <c r="U1112" s="170"/>
      <c r="V1112" s="171"/>
      <c r="W1112" s="171"/>
      <c r="X1112" s="171"/>
      <c r="Y1112" s="185"/>
      <c r="Z1112" s="185"/>
    </row>
    <row r="1113" spans="4:26" x14ac:dyDescent="0.25">
      <c r="D1113" s="223"/>
      <c r="E1113" s="175"/>
      <c r="H1113" s="201"/>
      <c r="I1113" s="201"/>
      <c r="J1113" s="217"/>
      <c r="K1113" s="217"/>
      <c r="L1113" s="185"/>
      <c r="M1113" s="185"/>
      <c r="N1113" s="185"/>
      <c r="O1113" s="185"/>
      <c r="P1113" s="185"/>
      <c r="Q1113" s="185"/>
      <c r="R1113" s="168"/>
      <c r="S1113" s="168"/>
      <c r="U1113" s="170"/>
      <c r="V1113" s="171"/>
      <c r="W1113" s="171"/>
      <c r="X1113" s="171"/>
      <c r="Y1113" s="185"/>
      <c r="Z1113" s="185"/>
    </row>
    <row r="1114" spans="4:26" x14ac:dyDescent="0.25">
      <c r="D1114" s="175"/>
      <c r="E1114" s="175"/>
      <c r="H1114" s="201"/>
      <c r="I1114" s="201"/>
      <c r="J1114" s="217"/>
      <c r="K1114" s="217"/>
      <c r="L1114" s="185"/>
      <c r="M1114" s="185"/>
      <c r="N1114" s="185"/>
      <c r="O1114" s="185"/>
      <c r="P1114" s="185"/>
      <c r="Q1114" s="185"/>
      <c r="R1114" s="168"/>
      <c r="S1114" s="168"/>
      <c r="U1114" s="170"/>
      <c r="V1114" s="171"/>
      <c r="W1114" s="171"/>
      <c r="X1114" s="171"/>
      <c r="Y1114" s="185"/>
      <c r="Z1114" s="185"/>
    </row>
    <row r="1115" spans="4:26" x14ac:dyDescent="0.25">
      <c r="D1115" s="175"/>
      <c r="E1115" s="175"/>
      <c r="H1115" s="201"/>
      <c r="I1115" s="201"/>
      <c r="J1115" s="217"/>
      <c r="K1115" s="217"/>
      <c r="L1115" s="185"/>
      <c r="M1115" s="185"/>
      <c r="N1115" s="185"/>
      <c r="O1115" s="185"/>
      <c r="P1115" s="185"/>
      <c r="Q1115" s="185"/>
      <c r="R1115" s="168"/>
      <c r="S1115" s="168"/>
      <c r="U1115" s="170"/>
      <c r="V1115" s="171"/>
      <c r="W1115" s="171"/>
      <c r="X1115" s="171"/>
      <c r="Y1115" s="185"/>
      <c r="Z1115" s="185"/>
    </row>
    <row r="1116" spans="4:26" x14ac:dyDescent="0.25">
      <c r="D1116" s="175"/>
      <c r="E1116" s="175"/>
      <c r="H1116" s="201"/>
      <c r="I1116" s="201"/>
      <c r="J1116" s="217"/>
      <c r="K1116" s="217"/>
      <c r="L1116" s="185"/>
      <c r="M1116" s="185"/>
      <c r="N1116" s="185"/>
      <c r="O1116" s="185"/>
      <c r="P1116" s="185"/>
      <c r="Q1116" s="185"/>
      <c r="R1116" s="168"/>
      <c r="S1116" s="168"/>
      <c r="U1116" s="170"/>
      <c r="V1116" s="171"/>
      <c r="W1116" s="171"/>
      <c r="X1116" s="171"/>
      <c r="Y1116" s="185"/>
      <c r="Z1116" s="185"/>
    </row>
    <row r="1117" spans="4:26" x14ac:dyDescent="0.25">
      <c r="D1117" s="175"/>
      <c r="E1117" s="175"/>
      <c r="H1117" s="201"/>
      <c r="I1117" s="201"/>
      <c r="J1117" s="217"/>
      <c r="K1117" s="217"/>
      <c r="L1117" s="185"/>
      <c r="M1117" s="185"/>
      <c r="N1117" s="185"/>
      <c r="O1117" s="185"/>
      <c r="P1117" s="185"/>
      <c r="Q1117" s="185"/>
      <c r="R1117" s="168"/>
      <c r="S1117" s="168"/>
      <c r="U1117" s="170"/>
      <c r="V1117" s="171"/>
      <c r="W1117" s="171"/>
      <c r="X1117" s="171"/>
      <c r="Y1117" s="185"/>
      <c r="Z1117" s="185"/>
    </row>
    <row r="1118" spans="4:26" x14ac:dyDescent="0.25">
      <c r="D1118" s="175"/>
      <c r="E1118" s="175"/>
      <c r="H1118" s="201"/>
      <c r="I1118" s="201"/>
      <c r="J1118" s="217"/>
      <c r="K1118" s="217"/>
      <c r="L1118" s="185"/>
      <c r="M1118" s="185"/>
      <c r="N1118" s="185"/>
      <c r="O1118" s="185"/>
      <c r="P1118" s="185"/>
      <c r="Q1118" s="185"/>
      <c r="R1118" s="168"/>
      <c r="S1118" s="168"/>
      <c r="U1118" s="170"/>
      <c r="V1118" s="171"/>
      <c r="W1118" s="171"/>
      <c r="X1118" s="171"/>
      <c r="Y1118" s="185"/>
      <c r="Z1118" s="185"/>
    </row>
    <row r="1119" spans="4:26" x14ac:dyDescent="0.25">
      <c r="D1119" s="175"/>
      <c r="E1119" s="175"/>
      <c r="H1119" s="201"/>
      <c r="I1119" s="201"/>
      <c r="J1119" s="217"/>
      <c r="K1119" s="217"/>
      <c r="L1119" s="185"/>
      <c r="M1119" s="185"/>
      <c r="N1119" s="185"/>
      <c r="O1119" s="185"/>
      <c r="P1119" s="185"/>
      <c r="Q1119" s="185"/>
      <c r="R1119" s="168"/>
      <c r="S1119" s="168"/>
      <c r="U1119" s="170"/>
      <c r="V1119" s="171"/>
      <c r="W1119" s="171"/>
      <c r="X1119" s="171"/>
      <c r="Y1119" s="185"/>
      <c r="Z1119" s="185"/>
    </row>
    <row r="1120" spans="4:26" x14ac:dyDescent="0.25">
      <c r="D1120" s="175"/>
      <c r="E1120" s="175"/>
      <c r="H1120" s="201"/>
      <c r="I1120" s="201"/>
      <c r="J1120" s="217"/>
      <c r="K1120" s="217"/>
      <c r="L1120" s="185"/>
      <c r="M1120" s="185"/>
      <c r="N1120" s="185"/>
      <c r="O1120" s="185"/>
      <c r="P1120" s="185"/>
      <c r="Q1120" s="185"/>
      <c r="R1120" s="168"/>
      <c r="S1120" s="168"/>
      <c r="U1120" s="170"/>
      <c r="V1120" s="171"/>
      <c r="W1120" s="171"/>
      <c r="X1120" s="171"/>
      <c r="Y1120" s="185"/>
      <c r="Z1120" s="185"/>
    </row>
    <row r="1121" spans="4:26" x14ac:dyDescent="0.25">
      <c r="D1121" s="175"/>
      <c r="E1121" s="175"/>
      <c r="H1121" s="201"/>
      <c r="I1121" s="201"/>
      <c r="J1121" s="217"/>
      <c r="K1121" s="217"/>
      <c r="L1121" s="185"/>
      <c r="M1121" s="185"/>
      <c r="N1121" s="185"/>
      <c r="O1121" s="185"/>
      <c r="P1121" s="185"/>
      <c r="Q1121" s="185"/>
      <c r="R1121" s="168"/>
      <c r="S1121" s="168"/>
      <c r="U1121" s="170"/>
      <c r="V1121" s="171"/>
      <c r="W1121" s="171"/>
      <c r="X1121" s="171"/>
      <c r="Y1121" s="185"/>
      <c r="Z1121" s="185"/>
    </row>
    <row r="1122" spans="4:26" x14ac:dyDescent="0.25">
      <c r="D1122" s="175"/>
      <c r="E1122" s="175"/>
      <c r="H1122" s="201"/>
      <c r="I1122" s="201"/>
      <c r="J1122" s="217"/>
      <c r="K1122" s="217"/>
      <c r="L1122" s="185"/>
      <c r="M1122" s="185"/>
      <c r="N1122" s="185"/>
      <c r="O1122" s="185"/>
      <c r="P1122" s="185"/>
      <c r="Q1122" s="185"/>
      <c r="R1122" s="168"/>
      <c r="S1122" s="168"/>
      <c r="U1122" s="170"/>
      <c r="V1122" s="171"/>
      <c r="W1122" s="171"/>
      <c r="X1122" s="171"/>
      <c r="Y1122" s="185"/>
      <c r="Z1122" s="185"/>
    </row>
    <row r="1123" spans="4:26" x14ac:dyDescent="0.25">
      <c r="D1123" s="175"/>
      <c r="E1123" s="175"/>
      <c r="H1123" s="201"/>
      <c r="I1123" s="201"/>
      <c r="J1123" s="217"/>
      <c r="K1123" s="217"/>
      <c r="L1123" s="185"/>
      <c r="M1123" s="185"/>
      <c r="N1123" s="185"/>
      <c r="O1123" s="185"/>
      <c r="P1123" s="185"/>
      <c r="Q1123" s="185"/>
      <c r="R1123" s="168"/>
      <c r="S1123" s="168"/>
      <c r="U1123" s="170"/>
      <c r="V1123" s="171"/>
      <c r="W1123" s="171"/>
      <c r="X1123" s="171"/>
      <c r="Y1123" s="185"/>
      <c r="Z1123" s="185"/>
    </row>
    <row r="1124" spans="4:26" x14ac:dyDescent="0.25">
      <c r="D1124" s="175"/>
      <c r="E1124" s="175"/>
      <c r="H1124" s="201"/>
      <c r="I1124" s="201"/>
      <c r="J1124" s="217"/>
      <c r="K1124" s="217"/>
      <c r="L1124" s="185"/>
      <c r="M1124" s="185"/>
      <c r="N1124" s="185"/>
      <c r="O1124" s="185"/>
      <c r="P1124" s="185"/>
      <c r="Q1124" s="185"/>
      <c r="R1124" s="168"/>
      <c r="S1124" s="168"/>
      <c r="U1124" s="170"/>
      <c r="V1124" s="171"/>
      <c r="W1124" s="171"/>
      <c r="X1124" s="171"/>
      <c r="Y1124" s="185"/>
      <c r="Z1124" s="185"/>
    </row>
    <row r="1125" spans="4:26" x14ac:dyDescent="0.25">
      <c r="D1125" s="175"/>
      <c r="E1125" s="175"/>
      <c r="H1125" s="201"/>
      <c r="I1125" s="201"/>
      <c r="J1125" s="217"/>
      <c r="K1125" s="217"/>
      <c r="L1125" s="185"/>
      <c r="M1125" s="185"/>
      <c r="N1125" s="185"/>
      <c r="O1125" s="185"/>
      <c r="P1125" s="185"/>
      <c r="Q1125" s="185"/>
      <c r="R1125" s="168"/>
      <c r="S1125" s="168"/>
      <c r="U1125" s="170"/>
      <c r="V1125" s="171"/>
      <c r="W1125" s="171"/>
      <c r="X1125" s="171"/>
      <c r="Y1125" s="185"/>
      <c r="Z1125" s="185"/>
    </row>
    <row r="1126" spans="4:26" x14ac:dyDescent="0.25">
      <c r="D1126" s="175"/>
      <c r="E1126" s="175"/>
      <c r="H1126" s="201"/>
      <c r="I1126" s="201"/>
      <c r="J1126" s="217"/>
      <c r="K1126" s="217"/>
      <c r="L1126" s="185"/>
      <c r="M1126" s="185"/>
      <c r="N1126" s="185"/>
      <c r="O1126" s="185"/>
      <c r="P1126" s="185"/>
      <c r="Q1126" s="185"/>
      <c r="R1126" s="168"/>
      <c r="S1126" s="168"/>
      <c r="U1126" s="170"/>
      <c r="V1126" s="171"/>
      <c r="W1126" s="171"/>
      <c r="X1126" s="171"/>
      <c r="Y1126" s="185"/>
      <c r="Z1126" s="185"/>
    </row>
    <row r="1127" spans="4:26" x14ac:dyDescent="0.25">
      <c r="D1127" s="175"/>
      <c r="E1127" s="175"/>
      <c r="H1127" s="201"/>
      <c r="I1127" s="201"/>
      <c r="J1127" s="217"/>
      <c r="K1127" s="217"/>
      <c r="L1127" s="185"/>
      <c r="M1127" s="185"/>
      <c r="N1127" s="185"/>
      <c r="O1127" s="185"/>
      <c r="P1127" s="185"/>
      <c r="Q1127" s="185"/>
      <c r="R1127" s="168"/>
      <c r="S1127" s="168"/>
      <c r="U1127" s="170"/>
      <c r="V1127" s="171"/>
      <c r="W1127" s="171"/>
      <c r="X1127" s="171"/>
      <c r="Y1127" s="185"/>
      <c r="Z1127" s="185"/>
    </row>
    <row r="1128" spans="4:26" x14ac:dyDescent="0.25">
      <c r="D1128" s="175"/>
      <c r="E1128" s="175"/>
      <c r="H1128" s="201"/>
      <c r="I1128" s="201"/>
      <c r="J1128" s="217"/>
      <c r="K1128" s="217"/>
      <c r="L1128" s="185"/>
      <c r="M1128" s="185"/>
      <c r="N1128" s="185"/>
      <c r="O1128" s="185"/>
      <c r="P1128" s="185"/>
      <c r="Q1128" s="185"/>
      <c r="R1128" s="168"/>
      <c r="S1128" s="168"/>
      <c r="U1128" s="170"/>
      <c r="V1128" s="171"/>
      <c r="W1128" s="171"/>
      <c r="X1128" s="171"/>
      <c r="Y1128" s="185"/>
      <c r="Z1128" s="185"/>
    </row>
    <row r="1129" spans="4:26" x14ac:dyDescent="0.25">
      <c r="D1129" s="175"/>
      <c r="E1129" s="175"/>
      <c r="H1129" s="201"/>
      <c r="I1129" s="201"/>
      <c r="J1129" s="217"/>
      <c r="K1129" s="217"/>
      <c r="L1129" s="185"/>
      <c r="M1129" s="185"/>
      <c r="N1129" s="185"/>
      <c r="O1129" s="185"/>
      <c r="P1129" s="185"/>
      <c r="Q1129" s="185"/>
      <c r="R1129" s="168"/>
      <c r="S1129" s="168"/>
      <c r="U1129" s="170"/>
      <c r="V1129" s="171"/>
      <c r="W1129" s="171"/>
      <c r="X1129" s="171"/>
      <c r="Y1129" s="185"/>
      <c r="Z1129" s="185"/>
    </row>
    <row r="1130" spans="4:26" x14ac:dyDescent="0.25">
      <c r="D1130" s="175"/>
      <c r="E1130" s="175"/>
      <c r="H1130" s="201"/>
      <c r="I1130" s="201"/>
      <c r="J1130" s="217"/>
      <c r="K1130" s="217"/>
      <c r="L1130" s="185"/>
      <c r="M1130" s="185"/>
      <c r="N1130" s="185"/>
      <c r="O1130" s="185"/>
      <c r="P1130" s="185"/>
      <c r="Q1130" s="185"/>
      <c r="R1130" s="168"/>
      <c r="S1130" s="168"/>
      <c r="U1130" s="170"/>
      <c r="V1130" s="171"/>
      <c r="W1130" s="171"/>
      <c r="X1130" s="171"/>
      <c r="Y1130" s="185"/>
      <c r="Z1130" s="185"/>
    </row>
    <row r="1131" spans="4:26" x14ac:dyDescent="0.25">
      <c r="D1131" s="175"/>
      <c r="E1131" s="175"/>
      <c r="H1131" s="201"/>
      <c r="I1131" s="201"/>
      <c r="J1131" s="217"/>
      <c r="K1131" s="217"/>
      <c r="L1131" s="185"/>
      <c r="M1131" s="185"/>
      <c r="N1131" s="185"/>
      <c r="O1131" s="185"/>
      <c r="P1131" s="185"/>
      <c r="Q1131" s="185"/>
      <c r="R1131" s="168"/>
      <c r="S1131" s="168"/>
      <c r="U1131" s="170"/>
      <c r="V1131" s="171"/>
      <c r="W1131" s="171"/>
      <c r="X1131" s="171"/>
      <c r="Y1131" s="185"/>
      <c r="Z1131" s="185"/>
    </row>
    <row r="1132" spans="4:26" x14ac:dyDescent="0.25">
      <c r="D1132" s="175"/>
      <c r="E1132" s="175"/>
      <c r="H1132" s="201"/>
      <c r="I1132" s="201"/>
      <c r="J1132" s="217"/>
      <c r="K1132" s="217"/>
      <c r="L1132" s="185"/>
      <c r="M1132" s="185"/>
      <c r="N1132" s="185"/>
      <c r="O1132" s="185"/>
      <c r="P1132" s="185"/>
      <c r="Q1132" s="185"/>
      <c r="R1132" s="168"/>
      <c r="S1132" s="168"/>
      <c r="U1132" s="170"/>
      <c r="V1132" s="171"/>
      <c r="W1132" s="171"/>
      <c r="X1132" s="171"/>
      <c r="Y1132" s="185"/>
      <c r="Z1132" s="185"/>
    </row>
    <row r="1133" spans="4:26" x14ac:dyDescent="0.25">
      <c r="D1133" s="175"/>
      <c r="E1133" s="175"/>
      <c r="H1133" s="201"/>
      <c r="I1133" s="201"/>
      <c r="J1133" s="217"/>
      <c r="K1133" s="217"/>
      <c r="L1133" s="185"/>
      <c r="M1133" s="185"/>
      <c r="N1133" s="185"/>
      <c r="O1133" s="185"/>
      <c r="P1133" s="185"/>
      <c r="Q1133" s="185"/>
      <c r="R1133" s="168"/>
      <c r="S1133" s="168"/>
      <c r="U1133" s="170"/>
      <c r="V1133" s="171"/>
      <c r="W1133" s="171"/>
      <c r="X1133" s="171"/>
      <c r="Y1133" s="185"/>
      <c r="Z1133" s="185"/>
    </row>
    <row r="1134" spans="4:26" x14ac:dyDescent="0.25">
      <c r="D1134" s="175"/>
      <c r="E1134" s="175"/>
      <c r="H1134" s="201"/>
      <c r="I1134" s="201"/>
      <c r="J1134" s="217"/>
      <c r="K1134" s="217"/>
      <c r="L1134" s="185"/>
      <c r="M1134" s="185"/>
      <c r="N1134" s="185"/>
      <c r="O1134" s="185"/>
      <c r="P1134" s="185"/>
      <c r="Q1134" s="185"/>
      <c r="R1134" s="168"/>
      <c r="S1134" s="168"/>
      <c r="U1134" s="170"/>
      <c r="V1134" s="171"/>
      <c r="W1134" s="171"/>
      <c r="X1134" s="171"/>
      <c r="Y1134" s="185"/>
      <c r="Z1134" s="185"/>
    </row>
    <row r="1135" spans="4:26" x14ac:dyDescent="0.25">
      <c r="D1135" s="175"/>
      <c r="E1135" s="175"/>
      <c r="H1135" s="201"/>
      <c r="I1135" s="201"/>
      <c r="J1135" s="217"/>
      <c r="K1135" s="217"/>
      <c r="L1135" s="185"/>
      <c r="M1135" s="185"/>
      <c r="N1135" s="185"/>
      <c r="O1135" s="185"/>
      <c r="P1135" s="185"/>
      <c r="Q1135" s="185"/>
      <c r="R1135" s="168"/>
      <c r="S1135" s="168"/>
      <c r="U1135" s="170"/>
      <c r="V1135" s="171"/>
      <c r="W1135" s="171"/>
      <c r="X1135" s="171"/>
      <c r="Y1135" s="185"/>
      <c r="Z1135" s="185"/>
    </row>
    <row r="1136" spans="4:26" x14ac:dyDescent="0.25">
      <c r="D1136" s="175"/>
      <c r="E1136" s="175"/>
      <c r="H1136" s="201"/>
      <c r="I1136" s="201"/>
      <c r="J1136" s="217"/>
      <c r="K1136" s="217"/>
      <c r="L1136" s="185"/>
      <c r="M1136" s="185"/>
      <c r="N1136" s="185"/>
      <c r="O1136" s="185"/>
      <c r="P1136" s="185"/>
      <c r="Q1136" s="185"/>
      <c r="R1136" s="168"/>
      <c r="S1136" s="168"/>
      <c r="U1136" s="170"/>
      <c r="V1136" s="171"/>
      <c r="W1136" s="171"/>
      <c r="X1136" s="171"/>
      <c r="Y1136" s="185"/>
      <c r="Z1136" s="185"/>
    </row>
    <row r="1137" spans="4:26" x14ac:dyDescent="0.25">
      <c r="D1137" s="175"/>
      <c r="E1137" s="175"/>
      <c r="H1137" s="201"/>
      <c r="I1137" s="201"/>
      <c r="J1137" s="217"/>
      <c r="K1137" s="217"/>
      <c r="L1137" s="185"/>
      <c r="M1137" s="185"/>
      <c r="N1137" s="185"/>
      <c r="O1137" s="185"/>
      <c r="P1137" s="185"/>
      <c r="Q1137" s="185"/>
      <c r="R1137" s="168"/>
      <c r="S1137" s="168"/>
      <c r="U1137" s="170"/>
      <c r="V1137" s="171"/>
      <c r="W1137" s="171"/>
      <c r="X1137" s="171"/>
      <c r="Y1137" s="185"/>
      <c r="Z1137" s="185"/>
    </row>
    <row r="1138" spans="4:26" x14ac:dyDescent="0.25">
      <c r="D1138" s="175"/>
      <c r="E1138" s="175"/>
      <c r="H1138" s="201"/>
      <c r="I1138" s="201"/>
      <c r="J1138" s="217"/>
      <c r="K1138" s="217"/>
      <c r="L1138" s="185"/>
      <c r="M1138" s="185"/>
      <c r="N1138" s="185"/>
      <c r="O1138" s="185"/>
      <c r="P1138" s="185"/>
      <c r="Q1138" s="185"/>
      <c r="R1138" s="168"/>
      <c r="S1138" s="168"/>
      <c r="U1138" s="170"/>
      <c r="V1138" s="171"/>
      <c r="W1138" s="171"/>
      <c r="X1138" s="171"/>
      <c r="Y1138" s="185"/>
      <c r="Z1138" s="185"/>
    </row>
    <row r="1139" spans="4:26" x14ac:dyDescent="0.25">
      <c r="D1139" s="175"/>
      <c r="E1139" s="175"/>
      <c r="H1139" s="201"/>
      <c r="I1139" s="201"/>
      <c r="J1139" s="217"/>
      <c r="K1139" s="217"/>
      <c r="L1139" s="185"/>
      <c r="M1139" s="185"/>
      <c r="N1139" s="185"/>
      <c r="O1139" s="185"/>
      <c r="P1139" s="185"/>
      <c r="Q1139" s="185"/>
      <c r="R1139" s="168"/>
      <c r="S1139" s="168"/>
      <c r="U1139" s="170"/>
      <c r="V1139" s="171"/>
      <c r="W1139" s="171"/>
      <c r="X1139" s="171"/>
      <c r="Y1139" s="185"/>
      <c r="Z1139" s="185"/>
    </row>
    <row r="1140" spans="4:26" x14ac:dyDescent="0.25">
      <c r="D1140" s="175"/>
      <c r="E1140" s="175"/>
      <c r="H1140" s="201"/>
      <c r="I1140" s="201"/>
      <c r="J1140" s="217"/>
      <c r="K1140" s="217"/>
      <c r="L1140" s="185"/>
      <c r="M1140" s="185"/>
      <c r="N1140" s="185"/>
      <c r="O1140" s="185"/>
      <c r="P1140" s="185"/>
      <c r="Q1140" s="185"/>
      <c r="R1140" s="168"/>
      <c r="S1140" s="168"/>
      <c r="U1140" s="170"/>
      <c r="V1140" s="171"/>
      <c r="W1140" s="171"/>
      <c r="X1140" s="171"/>
      <c r="Y1140" s="185"/>
      <c r="Z1140" s="185"/>
    </row>
    <row r="1141" spans="4:26" x14ac:dyDescent="0.25">
      <c r="D1141" s="175"/>
      <c r="E1141" s="175"/>
      <c r="H1141" s="201"/>
      <c r="I1141" s="201"/>
      <c r="J1141" s="217"/>
      <c r="K1141" s="217"/>
      <c r="L1141" s="185"/>
      <c r="M1141" s="185"/>
      <c r="N1141" s="185"/>
      <c r="O1141" s="185"/>
      <c r="P1141" s="185"/>
      <c r="Q1141" s="185"/>
      <c r="R1141" s="168"/>
      <c r="S1141" s="168"/>
      <c r="U1141" s="170"/>
      <c r="V1141" s="171"/>
      <c r="W1141" s="171"/>
      <c r="X1141" s="171"/>
      <c r="Y1141" s="185"/>
      <c r="Z1141" s="185"/>
    </row>
    <row r="1142" spans="4:26" x14ac:dyDescent="0.25">
      <c r="D1142" s="175"/>
      <c r="E1142" s="175"/>
      <c r="H1142" s="201"/>
      <c r="I1142" s="201"/>
      <c r="J1142" s="217"/>
      <c r="K1142" s="217"/>
      <c r="L1142" s="185"/>
      <c r="M1142" s="185"/>
      <c r="N1142" s="185"/>
      <c r="O1142" s="185"/>
      <c r="P1142" s="185"/>
      <c r="Q1142" s="185"/>
      <c r="R1142" s="168"/>
      <c r="S1142" s="168"/>
      <c r="U1142" s="170"/>
      <c r="V1142" s="171"/>
      <c r="W1142" s="171"/>
      <c r="X1142" s="171"/>
      <c r="Y1142" s="185"/>
      <c r="Z1142" s="185"/>
    </row>
    <row r="1143" spans="4:26" x14ac:dyDescent="0.25">
      <c r="D1143" s="175"/>
      <c r="E1143" s="175"/>
      <c r="H1143" s="201"/>
      <c r="I1143" s="201"/>
      <c r="J1143" s="217"/>
      <c r="K1143" s="217"/>
      <c r="L1143" s="185"/>
      <c r="M1143" s="185"/>
      <c r="N1143" s="185"/>
      <c r="O1143" s="185"/>
      <c r="P1143" s="185"/>
      <c r="Q1143" s="185"/>
      <c r="R1143" s="168"/>
      <c r="S1143" s="168"/>
      <c r="U1143" s="170"/>
      <c r="V1143" s="171"/>
      <c r="W1143" s="171"/>
      <c r="X1143" s="171"/>
      <c r="Y1143" s="185"/>
      <c r="Z1143" s="185"/>
    </row>
    <row r="1144" spans="4:26" x14ac:dyDescent="0.25">
      <c r="D1144" s="175"/>
      <c r="E1144" s="175"/>
      <c r="H1144" s="201"/>
      <c r="I1144" s="201"/>
      <c r="J1144" s="217"/>
      <c r="K1144" s="217"/>
      <c r="L1144" s="185"/>
      <c r="M1144" s="185"/>
      <c r="N1144" s="185"/>
      <c r="O1144" s="185"/>
      <c r="P1144" s="185"/>
      <c r="Q1144" s="185"/>
      <c r="R1144" s="168"/>
      <c r="S1144" s="168"/>
      <c r="U1144" s="170"/>
      <c r="V1144" s="171"/>
      <c r="W1144" s="171"/>
      <c r="X1144" s="171"/>
      <c r="Y1144" s="185"/>
      <c r="Z1144" s="185"/>
    </row>
    <row r="1145" spans="4:26" x14ac:dyDescent="0.25">
      <c r="D1145" s="175"/>
      <c r="E1145" s="175"/>
      <c r="H1145" s="201"/>
      <c r="I1145" s="201"/>
      <c r="J1145" s="217"/>
      <c r="K1145" s="217"/>
      <c r="L1145" s="185"/>
      <c r="M1145" s="185"/>
      <c r="N1145" s="185"/>
      <c r="O1145" s="185"/>
      <c r="P1145" s="185"/>
      <c r="Q1145" s="185"/>
      <c r="R1145" s="168"/>
      <c r="S1145" s="168"/>
      <c r="U1145" s="170"/>
      <c r="V1145" s="171"/>
      <c r="W1145" s="171"/>
      <c r="X1145" s="171"/>
      <c r="Y1145" s="185"/>
      <c r="Z1145" s="185"/>
    </row>
    <row r="1146" spans="4:26" x14ac:dyDescent="0.25">
      <c r="D1146" s="175"/>
      <c r="E1146" s="175"/>
      <c r="H1146" s="201"/>
      <c r="I1146" s="201"/>
      <c r="J1146" s="217"/>
      <c r="K1146" s="217"/>
      <c r="L1146" s="185"/>
      <c r="M1146" s="185"/>
      <c r="N1146" s="185"/>
      <c r="O1146" s="185"/>
      <c r="P1146" s="185"/>
      <c r="Q1146" s="185"/>
      <c r="R1146" s="168"/>
      <c r="S1146" s="168"/>
      <c r="U1146" s="170"/>
      <c r="V1146" s="171"/>
      <c r="W1146" s="171"/>
      <c r="X1146" s="171"/>
      <c r="Y1146" s="185"/>
      <c r="Z1146" s="185"/>
    </row>
    <row r="1147" spans="4:26" x14ac:dyDescent="0.25">
      <c r="D1147" s="175"/>
      <c r="E1147" s="175"/>
      <c r="H1147" s="201"/>
      <c r="I1147" s="201"/>
      <c r="J1147" s="217"/>
      <c r="K1147" s="217"/>
      <c r="L1147" s="185"/>
      <c r="M1147" s="185"/>
      <c r="N1147" s="185"/>
      <c r="O1147" s="185"/>
      <c r="P1147" s="185"/>
      <c r="Q1147" s="185"/>
      <c r="R1147" s="168"/>
      <c r="S1147" s="168"/>
      <c r="U1147" s="170"/>
      <c r="V1147" s="171"/>
      <c r="W1147" s="171"/>
      <c r="X1147" s="171"/>
      <c r="Y1147" s="185"/>
      <c r="Z1147" s="185"/>
    </row>
    <row r="1148" spans="4:26" x14ac:dyDescent="0.25">
      <c r="D1148" s="175"/>
      <c r="E1148" s="175"/>
      <c r="H1148" s="201"/>
      <c r="I1148" s="201"/>
      <c r="J1148" s="217"/>
      <c r="K1148" s="217"/>
      <c r="L1148" s="185"/>
      <c r="M1148" s="185"/>
      <c r="N1148" s="185"/>
      <c r="O1148" s="185"/>
      <c r="P1148" s="185"/>
      <c r="Q1148" s="185"/>
      <c r="R1148" s="168"/>
      <c r="S1148" s="168"/>
      <c r="U1148" s="170"/>
      <c r="V1148" s="171"/>
      <c r="W1148" s="171"/>
      <c r="X1148" s="171"/>
      <c r="Y1148" s="185"/>
      <c r="Z1148" s="185"/>
    </row>
    <row r="1149" spans="4:26" x14ac:dyDescent="0.25">
      <c r="D1149" s="175"/>
      <c r="E1149" s="175"/>
      <c r="H1149" s="201"/>
      <c r="I1149" s="201"/>
      <c r="J1149" s="217"/>
      <c r="K1149" s="217"/>
      <c r="L1149" s="185"/>
      <c r="M1149" s="185"/>
      <c r="N1149" s="185"/>
      <c r="O1149" s="185"/>
      <c r="P1149" s="185"/>
      <c r="Q1149" s="185"/>
      <c r="R1149" s="168"/>
      <c r="S1149" s="168"/>
      <c r="U1149" s="170"/>
      <c r="V1149" s="171"/>
      <c r="W1149" s="171"/>
      <c r="X1149" s="171"/>
      <c r="Y1149" s="185"/>
      <c r="Z1149" s="185"/>
    </row>
    <row r="1150" spans="4:26" x14ac:dyDescent="0.25">
      <c r="D1150" s="175"/>
      <c r="E1150" s="175"/>
      <c r="H1150" s="201"/>
      <c r="I1150" s="201"/>
      <c r="J1150" s="217"/>
      <c r="K1150" s="217"/>
      <c r="L1150" s="185"/>
      <c r="M1150" s="185"/>
      <c r="N1150" s="185"/>
      <c r="O1150" s="185"/>
      <c r="P1150" s="185"/>
      <c r="Q1150" s="185"/>
      <c r="R1150" s="168"/>
      <c r="S1150" s="168"/>
      <c r="U1150" s="170"/>
      <c r="V1150" s="171"/>
      <c r="W1150" s="171"/>
      <c r="X1150" s="171"/>
      <c r="Y1150" s="185"/>
      <c r="Z1150" s="185"/>
    </row>
    <row r="1151" spans="4:26" x14ac:dyDescent="0.25">
      <c r="D1151" s="175"/>
      <c r="E1151" s="175"/>
      <c r="H1151" s="201"/>
      <c r="I1151" s="201"/>
      <c r="J1151" s="217"/>
      <c r="K1151" s="217"/>
      <c r="L1151" s="185"/>
      <c r="M1151" s="185"/>
      <c r="N1151" s="185"/>
      <c r="O1151" s="185"/>
      <c r="P1151" s="185"/>
      <c r="Q1151" s="185"/>
      <c r="R1151" s="168"/>
      <c r="S1151" s="168"/>
      <c r="U1151" s="170"/>
      <c r="V1151" s="171"/>
      <c r="W1151" s="171"/>
      <c r="X1151" s="171"/>
      <c r="Y1151" s="185"/>
      <c r="Z1151" s="185"/>
    </row>
    <row r="1152" spans="4:26" x14ac:dyDescent="0.25">
      <c r="D1152" s="175"/>
      <c r="E1152" s="175"/>
      <c r="H1152" s="201"/>
      <c r="I1152" s="201"/>
      <c r="J1152" s="217"/>
      <c r="K1152" s="217"/>
      <c r="L1152" s="185"/>
      <c r="M1152" s="185"/>
      <c r="N1152" s="185"/>
      <c r="O1152" s="185"/>
      <c r="P1152" s="185"/>
      <c r="Q1152" s="185"/>
      <c r="R1152" s="168"/>
      <c r="S1152" s="168"/>
      <c r="U1152" s="170"/>
      <c r="V1152" s="171"/>
      <c r="W1152" s="171"/>
      <c r="X1152" s="171"/>
      <c r="Y1152" s="185"/>
      <c r="Z1152" s="185"/>
    </row>
    <row r="1153" spans="4:26" x14ac:dyDescent="0.25">
      <c r="D1153" s="175"/>
      <c r="E1153" s="175"/>
      <c r="H1153" s="201"/>
      <c r="I1153" s="201"/>
      <c r="J1153" s="217"/>
      <c r="K1153" s="217"/>
      <c r="L1153" s="185"/>
      <c r="M1153" s="185"/>
      <c r="N1153" s="185"/>
      <c r="O1153" s="185"/>
      <c r="P1153" s="185"/>
      <c r="Q1153" s="185"/>
      <c r="R1153" s="168"/>
      <c r="S1153" s="168"/>
      <c r="U1153" s="170"/>
      <c r="V1153" s="171"/>
      <c r="W1153" s="171"/>
      <c r="X1153" s="171"/>
      <c r="Y1153" s="185"/>
      <c r="Z1153" s="185"/>
    </row>
    <row r="1154" spans="4:26" x14ac:dyDescent="0.25">
      <c r="D1154" s="175"/>
      <c r="E1154" s="175"/>
      <c r="H1154" s="201"/>
      <c r="I1154" s="201"/>
      <c r="J1154" s="217"/>
      <c r="K1154" s="217"/>
      <c r="L1154" s="185"/>
      <c r="M1154" s="185"/>
      <c r="N1154" s="185"/>
      <c r="O1154" s="185"/>
      <c r="P1154" s="185"/>
      <c r="Q1154" s="185"/>
      <c r="R1154" s="168"/>
      <c r="S1154" s="168"/>
      <c r="U1154" s="170"/>
      <c r="V1154" s="171"/>
      <c r="W1154" s="171"/>
      <c r="X1154" s="171"/>
      <c r="Y1154" s="185"/>
      <c r="Z1154" s="185"/>
    </row>
    <row r="1155" spans="4:26" x14ac:dyDescent="0.25">
      <c r="D1155" s="175"/>
      <c r="E1155" s="175"/>
      <c r="H1155" s="201"/>
      <c r="I1155" s="201"/>
      <c r="J1155" s="217"/>
      <c r="K1155" s="217"/>
      <c r="L1155" s="185"/>
      <c r="M1155" s="185"/>
      <c r="N1155" s="185"/>
      <c r="O1155" s="185"/>
      <c r="P1155" s="185"/>
      <c r="Q1155" s="185"/>
      <c r="R1155" s="168"/>
      <c r="S1155" s="168"/>
      <c r="U1155" s="170"/>
      <c r="V1155" s="171"/>
      <c r="W1155" s="171"/>
      <c r="X1155" s="171"/>
      <c r="Y1155" s="185"/>
      <c r="Z1155" s="185"/>
    </row>
    <row r="1156" spans="4:26" x14ac:dyDescent="0.25">
      <c r="D1156" s="175"/>
      <c r="E1156" s="175"/>
      <c r="H1156" s="201"/>
      <c r="I1156" s="201"/>
      <c r="J1156" s="217"/>
      <c r="K1156" s="217"/>
      <c r="L1156" s="185"/>
      <c r="M1156" s="185"/>
      <c r="N1156" s="185"/>
      <c r="O1156" s="185"/>
      <c r="P1156" s="185"/>
      <c r="Q1156" s="185"/>
      <c r="R1156" s="168"/>
      <c r="S1156" s="168"/>
      <c r="U1156" s="170"/>
      <c r="V1156" s="171"/>
      <c r="W1156" s="171"/>
      <c r="X1156" s="171"/>
      <c r="Y1156" s="185"/>
      <c r="Z1156" s="185"/>
    </row>
    <row r="1157" spans="4:26" x14ac:dyDescent="0.25">
      <c r="D1157" s="175"/>
      <c r="E1157" s="175"/>
      <c r="H1157" s="201"/>
      <c r="I1157" s="201"/>
      <c r="J1157" s="217"/>
      <c r="K1157" s="217"/>
      <c r="L1157" s="185"/>
      <c r="M1157" s="185"/>
      <c r="N1157" s="185"/>
      <c r="O1157" s="185"/>
      <c r="P1157" s="185"/>
      <c r="Q1157" s="185"/>
      <c r="R1157" s="168"/>
      <c r="S1157" s="168"/>
      <c r="U1157" s="170"/>
      <c r="V1157" s="171"/>
      <c r="W1157" s="171"/>
      <c r="X1157" s="171"/>
      <c r="Y1157" s="185"/>
      <c r="Z1157" s="185"/>
    </row>
    <row r="1158" spans="4:26" x14ac:dyDescent="0.25">
      <c r="D1158" s="175"/>
      <c r="E1158" s="175"/>
      <c r="H1158" s="201"/>
      <c r="I1158" s="201"/>
      <c r="J1158" s="217"/>
      <c r="K1158" s="217"/>
      <c r="L1158" s="185"/>
      <c r="M1158" s="185"/>
      <c r="N1158" s="185"/>
      <c r="O1158" s="185"/>
      <c r="P1158" s="185"/>
      <c r="Q1158" s="185"/>
      <c r="R1158" s="168"/>
      <c r="S1158" s="168"/>
      <c r="U1158" s="170"/>
      <c r="V1158" s="171"/>
      <c r="W1158" s="171"/>
      <c r="X1158" s="171"/>
      <c r="Y1158" s="185"/>
      <c r="Z1158" s="185"/>
    </row>
    <row r="1159" spans="4:26" x14ac:dyDescent="0.25">
      <c r="D1159" s="175"/>
      <c r="E1159" s="175"/>
      <c r="H1159" s="201"/>
      <c r="I1159" s="201"/>
      <c r="J1159" s="217"/>
      <c r="K1159" s="217"/>
      <c r="L1159" s="185"/>
      <c r="M1159" s="185"/>
      <c r="N1159" s="185"/>
      <c r="O1159" s="185"/>
      <c r="P1159" s="185"/>
      <c r="Q1159" s="185"/>
      <c r="R1159" s="168"/>
      <c r="S1159" s="168"/>
      <c r="U1159" s="170"/>
      <c r="V1159" s="171"/>
      <c r="W1159" s="171"/>
      <c r="X1159" s="171"/>
      <c r="Y1159" s="185"/>
      <c r="Z1159" s="185"/>
    </row>
    <row r="1160" spans="4:26" x14ac:dyDescent="0.25">
      <c r="D1160" s="175"/>
      <c r="E1160" s="175"/>
      <c r="H1160" s="201"/>
      <c r="I1160" s="201"/>
      <c r="J1160" s="217"/>
      <c r="K1160" s="217"/>
      <c r="L1160" s="185"/>
      <c r="M1160" s="185"/>
      <c r="N1160" s="185"/>
      <c r="O1160" s="185"/>
      <c r="P1160" s="185"/>
      <c r="Q1160" s="185"/>
      <c r="R1160" s="168"/>
      <c r="S1160" s="168"/>
      <c r="U1160" s="170"/>
      <c r="V1160" s="171"/>
      <c r="W1160" s="171"/>
      <c r="X1160" s="171"/>
      <c r="Y1160" s="185"/>
      <c r="Z1160" s="185"/>
    </row>
    <row r="1161" spans="4:26" x14ac:dyDescent="0.25">
      <c r="D1161" s="175"/>
      <c r="E1161" s="175"/>
      <c r="H1161" s="201"/>
      <c r="I1161" s="201"/>
      <c r="J1161" s="217"/>
      <c r="K1161" s="217"/>
      <c r="L1161" s="185"/>
      <c r="M1161" s="185"/>
      <c r="N1161" s="185"/>
      <c r="O1161" s="185"/>
      <c r="P1161" s="185"/>
      <c r="Q1161" s="185"/>
      <c r="R1161" s="168"/>
      <c r="S1161" s="168"/>
      <c r="U1161" s="170"/>
      <c r="V1161" s="171"/>
      <c r="W1161" s="171"/>
      <c r="X1161" s="171"/>
      <c r="Y1161" s="185"/>
      <c r="Z1161" s="185"/>
    </row>
    <row r="1162" spans="4:26" x14ac:dyDescent="0.25">
      <c r="D1162" s="175"/>
      <c r="E1162" s="175"/>
      <c r="H1162" s="201"/>
      <c r="I1162" s="201"/>
      <c r="J1162" s="217"/>
      <c r="K1162" s="217"/>
      <c r="L1162" s="185"/>
      <c r="M1162" s="185"/>
      <c r="N1162" s="185"/>
      <c r="O1162" s="185"/>
      <c r="P1162" s="185"/>
      <c r="Q1162" s="185"/>
      <c r="R1162" s="168"/>
      <c r="S1162" s="168"/>
      <c r="U1162" s="170"/>
      <c r="V1162" s="171"/>
      <c r="W1162" s="171"/>
      <c r="X1162" s="171"/>
      <c r="Y1162" s="185"/>
      <c r="Z1162" s="185"/>
    </row>
    <row r="1163" spans="4:26" x14ac:dyDescent="0.25">
      <c r="D1163" s="175"/>
      <c r="E1163" s="175"/>
      <c r="H1163" s="201"/>
      <c r="I1163" s="201"/>
      <c r="J1163" s="217"/>
      <c r="K1163" s="217"/>
      <c r="L1163" s="185"/>
      <c r="M1163" s="185"/>
      <c r="N1163" s="185"/>
      <c r="O1163" s="185"/>
      <c r="P1163" s="185"/>
      <c r="Q1163" s="185"/>
      <c r="R1163" s="168"/>
      <c r="S1163" s="168"/>
      <c r="U1163" s="170"/>
      <c r="V1163" s="171"/>
      <c r="W1163" s="171"/>
      <c r="X1163" s="171"/>
      <c r="Y1163" s="185"/>
      <c r="Z1163" s="185"/>
    </row>
    <row r="1164" spans="4:26" x14ac:dyDescent="0.25">
      <c r="D1164" s="175"/>
      <c r="E1164" s="175"/>
      <c r="H1164" s="201"/>
      <c r="I1164" s="201"/>
      <c r="J1164" s="217"/>
      <c r="K1164" s="217"/>
      <c r="L1164" s="185"/>
      <c r="M1164" s="185"/>
      <c r="N1164" s="185"/>
      <c r="O1164" s="185"/>
      <c r="P1164" s="185"/>
      <c r="Q1164" s="185"/>
      <c r="R1164" s="168"/>
      <c r="S1164" s="168"/>
      <c r="U1164" s="170"/>
      <c r="V1164" s="171"/>
      <c r="W1164" s="171"/>
      <c r="X1164" s="171"/>
      <c r="Y1164" s="185"/>
      <c r="Z1164" s="185"/>
    </row>
    <row r="1165" spans="4:26" x14ac:dyDescent="0.25">
      <c r="D1165" s="175"/>
      <c r="E1165" s="175"/>
      <c r="H1165" s="201"/>
      <c r="I1165" s="201"/>
      <c r="J1165" s="217"/>
      <c r="K1165" s="217"/>
      <c r="L1165" s="185"/>
      <c r="M1165" s="185"/>
      <c r="N1165" s="185"/>
      <c r="O1165" s="185"/>
      <c r="P1165" s="185"/>
      <c r="Q1165" s="185"/>
      <c r="R1165" s="168"/>
      <c r="S1165" s="168"/>
      <c r="U1165" s="170"/>
      <c r="V1165" s="171"/>
      <c r="W1165" s="171"/>
      <c r="X1165" s="171"/>
      <c r="Y1165" s="185"/>
      <c r="Z1165" s="185"/>
    </row>
    <row r="1166" spans="4:26" x14ac:dyDescent="0.25">
      <c r="D1166" s="175"/>
      <c r="E1166" s="175"/>
      <c r="H1166" s="201"/>
      <c r="I1166" s="201"/>
      <c r="J1166" s="217"/>
      <c r="K1166" s="217"/>
      <c r="L1166" s="185"/>
      <c r="M1166" s="185"/>
      <c r="N1166" s="185"/>
      <c r="O1166" s="185"/>
      <c r="P1166" s="185"/>
      <c r="Q1166" s="185"/>
      <c r="R1166" s="168"/>
      <c r="S1166" s="168"/>
      <c r="U1166" s="170"/>
      <c r="V1166" s="171"/>
      <c r="W1166" s="171"/>
      <c r="X1166" s="171"/>
      <c r="Y1166" s="185"/>
      <c r="Z1166" s="185"/>
    </row>
    <row r="1167" spans="4:26" x14ac:dyDescent="0.25">
      <c r="D1167" s="175"/>
      <c r="E1167" s="175"/>
      <c r="H1167" s="201"/>
      <c r="I1167" s="201"/>
      <c r="J1167" s="217"/>
      <c r="K1167" s="217"/>
      <c r="L1167" s="185"/>
      <c r="M1167" s="185"/>
      <c r="N1167" s="185"/>
      <c r="O1167" s="185"/>
      <c r="P1167" s="185"/>
      <c r="Q1167" s="185"/>
      <c r="R1167" s="168"/>
      <c r="S1167" s="168"/>
      <c r="U1167" s="170"/>
      <c r="V1167" s="171"/>
      <c r="W1167" s="171"/>
      <c r="X1167" s="171"/>
      <c r="Y1167" s="185"/>
      <c r="Z1167" s="185"/>
    </row>
    <row r="1168" spans="4:26" x14ac:dyDescent="0.25">
      <c r="D1168" s="175"/>
      <c r="E1168" s="175"/>
      <c r="H1168" s="201"/>
      <c r="I1168" s="201"/>
      <c r="J1168" s="217"/>
      <c r="K1168" s="217"/>
      <c r="L1168" s="185"/>
      <c r="M1168" s="185"/>
      <c r="N1168" s="185"/>
      <c r="O1168" s="185"/>
      <c r="P1168" s="185"/>
      <c r="Q1168" s="185"/>
      <c r="R1168" s="168"/>
      <c r="S1168" s="168"/>
      <c r="U1168" s="170"/>
      <c r="V1168" s="171"/>
      <c r="W1168" s="171"/>
      <c r="X1168" s="171"/>
      <c r="Y1168" s="185"/>
      <c r="Z1168" s="185"/>
    </row>
    <row r="1169" spans="4:26" x14ac:dyDescent="0.25">
      <c r="D1169" s="175"/>
      <c r="E1169" s="175"/>
      <c r="H1169" s="201"/>
      <c r="I1169" s="201"/>
      <c r="J1169" s="217"/>
      <c r="K1169" s="217"/>
      <c r="L1169" s="185"/>
      <c r="M1169" s="185"/>
      <c r="N1169" s="185"/>
      <c r="O1169" s="185"/>
      <c r="P1169" s="185"/>
      <c r="Q1169" s="185"/>
      <c r="R1169" s="168"/>
      <c r="S1169" s="168"/>
      <c r="U1169" s="170"/>
      <c r="V1169" s="171"/>
      <c r="W1169" s="171"/>
      <c r="X1169" s="171"/>
      <c r="Y1169" s="185"/>
      <c r="Z1169" s="185"/>
    </row>
    <row r="1170" spans="4:26" x14ac:dyDescent="0.25">
      <c r="D1170" s="175"/>
      <c r="E1170" s="175"/>
      <c r="H1170" s="201"/>
      <c r="I1170" s="201"/>
      <c r="J1170" s="217"/>
      <c r="K1170" s="217"/>
      <c r="L1170" s="185"/>
      <c r="M1170" s="185"/>
      <c r="N1170" s="185"/>
      <c r="O1170" s="185"/>
      <c r="P1170" s="185"/>
      <c r="Q1170" s="185"/>
      <c r="R1170" s="168"/>
      <c r="S1170" s="168"/>
      <c r="U1170" s="170"/>
      <c r="V1170" s="171"/>
      <c r="W1170" s="171"/>
      <c r="X1170" s="171"/>
      <c r="Y1170" s="185"/>
      <c r="Z1170" s="185"/>
    </row>
    <row r="1171" spans="4:26" x14ac:dyDescent="0.25">
      <c r="D1171" s="175"/>
      <c r="E1171" s="175"/>
      <c r="H1171" s="201"/>
      <c r="I1171" s="201"/>
      <c r="J1171" s="217"/>
      <c r="K1171" s="217"/>
      <c r="L1171" s="185"/>
      <c r="M1171" s="185"/>
      <c r="N1171" s="185"/>
      <c r="O1171" s="185"/>
      <c r="P1171" s="185"/>
      <c r="Q1171" s="185"/>
      <c r="R1171" s="168"/>
      <c r="S1171" s="168"/>
      <c r="U1171" s="170"/>
      <c r="V1171" s="171"/>
      <c r="W1171" s="171"/>
      <c r="X1171" s="171"/>
      <c r="Y1171" s="185"/>
      <c r="Z1171" s="185"/>
    </row>
    <row r="1172" spans="4:26" x14ac:dyDescent="0.25">
      <c r="D1172" s="175"/>
      <c r="E1172" s="175"/>
      <c r="H1172" s="201"/>
      <c r="I1172" s="201"/>
      <c r="J1172" s="217"/>
      <c r="K1172" s="217"/>
      <c r="L1172" s="185"/>
      <c r="M1172" s="185"/>
      <c r="N1172" s="185"/>
      <c r="O1172" s="185"/>
      <c r="P1172" s="185"/>
      <c r="Q1172" s="185"/>
      <c r="R1172" s="168"/>
      <c r="S1172" s="168"/>
      <c r="U1172" s="170"/>
      <c r="V1172" s="171"/>
      <c r="W1172" s="171"/>
      <c r="X1172" s="171"/>
      <c r="Y1172" s="185"/>
      <c r="Z1172" s="185"/>
    </row>
    <row r="1173" spans="4:26" x14ac:dyDescent="0.25">
      <c r="D1173" s="175"/>
      <c r="E1173" s="175"/>
      <c r="H1173" s="201"/>
      <c r="I1173" s="201"/>
      <c r="J1173" s="217"/>
      <c r="K1173" s="217"/>
      <c r="L1173" s="185"/>
      <c r="M1173" s="185"/>
      <c r="N1173" s="185"/>
      <c r="O1173" s="185"/>
      <c r="P1173" s="185"/>
      <c r="Q1173" s="185"/>
      <c r="R1173" s="168"/>
      <c r="S1173" s="168"/>
      <c r="U1173" s="170"/>
      <c r="V1173" s="171"/>
      <c r="W1173" s="171"/>
      <c r="X1173" s="171"/>
      <c r="Y1173" s="185"/>
      <c r="Z1173" s="185"/>
    </row>
    <row r="1174" spans="4:26" x14ac:dyDescent="0.25">
      <c r="D1174" s="175"/>
      <c r="E1174" s="175"/>
      <c r="H1174" s="201"/>
      <c r="I1174" s="201"/>
      <c r="J1174" s="217"/>
      <c r="K1174" s="217"/>
      <c r="L1174" s="185"/>
      <c r="M1174" s="185"/>
      <c r="N1174" s="185"/>
      <c r="O1174" s="185"/>
      <c r="P1174" s="185"/>
      <c r="Q1174" s="185"/>
      <c r="R1174" s="168"/>
      <c r="S1174" s="168"/>
      <c r="U1174" s="170"/>
      <c r="V1174" s="171"/>
      <c r="W1174" s="171"/>
      <c r="X1174" s="171"/>
      <c r="Y1174" s="185"/>
      <c r="Z1174" s="185"/>
    </row>
    <row r="1175" spans="4:26" x14ac:dyDescent="0.25">
      <c r="D1175" s="175"/>
      <c r="E1175" s="175"/>
      <c r="H1175" s="201"/>
      <c r="I1175" s="201"/>
      <c r="J1175" s="217"/>
      <c r="K1175" s="217"/>
      <c r="L1175" s="185"/>
      <c r="M1175" s="185"/>
      <c r="N1175" s="185"/>
      <c r="O1175" s="185"/>
      <c r="P1175" s="185"/>
      <c r="Q1175" s="185"/>
      <c r="R1175" s="168"/>
      <c r="S1175" s="168"/>
      <c r="U1175" s="170"/>
      <c r="V1175" s="171"/>
      <c r="W1175" s="171"/>
      <c r="X1175" s="171"/>
      <c r="Y1175" s="185"/>
      <c r="Z1175" s="185"/>
    </row>
    <row r="1176" spans="4:26" x14ac:dyDescent="0.25">
      <c r="D1176" s="175"/>
      <c r="E1176" s="175"/>
      <c r="H1176" s="201"/>
      <c r="I1176" s="201"/>
      <c r="J1176" s="217"/>
      <c r="K1176" s="217"/>
      <c r="L1176" s="185"/>
      <c r="M1176" s="185"/>
      <c r="N1176" s="185"/>
      <c r="O1176" s="185"/>
      <c r="P1176" s="185"/>
      <c r="Q1176" s="185"/>
      <c r="R1176" s="168"/>
      <c r="S1176" s="168"/>
      <c r="U1176" s="170"/>
      <c r="V1176" s="171"/>
      <c r="W1176" s="171"/>
      <c r="X1176" s="171"/>
      <c r="Y1176" s="185"/>
      <c r="Z1176" s="185"/>
    </row>
    <row r="1177" spans="4:26" x14ac:dyDescent="0.25">
      <c r="D1177" s="175"/>
      <c r="E1177" s="175"/>
      <c r="H1177" s="201"/>
      <c r="I1177" s="201"/>
      <c r="J1177" s="217"/>
      <c r="K1177" s="217"/>
      <c r="L1177" s="185"/>
      <c r="M1177" s="185"/>
      <c r="N1177" s="185"/>
      <c r="O1177" s="185"/>
      <c r="P1177" s="185"/>
      <c r="Q1177" s="185"/>
      <c r="R1177" s="168"/>
      <c r="S1177" s="168"/>
      <c r="U1177" s="170"/>
      <c r="V1177" s="171"/>
      <c r="W1177" s="171"/>
      <c r="X1177" s="171"/>
      <c r="Y1177" s="185"/>
      <c r="Z1177" s="185"/>
    </row>
    <row r="1178" spans="4:26" x14ac:dyDescent="0.25">
      <c r="D1178" s="175"/>
      <c r="E1178" s="175"/>
      <c r="H1178" s="201"/>
      <c r="I1178" s="201"/>
      <c r="J1178" s="217"/>
      <c r="K1178" s="217"/>
      <c r="L1178" s="185"/>
      <c r="M1178" s="185"/>
      <c r="N1178" s="185"/>
      <c r="O1178" s="185"/>
      <c r="P1178" s="185"/>
      <c r="Q1178" s="185"/>
      <c r="R1178" s="168"/>
      <c r="S1178" s="168"/>
      <c r="U1178" s="170"/>
      <c r="V1178" s="171"/>
      <c r="W1178" s="171"/>
      <c r="X1178" s="171"/>
      <c r="Y1178" s="185"/>
      <c r="Z1178" s="185"/>
    </row>
    <row r="1179" spans="4:26" x14ac:dyDescent="0.25">
      <c r="D1179" s="175"/>
      <c r="E1179" s="175"/>
      <c r="H1179" s="201"/>
      <c r="I1179" s="201"/>
      <c r="J1179" s="217"/>
      <c r="K1179" s="217"/>
      <c r="L1179" s="185"/>
      <c r="M1179" s="185"/>
      <c r="N1179" s="185"/>
      <c r="O1179" s="185"/>
      <c r="P1179" s="185"/>
      <c r="Q1179" s="185"/>
      <c r="R1179" s="168"/>
      <c r="S1179" s="168"/>
      <c r="U1179" s="170"/>
      <c r="V1179" s="171"/>
      <c r="W1179" s="171"/>
      <c r="X1179" s="171"/>
      <c r="Y1179" s="185"/>
      <c r="Z1179" s="185"/>
    </row>
    <row r="1180" spans="4:26" x14ac:dyDescent="0.25">
      <c r="D1180" s="175"/>
      <c r="E1180" s="175"/>
      <c r="H1180" s="201"/>
      <c r="I1180" s="201"/>
      <c r="J1180" s="217"/>
      <c r="K1180" s="217"/>
      <c r="L1180" s="185"/>
      <c r="M1180" s="185"/>
      <c r="N1180" s="185"/>
      <c r="O1180" s="185"/>
      <c r="P1180" s="185"/>
      <c r="Q1180" s="185"/>
      <c r="R1180" s="168"/>
      <c r="S1180" s="168"/>
      <c r="U1180" s="170"/>
      <c r="V1180" s="171"/>
      <c r="W1180" s="171"/>
      <c r="X1180" s="171"/>
      <c r="Y1180" s="185"/>
      <c r="Z1180" s="185"/>
    </row>
    <row r="1181" spans="4:26" x14ac:dyDescent="0.25">
      <c r="D1181" s="175"/>
      <c r="E1181" s="175"/>
      <c r="H1181" s="201"/>
      <c r="I1181" s="201"/>
      <c r="J1181" s="217"/>
      <c r="K1181" s="217"/>
      <c r="L1181" s="185"/>
      <c r="M1181" s="185"/>
      <c r="N1181" s="185"/>
      <c r="O1181" s="185"/>
      <c r="P1181" s="185"/>
      <c r="Q1181" s="185"/>
      <c r="R1181" s="168"/>
      <c r="S1181" s="168"/>
      <c r="U1181" s="170"/>
      <c r="V1181" s="171"/>
      <c r="W1181" s="171"/>
      <c r="X1181" s="171"/>
      <c r="Y1181" s="185"/>
      <c r="Z1181" s="185"/>
    </row>
    <row r="1182" spans="4:26" x14ac:dyDescent="0.25">
      <c r="D1182" s="175"/>
      <c r="E1182" s="175"/>
      <c r="H1182" s="201"/>
      <c r="I1182" s="201"/>
      <c r="J1182" s="217"/>
      <c r="K1182" s="217"/>
      <c r="L1182" s="185"/>
      <c r="M1182" s="185"/>
      <c r="N1182" s="185"/>
      <c r="O1182" s="185"/>
      <c r="P1182" s="185"/>
      <c r="Q1182" s="185"/>
      <c r="R1182" s="168"/>
      <c r="S1182" s="168"/>
      <c r="U1182" s="170"/>
      <c r="V1182" s="171"/>
      <c r="W1182" s="171"/>
      <c r="X1182" s="171"/>
      <c r="Y1182" s="185"/>
      <c r="Z1182" s="185"/>
    </row>
    <row r="1183" spans="4:26" x14ac:dyDescent="0.25">
      <c r="D1183" s="175"/>
      <c r="E1183" s="175"/>
      <c r="H1183" s="201"/>
      <c r="I1183" s="201"/>
      <c r="J1183" s="217"/>
      <c r="K1183" s="217"/>
      <c r="L1183" s="185"/>
      <c r="M1183" s="185"/>
      <c r="N1183" s="185"/>
      <c r="O1183" s="185"/>
      <c r="P1183" s="185"/>
      <c r="Q1183" s="185"/>
      <c r="R1183" s="168"/>
      <c r="S1183" s="168"/>
      <c r="U1183" s="170"/>
      <c r="V1183" s="171"/>
      <c r="W1183" s="171"/>
      <c r="X1183" s="171"/>
      <c r="Y1183" s="185"/>
      <c r="Z1183" s="185"/>
    </row>
    <row r="1184" spans="4:26" x14ac:dyDescent="0.25">
      <c r="D1184" s="175"/>
      <c r="E1184" s="175"/>
      <c r="H1184" s="201"/>
      <c r="I1184" s="201"/>
      <c r="J1184" s="217"/>
      <c r="K1184" s="217"/>
      <c r="L1184" s="185"/>
      <c r="M1184" s="185"/>
      <c r="N1184" s="185"/>
      <c r="O1184" s="185"/>
      <c r="P1184" s="185"/>
      <c r="Q1184" s="185"/>
      <c r="R1184" s="168"/>
      <c r="S1184" s="168"/>
      <c r="U1184" s="170"/>
      <c r="V1184" s="171"/>
      <c r="W1184" s="171"/>
      <c r="X1184" s="171"/>
      <c r="Y1184" s="185"/>
      <c r="Z1184" s="185"/>
    </row>
    <row r="1185" spans="4:26" x14ac:dyDescent="0.25">
      <c r="D1185" s="175"/>
      <c r="E1185" s="175"/>
      <c r="H1185" s="201"/>
      <c r="I1185" s="201"/>
      <c r="J1185" s="217"/>
      <c r="K1185" s="217"/>
      <c r="L1185" s="185"/>
      <c r="M1185" s="185"/>
      <c r="N1185" s="185"/>
      <c r="O1185" s="185"/>
      <c r="P1185" s="185"/>
      <c r="Q1185" s="185"/>
      <c r="R1185" s="168"/>
      <c r="S1185" s="168"/>
      <c r="U1185" s="170"/>
      <c r="V1185" s="171"/>
      <c r="W1185" s="171"/>
      <c r="X1185" s="171"/>
      <c r="Y1185" s="185"/>
      <c r="Z1185" s="185"/>
    </row>
    <row r="1186" spans="4:26" x14ac:dyDescent="0.25">
      <c r="D1186" s="175"/>
      <c r="E1186" s="175"/>
      <c r="H1186" s="201"/>
      <c r="I1186" s="201"/>
      <c r="J1186" s="217"/>
      <c r="K1186" s="217"/>
      <c r="L1186" s="185"/>
      <c r="M1186" s="185"/>
      <c r="N1186" s="185"/>
      <c r="O1186" s="185"/>
      <c r="P1186" s="185"/>
      <c r="Q1186" s="185"/>
      <c r="R1186" s="168"/>
      <c r="S1186" s="168"/>
      <c r="U1186" s="170"/>
      <c r="V1186" s="171"/>
      <c r="W1186" s="171"/>
      <c r="X1186" s="171"/>
      <c r="Y1186" s="185"/>
      <c r="Z1186" s="185"/>
    </row>
    <row r="1187" spans="4:26" x14ac:dyDescent="0.25">
      <c r="D1187" s="175"/>
      <c r="E1187" s="175"/>
      <c r="H1187" s="201"/>
      <c r="I1187" s="201"/>
      <c r="J1187" s="217"/>
      <c r="K1187" s="217"/>
      <c r="L1187" s="185"/>
      <c r="M1187" s="185"/>
      <c r="N1187" s="185"/>
      <c r="O1187" s="185"/>
      <c r="P1187" s="185"/>
      <c r="Q1187" s="185"/>
      <c r="R1187" s="168"/>
      <c r="S1187" s="168"/>
      <c r="U1187" s="170"/>
      <c r="V1187" s="171"/>
      <c r="W1187" s="171"/>
      <c r="X1187" s="171"/>
      <c r="Y1187" s="185"/>
      <c r="Z1187" s="185"/>
    </row>
    <row r="1188" spans="4:26" x14ac:dyDescent="0.25">
      <c r="D1188" s="175"/>
      <c r="E1188" s="175"/>
      <c r="H1188" s="201"/>
      <c r="I1188" s="201"/>
      <c r="J1188" s="217"/>
      <c r="K1188" s="217"/>
      <c r="L1188" s="185"/>
      <c r="M1188" s="185"/>
      <c r="N1188" s="185"/>
      <c r="O1188" s="185"/>
      <c r="P1188" s="185"/>
      <c r="Q1188" s="185"/>
      <c r="R1188" s="168"/>
      <c r="S1188" s="168"/>
      <c r="U1188" s="170"/>
      <c r="V1188" s="171"/>
      <c r="W1188" s="171"/>
      <c r="X1188" s="171"/>
      <c r="Y1188" s="185"/>
      <c r="Z1188" s="185"/>
    </row>
    <row r="1189" spans="4:26" x14ac:dyDescent="0.25">
      <c r="D1189" s="175"/>
      <c r="E1189" s="175"/>
      <c r="H1189" s="201"/>
      <c r="I1189" s="201"/>
      <c r="J1189" s="217"/>
      <c r="K1189" s="217"/>
      <c r="L1189" s="185"/>
      <c r="M1189" s="185"/>
      <c r="N1189" s="185"/>
      <c r="O1189" s="185"/>
      <c r="P1189" s="185"/>
      <c r="Q1189" s="185"/>
      <c r="R1189" s="168"/>
      <c r="S1189" s="168"/>
      <c r="U1189" s="170"/>
      <c r="V1189" s="171"/>
      <c r="W1189" s="171"/>
      <c r="X1189" s="171"/>
      <c r="Y1189" s="185"/>
      <c r="Z1189" s="185"/>
    </row>
    <row r="1190" spans="4:26" x14ac:dyDescent="0.25">
      <c r="D1190" s="175"/>
      <c r="E1190" s="175"/>
      <c r="H1190" s="201"/>
      <c r="I1190" s="201"/>
      <c r="J1190" s="217"/>
      <c r="K1190" s="217"/>
      <c r="L1190" s="185"/>
      <c r="M1190" s="185"/>
      <c r="N1190" s="185"/>
      <c r="O1190" s="185"/>
      <c r="P1190" s="185"/>
      <c r="Q1190" s="185"/>
      <c r="R1190" s="168"/>
      <c r="S1190" s="168"/>
      <c r="U1190" s="170"/>
      <c r="V1190" s="171"/>
      <c r="W1190" s="171"/>
      <c r="X1190" s="171"/>
      <c r="Y1190" s="185"/>
      <c r="Z1190" s="185"/>
    </row>
    <row r="1191" spans="4:26" x14ac:dyDescent="0.25">
      <c r="D1191" s="175"/>
      <c r="E1191" s="175"/>
      <c r="H1191" s="201"/>
      <c r="I1191" s="201"/>
      <c r="J1191" s="217"/>
      <c r="K1191" s="217"/>
      <c r="L1191" s="185"/>
      <c r="M1191" s="185"/>
      <c r="N1191" s="185"/>
      <c r="O1191" s="185"/>
      <c r="P1191" s="185"/>
      <c r="Q1191" s="185"/>
      <c r="R1191" s="168"/>
      <c r="S1191" s="168"/>
      <c r="U1191" s="170"/>
      <c r="V1191" s="171"/>
      <c r="W1191" s="171"/>
      <c r="X1191" s="171"/>
      <c r="Y1191" s="185"/>
      <c r="Z1191" s="185"/>
    </row>
    <row r="1192" spans="4:26" x14ac:dyDescent="0.25">
      <c r="D1192" s="175"/>
      <c r="E1192" s="175"/>
      <c r="H1192" s="201"/>
      <c r="I1192" s="201"/>
      <c r="J1192" s="217"/>
      <c r="K1192" s="217"/>
      <c r="L1192" s="185"/>
      <c r="M1192" s="185"/>
      <c r="N1192" s="185"/>
      <c r="O1192" s="185"/>
      <c r="P1192" s="185"/>
      <c r="Q1192" s="185"/>
      <c r="R1192" s="168"/>
      <c r="S1192" s="168"/>
      <c r="U1192" s="170"/>
      <c r="V1192" s="171"/>
      <c r="W1192" s="171"/>
      <c r="X1192" s="171"/>
      <c r="Y1192" s="185"/>
      <c r="Z1192" s="185"/>
    </row>
    <row r="1193" spans="4:26" x14ac:dyDescent="0.25">
      <c r="D1193" s="175"/>
      <c r="E1193" s="175"/>
      <c r="H1193" s="201"/>
      <c r="I1193" s="201"/>
      <c r="J1193" s="217"/>
      <c r="K1193" s="217"/>
      <c r="L1193" s="185"/>
      <c r="M1193" s="185"/>
      <c r="N1193" s="185"/>
      <c r="O1193" s="185"/>
      <c r="P1193" s="185"/>
      <c r="Q1193" s="185"/>
      <c r="R1193" s="168"/>
      <c r="S1193" s="168"/>
      <c r="U1193" s="170"/>
      <c r="V1193" s="171"/>
      <c r="W1193" s="171"/>
      <c r="X1193" s="171"/>
      <c r="Y1193" s="185"/>
      <c r="Z1193" s="185"/>
    </row>
    <row r="1194" spans="4:26" x14ac:dyDescent="0.25">
      <c r="D1194" s="175"/>
      <c r="E1194" s="175"/>
      <c r="H1194" s="201"/>
      <c r="I1194" s="201"/>
      <c r="J1194" s="217"/>
      <c r="K1194" s="217"/>
      <c r="L1194" s="185"/>
      <c r="M1194" s="185"/>
      <c r="N1194" s="185"/>
      <c r="O1194" s="185"/>
      <c r="P1194" s="185"/>
      <c r="Q1194" s="185"/>
      <c r="R1194" s="168"/>
      <c r="S1194" s="168"/>
      <c r="U1194" s="170"/>
      <c r="V1194" s="171"/>
      <c r="W1194" s="171"/>
      <c r="X1194" s="171"/>
      <c r="Y1194" s="185"/>
      <c r="Z1194" s="185"/>
    </row>
    <row r="1195" spans="4:26" x14ac:dyDescent="0.25">
      <c r="D1195" s="175"/>
      <c r="E1195" s="175"/>
      <c r="H1195" s="201"/>
      <c r="I1195" s="201"/>
      <c r="J1195" s="217"/>
      <c r="K1195" s="217"/>
      <c r="L1195" s="185"/>
      <c r="M1195" s="185"/>
      <c r="N1195" s="185"/>
      <c r="O1195" s="185"/>
      <c r="P1195" s="185"/>
      <c r="Q1195" s="185"/>
      <c r="R1195" s="168"/>
      <c r="S1195" s="168"/>
      <c r="U1195" s="170"/>
      <c r="V1195" s="171"/>
      <c r="W1195" s="171"/>
      <c r="X1195" s="171"/>
      <c r="Y1195" s="185"/>
      <c r="Z1195" s="185"/>
    </row>
    <row r="1196" spans="4:26" x14ac:dyDescent="0.25">
      <c r="D1196" s="175"/>
      <c r="E1196" s="175"/>
      <c r="H1196" s="201"/>
      <c r="I1196" s="201"/>
      <c r="J1196" s="217"/>
      <c r="K1196" s="217"/>
      <c r="L1196" s="185"/>
      <c r="M1196" s="185"/>
      <c r="N1196" s="185"/>
      <c r="O1196" s="185"/>
      <c r="P1196" s="185"/>
      <c r="Q1196" s="185"/>
      <c r="R1196" s="168"/>
      <c r="S1196" s="168"/>
      <c r="U1196" s="170"/>
      <c r="V1196" s="171"/>
      <c r="W1196" s="171"/>
      <c r="X1196" s="171"/>
      <c r="Y1196" s="185"/>
      <c r="Z1196" s="185"/>
    </row>
    <row r="1197" spans="4:26" x14ac:dyDescent="0.25">
      <c r="D1197" s="175"/>
      <c r="E1197" s="175"/>
      <c r="H1197" s="201"/>
      <c r="I1197" s="201"/>
      <c r="J1197" s="217"/>
      <c r="K1197" s="217"/>
      <c r="L1197" s="185"/>
      <c r="M1197" s="185"/>
      <c r="N1197" s="185"/>
      <c r="O1197" s="185"/>
      <c r="P1197" s="185"/>
      <c r="Q1197" s="185"/>
      <c r="R1197" s="168"/>
      <c r="S1197" s="168"/>
      <c r="U1197" s="170"/>
      <c r="V1197" s="171"/>
      <c r="W1197" s="171"/>
      <c r="X1197" s="171"/>
      <c r="Y1197" s="185"/>
      <c r="Z1197" s="185"/>
    </row>
    <row r="1198" spans="4:26" x14ac:dyDescent="0.25">
      <c r="D1198" s="175"/>
      <c r="E1198" s="175"/>
      <c r="H1198" s="201"/>
      <c r="I1198" s="201"/>
      <c r="J1198" s="217"/>
      <c r="K1198" s="217"/>
      <c r="L1198" s="185"/>
      <c r="M1198" s="185"/>
      <c r="N1198" s="185"/>
      <c r="O1198" s="185"/>
      <c r="P1198" s="185"/>
      <c r="Q1198" s="185"/>
      <c r="R1198" s="168"/>
      <c r="S1198" s="168"/>
      <c r="U1198" s="170"/>
      <c r="V1198" s="171"/>
      <c r="W1198" s="171"/>
      <c r="X1198" s="171"/>
      <c r="Y1198" s="185"/>
      <c r="Z1198" s="185"/>
    </row>
    <row r="1199" spans="4:26" x14ac:dyDescent="0.25">
      <c r="D1199" s="175"/>
      <c r="E1199" s="175"/>
      <c r="H1199" s="201"/>
      <c r="I1199" s="201"/>
      <c r="J1199" s="217"/>
      <c r="K1199" s="217"/>
      <c r="L1199" s="185"/>
      <c r="M1199" s="185"/>
      <c r="N1199" s="185"/>
      <c r="O1199" s="185"/>
      <c r="P1199" s="185"/>
      <c r="Q1199" s="185"/>
      <c r="R1199" s="168"/>
      <c r="S1199" s="168"/>
      <c r="U1199" s="170"/>
      <c r="V1199" s="171"/>
      <c r="W1199" s="171"/>
      <c r="X1199" s="171"/>
      <c r="Y1199" s="185"/>
      <c r="Z1199" s="185"/>
    </row>
    <row r="1200" spans="4:26" x14ac:dyDescent="0.25">
      <c r="D1200" s="175"/>
      <c r="E1200" s="175"/>
      <c r="H1200" s="201"/>
      <c r="I1200" s="201"/>
      <c r="J1200" s="217"/>
      <c r="K1200" s="217"/>
      <c r="L1200" s="185"/>
      <c r="M1200" s="185"/>
      <c r="N1200" s="185"/>
      <c r="O1200" s="185"/>
      <c r="P1200" s="185"/>
      <c r="Q1200" s="185"/>
      <c r="R1200" s="168"/>
      <c r="S1200" s="168"/>
      <c r="U1200" s="170"/>
      <c r="V1200" s="171"/>
      <c r="W1200" s="171"/>
      <c r="X1200" s="171"/>
      <c r="Y1200" s="185"/>
      <c r="Z1200" s="185"/>
    </row>
    <row r="1201" spans="4:26" x14ac:dyDescent="0.25">
      <c r="D1201" s="175"/>
      <c r="E1201" s="175"/>
      <c r="H1201" s="201"/>
      <c r="I1201" s="201"/>
      <c r="J1201" s="217"/>
      <c r="K1201" s="217"/>
      <c r="L1201" s="185"/>
      <c r="M1201" s="185"/>
      <c r="N1201" s="185"/>
      <c r="O1201" s="185"/>
      <c r="P1201" s="185"/>
      <c r="Q1201" s="185"/>
      <c r="R1201" s="168"/>
      <c r="S1201" s="168"/>
      <c r="U1201" s="170"/>
      <c r="V1201" s="171"/>
      <c r="W1201" s="171"/>
      <c r="X1201" s="171"/>
      <c r="Y1201" s="185"/>
      <c r="Z1201" s="185"/>
    </row>
    <row r="1202" spans="4:26" x14ac:dyDescent="0.25">
      <c r="D1202" s="175"/>
      <c r="E1202" s="175"/>
      <c r="H1202" s="201"/>
      <c r="I1202" s="201"/>
      <c r="J1202" s="217"/>
      <c r="K1202" s="217"/>
      <c r="L1202" s="185"/>
      <c r="M1202" s="185"/>
      <c r="N1202" s="185"/>
      <c r="O1202" s="185"/>
      <c r="P1202" s="185"/>
      <c r="Q1202" s="185"/>
      <c r="R1202" s="168"/>
      <c r="S1202" s="168"/>
      <c r="U1202" s="170"/>
      <c r="V1202" s="171"/>
      <c r="W1202" s="171"/>
      <c r="X1202" s="171"/>
      <c r="Y1202" s="185"/>
      <c r="Z1202" s="185"/>
    </row>
    <row r="1203" spans="4:26" x14ac:dyDescent="0.25">
      <c r="D1203" s="175"/>
      <c r="E1203" s="175"/>
      <c r="H1203" s="201"/>
      <c r="I1203" s="201"/>
      <c r="J1203" s="217"/>
      <c r="K1203" s="217"/>
      <c r="L1203" s="185"/>
      <c r="M1203" s="185"/>
      <c r="N1203" s="185"/>
      <c r="O1203" s="185"/>
      <c r="P1203" s="185"/>
      <c r="Q1203" s="185"/>
      <c r="R1203" s="168"/>
      <c r="S1203" s="168"/>
      <c r="U1203" s="170"/>
      <c r="V1203" s="171"/>
      <c r="W1203" s="171"/>
      <c r="X1203" s="171"/>
      <c r="Y1203" s="185"/>
      <c r="Z1203" s="185"/>
    </row>
    <row r="1204" spans="4:26" x14ac:dyDescent="0.25">
      <c r="D1204" s="175"/>
      <c r="E1204" s="175"/>
      <c r="H1204" s="201"/>
      <c r="I1204" s="201"/>
      <c r="J1204" s="217"/>
      <c r="K1204" s="217"/>
      <c r="L1204" s="185"/>
      <c r="M1204" s="185"/>
      <c r="N1204" s="185"/>
      <c r="O1204" s="185"/>
      <c r="P1204" s="185"/>
      <c r="Q1204" s="185"/>
      <c r="R1204" s="168"/>
      <c r="S1204" s="168"/>
      <c r="U1204" s="170"/>
      <c r="V1204" s="171"/>
      <c r="W1204" s="171"/>
      <c r="X1204" s="171"/>
      <c r="Y1204" s="185"/>
      <c r="Z1204" s="185"/>
    </row>
    <row r="1205" spans="4:26" x14ac:dyDescent="0.25">
      <c r="D1205" s="175"/>
      <c r="E1205" s="175"/>
      <c r="H1205" s="201"/>
      <c r="I1205" s="201"/>
      <c r="J1205" s="217"/>
      <c r="K1205" s="217"/>
      <c r="L1205" s="185"/>
      <c r="M1205" s="185"/>
      <c r="N1205" s="185"/>
      <c r="O1205" s="185"/>
      <c r="P1205" s="185"/>
      <c r="Q1205" s="185"/>
      <c r="R1205" s="168"/>
      <c r="S1205" s="168"/>
      <c r="U1205" s="170"/>
      <c r="V1205" s="171"/>
      <c r="W1205" s="171"/>
      <c r="X1205" s="171"/>
      <c r="Y1205" s="185"/>
      <c r="Z1205" s="185"/>
    </row>
    <row r="1206" spans="4:26" x14ac:dyDescent="0.25">
      <c r="D1206" s="175"/>
      <c r="E1206" s="175"/>
      <c r="H1206" s="201"/>
      <c r="I1206" s="201"/>
      <c r="J1206" s="217"/>
      <c r="K1206" s="217"/>
      <c r="L1206" s="185"/>
      <c r="M1206" s="185"/>
      <c r="N1206" s="185"/>
      <c r="O1206" s="185"/>
      <c r="P1206" s="185"/>
      <c r="Q1206" s="185"/>
      <c r="R1206" s="168"/>
      <c r="S1206" s="168"/>
      <c r="U1206" s="170"/>
      <c r="V1206" s="171"/>
      <c r="W1206" s="171"/>
      <c r="X1206" s="171"/>
      <c r="Y1206" s="185"/>
      <c r="Z1206" s="185"/>
    </row>
    <row r="1207" spans="4:26" x14ac:dyDescent="0.25">
      <c r="D1207" s="175"/>
      <c r="E1207" s="175"/>
      <c r="H1207" s="201"/>
      <c r="I1207" s="201"/>
      <c r="J1207" s="217"/>
      <c r="K1207" s="217"/>
      <c r="L1207" s="185"/>
      <c r="M1207" s="185"/>
      <c r="N1207" s="185"/>
      <c r="O1207" s="185"/>
      <c r="P1207" s="185"/>
      <c r="Q1207" s="185"/>
      <c r="R1207" s="168"/>
      <c r="S1207" s="168"/>
      <c r="U1207" s="170"/>
      <c r="V1207" s="171"/>
      <c r="W1207" s="171"/>
      <c r="X1207" s="171"/>
      <c r="Y1207" s="185"/>
      <c r="Z1207" s="185"/>
    </row>
    <row r="1208" spans="4:26" x14ac:dyDescent="0.25">
      <c r="D1208" s="175"/>
      <c r="E1208" s="175"/>
      <c r="H1208" s="201"/>
      <c r="I1208" s="201"/>
      <c r="J1208" s="217"/>
      <c r="K1208" s="217"/>
      <c r="L1208" s="185"/>
      <c r="M1208" s="185"/>
      <c r="N1208" s="185"/>
      <c r="O1208" s="185"/>
      <c r="P1208" s="185"/>
      <c r="Q1208" s="185"/>
      <c r="R1208" s="168"/>
      <c r="S1208" s="168"/>
      <c r="U1208" s="170"/>
      <c r="V1208" s="171"/>
      <c r="W1208" s="171"/>
      <c r="X1208" s="171"/>
      <c r="Y1208" s="185"/>
      <c r="Z1208" s="185"/>
    </row>
    <row r="1209" spans="4:26" x14ac:dyDescent="0.25">
      <c r="D1209" s="175"/>
      <c r="E1209" s="175"/>
      <c r="H1209" s="201"/>
      <c r="I1209" s="201"/>
      <c r="J1209" s="217"/>
      <c r="K1209" s="217"/>
      <c r="L1209" s="185"/>
      <c r="M1209" s="185"/>
      <c r="N1209" s="185"/>
      <c r="O1209" s="185"/>
      <c r="P1209" s="185"/>
      <c r="Q1209" s="185"/>
      <c r="R1209" s="168"/>
      <c r="S1209" s="168"/>
      <c r="U1209" s="170"/>
      <c r="V1209" s="171"/>
      <c r="W1209" s="171"/>
      <c r="X1209" s="171"/>
      <c r="Y1209" s="185"/>
      <c r="Z1209" s="185"/>
    </row>
    <row r="1210" spans="4:26" x14ac:dyDescent="0.25">
      <c r="D1210" s="175"/>
      <c r="E1210" s="175"/>
      <c r="H1210" s="201"/>
      <c r="I1210" s="201"/>
      <c r="J1210" s="217"/>
      <c r="K1210" s="217"/>
      <c r="L1210" s="185"/>
      <c r="M1210" s="185"/>
      <c r="N1210" s="185"/>
      <c r="O1210" s="185"/>
      <c r="P1210" s="185"/>
      <c r="Q1210" s="185"/>
      <c r="R1210" s="168"/>
      <c r="S1210" s="168"/>
      <c r="U1210" s="170"/>
      <c r="V1210" s="171"/>
      <c r="W1210" s="171"/>
      <c r="X1210" s="171"/>
      <c r="Y1210" s="185"/>
      <c r="Z1210" s="185"/>
    </row>
    <row r="1211" spans="4:26" x14ac:dyDescent="0.25">
      <c r="D1211" s="175"/>
      <c r="E1211" s="175"/>
      <c r="H1211" s="201"/>
      <c r="I1211" s="201"/>
      <c r="J1211" s="217"/>
      <c r="K1211" s="217"/>
      <c r="L1211" s="185"/>
      <c r="M1211" s="185"/>
      <c r="N1211" s="185"/>
      <c r="O1211" s="185"/>
      <c r="P1211" s="185"/>
      <c r="Q1211" s="185"/>
      <c r="R1211" s="168"/>
      <c r="S1211" s="168"/>
      <c r="U1211" s="170"/>
      <c r="V1211" s="171"/>
      <c r="W1211" s="171"/>
      <c r="X1211" s="171"/>
      <c r="Y1211" s="185"/>
      <c r="Z1211" s="185"/>
    </row>
    <row r="1212" spans="4:26" x14ac:dyDescent="0.25">
      <c r="D1212" s="175"/>
      <c r="E1212" s="175"/>
      <c r="H1212" s="201"/>
      <c r="I1212" s="201"/>
      <c r="J1212" s="217"/>
      <c r="K1212" s="217"/>
      <c r="L1212" s="185"/>
      <c r="M1212" s="185"/>
      <c r="N1212" s="185"/>
      <c r="O1212" s="185"/>
      <c r="P1212" s="185"/>
      <c r="Q1212" s="185"/>
      <c r="R1212" s="168"/>
      <c r="S1212" s="168"/>
      <c r="U1212" s="170"/>
      <c r="V1212" s="171"/>
      <c r="W1212" s="171"/>
      <c r="X1212" s="171"/>
      <c r="Y1212" s="185"/>
      <c r="Z1212" s="185"/>
    </row>
    <row r="1213" spans="4:26" x14ac:dyDescent="0.25">
      <c r="D1213" s="175"/>
      <c r="E1213" s="175"/>
      <c r="H1213" s="201"/>
      <c r="I1213" s="201"/>
      <c r="J1213" s="217"/>
      <c r="K1213" s="217"/>
      <c r="L1213" s="185"/>
      <c r="M1213" s="185"/>
      <c r="N1213" s="185"/>
      <c r="O1213" s="185"/>
      <c r="P1213" s="185"/>
      <c r="Q1213" s="185"/>
      <c r="R1213" s="168"/>
      <c r="S1213" s="168"/>
      <c r="U1213" s="170"/>
      <c r="V1213" s="171"/>
      <c r="W1213" s="171"/>
      <c r="X1213" s="171"/>
      <c r="Y1213" s="185"/>
      <c r="Z1213" s="185"/>
    </row>
    <row r="1214" spans="4:26" x14ac:dyDescent="0.25">
      <c r="D1214" s="175"/>
      <c r="E1214" s="175"/>
      <c r="H1214" s="201"/>
      <c r="I1214" s="201"/>
      <c r="J1214" s="217"/>
      <c r="K1214" s="217"/>
      <c r="L1214" s="185"/>
      <c r="M1214" s="185"/>
      <c r="N1214" s="185"/>
      <c r="O1214" s="185"/>
      <c r="P1214" s="185"/>
      <c r="Q1214" s="185"/>
      <c r="R1214" s="168"/>
      <c r="S1214" s="168"/>
      <c r="U1214" s="170"/>
      <c r="V1214" s="171"/>
      <c r="W1214" s="171"/>
      <c r="X1214" s="171"/>
      <c r="Y1214" s="185"/>
      <c r="Z1214" s="185"/>
    </row>
    <row r="1215" spans="4:26" x14ac:dyDescent="0.25">
      <c r="D1215" s="175"/>
      <c r="E1215" s="175"/>
      <c r="H1215" s="201"/>
      <c r="I1215" s="201"/>
      <c r="J1215" s="217"/>
      <c r="K1215" s="217"/>
      <c r="L1215" s="185"/>
      <c r="M1215" s="185"/>
      <c r="N1215" s="185"/>
      <c r="O1215" s="185"/>
      <c r="P1215" s="185"/>
      <c r="Q1215" s="185"/>
      <c r="R1215" s="168"/>
      <c r="S1215" s="168"/>
      <c r="U1215" s="170"/>
      <c r="V1215" s="171"/>
      <c r="W1215" s="171"/>
      <c r="X1215" s="171"/>
      <c r="Y1215" s="185"/>
      <c r="Z1215" s="185"/>
    </row>
    <row r="1216" spans="4:26" x14ac:dyDescent="0.25">
      <c r="D1216" s="175"/>
      <c r="E1216" s="175"/>
      <c r="H1216" s="201"/>
      <c r="I1216" s="201"/>
      <c r="J1216" s="217"/>
      <c r="K1216" s="217"/>
      <c r="L1216" s="185"/>
      <c r="M1216" s="185"/>
      <c r="N1216" s="185"/>
      <c r="O1216" s="185"/>
      <c r="P1216" s="185"/>
      <c r="Q1216" s="185"/>
      <c r="R1216" s="168"/>
      <c r="S1216" s="168"/>
      <c r="U1216" s="170"/>
      <c r="V1216" s="171"/>
      <c r="W1216" s="171"/>
      <c r="X1216" s="171"/>
      <c r="Y1216" s="185"/>
      <c r="Z1216" s="185"/>
    </row>
    <row r="1217" spans="4:26" x14ac:dyDescent="0.25">
      <c r="D1217" s="175"/>
      <c r="E1217" s="175"/>
      <c r="H1217" s="201"/>
      <c r="I1217" s="201"/>
      <c r="J1217" s="217"/>
      <c r="K1217" s="217"/>
      <c r="L1217" s="185"/>
      <c r="M1217" s="185"/>
      <c r="N1217" s="185"/>
      <c r="O1217" s="185"/>
      <c r="P1217" s="185"/>
      <c r="Q1217" s="185"/>
      <c r="R1217" s="168"/>
      <c r="S1217" s="168"/>
      <c r="U1217" s="170"/>
      <c r="V1217" s="171"/>
      <c r="W1217" s="171"/>
      <c r="X1217" s="171"/>
      <c r="Y1217" s="185"/>
      <c r="Z1217" s="185"/>
    </row>
    <row r="1218" spans="4:26" x14ac:dyDescent="0.25">
      <c r="D1218" s="175"/>
      <c r="E1218" s="175"/>
      <c r="H1218" s="201"/>
      <c r="I1218" s="201"/>
      <c r="J1218" s="217"/>
      <c r="K1218" s="217"/>
      <c r="L1218" s="185"/>
      <c r="M1218" s="185"/>
      <c r="N1218" s="185"/>
      <c r="O1218" s="185"/>
      <c r="P1218" s="185"/>
      <c r="Q1218" s="185"/>
      <c r="R1218" s="168"/>
      <c r="S1218" s="168"/>
      <c r="U1218" s="170"/>
      <c r="V1218" s="171"/>
      <c r="W1218" s="171"/>
      <c r="X1218" s="171"/>
      <c r="Y1218" s="185"/>
      <c r="Z1218" s="185"/>
    </row>
    <row r="1219" spans="4:26" x14ac:dyDescent="0.25">
      <c r="D1219" s="175"/>
      <c r="E1219" s="175"/>
      <c r="H1219" s="201"/>
      <c r="I1219" s="201"/>
      <c r="J1219" s="217"/>
      <c r="K1219" s="217"/>
      <c r="L1219" s="185"/>
      <c r="M1219" s="185"/>
      <c r="N1219" s="185"/>
      <c r="O1219" s="185"/>
      <c r="P1219" s="185"/>
      <c r="Q1219" s="185"/>
      <c r="R1219" s="168"/>
      <c r="S1219" s="168"/>
      <c r="U1219" s="170"/>
      <c r="V1219" s="171"/>
      <c r="W1219" s="171"/>
      <c r="X1219" s="171"/>
      <c r="Y1219" s="185"/>
      <c r="Z1219" s="185"/>
    </row>
    <row r="1220" spans="4:26" x14ac:dyDescent="0.25">
      <c r="D1220" s="175"/>
      <c r="E1220" s="175"/>
      <c r="H1220" s="201"/>
      <c r="I1220" s="201"/>
      <c r="J1220" s="217"/>
      <c r="K1220" s="217"/>
      <c r="L1220" s="185"/>
      <c r="M1220" s="185"/>
      <c r="N1220" s="185"/>
      <c r="O1220" s="185"/>
      <c r="P1220" s="185"/>
      <c r="Q1220" s="185"/>
      <c r="R1220" s="168"/>
      <c r="S1220" s="168"/>
      <c r="U1220" s="170"/>
      <c r="V1220" s="171"/>
      <c r="W1220" s="171"/>
      <c r="X1220" s="171"/>
      <c r="Y1220" s="185"/>
      <c r="Z1220" s="185"/>
    </row>
    <row r="1221" spans="4:26" x14ac:dyDescent="0.25">
      <c r="D1221" s="175"/>
      <c r="E1221" s="175"/>
      <c r="H1221" s="201"/>
      <c r="I1221" s="201"/>
      <c r="J1221" s="217"/>
      <c r="K1221" s="217"/>
      <c r="L1221" s="185"/>
      <c r="M1221" s="185"/>
      <c r="N1221" s="185"/>
      <c r="O1221" s="185"/>
      <c r="P1221" s="185"/>
      <c r="Q1221" s="185"/>
      <c r="R1221" s="168"/>
      <c r="S1221" s="168"/>
      <c r="U1221" s="170"/>
      <c r="V1221" s="171"/>
      <c r="W1221" s="171"/>
      <c r="X1221" s="171"/>
      <c r="Y1221" s="185"/>
      <c r="Z1221" s="185"/>
    </row>
    <row r="1222" spans="4:26" x14ac:dyDescent="0.25">
      <c r="D1222" s="175"/>
      <c r="E1222" s="175"/>
      <c r="H1222" s="201"/>
      <c r="I1222" s="201"/>
      <c r="J1222" s="217"/>
      <c r="K1222" s="217"/>
      <c r="L1222" s="185"/>
      <c r="M1222" s="185"/>
      <c r="N1222" s="185"/>
      <c r="O1222" s="185"/>
      <c r="P1222" s="185"/>
      <c r="Q1222" s="185"/>
      <c r="R1222" s="168"/>
      <c r="S1222" s="168"/>
      <c r="U1222" s="170"/>
      <c r="V1222" s="171"/>
      <c r="W1222" s="171"/>
      <c r="X1222" s="171"/>
      <c r="Y1222" s="185"/>
      <c r="Z1222" s="185"/>
    </row>
    <row r="1223" spans="4:26" x14ac:dyDescent="0.25">
      <c r="D1223" s="175"/>
      <c r="E1223" s="175"/>
      <c r="H1223" s="201"/>
      <c r="I1223" s="201"/>
      <c r="J1223" s="217"/>
      <c r="K1223" s="217"/>
      <c r="L1223" s="185"/>
      <c r="M1223" s="185"/>
      <c r="N1223" s="185"/>
      <c r="O1223" s="185"/>
      <c r="P1223" s="185"/>
      <c r="Q1223" s="185"/>
      <c r="R1223" s="168"/>
      <c r="S1223" s="168"/>
      <c r="U1223" s="170"/>
      <c r="V1223" s="171"/>
      <c r="W1223" s="171"/>
      <c r="X1223" s="171"/>
      <c r="Y1223" s="185"/>
      <c r="Z1223" s="185"/>
    </row>
    <row r="1224" spans="4:26" x14ac:dyDescent="0.25">
      <c r="D1224" s="175"/>
      <c r="E1224" s="175"/>
      <c r="H1224" s="201"/>
      <c r="I1224" s="201"/>
      <c r="J1224" s="217"/>
      <c r="K1224" s="217"/>
      <c r="L1224" s="185"/>
      <c r="M1224" s="185"/>
      <c r="N1224" s="185"/>
      <c r="O1224" s="185"/>
      <c r="P1224" s="185"/>
      <c r="Q1224" s="185"/>
      <c r="R1224" s="168"/>
      <c r="S1224" s="168"/>
      <c r="U1224" s="170"/>
      <c r="V1224" s="171"/>
      <c r="W1224" s="171"/>
      <c r="X1224" s="171"/>
      <c r="Y1224" s="185"/>
      <c r="Z1224" s="185"/>
    </row>
    <row r="1225" spans="4:26" x14ac:dyDescent="0.25">
      <c r="D1225" s="175"/>
      <c r="E1225" s="175"/>
      <c r="H1225" s="201"/>
      <c r="I1225" s="201"/>
      <c r="J1225" s="217"/>
      <c r="K1225" s="217"/>
      <c r="L1225" s="185"/>
      <c r="M1225" s="185"/>
      <c r="N1225" s="185"/>
      <c r="O1225" s="185"/>
      <c r="P1225" s="185"/>
      <c r="Q1225" s="185"/>
      <c r="R1225" s="168"/>
      <c r="S1225" s="168"/>
      <c r="U1225" s="170"/>
      <c r="V1225" s="171"/>
      <c r="W1225" s="171"/>
      <c r="X1225" s="171"/>
      <c r="Y1225" s="185"/>
      <c r="Z1225" s="185"/>
    </row>
    <row r="1226" spans="4:26" x14ac:dyDescent="0.25">
      <c r="D1226" s="175"/>
      <c r="E1226" s="175"/>
      <c r="H1226" s="201"/>
      <c r="I1226" s="201"/>
      <c r="J1226" s="217"/>
      <c r="K1226" s="217"/>
      <c r="L1226" s="185"/>
      <c r="M1226" s="185"/>
      <c r="N1226" s="185"/>
      <c r="O1226" s="185"/>
      <c r="P1226" s="185"/>
      <c r="Q1226" s="185"/>
      <c r="R1226" s="168"/>
      <c r="S1226" s="168"/>
      <c r="U1226" s="170"/>
      <c r="V1226" s="171"/>
      <c r="W1226" s="171"/>
      <c r="X1226" s="171"/>
      <c r="Y1226" s="185"/>
      <c r="Z1226" s="185"/>
    </row>
    <row r="1227" spans="4:26" x14ac:dyDescent="0.25">
      <c r="D1227" s="175"/>
      <c r="E1227" s="175"/>
      <c r="H1227" s="201"/>
      <c r="I1227" s="201"/>
      <c r="J1227" s="217"/>
      <c r="K1227" s="217"/>
      <c r="L1227" s="185"/>
      <c r="M1227" s="185"/>
      <c r="N1227" s="185"/>
      <c r="O1227" s="185"/>
      <c r="P1227" s="185"/>
      <c r="Q1227" s="185"/>
      <c r="R1227" s="168"/>
      <c r="S1227" s="168"/>
      <c r="U1227" s="170"/>
      <c r="V1227" s="171"/>
      <c r="W1227" s="171"/>
      <c r="X1227" s="171"/>
      <c r="Y1227" s="185"/>
      <c r="Z1227" s="185"/>
    </row>
    <row r="1228" spans="4:26" x14ac:dyDescent="0.25">
      <c r="D1228" s="175"/>
      <c r="E1228" s="175"/>
      <c r="H1228" s="201"/>
      <c r="I1228" s="201"/>
      <c r="J1228" s="217"/>
      <c r="K1228" s="217"/>
      <c r="L1228" s="185"/>
      <c r="M1228" s="185"/>
      <c r="N1228" s="185"/>
      <c r="O1228" s="185"/>
      <c r="P1228" s="185"/>
      <c r="Q1228" s="185"/>
      <c r="R1228" s="168"/>
      <c r="S1228" s="168"/>
      <c r="U1228" s="170"/>
      <c r="V1228" s="171"/>
      <c r="W1228" s="171"/>
      <c r="X1228" s="171"/>
      <c r="Y1228" s="185"/>
      <c r="Z1228" s="185"/>
    </row>
    <row r="1229" spans="4:26" x14ac:dyDescent="0.25">
      <c r="D1229" s="175"/>
      <c r="E1229" s="175"/>
      <c r="H1229" s="201"/>
      <c r="I1229" s="201"/>
      <c r="J1229" s="217"/>
      <c r="K1229" s="217"/>
      <c r="L1229" s="185"/>
      <c r="M1229" s="185"/>
      <c r="N1229" s="185"/>
      <c r="O1229" s="185"/>
      <c r="P1229" s="185"/>
      <c r="Q1229" s="185"/>
      <c r="R1229" s="168"/>
      <c r="S1229" s="168"/>
      <c r="U1229" s="170"/>
      <c r="V1229" s="171"/>
      <c r="W1229" s="171"/>
      <c r="X1229" s="171"/>
      <c r="Y1229" s="185"/>
      <c r="Z1229" s="185"/>
    </row>
    <row r="1230" spans="4:26" x14ac:dyDescent="0.25">
      <c r="D1230" s="175"/>
      <c r="E1230" s="175"/>
      <c r="H1230" s="201"/>
      <c r="I1230" s="201"/>
      <c r="J1230" s="217"/>
      <c r="K1230" s="217"/>
      <c r="L1230" s="185"/>
      <c r="M1230" s="185"/>
      <c r="N1230" s="185"/>
      <c r="O1230" s="185"/>
      <c r="P1230" s="185"/>
      <c r="Q1230" s="185"/>
      <c r="R1230" s="168"/>
      <c r="S1230" s="168"/>
      <c r="U1230" s="170"/>
      <c r="V1230" s="171"/>
      <c r="W1230" s="171"/>
      <c r="X1230" s="171"/>
      <c r="Y1230" s="185"/>
      <c r="Z1230" s="185"/>
    </row>
    <row r="1231" spans="4:26" x14ac:dyDescent="0.25">
      <c r="D1231" s="175"/>
      <c r="E1231" s="175"/>
      <c r="H1231" s="201"/>
      <c r="I1231" s="201"/>
      <c r="J1231" s="217"/>
      <c r="K1231" s="217"/>
      <c r="L1231" s="185"/>
      <c r="M1231" s="185"/>
      <c r="N1231" s="185"/>
      <c r="O1231" s="185"/>
      <c r="P1231" s="185"/>
      <c r="Q1231" s="185"/>
      <c r="R1231" s="168"/>
      <c r="S1231" s="168"/>
      <c r="U1231" s="170"/>
      <c r="V1231" s="171"/>
      <c r="W1231" s="171"/>
      <c r="X1231" s="171"/>
      <c r="Y1231" s="185"/>
      <c r="Z1231" s="185"/>
    </row>
    <row r="1232" spans="4:26" x14ac:dyDescent="0.25">
      <c r="D1232" s="175"/>
      <c r="E1232" s="175"/>
      <c r="H1232" s="201"/>
      <c r="I1232" s="201"/>
      <c r="J1232" s="217"/>
      <c r="K1232" s="217"/>
      <c r="L1232" s="185"/>
      <c r="M1232" s="185"/>
      <c r="N1232" s="185"/>
      <c r="O1232" s="185"/>
      <c r="P1232" s="185"/>
      <c r="Q1232" s="185"/>
      <c r="R1232" s="168"/>
      <c r="S1232" s="168"/>
      <c r="U1232" s="170"/>
      <c r="V1232" s="171"/>
      <c r="W1232" s="171"/>
      <c r="X1232" s="171"/>
      <c r="Y1232" s="185"/>
      <c r="Z1232" s="185"/>
    </row>
    <row r="1233" spans="4:26" x14ac:dyDescent="0.25">
      <c r="D1233" s="175"/>
      <c r="E1233" s="175"/>
      <c r="H1233" s="201"/>
      <c r="I1233" s="201"/>
      <c r="J1233" s="217"/>
      <c r="K1233" s="217"/>
      <c r="L1233" s="185"/>
      <c r="M1233" s="185"/>
      <c r="N1233" s="185"/>
      <c r="O1233" s="185"/>
      <c r="P1233" s="185"/>
      <c r="Q1233" s="185"/>
      <c r="R1233" s="168"/>
      <c r="S1233" s="168"/>
      <c r="U1233" s="170"/>
      <c r="V1233" s="171"/>
      <c r="W1233" s="171"/>
      <c r="X1233" s="171"/>
      <c r="Y1233" s="185"/>
      <c r="Z1233" s="185"/>
    </row>
    <row r="1234" spans="4:26" x14ac:dyDescent="0.25">
      <c r="D1234" s="175"/>
      <c r="E1234" s="175"/>
      <c r="H1234" s="201"/>
      <c r="I1234" s="201"/>
      <c r="J1234" s="217"/>
      <c r="K1234" s="217"/>
      <c r="L1234" s="185"/>
      <c r="M1234" s="185"/>
      <c r="N1234" s="185"/>
      <c r="O1234" s="185"/>
      <c r="P1234" s="185"/>
      <c r="Q1234" s="185"/>
      <c r="R1234" s="168"/>
      <c r="S1234" s="168"/>
      <c r="U1234" s="170"/>
      <c r="V1234" s="171"/>
      <c r="W1234" s="171"/>
      <c r="X1234" s="171"/>
      <c r="Y1234" s="185"/>
      <c r="Z1234" s="185"/>
    </row>
    <row r="1235" spans="4:26" x14ac:dyDescent="0.25">
      <c r="D1235" s="175"/>
      <c r="E1235" s="175"/>
      <c r="H1235" s="201"/>
      <c r="I1235" s="201"/>
      <c r="J1235" s="217"/>
      <c r="K1235" s="217"/>
      <c r="L1235" s="185"/>
      <c r="M1235" s="185"/>
      <c r="N1235" s="185"/>
      <c r="O1235" s="185"/>
      <c r="P1235" s="185"/>
      <c r="Q1235" s="185"/>
      <c r="R1235" s="168"/>
      <c r="S1235" s="168"/>
      <c r="U1235" s="170"/>
      <c r="V1235" s="171"/>
      <c r="W1235" s="171"/>
      <c r="X1235" s="171"/>
      <c r="Y1235" s="185"/>
      <c r="Z1235" s="185"/>
    </row>
    <row r="1236" spans="4:26" x14ac:dyDescent="0.25">
      <c r="D1236" s="175"/>
      <c r="E1236" s="175"/>
      <c r="H1236" s="201"/>
      <c r="I1236" s="201"/>
      <c r="J1236" s="217"/>
      <c r="K1236" s="217"/>
      <c r="L1236" s="185"/>
      <c r="M1236" s="185"/>
      <c r="N1236" s="185"/>
      <c r="O1236" s="185"/>
      <c r="P1236" s="185"/>
      <c r="Q1236" s="185"/>
      <c r="R1236" s="168"/>
      <c r="S1236" s="168"/>
      <c r="U1236" s="170"/>
      <c r="V1236" s="171"/>
      <c r="W1236" s="171"/>
      <c r="X1236" s="171"/>
      <c r="Y1236" s="185"/>
      <c r="Z1236" s="185"/>
    </row>
    <row r="1237" spans="4:26" x14ac:dyDescent="0.25">
      <c r="D1237" s="175"/>
      <c r="E1237" s="175"/>
      <c r="H1237" s="201"/>
      <c r="I1237" s="201"/>
      <c r="J1237" s="217"/>
      <c r="K1237" s="217"/>
      <c r="L1237" s="185"/>
      <c r="M1237" s="185"/>
      <c r="N1237" s="185"/>
      <c r="O1237" s="185"/>
      <c r="P1237" s="185"/>
      <c r="Q1237" s="185"/>
      <c r="R1237" s="168"/>
      <c r="S1237" s="168"/>
      <c r="U1237" s="170"/>
      <c r="V1237" s="171"/>
      <c r="W1237" s="171"/>
      <c r="X1237" s="171"/>
      <c r="Y1237" s="185"/>
      <c r="Z1237" s="185"/>
    </row>
    <row r="1238" spans="4:26" x14ac:dyDescent="0.25">
      <c r="D1238" s="175"/>
      <c r="E1238" s="175"/>
      <c r="H1238" s="201"/>
      <c r="I1238" s="201"/>
      <c r="J1238" s="217"/>
      <c r="K1238" s="217"/>
      <c r="L1238" s="185"/>
      <c r="M1238" s="185"/>
      <c r="N1238" s="185"/>
      <c r="O1238" s="185"/>
      <c r="P1238" s="185"/>
      <c r="Q1238" s="185"/>
      <c r="R1238" s="168"/>
      <c r="S1238" s="168"/>
      <c r="U1238" s="170"/>
      <c r="V1238" s="171"/>
      <c r="W1238" s="171"/>
      <c r="X1238" s="171"/>
      <c r="Y1238" s="185"/>
      <c r="Z1238" s="185"/>
    </row>
    <row r="1239" spans="4:26" x14ac:dyDescent="0.25">
      <c r="D1239" s="175"/>
      <c r="E1239" s="175"/>
      <c r="H1239" s="201"/>
      <c r="I1239" s="201"/>
      <c r="J1239" s="217"/>
      <c r="K1239" s="217"/>
      <c r="L1239" s="185"/>
      <c r="M1239" s="185"/>
      <c r="N1239" s="185"/>
      <c r="O1239" s="185"/>
      <c r="P1239" s="185"/>
      <c r="Q1239" s="185"/>
      <c r="R1239" s="168"/>
      <c r="S1239" s="168"/>
      <c r="U1239" s="170"/>
      <c r="V1239" s="171"/>
      <c r="W1239" s="171"/>
      <c r="X1239" s="171"/>
      <c r="Y1239" s="185"/>
      <c r="Z1239" s="185"/>
    </row>
    <row r="1240" spans="4:26" x14ac:dyDescent="0.25">
      <c r="D1240" s="175"/>
      <c r="E1240" s="175"/>
      <c r="H1240" s="201"/>
      <c r="I1240" s="201"/>
      <c r="J1240" s="217"/>
      <c r="K1240" s="217"/>
      <c r="L1240" s="185"/>
      <c r="M1240" s="185"/>
      <c r="N1240" s="185"/>
      <c r="O1240" s="185"/>
      <c r="P1240" s="185"/>
      <c r="Q1240" s="185"/>
      <c r="R1240" s="168"/>
      <c r="S1240" s="168"/>
      <c r="U1240" s="170"/>
      <c r="V1240" s="171"/>
      <c r="W1240" s="171"/>
      <c r="X1240" s="171"/>
      <c r="Y1240" s="185"/>
      <c r="Z1240" s="185"/>
    </row>
    <row r="1241" spans="4:26" x14ac:dyDescent="0.25">
      <c r="D1241" s="175"/>
      <c r="E1241" s="175"/>
      <c r="H1241" s="201"/>
      <c r="I1241" s="201"/>
      <c r="J1241" s="217"/>
      <c r="K1241" s="217"/>
      <c r="L1241" s="185"/>
      <c r="M1241" s="185"/>
      <c r="N1241" s="185"/>
      <c r="O1241" s="185"/>
      <c r="P1241" s="185"/>
      <c r="Q1241" s="185"/>
      <c r="R1241" s="168"/>
      <c r="S1241" s="168"/>
      <c r="U1241" s="170"/>
      <c r="V1241" s="171"/>
      <c r="W1241" s="171"/>
      <c r="X1241" s="171"/>
      <c r="Y1241" s="185"/>
      <c r="Z1241" s="185"/>
    </row>
    <row r="1242" spans="4:26" x14ac:dyDescent="0.25">
      <c r="D1242" s="175"/>
      <c r="E1242" s="175"/>
      <c r="H1242" s="201"/>
      <c r="I1242" s="201"/>
      <c r="J1242" s="217"/>
      <c r="K1242" s="217"/>
      <c r="L1242" s="185"/>
      <c r="M1242" s="185"/>
      <c r="N1242" s="185"/>
      <c r="O1242" s="185"/>
      <c r="P1242" s="185"/>
      <c r="Q1242" s="185"/>
      <c r="R1242" s="168"/>
      <c r="S1242" s="168"/>
      <c r="U1242" s="170"/>
      <c r="V1242" s="171"/>
      <c r="W1242" s="171"/>
      <c r="X1242" s="171"/>
      <c r="Y1242" s="185"/>
      <c r="Z1242" s="185"/>
    </row>
    <row r="1243" spans="4:26" x14ac:dyDescent="0.25">
      <c r="D1243" s="175"/>
      <c r="E1243" s="175"/>
      <c r="H1243" s="201"/>
      <c r="I1243" s="201"/>
      <c r="J1243" s="217"/>
      <c r="K1243" s="217"/>
      <c r="L1243" s="185"/>
      <c r="M1243" s="185"/>
      <c r="N1243" s="185"/>
      <c r="O1243" s="185"/>
      <c r="P1243" s="185"/>
      <c r="Q1243" s="185"/>
      <c r="R1243" s="168"/>
      <c r="S1243" s="168"/>
      <c r="U1243" s="170"/>
      <c r="V1243" s="171"/>
      <c r="W1243" s="171"/>
      <c r="X1243" s="171"/>
      <c r="Y1243" s="185"/>
      <c r="Z1243" s="185"/>
    </row>
    <row r="1244" spans="4:26" x14ac:dyDescent="0.25">
      <c r="D1244" s="175"/>
      <c r="E1244" s="175"/>
      <c r="H1244" s="201"/>
      <c r="I1244" s="201"/>
      <c r="J1244" s="217"/>
      <c r="K1244" s="217"/>
      <c r="L1244" s="185"/>
      <c r="M1244" s="185"/>
      <c r="N1244" s="185"/>
      <c r="O1244" s="185"/>
      <c r="P1244" s="185"/>
      <c r="Q1244" s="185"/>
      <c r="R1244" s="168"/>
      <c r="S1244" s="168"/>
      <c r="U1244" s="170"/>
      <c r="V1244" s="171"/>
      <c r="W1244" s="171"/>
      <c r="X1244" s="171"/>
      <c r="Y1244" s="185"/>
      <c r="Z1244" s="185"/>
    </row>
    <row r="1245" spans="4:26" x14ac:dyDescent="0.25">
      <c r="D1245" s="175"/>
      <c r="E1245" s="175"/>
      <c r="H1245" s="201"/>
      <c r="I1245" s="201"/>
      <c r="J1245" s="217"/>
      <c r="K1245" s="217"/>
      <c r="L1245" s="185"/>
      <c r="M1245" s="185"/>
      <c r="N1245" s="185"/>
      <c r="O1245" s="185"/>
      <c r="P1245" s="185"/>
      <c r="Q1245" s="185"/>
      <c r="R1245" s="168"/>
      <c r="S1245" s="168"/>
      <c r="U1245" s="170"/>
      <c r="V1245" s="171"/>
      <c r="W1245" s="171"/>
      <c r="X1245" s="171"/>
      <c r="Y1245" s="185"/>
      <c r="Z1245" s="185"/>
    </row>
    <row r="1246" spans="4:26" x14ac:dyDescent="0.25">
      <c r="D1246" s="175"/>
      <c r="E1246" s="175"/>
      <c r="H1246" s="201"/>
      <c r="I1246" s="201"/>
      <c r="J1246" s="217"/>
      <c r="K1246" s="217"/>
      <c r="L1246" s="185"/>
      <c r="M1246" s="185"/>
      <c r="N1246" s="185"/>
      <c r="O1246" s="185"/>
      <c r="P1246" s="185"/>
      <c r="Q1246" s="185"/>
      <c r="R1246" s="168"/>
      <c r="S1246" s="168"/>
      <c r="U1246" s="170"/>
      <c r="V1246" s="171"/>
      <c r="W1246" s="171"/>
      <c r="X1246" s="171"/>
      <c r="Y1246" s="185"/>
      <c r="Z1246" s="185"/>
    </row>
    <row r="1247" spans="4:26" x14ac:dyDescent="0.25">
      <c r="D1247" s="175"/>
      <c r="E1247" s="175"/>
      <c r="H1247" s="201"/>
      <c r="I1247" s="201"/>
      <c r="J1247" s="217"/>
      <c r="K1247" s="217"/>
      <c r="L1247" s="185"/>
      <c r="M1247" s="185"/>
      <c r="N1247" s="185"/>
      <c r="O1247" s="185"/>
      <c r="P1247" s="185"/>
      <c r="Q1247" s="185"/>
      <c r="R1247" s="168"/>
      <c r="S1247" s="168"/>
      <c r="U1247" s="170"/>
      <c r="V1247" s="171"/>
      <c r="W1247" s="171"/>
      <c r="X1247" s="171"/>
      <c r="Y1247" s="185"/>
      <c r="Z1247" s="185"/>
    </row>
    <row r="1248" spans="4:26" x14ac:dyDescent="0.25">
      <c r="D1248" s="175"/>
      <c r="E1248" s="175"/>
      <c r="H1248" s="201"/>
      <c r="I1248" s="201"/>
      <c r="J1248" s="217"/>
      <c r="K1248" s="217"/>
      <c r="L1248" s="185"/>
      <c r="M1248" s="185"/>
      <c r="N1248" s="185"/>
      <c r="O1248" s="185"/>
      <c r="P1248" s="185"/>
      <c r="Q1248" s="185"/>
      <c r="R1248" s="168"/>
      <c r="S1248" s="168"/>
      <c r="U1248" s="170"/>
      <c r="V1248" s="171"/>
      <c r="W1248" s="171"/>
      <c r="X1248" s="171"/>
      <c r="Y1248" s="185"/>
      <c r="Z1248" s="185"/>
    </row>
    <row r="1249" spans="4:26" x14ac:dyDescent="0.25">
      <c r="D1249" s="175"/>
      <c r="E1249" s="175"/>
      <c r="H1249" s="201"/>
      <c r="I1249" s="201"/>
      <c r="J1249" s="217"/>
      <c r="K1249" s="217"/>
      <c r="L1249" s="185"/>
      <c r="M1249" s="185"/>
      <c r="N1249" s="185"/>
      <c r="O1249" s="185"/>
      <c r="P1249" s="185"/>
      <c r="Q1249" s="185"/>
      <c r="R1249" s="168"/>
      <c r="S1249" s="168"/>
      <c r="U1249" s="170"/>
      <c r="V1249" s="171"/>
      <c r="W1249" s="171"/>
      <c r="X1249" s="171"/>
      <c r="Y1249" s="185"/>
      <c r="Z1249" s="185"/>
    </row>
    <row r="1250" spans="4:26" x14ac:dyDescent="0.25">
      <c r="D1250" s="175"/>
      <c r="E1250" s="175"/>
      <c r="H1250" s="201"/>
      <c r="I1250" s="201"/>
      <c r="J1250" s="217"/>
      <c r="K1250" s="217"/>
      <c r="L1250" s="185"/>
      <c r="M1250" s="185"/>
      <c r="N1250" s="185"/>
      <c r="O1250" s="185"/>
      <c r="P1250" s="185"/>
      <c r="Q1250" s="185"/>
      <c r="R1250" s="168"/>
      <c r="S1250" s="168"/>
      <c r="U1250" s="170"/>
      <c r="V1250" s="171"/>
      <c r="W1250" s="171"/>
      <c r="X1250" s="171"/>
      <c r="Y1250" s="185"/>
      <c r="Z1250" s="185"/>
    </row>
    <row r="1251" spans="4:26" x14ac:dyDescent="0.25">
      <c r="D1251" s="175"/>
      <c r="E1251" s="175"/>
      <c r="H1251" s="201"/>
      <c r="I1251" s="201"/>
      <c r="J1251" s="217"/>
      <c r="K1251" s="217"/>
      <c r="L1251" s="185"/>
      <c r="M1251" s="185"/>
      <c r="N1251" s="185"/>
      <c r="O1251" s="185"/>
      <c r="P1251" s="185"/>
      <c r="Q1251" s="185"/>
      <c r="R1251" s="168"/>
      <c r="S1251" s="168"/>
      <c r="U1251" s="170"/>
      <c r="V1251" s="171"/>
      <c r="W1251" s="171"/>
      <c r="X1251" s="171"/>
      <c r="Y1251" s="185"/>
      <c r="Z1251" s="185"/>
    </row>
    <row r="1252" spans="4:26" x14ac:dyDescent="0.25">
      <c r="D1252" s="175"/>
      <c r="E1252" s="175"/>
      <c r="H1252" s="201"/>
      <c r="I1252" s="201"/>
      <c r="J1252" s="217"/>
      <c r="K1252" s="217"/>
      <c r="L1252" s="185"/>
      <c r="M1252" s="185"/>
      <c r="N1252" s="185"/>
      <c r="O1252" s="185"/>
      <c r="P1252" s="185"/>
      <c r="Q1252" s="185"/>
      <c r="R1252" s="168"/>
      <c r="S1252" s="168"/>
      <c r="U1252" s="170"/>
      <c r="V1252" s="171"/>
      <c r="W1252" s="171"/>
      <c r="X1252" s="171"/>
      <c r="Y1252" s="185"/>
      <c r="Z1252" s="185"/>
    </row>
    <row r="1253" spans="4:26" x14ac:dyDescent="0.25">
      <c r="D1253" s="175"/>
      <c r="E1253" s="175"/>
      <c r="H1253" s="201"/>
      <c r="I1253" s="201"/>
      <c r="J1253" s="217"/>
      <c r="K1253" s="217"/>
      <c r="L1253" s="185"/>
      <c r="M1253" s="185"/>
      <c r="N1253" s="185"/>
      <c r="O1253" s="185"/>
      <c r="P1253" s="185"/>
      <c r="Q1253" s="185"/>
      <c r="R1253" s="168"/>
      <c r="S1253" s="168"/>
      <c r="U1253" s="170"/>
      <c r="V1253" s="171"/>
      <c r="W1253" s="171"/>
      <c r="X1253" s="171"/>
      <c r="Y1253" s="185"/>
      <c r="Z1253" s="185"/>
    </row>
    <row r="1254" spans="4:26" x14ac:dyDescent="0.25">
      <c r="D1254" s="175"/>
      <c r="E1254" s="175"/>
      <c r="H1254" s="201"/>
      <c r="I1254" s="201"/>
      <c r="J1254" s="217"/>
      <c r="K1254" s="217"/>
      <c r="L1254" s="185"/>
      <c r="M1254" s="185"/>
      <c r="N1254" s="185"/>
      <c r="O1254" s="185"/>
      <c r="P1254" s="185"/>
      <c r="Q1254" s="185"/>
      <c r="R1254" s="168"/>
      <c r="S1254" s="168"/>
      <c r="U1254" s="170"/>
      <c r="V1254" s="171"/>
      <c r="W1254" s="171"/>
      <c r="X1254" s="171"/>
      <c r="Y1254" s="185"/>
      <c r="Z1254" s="185"/>
    </row>
    <row r="1255" spans="4:26" x14ac:dyDescent="0.25">
      <c r="D1255" s="175"/>
      <c r="E1255" s="175"/>
      <c r="H1255" s="201"/>
      <c r="I1255" s="201"/>
      <c r="J1255" s="217"/>
      <c r="K1255" s="217"/>
      <c r="L1255" s="185"/>
      <c r="M1255" s="185"/>
      <c r="N1255" s="185"/>
      <c r="O1255" s="185"/>
      <c r="P1255" s="185"/>
      <c r="Q1255" s="185"/>
      <c r="R1255" s="168"/>
      <c r="S1255" s="168"/>
      <c r="U1255" s="170"/>
      <c r="V1255" s="171"/>
      <c r="W1255" s="171"/>
      <c r="X1255" s="171"/>
      <c r="Y1255" s="185"/>
      <c r="Z1255" s="185"/>
    </row>
    <row r="1256" spans="4:26" x14ac:dyDescent="0.25">
      <c r="D1256" s="175"/>
      <c r="E1256" s="175"/>
      <c r="H1256" s="201"/>
      <c r="I1256" s="201"/>
      <c r="J1256" s="217"/>
      <c r="K1256" s="217"/>
      <c r="L1256" s="185"/>
      <c r="M1256" s="185"/>
      <c r="N1256" s="185"/>
      <c r="O1256" s="185"/>
      <c r="P1256" s="185"/>
      <c r="Q1256" s="185"/>
      <c r="R1256" s="168"/>
      <c r="S1256" s="168"/>
      <c r="U1256" s="170"/>
      <c r="V1256" s="171"/>
      <c r="W1256" s="171"/>
      <c r="X1256" s="171"/>
      <c r="Y1256" s="185"/>
      <c r="Z1256" s="185"/>
    </row>
    <row r="1257" spans="4:26" x14ac:dyDescent="0.25">
      <c r="D1257" s="175"/>
      <c r="E1257" s="175"/>
      <c r="H1257" s="201"/>
      <c r="I1257" s="201"/>
      <c r="J1257" s="217"/>
      <c r="K1257" s="217"/>
      <c r="L1257" s="185"/>
      <c r="M1257" s="185"/>
      <c r="N1257" s="185"/>
      <c r="O1257" s="185"/>
      <c r="P1257" s="185"/>
      <c r="Q1257" s="185"/>
      <c r="R1257" s="168"/>
      <c r="S1257" s="168"/>
      <c r="U1257" s="170"/>
      <c r="V1257" s="171"/>
      <c r="W1257" s="171"/>
      <c r="X1257" s="171"/>
      <c r="Y1257" s="185"/>
      <c r="Z1257" s="185"/>
    </row>
    <row r="1258" spans="4:26" x14ac:dyDescent="0.25">
      <c r="D1258" s="175"/>
      <c r="E1258" s="175"/>
      <c r="H1258" s="201"/>
      <c r="I1258" s="201"/>
      <c r="J1258" s="217"/>
      <c r="K1258" s="217"/>
      <c r="L1258" s="185"/>
      <c r="M1258" s="185"/>
      <c r="N1258" s="185"/>
      <c r="O1258" s="185"/>
      <c r="P1258" s="185"/>
      <c r="Q1258" s="185"/>
      <c r="R1258" s="168"/>
      <c r="S1258" s="168"/>
      <c r="U1258" s="170"/>
      <c r="V1258" s="171"/>
      <c r="W1258" s="171"/>
      <c r="X1258" s="171"/>
      <c r="Y1258" s="185"/>
      <c r="Z1258" s="185"/>
    </row>
    <row r="1259" spans="4:26" x14ac:dyDescent="0.25">
      <c r="D1259" s="175"/>
      <c r="E1259" s="175"/>
      <c r="H1259" s="201"/>
      <c r="I1259" s="201"/>
      <c r="J1259" s="217"/>
      <c r="K1259" s="217"/>
      <c r="L1259" s="185"/>
      <c r="M1259" s="185"/>
      <c r="N1259" s="185"/>
      <c r="O1259" s="185"/>
      <c r="P1259" s="185"/>
      <c r="Q1259" s="185"/>
      <c r="R1259" s="168"/>
      <c r="S1259" s="168"/>
      <c r="U1259" s="170"/>
      <c r="V1259" s="171"/>
      <c r="W1259" s="171"/>
      <c r="X1259" s="171"/>
      <c r="Y1259" s="185"/>
      <c r="Z1259" s="185"/>
    </row>
    <row r="1260" spans="4:26" x14ac:dyDescent="0.25">
      <c r="D1260" s="175"/>
      <c r="E1260" s="175"/>
      <c r="H1260" s="201"/>
      <c r="I1260" s="201"/>
      <c r="J1260" s="217"/>
      <c r="K1260" s="217"/>
      <c r="L1260" s="185"/>
      <c r="M1260" s="185"/>
      <c r="N1260" s="185"/>
      <c r="O1260" s="185"/>
      <c r="P1260" s="185"/>
      <c r="Q1260" s="185"/>
      <c r="R1260" s="168"/>
      <c r="S1260" s="168"/>
      <c r="U1260" s="170"/>
      <c r="V1260" s="171"/>
      <c r="W1260" s="171"/>
      <c r="X1260" s="171"/>
      <c r="Y1260" s="185"/>
      <c r="Z1260" s="185"/>
    </row>
    <row r="1261" spans="4:26" x14ac:dyDescent="0.25">
      <c r="D1261" s="175"/>
      <c r="E1261" s="175"/>
      <c r="H1261" s="201"/>
      <c r="I1261" s="201"/>
      <c r="J1261" s="217"/>
      <c r="K1261" s="217"/>
      <c r="L1261" s="185"/>
      <c r="M1261" s="185"/>
      <c r="N1261" s="185"/>
      <c r="O1261" s="185"/>
      <c r="P1261" s="185"/>
      <c r="Q1261" s="185"/>
      <c r="R1261" s="168"/>
      <c r="S1261" s="168"/>
      <c r="U1261" s="170"/>
      <c r="V1261" s="171"/>
      <c r="W1261" s="171"/>
      <c r="X1261" s="171"/>
      <c r="Y1261" s="185"/>
      <c r="Z1261" s="185"/>
    </row>
    <row r="1262" spans="4:26" x14ac:dyDescent="0.25">
      <c r="D1262" s="175"/>
      <c r="E1262" s="175"/>
      <c r="H1262" s="201"/>
      <c r="I1262" s="201"/>
      <c r="J1262" s="217"/>
      <c r="K1262" s="217"/>
      <c r="L1262" s="185"/>
      <c r="M1262" s="185"/>
      <c r="N1262" s="185"/>
      <c r="O1262" s="185"/>
      <c r="P1262" s="185"/>
      <c r="Q1262" s="185"/>
      <c r="R1262" s="168"/>
      <c r="S1262" s="168"/>
      <c r="U1262" s="170"/>
      <c r="V1262" s="171"/>
      <c r="W1262" s="171"/>
      <c r="X1262" s="171"/>
      <c r="Y1262" s="185"/>
      <c r="Z1262" s="185"/>
    </row>
    <row r="1263" spans="4:26" x14ac:dyDescent="0.25">
      <c r="D1263" s="175"/>
      <c r="E1263" s="175"/>
      <c r="H1263" s="201"/>
      <c r="I1263" s="201"/>
      <c r="J1263" s="217"/>
      <c r="K1263" s="217"/>
      <c r="L1263" s="185"/>
      <c r="M1263" s="185"/>
      <c r="N1263" s="185"/>
      <c r="O1263" s="185"/>
      <c r="P1263" s="185"/>
      <c r="Q1263" s="185"/>
      <c r="R1263" s="168"/>
      <c r="S1263" s="168"/>
      <c r="U1263" s="170"/>
      <c r="V1263" s="171"/>
      <c r="W1263" s="171"/>
      <c r="X1263" s="171"/>
      <c r="Y1263" s="185"/>
      <c r="Z1263" s="185"/>
    </row>
    <row r="1264" spans="4:26" x14ac:dyDescent="0.25">
      <c r="D1264" s="175"/>
      <c r="E1264" s="175"/>
      <c r="H1264" s="201"/>
      <c r="I1264" s="201"/>
      <c r="J1264" s="217"/>
      <c r="K1264" s="217"/>
      <c r="L1264" s="185"/>
      <c r="M1264" s="185"/>
      <c r="N1264" s="185"/>
      <c r="O1264" s="185"/>
      <c r="P1264" s="185"/>
      <c r="Q1264" s="185"/>
      <c r="R1264" s="168"/>
      <c r="S1264" s="168"/>
      <c r="U1264" s="170"/>
      <c r="V1264" s="171"/>
      <c r="W1264" s="171"/>
      <c r="X1264" s="171"/>
      <c r="Y1264" s="185"/>
      <c r="Z1264" s="185"/>
    </row>
    <row r="1265" spans="4:26" x14ac:dyDescent="0.25">
      <c r="D1265" s="175"/>
      <c r="E1265" s="175"/>
      <c r="H1265" s="201"/>
      <c r="I1265" s="201"/>
      <c r="J1265" s="217"/>
      <c r="K1265" s="217"/>
      <c r="L1265" s="185"/>
      <c r="M1265" s="185"/>
      <c r="N1265" s="185"/>
      <c r="O1265" s="185"/>
      <c r="P1265" s="185"/>
      <c r="Q1265" s="185"/>
      <c r="R1265" s="168"/>
      <c r="S1265" s="168"/>
      <c r="U1265" s="170"/>
      <c r="V1265" s="171"/>
      <c r="W1265" s="171"/>
      <c r="X1265" s="171"/>
      <c r="Y1265" s="185"/>
      <c r="Z1265" s="185"/>
    </row>
    <row r="1266" spans="4:26" x14ac:dyDescent="0.25">
      <c r="D1266" s="175"/>
      <c r="E1266" s="175"/>
      <c r="H1266" s="201"/>
      <c r="I1266" s="201"/>
      <c r="J1266" s="217"/>
      <c r="K1266" s="217"/>
      <c r="L1266" s="185"/>
      <c r="M1266" s="185"/>
      <c r="N1266" s="185"/>
      <c r="O1266" s="185"/>
      <c r="P1266" s="185"/>
      <c r="Q1266" s="185"/>
      <c r="R1266" s="168"/>
      <c r="S1266" s="168"/>
      <c r="U1266" s="170"/>
      <c r="V1266" s="171"/>
      <c r="W1266" s="171"/>
      <c r="X1266" s="171"/>
      <c r="Y1266" s="185"/>
      <c r="Z1266" s="185"/>
    </row>
    <row r="1267" spans="4:26" x14ac:dyDescent="0.25">
      <c r="D1267" s="175"/>
      <c r="E1267" s="175"/>
      <c r="H1267" s="201"/>
      <c r="I1267" s="201"/>
      <c r="J1267" s="217"/>
      <c r="K1267" s="217"/>
      <c r="L1267" s="185"/>
      <c r="M1267" s="185"/>
      <c r="N1267" s="185"/>
      <c r="O1267" s="185"/>
      <c r="P1267" s="185"/>
      <c r="Q1267" s="185"/>
      <c r="R1267" s="168"/>
      <c r="S1267" s="168"/>
      <c r="U1267" s="170"/>
      <c r="V1267" s="171"/>
      <c r="W1267" s="171"/>
      <c r="X1267" s="171"/>
      <c r="Y1267" s="185"/>
      <c r="Z1267" s="185"/>
    </row>
    <row r="1268" spans="4:26" x14ac:dyDescent="0.25">
      <c r="D1268" s="175"/>
      <c r="E1268" s="175"/>
      <c r="H1268" s="201"/>
      <c r="I1268" s="201"/>
      <c r="J1268" s="217"/>
      <c r="K1268" s="217"/>
      <c r="L1268" s="185"/>
      <c r="M1268" s="185"/>
      <c r="N1268" s="185"/>
      <c r="O1268" s="185"/>
      <c r="P1268" s="185"/>
      <c r="Q1268" s="185"/>
      <c r="R1268" s="168"/>
      <c r="S1268" s="168"/>
      <c r="U1268" s="170"/>
      <c r="V1268" s="171"/>
      <c r="W1268" s="171"/>
      <c r="X1268" s="171"/>
      <c r="Y1268" s="185"/>
      <c r="Z1268" s="185"/>
    </row>
    <row r="1269" spans="4:26" x14ac:dyDescent="0.25">
      <c r="D1269" s="175"/>
      <c r="E1269" s="175"/>
      <c r="H1269" s="201"/>
      <c r="I1269" s="201"/>
      <c r="J1269" s="217"/>
      <c r="K1269" s="217"/>
      <c r="L1269" s="185"/>
      <c r="M1269" s="185"/>
      <c r="N1269" s="185"/>
      <c r="O1269" s="185"/>
      <c r="P1269" s="185"/>
      <c r="Q1269" s="185"/>
      <c r="R1269" s="168"/>
      <c r="S1269" s="168"/>
      <c r="U1269" s="170"/>
      <c r="V1269" s="171"/>
      <c r="W1269" s="171"/>
      <c r="X1269" s="171"/>
      <c r="Y1269" s="185"/>
      <c r="Z1269" s="185"/>
    </row>
    <row r="1270" spans="4:26" x14ac:dyDescent="0.25">
      <c r="D1270" s="175"/>
      <c r="E1270" s="175"/>
      <c r="H1270" s="201"/>
      <c r="I1270" s="201"/>
      <c r="J1270" s="217"/>
      <c r="K1270" s="217"/>
      <c r="L1270" s="185"/>
      <c r="M1270" s="185"/>
      <c r="N1270" s="185"/>
      <c r="O1270" s="185"/>
      <c r="P1270" s="185"/>
      <c r="Q1270" s="185"/>
      <c r="R1270" s="168"/>
      <c r="S1270" s="168"/>
      <c r="U1270" s="170"/>
      <c r="V1270" s="171"/>
      <c r="W1270" s="171"/>
      <c r="X1270" s="171"/>
      <c r="Y1270" s="185"/>
      <c r="Z1270" s="185"/>
    </row>
    <row r="1271" spans="4:26" x14ac:dyDescent="0.25">
      <c r="D1271" s="175"/>
      <c r="E1271" s="175"/>
      <c r="H1271" s="201"/>
      <c r="I1271" s="201"/>
      <c r="J1271" s="217"/>
      <c r="K1271" s="217"/>
      <c r="L1271" s="185"/>
      <c r="M1271" s="185"/>
      <c r="N1271" s="185"/>
      <c r="O1271" s="185"/>
      <c r="P1271" s="185"/>
      <c r="Q1271" s="185"/>
      <c r="R1271" s="168"/>
      <c r="S1271" s="168"/>
      <c r="U1271" s="170"/>
      <c r="V1271" s="171"/>
      <c r="W1271" s="171"/>
      <c r="X1271" s="171"/>
      <c r="Y1271" s="185"/>
      <c r="Z1271" s="185"/>
    </row>
    <row r="1272" spans="4:26" x14ac:dyDescent="0.25">
      <c r="D1272" s="175"/>
      <c r="E1272" s="175"/>
      <c r="H1272" s="201"/>
      <c r="I1272" s="201"/>
      <c r="J1272" s="217"/>
      <c r="K1272" s="217"/>
      <c r="L1272" s="185"/>
      <c r="M1272" s="185"/>
      <c r="N1272" s="185"/>
      <c r="O1272" s="185"/>
      <c r="P1272" s="185"/>
      <c r="Q1272" s="185"/>
      <c r="R1272" s="168"/>
      <c r="S1272" s="168"/>
      <c r="U1272" s="170"/>
      <c r="V1272" s="171"/>
      <c r="W1272" s="171"/>
      <c r="X1272" s="171"/>
      <c r="Y1272" s="185"/>
      <c r="Z1272" s="185"/>
    </row>
    <row r="1273" spans="4:26" x14ac:dyDescent="0.25">
      <c r="D1273" s="175"/>
      <c r="E1273" s="175"/>
      <c r="H1273" s="201"/>
      <c r="I1273" s="201"/>
      <c r="J1273" s="217"/>
      <c r="K1273" s="217"/>
      <c r="L1273" s="185"/>
      <c r="M1273" s="185"/>
      <c r="N1273" s="185"/>
      <c r="O1273" s="185"/>
      <c r="P1273" s="185"/>
      <c r="Q1273" s="185"/>
      <c r="R1273" s="168"/>
      <c r="S1273" s="168"/>
      <c r="U1273" s="170"/>
      <c r="V1273" s="171"/>
      <c r="W1273" s="171"/>
      <c r="X1273" s="171"/>
      <c r="Y1273" s="185"/>
      <c r="Z1273" s="185"/>
    </row>
    <row r="1274" spans="4:26" x14ac:dyDescent="0.25">
      <c r="D1274" s="175"/>
      <c r="E1274" s="175"/>
      <c r="H1274" s="201"/>
      <c r="I1274" s="201"/>
      <c r="J1274" s="217"/>
      <c r="K1274" s="217"/>
      <c r="L1274" s="185"/>
      <c r="M1274" s="185"/>
      <c r="N1274" s="185"/>
      <c r="O1274" s="185"/>
      <c r="P1274" s="185"/>
      <c r="Q1274" s="185"/>
      <c r="R1274" s="168"/>
      <c r="S1274" s="168"/>
      <c r="U1274" s="170"/>
      <c r="V1274" s="171"/>
      <c r="W1274" s="171"/>
      <c r="X1274" s="171"/>
      <c r="Y1274" s="185"/>
      <c r="Z1274" s="185"/>
    </row>
    <row r="1275" spans="4:26" x14ac:dyDescent="0.25">
      <c r="D1275" s="175"/>
      <c r="E1275" s="175"/>
      <c r="H1275" s="201"/>
      <c r="I1275" s="201"/>
      <c r="J1275" s="217"/>
      <c r="K1275" s="217"/>
      <c r="L1275" s="185"/>
      <c r="M1275" s="185"/>
      <c r="N1275" s="185"/>
      <c r="O1275" s="185"/>
      <c r="P1275" s="185"/>
      <c r="Q1275" s="185"/>
      <c r="R1275" s="168"/>
      <c r="S1275" s="168"/>
      <c r="U1275" s="170"/>
      <c r="V1275" s="171"/>
      <c r="W1275" s="171"/>
      <c r="X1275" s="171"/>
      <c r="Y1275" s="185"/>
      <c r="Z1275" s="185"/>
    </row>
    <row r="1276" spans="4:26" x14ac:dyDescent="0.25">
      <c r="D1276" s="175"/>
      <c r="E1276" s="175"/>
      <c r="H1276" s="201"/>
      <c r="I1276" s="201"/>
      <c r="J1276" s="217"/>
      <c r="K1276" s="217"/>
      <c r="L1276" s="185"/>
      <c r="M1276" s="185"/>
      <c r="N1276" s="185"/>
      <c r="O1276" s="185"/>
      <c r="P1276" s="185"/>
      <c r="Q1276" s="185"/>
      <c r="R1276" s="168"/>
      <c r="S1276" s="168"/>
      <c r="U1276" s="170"/>
      <c r="V1276" s="171"/>
      <c r="W1276" s="171"/>
      <c r="X1276" s="171"/>
      <c r="Y1276" s="185"/>
      <c r="Z1276" s="185"/>
    </row>
    <row r="1277" spans="4:26" x14ac:dyDescent="0.25">
      <c r="D1277" s="175"/>
      <c r="E1277" s="175"/>
      <c r="H1277" s="201"/>
      <c r="I1277" s="201"/>
      <c r="J1277" s="217"/>
      <c r="K1277" s="217"/>
      <c r="L1277" s="185"/>
      <c r="M1277" s="185"/>
      <c r="N1277" s="185"/>
      <c r="O1277" s="185"/>
      <c r="P1277" s="185"/>
      <c r="Q1277" s="185"/>
      <c r="R1277" s="168"/>
      <c r="S1277" s="168"/>
      <c r="U1277" s="170"/>
      <c r="V1277" s="171"/>
      <c r="W1277" s="171"/>
      <c r="X1277" s="171"/>
      <c r="Y1277" s="185"/>
      <c r="Z1277" s="185"/>
    </row>
    <row r="1278" spans="4:26" x14ac:dyDescent="0.25">
      <c r="D1278" s="175"/>
      <c r="E1278" s="175"/>
      <c r="H1278" s="201"/>
      <c r="I1278" s="201"/>
      <c r="J1278" s="217"/>
      <c r="K1278" s="217"/>
      <c r="L1278" s="185"/>
      <c r="M1278" s="185"/>
      <c r="N1278" s="185"/>
      <c r="O1278" s="185"/>
      <c r="P1278" s="185"/>
      <c r="Q1278" s="185"/>
      <c r="R1278" s="168"/>
      <c r="S1278" s="168"/>
      <c r="U1278" s="170"/>
      <c r="V1278" s="171"/>
      <c r="W1278" s="171"/>
      <c r="X1278" s="171"/>
      <c r="Y1278" s="185"/>
      <c r="Z1278" s="185"/>
    </row>
    <row r="1279" spans="4:26" x14ac:dyDescent="0.25">
      <c r="D1279" s="175"/>
      <c r="E1279" s="175"/>
      <c r="H1279" s="201"/>
      <c r="I1279" s="201"/>
      <c r="J1279" s="217"/>
      <c r="K1279" s="217"/>
      <c r="L1279" s="185"/>
      <c r="M1279" s="185"/>
      <c r="N1279" s="185"/>
      <c r="O1279" s="185"/>
      <c r="P1279" s="185"/>
      <c r="Q1279" s="185"/>
      <c r="R1279" s="168"/>
      <c r="S1279" s="168"/>
      <c r="U1279" s="170"/>
      <c r="V1279" s="171"/>
      <c r="W1279" s="171"/>
      <c r="X1279" s="171"/>
      <c r="Y1279" s="185"/>
      <c r="Z1279" s="185"/>
    </row>
    <row r="1280" spans="4:26" x14ac:dyDescent="0.25">
      <c r="D1280" s="175"/>
      <c r="E1280" s="175"/>
      <c r="H1280" s="201"/>
      <c r="I1280" s="201"/>
      <c r="J1280" s="217"/>
      <c r="K1280" s="217"/>
      <c r="L1280" s="185"/>
      <c r="M1280" s="185"/>
      <c r="N1280" s="185"/>
      <c r="O1280" s="185"/>
      <c r="P1280" s="185"/>
      <c r="Q1280" s="185"/>
      <c r="R1280" s="168"/>
      <c r="S1280" s="168"/>
      <c r="U1280" s="170"/>
      <c r="V1280" s="171"/>
      <c r="W1280" s="171"/>
      <c r="X1280" s="171"/>
      <c r="Y1280" s="185"/>
      <c r="Z1280" s="185"/>
    </row>
    <row r="1281" spans="4:26" x14ac:dyDescent="0.25">
      <c r="D1281" s="175"/>
      <c r="E1281" s="175"/>
      <c r="H1281" s="201"/>
      <c r="I1281" s="201"/>
      <c r="J1281" s="217"/>
      <c r="K1281" s="217"/>
      <c r="L1281" s="185"/>
      <c r="M1281" s="185"/>
      <c r="N1281" s="185"/>
      <c r="O1281" s="185"/>
      <c r="P1281" s="185"/>
      <c r="Q1281" s="185"/>
      <c r="R1281" s="168"/>
      <c r="S1281" s="168"/>
      <c r="U1281" s="170"/>
      <c r="V1281" s="171"/>
      <c r="W1281" s="171"/>
      <c r="X1281" s="171"/>
      <c r="Y1281" s="185"/>
      <c r="Z1281" s="185"/>
    </row>
    <row r="1282" spans="4:26" x14ac:dyDescent="0.25">
      <c r="D1282" s="175"/>
      <c r="E1282" s="175"/>
      <c r="H1282" s="201"/>
      <c r="I1282" s="201"/>
      <c r="J1282" s="217"/>
      <c r="K1282" s="217"/>
      <c r="L1282" s="185"/>
      <c r="M1282" s="185"/>
      <c r="N1282" s="185"/>
      <c r="O1282" s="185"/>
      <c r="P1282" s="185"/>
      <c r="Q1282" s="185"/>
      <c r="R1282" s="168"/>
      <c r="S1282" s="168"/>
      <c r="U1282" s="170"/>
      <c r="V1282" s="171"/>
      <c r="W1282" s="171"/>
      <c r="X1282" s="171"/>
      <c r="Y1282" s="185"/>
      <c r="Z1282" s="185"/>
    </row>
    <row r="1283" spans="4:26" x14ac:dyDescent="0.25">
      <c r="D1283" s="175"/>
      <c r="E1283" s="175"/>
      <c r="H1283" s="201"/>
      <c r="I1283" s="201"/>
      <c r="J1283" s="217"/>
      <c r="K1283" s="217"/>
      <c r="L1283" s="185"/>
      <c r="M1283" s="185"/>
      <c r="N1283" s="185"/>
      <c r="O1283" s="185"/>
      <c r="P1283" s="185"/>
      <c r="Q1283" s="185"/>
      <c r="R1283" s="168"/>
      <c r="S1283" s="168"/>
      <c r="U1283" s="170"/>
      <c r="V1283" s="171"/>
      <c r="W1283" s="171"/>
      <c r="X1283" s="171"/>
      <c r="Y1283" s="185"/>
      <c r="Z1283" s="185"/>
    </row>
    <row r="1284" spans="4:26" x14ac:dyDescent="0.25">
      <c r="D1284" s="175"/>
      <c r="E1284" s="175"/>
      <c r="H1284" s="201"/>
      <c r="I1284" s="201"/>
      <c r="J1284" s="217"/>
      <c r="K1284" s="217"/>
      <c r="L1284" s="185"/>
      <c r="M1284" s="185"/>
      <c r="N1284" s="185"/>
      <c r="O1284" s="185"/>
      <c r="P1284" s="185"/>
      <c r="Q1284" s="185"/>
      <c r="R1284" s="168"/>
      <c r="S1284" s="168"/>
      <c r="U1284" s="170"/>
      <c r="V1284" s="171"/>
      <c r="W1284" s="171"/>
      <c r="X1284" s="171"/>
      <c r="Y1284" s="185"/>
      <c r="Z1284" s="185"/>
    </row>
    <row r="1285" spans="4:26" x14ac:dyDescent="0.25">
      <c r="D1285" s="175"/>
      <c r="E1285" s="175"/>
      <c r="H1285" s="201"/>
      <c r="I1285" s="201"/>
      <c r="J1285" s="217"/>
      <c r="K1285" s="217"/>
      <c r="L1285" s="185"/>
      <c r="M1285" s="185"/>
      <c r="N1285" s="185"/>
      <c r="O1285" s="185"/>
      <c r="P1285" s="185"/>
      <c r="Q1285" s="185"/>
      <c r="R1285" s="168"/>
      <c r="S1285" s="168"/>
      <c r="U1285" s="170"/>
      <c r="V1285" s="171"/>
      <c r="W1285" s="171"/>
      <c r="X1285" s="171"/>
      <c r="Y1285" s="185"/>
      <c r="Z1285" s="185"/>
    </row>
    <row r="1286" spans="4:26" x14ac:dyDescent="0.25">
      <c r="D1286" s="175"/>
      <c r="E1286" s="175"/>
      <c r="H1286" s="201"/>
      <c r="I1286" s="201"/>
      <c r="J1286" s="217"/>
      <c r="K1286" s="217"/>
      <c r="L1286" s="185"/>
      <c r="M1286" s="185"/>
      <c r="N1286" s="185"/>
      <c r="O1286" s="185"/>
      <c r="P1286" s="185"/>
      <c r="Q1286" s="185"/>
      <c r="R1286" s="168"/>
      <c r="S1286" s="168"/>
      <c r="U1286" s="170"/>
      <c r="V1286" s="171"/>
      <c r="W1286" s="171"/>
      <c r="X1286" s="171"/>
      <c r="Y1286" s="185"/>
      <c r="Z1286" s="185"/>
    </row>
    <row r="1287" spans="4:26" x14ac:dyDescent="0.25">
      <c r="D1287" s="175"/>
      <c r="E1287" s="175"/>
      <c r="H1287" s="201"/>
      <c r="I1287" s="201"/>
      <c r="J1287" s="217"/>
      <c r="K1287" s="217"/>
      <c r="L1287" s="185"/>
      <c r="M1287" s="185"/>
      <c r="N1287" s="185"/>
      <c r="O1287" s="185"/>
      <c r="P1287" s="185"/>
      <c r="Q1287" s="185"/>
      <c r="R1287" s="168"/>
      <c r="S1287" s="168"/>
      <c r="U1287" s="170"/>
      <c r="V1287" s="171"/>
      <c r="W1287" s="171"/>
      <c r="X1287" s="171"/>
      <c r="Y1287" s="185"/>
      <c r="Z1287" s="185"/>
    </row>
    <row r="1288" spans="4:26" x14ac:dyDescent="0.25">
      <c r="D1288" s="175"/>
      <c r="E1288" s="175"/>
      <c r="H1288" s="201"/>
      <c r="I1288" s="201"/>
      <c r="J1288" s="217"/>
      <c r="K1288" s="217"/>
      <c r="L1288" s="185"/>
      <c r="M1288" s="185"/>
      <c r="N1288" s="185"/>
      <c r="O1288" s="185"/>
      <c r="P1288" s="185"/>
      <c r="Q1288" s="185"/>
      <c r="R1288" s="168"/>
      <c r="S1288" s="168"/>
      <c r="U1288" s="170"/>
      <c r="V1288" s="171"/>
      <c r="W1288" s="171"/>
      <c r="X1288" s="171"/>
      <c r="Y1288" s="185"/>
      <c r="Z1288" s="185"/>
    </row>
    <row r="1289" spans="4:26" x14ac:dyDescent="0.25">
      <c r="D1289" s="175"/>
      <c r="E1289" s="175"/>
      <c r="H1289" s="201"/>
      <c r="I1289" s="201"/>
      <c r="J1289" s="217"/>
      <c r="K1289" s="217"/>
      <c r="L1289" s="185"/>
      <c r="M1289" s="185"/>
      <c r="N1289" s="185"/>
      <c r="O1289" s="185"/>
      <c r="P1289" s="185"/>
      <c r="Q1289" s="185"/>
      <c r="R1289" s="168"/>
      <c r="S1289" s="168"/>
      <c r="U1289" s="170"/>
      <c r="V1289" s="171"/>
      <c r="W1289" s="171"/>
      <c r="X1289" s="171"/>
      <c r="Y1289" s="185"/>
      <c r="Z1289" s="185"/>
    </row>
    <row r="1290" spans="4:26" x14ac:dyDescent="0.25">
      <c r="D1290" s="175"/>
      <c r="E1290" s="175"/>
      <c r="H1290" s="201"/>
      <c r="I1290" s="201"/>
      <c r="J1290" s="217"/>
      <c r="K1290" s="217"/>
      <c r="L1290" s="185"/>
      <c r="M1290" s="185"/>
      <c r="N1290" s="185"/>
      <c r="O1290" s="185"/>
      <c r="P1290" s="185"/>
      <c r="Q1290" s="185"/>
      <c r="R1290" s="168"/>
      <c r="S1290" s="168"/>
      <c r="U1290" s="170"/>
      <c r="V1290" s="171"/>
      <c r="W1290" s="171"/>
      <c r="X1290" s="171"/>
      <c r="Y1290" s="185"/>
      <c r="Z1290" s="185"/>
    </row>
    <row r="1291" spans="4:26" x14ac:dyDescent="0.25">
      <c r="D1291" s="175"/>
      <c r="E1291" s="175"/>
      <c r="H1291" s="201"/>
      <c r="I1291" s="201"/>
      <c r="J1291" s="217"/>
      <c r="K1291" s="217"/>
      <c r="L1291" s="185"/>
      <c r="M1291" s="185"/>
      <c r="N1291" s="185"/>
      <c r="O1291" s="185"/>
      <c r="P1291" s="185"/>
      <c r="Q1291" s="185"/>
      <c r="R1291" s="168"/>
      <c r="S1291" s="168"/>
      <c r="U1291" s="170"/>
      <c r="V1291" s="171"/>
      <c r="W1291" s="171"/>
      <c r="X1291" s="171"/>
      <c r="Y1291" s="185"/>
      <c r="Z1291" s="185"/>
    </row>
    <row r="1292" spans="4:26" x14ac:dyDescent="0.25">
      <c r="D1292" s="175"/>
      <c r="E1292" s="175"/>
      <c r="H1292" s="201"/>
      <c r="I1292" s="201"/>
      <c r="J1292" s="217"/>
      <c r="K1292" s="217"/>
      <c r="L1292" s="185"/>
      <c r="M1292" s="185"/>
      <c r="N1292" s="185"/>
      <c r="O1292" s="185"/>
      <c r="P1292" s="185"/>
      <c r="Q1292" s="185"/>
      <c r="R1292" s="168"/>
      <c r="S1292" s="168"/>
      <c r="U1292" s="170"/>
      <c r="V1292" s="171"/>
      <c r="W1292" s="171"/>
      <c r="X1292" s="171"/>
      <c r="Y1292" s="185"/>
      <c r="Z1292" s="185"/>
    </row>
    <row r="1293" spans="4:26" x14ac:dyDescent="0.25">
      <c r="D1293" s="175"/>
      <c r="E1293" s="175"/>
      <c r="H1293" s="201"/>
      <c r="I1293" s="201"/>
      <c r="J1293" s="217"/>
      <c r="K1293" s="217"/>
      <c r="L1293" s="185"/>
      <c r="M1293" s="185"/>
      <c r="N1293" s="185"/>
      <c r="O1293" s="185"/>
      <c r="P1293" s="185"/>
      <c r="Q1293" s="185"/>
      <c r="R1293" s="168"/>
      <c r="S1293" s="168"/>
      <c r="U1293" s="170"/>
      <c r="V1293" s="171"/>
      <c r="W1293" s="171"/>
      <c r="X1293" s="171"/>
      <c r="Y1293" s="185"/>
      <c r="Z1293" s="185"/>
    </row>
    <row r="1294" spans="4:26" x14ac:dyDescent="0.25">
      <c r="D1294" s="175"/>
      <c r="E1294" s="175"/>
      <c r="H1294" s="201"/>
      <c r="I1294" s="201"/>
      <c r="J1294" s="217"/>
      <c r="K1294" s="217"/>
      <c r="L1294" s="185"/>
      <c r="M1294" s="185"/>
      <c r="N1294" s="185"/>
      <c r="O1294" s="185"/>
      <c r="P1294" s="185"/>
      <c r="Q1294" s="185"/>
      <c r="R1294" s="168"/>
      <c r="S1294" s="168"/>
      <c r="U1294" s="170"/>
      <c r="V1294" s="171"/>
      <c r="W1294" s="171"/>
      <c r="X1294" s="171"/>
      <c r="Y1294" s="185"/>
      <c r="Z1294" s="185"/>
    </row>
    <row r="1295" spans="4:26" x14ac:dyDescent="0.25">
      <c r="D1295" s="175"/>
      <c r="E1295" s="175"/>
      <c r="H1295" s="201"/>
      <c r="I1295" s="201"/>
      <c r="J1295" s="217"/>
      <c r="K1295" s="217"/>
      <c r="L1295" s="185"/>
      <c r="M1295" s="185"/>
      <c r="N1295" s="185"/>
      <c r="O1295" s="185"/>
      <c r="P1295" s="185"/>
      <c r="Q1295" s="185"/>
      <c r="R1295" s="168"/>
      <c r="S1295" s="168"/>
      <c r="U1295" s="170"/>
      <c r="V1295" s="171"/>
      <c r="W1295" s="171"/>
      <c r="X1295" s="171"/>
      <c r="Y1295" s="185"/>
      <c r="Z1295" s="185"/>
    </row>
    <row r="1296" spans="4:26" x14ac:dyDescent="0.25">
      <c r="D1296" s="175"/>
      <c r="E1296" s="175"/>
      <c r="H1296" s="201"/>
      <c r="I1296" s="201"/>
      <c r="J1296" s="217"/>
      <c r="K1296" s="217"/>
      <c r="L1296" s="185"/>
      <c r="M1296" s="185"/>
      <c r="N1296" s="185"/>
      <c r="O1296" s="185"/>
      <c r="P1296" s="185"/>
      <c r="Q1296" s="185"/>
      <c r="R1296" s="168"/>
      <c r="S1296" s="168"/>
      <c r="U1296" s="170"/>
      <c r="V1296" s="171"/>
      <c r="W1296" s="171"/>
      <c r="X1296" s="171"/>
      <c r="Y1296" s="185"/>
      <c r="Z1296" s="185"/>
    </row>
    <row r="1297" spans="4:26" x14ac:dyDescent="0.25">
      <c r="D1297" s="175"/>
      <c r="E1297" s="175"/>
      <c r="H1297" s="201"/>
      <c r="I1297" s="201"/>
      <c r="J1297" s="217"/>
      <c r="K1297" s="217"/>
      <c r="L1297" s="185"/>
      <c r="M1297" s="185"/>
      <c r="N1297" s="185"/>
      <c r="O1297" s="185"/>
      <c r="P1297" s="185"/>
      <c r="Q1297" s="185"/>
      <c r="R1297" s="168"/>
      <c r="S1297" s="168"/>
      <c r="U1297" s="170"/>
      <c r="V1297" s="171"/>
      <c r="W1297" s="171"/>
      <c r="X1297" s="171"/>
      <c r="Y1297" s="185"/>
      <c r="Z1297" s="185"/>
    </row>
    <row r="1298" spans="4:26" x14ac:dyDescent="0.25">
      <c r="D1298" s="175"/>
      <c r="E1298" s="175"/>
      <c r="H1298" s="201"/>
      <c r="I1298" s="201"/>
      <c r="J1298" s="217"/>
      <c r="K1298" s="217"/>
      <c r="L1298" s="185"/>
      <c r="M1298" s="185"/>
      <c r="N1298" s="185"/>
      <c r="O1298" s="185"/>
      <c r="P1298" s="185"/>
      <c r="Q1298" s="185"/>
      <c r="R1298" s="168"/>
      <c r="S1298" s="168"/>
      <c r="U1298" s="170"/>
      <c r="V1298" s="171"/>
      <c r="W1298" s="171"/>
      <c r="X1298" s="171"/>
      <c r="Y1298" s="185"/>
      <c r="Z1298" s="185"/>
    </row>
    <row r="1299" spans="4:26" x14ac:dyDescent="0.25">
      <c r="D1299" s="175"/>
      <c r="E1299" s="175"/>
      <c r="H1299" s="201"/>
      <c r="I1299" s="201"/>
      <c r="J1299" s="217"/>
      <c r="K1299" s="217"/>
      <c r="L1299" s="185"/>
      <c r="M1299" s="185"/>
      <c r="N1299" s="185"/>
      <c r="O1299" s="185"/>
      <c r="P1299" s="185"/>
      <c r="Q1299" s="185"/>
      <c r="R1299" s="168"/>
      <c r="S1299" s="168"/>
      <c r="U1299" s="170"/>
      <c r="V1299" s="171"/>
      <c r="W1299" s="171"/>
      <c r="X1299" s="171"/>
      <c r="Y1299" s="185"/>
      <c r="Z1299" s="185"/>
    </row>
    <row r="1300" spans="4:26" x14ac:dyDescent="0.25">
      <c r="D1300" s="175"/>
      <c r="E1300" s="175"/>
      <c r="H1300" s="201"/>
      <c r="I1300" s="201"/>
      <c r="J1300" s="217"/>
      <c r="K1300" s="217"/>
      <c r="L1300" s="185"/>
      <c r="M1300" s="185"/>
      <c r="N1300" s="185"/>
      <c r="O1300" s="185"/>
      <c r="P1300" s="185"/>
      <c r="Q1300" s="185"/>
      <c r="R1300" s="168"/>
      <c r="S1300" s="168"/>
      <c r="U1300" s="170"/>
      <c r="V1300" s="171"/>
      <c r="W1300" s="171"/>
      <c r="X1300" s="171"/>
      <c r="Y1300" s="185"/>
      <c r="Z1300" s="185"/>
    </row>
    <row r="1301" spans="4:26" x14ac:dyDescent="0.25">
      <c r="D1301" s="175"/>
      <c r="E1301" s="175"/>
      <c r="H1301" s="201"/>
      <c r="I1301" s="201"/>
      <c r="J1301" s="217"/>
      <c r="K1301" s="217"/>
      <c r="L1301" s="185"/>
      <c r="M1301" s="185"/>
      <c r="N1301" s="185"/>
      <c r="O1301" s="185"/>
      <c r="P1301" s="185"/>
      <c r="Q1301" s="185"/>
      <c r="R1301" s="168"/>
      <c r="S1301" s="168"/>
      <c r="U1301" s="170"/>
      <c r="V1301" s="171"/>
      <c r="W1301" s="171"/>
      <c r="X1301" s="171"/>
      <c r="Y1301" s="185"/>
      <c r="Z1301" s="185"/>
    </row>
    <row r="1302" spans="4:26" x14ac:dyDescent="0.25">
      <c r="D1302" s="175"/>
      <c r="E1302" s="175"/>
      <c r="H1302" s="201"/>
      <c r="I1302" s="201"/>
      <c r="J1302" s="217"/>
      <c r="K1302" s="217"/>
      <c r="L1302" s="185"/>
      <c r="M1302" s="185"/>
      <c r="N1302" s="185"/>
      <c r="O1302" s="185"/>
      <c r="P1302" s="185"/>
      <c r="Q1302" s="185"/>
      <c r="R1302" s="168"/>
      <c r="S1302" s="168"/>
      <c r="U1302" s="170"/>
      <c r="V1302" s="171"/>
      <c r="W1302" s="171"/>
      <c r="X1302" s="171"/>
      <c r="Y1302" s="185"/>
      <c r="Z1302" s="185"/>
    </row>
    <row r="1303" spans="4:26" x14ac:dyDescent="0.25">
      <c r="D1303" s="175"/>
      <c r="E1303" s="175"/>
      <c r="H1303" s="201"/>
      <c r="I1303" s="201"/>
      <c r="J1303" s="217"/>
      <c r="K1303" s="217"/>
      <c r="L1303" s="185"/>
      <c r="M1303" s="185"/>
      <c r="N1303" s="185"/>
      <c r="O1303" s="185"/>
      <c r="P1303" s="185"/>
      <c r="Q1303" s="185"/>
      <c r="R1303" s="168"/>
      <c r="S1303" s="168"/>
      <c r="U1303" s="170"/>
      <c r="V1303" s="171"/>
      <c r="W1303" s="171"/>
      <c r="X1303" s="171"/>
      <c r="Y1303" s="185"/>
      <c r="Z1303" s="185"/>
    </row>
    <row r="1304" spans="4:26" x14ac:dyDescent="0.25">
      <c r="D1304" s="175"/>
      <c r="E1304" s="175"/>
      <c r="H1304" s="201"/>
      <c r="I1304" s="201"/>
      <c r="J1304" s="217"/>
      <c r="K1304" s="217"/>
      <c r="L1304" s="185"/>
      <c r="M1304" s="185"/>
      <c r="N1304" s="185"/>
      <c r="O1304" s="185"/>
      <c r="P1304" s="185"/>
      <c r="Q1304" s="185"/>
      <c r="R1304" s="168"/>
      <c r="S1304" s="168"/>
      <c r="U1304" s="170"/>
      <c r="V1304" s="171"/>
      <c r="W1304" s="171"/>
      <c r="X1304" s="171"/>
      <c r="Y1304" s="185"/>
      <c r="Z1304" s="185"/>
    </row>
    <row r="1305" spans="4:26" x14ac:dyDescent="0.25">
      <c r="D1305" s="175"/>
      <c r="E1305" s="175"/>
      <c r="H1305" s="201"/>
      <c r="I1305" s="201"/>
      <c r="J1305" s="217"/>
      <c r="K1305" s="217"/>
      <c r="L1305" s="185"/>
      <c r="M1305" s="185"/>
      <c r="N1305" s="185"/>
      <c r="O1305" s="185"/>
      <c r="P1305" s="185"/>
      <c r="Q1305" s="185"/>
      <c r="R1305" s="168"/>
      <c r="S1305" s="168"/>
      <c r="U1305" s="170"/>
      <c r="V1305" s="171"/>
      <c r="W1305" s="171"/>
      <c r="X1305" s="171"/>
      <c r="Y1305" s="185"/>
      <c r="Z1305" s="185"/>
    </row>
    <row r="1306" spans="4:26" x14ac:dyDescent="0.25">
      <c r="D1306" s="175"/>
      <c r="E1306" s="175"/>
      <c r="H1306" s="201"/>
      <c r="I1306" s="201"/>
      <c r="J1306" s="217"/>
      <c r="K1306" s="217"/>
      <c r="L1306" s="185"/>
      <c r="M1306" s="185"/>
      <c r="N1306" s="185"/>
      <c r="O1306" s="185"/>
      <c r="P1306" s="185"/>
      <c r="Q1306" s="185"/>
      <c r="R1306" s="168"/>
      <c r="S1306" s="168"/>
      <c r="U1306" s="170"/>
      <c r="V1306" s="171"/>
      <c r="W1306" s="171"/>
      <c r="X1306" s="171"/>
      <c r="Y1306" s="185"/>
      <c r="Z1306" s="185"/>
    </row>
    <row r="1307" spans="4:26" x14ac:dyDescent="0.25">
      <c r="D1307" s="175"/>
      <c r="E1307" s="175"/>
      <c r="H1307" s="201"/>
      <c r="I1307" s="201"/>
      <c r="J1307" s="217"/>
      <c r="K1307" s="217"/>
      <c r="L1307" s="185"/>
      <c r="M1307" s="185"/>
      <c r="N1307" s="185"/>
      <c r="O1307" s="185"/>
      <c r="P1307" s="185"/>
      <c r="Q1307" s="185"/>
      <c r="R1307" s="168"/>
      <c r="S1307" s="168"/>
      <c r="U1307" s="170"/>
      <c r="V1307" s="171"/>
      <c r="W1307" s="171"/>
      <c r="X1307" s="171"/>
      <c r="Y1307" s="185"/>
      <c r="Z1307" s="185"/>
    </row>
    <row r="1308" spans="4:26" x14ac:dyDescent="0.25">
      <c r="D1308" s="175"/>
      <c r="E1308" s="175"/>
      <c r="H1308" s="201"/>
      <c r="I1308" s="201"/>
      <c r="J1308" s="217"/>
      <c r="K1308" s="217"/>
      <c r="L1308" s="185"/>
      <c r="M1308" s="185"/>
      <c r="N1308" s="185"/>
      <c r="O1308" s="185"/>
      <c r="P1308" s="185"/>
      <c r="Q1308" s="185"/>
      <c r="R1308" s="168"/>
      <c r="S1308" s="168"/>
      <c r="U1308" s="170"/>
      <c r="V1308" s="171"/>
      <c r="W1308" s="171"/>
      <c r="X1308" s="171"/>
      <c r="Y1308" s="185"/>
      <c r="Z1308" s="185"/>
    </row>
    <row r="1309" spans="4:26" x14ac:dyDescent="0.25">
      <c r="D1309" s="175"/>
      <c r="E1309" s="175"/>
      <c r="H1309" s="201"/>
      <c r="I1309" s="201"/>
      <c r="J1309" s="217"/>
      <c r="K1309" s="217"/>
      <c r="L1309" s="185"/>
      <c r="M1309" s="185"/>
      <c r="N1309" s="185"/>
      <c r="O1309" s="185"/>
      <c r="P1309" s="185"/>
      <c r="Q1309" s="185"/>
      <c r="R1309" s="168"/>
      <c r="S1309" s="168"/>
      <c r="U1309" s="170"/>
      <c r="V1309" s="171"/>
      <c r="W1309" s="171"/>
      <c r="X1309" s="171"/>
      <c r="Y1309" s="185"/>
      <c r="Z1309" s="185"/>
    </row>
    <row r="1310" spans="4:26" x14ac:dyDescent="0.25">
      <c r="D1310" s="175"/>
      <c r="E1310" s="175"/>
      <c r="H1310" s="201"/>
      <c r="I1310" s="201"/>
      <c r="J1310" s="217"/>
      <c r="K1310" s="217"/>
      <c r="L1310" s="185"/>
      <c r="M1310" s="185"/>
      <c r="N1310" s="185"/>
      <c r="O1310" s="185"/>
      <c r="P1310" s="185"/>
      <c r="Q1310" s="185"/>
      <c r="R1310" s="168"/>
      <c r="S1310" s="168"/>
      <c r="U1310" s="170"/>
      <c r="V1310" s="171"/>
      <c r="W1310" s="171"/>
      <c r="X1310" s="171"/>
      <c r="Y1310" s="185"/>
      <c r="Z1310" s="185"/>
    </row>
    <row r="1311" spans="4:26" x14ac:dyDescent="0.25">
      <c r="D1311" s="175"/>
      <c r="E1311" s="175"/>
      <c r="H1311" s="201"/>
      <c r="I1311" s="201"/>
      <c r="J1311" s="217"/>
      <c r="K1311" s="217"/>
      <c r="L1311" s="185"/>
      <c r="M1311" s="185"/>
      <c r="N1311" s="185"/>
      <c r="O1311" s="185"/>
      <c r="P1311" s="185"/>
      <c r="Q1311" s="185"/>
      <c r="R1311" s="168"/>
      <c r="S1311" s="168"/>
      <c r="U1311" s="170"/>
      <c r="V1311" s="171"/>
      <c r="W1311" s="171"/>
      <c r="X1311" s="171"/>
      <c r="Y1311" s="185"/>
      <c r="Z1311" s="185"/>
    </row>
    <row r="1312" spans="4:26" x14ac:dyDescent="0.25">
      <c r="D1312" s="175"/>
      <c r="E1312" s="175"/>
      <c r="H1312" s="201"/>
      <c r="I1312" s="201"/>
      <c r="J1312" s="217"/>
      <c r="K1312" s="217"/>
      <c r="L1312" s="185"/>
      <c r="M1312" s="185"/>
      <c r="N1312" s="185"/>
      <c r="O1312" s="185"/>
      <c r="P1312" s="185"/>
      <c r="Q1312" s="185"/>
      <c r="R1312" s="168"/>
      <c r="S1312" s="168"/>
      <c r="U1312" s="170"/>
      <c r="V1312" s="171"/>
      <c r="W1312" s="171"/>
      <c r="X1312" s="171"/>
      <c r="Y1312" s="185"/>
      <c r="Z1312" s="185"/>
    </row>
    <row r="1313" spans="4:26" x14ac:dyDescent="0.25">
      <c r="D1313" s="175"/>
      <c r="E1313" s="175"/>
      <c r="H1313" s="201"/>
      <c r="I1313" s="201"/>
      <c r="J1313" s="217"/>
      <c r="K1313" s="217"/>
      <c r="L1313" s="185"/>
      <c r="M1313" s="185"/>
      <c r="N1313" s="185"/>
      <c r="O1313" s="185"/>
      <c r="P1313" s="185"/>
      <c r="Q1313" s="185"/>
      <c r="R1313" s="168"/>
      <c r="S1313" s="168"/>
      <c r="U1313" s="170"/>
      <c r="V1313" s="171"/>
      <c r="W1313" s="171"/>
      <c r="X1313" s="171"/>
      <c r="Y1313" s="185"/>
      <c r="Z1313" s="185"/>
    </row>
    <row r="1314" spans="4:26" x14ac:dyDescent="0.25">
      <c r="D1314" s="175"/>
      <c r="E1314" s="175"/>
      <c r="H1314" s="201"/>
      <c r="I1314" s="201"/>
      <c r="J1314" s="217"/>
      <c r="K1314" s="217"/>
      <c r="L1314" s="185"/>
      <c r="M1314" s="185"/>
      <c r="N1314" s="185"/>
      <c r="O1314" s="185"/>
      <c r="P1314" s="185"/>
      <c r="Q1314" s="185"/>
      <c r="R1314" s="168"/>
      <c r="S1314" s="168"/>
      <c r="U1314" s="170"/>
      <c r="V1314" s="171"/>
      <c r="W1314" s="171"/>
      <c r="X1314" s="171"/>
      <c r="Y1314" s="185"/>
      <c r="Z1314" s="185"/>
    </row>
    <row r="1315" spans="4:26" x14ac:dyDescent="0.25">
      <c r="D1315" s="175"/>
      <c r="E1315" s="175"/>
      <c r="H1315" s="201"/>
      <c r="I1315" s="201"/>
      <c r="J1315" s="217"/>
      <c r="K1315" s="217"/>
      <c r="L1315" s="185"/>
      <c r="M1315" s="185"/>
      <c r="N1315" s="185"/>
      <c r="O1315" s="185"/>
      <c r="P1315" s="185"/>
      <c r="Q1315" s="185"/>
      <c r="R1315" s="168"/>
      <c r="S1315" s="168"/>
      <c r="U1315" s="170"/>
      <c r="V1315" s="171"/>
      <c r="W1315" s="171"/>
      <c r="X1315" s="171"/>
      <c r="Y1315" s="185"/>
      <c r="Z1315" s="185"/>
    </row>
    <row r="1316" spans="4:26" x14ac:dyDescent="0.25">
      <c r="D1316" s="175"/>
      <c r="E1316" s="175"/>
      <c r="H1316" s="201"/>
      <c r="I1316" s="201"/>
      <c r="J1316" s="217"/>
      <c r="K1316" s="217"/>
      <c r="L1316" s="185"/>
      <c r="M1316" s="185"/>
      <c r="N1316" s="185"/>
      <c r="O1316" s="185"/>
      <c r="P1316" s="185"/>
      <c r="Q1316" s="185"/>
      <c r="R1316" s="168"/>
      <c r="S1316" s="168"/>
      <c r="U1316" s="170"/>
      <c r="V1316" s="171"/>
      <c r="W1316" s="171"/>
      <c r="X1316" s="171"/>
      <c r="Y1316" s="185"/>
      <c r="Z1316" s="185"/>
    </row>
    <row r="1317" spans="4:26" x14ac:dyDescent="0.25">
      <c r="D1317" s="175"/>
      <c r="E1317" s="175"/>
      <c r="H1317" s="201"/>
      <c r="I1317" s="201"/>
      <c r="J1317" s="217"/>
      <c r="K1317" s="217"/>
      <c r="L1317" s="185"/>
      <c r="M1317" s="185"/>
      <c r="N1317" s="185"/>
      <c r="O1317" s="185"/>
      <c r="P1317" s="185"/>
      <c r="Q1317" s="185"/>
      <c r="R1317" s="168"/>
      <c r="S1317" s="168"/>
      <c r="U1317" s="170"/>
      <c r="V1317" s="171"/>
      <c r="W1317" s="171"/>
      <c r="X1317" s="171"/>
      <c r="Y1317" s="185"/>
      <c r="Z1317" s="185"/>
    </row>
    <row r="1318" spans="4:26" x14ac:dyDescent="0.25">
      <c r="D1318" s="175"/>
      <c r="E1318" s="175"/>
      <c r="H1318" s="201"/>
      <c r="I1318" s="201"/>
      <c r="J1318" s="217"/>
      <c r="K1318" s="217"/>
      <c r="L1318" s="185"/>
      <c r="M1318" s="185"/>
      <c r="N1318" s="185"/>
      <c r="O1318" s="185"/>
      <c r="P1318" s="185"/>
      <c r="Q1318" s="185"/>
      <c r="R1318" s="168"/>
      <c r="S1318" s="168"/>
      <c r="U1318" s="170"/>
      <c r="V1318" s="171"/>
      <c r="W1318" s="171"/>
      <c r="X1318" s="171"/>
      <c r="Y1318" s="185"/>
      <c r="Z1318" s="185"/>
    </row>
    <row r="1319" spans="4:26" x14ac:dyDescent="0.25">
      <c r="D1319" s="175"/>
      <c r="E1319" s="175"/>
      <c r="H1319" s="201"/>
      <c r="I1319" s="201"/>
      <c r="J1319" s="217"/>
      <c r="K1319" s="217"/>
      <c r="L1319" s="185"/>
      <c r="M1319" s="185"/>
      <c r="N1319" s="185"/>
      <c r="O1319" s="185"/>
      <c r="P1319" s="185"/>
      <c r="Q1319" s="185"/>
      <c r="R1319" s="168"/>
      <c r="S1319" s="168"/>
      <c r="U1319" s="170"/>
      <c r="V1319" s="171"/>
      <c r="W1319" s="171"/>
      <c r="X1319" s="171"/>
      <c r="Y1319" s="185"/>
      <c r="Z1319" s="185"/>
    </row>
    <row r="1320" spans="4:26" x14ac:dyDescent="0.25">
      <c r="D1320" s="175"/>
      <c r="E1320" s="175"/>
      <c r="H1320" s="201"/>
      <c r="I1320" s="201"/>
      <c r="J1320" s="217"/>
      <c r="K1320" s="217"/>
      <c r="L1320" s="185"/>
      <c r="M1320" s="185"/>
      <c r="N1320" s="185"/>
      <c r="O1320" s="185"/>
      <c r="P1320" s="185"/>
      <c r="Q1320" s="185"/>
      <c r="R1320" s="168"/>
      <c r="S1320" s="168"/>
      <c r="U1320" s="170"/>
      <c r="V1320" s="171"/>
      <c r="W1320" s="171"/>
      <c r="X1320" s="171"/>
      <c r="Y1320" s="185"/>
      <c r="Z1320" s="185"/>
    </row>
    <row r="1321" spans="4:26" x14ac:dyDescent="0.25">
      <c r="D1321" s="175"/>
      <c r="E1321" s="175"/>
      <c r="H1321" s="201"/>
      <c r="I1321" s="201"/>
      <c r="J1321" s="217"/>
      <c r="K1321" s="217"/>
      <c r="L1321" s="185"/>
      <c r="M1321" s="185"/>
      <c r="N1321" s="185"/>
      <c r="O1321" s="185"/>
      <c r="P1321" s="185"/>
      <c r="Q1321" s="185"/>
      <c r="R1321" s="168"/>
      <c r="S1321" s="168"/>
      <c r="U1321" s="170"/>
      <c r="V1321" s="171"/>
      <c r="W1321" s="171"/>
      <c r="X1321" s="171"/>
      <c r="Y1321" s="185"/>
      <c r="Z1321" s="185"/>
    </row>
    <row r="1322" spans="4:26" x14ac:dyDescent="0.25">
      <c r="D1322" s="175"/>
      <c r="E1322" s="175"/>
      <c r="H1322" s="201"/>
      <c r="I1322" s="201"/>
      <c r="J1322" s="217"/>
      <c r="K1322" s="217"/>
      <c r="L1322" s="185"/>
      <c r="M1322" s="185"/>
      <c r="N1322" s="185"/>
      <c r="O1322" s="185"/>
      <c r="P1322" s="185"/>
      <c r="Q1322" s="185"/>
      <c r="R1322" s="168"/>
      <c r="S1322" s="168"/>
      <c r="U1322" s="170"/>
      <c r="V1322" s="171"/>
      <c r="W1322" s="171"/>
      <c r="X1322" s="171"/>
      <c r="Y1322" s="185"/>
      <c r="Z1322" s="185"/>
    </row>
    <row r="1323" spans="4:26" x14ac:dyDescent="0.25">
      <c r="D1323" s="175"/>
      <c r="E1323" s="175"/>
      <c r="H1323" s="201"/>
      <c r="I1323" s="201"/>
      <c r="J1323" s="217"/>
      <c r="K1323" s="217"/>
      <c r="L1323" s="185"/>
      <c r="M1323" s="185"/>
      <c r="N1323" s="185"/>
      <c r="O1323" s="185"/>
      <c r="P1323" s="185"/>
      <c r="Q1323" s="185"/>
      <c r="R1323" s="168"/>
      <c r="S1323" s="168"/>
      <c r="U1323" s="170"/>
      <c r="V1323" s="171"/>
      <c r="W1323" s="171"/>
      <c r="X1323" s="171"/>
      <c r="Y1323" s="185"/>
      <c r="Z1323" s="185"/>
    </row>
    <row r="1324" spans="4:26" x14ac:dyDescent="0.25">
      <c r="D1324" s="175"/>
      <c r="E1324" s="175"/>
      <c r="H1324" s="201"/>
      <c r="I1324" s="201"/>
      <c r="J1324" s="217"/>
      <c r="K1324" s="217"/>
      <c r="L1324" s="185"/>
      <c r="M1324" s="185"/>
      <c r="N1324" s="185"/>
      <c r="O1324" s="185"/>
      <c r="P1324" s="185"/>
      <c r="Q1324" s="185"/>
      <c r="R1324" s="168"/>
      <c r="S1324" s="168"/>
      <c r="U1324" s="170"/>
      <c r="V1324" s="171"/>
      <c r="W1324" s="171"/>
      <c r="X1324" s="171"/>
      <c r="Y1324" s="185"/>
      <c r="Z1324" s="185"/>
    </row>
    <row r="1325" spans="4:26" x14ac:dyDescent="0.25">
      <c r="D1325" s="175"/>
      <c r="E1325" s="175"/>
      <c r="H1325" s="201"/>
      <c r="I1325" s="201"/>
      <c r="J1325" s="217"/>
      <c r="K1325" s="217"/>
      <c r="L1325" s="185"/>
      <c r="M1325" s="185"/>
      <c r="N1325" s="185"/>
      <c r="O1325" s="185"/>
      <c r="P1325" s="185"/>
      <c r="Q1325" s="185"/>
      <c r="R1325" s="168"/>
      <c r="S1325" s="168"/>
      <c r="U1325" s="170"/>
      <c r="V1325" s="171"/>
      <c r="W1325" s="171"/>
      <c r="X1325" s="171"/>
      <c r="Y1325" s="185"/>
      <c r="Z1325" s="185"/>
    </row>
    <row r="1326" spans="4:26" x14ac:dyDescent="0.25">
      <c r="D1326" s="175"/>
      <c r="E1326" s="175"/>
      <c r="H1326" s="201"/>
      <c r="I1326" s="201"/>
      <c r="J1326" s="217"/>
      <c r="K1326" s="217"/>
      <c r="L1326" s="185"/>
      <c r="M1326" s="185"/>
      <c r="N1326" s="185"/>
      <c r="O1326" s="185"/>
      <c r="P1326" s="185"/>
      <c r="Q1326" s="185"/>
      <c r="R1326" s="168"/>
      <c r="S1326" s="168"/>
      <c r="U1326" s="170"/>
      <c r="V1326" s="171"/>
      <c r="W1326" s="171"/>
      <c r="X1326" s="171"/>
      <c r="Y1326" s="185"/>
      <c r="Z1326" s="185"/>
    </row>
    <row r="1327" spans="4:26" x14ac:dyDescent="0.25">
      <c r="D1327" s="175"/>
      <c r="E1327" s="175"/>
      <c r="H1327" s="201"/>
      <c r="I1327" s="201"/>
      <c r="J1327" s="217"/>
      <c r="K1327" s="217"/>
      <c r="L1327" s="185"/>
      <c r="M1327" s="185"/>
      <c r="N1327" s="185"/>
      <c r="O1327" s="185"/>
      <c r="P1327" s="185"/>
      <c r="Q1327" s="185"/>
      <c r="R1327" s="168"/>
      <c r="S1327" s="168"/>
      <c r="U1327" s="170"/>
      <c r="V1327" s="171"/>
      <c r="W1327" s="171"/>
      <c r="X1327" s="171"/>
      <c r="Y1327" s="185"/>
      <c r="Z1327" s="185"/>
    </row>
    <row r="1328" spans="4:26" x14ac:dyDescent="0.25">
      <c r="D1328" s="175"/>
      <c r="E1328" s="175"/>
      <c r="H1328" s="201"/>
      <c r="I1328" s="201"/>
      <c r="J1328" s="217"/>
      <c r="K1328" s="217"/>
      <c r="L1328" s="185"/>
      <c r="M1328" s="185"/>
      <c r="N1328" s="185"/>
      <c r="O1328" s="185"/>
      <c r="P1328" s="185"/>
      <c r="Q1328" s="185"/>
      <c r="R1328" s="168"/>
      <c r="S1328" s="168"/>
      <c r="U1328" s="170"/>
      <c r="V1328" s="171"/>
      <c r="W1328" s="171"/>
      <c r="X1328" s="171"/>
      <c r="Y1328" s="185"/>
      <c r="Z1328" s="185"/>
    </row>
    <row r="1329" spans="4:26" x14ac:dyDescent="0.25">
      <c r="D1329" s="175"/>
      <c r="E1329" s="175"/>
      <c r="H1329" s="201"/>
      <c r="I1329" s="201"/>
      <c r="J1329" s="217"/>
      <c r="K1329" s="217"/>
      <c r="L1329" s="185"/>
      <c r="M1329" s="185"/>
      <c r="N1329" s="185"/>
      <c r="O1329" s="185"/>
      <c r="P1329" s="185"/>
      <c r="Q1329" s="185"/>
      <c r="R1329" s="168"/>
      <c r="S1329" s="168"/>
      <c r="U1329" s="170"/>
      <c r="V1329" s="171"/>
      <c r="W1329" s="171"/>
      <c r="X1329" s="171"/>
      <c r="Y1329" s="185"/>
      <c r="Z1329" s="185"/>
    </row>
    <row r="1330" spans="4:26" x14ac:dyDescent="0.25">
      <c r="D1330" s="175"/>
      <c r="E1330" s="175"/>
      <c r="H1330" s="201"/>
      <c r="I1330" s="201"/>
      <c r="J1330" s="217"/>
      <c r="K1330" s="217"/>
      <c r="L1330" s="185"/>
      <c r="M1330" s="185"/>
      <c r="N1330" s="185"/>
      <c r="O1330" s="185"/>
      <c r="P1330" s="185"/>
      <c r="Q1330" s="185"/>
      <c r="R1330" s="168"/>
      <c r="S1330" s="168"/>
      <c r="U1330" s="170"/>
      <c r="V1330" s="171"/>
      <c r="W1330" s="171"/>
      <c r="X1330" s="171"/>
      <c r="Y1330" s="185"/>
      <c r="Z1330" s="185"/>
    </row>
    <row r="1331" spans="4:26" x14ac:dyDescent="0.25">
      <c r="D1331" s="175"/>
      <c r="E1331" s="175"/>
      <c r="H1331" s="201"/>
      <c r="I1331" s="201"/>
      <c r="J1331" s="217"/>
      <c r="K1331" s="217"/>
      <c r="L1331" s="185"/>
      <c r="M1331" s="185"/>
      <c r="N1331" s="185"/>
      <c r="O1331" s="185"/>
      <c r="P1331" s="185"/>
      <c r="Q1331" s="185"/>
      <c r="R1331" s="168"/>
      <c r="S1331" s="168"/>
      <c r="U1331" s="170"/>
      <c r="V1331" s="171"/>
      <c r="W1331" s="171"/>
      <c r="X1331" s="171"/>
      <c r="Y1331" s="185"/>
      <c r="Z1331" s="185"/>
    </row>
    <row r="1332" spans="4:26" x14ac:dyDescent="0.25">
      <c r="D1332" s="175"/>
      <c r="E1332" s="175"/>
      <c r="H1332" s="201"/>
      <c r="I1332" s="201"/>
      <c r="J1332" s="217"/>
      <c r="K1332" s="217"/>
      <c r="L1332" s="185"/>
      <c r="M1332" s="185"/>
      <c r="N1332" s="185"/>
      <c r="O1332" s="185"/>
      <c r="P1332" s="185"/>
      <c r="Q1332" s="185"/>
      <c r="R1332" s="168"/>
      <c r="S1332" s="168"/>
      <c r="U1332" s="170"/>
      <c r="V1332" s="171"/>
      <c r="W1332" s="171"/>
      <c r="X1332" s="171"/>
      <c r="Y1332" s="185"/>
      <c r="Z1332" s="185"/>
    </row>
    <row r="1333" spans="4:26" x14ac:dyDescent="0.25">
      <c r="D1333" s="175"/>
      <c r="E1333" s="175"/>
      <c r="H1333" s="201"/>
      <c r="I1333" s="201"/>
      <c r="J1333" s="217"/>
      <c r="K1333" s="217"/>
      <c r="L1333" s="185"/>
      <c r="M1333" s="185"/>
      <c r="N1333" s="185"/>
      <c r="O1333" s="185"/>
      <c r="P1333" s="185"/>
      <c r="Q1333" s="185"/>
      <c r="R1333" s="168"/>
      <c r="S1333" s="168"/>
      <c r="U1333" s="170"/>
      <c r="V1333" s="171"/>
      <c r="W1333" s="171"/>
      <c r="X1333" s="171"/>
      <c r="Y1333" s="185"/>
      <c r="Z1333" s="185"/>
    </row>
    <row r="1334" spans="4:26" x14ac:dyDescent="0.25">
      <c r="D1334" s="175"/>
      <c r="E1334" s="175"/>
      <c r="H1334" s="201"/>
      <c r="I1334" s="201"/>
      <c r="J1334" s="217"/>
      <c r="K1334" s="217"/>
      <c r="L1334" s="185"/>
      <c r="M1334" s="185"/>
      <c r="N1334" s="185"/>
      <c r="O1334" s="185"/>
      <c r="P1334" s="185"/>
      <c r="Q1334" s="185"/>
      <c r="R1334" s="168"/>
      <c r="S1334" s="168"/>
      <c r="U1334" s="170"/>
      <c r="V1334" s="171"/>
      <c r="W1334" s="171"/>
      <c r="X1334" s="171"/>
      <c r="Y1334" s="185"/>
      <c r="Z1334" s="185"/>
    </row>
    <row r="1335" spans="4:26" x14ac:dyDescent="0.25">
      <c r="D1335" s="175"/>
      <c r="E1335" s="175"/>
      <c r="H1335" s="201"/>
      <c r="I1335" s="201"/>
      <c r="J1335" s="217"/>
      <c r="K1335" s="217"/>
      <c r="L1335" s="185"/>
      <c r="M1335" s="185"/>
      <c r="N1335" s="185"/>
      <c r="O1335" s="185"/>
      <c r="P1335" s="185"/>
      <c r="Q1335" s="185"/>
      <c r="R1335" s="168"/>
      <c r="S1335" s="168"/>
      <c r="U1335" s="170"/>
      <c r="V1335" s="171"/>
      <c r="W1335" s="171"/>
      <c r="X1335" s="171"/>
      <c r="Y1335" s="185"/>
      <c r="Z1335" s="185"/>
    </row>
    <row r="1336" spans="4:26" x14ac:dyDescent="0.25">
      <c r="D1336" s="175"/>
      <c r="E1336" s="175"/>
      <c r="H1336" s="201"/>
      <c r="I1336" s="201"/>
      <c r="J1336" s="217"/>
      <c r="K1336" s="217"/>
      <c r="L1336" s="185"/>
      <c r="M1336" s="185"/>
      <c r="N1336" s="185"/>
      <c r="O1336" s="185"/>
      <c r="P1336" s="185"/>
      <c r="Q1336" s="185"/>
      <c r="R1336" s="168"/>
      <c r="S1336" s="168"/>
      <c r="U1336" s="170"/>
      <c r="V1336" s="171"/>
      <c r="W1336" s="171"/>
      <c r="X1336" s="171"/>
      <c r="Y1336" s="185"/>
      <c r="Z1336" s="185"/>
    </row>
    <row r="1337" spans="4:26" x14ac:dyDescent="0.25">
      <c r="D1337" s="175"/>
      <c r="E1337" s="175"/>
      <c r="H1337" s="201"/>
      <c r="I1337" s="201"/>
      <c r="J1337" s="217"/>
      <c r="K1337" s="217"/>
      <c r="L1337" s="185"/>
      <c r="M1337" s="185"/>
      <c r="N1337" s="185"/>
      <c r="O1337" s="185"/>
      <c r="P1337" s="185"/>
      <c r="Q1337" s="185"/>
      <c r="R1337" s="168"/>
      <c r="S1337" s="168"/>
      <c r="U1337" s="170"/>
      <c r="V1337" s="171"/>
      <c r="W1337" s="171"/>
      <c r="X1337" s="171"/>
      <c r="Y1337" s="185"/>
      <c r="Z1337" s="185"/>
    </row>
    <row r="1338" spans="4:26" x14ac:dyDescent="0.25">
      <c r="D1338" s="175"/>
      <c r="E1338" s="175"/>
      <c r="H1338" s="201"/>
      <c r="I1338" s="201"/>
      <c r="J1338" s="217"/>
      <c r="K1338" s="217"/>
      <c r="L1338" s="185"/>
      <c r="M1338" s="185"/>
      <c r="N1338" s="185"/>
      <c r="O1338" s="185"/>
      <c r="P1338" s="185"/>
      <c r="Q1338" s="185"/>
      <c r="R1338" s="168"/>
      <c r="S1338" s="168"/>
      <c r="U1338" s="170"/>
      <c r="V1338" s="171"/>
      <c r="W1338" s="171"/>
      <c r="X1338" s="171"/>
      <c r="Y1338" s="185"/>
      <c r="Z1338" s="185"/>
    </row>
    <row r="1339" spans="4:26" x14ac:dyDescent="0.25">
      <c r="D1339" s="175"/>
      <c r="E1339" s="175"/>
      <c r="H1339" s="201"/>
      <c r="I1339" s="201"/>
      <c r="J1339" s="217"/>
      <c r="K1339" s="217"/>
      <c r="L1339" s="185"/>
      <c r="M1339" s="185"/>
      <c r="N1339" s="185"/>
      <c r="O1339" s="185"/>
      <c r="P1339" s="185"/>
      <c r="Q1339" s="185"/>
      <c r="R1339" s="168"/>
      <c r="S1339" s="168"/>
      <c r="U1339" s="170"/>
      <c r="V1339" s="171"/>
      <c r="W1339" s="171"/>
      <c r="X1339" s="171"/>
      <c r="Y1339" s="185"/>
      <c r="Z1339" s="185"/>
    </row>
    <row r="1340" spans="4:26" x14ac:dyDescent="0.25">
      <c r="D1340" s="175"/>
      <c r="E1340" s="175"/>
      <c r="H1340" s="201"/>
      <c r="I1340" s="201"/>
      <c r="J1340" s="217"/>
      <c r="K1340" s="217"/>
      <c r="L1340" s="185"/>
      <c r="M1340" s="185"/>
      <c r="N1340" s="185"/>
      <c r="O1340" s="185"/>
      <c r="P1340" s="185"/>
      <c r="Q1340" s="185"/>
      <c r="R1340" s="168"/>
      <c r="S1340" s="168"/>
      <c r="U1340" s="170"/>
      <c r="V1340" s="171"/>
      <c r="W1340" s="171"/>
      <c r="X1340" s="171"/>
      <c r="Y1340" s="185"/>
      <c r="Z1340" s="185"/>
    </row>
    <row r="1341" spans="4:26" x14ac:dyDescent="0.25">
      <c r="D1341" s="175"/>
      <c r="E1341" s="175"/>
      <c r="H1341" s="201"/>
      <c r="I1341" s="201"/>
      <c r="J1341" s="217"/>
      <c r="K1341" s="217"/>
      <c r="L1341" s="185"/>
      <c r="M1341" s="185"/>
      <c r="N1341" s="185"/>
      <c r="O1341" s="185"/>
      <c r="P1341" s="185"/>
      <c r="Q1341" s="185"/>
      <c r="R1341" s="168"/>
      <c r="S1341" s="168"/>
      <c r="U1341" s="170"/>
      <c r="V1341" s="171"/>
      <c r="W1341" s="171"/>
      <c r="X1341" s="171"/>
      <c r="Y1341" s="185"/>
      <c r="Z1341" s="185"/>
    </row>
    <row r="1342" spans="4:26" x14ac:dyDescent="0.25">
      <c r="D1342" s="175"/>
      <c r="E1342" s="175"/>
      <c r="H1342" s="201"/>
      <c r="I1342" s="201"/>
      <c r="J1342" s="217"/>
      <c r="K1342" s="217"/>
      <c r="L1342" s="185"/>
      <c r="M1342" s="185"/>
      <c r="N1342" s="185"/>
      <c r="O1342" s="185"/>
      <c r="P1342" s="185"/>
      <c r="Q1342" s="185"/>
      <c r="R1342" s="168"/>
      <c r="S1342" s="168"/>
      <c r="U1342" s="170"/>
      <c r="V1342" s="171"/>
      <c r="W1342" s="171"/>
      <c r="X1342" s="171"/>
      <c r="Y1342" s="185"/>
      <c r="Z1342" s="185"/>
    </row>
    <row r="1343" spans="4:26" x14ac:dyDescent="0.25">
      <c r="D1343" s="175"/>
      <c r="E1343" s="175"/>
      <c r="H1343" s="201"/>
      <c r="I1343" s="201"/>
      <c r="J1343" s="217"/>
      <c r="K1343" s="217"/>
      <c r="L1343" s="185"/>
      <c r="M1343" s="185"/>
      <c r="N1343" s="185"/>
      <c r="O1343" s="185"/>
      <c r="P1343" s="185"/>
      <c r="Q1343" s="185"/>
      <c r="R1343" s="168"/>
      <c r="S1343" s="168"/>
      <c r="U1343" s="170"/>
      <c r="V1343" s="171"/>
      <c r="W1343" s="171"/>
      <c r="X1343" s="171"/>
      <c r="Y1343" s="185"/>
      <c r="Z1343" s="185"/>
    </row>
    <row r="1344" spans="4:26" x14ac:dyDescent="0.25">
      <c r="D1344" s="175"/>
      <c r="E1344" s="175"/>
      <c r="H1344" s="201"/>
      <c r="I1344" s="201"/>
      <c r="J1344" s="217"/>
      <c r="K1344" s="217"/>
      <c r="L1344" s="185"/>
      <c r="M1344" s="185"/>
      <c r="N1344" s="185"/>
      <c r="O1344" s="185"/>
      <c r="P1344" s="185"/>
      <c r="Q1344" s="185"/>
      <c r="R1344" s="168"/>
      <c r="S1344" s="168"/>
      <c r="U1344" s="170"/>
      <c r="V1344" s="171"/>
      <c r="W1344" s="171"/>
      <c r="X1344" s="171"/>
      <c r="Y1344" s="185"/>
      <c r="Z1344" s="185"/>
    </row>
    <row r="1345" spans="4:26" x14ac:dyDescent="0.25">
      <c r="D1345" s="175"/>
      <c r="E1345" s="175"/>
      <c r="H1345" s="201"/>
      <c r="I1345" s="201"/>
      <c r="J1345" s="217"/>
      <c r="K1345" s="217"/>
      <c r="L1345" s="185"/>
      <c r="M1345" s="185"/>
      <c r="N1345" s="185"/>
      <c r="O1345" s="185"/>
      <c r="P1345" s="185"/>
      <c r="Q1345" s="185"/>
      <c r="R1345" s="168"/>
      <c r="S1345" s="168"/>
      <c r="U1345" s="170"/>
      <c r="V1345" s="171"/>
      <c r="W1345" s="171"/>
      <c r="X1345" s="171"/>
      <c r="Y1345" s="185"/>
      <c r="Z1345" s="185"/>
    </row>
    <row r="1346" spans="4:26" x14ac:dyDescent="0.25">
      <c r="D1346" s="175"/>
      <c r="E1346" s="175"/>
      <c r="H1346" s="201"/>
      <c r="I1346" s="201"/>
      <c r="J1346" s="217"/>
      <c r="K1346" s="217"/>
      <c r="L1346" s="185"/>
      <c r="M1346" s="185"/>
      <c r="N1346" s="185"/>
      <c r="O1346" s="185"/>
      <c r="P1346" s="185"/>
      <c r="Q1346" s="185"/>
      <c r="R1346" s="168"/>
      <c r="S1346" s="168"/>
      <c r="U1346" s="170"/>
      <c r="V1346" s="171"/>
      <c r="W1346" s="171"/>
      <c r="X1346" s="171"/>
      <c r="Y1346" s="185"/>
      <c r="Z1346" s="185"/>
    </row>
    <row r="1347" spans="4:26" x14ac:dyDescent="0.25">
      <c r="D1347" s="223"/>
      <c r="E1347" s="175"/>
      <c r="H1347" s="201"/>
      <c r="I1347" s="201"/>
      <c r="J1347" s="217"/>
      <c r="K1347" s="217"/>
      <c r="L1347" s="185"/>
      <c r="M1347" s="185"/>
      <c r="N1347" s="185"/>
      <c r="O1347" s="185"/>
      <c r="P1347" s="185"/>
      <c r="Q1347" s="185"/>
      <c r="R1347" s="168"/>
      <c r="S1347" s="168"/>
      <c r="U1347" s="170"/>
      <c r="V1347" s="171"/>
      <c r="W1347" s="171"/>
      <c r="X1347" s="171"/>
      <c r="Y1347" s="185"/>
      <c r="Z1347" s="185"/>
    </row>
    <row r="1348" spans="4:26" x14ac:dyDescent="0.25">
      <c r="D1348" s="223"/>
      <c r="E1348" s="175"/>
      <c r="H1348" s="201"/>
      <c r="I1348" s="201"/>
      <c r="J1348" s="217"/>
      <c r="K1348" s="217"/>
      <c r="L1348" s="185"/>
      <c r="M1348" s="185"/>
      <c r="N1348" s="185"/>
      <c r="O1348" s="185"/>
      <c r="P1348" s="185"/>
      <c r="Q1348" s="185"/>
      <c r="R1348" s="168"/>
      <c r="S1348" s="168"/>
      <c r="U1348" s="170"/>
      <c r="V1348" s="171"/>
      <c r="W1348" s="171"/>
      <c r="X1348" s="171"/>
      <c r="Y1348" s="185"/>
      <c r="Z1348" s="185"/>
    </row>
    <row r="1349" spans="4:26" x14ac:dyDescent="0.25">
      <c r="D1349" s="223"/>
      <c r="E1349" s="175"/>
      <c r="H1349" s="201"/>
      <c r="I1349" s="201"/>
      <c r="J1349" s="217"/>
      <c r="K1349" s="217"/>
      <c r="L1349" s="185"/>
      <c r="M1349" s="185"/>
      <c r="N1349" s="185"/>
      <c r="O1349" s="185"/>
      <c r="P1349" s="185"/>
      <c r="Q1349" s="185"/>
      <c r="R1349" s="168"/>
      <c r="S1349" s="168"/>
      <c r="U1349" s="170"/>
      <c r="V1349" s="171"/>
      <c r="W1349" s="171"/>
      <c r="X1349" s="171"/>
      <c r="Y1349" s="185"/>
      <c r="Z1349" s="185"/>
    </row>
    <row r="1350" spans="4:26" x14ac:dyDescent="0.25">
      <c r="D1350" s="223"/>
      <c r="E1350" s="175"/>
      <c r="H1350" s="201"/>
      <c r="I1350" s="201"/>
      <c r="J1350" s="217"/>
      <c r="K1350" s="217"/>
      <c r="L1350" s="185"/>
      <c r="M1350" s="185"/>
      <c r="N1350" s="185"/>
      <c r="O1350" s="185"/>
      <c r="P1350" s="185"/>
      <c r="Q1350" s="185"/>
      <c r="R1350" s="168"/>
      <c r="S1350" s="168"/>
      <c r="U1350" s="170"/>
      <c r="V1350" s="171"/>
      <c r="W1350" s="171"/>
      <c r="X1350" s="171"/>
      <c r="Y1350" s="185"/>
      <c r="Z1350" s="185"/>
    </row>
    <row r="1351" spans="4:26" x14ac:dyDescent="0.25">
      <c r="D1351" s="223"/>
      <c r="E1351" s="175"/>
      <c r="H1351" s="201"/>
      <c r="I1351" s="201"/>
      <c r="J1351" s="217"/>
      <c r="K1351" s="217"/>
      <c r="L1351" s="185"/>
      <c r="M1351" s="185"/>
      <c r="N1351" s="185"/>
      <c r="O1351" s="185"/>
      <c r="P1351" s="185"/>
      <c r="Q1351" s="185"/>
      <c r="R1351" s="168"/>
      <c r="S1351" s="168"/>
      <c r="U1351" s="170"/>
      <c r="V1351" s="171"/>
      <c r="W1351" s="171"/>
      <c r="X1351" s="171"/>
      <c r="Y1351" s="185"/>
      <c r="Z1351" s="185"/>
    </row>
    <row r="1352" spans="4:26" x14ac:dyDescent="0.25">
      <c r="D1352" s="223"/>
      <c r="E1352" s="175"/>
      <c r="H1352" s="201"/>
      <c r="I1352" s="201"/>
      <c r="J1352" s="217"/>
      <c r="K1352" s="217"/>
      <c r="L1352" s="185"/>
      <c r="M1352" s="185"/>
      <c r="N1352" s="185"/>
      <c r="O1352" s="185"/>
      <c r="P1352" s="185"/>
      <c r="Q1352" s="185"/>
      <c r="R1352" s="168"/>
      <c r="S1352" s="168"/>
      <c r="U1352" s="170"/>
      <c r="V1352" s="171"/>
      <c r="W1352" s="171"/>
      <c r="X1352" s="171"/>
      <c r="Y1352" s="185"/>
      <c r="Z1352" s="185"/>
    </row>
    <row r="1353" spans="4:26" x14ac:dyDescent="0.25">
      <c r="D1353" s="175"/>
      <c r="E1353" s="175"/>
      <c r="H1353" s="201"/>
      <c r="I1353" s="201"/>
      <c r="J1353" s="217"/>
      <c r="K1353" s="217"/>
      <c r="L1353" s="185"/>
      <c r="M1353" s="185"/>
      <c r="N1353" s="185"/>
      <c r="O1353" s="185"/>
      <c r="P1353" s="185"/>
      <c r="Q1353" s="185"/>
      <c r="R1353" s="168"/>
      <c r="S1353" s="168"/>
      <c r="U1353" s="170"/>
      <c r="V1353" s="171"/>
      <c r="W1353" s="171"/>
      <c r="X1353" s="171"/>
      <c r="Y1353" s="185"/>
      <c r="Z1353" s="185"/>
    </row>
    <row r="1354" spans="4:26" x14ac:dyDescent="0.25">
      <c r="D1354" s="175"/>
      <c r="E1354" s="175"/>
      <c r="H1354" s="201"/>
      <c r="I1354" s="201"/>
      <c r="J1354" s="217"/>
      <c r="K1354" s="217"/>
      <c r="L1354" s="185"/>
      <c r="M1354" s="185"/>
      <c r="N1354" s="185"/>
      <c r="O1354" s="185"/>
      <c r="P1354" s="185"/>
      <c r="Q1354" s="185"/>
      <c r="R1354" s="168"/>
      <c r="S1354" s="168"/>
      <c r="U1354" s="170"/>
      <c r="V1354" s="171"/>
      <c r="W1354" s="171"/>
      <c r="X1354" s="171"/>
      <c r="Y1354" s="185"/>
      <c r="Z1354" s="185"/>
    </row>
    <row r="1355" spans="4:26" x14ac:dyDescent="0.25">
      <c r="D1355" s="175"/>
      <c r="E1355" s="175"/>
      <c r="H1355" s="201"/>
      <c r="I1355" s="201"/>
      <c r="J1355" s="217"/>
      <c r="K1355" s="217"/>
      <c r="L1355" s="185"/>
      <c r="M1355" s="185"/>
      <c r="N1355" s="185"/>
      <c r="O1355" s="185"/>
      <c r="P1355" s="185"/>
      <c r="Q1355" s="185"/>
      <c r="R1355" s="168"/>
      <c r="S1355" s="168"/>
      <c r="U1355" s="170"/>
      <c r="V1355" s="171"/>
      <c r="W1355" s="171"/>
      <c r="X1355" s="171"/>
      <c r="Y1355" s="185"/>
      <c r="Z1355" s="185"/>
    </row>
    <row r="1356" spans="4:26" x14ac:dyDescent="0.25">
      <c r="D1356" s="175"/>
      <c r="E1356" s="175"/>
      <c r="H1356" s="201"/>
      <c r="I1356" s="201"/>
      <c r="J1356" s="217"/>
      <c r="K1356" s="217"/>
      <c r="L1356" s="185"/>
      <c r="M1356" s="185"/>
      <c r="N1356" s="185"/>
      <c r="O1356" s="185"/>
      <c r="P1356" s="185"/>
      <c r="Q1356" s="185"/>
      <c r="R1356" s="168"/>
      <c r="S1356" s="168"/>
      <c r="U1356" s="170"/>
      <c r="V1356" s="171"/>
      <c r="W1356" s="171"/>
      <c r="X1356" s="171"/>
      <c r="Y1356" s="185"/>
      <c r="Z1356" s="185"/>
    </row>
    <row r="1357" spans="4:26" x14ac:dyDescent="0.25">
      <c r="D1357" s="175"/>
      <c r="E1357" s="175"/>
      <c r="H1357" s="201"/>
      <c r="I1357" s="201"/>
      <c r="J1357" s="217"/>
      <c r="K1357" s="217"/>
      <c r="L1357" s="185"/>
      <c r="M1357" s="185"/>
      <c r="N1357" s="185"/>
      <c r="O1357" s="185"/>
      <c r="P1357" s="185"/>
      <c r="Q1357" s="185"/>
      <c r="R1357" s="168"/>
      <c r="S1357" s="168"/>
      <c r="U1357" s="170"/>
      <c r="V1357" s="171"/>
      <c r="W1357" s="171"/>
      <c r="X1357" s="171"/>
      <c r="Y1357" s="185"/>
      <c r="Z1357" s="185"/>
    </row>
    <row r="1358" spans="4:26" x14ac:dyDescent="0.25">
      <c r="D1358" s="175"/>
      <c r="E1358" s="175"/>
      <c r="H1358" s="201"/>
      <c r="I1358" s="201"/>
      <c r="J1358" s="217"/>
      <c r="K1358" s="217"/>
      <c r="L1358" s="185"/>
      <c r="M1358" s="185"/>
      <c r="N1358" s="185"/>
      <c r="O1358" s="185"/>
      <c r="P1358" s="185"/>
      <c r="Q1358" s="185"/>
      <c r="R1358" s="168"/>
      <c r="S1358" s="168"/>
      <c r="U1358" s="170"/>
      <c r="V1358" s="171"/>
      <c r="W1358" s="171"/>
      <c r="X1358" s="171"/>
      <c r="Y1358" s="185"/>
      <c r="Z1358" s="185"/>
    </row>
    <row r="1359" spans="4:26" x14ac:dyDescent="0.25">
      <c r="D1359" s="175"/>
      <c r="E1359" s="175"/>
      <c r="H1359" s="201"/>
      <c r="I1359" s="201"/>
      <c r="J1359" s="217"/>
      <c r="K1359" s="217"/>
      <c r="L1359" s="185"/>
      <c r="M1359" s="185"/>
      <c r="N1359" s="185"/>
      <c r="O1359" s="185"/>
      <c r="P1359" s="185"/>
      <c r="Q1359" s="185"/>
      <c r="R1359" s="168"/>
      <c r="S1359" s="168"/>
      <c r="U1359" s="170"/>
      <c r="V1359" s="171"/>
      <c r="W1359" s="171"/>
      <c r="X1359" s="171"/>
      <c r="Y1359" s="185"/>
      <c r="Z1359" s="185"/>
    </row>
    <row r="1360" spans="4:26" x14ac:dyDescent="0.25">
      <c r="D1360" s="175"/>
      <c r="E1360" s="175"/>
      <c r="H1360" s="201"/>
      <c r="I1360" s="201"/>
      <c r="J1360" s="217"/>
      <c r="K1360" s="217"/>
      <c r="L1360" s="185"/>
      <c r="M1360" s="185"/>
      <c r="N1360" s="185"/>
      <c r="O1360" s="185"/>
      <c r="P1360" s="185"/>
      <c r="Q1360" s="185"/>
      <c r="R1360" s="168"/>
      <c r="S1360" s="168"/>
      <c r="U1360" s="170"/>
      <c r="V1360" s="171"/>
      <c r="W1360" s="171"/>
      <c r="X1360" s="171"/>
      <c r="Y1360" s="185"/>
      <c r="Z1360" s="185"/>
    </row>
    <row r="1361" spans="4:26" x14ac:dyDescent="0.25">
      <c r="D1361" s="175"/>
      <c r="E1361" s="175"/>
      <c r="H1361" s="201"/>
      <c r="I1361" s="201"/>
      <c r="J1361" s="217"/>
      <c r="K1361" s="217"/>
      <c r="L1361" s="185"/>
      <c r="M1361" s="185"/>
      <c r="N1361" s="185"/>
      <c r="O1361" s="185"/>
      <c r="P1361" s="185"/>
      <c r="Q1361" s="185"/>
      <c r="R1361" s="168"/>
      <c r="S1361" s="168"/>
      <c r="U1361" s="170"/>
      <c r="V1361" s="171"/>
      <c r="W1361" s="171"/>
      <c r="X1361" s="171"/>
      <c r="Y1361" s="185"/>
      <c r="Z1361" s="185"/>
    </row>
    <row r="1362" spans="4:26" x14ac:dyDescent="0.25">
      <c r="D1362" s="175"/>
      <c r="E1362" s="175"/>
      <c r="H1362" s="201"/>
      <c r="I1362" s="201"/>
      <c r="J1362" s="217"/>
      <c r="K1362" s="217"/>
      <c r="L1362" s="185"/>
      <c r="M1362" s="185"/>
      <c r="N1362" s="185"/>
      <c r="O1362" s="185"/>
      <c r="P1362" s="185"/>
      <c r="Q1362" s="185"/>
      <c r="R1362" s="168"/>
      <c r="S1362" s="168"/>
      <c r="U1362" s="170"/>
      <c r="V1362" s="171"/>
      <c r="W1362" s="171"/>
      <c r="X1362" s="171"/>
      <c r="Y1362" s="185"/>
      <c r="Z1362" s="185"/>
    </row>
    <row r="1363" spans="4:26" x14ac:dyDescent="0.25">
      <c r="D1363" s="175"/>
      <c r="E1363" s="175"/>
      <c r="H1363" s="201"/>
      <c r="I1363" s="201"/>
      <c r="J1363" s="217"/>
      <c r="K1363" s="217"/>
      <c r="L1363" s="185"/>
      <c r="M1363" s="185"/>
      <c r="N1363" s="185"/>
      <c r="O1363" s="185"/>
      <c r="P1363" s="185"/>
      <c r="Q1363" s="185"/>
      <c r="R1363" s="168"/>
      <c r="S1363" s="168"/>
      <c r="U1363" s="170"/>
      <c r="V1363" s="171"/>
      <c r="W1363" s="171"/>
      <c r="X1363" s="171"/>
      <c r="Y1363" s="185"/>
      <c r="Z1363" s="185"/>
    </row>
    <row r="1364" spans="4:26" x14ac:dyDescent="0.25">
      <c r="D1364" s="175"/>
      <c r="E1364" s="175"/>
      <c r="H1364" s="201"/>
      <c r="I1364" s="201"/>
      <c r="J1364" s="217"/>
      <c r="K1364" s="217"/>
      <c r="L1364" s="185"/>
      <c r="M1364" s="185"/>
      <c r="N1364" s="185"/>
      <c r="O1364" s="185"/>
      <c r="P1364" s="185"/>
      <c r="Q1364" s="185"/>
      <c r="R1364" s="168"/>
      <c r="S1364" s="168"/>
      <c r="U1364" s="170"/>
      <c r="V1364" s="171"/>
      <c r="W1364" s="171"/>
      <c r="X1364" s="171"/>
      <c r="Y1364" s="185"/>
      <c r="Z1364" s="185"/>
    </row>
    <row r="1365" spans="4:26" x14ac:dyDescent="0.25">
      <c r="D1365" s="175"/>
      <c r="E1365" s="175"/>
      <c r="H1365" s="201"/>
      <c r="I1365" s="201"/>
      <c r="J1365" s="217"/>
      <c r="K1365" s="217"/>
      <c r="L1365" s="185"/>
      <c r="M1365" s="185"/>
      <c r="N1365" s="185"/>
      <c r="O1365" s="185"/>
      <c r="P1365" s="185"/>
      <c r="Q1365" s="185"/>
      <c r="R1365" s="168"/>
      <c r="S1365" s="168"/>
      <c r="U1365" s="170"/>
      <c r="V1365" s="171"/>
      <c r="W1365" s="171"/>
      <c r="X1365" s="171"/>
      <c r="Y1365" s="185"/>
      <c r="Z1365" s="185"/>
    </row>
    <row r="1366" spans="4:26" x14ac:dyDescent="0.25">
      <c r="D1366" s="175"/>
      <c r="E1366" s="175"/>
      <c r="H1366" s="201"/>
      <c r="I1366" s="201"/>
      <c r="J1366" s="217"/>
      <c r="K1366" s="217"/>
      <c r="L1366" s="185"/>
      <c r="M1366" s="185"/>
      <c r="N1366" s="185"/>
      <c r="O1366" s="185"/>
      <c r="P1366" s="185"/>
      <c r="Q1366" s="185"/>
      <c r="R1366" s="168"/>
      <c r="S1366" s="168"/>
      <c r="U1366" s="170"/>
      <c r="V1366" s="171"/>
      <c r="W1366" s="171"/>
      <c r="X1366" s="171"/>
      <c r="Y1366" s="185"/>
      <c r="Z1366" s="185"/>
    </row>
    <row r="1367" spans="4:26" x14ac:dyDescent="0.25">
      <c r="D1367" s="175"/>
      <c r="E1367" s="175"/>
      <c r="H1367" s="201"/>
      <c r="I1367" s="201"/>
      <c r="J1367" s="217"/>
      <c r="K1367" s="217"/>
      <c r="L1367" s="185"/>
      <c r="M1367" s="185"/>
      <c r="N1367" s="185"/>
      <c r="O1367" s="185"/>
      <c r="P1367" s="185"/>
      <c r="Q1367" s="185"/>
      <c r="R1367" s="168"/>
      <c r="S1367" s="168"/>
      <c r="U1367" s="170"/>
      <c r="V1367" s="171"/>
      <c r="W1367" s="171"/>
      <c r="X1367" s="171"/>
      <c r="Y1367" s="185"/>
      <c r="Z1367" s="185"/>
    </row>
    <row r="1368" spans="4:26" x14ac:dyDescent="0.25">
      <c r="D1368" s="175"/>
      <c r="E1368" s="175"/>
      <c r="H1368" s="201"/>
      <c r="I1368" s="201"/>
      <c r="J1368" s="217"/>
      <c r="K1368" s="217"/>
      <c r="L1368" s="185"/>
      <c r="M1368" s="185"/>
      <c r="N1368" s="185"/>
      <c r="O1368" s="185"/>
      <c r="P1368" s="185"/>
      <c r="Q1368" s="185"/>
      <c r="R1368" s="168"/>
      <c r="S1368" s="168"/>
      <c r="U1368" s="170"/>
      <c r="V1368" s="171"/>
      <c r="W1368" s="171"/>
      <c r="X1368" s="171"/>
      <c r="Y1368" s="185"/>
      <c r="Z1368" s="185"/>
    </row>
    <row r="1369" spans="4:26" x14ac:dyDescent="0.25">
      <c r="D1369" s="175"/>
      <c r="E1369" s="175"/>
      <c r="H1369" s="201"/>
      <c r="I1369" s="201"/>
      <c r="J1369" s="217"/>
      <c r="K1369" s="217"/>
      <c r="L1369" s="185"/>
      <c r="M1369" s="185"/>
      <c r="N1369" s="185"/>
      <c r="O1369" s="185"/>
      <c r="P1369" s="185"/>
      <c r="Q1369" s="185"/>
      <c r="R1369" s="168"/>
      <c r="S1369" s="168"/>
      <c r="U1369" s="170"/>
      <c r="V1369" s="171"/>
      <c r="W1369" s="171"/>
      <c r="X1369" s="171"/>
      <c r="Y1369" s="185"/>
      <c r="Z1369" s="185"/>
    </row>
    <row r="1370" spans="4:26" x14ac:dyDescent="0.25">
      <c r="D1370" s="175"/>
      <c r="E1370" s="175"/>
      <c r="H1370" s="201"/>
      <c r="I1370" s="201"/>
      <c r="J1370" s="217"/>
      <c r="K1370" s="217"/>
      <c r="L1370" s="185"/>
      <c r="M1370" s="185"/>
      <c r="N1370" s="185"/>
      <c r="O1370" s="185"/>
      <c r="P1370" s="185"/>
      <c r="Q1370" s="185"/>
      <c r="R1370" s="168"/>
      <c r="S1370" s="168"/>
      <c r="U1370" s="170"/>
      <c r="V1370" s="171"/>
      <c r="W1370" s="171"/>
      <c r="X1370" s="171"/>
      <c r="Y1370" s="185"/>
      <c r="Z1370" s="185"/>
    </row>
    <row r="1371" spans="4:26" x14ac:dyDescent="0.25">
      <c r="D1371" s="175"/>
      <c r="E1371" s="175"/>
      <c r="H1371" s="201"/>
      <c r="I1371" s="201"/>
      <c r="J1371" s="217"/>
      <c r="K1371" s="217"/>
      <c r="L1371" s="185"/>
      <c r="M1371" s="185"/>
      <c r="N1371" s="185"/>
      <c r="O1371" s="185"/>
      <c r="P1371" s="185"/>
      <c r="Q1371" s="185"/>
      <c r="R1371" s="168"/>
      <c r="S1371" s="168"/>
      <c r="U1371" s="170"/>
      <c r="V1371" s="171"/>
      <c r="W1371" s="171"/>
      <c r="X1371" s="171"/>
      <c r="Y1371" s="185"/>
      <c r="Z1371" s="185"/>
    </row>
    <row r="1372" spans="4:26" x14ac:dyDescent="0.25">
      <c r="D1372" s="175"/>
      <c r="E1372" s="175"/>
      <c r="H1372" s="201"/>
      <c r="I1372" s="201"/>
      <c r="J1372" s="217"/>
      <c r="K1372" s="217"/>
      <c r="L1372" s="185"/>
      <c r="M1372" s="185"/>
      <c r="N1372" s="185"/>
      <c r="O1372" s="185"/>
      <c r="P1372" s="185"/>
      <c r="Q1372" s="185"/>
      <c r="R1372" s="168"/>
      <c r="S1372" s="168"/>
      <c r="U1372" s="170"/>
      <c r="V1372" s="171"/>
      <c r="W1372" s="171"/>
      <c r="X1372" s="171"/>
      <c r="Y1372" s="185"/>
      <c r="Z1372" s="185"/>
    </row>
    <row r="1373" spans="4:26" x14ac:dyDescent="0.25">
      <c r="D1373" s="175"/>
      <c r="E1373" s="175"/>
      <c r="H1373" s="201"/>
      <c r="I1373" s="201"/>
      <c r="J1373" s="217"/>
      <c r="K1373" s="217"/>
      <c r="L1373" s="185"/>
      <c r="M1373" s="185"/>
      <c r="N1373" s="185"/>
      <c r="O1373" s="185"/>
      <c r="P1373" s="185"/>
      <c r="Q1373" s="185"/>
      <c r="R1373" s="168"/>
      <c r="S1373" s="168"/>
      <c r="U1373" s="170"/>
      <c r="V1373" s="171"/>
      <c r="W1373" s="171"/>
      <c r="X1373" s="171"/>
      <c r="Y1373" s="185"/>
      <c r="Z1373" s="185"/>
    </row>
    <row r="1374" spans="4:26" x14ac:dyDescent="0.25">
      <c r="D1374" s="175"/>
      <c r="E1374" s="175"/>
      <c r="H1374" s="201"/>
      <c r="I1374" s="201"/>
      <c r="J1374" s="217"/>
      <c r="K1374" s="217"/>
      <c r="L1374" s="185"/>
      <c r="M1374" s="185"/>
      <c r="N1374" s="185"/>
      <c r="O1374" s="185"/>
      <c r="P1374" s="185"/>
      <c r="Q1374" s="185"/>
      <c r="R1374" s="168"/>
      <c r="S1374" s="168"/>
      <c r="U1374" s="170"/>
      <c r="V1374" s="171"/>
      <c r="W1374" s="171"/>
      <c r="X1374" s="171"/>
      <c r="Y1374" s="185"/>
      <c r="Z1374" s="185"/>
    </row>
    <row r="1375" spans="4:26" x14ac:dyDescent="0.25">
      <c r="D1375" s="175"/>
      <c r="E1375" s="175"/>
      <c r="H1375" s="201"/>
      <c r="I1375" s="201"/>
      <c r="J1375" s="217"/>
      <c r="K1375" s="217"/>
      <c r="L1375" s="185"/>
      <c r="M1375" s="185"/>
      <c r="N1375" s="185"/>
      <c r="O1375" s="185"/>
      <c r="P1375" s="185"/>
      <c r="Q1375" s="185"/>
      <c r="R1375" s="168"/>
      <c r="S1375" s="168"/>
      <c r="U1375" s="170"/>
      <c r="V1375" s="171"/>
      <c r="W1375" s="171"/>
      <c r="X1375" s="171"/>
      <c r="Y1375" s="185"/>
      <c r="Z1375" s="185"/>
    </row>
    <row r="1376" spans="4:26" x14ac:dyDescent="0.25">
      <c r="D1376" s="175"/>
      <c r="E1376" s="175"/>
      <c r="H1376" s="201"/>
      <c r="I1376" s="201"/>
      <c r="J1376" s="217"/>
      <c r="K1376" s="217"/>
      <c r="L1376" s="185"/>
      <c r="M1376" s="185"/>
      <c r="N1376" s="185"/>
      <c r="O1376" s="185"/>
      <c r="P1376" s="185"/>
      <c r="Q1376" s="185"/>
      <c r="R1376" s="168"/>
      <c r="S1376" s="168"/>
      <c r="U1376" s="170"/>
      <c r="V1376" s="171"/>
      <c r="W1376" s="171"/>
      <c r="X1376" s="171"/>
      <c r="Y1376" s="185"/>
      <c r="Z1376" s="185"/>
    </row>
    <row r="1377" spans="4:26" x14ac:dyDescent="0.25">
      <c r="D1377" s="175"/>
      <c r="E1377" s="175"/>
      <c r="H1377" s="201"/>
      <c r="I1377" s="201"/>
      <c r="J1377" s="217"/>
      <c r="K1377" s="217"/>
      <c r="L1377" s="185"/>
      <c r="M1377" s="185"/>
      <c r="N1377" s="185"/>
      <c r="O1377" s="185"/>
      <c r="P1377" s="185"/>
      <c r="Q1377" s="185"/>
      <c r="R1377" s="168"/>
      <c r="S1377" s="168"/>
      <c r="U1377" s="170"/>
      <c r="V1377" s="171"/>
      <c r="W1377" s="171"/>
      <c r="X1377" s="171"/>
      <c r="Y1377" s="185"/>
      <c r="Z1377" s="185"/>
    </row>
    <row r="1378" spans="4:26" x14ac:dyDescent="0.25">
      <c r="D1378" s="175"/>
      <c r="E1378" s="175"/>
      <c r="H1378" s="201"/>
      <c r="I1378" s="201"/>
      <c r="J1378" s="217"/>
      <c r="K1378" s="217"/>
      <c r="L1378" s="185"/>
      <c r="M1378" s="185"/>
      <c r="N1378" s="185"/>
      <c r="O1378" s="185"/>
      <c r="P1378" s="185"/>
      <c r="Q1378" s="185"/>
      <c r="R1378" s="168"/>
      <c r="S1378" s="168"/>
      <c r="U1378" s="170"/>
      <c r="V1378" s="171"/>
      <c r="W1378" s="171"/>
      <c r="X1378" s="171"/>
      <c r="Y1378" s="185"/>
      <c r="Z1378" s="185"/>
    </row>
    <row r="1379" spans="4:26" x14ac:dyDescent="0.25">
      <c r="D1379" s="175"/>
      <c r="E1379" s="175"/>
      <c r="H1379" s="201"/>
      <c r="I1379" s="201"/>
      <c r="J1379" s="217"/>
      <c r="K1379" s="217"/>
      <c r="L1379" s="185"/>
      <c r="M1379" s="185"/>
      <c r="N1379" s="185"/>
      <c r="O1379" s="185"/>
      <c r="P1379" s="185"/>
      <c r="Q1379" s="185"/>
      <c r="R1379" s="168"/>
      <c r="S1379" s="168"/>
      <c r="U1379" s="170"/>
      <c r="V1379" s="171"/>
      <c r="W1379" s="171"/>
      <c r="X1379" s="171"/>
      <c r="Y1379" s="185"/>
      <c r="Z1379" s="185"/>
    </row>
    <row r="1380" spans="4:26" x14ac:dyDescent="0.25">
      <c r="D1380" s="175"/>
      <c r="E1380" s="175"/>
      <c r="H1380" s="201"/>
      <c r="I1380" s="201"/>
      <c r="J1380" s="217"/>
      <c r="K1380" s="217"/>
      <c r="L1380" s="185"/>
      <c r="M1380" s="185"/>
      <c r="N1380" s="185"/>
      <c r="O1380" s="185"/>
      <c r="P1380" s="185"/>
      <c r="Q1380" s="185"/>
      <c r="R1380" s="168"/>
      <c r="S1380" s="168"/>
      <c r="U1380" s="170"/>
      <c r="V1380" s="171"/>
      <c r="W1380" s="171"/>
      <c r="X1380" s="171"/>
      <c r="Y1380" s="185"/>
      <c r="Z1380" s="185"/>
    </row>
    <row r="1381" spans="4:26" x14ac:dyDescent="0.25">
      <c r="D1381" s="175"/>
      <c r="E1381" s="175"/>
      <c r="H1381" s="201"/>
      <c r="I1381" s="201"/>
      <c r="J1381" s="217"/>
      <c r="K1381" s="217"/>
      <c r="L1381" s="185"/>
      <c r="M1381" s="185"/>
      <c r="N1381" s="185"/>
      <c r="O1381" s="185"/>
      <c r="P1381" s="185"/>
      <c r="Q1381" s="185"/>
      <c r="R1381" s="168"/>
      <c r="S1381" s="168"/>
      <c r="U1381" s="170"/>
      <c r="V1381" s="171"/>
      <c r="W1381" s="171"/>
      <c r="X1381" s="171"/>
      <c r="Y1381" s="185"/>
      <c r="Z1381" s="185"/>
    </row>
    <row r="1382" spans="4:26" x14ac:dyDescent="0.25">
      <c r="D1382" s="175"/>
      <c r="E1382" s="175"/>
      <c r="H1382" s="201"/>
      <c r="I1382" s="201"/>
      <c r="J1382" s="217"/>
      <c r="K1382" s="217"/>
      <c r="L1382" s="185"/>
      <c r="M1382" s="185"/>
      <c r="N1382" s="185"/>
      <c r="O1382" s="185"/>
      <c r="P1382" s="185"/>
      <c r="Q1382" s="185"/>
      <c r="R1382" s="168"/>
      <c r="S1382" s="168"/>
      <c r="U1382" s="170"/>
      <c r="V1382" s="171"/>
      <c r="W1382" s="171"/>
      <c r="X1382" s="171"/>
      <c r="Y1382" s="185"/>
      <c r="Z1382" s="185"/>
    </row>
    <row r="1383" spans="4:26" x14ac:dyDescent="0.25">
      <c r="D1383" s="175"/>
      <c r="E1383" s="175"/>
      <c r="H1383" s="201"/>
      <c r="I1383" s="201"/>
      <c r="J1383" s="217"/>
      <c r="K1383" s="217"/>
      <c r="L1383" s="185"/>
      <c r="M1383" s="185"/>
      <c r="N1383" s="185"/>
      <c r="O1383" s="185"/>
      <c r="P1383" s="185"/>
      <c r="Q1383" s="185"/>
      <c r="R1383" s="168"/>
      <c r="S1383" s="168"/>
      <c r="U1383" s="170"/>
      <c r="V1383" s="171"/>
      <c r="W1383" s="171"/>
      <c r="X1383" s="171"/>
      <c r="Y1383" s="185"/>
      <c r="Z1383" s="185"/>
    </row>
    <row r="1384" spans="4:26" x14ac:dyDescent="0.25">
      <c r="D1384" s="175"/>
      <c r="E1384" s="175"/>
      <c r="H1384" s="201"/>
      <c r="I1384" s="201"/>
      <c r="J1384" s="217"/>
      <c r="K1384" s="217"/>
      <c r="L1384" s="185"/>
      <c r="M1384" s="185"/>
      <c r="N1384" s="185"/>
      <c r="O1384" s="185"/>
      <c r="P1384" s="185"/>
      <c r="Q1384" s="185"/>
      <c r="R1384" s="168"/>
      <c r="S1384" s="168"/>
      <c r="U1384" s="170"/>
      <c r="V1384" s="171"/>
      <c r="W1384" s="171"/>
      <c r="X1384" s="171"/>
      <c r="Y1384" s="185"/>
      <c r="Z1384" s="185"/>
    </row>
    <row r="1385" spans="4:26" x14ac:dyDescent="0.25">
      <c r="D1385" s="175"/>
      <c r="E1385" s="175"/>
      <c r="H1385" s="201"/>
      <c r="I1385" s="201"/>
      <c r="J1385" s="217"/>
      <c r="K1385" s="217"/>
      <c r="L1385" s="185"/>
      <c r="M1385" s="185"/>
      <c r="N1385" s="185"/>
      <c r="O1385" s="185"/>
      <c r="P1385" s="185"/>
      <c r="Q1385" s="185"/>
      <c r="R1385" s="168"/>
      <c r="S1385" s="168"/>
      <c r="U1385" s="170"/>
      <c r="V1385" s="171"/>
      <c r="W1385" s="171"/>
      <c r="X1385" s="171"/>
      <c r="Y1385" s="185"/>
      <c r="Z1385" s="185"/>
    </row>
    <row r="1386" spans="4:26" x14ac:dyDescent="0.25">
      <c r="D1386" s="175"/>
      <c r="E1386" s="175"/>
      <c r="H1386" s="201"/>
      <c r="I1386" s="201"/>
      <c r="J1386" s="217"/>
      <c r="K1386" s="217"/>
      <c r="L1386" s="185"/>
      <c r="M1386" s="185"/>
      <c r="N1386" s="185"/>
      <c r="O1386" s="185"/>
      <c r="P1386" s="185"/>
      <c r="Q1386" s="185"/>
      <c r="R1386" s="168"/>
      <c r="S1386" s="168"/>
      <c r="U1386" s="170"/>
      <c r="V1386" s="171"/>
      <c r="W1386" s="171"/>
      <c r="X1386" s="171"/>
      <c r="Y1386" s="185"/>
      <c r="Z1386" s="185"/>
    </row>
    <row r="1387" spans="4:26" x14ac:dyDescent="0.25">
      <c r="D1387" s="175"/>
      <c r="E1387" s="175"/>
      <c r="H1387" s="201"/>
      <c r="I1387" s="201"/>
      <c r="J1387" s="217"/>
      <c r="K1387" s="217"/>
      <c r="L1387" s="185"/>
      <c r="M1387" s="185"/>
      <c r="N1387" s="185"/>
      <c r="O1387" s="185"/>
      <c r="P1387" s="185"/>
      <c r="Q1387" s="185"/>
      <c r="R1387" s="168"/>
      <c r="S1387" s="168"/>
      <c r="U1387" s="170"/>
      <c r="V1387" s="171"/>
      <c r="W1387" s="171"/>
      <c r="X1387" s="171"/>
      <c r="Y1387" s="185"/>
      <c r="Z1387" s="185"/>
    </row>
    <row r="1388" spans="4:26" x14ac:dyDescent="0.25">
      <c r="D1388" s="175"/>
      <c r="E1388" s="175"/>
      <c r="H1388" s="201"/>
      <c r="I1388" s="201"/>
      <c r="J1388" s="217"/>
      <c r="K1388" s="217"/>
      <c r="L1388" s="185"/>
      <c r="M1388" s="185"/>
      <c r="N1388" s="185"/>
      <c r="O1388" s="185"/>
      <c r="P1388" s="185"/>
      <c r="Q1388" s="185"/>
      <c r="R1388" s="168"/>
      <c r="S1388" s="168"/>
      <c r="U1388" s="170"/>
      <c r="V1388" s="171"/>
      <c r="W1388" s="171"/>
      <c r="X1388" s="171"/>
      <c r="Y1388" s="185"/>
      <c r="Z1388" s="185"/>
    </row>
    <row r="1389" spans="4:26" x14ac:dyDescent="0.25">
      <c r="D1389" s="175"/>
      <c r="E1389" s="175"/>
      <c r="H1389" s="201"/>
      <c r="I1389" s="201"/>
      <c r="J1389" s="217"/>
      <c r="K1389" s="217"/>
      <c r="L1389" s="185"/>
      <c r="M1389" s="185"/>
      <c r="N1389" s="185"/>
      <c r="O1389" s="185"/>
      <c r="P1389" s="185"/>
      <c r="Q1389" s="185"/>
      <c r="R1389" s="168"/>
      <c r="S1389" s="168"/>
      <c r="U1389" s="170"/>
      <c r="V1389" s="171"/>
      <c r="W1389" s="171"/>
      <c r="X1389" s="171"/>
      <c r="Y1389" s="185"/>
      <c r="Z1389" s="185"/>
    </row>
    <row r="1390" spans="4:26" x14ac:dyDescent="0.25">
      <c r="D1390" s="175"/>
      <c r="E1390" s="175"/>
      <c r="H1390" s="201"/>
      <c r="I1390" s="201"/>
      <c r="J1390" s="217"/>
      <c r="K1390" s="217"/>
      <c r="L1390" s="185"/>
      <c r="M1390" s="185"/>
      <c r="N1390" s="185"/>
      <c r="O1390" s="185"/>
      <c r="P1390" s="185"/>
      <c r="Q1390" s="185"/>
      <c r="R1390" s="168"/>
      <c r="S1390" s="168"/>
      <c r="U1390" s="170"/>
      <c r="V1390" s="171"/>
      <c r="W1390" s="171"/>
      <c r="X1390" s="171"/>
      <c r="Y1390" s="185"/>
      <c r="Z1390" s="185"/>
    </row>
    <row r="1391" spans="4:26" x14ac:dyDescent="0.25">
      <c r="D1391" s="175"/>
      <c r="E1391" s="175"/>
      <c r="H1391" s="201"/>
      <c r="I1391" s="201"/>
      <c r="J1391" s="217"/>
      <c r="K1391" s="217"/>
      <c r="L1391" s="185"/>
      <c r="M1391" s="185"/>
      <c r="N1391" s="185"/>
      <c r="O1391" s="185"/>
      <c r="P1391" s="185"/>
      <c r="Q1391" s="185"/>
      <c r="R1391" s="168"/>
      <c r="S1391" s="168"/>
      <c r="U1391" s="170"/>
      <c r="V1391" s="171"/>
      <c r="W1391" s="171"/>
      <c r="X1391" s="171"/>
      <c r="Y1391" s="185"/>
      <c r="Z1391" s="185"/>
    </row>
    <row r="1392" spans="4:26" x14ac:dyDescent="0.25">
      <c r="D1392" s="175"/>
      <c r="E1392" s="175"/>
      <c r="H1392" s="201"/>
      <c r="I1392" s="201"/>
      <c r="J1392" s="217"/>
      <c r="K1392" s="217"/>
      <c r="L1392" s="185"/>
      <c r="M1392" s="185"/>
      <c r="N1392" s="185"/>
      <c r="O1392" s="185"/>
      <c r="P1392" s="185"/>
      <c r="Q1392" s="185"/>
      <c r="R1392" s="168"/>
      <c r="S1392" s="168"/>
      <c r="U1392" s="170"/>
      <c r="V1392" s="171"/>
      <c r="W1392" s="171"/>
      <c r="X1392" s="171"/>
      <c r="Y1392" s="185"/>
      <c r="Z1392" s="185"/>
    </row>
    <row r="1393" spans="4:26" x14ac:dyDescent="0.25">
      <c r="D1393" s="175"/>
      <c r="E1393" s="175"/>
      <c r="H1393" s="201"/>
      <c r="I1393" s="201"/>
      <c r="J1393" s="217"/>
      <c r="K1393" s="217"/>
      <c r="L1393" s="185"/>
      <c r="M1393" s="185"/>
      <c r="N1393" s="185"/>
      <c r="O1393" s="185"/>
      <c r="P1393" s="185"/>
      <c r="Q1393" s="185"/>
      <c r="R1393" s="168"/>
      <c r="S1393" s="168"/>
      <c r="U1393" s="170"/>
      <c r="V1393" s="171"/>
      <c r="W1393" s="171"/>
      <c r="X1393" s="171"/>
      <c r="Y1393" s="185"/>
      <c r="Z1393" s="185"/>
    </row>
    <row r="1394" spans="4:26" x14ac:dyDescent="0.25">
      <c r="D1394" s="175"/>
      <c r="E1394" s="175"/>
      <c r="H1394" s="201"/>
      <c r="I1394" s="201"/>
      <c r="J1394" s="217"/>
      <c r="K1394" s="217"/>
      <c r="L1394" s="185"/>
      <c r="M1394" s="185"/>
      <c r="N1394" s="185"/>
      <c r="O1394" s="185"/>
      <c r="P1394" s="185"/>
      <c r="Q1394" s="185"/>
      <c r="R1394" s="168"/>
      <c r="S1394" s="168"/>
      <c r="U1394" s="170"/>
      <c r="V1394" s="171"/>
      <c r="W1394" s="171"/>
      <c r="X1394" s="171"/>
      <c r="Y1394" s="185"/>
      <c r="Z1394" s="185"/>
    </row>
    <row r="1395" spans="4:26" x14ac:dyDescent="0.25">
      <c r="D1395" s="175"/>
      <c r="E1395" s="175"/>
      <c r="H1395" s="201"/>
      <c r="I1395" s="201"/>
      <c r="J1395" s="217"/>
      <c r="K1395" s="217"/>
      <c r="L1395" s="185"/>
      <c r="M1395" s="185"/>
      <c r="N1395" s="185"/>
      <c r="O1395" s="185"/>
      <c r="P1395" s="185"/>
      <c r="Q1395" s="185"/>
      <c r="R1395" s="168"/>
      <c r="S1395" s="168"/>
      <c r="U1395" s="170"/>
      <c r="V1395" s="171"/>
      <c r="W1395" s="171"/>
      <c r="X1395" s="171"/>
      <c r="Y1395" s="185"/>
      <c r="Z1395" s="185"/>
    </row>
    <row r="1396" spans="4:26" x14ac:dyDescent="0.25">
      <c r="D1396" s="175"/>
      <c r="E1396" s="175"/>
      <c r="H1396" s="201"/>
      <c r="I1396" s="201"/>
      <c r="J1396" s="217"/>
      <c r="K1396" s="217"/>
      <c r="L1396" s="185"/>
      <c r="M1396" s="185"/>
      <c r="N1396" s="185"/>
      <c r="O1396" s="185"/>
      <c r="P1396" s="185"/>
      <c r="Q1396" s="185"/>
      <c r="R1396" s="168"/>
      <c r="S1396" s="168"/>
      <c r="U1396" s="170"/>
      <c r="V1396" s="171"/>
      <c r="W1396" s="171"/>
      <c r="X1396" s="171"/>
      <c r="Y1396" s="185"/>
      <c r="Z1396" s="185"/>
    </row>
    <row r="1397" spans="4:26" x14ac:dyDescent="0.25">
      <c r="D1397" s="175"/>
      <c r="E1397" s="175"/>
      <c r="H1397" s="201"/>
      <c r="I1397" s="201"/>
      <c r="J1397" s="217"/>
      <c r="K1397" s="217"/>
      <c r="L1397" s="185"/>
      <c r="M1397" s="185"/>
      <c r="N1397" s="185"/>
      <c r="O1397" s="185"/>
      <c r="P1397" s="185"/>
      <c r="Q1397" s="185"/>
      <c r="R1397" s="168"/>
      <c r="S1397" s="168"/>
      <c r="U1397" s="170"/>
      <c r="V1397" s="171"/>
      <c r="W1397" s="171"/>
      <c r="X1397" s="171"/>
      <c r="Y1397" s="185"/>
      <c r="Z1397" s="185"/>
    </row>
    <row r="1398" spans="4:26" x14ac:dyDescent="0.25">
      <c r="D1398" s="175"/>
      <c r="E1398" s="175"/>
      <c r="H1398" s="201"/>
      <c r="I1398" s="201"/>
      <c r="J1398" s="217"/>
      <c r="K1398" s="217"/>
      <c r="L1398" s="185"/>
      <c r="M1398" s="185"/>
      <c r="N1398" s="185"/>
      <c r="O1398" s="185"/>
      <c r="P1398" s="185"/>
      <c r="Q1398" s="185"/>
      <c r="R1398" s="168"/>
      <c r="S1398" s="168"/>
      <c r="U1398" s="170"/>
      <c r="V1398" s="171"/>
      <c r="W1398" s="171"/>
      <c r="X1398" s="171"/>
      <c r="Y1398" s="185"/>
      <c r="Z1398" s="185"/>
    </row>
    <row r="1399" spans="4:26" x14ac:dyDescent="0.25">
      <c r="D1399" s="175"/>
      <c r="E1399" s="175"/>
      <c r="H1399" s="201"/>
      <c r="I1399" s="201"/>
      <c r="J1399" s="217"/>
      <c r="K1399" s="217"/>
      <c r="L1399" s="185"/>
      <c r="M1399" s="185"/>
      <c r="N1399" s="185"/>
      <c r="O1399" s="185"/>
      <c r="P1399" s="185"/>
      <c r="Q1399" s="185"/>
      <c r="R1399" s="168"/>
      <c r="S1399" s="168"/>
      <c r="U1399" s="170"/>
      <c r="V1399" s="171"/>
      <c r="W1399" s="171"/>
      <c r="X1399" s="171"/>
      <c r="Y1399" s="185"/>
      <c r="Z1399" s="185"/>
    </row>
    <row r="1400" spans="4:26" x14ac:dyDescent="0.25">
      <c r="D1400" s="175"/>
      <c r="E1400" s="175"/>
      <c r="H1400" s="201"/>
      <c r="I1400" s="201"/>
      <c r="J1400" s="217"/>
      <c r="K1400" s="217"/>
      <c r="L1400" s="185"/>
      <c r="M1400" s="185"/>
      <c r="N1400" s="185"/>
      <c r="O1400" s="185"/>
      <c r="P1400" s="185"/>
      <c r="Q1400" s="185"/>
      <c r="R1400" s="168"/>
      <c r="S1400" s="168"/>
      <c r="U1400" s="170"/>
      <c r="V1400" s="171"/>
      <c r="W1400" s="171"/>
      <c r="X1400" s="171"/>
      <c r="Y1400" s="185"/>
      <c r="Z1400" s="185"/>
    </row>
    <row r="1401" spans="4:26" x14ac:dyDescent="0.25">
      <c r="D1401" s="175"/>
      <c r="E1401" s="175"/>
      <c r="H1401" s="201"/>
      <c r="I1401" s="201"/>
      <c r="J1401" s="217"/>
      <c r="K1401" s="217"/>
      <c r="L1401" s="185"/>
      <c r="M1401" s="185"/>
      <c r="N1401" s="185"/>
      <c r="O1401" s="185"/>
      <c r="P1401" s="185"/>
      <c r="Q1401" s="185"/>
      <c r="R1401" s="168"/>
      <c r="S1401" s="168"/>
      <c r="U1401" s="170"/>
      <c r="V1401" s="171"/>
      <c r="W1401" s="171"/>
      <c r="X1401" s="171"/>
      <c r="Y1401" s="185"/>
      <c r="Z1401" s="185"/>
    </row>
    <row r="1402" spans="4:26" x14ac:dyDescent="0.25">
      <c r="D1402" s="175"/>
      <c r="E1402" s="175"/>
      <c r="H1402" s="201"/>
      <c r="I1402" s="201"/>
      <c r="J1402" s="217"/>
      <c r="K1402" s="217"/>
      <c r="L1402" s="185"/>
      <c r="M1402" s="185"/>
      <c r="N1402" s="185"/>
      <c r="O1402" s="185"/>
      <c r="P1402" s="185"/>
      <c r="Q1402" s="185"/>
      <c r="R1402" s="168"/>
      <c r="S1402" s="168"/>
      <c r="U1402" s="170"/>
      <c r="V1402" s="171"/>
      <c r="W1402" s="171"/>
      <c r="X1402" s="171"/>
      <c r="Y1402" s="185"/>
      <c r="Z1402" s="185"/>
    </row>
    <row r="1403" spans="4:26" x14ac:dyDescent="0.25">
      <c r="D1403" s="175"/>
      <c r="E1403" s="175"/>
      <c r="H1403" s="201"/>
      <c r="I1403" s="201"/>
      <c r="J1403" s="217"/>
      <c r="K1403" s="217"/>
      <c r="L1403" s="185"/>
      <c r="M1403" s="185"/>
      <c r="N1403" s="185"/>
      <c r="O1403" s="185"/>
      <c r="P1403" s="185"/>
      <c r="Q1403" s="185"/>
      <c r="R1403" s="168"/>
      <c r="S1403" s="168"/>
      <c r="U1403" s="170"/>
      <c r="V1403" s="171"/>
      <c r="W1403" s="171"/>
      <c r="X1403" s="171"/>
      <c r="Y1403" s="185"/>
      <c r="Z1403" s="185"/>
    </row>
    <row r="1404" spans="4:26" x14ac:dyDescent="0.25">
      <c r="D1404" s="175"/>
      <c r="E1404" s="175"/>
      <c r="H1404" s="201"/>
      <c r="I1404" s="201"/>
      <c r="J1404" s="217"/>
      <c r="K1404" s="217"/>
      <c r="L1404" s="185"/>
      <c r="M1404" s="185"/>
      <c r="N1404" s="185"/>
      <c r="O1404" s="185"/>
      <c r="P1404" s="185"/>
      <c r="Q1404" s="185"/>
      <c r="R1404" s="168"/>
      <c r="S1404" s="168"/>
      <c r="U1404" s="170"/>
      <c r="V1404" s="171"/>
      <c r="W1404" s="171"/>
      <c r="X1404" s="171"/>
      <c r="Y1404" s="185"/>
      <c r="Z1404" s="185"/>
    </row>
    <row r="1405" spans="4:26" x14ac:dyDescent="0.25">
      <c r="D1405" s="175"/>
      <c r="E1405" s="175"/>
      <c r="H1405" s="201"/>
      <c r="I1405" s="201"/>
      <c r="J1405" s="217"/>
      <c r="K1405" s="217"/>
      <c r="L1405" s="185"/>
      <c r="M1405" s="185"/>
      <c r="N1405" s="185"/>
      <c r="O1405" s="185"/>
      <c r="P1405" s="185"/>
      <c r="Q1405" s="185"/>
      <c r="R1405" s="168"/>
      <c r="S1405" s="168"/>
      <c r="U1405" s="170"/>
      <c r="V1405" s="171"/>
      <c r="W1405" s="171"/>
      <c r="X1405" s="171"/>
      <c r="Y1405" s="185"/>
      <c r="Z1405" s="185"/>
    </row>
    <row r="1406" spans="4:26" x14ac:dyDescent="0.25">
      <c r="D1406" s="175"/>
      <c r="E1406" s="175"/>
      <c r="H1406" s="201"/>
      <c r="I1406" s="201"/>
      <c r="J1406" s="217"/>
      <c r="K1406" s="217"/>
      <c r="L1406" s="185"/>
      <c r="M1406" s="185"/>
      <c r="N1406" s="185"/>
      <c r="O1406" s="185"/>
      <c r="P1406" s="185"/>
      <c r="Q1406" s="185"/>
      <c r="R1406" s="168"/>
      <c r="S1406" s="168"/>
      <c r="U1406" s="170"/>
      <c r="V1406" s="171"/>
      <c r="W1406" s="171"/>
      <c r="X1406" s="171"/>
      <c r="Y1406" s="185"/>
      <c r="Z1406" s="185"/>
    </row>
    <row r="1407" spans="4:26" x14ac:dyDescent="0.25">
      <c r="D1407" s="175"/>
      <c r="E1407" s="175"/>
      <c r="H1407" s="201"/>
      <c r="I1407" s="201"/>
      <c r="J1407" s="217"/>
      <c r="K1407" s="217"/>
      <c r="L1407" s="185"/>
      <c r="M1407" s="185"/>
      <c r="N1407" s="185"/>
      <c r="O1407" s="185"/>
      <c r="P1407" s="185"/>
      <c r="Q1407" s="185"/>
      <c r="R1407" s="168"/>
      <c r="S1407" s="168"/>
      <c r="U1407" s="170"/>
      <c r="V1407" s="171"/>
      <c r="W1407" s="171"/>
      <c r="X1407" s="171"/>
      <c r="Y1407" s="185"/>
      <c r="Z1407" s="185"/>
    </row>
    <row r="1408" spans="4:26" x14ac:dyDescent="0.25">
      <c r="D1408" s="175"/>
      <c r="E1408" s="175"/>
      <c r="H1408" s="201"/>
      <c r="I1408" s="201"/>
      <c r="J1408" s="217"/>
      <c r="K1408" s="217"/>
      <c r="L1408" s="185"/>
      <c r="M1408" s="185"/>
      <c r="N1408" s="185"/>
      <c r="O1408" s="185"/>
      <c r="P1408" s="185"/>
      <c r="Q1408" s="185"/>
      <c r="R1408" s="168"/>
      <c r="S1408" s="168"/>
      <c r="U1408" s="170"/>
      <c r="V1408" s="171"/>
      <c r="W1408" s="171"/>
      <c r="X1408" s="171"/>
      <c r="Y1408" s="185"/>
      <c r="Z1408" s="185"/>
    </row>
    <row r="1409" spans="1:26" x14ac:dyDescent="0.25">
      <c r="A1409" s="167"/>
      <c r="D1409" s="175"/>
      <c r="E1409" s="175"/>
      <c r="H1409" s="201"/>
      <c r="I1409" s="201"/>
      <c r="J1409" s="217"/>
      <c r="K1409" s="217"/>
      <c r="L1409" s="185"/>
      <c r="M1409" s="185"/>
      <c r="N1409" s="185"/>
      <c r="O1409" s="185"/>
      <c r="P1409" s="185"/>
      <c r="Q1409" s="185"/>
      <c r="R1409" s="168"/>
      <c r="S1409" s="168"/>
      <c r="U1409" s="170"/>
      <c r="V1409" s="171"/>
      <c r="W1409" s="171"/>
      <c r="X1409" s="171"/>
      <c r="Y1409" s="185"/>
      <c r="Z1409" s="185"/>
    </row>
    <row r="1410" spans="1:26" x14ac:dyDescent="0.25">
      <c r="A1410" s="167"/>
      <c r="D1410" s="175"/>
      <c r="E1410" s="175"/>
      <c r="H1410" s="201"/>
      <c r="I1410" s="201"/>
      <c r="J1410" s="217"/>
      <c r="K1410" s="217"/>
      <c r="L1410" s="185"/>
      <c r="M1410" s="185"/>
      <c r="N1410" s="185"/>
      <c r="O1410" s="185"/>
      <c r="P1410" s="185"/>
      <c r="Q1410" s="185"/>
      <c r="R1410" s="168"/>
      <c r="S1410" s="168"/>
      <c r="U1410" s="170"/>
      <c r="V1410" s="171"/>
      <c r="W1410" s="171"/>
      <c r="X1410" s="171"/>
      <c r="Y1410" s="185"/>
      <c r="Z1410" s="185"/>
    </row>
    <row r="1411" spans="1:26" x14ac:dyDescent="0.25">
      <c r="A1411" s="167"/>
      <c r="D1411" s="175"/>
      <c r="E1411" s="175"/>
      <c r="H1411" s="201"/>
      <c r="I1411" s="201"/>
      <c r="J1411" s="217"/>
      <c r="K1411" s="217"/>
      <c r="L1411" s="185"/>
      <c r="M1411" s="185"/>
      <c r="N1411" s="185"/>
      <c r="O1411" s="185"/>
      <c r="P1411" s="185"/>
      <c r="Q1411" s="185"/>
      <c r="R1411" s="168"/>
      <c r="S1411" s="168"/>
      <c r="U1411" s="170"/>
      <c r="V1411" s="171"/>
      <c r="W1411" s="171"/>
      <c r="X1411" s="171"/>
      <c r="Y1411" s="185"/>
      <c r="Z1411" s="185"/>
    </row>
    <row r="1412" spans="1:26" x14ac:dyDescent="0.25">
      <c r="A1412" s="167"/>
      <c r="D1412" s="175"/>
      <c r="E1412" s="175"/>
      <c r="H1412" s="201"/>
      <c r="I1412" s="201"/>
      <c r="J1412" s="217"/>
      <c r="K1412" s="217"/>
      <c r="L1412" s="185"/>
      <c r="M1412" s="185"/>
      <c r="N1412" s="185"/>
      <c r="O1412" s="185"/>
      <c r="P1412" s="185"/>
      <c r="Q1412" s="185"/>
      <c r="R1412" s="168"/>
      <c r="S1412" s="168"/>
      <c r="U1412" s="170"/>
      <c r="V1412" s="171"/>
      <c r="W1412" s="171"/>
      <c r="X1412" s="171"/>
      <c r="Y1412" s="185"/>
      <c r="Z1412" s="185"/>
    </row>
    <row r="1413" spans="1:26" x14ac:dyDescent="0.25">
      <c r="A1413" s="167"/>
      <c r="D1413" s="175"/>
      <c r="E1413" s="175"/>
      <c r="H1413" s="201"/>
      <c r="I1413" s="201"/>
      <c r="J1413" s="217"/>
      <c r="K1413" s="217"/>
      <c r="L1413" s="185"/>
      <c r="M1413" s="185"/>
      <c r="N1413" s="185"/>
      <c r="O1413" s="185"/>
      <c r="P1413" s="185"/>
      <c r="Q1413" s="185"/>
      <c r="R1413" s="168"/>
      <c r="S1413" s="168"/>
      <c r="U1413" s="170"/>
      <c r="V1413" s="171"/>
      <c r="W1413" s="171"/>
      <c r="X1413" s="171"/>
      <c r="Y1413" s="185"/>
      <c r="Z1413" s="185"/>
    </row>
    <row r="1414" spans="1:26" x14ac:dyDescent="0.25">
      <c r="A1414" s="167"/>
      <c r="D1414" s="175"/>
      <c r="E1414" s="175"/>
      <c r="H1414" s="201"/>
      <c r="I1414" s="201"/>
      <c r="J1414" s="217"/>
      <c r="K1414" s="217"/>
      <c r="L1414" s="185"/>
      <c r="M1414" s="185"/>
      <c r="N1414" s="185"/>
      <c r="O1414" s="185"/>
      <c r="P1414" s="185"/>
      <c r="Q1414" s="185"/>
      <c r="R1414" s="168"/>
      <c r="S1414" s="168"/>
      <c r="U1414" s="170"/>
      <c r="V1414" s="171"/>
      <c r="W1414" s="171"/>
      <c r="X1414" s="171"/>
      <c r="Y1414" s="185"/>
      <c r="Z1414" s="185"/>
    </row>
    <row r="1415" spans="1:26" x14ac:dyDescent="0.25">
      <c r="A1415" s="167"/>
      <c r="D1415" s="175"/>
      <c r="E1415" s="175"/>
      <c r="H1415" s="201"/>
      <c r="I1415" s="201"/>
      <c r="J1415" s="217"/>
      <c r="K1415" s="217"/>
      <c r="L1415" s="185"/>
      <c r="M1415" s="185"/>
      <c r="N1415" s="185"/>
      <c r="O1415" s="185"/>
      <c r="P1415" s="185"/>
      <c r="Q1415" s="185"/>
      <c r="R1415" s="168"/>
      <c r="S1415" s="168"/>
      <c r="U1415" s="170"/>
      <c r="V1415" s="171"/>
      <c r="W1415" s="171"/>
      <c r="X1415" s="171"/>
      <c r="Y1415" s="185"/>
      <c r="Z1415" s="185"/>
    </row>
    <row r="1416" spans="1:26" x14ac:dyDescent="0.25">
      <c r="A1416" s="167"/>
      <c r="D1416" s="175"/>
      <c r="E1416" s="175"/>
      <c r="H1416" s="201"/>
      <c r="I1416" s="201"/>
      <c r="J1416" s="217"/>
      <c r="K1416" s="217"/>
      <c r="L1416" s="185"/>
      <c r="M1416" s="185"/>
      <c r="N1416" s="185"/>
      <c r="O1416" s="185"/>
      <c r="P1416" s="185"/>
      <c r="Q1416" s="185"/>
      <c r="R1416" s="168"/>
      <c r="S1416" s="168"/>
      <c r="U1416" s="170"/>
      <c r="V1416" s="171"/>
      <c r="W1416" s="171"/>
      <c r="X1416" s="171"/>
      <c r="Y1416" s="185"/>
      <c r="Z1416" s="185"/>
    </row>
    <row r="1417" spans="1:26" x14ac:dyDescent="0.25">
      <c r="A1417" s="167"/>
      <c r="D1417" s="175"/>
      <c r="E1417" s="175"/>
      <c r="H1417" s="201"/>
      <c r="I1417" s="201"/>
      <c r="J1417" s="217"/>
      <c r="K1417" s="217"/>
      <c r="L1417" s="185"/>
      <c r="M1417" s="185"/>
      <c r="N1417" s="185"/>
      <c r="O1417" s="185"/>
      <c r="P1417" s="185"/>
      <c r="Q1417" s="185"/>
      <c r="R1417" s="168"/>
      <c r="S1417" s="168"/>
      <c r="U1417" s="170"/>
      <c r="V1417" s="171"/>
      <c r="W1417" s="171"/>
      <c r="X1417" s="171"/>
      <c r="Y1417" s="185"/>
      <c r="Z1417" s="185"/>
    </row>
    <row r="1418" spans="1:26" x14ac:dyDescent="0.25">
      <c r="A1418" s="167"/>
      <c r="D1418" s="175"/>
      <c r="E1418" s="175"/>
      <c r="H1418" s="201"/>
      <c r="I1418" s="201"/>
      <c r="J1418" s="217"/>
      <c r="K1418" s="217"/>
      <c r="L1418" s="185"/>
      <c r="M1418" s="185"/>
      <c r="N1418" s="185"/>
      <c r="O1418" s="185"/>
      <c r="P1418" s="185"/>
      <c r="Q1418" s="185"/>
      <c r="R1418" s="168"/>
      <c r="S1418" s="168"/>
      <c r="U1418" s="170"/>
      <c r="V1418" s="171"/>
      <c r="W1418" s="171"/>
      <c r="X1418" s="171"/>
      <c r="Y1418" s="185"/>
      <c r="Z1418" s="185"/>
    </row>
    <row r="1419" spans="1:26" x14ac:dyDescent="0.25">
      <c r="A1419" s="167"/>
      <c r="D1419" s="175"/>
      <c r="E1419" s="175"/>
      <c r="H1419" s="201"/>
      <c r="I1419" s="201"/>
      <c r="J1419" s="217"/>
      <c r="K1419" s="217"/>
      <c r="L1419" s="185"/>
      <c r="M1419" s="185"/>
      <c r="N1419" s="185"/>
      <c r="O1419" s="185"/>
      <c r="P1419" s="185"/>
      <c r="Q1419" s="185"/>
      <c r="R1419" s="168"/>
      <c r="S1419" s="168"/>
      <c r="U1419" s="170"/>
      <c r="V1419" s="171"/>
      <c r="W1419" s="171"/>
      <c r="X1419" s="171"/>
      <c r="Y1419" s="185"/>
      <c r="Z1419" s="185"/>
    </row>
    <row r="1420" spans="1:26" x14ac:dyDescent="0.25">
      <c r="A1420" s="167"/>
      <c r="D1420" s="175"/>
      <c r="E1420" s="175"/>
      <c r="H1420" s="201"/>
      <c r="I1420" s="201"/>
      <c r="J1420" s="217"/>
      <c r="K1420" s="217"/>
      <c r="L1420" s="185"/>
      <c r="M1420" s="185"/>
      <c r="N1420" s="185"/>
      <c r="O1420" s="185"/>
      <c r="P1420" s="185"/>
      <c r="Q1420" s="185"/>
      <c r="R1420" s="168"/>
      <c r="S1420" s="168"/>
      <c r="U1420" s="170"/>
      <c r="V1420" s="171"/>
      <c r="W1420" s="171"/>
      <c r="X1420" s="171"/>
      <c r="Y1420" s="185"/>
      <c r="Z1420" s="185"/>
    </row>
    <row r="1421" spans="1:26" x14ac:dyDescent="0.25">
      <c r="A1421" s="167"/>
      <c r="D1421" s="175"/>
      <c r="E1421" s="175"/>
      <c r="H1421" s="201"/>
      <c r="I1421" s="201"/>
      <c r="J1421" s="217"/>
      <c r="K1421" s="217"/>
      <c r="L1421" s="185"/>
      <c r="M1421" s="185"/>
      <c r="N1421" s="185"/>
      <c r="O1421" s="185"/>
      <c r="P1421" s="185"/>
      <c r="Q1421" s="185"/>
      <c r="R1421" s="168"/>
      <c r="S1421" s="168"/>
      <c r="U1421" s="170"/>
      <c r="V1421" s="171"/>
      <c r="W1421" s="171"/>
      <c r="X1421" s="171"/>
      <c r="Y1421" s="185"/>
      <c r="Z1421" s="185"/>
    </row>
    <row r="1422" spans="1:26" x14ac:dyDescent="0.25">
      <c r="A1422" s="167"/>
      <c r="D1422" s="175"/>
      <c r="E1422" s="175"/>
      <c r="H1422" s="201"/>
      <c r="I1422" s="201"/>
      <c r="J1422" s="217"/>
      <c r="K1422" s="217"/>
      <c r="L1422" s="185"/>
      <c r="M1422" s="185"/>
      <c r="N1422" s="185"/>
      <c r="O1422" s="185"/>
      <c r="P1422" s="185"/>
      <c r="Q1422" s="185"/>
      <c r="R1422" s="168"/>
      <c r="S1422" s="168"/>
      <c r="U1422" s="170"/>
      <c r="V1422" s="171"/>
      <c r="W1422" s="171"/>
      <c r="X1422" s="171"/>
      <c r="Y1422" s="185"/>
      <c r="Z1422" s="185"/>
    </row>
    <row r="1423" spans="1:26" x14ac:dyDescent="0.25">
      <c r="A1423" s="167"/>
      <c r="D1423" s="175"/>
      <c r="E1423" s="175"/>
      <c r="H1423" s="201"/>
      <c r="I1423" s="201"/>
      <c r="J1423" s="217"/>
      <c r="K1423" s="217"/>
      <c r="L1423" s="185"/>
      <c r="M1423" s="185"/>
      <c r="N1423" s="185"/>
      <c r="O1423" s="185"/>
      <c r="P1423" s="185"/>
      <c r="Q1423" s="185"/>
      <c r="R1423" s="168"/>
      <c r="S1423" s="168"/>
      <c r="U1423" s="170"/>
      <c r="V1423" s="171"/>
      <c r="W1423" s="171"/>
      <c r="X1423" s="171"/>
      <c r="Y1423" s="185"/>
      <c r="Z1423" s="185"/>
    </row>
    <row r="1424" spans="1:26" x14ac:dyDescent="0.25">
      <c r="D1424" s="175"/>
      <c r="E1424" s="175"/>
      <c r="H1424" s="201"/>
      <c r="I1424" s="201"/>
      <c r="J1424" s="217"/>
      <c r="K1424" s="217"/>
      <c r="L1424" s="185"/>
      <c r="M1424" s="185"/>
      <c r="N1424" s="185"/>
      <c r="O1424" s="185"/>
      <c r="P1424" s="185"/>
      <c r="Q1424" s="185"/>
      <c r="R1424" s="168"/>
      <c r="S1424" s="168"/>
      <c r="U1424" s="170"/>
      <c r="V1424" s="171"/>
      <c r="W1424" s="171"/>
      <c r="X1424" s="171"/>
      <c r="Y1424" s="185"/>
      <c r="Z1424" s="185"/>
    </row>
    <row r="1425" spans="4:26" x14ac:dyDescent="0.25">
      <c r="D1425" s="175"/>
      <c r="E1425" s="175"/>
      <c r="H1425" s="201"/>
      <c r="I1425" s="201"/>
      <c r="J1425" s="217"/>
      <c r="K1425" s="217"/>
      <c r="L1425" s="185"/>
      <c r="M1425" s="185"/>
      <c r="N1425" s="185"/>
      <c r="O1425" s="185"/>
      <c r="P1425" s="185"/>
      <c r="Q1425" s="185"/>
      <c r="R1425" s="168"/>
      <c r="S1425" s="168"/>
      <c r="U1425" s="170"/>
      <c r="V1425" s="171"/>
      <c r="W1425" s="171"/>
      <c r="X1425" s="171"/>
      <c r="Y1425" s="185"/>
      <c r="Z1425" s="185"/>
    </row>
    <row r="1426" spans="4:26" x14ac:dyDescent="0.25">
      <c r="D1426" s="175"/>
      <c r="E1426" s="175"/>
      <c r="H1426" s="201"/>
      <c r="I1426" s="201"/>
      <c r="J1426" s="217"/>
      <c r="K1426" s="217"/>
      <c r="L1426" s="185"/>
      <c r="M1426" s="185"/>
      <c r="N1426" s="185"/>
      <c r="O1426" s="185"/>
      <c r="P1426" s="185"/>
      <c r="Q1426" s="185"/>
      <c r="R1426" s="168"/>
      <c r="S1426" s="168"/>
      <c r="U1426" s="170"/>
      <c r="V1426" s="171"/>
      <c r="W1426" s="171"/>
      <c r="X1426" s="171"/>
      <c r="Y1426" s="185"/>
      <c r="Z1426" s="185"/>
    </row>
    <row r="1427" spans="4:26" x14ac:dyDescent="0.25">
      <c r="D1427" s="175"/>
      <c r="E1427" s="175"/>
      <c r="H1427" s="201"/>
      <c r="I1427" s="201"/>
      <c r="J1427" s="217"/>
      <c r="K1427" s="217"/>
      <c r="L1427" s="185"/>
      <c r="M1427" s="185"/>
      <c r="N1427" s="185"/>
      <c r="O1427" s="185"/>
      <c r="P1427" s="185"/>
      <c r="Q1427" s="185"/>
      <c r="R1427" s="168"/>
      <c r="S1427" s="168"/>
      <c r="U1427" s="170"/>
      <c r="V1427" s="171"/>
      <c r="W1427" s="171"/>
      <c r="X1427" s="171"/>
      <c r="Y1427" s="185"/>
      <c r="Z1427" s="185"/>
    </row>
    <row r="1428" spans="4:26" x14ac:dyDescent="0.25">
      <c r="D1428" s="175"/>
      <c r="E1428" s="175"/>
      <c r="H1428" s="201"/>
      <c r="I1428" s="201"/>
      <c r="J1428" s="217"/>
      <c r="K1428" s="217"/>
      <c r="L1428" s="185"/>
      <c r="M1428" s="185"/>
      <c r="N1428" s="185"/>
      <c r="O1428" s="185"/>
      <c r="P1428" s="185"/>
      <c r="Q1428" s="185"/>
      <c r="R1428" s="168"/>
      <c r="S1428" s="168"/>
      <c r="U1428" s="170"/>
      <c r="V1428" s="171"/>
      <c r="W1428" s="171"/>
      <c r="X1428" s="171"/>
      <c r="Y1428" s="185"/>
      <c r="Z1428" s="185"/>
    </row>
    <row r="1429" spans="4:26" x14ac:dyDescent="0.25">
      <c r="D1429" s="175"/>
      <c r="E1429" s="175"/>
      <c r="H1429" s="201"/>
      <c r="I1429" s="201"/>
      <c r="J1429" s="217"/>
      <c r="K1429" s="217"/>
      <c r="L1429" s="185"/>
      <c r="M1429" s="185"/>
      <c r="N1429" s="185"/>
      <c r="O1429" s="185"/>
      <c r="P1429" s="185"/>
      <c r="Q1429" s="185"/>
      <c r="R1429" s="168"/>
      <c r="S1429" s="168"/>
      <c r="U1429" s="170"/>
      <c r="V1429" s="171"/>
      <c r="W1429" s="171"/>
      <c r="X1429" s="171"/>
      <c r="Y1429" s="185"/>
      <c r="Z1429" s="185"/>
    </row>
    <row r="1430" spans="4:26" x14ac:dyDescent="0.25">
      <c r="D1430" s="175"/>
      <c r="E1430" s="175"/>
      <c r="H1430" s="201"/>
      <c r="I1430" s="201"/>
      <c r="J1430" s="217"/>
      <c r="K1430" s="217"/>
      <c r="L1430" s="185"/>
      <c r="M1430" s="185"/>
      <c r="N1430" s="185"/>
      <c r="O1430" s="185"/>
      <c r="P1430" s="185"/>
      <c r="Q1430" s="185"/>
      <c r="R1430" s="168"/>
      <c r="S1430" s="168"/>
      <c r="U1430" s="170"/>
      <c r="V1430" s="171"/>
      <c r="W1430" s="171"/>
      <c r="X1430" s="171"/>
      <c r="Y1430" s="185"/>
      <c r="Z1430" s="185"/>
    </row>
    <row r="1431" spans="4:26" x14ac:dyDescent="0.25">
      <c r="D1431" s="175"/>
      <c r="E1431" s="175"/>
      <c r="H1431" s="201"/>
      <c r="I1431" s="201"/>
      <c r="J1431" s="217"/>
      <c r="K1431" s="217"/>
      <c r="L1431" s="185"/>
      <c r="M1431" s="185"/>
      <c r="N1431" s="185"/>
      <c r="O1431" s="185"/>
      <c r="P1431" s="185"/>
      <c r="Q1431" s="185"/>
      <c r="R1431" s="168"/>
      <c r="S1431" s="168"/>
      <c r="U1431" s="170"/>
      <c r="V1431" s="171"/>
      <c r="W1431" s="171"/>
      <c r="X1431" s="171"/>
      <c r="Y1431" s="185"/>
      <c r="Z1431" s="185"/>
    </row>
    <row r="1432" spans="4:26" x14ac:dyDescent="0.25">
      <c r="D1432" s="175"/>
      <c r="E1432" s="175"/>
      <c r="H1432" s="201"/>
      <c r="I1432" s="201"/>
      <c r="J1432" s="217"/>
      <c r="K1432" s="217"/>
      <c r="L1432" s="185"/>
      <c r="M1432" s="185"/>
      <c r="N1432" s="185"/>
      <c r="O1432" s="185"/>
      <c r="P1432" s="185"/>
      <c r="Q1432" s="185"/>
      <c r="R1432" s="168"/>
      <c r="S1432" s="168"/>
      <c r="U1432" s="170"/>
      <c r="V1432" s="171"/>
      <c r="W1432" s="171"/>
      <c r="X1432" s="171"/>
      <c r="Y1432" s="185"/>
      <c r="Z1432" s="185"/>
    </row>
    <row r="1433" spans="4:26" x14ac:dyDescent="0.25">
      <c r="D1433" s="175"/>
      <c r="E1433" s="175"/>
      <c r="H1433" s="201"/>
      <c r="I1433" s="201"/>
      <c r="J1433" s="217"/>
      <c r="K1433" s="217"/>
      <c r="L1433" s="185"/>
      <c r="M1433" s="185"/>
      <c r="N1433" s="185"/>
      <c r="O1433" s="185"/>
      <c r="P1433" s="185"/>
      <c r="Q1433" s="185"/>
      <c r="R1433" s="168"/>
      <c r="S1433" s="168"/>
      <c r="U1433" s="170"/>
      <c r="V1433" s="171"/>
      <c r="W1433" s="171"/>
      <c r="X1433" s="171"/>
      <c r="Y1433" s="185"/>
      <c r="Z1433" s="185"/>
    </row>
    <row r="1434" spans="4:26" x14ac:dyDescent="0.25">
      <c r="D1434" s="175"/>
      <c r="E1434" s="175"/>
      <c r="H1434" s="201"/>
      <c r="I1434" s="201"/>
      <c r="J1434" s="217"/>
      <c r="K1434" s="217"/>
      <c r="L1434" s="185"/>
      <c r="M1434" s="185"/>
      <c r="N1434" s="185"/>
      <c r="O1434" s="185"/>
      <c r="P1434" s="185"/>
      <c r="Q1434" s="185"/>
      <c r="R1434" s="168"/>
      <c r="S1434" s="168"/>
      <c r="U1434" s="170"/>
      <c r="V1434" s="171"/>
      <c r="W1434" s="171"/>
      <c r="X1434" s="171"/>
      <c r="Y1434" s="185"/>
      <c r="Z1434" s="185"/>
    </row>
    <row r="1435" spans="4:26" x14ac:dyDescent="0.25">
      <c r="D1435" s="175"/>
      <c r="E1435" s="175"/>
      <c r="H1435" s="201"/>
      <c r="I1435" s="201"/>
      <c r="J1435" s="217"/>
      <c r="K1435" s="217"/>
      <c r="L1435" s="185"/>
      <c r="M1435" s="185"/>
      <c r="N1435" s="185"/>
      <c r="O1435" s="185"/>
      <c r="P1435" s="185"/>
      <c r="Q1435" s="185"/>
      <c r="R1435" s="168"/>
      <c r="S1435" s="168"/>
      <c r="U1435" s="170"/>
      <c r="V1435" s="171"/>
      <c r="W1435" s="171"/>
      <c r="X1435" s="171"/>
      <c r="Y1435" s="185"/>
      <c r="Z1435" s="185"/>
    </row>
    <row r="1436" spans="4:26" x14ac:dyDescent="0.25">
      <c r="D1436" s="175"/>
      <c r="E1436" s="175"/>
      <c r="H1436" s="201"/>
      <c r="I1436" s="201"/>
      <c r="J1436" s="217"/>
      <c r="K1436" s="217"/>
      <c r="L1436" s="185"/>
      <c r="M1436" s="185"/>
      <c r="N1436" s="185"/>
      <c r="O1436" s="185"/>
      <c r="P1436" s="185"/>
      <c r="Q1436" s="185"/>
      <c r="R1436" s="168"/>
      <c r="S1436" s="168"/>
      <c r="U1436" s="170"/>
      <c r="V1436" s="171"/>
      <c r="W1436" s="171"/>
      <c r="X1436" s="171"/>
      <c r="Y1436" s="185"/>
      <c r="Z1436" s="185"/>
    </row>
    <row r="1437" spans="4:26" x14ac:dyDescent="0.25">
      <c r="D1437" s="175"/>
      <c r="E1437" s="175"/>
      <c r="H1437" s="201"/>
      <c r="I1437" s="201"/>
      <c r="J1437" s="217"/>
      <c r="K1437" s="217"/>
      <c r="L1437" s="185"/>
      <c r="M1437" s="185"/>
      <c r="N1437" s="185"/>
      <c r="O1437" s="185"/>
      <c r="P1437" s="185"/>
      <c r="Q1437" s="185"/>
      <c r="R1437" s="168"/>
      <c r="S1437" s="168"/>
      <c r="U1437" s="170"/>
      <c r="V1437" s="171"/>
      <c r="W1437" s="171"/>
      <c r="X1437" s="171"/>
      <c r="Y1437" s="185"/>
      <c r="Z1437" s="185"/>
    </row>
    <row r="1438" spans="4:26" x14ac:dyDescent="0.25">
      <c r="D1438" s="175"/>
      <c r="E1438" s="175"/>
      <c r="H1438" s="201"/>
      <c r="I1438" s="201"/>
      <c r="J1438" s="217"/>
      <c r="K1438" s="217"/>
      <c r="L1438" s="185"/>
      <c r="M1438" s="185"/>
      <c r="N1438" s="185"/>
      <c r="O1438" s="185"/>
      <c r="P1438" s="185"/>
      <c r="Q1438" s="185"/>
      <c r="R1438" s="168"/>
      <c r="S1438" s="168"/>
      <c r="U1438" s="170"/>
      <c r="V1438" s="171"/>
      <c r="W1438" s="171"/>
      <c r="X1438" s="171"/>
      <c r="Y1438" s="185"/>
      <c r="Z1438" s="185"/>
    </row>
    <row r="1439" spans="4:26" x14ac:dyDescent="0.25">
      <c r="D1439" s="175"/>
      <c r="E1439" s="175"/>
      <c r="H1439" s="201"/>
      <c r="I1439" s="201"/>
      <c r="J1439" s="217"/>
      <c r="K1439" s="217"/>
      <c r="L1439" s="185"/>
      <c r="M1439" s="185"/>
      <c r="N1439" s="185"/>
      <c r="O1439" s="185"/>
      <c r="P1439" s="185"/>
      <c r="Q1439" s="185"/>
      <c r="R1439" s="168"/>
      <c r="S1439" s="168"/>
      <c r="U1439" s="170"/>
      <c r="V1439" s="171"/>
      <c r="W1439" s="171"/>
      <c r="X1439" s="171"/>
      <c r="Y1439" s="185"/>
      <c r="Z1439" s="185"/>
    </row>
    <row r="1440" spans="4:26" x14ac:dyDescent="0.25">
      <c r="D1440" s="175"/>
      <c r="E1440" s="175"/>
      <c r="H1440" s="201"/>
      <c r="I1440" s="201"/>
      <c r="J1440" s="217"/>
      <c r="K1440" s="217"/>
      <c r="L1440" s="185"/>
      <c r="M1440" s="185"/>
      <c r="N1440" s="185"/>
      <c r="O1440" s="185"/>
      <c r="P1440" s="185"/>
      <c r="Q1440" s="185"/>
      <c r="R1440" s="168"/>
      <c r="S1440" s="168"/>
      <c r="U1440" s="170"/>
      <c r="V1440" s="171"/>
      <c r="W1440" s="171"/>
      <c r="X1440" s="171"/>
      <c r="Y1440" s="185"/>
      <c r="Z1440" s="185"/>
    </row>
    <row r="1441" spans="4:26" x14ac:dyDescent="0.25">
      <c r="D1441" s="175"/>
      <c r="E1441" s="175"/>
      <c r="H1441" s="201"/>
      <c r="I1441" s="201"/>
      <c r="J1441" s="217"/>
      <c r="K1441" s="217"/>
      <c r="L1441" s="185"/>
      <c r="M1441" s="185"/>
      <c r="N1441" s="185"/>
      <c r="O1441" s="185"/>
      <c r="P1441" s="185"/>
      <c r="Q1441" s="185"/>
      <c r="R1441" s="168"/>
      <c r="S1441" s="168"/>
      <c r="U1441" s="170"/>
      <c r="V1441" s="171"/>
      <c r="W1441" s="171"/>
      <c r="X1441" s="171"/>
      <c r="Y1441" s="185"/>
      <c r="Z1441" s="185"/>
    </row>
    <row r="1442" spans="4:26" x14ac:dyDescent="0.25">
      <c r="D1442" s="175"/>
      <c r="E1442" s="175"/>
      <c r="H1442" s="201"/>
      <c r="I1442" s="201"/>
      <c r="J1442" s="217"/>
      <c r="K1442" s="217"/>
      <c r="L1442" s="185"/>
      <c r="M1442" s="185"/>
      <c r="N1442" s="185"/>
      <c r="O1442" s="185"/>
      <c r="P1442" s="185"/>
      <c r="Q1442" s="185"/>
      <c r="R1442" s="168"/>
      <c r="S1442" s="168"/>
      <c r="U1442" s="170"/>
      <c r="V1442" s="171"/>
      <c r="W1442" s="171"/>
      <c r="X1442" s="171"/>
      <c r="Y1442" s="185"/>
      <c r="Z1442" s="185"/>
    </row>
    <row r="1443" spans="4:26" x14ac:dyDescent="0.25">
      <c r="D1443" s="175"/>
      <c r="E1443" s="175"/>
      <c r="H1443" s="201"/>
      <c r="I1443" s="201"/>
      <c r="J1443" s="217"/>
      <c r="K1443" s="217"/>
      <c r="L1443" s="185"/>
      <c r="M1443" s="185"/>
      <c r="N1443" s="185"/>
      <c r="O1443" s="185"/>
      <c r="P1443" s="185"/>
      <c r="Q1443" s="185"/>
      <c r="R1443" s="168"/>
      <c r="S1443" s="168"/>
      <c r="U1443" s="170"/>
      <c r="V1443" s="171"/>
      <c r="W1443" s="171"/>
      <c r="X1443" s="171"/>
      <c r="Y1443" s="185"/>
      <c r="Z1443" s="185"/>
    </row>
    <row r="1444" spans="4:26" x14ac:dyDescent="0.25">
      <c r="D1444" s="175"/>
      <c r="E1444" s="175"/>
      <c r="H1444" s="201"/>
      <c r="I1444" s="201"/>
      <c r="J1444" s="217"/>
      <c r="K1444" s="217"/>
      <c r="L1444" s="185"/>
      <c r="M1444" s="185"/>
      <c r="N1444" s="185"/>
      <c r="O1444" s="185"/>
      <c r="P1444" s="185"/>
      <c r="Q1444" s="185"/>
      <c r="R1444" s="168"/>
      <c r="S1444" s="168"/>
      <c r="U1444" s="170"/>
      <c r="V1444" s="171"/>
      <c r="W1444" s="171"/>
      <c r="X1444" s="171"/>
      <c r="Y1444" s="185"/>
      <c r="Z1444" s="185"/>
    </row>
    <row r="1445" spans="4:26" x14ac:dyDescent="0.25">
      <c r="D1445" s="175"/>
      <c r="E1445" s="175"/>
      <c r="H1445" s="201"/>
      <c r="I1445" s="201"/>
      <c r="J1445" s="217"/>
      <c r="K1445" s="217"/>
      <c r="L1445" s="185"/>
      <c r="M1445" s="185"/>
      <c r="N1445" s="185"/>
      <c r="O1445" s="185"/>
      <c r="P1445" s="185"/>
      <c r="Q1445" s="185"/>
      <c r="R1445" s="168"/>
      <c r="S1445" s="168"/>
      <c r="U1445" s="170"/>
      <c r="V1445" s="171"/>
      <c r="W1445" s="171"/>
      <c r="X1445" s="171"/>
      <c r="Y1445" s="185"/>
      <c r="Z1445" s="185"/>
    </row>
    <row r="1446" spans="4:26" x14ac:dyDescent="0.25">
      <c r="D1446" s="175"/>
      <c r="E1446" s="175"/>
      <c r="H1446" s="201"/>
      <c r="I1446" s="201"/>
      <c r="J1446" s="217"/>
      <c r="K1446" s="217"/>
      <c r="L1446" s="185"/>
      <c r="M1446" s="185"/>
      <c r="N1446" s="185"/>
      <c r="O1446" s="185"/>
      <c r="P1446" s="185"/>
      <c r="Q1446" s="185"/>
      <c r="R1446" s="168"/>
      <c r="S1446" s="168"/>
      <c r="U1446" s="170"/>
      <c r="V1446" s="171"/>
      <c r="W1446" s="171"/>
      <c r="X1446" s="171"/>
      <c r="Y1446" s="185"/>
      <c r="Z1446" s="185"/>
    </row>
    <row r="1447" spans="4:26" x14ac:dyDescent="0.25">
      <c r="D1447" s="175"/>
      <c r="E1447" s="175"/>
      <c r="H1447" s="201"/>
      <c r="I1447" s="201"/>
      <c r="J1447" s="217"/>
      <c r="K1447" s="217"/>
      <c r="L1447" s="185"/>
      <c r="M1447" s="185"/>
      <c r="N1447" s="185"/>
      <c r="O1447" s="185"/>
      <c r="P1447" s="185"/>
      <c r="Q1447" s="185"/>
      <c r="R1447" s="168"/>
      <c r="S1447" s="168"/>
      <c r="U1447" s="170"/>
      <c r="V1447" s="171"/>
      <c r="W1447" s="171"/>
      <c r="X1447" s="171"/>
      <c r="Y1447" s="185"/>
      <c r="Z1447" s="185"/>
    </row>
    <row r="1448" spans="4:26" x14ac:dyDescent="0.25">
      <c r="D1448" s="175"/>
      <c r="E1448" s="175"/>
      <c r="H1448" s="201"/>
      <c r="I1448" s="201"/>
      <c r="J1448" s="217"/>
      <c r="K1448" s="217"/>
      <c r="L1448" s="185"/>
      <c r="M1448" s="185"/>
      <c r="N1448" s="185"/>
      <c r="O1448" s="185"/>
      <c r="P1448" s="185"/>
      <c r="Q1448" s="185"/>
      <c r="R1448" s="168"/>
      <c r="S1448" s="168"/>
      <c r="U1448" s="170"/>
      <c r="V1448" s="171"/>
      <c r="W1448" s="171"/>
      <c r="X1448" s="171"/>
      <c r="Y1448" s="185"/>
      <c r="Z1448" s="185"/>
    </row>
    <row r="1449" spans="4:26" x14ac:dyDescent="0.25">
      <c r="D1449" s="175"/>
      <c r="E1449" s="175"/>
      <c r="H1449" s="201"/>
      <c r="I1449" s="201"/>
      <c r="J1449" s="217"/>
      <c r="K1449" s="217"/>
      <c r="L1449" s="185"/>
      <c r="M1449" s="185"/>
      <c r="N1449" s="185"/>
      <c r="O1449" s="185"/>
      <c r="P1449" s="185"/>
      <c r="Q1449" s="185"/>
      <c r="R1449" s="168"/>
      <c r="S1449" s="168"/>
      <c r="U1449" s="170"/>
      <c r="V1449" s="171"/>
      <c r="W1449" s="171"/>
      <c r="X1449" s="171"/>
      <c r="Y1449" s="185"/>
      <c r="Z1449" s="185"/>
    </row>
    <row r="1450" spans="4:26" x14ac:dyDescent="0.25">
      <c r="D1450" s="175"/>
      <c r="E1450" s="175"/>
      <c r="H1450" s="201"/>
      <c r="I1450" s="201"/>
      <c r="J1450" s="217"/>
      <c r="K1450" s="217"/>
      <c r="L1450" s="185"/>
      <c r="M1450" s="185"/>
      <c r="N1450" s="185"/>
      <c r="O1450" s="185"/>
      <c r="P1450" s="185"/>
      <c r="Q1450" s="185"/>
      <c r="R1450" s="168"/>
      <c r="S1450" s="168"/>
      <c r="U1450" s="170"/>
      <c r="V1450" s="171"/>
      <c r="W1450" s="171"/>
      <c r="X1450" s="171"/>
      <c r="Y1450" s="185"/>
      <c r="Z1450" s="185"/>
    </row>
    <row r="1451" spans="4:26" x14ac:dyDescent="0.25">
      <c r="D1451" s="175"/>
      <c r="E1451" s="175"/>
      <c r="H1451" s="201"/>
      <c r="I1451" s="201"/>
      <c r="J1451" s="217"/>
      <c r="K1451" s="217"/>
      <c r="L1451" s="185"/>
      <c r="M1451" s="185"/>
      <c r="N1451" s="185"/>
      <c r="O1451" s="185"/>
      <c r="P1451" s="185"/>
      <c r="Q1451" s="185"/>
      <c r="R1451" s="168"/>
      <c r="S1451" s="168"/>
      <c r="U1451" s="170"/>
      <c r="V1451" s="171"/>
      <c r="W1451" s="171"/>
      <c r="X1451" s="171"/>
      <c r="Y1451" s="185"/>
      <c r="Z1451" s="185"/>
    </row>
    <row r="1452" spans="4:26" x14ac:dyDescent="0.25">
      <c r="D1452" s="175"/>
      <c r="E1452" s="175"/>
      <c r="H1452" s="201"/>
      <c r="I1452" s="201"/>
      <c r="J1452" s="217"/>
      <c r="K1452" s="217"/>
      <c r="L1452" s="185"/>
      <c r="M1452" s="185"/>
      <c r="N1452" s="185"/>
      <c r="O1452" s="185"/>
      <c r="P1452" s="185"/>
      <c r="Q1452" s="185"/>
      <c r="R1452" s="168"/>
      <c r="S1452" s="168"/>
      <c r="U1452" s="170"/>
      <c r="V1452" s="171"/>
      <c r="W1452" s="171"/>
      <c r="X1452" s="171"/>
      <c r="Y1452" s="185"/>
      <c r="Z1452" s="185"/>
    </row>
    <row r="1453" spans="4:26" x14ac:dyDescent="0.25">
      <c r="D1453" s="175"/>
      <c r="E1453" s="175"/>
      <c r="H1453" s="201"/>
      <c r="I1453" s="201"/>
      <c r="J1453" s="217"/>
      <c r="K1453" s="217"/>
      <c r="L1453" s="185"/>
      <c r="M1453" s="185"/>
      <c r="N1453" s="185"/>
      <c r="O1453" s="185"/>
      <c r="P1453" s="185"/>
      <c r="Q1453" s="185"/>
      <c r="R1453" s="168"/>
      <c r="S1453" s="168"/>
      <c r="U1453" s="170"/>
      <c r="V1453" s="171"/>
      <c r="W1453" s="171"/>
      <c r="X1453" s="171"/>
      <c r="Y1453" s="185"/>
      <c r="Z1453" s="185"/>
    </row>
    <row r="1454" spans="4:26" x14ac:dyDescent="0.25">
      <c r="D1454" s="223"/>
      <c r="E1454" s="175"/>
      <c r="H1454" s="201"/>
      <c r="I1454" s="201"/>
      <c r="J1454" s="217"/>
      <c r="K1454" s="217"/>
      <c r="L1454" s="185"/>
      <c r="M1454" s="185"/>
      <c r="N1454" s="185"/>
      <c r="O1454" s="185"/>
      <c r="P1454" s="185"/>
      <c r="Q1454" s="185"/>
      <c r="R1454" s="168"/>
      <c r="S1454" s="168"/>
      <c r="U1454" s="170"/>
      <c r="V1454" s="171"/>
      <c r="W1454" s="171"/>
      <c r="X1454" s="171"/>
      <c r="Y1454" s="185"/>
      <c r="Z1454" s="185"/>
    </row>
    <row r="1455" spans="4:26" x14ac:dyDescent="0.25">
      <c r="D1455" s="175"/>
      <c r="E1455" s="175"/>
      <c r="H1455" s="201"/>
      <c r="I1455" s="201"/>
      <c r="J1455" s="217"/>
      <c r="K1455" s="217"/>
      <c r="L1455" s="185"/>
      <c r="M1455" s="185"/>
      <c r="N1455" s="185"/>
      <c r="O1455" s="185"/>
      <c r="P1455" s="185"/>
      <c r="Q1455" s="185"/>
      <c r="R1455" s="168"/>
      <c r="S1455" s="168"/>
      <c r="U1455" s="170"/>
      <c r="V1455" s="171"/>
      <c r="W1455" s="171"/>
      <c r="X1455" s="171"/>
      <c r="Y1455" s="185"/>
      <c r="Z1455" s="185"/>
    </row>
    <row r="1456" spans="4:26" x14ac:dyDescent="0.25">
      <c r="D1456" s="223"/>
      <c r="E1456" s="175"/>
      <c r="H1456" s="201"/>
      <c r="I1456" s="201"/>
      <c r="J1456" s="217"/>
      <c r="K1456" s="217"/>
      <c r="L1456" s="185"/>
      <c r="M1456" s="185"/>
      <c r="N1456" s="185"/>
      <c r="O1456" s="185"/>
      <c r="P1456" s="185"/>
      <c r="Q1456" s="185"/>
      <c r="R1456" s="168"/>
      <c r="S1456" s="168"/>
      <c r="U1456" s="170"/>
      <c r="V1456" s="171"/>
      <c r="W1456" s="171"/>
      <c r="X1456" s="171"/>
      <c r="Y1456" s="185"/>
      <c r="Z1456" s="185"/>
    </row>
    <row r="1457" spans="4:26" x14ac:dyDescent="0.25">
      <c r="D1457" s="175"/>
      <c r="E1457" s="175"/>
      <c r="H1457" s="201"/>
      <c r="I1457" s="201"/>
      <c r="J1457" s="217"/>
      <c r="K1457" s="217"/>
      <c r="L1457" s="185"/>
      <c r="M1457" s="185"/>
      <c r="N1457" s="185"/>
      <c r="O1457" s="185"/>
      <c r="P1457" s="185"/>
      <c r="Q1457" s="185"/>
      <c r="R1457" s="168"/>
      <c r="S1457" s="168"/>
      <c r="U1457" s="170"/>
      <c r="V1457" s="171"/>
      <c r="W1457" s="171"/>
      <c r="X1457" s="171"/>
      <c r="Y1457" s="185"/>
      <c r="Z1457" s="185"/>
    </row>
    <row r="1458" spans="4:26" x14ac:dyDescent="0.25">
      <c r="D1458" s="175"/>
      <c r="E1458" s="175"/>
      <c r="H1458" s="201"/>
      <c r="I1458" s="201"/>
      <c r="J1458" s="217"/>
      <c r="K1458" s="217"/>
      <c r="L1458" s="185"/>
      <c r="M1458" s="185"/>
      <c r="N1458" s="185"/>
      <c r="O1458" s="185"/>
      <c r="P1458" s="185"/>
      <c r="Q1458" s="185"/>
      <c r="R1458" s="168"/>
      <c r="S1458" s="168"/>
      <c r="U1458" s="170"/>
      <c r="V1458" s="171"/>
      <c r="W1458" s="171"/>
      <c r="X1458" s="171"/>
      <c r="Y1458" s="185"/>
      <c r="Z1458" s="185"/>
    </row>
    <row r="1459" spans="4:26" x14ac:dyDescent="0.25">
      <c r="D1459" s="175"/>
      <c r="E1459" s="175"/>
      <c r="H1459" s="201"/>
      <c r="I1459" s="201"/>
      <c r="J1459" s="217"/>
      <c r="K1459" s="217"/>
      <c r="L1459" s="185"/>
      <c r="M1459" s="185"/>
      <c r="N1459" s="185"/>
      <c r="O1459" s="185"/>
      <c r="P1459" s="185"/>
      <c r="Q1459" s="185"/>
      <c r="R1459" s="168"/>
      <c r="S1459" s="168"/>
      <c r="U1459" s="170"/>
      <c r="V1459" s="171"/>
      <c r="W1459" s="171"/>
      <c r="X1459" s="171"/>
      <c r="Y1459" s="185"/>
      <c r="Z1459" s="185"/>
    </row>
    <row r="1460" spans="4:26" x14ac:dyDescent="0.25">
      <c r="D1460" s="175"/>
      <c r="E1460" s="175"/>
      <c r="H1460" s="201"/>
      <c r="I1460" s="201"/>
      <c r="J1460" s="217"/>
      <c r="K1460" s="217"/>
      <c r="L1460" s="185"/>
      <c r="M1460" s="185"/>
      <c r="N1460" s="185"/>
      <c r="O1460" s="185"/>
      <c r="P1460" s="185"/>
      <c r="Q1460" s="185"/>
      <c r="R1460" s="168"/>
      <c r="S1460" s="168"/>
      <c r="U1460" s="170"/>
      <c r="V1460" s="171"/>
      <c r="W1460" s="171"/>
      <c r="X1460" s="171"/>
      <c r="Y1460" s="185"/>
      <c r="Z1460" s="185"/>
    </row>
    <row r="1461" spans="4:26" x14ac:dyDescent="0.25">
      <c r="D1461" s="175"/>
      <c r="E1461" s="175"/>
      <c r="H1461" s="201"/>
      <c r="I1461" s="201"/>
      <c r="J1461" s="217"/>
      <c r="K1461" s="217"/>
      <c r="L1461" s="185"/>
      <c r="M1461" s="185"/>
      <c r="N1461" s="185"/>
      <c r="O1461" s="185"/>
      <c r="P1461" s="185"/>
      <c r="Q1461" s="185"/>
      <c r="R1461" s="168"/>
      <c r="S1461" s="168"/>
      <c r="U1461" s="170"/>
      <c r="V1461" s="171"/>
      <c r="W1461" s="171"/>
      <c r="X1461" s="171"/>
      <c r="Y1461" s="185"/>
      <c r="Z1461" s="185"/>
    </row>
    <row r="1462" spans="4:26" x14ac:dyDescent="0.25">
      <c r="D1462" s="175"/>
      <c r="E1462" s="175"/>
      <c r="H1462" s="201"/>
      <c r="I1462" s="201"/>
      <c r="J1462" s="217"/>
      <c r="K1462" s="217"/>
      <c r="L1462" s="185"/>
      <c r="M1462" s="185"/>
      <c r="N1462" s="185"/>
      <c r="O1462" s="185"/>
      <c r="P1462" s="185"/>
      <c r="Q1462" s="185"/>
      <c r="R1462" s="168"/>
      <c r="S1462" s="168"/>
      <c r="U1462" s="170"/>
      <c r="V1462" s="171"/>
      <c r="W1462" s="171"/>
      <c r="X1462" s="171"/>
      <c r="Y1462" s="185"/>
      <c r="Z1462" s="185"/>
    </row>
    <row r="1463" spans="4:26" x14ac:dyDescent="0.25">
      <c r="D1463" s="175"/>
      <c r="E1463" s="175"/>
      <c r="H1463" s="201"/>
      <c r="I1463" s="201"/>
      <c r="J1463" s="217"/>
      <c r="K1463" s="217"/>
      <c r="L1463" s="185"/>
      <c r="M1463" s="185"/>
      <c r="N1463" s="185"/>
      <c r="O1463" s="185"/>
      <c r="P1463" s="185"/>
      <c r="Q1463" s="185"/>
      <c r="R1463" s="168"/>
      <c r="S1463" s="168"/>
      <c r="U1463" s="170"/>
      <c r="V1463" s="171"/>
      <c r="W1463" s="171"/>
      <c r="X1463" s="171"/>
      <c r="Y1463" s="185"/>
      <c r="Z1463" s="185"/>
    </row>
    <row r="1464" spans="4:26" x14ac:dyDescent="0.25">
      <c r="D1464" s="175"/>
      <c r="E1464" s="175"/>
      <c r="H1464" s="201"/>
      <c r="I1464" s="201"/>
      <c r="J1464" s="217"/>
      <c r="K1464" s="217"/>
      <c r="L1464" s="185"/>
      <c r="M1464" s="185"/>
      <c r="N1464" s="185"/>
      <c r="O1464" s="185"/>
      <c r="P1464" s="185"/>
      <c r="Q1464" s="185"/>
      <c r="R1464" s="168"/>
      <c r="S1464" s="168"/>
      <c r="U1464" s="170"/>
      <c r="V1464" s="171"/>
      <c r="W1464" s="171"/>
      <c r="X1464" s="171"/>
      <c r="Y1464" s="185"/>
      <c r="Z1464" s="185"/>
    </row>
    <row r="1465" spans="4:26" x14ac:dyDescent="0.25">
      <c r="D1465" s="175"/>
      <c r="E1465" s="175"/>
      <c r="H1465" s="201"/>
      <c r="I1465" s="201"/>
      <c r="J1465" s="217"/>
      <c r="K1465" s="217"/>
      <c r="L1465" s="185"/>
      <c r="M1465" s="185"/>
      <c r="N1465" s="185"/>
      <c r="O1465" s="185"/>
      <c r="P1465" s="185"/>
      <c r="Q1465" s="185"/>
      <c r="R1465" s="168"/>
      <c r="S1465" s="168"/>
      <c r="U1465" s="170"/>
      <c r="V1465" s="171"/>
      <c r="W1465" s="171"/>
      <c r="X1465" s="171"/>
      <c r="Y1465" s="185"/>
      <c r="Z1465" s="185"/>
    </row>
    <row r="1466" spans="4:26" x14ac:dyDescent="0.25">
      <c r="D1466" s="175"/>
      <c r="E1466" s="175"/>
      <c r="H1466" s="201"/>
      <c r="I1466" s="201"/>
      <c r="J1466" s="217"/>
      <c r="K1466" s="217"/>
      <c r="L1466" s="185"/>
      <c r="M1466" s="185"/>
      <c r="N1466" s="185"/>
      <c r="O1466" s="185"/>
      <c r="P1466" s="185"/>
      <c r="Q1466" s="185"/>
      <c r="R1466" s="168"/>
      <c r="S1466" s="168"/>
      <c r="U1466" s="170"/>
      <c r="V1466" s="171"/>
      <c r="W1466" s="171"/>
      <c r="X1466" s="171"/>
      <c r="Y1466" s="185"/>
      <c r="Z1466" s="185"/>
    </row>
    <row r="1467" spans="4:26" x14ac:dyDescent="0.25">
      <c r="D1467" s="175"/>
      <c r="E1467" s="175"/>
      <c r="H1467" s="201"/>
      <c r="I1467" s="201"/>
      <c r="J1467" s="217"/>
      <c r="K1467" s="217"/>
      <c r="L1467" s="185"/>
      <c r="M1467" s="185"/>
      <c r="N1467" s="185"/>
      <c r="O1467" s="185"/>
      <c r="P1467" s="185"/>
      <c r="Q1467" s="185"/>
      <c r="R1467" s="168"/>
      <c r="S1467" s="168"/>
      <c r="U1467" s="170"/>
      <c r="V1467" s="171"/>
      <c r="W1467" s="171"/>
      <c r="X1467" s="171"/>
      <c r="Y1467" s="185"/>
      <c r="Z1467" s="185"/>
    </row>
    <row r="1468" spans="4:26" x14ac:dyDescent="0.25">
      <c r="D1468" s="175"/>
      <c r="E1468" s="175"/>
      <c r="H1468" s="201"/>
      <c r="I1468" s="201"/>
      <c r="J1468" s="217"/>
      <c r="K1468" s="217"/>
      <c r="L1468" s="185"/>
      <c r="M1468" s="185"/>
      <c r="N1468" s="185"/>
      <c r="O1468" s="185"/>
      <c r="P1468" s="185"/>
      <c r="Q1468" s="185"/>
      <c r="R1468" s="168"/>
      <c r="S1468" s="168"/>
      <c r="U1468" s="170"/>
      <c r="V1468" s="171"/>
      <c r="W1468" s="171"/>
      <c r="X1468" s="171"/>
      <c r="Y1468" s="185"/>
      <c r="Z1468" s="185"/>
    </row>
    <row r="1469" spans="4:26" x14ac:dyDescent="0.25">
      <c r="D1469" s="175"/>
      <c r="E1469" s="175"/>
      <c r="H1469" s="201"/>
      <c r="I1469" s="201"/>
      <c r="J1469" s="217"/>
      <c r="K1469" s="217"/>
      <c r="L1469" s="185"/>
      <c r="M1469" s="185"/>
      <c r="N1469" s="185"/>
      <c r="O1469" s="185"/>
      <c r="P1469" s="185"/>
      <c r="Q1469" s="185"/>
      <c r="R1469" s="168"/>
      <c r="S1469" s="168"/>
      <c r="U1469" s="170"/>
      <c r="V1469" s="171"/>
      <c r="W1469" s="171"/>
      <c r="X1469" s="171"/>
      <c r="Y1469" s="185"/>
      <c r="Z1469" s="185"/>
    </row>
    <row r="1470" spans="4:26" x14ac:dyDescent="0.25">
      <c r="D1470" s="175"/>
      <c r="E1470" s="175"/>
      <c r="H1470" s="201"/>
      <c r="I1470" s="201"/>
      <c r="J1470" s="217"/>
      <c r="K1470" s="217"/>
      <c r="L1470" s="185"/>
      <c r="M1470" s="185"/>
      <c r="N1470" s="185"/>
      <c r="O1470" s="185"/>
      <c r="P1470" s="185"/>
      <c r="Q1470" s="185"/>
      <c r="R1470" s="168"/>
      <c r="S1470" s="168"/>
      <c r="U1470" s="170"/>
      <c r="V1470" s="171"/>
      <c r="W1470" s="171"/>
      <c r="X1470" s="171"/>
      <c r="Y1470" s="185"/>
      <c r="Z1470" s="185"/>
    </row>
    <row r="1471" spans="4:26" x14ac:dyDescent="0.25">
      <c r="D1471" s="175"/>
      <c r="E1471" s="175"/>
      <c r="H1471" s="201"/>
      <c r="I1471" s="201"/>
      <c r="J1471" s="217"/>
      <c r="K1471" s="217"/>
      <c r="L1471" s="185"/>
      <c r="M1471" s="185"/>
      <c r="N1471" s="185"/>
      <c r="O1471" s="185"/>
      <c r="P1471" s="185"/>
      <c r="Q1471" s="185"/>
      <c r="R1471" s="168"/>
      <c r="S1471" s="168"/>
      <c r="U1471" s="170"/>
      <c r="V1471" s="171"/>
      <c r="W1471" s="171"/>
      <c r="X1471" s="171"/>
      <c r="Y1471" s="185"/>
      <c r="Z1471" s="185"/>
    </row>
    <row r="1472" spans="4:26" x14ac:dyDescent="0.25">
      <c r="D1472" s="175"/>
      <c r="E1472" s="175"/>
      <c r="H1472" s="201"/>
      <c r="I1472" s="201"/>
      <c r="J1472" s="217"/>
      <c r="K1472" s="217"/>
      <c r="L1472" s="185"/>
      <c r="M1472" s="185"/>
      <c r="N1472" s="185"/>
      <c r="O1472" s="185"/>
      <c r="P1472" s="185"/>
      <c r="Q1472" s="185"/>
      <c r="R1472" s="168"/>
      <c r="S1472" s="168"/>
      <c r="U1472" s="170"/>
      <c r="V1472" s="171"/>
      <c r="W1472" s="171"/>
      <c r="X1472" s="171"/>
      <c r="Y1472" s="185"/>
      <c r="Z1472" s="185"/>
    </row>
    <row r="1473" spans="4:26" x14ac:dyDescent="0.25">
      <c r="D1473" s="175"/>
      <c r="E1473" s="175"/>
      <c r="H1473" s="201"/>
      <c r="I1473" s="201"/>
      <c r="J1473" s="217"/>
      <c r="K1473" s="217"/>
      <c r="L1473" s="185"/>
      <c r="M1473" s="185"/>
      <c r="N1473" s="185"/>
      <c r="O1473" s="185"/>
      <c r="P1473" s="185"/>
      <c r="Q1473" s="185"/>
      <c r="R1473" s="168"/>
      <c r="S1473" s="168"/>
      <c r="U1473" s="170"/>
      <c r="V1473" s="171"/>
      <c r="W1473" s="171"/>
      <c r="X1473" s="171"/>
      <c r="Y1473" s="185"/>
      <c r="Z1473" s="185"/>
    </row>
    <row r="1474" spans="4:26" x14ac:dyDescent="0.25">
      <c r="D1474" s="175"/>
      <c r="E1474" s="175"/>
      <c r="H1474" s="201"/>
      <c r="I1474" s="201"/>
      <c r="J1474" s="217"/>
      <c r="K1474" s="217"/>
      <c r="L1474" s="185"/>
      <c r="M1474" s="185"/>
      <c r="N1474" s="185"/>
      <c r="O1474" s="185"/>
      <c r="P1474" s="185"/>
      <c r="Q1474" s="185"/>
      <c r="R1474" s="168"/>
      <c r="S1474" s="168"/>
      <c r="U1474" s="170"/>
      <c r="V1474" s="171"/>
      <c r="W1474" s="171"/>
      <c r="X1474" s="171"/>
      <c r="Y1474" s="185"/>
      <c r="Z1474" s="185"/>
    </row>
    <row r="1475" spans="4:26" x14ac:dyDescent="0.25">
      <c r="D1475" s="175"/>
      <c r="E1475" s="175"/>
      <c r="H1475" s="201"/>
      <c r="I1475" s="201"/>
      <c r="J1475" s="217"/>
      <c r="K1475" s="217"/>
      <c r="L1475" s="185"/>
      <c r="M1475" s="185"/>
      <c r="N1475" s="185"/>
      <c r="O1475" s="185"/>
      <c r="P1475" s="185"/>
      <c r="Q1475" s="185"/>
      <c r="R1475" s="168"/>
      <c r="S1475" s="168"/>
      <c r="U1475" s="170"/>
      <c r="V1475" s="171"/>
      <c r="W1475" s="171"/>
      <c r="X1475" s="171"/>
      <c r="Y1475" s="185"/>
      <c r="Z1475" s="185"/>
    </row>
    <row r="1476" spans="4:26" x14ac:dyDescent="0.25">
      <c r="D1476" s="175"/>
      <c r="E1476" s="175"/>
      <c r="H1476" s="201"/>
      <c r="I1476" s="201"/>
      <c r="J1476" s="217"/>
      <c r="K1476" s="217"/>
      <c r="L1476" s="185"/>
      <c r="M1476" s="185"/>
      <c r="N1476" s="185"/>
      <c r="O1476" s="185"/>
      <c r="P1476" s="185"/>
      <c r="Q1476" s="185"/>
      <c r="R1476" s="168"/>
      <c r="S1476" s="168"/>
      <c r="U1476" s="170"/>
      <c r="V1476" s="171"/>
      <c r="W1476" s="171"/>
      <c r="X1476" s="171"/>
      <c r="Y1476" s="185"/>
      <c r="Z1476" s="185"/>
    </row>
    <row r="1477" spans="4:26" x14ac:dyDescent="0.25">
      <c r="D1477" s="175"/>
      <c r="E1477" s="175"/>
      <c r="H1477" s="201"/>
      <c r="I1477" s="201"/>
      <c r="J1477" s="217"/>
      <c r="K1477" s="217"/>
      <c r="L1477" s="185"/>
      <c r="M1477" s="185"/>
      <c r="N1477" s="185"/>
      <c r="O1477" s="185"/>
      <c r="P1477" s="185"/>
      <c r="Q1477" s="185"/>
      <c r="R1477" s="168"/>
      <c r="S1477" s="168"/>
      <c r="U1477" s="170"/>
      <c r="V1477" s="171"/>
      <c r="W1477" s="171"/>
      <c r="X1477" s="171"/>
      <c r="Y1477" s="185"/>
      <c r="Z1477" s="185"/>
    </row>
    <row r="1478" spans="4:26" x14ac:dyDescent="0.25">
      <c r="D1478" s="175"/>
      <c r="E1478" s="175"/>
      <c r="H1478" s="201"/>
      <c r="I1478" s="201"/>
      <c r="J1478" s="217"/>
      <c r="K1478" s="217"/>
      <c r="L1478" s="185"/>
      <c r="M1478" s="185"/>
      <c r="N1478" s="185"/>
      <c r="O1478" s="185"/>
      <c r="P1478" s="185"/>
      <c r="Q1478" s="185"/>
      <c r="R1478" s="168"/>
      <c r="S1478" s="168"/>
      <c r="U1478" s="170"/>
      <c r="V1478" s="171"/>
      <c r="W1478" s="171"/>
      <c r="X1478" s="171"/>
      <c r="Y1478" s="185"/>
      <c r="Z1478" s="185"/>
    </row>
    <row r="1479" spans="4:26" x14ac:dyDescent="0.25">
      <c r="D1479" s="175"/>
      <c r="E1479" s="175"/>
      <c r="H1479" s="201"/>
      <c r="I1479" s="201"/>
      <c r="J1479" s="217"/>
      <c r="K1479" s="217"/>
      <c r="L1479" s="185"/>
      <c r="M1479" s="185"/>
      <c r="N1479" s="185"/>
      <c r="O1479" s="185"/>
      <c r="P1479" s="185"/>
      <c r="Q1479" s="185"/>
      <c r="R1479" s="168"/>
      <c r="S1479" s="168"/>
      <c r="U1479" s="170"/>
      <c r="V1479" s="171"/>
      <c r="W1479" s="171"/>
      <c r="X1479" s="171"/>
      <c r="Y1479" s="185"/>
      <c r="Z1479" s="185"/>
    </row>
    <row r="1480" spans="4:26" x14ac:dyDescent="0.25">
      <c r="D1480" s="175"/>
      <c r="E1480" s="175"/>
      <c r="H1480" s="201"/>
      <c r="I1480" s="201"/>
      <c r="J1480" s="217"/>
      <c r="K1480" s="217"/>
      <c r="L1480" s="185"/>
      <c r="M1480" s="185"/>
      <c r="N1480" s="185"/>
      <c r="O1480" s="185"/>
      <c r="P1480" s="185"/>
      <c r="Q1480" s="185"/>
      <c r="R1480" s="168"/>
      <c r="S1480" s="168"/>
      <c r="U1480" s="170"/>
      <c r="V1480" s="171"/>
      <c r="W1480" s="171"/>
      <c r="X1480" s="171"/>
      <c r="Y1480" s="185"/>
      <c r="Z1480" s="185"/>
    </row>
    <row r="1481" spans="4:26" x14ac:dyDescent="0.25">
      <c r="D1481" s="175"/>
      <c r="E1481" s="175"/>
      <c r="H1481" s="201"/>
      <c r="I1481" s="201"/>
      <c r="J1481" s="217"/>
      <c r="K1481" s="217"/>
      <c r="L1481" s="185"/>
      <c r="M1481" s="185"/>
      <c r="N1481" s="185"/>
      <c r="O1481" s="185"/>
      <c r="P1481" s="185"/>
      <c r="Q1481" s="185"/>
      <c r="R1481" s="168"/>
      <c r="S1481" s="168"/>
      <c r="U1481" s="170"/>
      <c r="V1481" s="171"/>
      <c r="W1481" s="171"/>
      <c r="X1481" s="171"/>
      <c r="Y1481" s="185"/>
      <c r="Z1481" s="185"/>
    </row>
    <row r="1482" spans="4:26" x14ac:dyDescent="0.25">
      <c r="D1482" s="175"/>
      <c r="E1482" s="175"/>
      <c r="H1482" s="201"/>
      <c r="I1482" s="201"/>
      <c r="J1482" s="217"/>
      <c r="K1482" s="217"/>
      <c r="L1482" s="185"/>
      <c r="M1482" s="185"/>
      <c r="N1482" s="185"/>
      <c r="O1482" s="185"/>
      <c r="P1482" s="185"/>
      <c r="Q1482" s="185"/>
      <c r="R1482" s="168"/>
      <c r="S1482" s="168"/>
      <c r="U1482" s="170"/>
      <c r="V1482" s="171"/>
      <c r="W1482" s="171"/>
      <c r="X1482" s="171"/>
      <c r="Y1482" s="185"/>
      <c r="Z1482" s="185"/>
    </row>
    <row r="1483" spans="4:26" x14ac:dyDescent="0.25">
      <c r="D1483" s="175"/>
      <c r="E1483" s="175"/>
      <c r="H1483" s="201"/>
      <c r="I1483" s="201"/>
      <c r="J1483" s="217"/>
      <c r="K1483" s="217"/>
      <c r="L1483" s="185"/>
      <c r="M1483" s="185"/>
      <c r="N1483" s="185"/>
      <c r="O1483" s="185"/>
      <c r="P1483" s="185"/>
      <c r="Q1483" s="185"/>
      <c r="R1483" s="168"/>
      <c r="S1483" s="168"/>
      <c r="U1483" s="170"/>
      <c r="V1483" s="171"/>
      <c r="W1483" s="171"/>
      <c r="X1483" s="171"/>
      <c r="Y1483" s="185"/>
      <c r="Z1483" s="185"/>
    </row>
    <row r="1484" spans="4:26" x14ac:dyDescent="0.25">
      <c r="D1484" s="175"/>
      <c r="E1484" s="175"/>
      <c r="H1484" s="201"/>
      <c r="I1484" s="201"/>
      <c r="J1484" s="217"/>
      <c r="K1484" s="217"/>
      <c r="L1484" s="185"/>
      <c r="M1484" s="185"/>
      <c r="N1484" s="185"/>
      <c r="O1484" s="185"/>
      <c r="P1484" s="185"/>
      <c r="Q1484" s="185"/>
      <c r="R1484" s="168"/>
      <c r="S1484" s="168"/>
      <c r="U1484" s="170"/>
      <c r="V1484" s="171"/>
      <c r="W1484" s="171"/>
      <c r="X1484" s="171"/>
      <c r="Y1484" s="185"/>
      <c r="Z1484" s="185"/>
    </row>
    <row r="1485" spans="4:26" x14ac:dyDescent="0.25">
      <c r="D1485" s="175"/>
      <c r="E1485" s="175"/>
      <c r="H1485" s="201"/>
      <c r="I1485" s="201"/>
      <c r="J1485" s="217"/>
      <c r="K1485" s="217"/>
      <c r="L1485" s="185"/>
      <c r="M1485" s="185"/>
      <c r="N1485" s="185"/>
      <c r="O1485" s="185"/>
      <c r="P1485" s="185"/>
      <c r="Q1485" s="185"/>
      <c r="R1485" s="168"/>
      <c r="S1485" s="168"/>
      <c r="U1485" s="170"/>
      <c r="V1485" s="171"/>
      <c r="W1485" s="171"/>
      <c r="X1485" s="171"/>
      <c r="Y1485" s="185"/>
      <c r="Z1485" s="185"/>
    </row>
    <row r="1486" spans="4:26" x14ac:dyDescent="0.25">
      <c r="D1486" s="175"/>
      <c r="E1486" s="175"/>
      <c r="H1486" s="201"/>
      <c r="I1486" s="201"/>
      <c r="J1486" s="217"/>
      <c r="K1486" s="217"/>
      <c r="L1486" s="185"/>
      <c r="M1486" s="185"/>
      <c r="N1486" s="185"/>
      <c r="O1486" s="185"/>
      <c r="P1486" s="185"/>
      <c r="Q1486" s="185"/>
      <c r="R1486" s="168"/>
      <c r="S1486" s="168"/>
      <c r="U1486" s="170"/>
      <c r="V1486" s="171"/>
      <c r="W1486" s="171"/>
      <c r="X1486" s="171"/>
      <c r="Y1486" s="185"/>
      <c r="Z1486" s="185"/>
    </row>
    <row r="1487" spans="4:26" x14ac:dyDescent="0.25">
      <c r="D1487" s="175"/>
      <c r="E1487" s="175"/>
      <c r="H1487" s="201"/>
      <c r="I1487" s="201"/>
      <c r="J1487" s="217"/>
      <c r="K1487" s="217"/>
      <c r="L1487" s="185"/>
      <c r="M1487" s="185"/>
      <c r="N1487" s="185"/>
      <c r="O1487" s="185"/>
      <c r="P1487" s="185"/>
      <c r="Q1487" s="185"/>
      <c r="R1487" s="168"/>
      <c r="S1487" s="168"/>
      <c r="U1487" s="170"/>
      <c r="V1487" s="171"/>
      <c r="W1487" s="171"/>
      <c r="X1487" s="171"/>
      <c r="Y1487" s="185"/>
      <c r="Z1487" s="185"/>
    </row>
    <row r="1488" spans="4:26" x14ac:dyDescent="0.25">
      <c r="D1488" s="175"/>
      <c r="E1488" s="175"/>
      <c r="H1488" s="201"/>
      <c r="I1488" s="201"/>
      <c r="J1488" s="217"/>
      <c r="K1488" s="217"/>
      <c r="L1488" s="185"/>
      <c r="M1488" s="185"/>
      <c r="N1488" s="185"/>
      <c r="O1488" s="185"/>
      <c r="P1488" s="185"/>
      <c r="Q1488" s="185"/>
      <c r="R1488" s="168"/>
      <c r="S1488" s="168"/>
      <c r="U1488" s="170"/>
      <c r="V1488" s="171"/>
      <c r="W1488" s="171"/>
      <c r="X1488" s="171"/>
      <c r="Y1488" s="185"/>
      <c r="Z1488" s="185"/>
    </row>
    <row r="1489" spans="4:26" x14ac:dyDescent="0.25">
      <c r="D1489" s="175"/>
      <c r="E1489" s="175"/>
      <c r="H1489" s="201"/>
      <c r="I1489" s="201"/>
      <c r="J1489" s="217"/>
      <c r="K1489" s="217"/>
      <c r="L1489" s="185"/>
      <c r="M1489" s="185"/>
      <c r="N1489" s="185"/>
      <c r="O1489" s="185"/>
      <c r="P1489" s="185"/>
      <c r="Q1489" s="185"/>
      <c r="R1489" s="168"/>
      <c r="S1489" s="168"/>
      <c r="U1489" s="170"/>
      <c r="V1489" s="171"/>
      <c r="W1489" s="171"/>
      <c r="X1489" s="171"/>
      <c r="Y1489" s="185"/>
      <c r="Z1489" s="185"/>
    </row>
    <row r="1490" spans="4:26" x14ac:dyDescent="0.25">
      <c r="D1490" s="175"/>
      <c r="E1490" s="175"/>
      <c r="H1490" s="201"/>
      <c r="I1490" s="201"/>
      <c r="J1490" s="217"/>
      <c r="K1490" s="217"/>
      <c r="L1490" s="185"/>
      <c r="M1490" s="185"/>
      <c r="N1490" s="185"/>
      <c r="O1490" s="185"/>
      <c r="P1490" s="185"/>
      <c r="Q1490" s="185"/>
      <c r="R1490" s="168"/>
      <c r="S1490" s="168"/>
      <c r="U1490" s="170"/>
      <c r="V1490" s="171"/>
      <c r="W1490" s="171"/>
      <c r="X1490" s="171"/>
      <c r="Y1490" s="185"/>
      <c r="Z1490" s="185"/>
    </row>
    <row r="1491" spans="4:26" x14ac:dyDescent="0.25">
      <c r="D1491" s="175"/>
      <c r="E1491" s="175"/>
      <c r="H1491" s="201"/>
      <c r="I1491" s="201"/>
      <c r="J1491" s="217"/>
      <c r="K1491" s="217"/>
      <c r="L1491" s="185"/>
      <c r="M1491" s="185"/>
      <c r="N1491" s="185"/>
      <c r="O1491" s="185"/>
      <c r="P1491" s="185"/>
      <c r="Q1491" s="185"/>
      <c r="R1491" s="168"/>
      <c r="S1491" s="168"/>
      <c r="U1491" s="170"/>
      <c r="V1491" s="171"/>
      <c r="W1491" s="171"/>
      <c r="X1491" s="171"/>
      <c r="Y1491" s="185"/>
      <c r="Z1491" s="185"/>
    </row>
    <row r="1492" spans="4:26" x14ac:dyDescent="0.25">
      <c r="D1492" s="175"/>
      <c r="E1492" s="175"/>
      <c r="H1492" s="201"/>
      <c r="I1492" s="201"/>
      <c r="J1492" s="217"/>
      <c r="K1492" s="217"/>
      <c r="L1492" s="185"/>
      <c r="M1492" s="185"/>
      <c r="N1492" s="185"/>
      <c r="O1492" s="185"/>
      <c r="P1492" s="185"/>
      <c r="Q1492" s="185"/>
      <c r="R1492" s="168"/>
      <c r="S1492" s="168"/>
      <c r="U1492" s="170"/>
      <c r="V1492" s="171"/>
      <c r="W1492" s="171"/>
      <c r="X1492" s="171"/>
      <c r="Y1492" s="185"/>
      <c r="Z1492" s="185"/>
    </row>
    <row r="1493" spans="4:26" x14ac:dyDescent="0.25">
      <c r="D1493" s="175"/>
      <c r="E1493" s="175"/>
      <c r="H1493" s="201"/>
      <c r="I1493" s="201"/>
      <c r="J1493" s="217"/>
      <c r="K1493" s="217"/>
      <c r="L1493" s="185"/>
      <c r="M1493" s="185"/>
      <c r="N1493" s="185"/>
      <c r="O1493" s="185"/>
      <c r="P1493" s="185"/>
      <c r="Q1493" s="185"/>
      <c r="R1493" s="168"/>
      <c r="S1493" s="168"/>
      <c r="U1493" s="170"/>
      <c r="V1493" s="171"/>
      <c r="W1493" s="171"/>
      <c r="X1493" s="171"/>
      <c r="Y1493" s="185"/>
      <c r="Z1493" s="185"/>
    </row>
    <row r="1494" spans="4:26" x14ac:dyDescent="0.25">
      <c r="D1494" s="223"/>
      <c r="E1494" s="175"/>
      <c r="H1494" s="201"/>
      <c r="I1494" s="201"/>
      <c r="J1494" s="217"/>
      <c r="K1494" s="217"/>
      <c r="L1494" s="185"/>
      <c r="M1494" s="185"/>
      <c r="N1494" s="185"/>
      <c r="O1494" s="185"/>
      <c r="P1494" s="185"/>
      <c r="Q1494" s="185"/>
      <c r="R1494" s="168"/>
      <c r="S1494" s="168"/>
      <c r="U1494" s="170"/>
      <c r="V1494" s="171"/>
      <c r="W1494" s="171"/>
      <c r="X1494" s="171"/>
      <c r="Y1494" s="185"/>
      <c r="Z1494" s="185"/>
    </row>
    <row r="1495" spans="4:26" x14ac:dyDescent="0.25">
      <c r="D1495" s="223"/>
      <c r="E1495" s="175"/>
      <c r="H1495" s="201"/>
      <c r="I1495" s="201"/>
      <c r="J1495" s="217"/>
      <c r="K1495" s="217"/>
      <c r="L1495" s="185"/>
      <c r="M1495" s="185"/>
      <c r="N1495" s="185"/>
      <c r="O1495" s="185"/>
      <c r="P1495" s="185"/>
      <c r="Q1495" s="185"/>
      <c r="R1495" s="168"/>
      <c r="S1495" s="168"/>
      <c r="U1495" s="170"/>
      <c r="V1495" s="171"/>
      <c r="W1495" s="171"/>
      <c r="X1495" s="171"/>
      <c r="Y1495" s="185"/>
      <c r="Z1495" s="185"/>
    </row>
    <row r="1496" spans="4:26" x14ac:dyDescent="0.25">
      <c r="D1496" s="175"/>
      <c r="E1496" s="175"/>
      <c r="H1496" s="201"/>
      <c r="I1496" s="201"/>
      <c r="J1496" s="217"/>
      <c r="K1496" s="217"/>
      <c r="L1496" s="185"/>
      <c r="M1496" s="185"/>
      <c r="N1496" s="185"/>
      <c r="O1496" s="185"/>
      <c r="P1496" s="185"/>
      <c r="Q1496" s="185"/>
      <c r="R1496" s="168"/>
      <c r="S1496" s="168"/>
      <c r="U1496" s="170"/>
      <c r="V1496" s="171"/>
      <c r="W1496" s="171"/>
      <c r="X1496" s="171"/>
      <c r="Y1496" s="185"/>
      <c r="Z1496" s="185"/>
    </row>
    <row r="1497" spans="4:26" x14ac:dyDescent="0.25">
      <c r="D1497" s="175"/>
      <c r="E1497" s="175"/>
      <c r="H1497" s="201"/>
      <c r="I1497" s="201"/>
      <c r="J1497" s="217"/>
      <c r="K1497" s="217"/>
      <c r="L1497" s="185"/>
      <c r="M1497" s="185"/>
      <c r="N1497" s="185"/>
      <c r="O1497" s="185"/>
      <c r="P1497" s="185"/>
      <c r="Q1497" s="185"/>
      <c r="R1497" s="168"/>
      <c r="S1497" s="168"/>
      <c r="U1497" s="170"/>
      <c r="V1497" s="171"/>
      <c r="W1497" s="171"/>
      <c r="X1497" s="171"/>
      <c r="Y1497" s="185"/>
      <c r="Z1497" s="185"/>
    </row>
    <row r="1498" spans="4:26" x14ac:dyDescent="0.25">
      <c r="D1498" s="175"/>
      <c r="E1498" s="175"/>
      <c r="H1498" s="201"/>
      <c r="I1498" s="201"/>
      <c r="J1498" s="217"/>
      <c r="K1498" s="217"/>
      <c r="L1498" s="185"/>
      <c r="M1498" s="185"/>
      <c r="N1498" s="185"/>
      <c r="O1498" s="185"/>
      <c r="P1498" s="185"/>
      <c r="Q1498" s="185"/>
      <c r="R1498" s="168"/>
      <c r="S1498" s="168"/>
      <c r="U1498" s="170"/>
      <c r="V1498" s="171"/>
      <c r="W1498" s="171"/>
      <c r="X1498" s="171"/>
      <c r="Y1498" s="185"/>
      <c r="Z1498" s="185"/>
    </row>
    <row r="1499" spans="4:26" x14ac:dyDescent="0.25">
      <c r="D1499" s="175"/>
      <c r="E1499" s="175"/>
      <c r="H1499" s="201"/>
      <c r="I1499" s="201"/>
      <c r="J1499" s="217"/>
      <c r="K1499" s="217"/>
      <c r="L1499" s="185"/>
      <c r="M1499" s="185"/>
      <c r="N1499" s="185"/>
      <c r="O1499" s="185"/>
      <c r="P1499" s="185"/>
      <c r="Q1499" s="185"/>
      <c r="R1499" s="168"/>
      <c r="S1499" s="168"/>
      <c r="U1499" s="170"/>
      <c r="V1499" s="171"/>
      <c r="W1499" s="171"/>
      <c r="X1499" s="171"/>
      <c r="Y1499" s="185"/>
      <c r="Z1499" s="185"/>
    </row>
    <row r="1500" spans="4:26" x14ac:dyDescent="0.25">
      <c r="D1500" s="175"/>
      <c r="E1500" s="175"/>
      <c r="H1500" s="201"/>
      <c r="I1500" s="201"/>
      <c r="J1500" s="217"/>
      <c r="K1500" s="217"/>
      <c r="L1500" s="185"/>
      <c r="M1500" s="185"/>
      <c r="N1500" s="185"/>
      <c r="O1500" s="185"/>
      <c r="P1500" s="185"/>
      <c r="Q1500" s="185"/>
      <c r="R1500" s="168"/>
      <c r="S1500" s="168"/>
      <c r="U1500" s="170"/>
      <c r="V1500" s="171"/>
      <c r="W1500" s="171"/>
      <c r="X1500" s="171"/>
      <c r="Y1500" s="185"/>
      <c r="Z1500" s="185"/>
    </row>
    <row r="1501" spans="4:26" x14ac:dyDescent="0.25">
      <c r="D1501" s="175"/>
      <c r="E1501" s="175"/>
      <c r="H1501" s="201"/>
      <c r="I1501" s="201"/>
      <c r="J1501" s="217"/>
      <c r="K1501" s="217"/>
      <c r="L1501" s="185"/>
      <c r="M1501" s="185"/>
      <c r="N1501" s="185"/>
      <c r="O1501" s="185"/>
      <c r="P1501" s="185"/>
      <c r="Q1501" s="185"/>
      <c r="R1501" s="168"/>
      <c r="S1501" s="168"/>
      <c r="U1501" s="170"/>
      <c r="V1501" s="171"/>
      <c r="W1501" s="171"/>
      <c r="X1501" s="171"/>
      <c r="Y1501" s="185"/>
      <c r="Z1501" s="185"/>
    </row>
    <row r="1502" spans="4:26" x14ac:dyDescent="0.25">
      <c r="D1502" s="175"/>
      <c r="E1502" s="175"/>
      <c r="H1502" s="201"/>
      <c r="I1502" s="201"/>
      <c r="J1502" s="217"/>
      <c r="K1502" s="217"/>
      <c r="L1502" s="185"/>
      <c r="M1502" s="185"/>
      <c r="N1502" s="185"/>
      <c r="O1502" s="185"/>
      <c r="P1502" s="185"/>
      <c r="Q1502" s="185"/>
      <c r="R1502" s="168"/>
      <c r="S1502" s="168"/>
      <c r="U1502" s="170"/>
      <c r="V1502" s="171"/>
      <c r="W1502" s="171"/>
      <c r="X1502" s="171"/>
      <c r="Y1502" s="185"/>
      <c r="Z1502" s="185"/>
    </row>
    <row r="1503" spans="4:26" x14ac:dyDescent="0.25">
      <c r="D1503" s="175"/>
      <c r="E1503" s="175"/>
      <c r="H1503" s="201"/>
      <c r="I1503" s="201"/>
      <c r="J1503" s="217"/>
      <c r="K1503" s="217"/>
      <c r="L1503" s="185"/>
      <c r="M1503" s="185"/>
      <c r="N1503" s="185"/>
      <c r="O1503" s="185"/>
      <c r="P1503" s="185"/>
      <c r="Q1503" s="185"/>
      <c r="R1503" s="168"/>
      <c r="S1503" s="168"/>
      <c r="U1503" s="170"/>
      <c r="V1503" s="171"/>
      <c r="W1503" s="171"/>
      <c r="X1503" s="171"/>
      <c r="Y1503" s="185"/>
      <c r="Z1503" s="185"/>
    </row>
    <row r="1504" spans="4:26" x14ac:dyDescent="0.25">
      <c r="D1504" s="175"/>
      <c r="E1504" s="175"/>
      <c r="H1504" s="201"/>
      <c r="I1504" s="201"/>
      <c r="J1504" s="217"/>
      <c r="K1504" s="217"/>
      <c r="L1504" s="185"/>
      <c r="M1504" s="185"/>
      <c r="N1504" s="185"/>
      <c r="O1504" s="185"/>
      <c r="P1504" s="185"/>
      <c r="Q1504" s="185"/>
      <c r="R1504" s="168"/>
      <c r="S1504" s="168"/>
      <c r="U1504" s="170"/>
      <c r="V1504" s="171"/>
      <c r="W1504" s="171"/>
      <c r="X1504" s="171"/>
      <c r="Y1504" s="185"/>
      <c r="Z1504" s="185"/>
    </row>
    <row r="1505" spans="4:26" x14ac:dyDescent="0.25">
      <c r="D1505" s="175"/>
      <c r="E1505" s="175"/>
      <c r="H1505" s="201"/>
      <c r="I1505" s="201"/>
      <c r="J1505" s="217"/>
      <c r="K1505" s="217"/>
      <c r="L1505" s="185"/>
      <c r="M1505" s="185"/>
      <c r="N1505" s="185"/>
      <c r="O1505" s="185"/>
      <c r="P1505" s="185"/>
      <c r="Q1505" s="185"/>
      <c r="R1505" s="168"/>
      <c r="S1505" s="168"/>
      <c r="U1505" s="170"/>
      <c r="V1505" s="171"/>
      <c r="W1505" s="171"/>
      <c r="X1505" s="171"/>
      <c r="Y1505" s="185"/>
      <c r="Z1505" s="185"/>
    </row>
    <row r="1506" spans="4:26" x14ac:dyDescent="0.25">
      <c r="D1506" s="175"/>
      <c r="E1506" s="175"/>
      <c r="H1506" s="201"/>
      <c r="I1506" s="201"/>
      <c r="J1506" s="217"/>
      <c r="K1506" s="217"/>
      <c r="L1506" s="185"/>
      <c r="M1506" s="185"/>
      <c r="N1506" s="185"/>
      <c r="O1506" s="185"/>
      <c r="P1506" s="185"/>
      <c r="Q1506" s="185"/>
      <c r="R1506" s="168"/>
      <c r="S1506" s="168"/>
      <c r="U1506" s="170"/>
      <c r="V1506" s="171"/>
      <c r="W1506" s="171"/>
      <c r="X1506" s="171"/>
      <c r="Y1506" s="185"/>
      <c r="Z1506" s="185"/>
    </row>
    <row r="1507" spans="4:26" x14ac:dyDescent="0.25">
      <c r="D1507" s="175"/>
      <c r="E1507" s="175"/>
      <c r="H1507" s="201"/>
      <c r="I1507" s="201"/>
      <c r="J1507" s="217"/>
      <c r="K1507" s="217"/>
      <c r="L1507" s="185"/>
      <c r="M1507" s="185"/>
      <c r="N1507" s="185"/>
      <c r="O1507" s="185"/>
      <c r="P1507" s="185"/>
      <c r="Q1507" s="185"/>
      <c r="R1507" s="168"/>
      <c r="S1507" s="168"/>
      <c r="U1507" s="170"/>
      <c r="V1507" s="171"/>
      <c r="W1507" s="171"/>
      <c r="X1507" s="171"/>
      <c r="Y1507" s="185"/>
      <c r="Z1507" s="185"/>
    </row>
    <row r="1508" spans="4:26" x14ac:dyDescent="0.25">
      <c r="D1508" s="175"/>
      <c r="E1508" s="175"/>
      <c r="H1508" s="201"/>
      <c r="I1508" s="201"/>
      <c r="J1508" s="217"/>
      <c r="K1508" s="217"/>
      <c r="L1508" s="185"/>
      <c r="M1508" s="185"/>
      <c r="N1508" s="185"/>
      <c r="O1508" s="185"/>
      <c r="P1508" s="185"/>
      <c r="Q1508" s="185"/>
      <c r="R1508" s="168"/>
      <c r="S1508" s="168"/>
      <c r="U1508" s="170"/>
      <c r="V1508" s="171"/>
      <c r="W1508" s="171"/>
      <c r="X1508" s="171"/>
      <c r="Y1508" s="185"/>
      <c r="Z1508" s="185"/>
    </row>
    <row r="1509" spans="4:26" x14ac:dyDescent="0.25">
      <c r="D1509" s="175"/>
      <c r="E1509" s="175"/>
      <c r="H1509" s="201"/>
      <c r="I1509" s="201"/>
      <c r="J1509" s="217"/>
      <c r="K1509" s="217"/>
      <c r="L1509" s="185"/>
      <c r="M1509" s="185"/>
      <c r="N1509" s="185"/>
      <c r="O1509" s="185"/>
      <c r="P1509" s="185"/>
      <c r="Q1509" s="185"/>
      <c r="R1509" s="168"/>
      <c r="S1509" s="168"/>
      <c r="U1509" s="170"/>
      <c r="V1509" s="171"/>
      <c r="W1509" s="171"/>
      <c r="X1509" s="171"/>
      <c r="Y1509" s="185"/>
      <c r="Z1509" s="185"/>
    </row>
    <row r="1510" spans="4:26" x14ac:dyDescent="0.25">
      <c r="D1510" s="175"/>
      <c r="E1510" s="175"/>
      <c r="H1510" s="201"/>
      <c r="I1510" s="201"/>
      <c r="J1510" s="217"/>
      <c r="K1510" s="217"/>
      <c r="L1510" s="185"/>
      <c r="M1510" s="185"/>
      <c r="N1510" s="185"/>
      <c r="O1510" s="185"/>
      <c r="P1510" s="185"/>
      <c r="Q1510" s="185"/>
      <c r="R1510" s="168"/>
      <c r="S1510" s="168"/>
      <c r="U1510" s="170"/>
      <c r="V1510" s="171"/>
      <c r="W1510" s="171"/>
      <c r="X1510" s="171"/>
      <c r="Y1510" s="185"/>
      <c r="Z1510" s="185"/>
    </row>
    <row r="1511" spans="4:26" x14ac:dyDescent="0.25">
      <c r="D1511" s="175"/>
      <c r="E1511" s="175"/>
      <c r="H1511" s="201"/>
      <c r="I1511" s="201"/>
      <c r="J1511" s="217"/>
      <c r="K1511" s="217"/>
      <c r="L1511" s="185"/>
      <c r="M1511" s="185"/>
      <c r="N1511" s="185"/>
      <c r="O1511" s="185"/>
      <c r="P1511" s="185"/>
      <c r="Q1511" s="185"/>
      <c r="R1511" s="168"/>
      <c r="S1511" s="168"/>
      <c r="U1511" s="170"/>
      <c r="V1511" s="171"/>
      <c r="W1511" s="171"/>
      <c r="X1511" s="171"/>
      <c r="Y1511" s="185"/>
      <c r="Z1511" s="185"/>
    </row>
    <row r="1512" spans="4:26" x14ac:dyDescent="0.25">
      <c r="D1512" s="175"/>
      <c r="E1512" s="175"/>
      <c r="H1512" s="201"/>
      <c r="I1512" s="201"/>
      <c r="J1512" s="217"/>
      <c r="K1512" s="217"/>
      <c r="L1512" s="185"/>
      <c r="M1512" s="185"/>
      <c r="N1512" s="185"/>
      <c r="O1512" s="185"/>
      <c r="P1512" s="185"/>
      <c r="Q1512" s="185"/>
      <c r="R1512" s="168"/>
      <c r="S1512" s="168"/>
      <c r="U1512" s="170"/>
      <c r="V1512" s="171"/>
      <c r="W1512" s="171"/>
      <c r="X1512" s="171"/>
      <c r="Y1512" s="185"/>
      <c r="Z1512" s="185"/>
    </row>
    <row r="1513" spans="4:26" x14ac:dyDescent="0.25">
      <c r="D1513" s="175"/>
      <c r="E1513" s="175"/>
      <c r="H1513" s="201"/>
      <c r="I1513" s="201"/>
      <c r="J1513" s="217"/>
      <c r="K1513" s="217"/>
      <c r="L1513" s="185"/>
      <c r="M1513" s="185"/>
      <c r="N1513" s="185"/>
      <c r="O1513" s="185"/>
      <c r="P1513" s="185"/>
      <c r="Q1513" s="185"/>
      <c r="R1513" s="168"/>
      <c r="S1513" s="168"/>
      <c r="U1513" s="170"/>
      <c r="V1513" s="171"/>
      <c r="W1513" s="171"/>
      <c r="X1513" s="171"/>
      <c r="Y1513" s="185"/>
      <c r="Z1513" s="185"/>
    </row>
    <row r="1514" spans="4:26" x14ac:dyDescent="0.25">
      <c r="D1514" s="175"/>
      <c r="E1514" s="175"/>
      <c r="H1514" s="201"/>
      <c r="I1514" s="201"/>
      <c r="J1514" s="217"/>
      <c r="K1514" s="217"/>
      <c r="L1514" s="185"/>
      <c r="M1514" s="185"/>
      <c r="N1514" s="185"/>
      <c r="O1514" s="185"/>
      <c r="P1514" s="185"/>
      <c r="Q1514" s="185"/>
      <c r="R1514" s="168"/>
      <c r="S1514" s="168"/>
      <c r="U1514" s="170"/>
      <c r="V1514" s="171"/>
      <c r="W1514" s="171"/>
      <c r="X1514" s="171"/>
      <c r="Y1514" s="185"/>
      <c r="Z1514" s="185"/>
    </row>
    <row r="1515" spans="4:26" x14ac:dyDescent="0.25">
      <c r="D1515" s="175"/>
      <c r="E1515" s="175"/>
      <c r="H1515" s="201"/>
      <c r="I1515" s="201"/>
      <c r="J1515" s="217"/>
      <c r="K1515" s="217"/>
      <c r="L1515" s="185"/>
      <c r="M1515" s="185"/>
      <c r="N1515" s="185"/>
      <c r="O1515" s="185"/>
      <c r="P1515" s="185"/>
      <c r="Q1515" s="185"/>
      <c r="R1515" s="168"/>
      <c r="S1515" s="168"/>
      <c r="U1515" s="170"/>
      <c r="V1515" s="171"/>
      <c r="W1515" s="171"/>
      <c r="X1515" s="171"/>
      <c r="Y1515" s="185"/>
      <c r="Z1515" s="185"/>
    </row>
    <row r="1516" spans="4:26" x14ac:dyDescent="0.25">
      <c r="D1516" s="175"/>
      <c r="E1516" s="175"/>
      <c r="H1516" s="201"/>
      <c r="I1516" s="201"/>
      <c r="J1516" s="217"/>
      <c r="K1516" s="217"/>
      <c r="L1516" s="185"/>
      <c r="M1516" s="185"/>
      <c r="N1516" s="185"/>
      <c r="O1516" s="185"/>
      <c r="P1516" s="185"/>
      <c r="Q1516" s="185"/>
      <c r="R1516" s="168"/>
      <c r="S1516" s="168"/>
      <c r="U1516" s="170"/>
      <c r="V1516" s="171"/>
      <c r="W1516" s="171"/>
      <c r="X1516" s="171"/>
      <c r="Y1516" s="185"/>
      <c r="Z1516" s="185"/>
    </row>
    <row r="1517" spans="4:26" x14ac:dyDescent="0.25">
      <c r="D1517" s="175"/>
      <c r="E1517" s="175"/>
      <c r="H1517" s="201"/>
      <c r="I1517" s="201"/>
      <c r="J1517" s="217"/>
      <c r="K1517" s="217"/>
      <c r="L1517" s="185"/>
      <c r="M1517" s="185"/>
      <c r="N1517" s="185"/>
      <c r="O1517" s="185"/>
      <c r="P1517" s="185"/>
      <c r="Q1517" s="185"/>
      <c r="R1517" s="168"/>
      <c r="S1517" s="168"/>
      <c r="U1517" s="170"/>
      <c r="V1517" s="171"/>
      <c r="W1517" s="171"/>
      <c r="X1517" s="171"/>
      <c r="Y1517" s="185"/>
      <c r="Z1517" s="185"/>
    </row>
    <row r="1518" spans="4:26" x14ac:dyDescent="0.25">
      <c r="D1518" s="175"/>
      <c r="E1518" s="175"/>
      <c r="H1518" s="201"/>
      <c r="I1518" s="201"/>
      <c r="J1518" s="217"/>
      <c r="K1518" s="217"/>
      <c r="L1518" s="185"/>
      <c r="M1518" s="185"/>
      <c r="N1518" s="185"/>
      <c r="O1518" s="185"/>
      <c r="P1518" s="185"/>
      <c r="Q1518" s="185"/>
      <c r="R1518" s="168"/>
      <c r="S1518" s="168"/>
      <c r="U1518" s="170"/>
      <c r="V1518" s="171"/>
      <c r="W1518" s="171"/>
      <c r="X1518" s="171"/>
      <c r="Y1518" s="185"/>
      <c r="Z1518" s="185"/>
    </row>
    <row r="1519" spans="4:26" x14ac:dyDescent="0.25">
      <c r="D1519" s="175"/>
      <c r="E1519" s="175"/>
      <c r="H1519" s="201"/>
      <c r="I1519" s="201"/>
      <c r="J1519" s="217"/>
      <c r="K1519" s="217"/>
      <c r="L1519" s="185"/>
      <c r="M1519" s="185"/>
      <c r="N1519" s="185"/>
      <c r="O1519" s="185"/>
      <c r="P1519" s="185"/>
      <c r="Q1519" s="185"/>
      <c r="R1519" s="168"/>
      <c r="S1519" s="168"/>
      <c r="U1519" s="170"/>
      <c r="V1519" s="171"/>
      <c r="W1519" s="171"/>
      <c r="X1519" s="171"/>
      <c r="Y1519" s="185"/>
      <c r="Z1519" s="185"/>
    </row>
    <row r="1520" spans="4:26" x14ac:dyDescent="0.25">
      <c r="D1520" s="175"/>
      <c r="E1520" s="175"/>
      <c r="H1520" s="201"/>
      <c r="I1520" s="201"/>
      <c r="J1520" s="217"/>
      <c r="K1520" s="217"/>
      <c r="L1520" s="185"/>
      <c r="M1520" s="185"/>
      <c r="N1520" s="185"/>
      <c r="O1520" s="185"/>
      <c r="P1520" s="185"/>
      <c r="Q1520" s="185"/>
      <c r="R1520" s="168"/>
      <c r="S1520" s="168"/>
      <c r="U1520" s="170"/>
      <c r="V1520" s="171"/>
      <c r="W1520" s="171"/>
      <c r="X1520" s="171"/>
      <c r="Y1520" s="185"/>
      <c r="Z1520" s="185"/>
    </row>
    <row r="1521" spans="4:26" x14ac:dyDescent="0.25">
      <c r="D1521" s="175"/>
      <c r="E1521" s="175"/>
      <c r="H1521" s="201"/>
      <c r="I1521" s="201"/>
      <c r="J1521" s="217"/>
      <c r="K1521" s="217"/>
      <c r="L1521" s="185"/>
      <c r="M1521" s="185"/>
      <c r="N1521" s="185"/>
      <c r="O1521" s="185"/>
      <c r="P1521" s="185"/>
      <c r="Q1521" s="185"/>
      <c r="R1521" s="168"/>
      <c r="S1521" s="168"/>
      <c r="U1521" s="170"/>
      <c r="V1521" s="171"/>
      <c r="W1521" s="171"/>
      <c r="X1521" s="171"/>
      <c r="Y1521" s="185"/>
      <c r="Z1521" s="185"/>
    </row>
    <row r="1522" spans="4:26" x14ac:dyDescent="0.25">
      <c r="D1522" s="175"/>
      <c r="E1522" s="175"/>
      <c r="H1522" s="201"/>
      <c r="I1522" s="201"/>
      <c r="J1522" s="217"/>
      <c r="K1522" s="217"/>
      <c r="L1522" s="185"/>
      <c r="M1522" s="185"/>
      <c r="N1522" s="185"/>
      <c r="O1522" s="185"/>
      <c r="P1522" s="185"/>
      <c r="Q1522" s="185"/>
      <c r="R1522" s="168"/>
      <c r="S1522" s="168"/>
      <c r="U1522" s="170"/>
      <c r="V1522" s="171"/>
      <c r="W1522" s="171"/>
      <c r="X1522" s="171"/>
      <c r="Y1522" s="185"/>
      <c r="Z1522" s="185"/>
    </row>
    <row r="1523" spans="4:26" x14ac:dyDescent="0.25">
      <c r="D1523" s="175"/>
      <c r="E1523" s="175"/>
      <c r="H1523" s="201"/>
      <c r="I1523" s="201"/>
      <c r="J1523" s="217"/>
      <c r="K1523" s="217"/>
      <c r="L1523" s="185"/>
      <c r="M1523" s="185"/>
      <c r="N1523" s="185"/>
      <c r="O1523" s="185"/>
      <c r="P1523" s="185"/>
      <c r="Q1523" s="185"/>
      <c r="R1523" s="168"/>
      <c r="S1523" s="168"/>
      <c r="U1523" s="170"/>
      <c r="V1523" s="171"/>
      <c r="W1523" s="171"/>
      <c r="X1523" s="171"/>
      <c r="Y1523" s="185"/>
      <c r="Z1523" s="185"/>
    </row>
    <row r="1524" spans="4:26" x14ac:dyDescent="0.25">
      <c r="D1524" s="175"/>
      <c r="E1524" s="175"/>
      <c r="H1524" s="201"/>
      <c r="I1524" s="201"/>
      <c r="J1524" s="217"/>
      <c r="K1524" s="217"/>
      <c r="L1524" s="185"/>
      <c r="M1524" s="185"/>
      <c r="N1524" s="185"/>
      <c r="O1524" s="185"/>
      <c r="P1524" s="185"/>
      <c r="Q1524" s="185"/>
      <c r="R1524" s="168"/>
      <c r="S1524" s="168"/>
      <c r="U1524" s="170"/>
      <c r="V1524" s="171"/>
      <c r="W1524" s="171"/>
      <c r="X1524" s="171"/>
      <c r="Y1524" s="185"/>
      <c r="Z1524" s="185"/>
    </row>
    <row r="1525" spans="4:26" x14ac:dyDescent="0.25">
      <c r="D1525" s="175"/>
      <c r="E1525" s="175"/>
      <c r="H1525" s="201"/>
      <c r="I1525" s="201"/>
      <c r="J1525" s="217"/>
      <c r="K1525" s="217"/>
      <c r="L1525" s="185"/>
      <c r="M1525" s="185"/>
      <c r="N1525" s="185"/>
      <c r="O1525" s="185"/>
      <c r="P1525" s="185"/>
      <c r="Q1525" s="185"/>
      <c r="R1525" s="168"/>
      <c r="S1525" s="168"/>
      <c r="U1525" s="170"/>
      <c r="V1525" s="171"/>
      <c r="W1525" s="171"/>
      <c r="X1525" s="171"/>
      <c r="Y1525" s="185"/>
      <c r="Z1525" s="185"/>
    </row>
    <row r="1526" spans="4:26" x14ac:dyDescent="0.25">
      <c r="D1526" s="175"/>
      <c r="E1526" s="175"/>
      <c r="H1526" s="201"/>
      <c r="I1526" s="201"/>
      <c r="J1526" s="217"/>
      <c r="K1526" s="217"/>
      <c r="L1526" s="185"/>
      <c r="M1526" s="185"/>
      <c r="N1526" s="185"/>
      <c r="O1526" s="185"/>
      <c r="P1526" s="185"/>
      <c r="Q1526" s="185"/>
      <c r="R1526" s="168"/>
      <c r="S1526" s="168"/>
      <c r="U1526" s="170"/>
      <c r="V1526" s="171"/>
      <c r="W1526" s="171"/>
      <c r="X1526" s="171"/>
      <c r="Y1526" s="185"/>
      <c r="Z1526" s="185"/>
    </row>
    <row r="1527" spans="4:26" x14ac:dyDescent="0.25">
      <c r="D1527" s="175"/>
      <c r="E1527" s="175"/>
      <c r="H1527" s="201"/>
      <c r="I1527" s="201"/>
      <c r="J1527" s="217"/>
      <c r="K1527" s="217"/>
      <c r="L1527" s="185"/>
      <c r="M1527" s="185"/>
      <c r="N1527" s="185"/>
      <c r="O1527" s="185"/>
      <c r="P1527" s="185"/>
      <c r="Q1527" s="185"/>
      <c r="R1527" s="168"/>
      <c r="S1527" s="168"/>
      <c r="U1527" s="170"/>
      <c r="V1527" s="171"/>
      <c r="W1527" s="171"/>
      <c r="X1527" s="171"/>
      <c r="Y1527" s="185"/>
      <c r="Z1527" s="185"/>
    </row>
    <row r="1528" spans="4:26" x14ac:dyDescent="0.25">
      <c r="D1528" s="175"/>
      <c r="E1528" s="175"/>
      <c r="H1528" s="201"/>
      <c r="I1528" s="201"/>
      <c r="J1528" s="217"/>
      <c r="K1528" s="217"/>
      <c r="L1528" s="185"/>
      <c r="M1528" s="185"/>
      <c r="N1528" s="185"/>
      <c r="O1528" s="185"/>
      <c r="P1528" s="185"/>
      <c r="Q1528" s="185"/>
      <c r="R1528" s="168"/>
      <c r="S1528" s="168"/>
      <c r="U1528" s="170"/>
      <c r="V1528" s="171"/>
      <c r="W1528" s="171"/>
      <c r="X1528" s="171"/>
      <c r="Y1528" s="185"/>
      <c r="Z1528" s="185"/>
    </row>
    <row r="1529" spans="4:26" x14ac:dyDescent="0.25">
      <c r="D1529" s="175"/>
      <c r="E1529" s="175"/>
      <c r="H1529" s="201"/>
      <c r="I1529" s="201"/>
      <c r="J1529" s="217"/>
      <c r="K1529" s="217"/>
      <c r="L1529" s="185"/>
      <c r="M1529" s="185"/>
      <c r="N1529" s="185"/>
      <c r="O1529" s="185"/>
      <c r="P1529" s="185"/>
      <c r="Q1529" s="185"/>
      <c r="R1529" s="168"/>
      <c r="S1529" s="168"/>
      <c r="U1529" s="170"/>
      <c r="V1529" s="171"/>
      <c r="W1529" s="171"/>
      <c r="X1529" s="171"/>
      <c r="Y1529" s="185"/>
      <c r="Z1529" s="185"/>
    </row>
    <row r="1530" spans="4:26" x14ac:dyDescent="0.25">
      <c r="D1530" s="175"/>
      <c r="E1530" s="175"/>
      <c r="H1530" s="201"/>
      <c r="I1530" s="201"/>
      <c r="J1530" s="217"/>
      <c r="K1530" s="217"/>
      <c r="L1530" s="185"/>
      <c r="M1530" s="185"/>
      <c r="N1530" s="185"/>
      <c r="O1530" s="185"/>
      <c r="P1530" s="185"/>
      <c r="Q1530" s="185"/>
      <c r="R1530" s="168"/>
      <c r="S1530" s="168"/>
      <c r="U1530" s="170"/>
      <c r="V1530" s="171"/>
      <c r="W1530" s="171"/>
      <c r="X1530" s="171"/>
      <c r="Y1530" s="185"/>
      <c r="Z1530" s="185"/>
    </row>
    <row r="1531" spans="4:26" x14ac:dyDescent="0.25">
      <c r="D1531" s="175"/>
      <c r="E1531" s="175"/>
      <c r="H1531" s="201"/>
      <c r="I1531" s="201"/>
      <c r="J1531" s="217"/>
      <c r="K1531" s="217"/>
      <c r="L1531" s="185"/>
      <c r="M1531" s="185"/>
      <c r="N1531" s="185"/>
      <c r="O1531" s="185"/>
      <c r="P1531" s="185"/>
      <c r="Q1531" s="185"/>
      <c r="R1531" s="168"/>
      <c r="S1531" s="168"/>
      <c r="U1531" s="170"/>
      <c r="V1531" s="171"/>
      <c r="W1531" s="171"/>
      <c r="X1531" s="171"/>
      <c r="Y1531" s="185"/>
      <c r="Z1531" s="185"/>
    </row>
    <row r="1532" spans="4:26" x14ac:dyDescent="0.25">
      <c r="D1532" s="175"/>
      <c r="E1532" s="175"/>
      <c r="H1532" s="201"/>
      <c r="I1532" s="201"/>
      <c r="J1532" s="217"/>
      <c r="K1532" s="217"/>
      <c r="L1532" s="185"/>
      <c r="M1532" s="185"/>
      <c r="N1532" s="185"/>
      <c r="O1532" s="185"/>
      <c r="P1532" s="185"/>
      <c r="Q1532" s="185"/>
      <c r="R1532" s="168"/>
      <c r="S1532" s="168"/>
      <c r="U1532" s="170"/>
      <c r="V1532" s="171"/>
      <c r="W1532" s="171"/>
      <c r="X1532" s="171"/>
      <c r="Y1532" s="185"/>
      <c r="Z1532" s="185"/>
    </row>
    <row r="1533" spans="4:26" x14ac:dyDescent="0.25">
      <c r="D1533" s="175"/>
      <c r="E1533" s="175"/>
      <c r="H1533" s="201"/>
      <c r="I1533" s="201"/>
      <c r="J1533" s="217"/>
      <c r="K1533" s="217"/>
      <c r="L1533" s="185"/>
      <c r="M1533" s="185"/>
      <c r="N1533" s="185"/>
      <c r="O1533" s="185"/>
      <c r="P1533" s="185"/>
      <c r="Q1533" s="185"/>
      <c r="R1533" s="168"/>
      <c r="S1533" s="168"/>
      <c r="U1533" s="170"/>
      <c r="V1533" s="171"/>
      <c r="W1533" s="171"/>
      <c r="X1533" s="171"/>
      <c r="Y1533" s="185"/>
      <c r="Z1533" s="185"/>
    </row>
    <row r="1534" spans="4:26" x14ac:dyDescent="0.25">
      <c r="D1534" s="175"/>
      <c r="E1534" s="175"/>
      <c r="H1534" s="201"/>
      <c r="I1534" s="201"/>
      <c r="J1534" s="217"/>
      <c r="K1534" s="217"/>
      <c r="L1534" s="185"/>
      <c r="M1534" s="185"/>
      <c r="N1534" s="185"/>
      <c r="O1534" s="185"/>
      <c r="P1534" s="185"/>
      <c r="Q1534" s="185"/>
      <c r="R1534" s="168"/>
      <c r="S1534" s="168"/>
      <c r="U1534" s="170"/>
      <c r="V1534" s="171"/>
      <c r="W1534" s="171"/>
      <c r="X1534" s="171"/>
      <c r="Y1534" s="185"/>
      <c r="Z1534" s="185"/>
    </row>
    <row r="1535" spans="4:26" x14ac:dyDescent="0.25">
      <c r="D1535" s="175"/>
      <c r="E1535" s="175"/>
      <c r="H1535" s="201"/>
      <c r="I1535" s="201"/>
      <c r="J1535" s="217"/>
      <c r="K1535" s="217"/>
      <c r="L1535" s="185"/>
      <c r="M1535" s="185"/>
      <c r="N1535" s="185"/>
      <c r="O1535" s="185"/>
      <c r="P1535" s="185"/>
      <c r="Q1535" s="185"/>
      <c r="R1535" s="168"/>
      <c r="S1535" s="168"/>
      <c r="U1535" s="170"/>
      <c r="V1535" s="171"/>
      <c r="W1535" s="171"/>
      <c r="X1535" s="171"/>
      <c r="Y1535" s="185"/>
      <c r="Z1535" s="185"/>
    </row>
    <row r="1536" spans="4:26" x14ac:dyDescent="0.25">
      <c r="D1536" s="175"/>
      <c r="E1536" s="175"/>
      <c r="H1536" s="201"/>
      <c r="I1536" s="201"/>
      <c r="J1536" s="217"/>
      <c r="K1536" s="217"/>
      <c r="L1536" s="185"/>
      <c r="M1536" s="185"/>
      <c r="N1536" s="185"/>
      <c r="O1536" s="185"/>
      <c r="P1536" s="185"/>
      <c r="Q1536" s="185"/>
      <c r="R1536" s="168"/>
      <c r="S1536" s="168"/>
      <c r="U1536" s="170"/>
      <c r="V1536" s="171"/>
      <c r="W1536" s="171"/>
      <c r="X1536" s="171"/>
      <c r="Y1536" s="185"/>
      <c r="Z1536" s="185"/>
    </row>
    <row r="1537" spans="4:26" x14ac:dyDescent="0.25">
      <c r="D1537" s="175"/>
      <c r="E1537" s="175"/>
      <c r="H1537" s="201"/>
      <c r="I1537" s="201"/>
      <c r="J1537" s="217"/>
      <c r="K1537" s="217"/>
      <c r="L1537" s="185"/>
      <c r="M1537" s="185"/>
      <c r="N1537" s="185"/>
      <c r="O1537" s="185"/>
      <c r="P1537" s="185"/>
      <c r="Q1537" s="185"/>
      <c r="R1537" s="168"/>
      <c r="S1537" s="168"/>
      <c r="U1537" s="170"/>
      <c r="V1537" s="171"/>
      <c r="W1537" s="171"/>
      <c r="X1537" s="171"/>
      <c r="Y1537" s="185"/>
      <c r="Z1537" s="185"/>
    </row>
    <row r="1538" spans="4:26" x14ac:dyDescent="0.25">
      <c r="D1538" s="175"/>
      <c r="E1538" s="175"/>
      <c r="H1538" s="201"/>
      <c r="I1538" s="201"/>
      <c r="J1538" s="217"/>
      <c r="K1538" s="217"/>
      <c r="L1538" s="185"/>
      <c r="M1538" s="185"/>
      <c r="N1538" s="185"/>
      <c r="O1538" s="185"/>
      <c r="P1538" s="185"/>
      <c r="Q1538" s="185"/>
      <c r="R1538" s="168"/>
      <c r="S1538" s="168"/>
      <c r="U1538" s="170"/>
      <c r="V1538" s="171"/>
      <c r="W1538" s="171"/>
      <c r="X1538" s="171"/>
      <c r="Y1538" s="185"/>
      <c r="Z1538" s="185"/>
    </row>
    <row r="1539" spans="4:26" x14ac:dyDescent="0.25">
      <c r="D1539" s="175"/>
      <c r="E1539" s="175"/>
      <c r="H1539" s="201"/>
      <c r="I1539" s="201"/>
      <c r="J1539" s="217"/>
      <c r="K1539" s="217"/>
      <c r="L1539" s="185"/>
      <c r="M1539" s="185"/>
      <c r="N1539" s="185"/>
      <c r="O1539" s="185"/>
      <c r="P1539" s="185"/>
      <c r="Q1539" s="185"/>
      <c r="R1539" s="168"/>
      <c r="S1539" s="168"/>
      <c r="U1539" s="170"/>
      <c r="V1539" s="171"/>
      <c r="W1539" s="171"/>
      <c r="X1539" s="171"/>
      <c r="Y1539" s="185"/>
      <c r="Z1539" s="185"/>
    </row>
    <row r="1540" spans="4:26" x14ac:dyDescent="0.25">
      <c r="D1540" s="175"/>
      <c r="E1540" s="175"/>
      <c r="H1540" s="201"/>
      <c r="I1540" s="201"/>
      <c r="J1540" s="217"/>
      <c r="K1540" s="217"/>
      <c r="L1540" s="185"/>
      <c r="M1540" s="185"/>
      <c r="N1540" s="185"/>
      <c r="O1540" s="185"/>
      <c r="P1540" s="185"/>
      <c r="Q1540" s="185"/>
      <c r="R1540" s="168"/>
      <c r="S1540" s="168"/>
      <c r="U1540" s="170"/>
      <c r="V1540" s="171"/>
      <c r="W1540" s="171"/>
      <c r="X1540" s="171"/>
      <c r="Y1540" s="185"/>
      <c r="Z1540" s="185"/>
    </row>
    <row r="1541" spans="4:26" x14ac:dyDescent="0.25">
      <c r="D1541" s="175"/>
      <c r="E1541" s="175"/>
      <c r="H1541" s="201"/>
      <c r="I1541" s="201"/>
      <c r="J1541" s="217"/>
      <c r="K1541" s="217"/>
      <c r="L1541" s="185"/>
      <c r="M1541" s="185"/>
      <c r="N1541" s="185"/>
      <c r="O1541" s="185"/>
      <c r="P1541" s="185"/>
      <c r="Q1541" s="185"/>
      <c r="R1541" s="168"/>
      <c r="S1541" s="168"/>
      <c r="U1541" s="170"/>
      <c r="V1541" s="171"/>
      <c r="W1541" s="171"/>
      <c r="X1541" s="171"/>
      <c r="Y1541" s="185"/>
      <c r="Z1541" s="185"/>
    </row>
    <row r="1542" spans="4:26" x14ac:dyDescent="0.25">
      <c r="D1542" s="175"/>
      <c r="E1542" s="175"/>
      <c r="H1542" s="201"/>
      <c r="I1542" s="201"/>
      <c r="J1542" s="217"/>
      <c r="K1542" s="217"/>
      <c r="L1542" s="185"/>
      <c r="M1542" s="185"/>
      <c r="N1542" s="185"/>
      <c r="O1542" s="185"/>
      <c r="P1542" s="185"/>
      <c r="Q1542" s="185"/>
      <c r="R1542" s="168"/>
      <c r="S1542" s="168"/>
      <c r="U1542" s="170"/>
      <c r="V1542" s="171"/>
      <c r="W1542" s="171"/>
      <c r="X1542" s="171"/>
      <c r="Y1542" s="185"/>
      <c r="Z1542" s="185"/>
    </row>
    <row r="1543" spans="4:26" x14ac:dyDescent="0.25">
      <c r="D1543" s="175"/>
      <c r="E1543" s="175"/>
      <c r="H1543" s="201"/>
      <c r="I1543" s="201"/>
      <c r="J1543" s="217"/>
      <c r="K1543" s="217"/>
      <c r="L1543" s="185"/>
      <c r="M1543" s="185"/>
      <c r="N1543" s="185"/>
      <c r="O1543" s="185"/>
      <c r="P1543" s="185"/>
      <c r="Q1543" s="185"/>
      <c r="R1543" s="168"/>
      <c r="S1543" s="168"/>
      <c r="U1543" s="170"/>
      <c r="V1543" s="171"/>
      <c r="W1543" s="171"/>
      <c r="X1543" s="171"/>
      <c r="Y1543" s="185"/>
      <c r="Z1543" s="185"/>
    </row>
    <row r="1544" spans="4:26" x14ac:dyDescent="0.25">
      <c r="D1544" s="175"/>
      <c r="E1544" s="175"/>
      <c r="H1544" s="201"/>
      <c r="I1544" s="201"/>
      <c r="J1544" s="217"/>
      <c r="K1544" s="217"/>
      <c r="L1544" s="185"/>
      <c r="M1544" s="185"/>
      <c r="N1544" s="185"/>
      <c r="O1544" s="185"/>
      <c r="P1544" s="185"/>
      <c r="Q1544" s="185"/>
      <c r="R1544" s="168"/>
      <c r="S1544" s="168"/>
      <c r="U1544" s="170"/>
      <c r="V1544" s="171"/>
      <c r="W1544" s="171"/>
      <c r="X1544" s="171"/>
      <c r="Y1544" s="185"/>
      <c r="Z1544" s="185"/>
    </row>
    <row r="1545" spans="4:26" x14ac:dyDescent="0.25">
      <c r="D1545" s="175"/>
      <c r="E1545" s="175"/>
      <c r="H1545" s="201"/>
      <c r="I1545" s="201"/>
      <c r="J1545" s="217"/>
      <c r="K1545" s="217"/>
      <c r="L1545" s="185"/>
      <c r="M1545" s="185"/>
      <c r="N1545" s="185"/>
      <c r="O1545" s="185"/>
      <c r="P1545" s="185"/>
      <c r="Q1545" s="185"/>
      <c r="R1545" s="168"/>
      <c r="S1545" s="168"/>
      <c r="U1545" s="170"/>
      <c r="V1545" s="171"/>
      <c r="W1545" s="171"/>
      <c r="X1545" s="171"/>
      <c r="Y1545" s="185"/>
      <c r="Z1545" s="185"/>
    </row>
    <row r="1546" spans="4:26" x14ac:dyDescent="0.25">
      <c r="D1546" s="175"/>
      <c r="E1546" s="175"/>
      <c r="H1546" s="201"/>
      <c r="I1546" s="201"/>
      <c r="J1546" s="217"/>
      <c r="K1546" s="217"/>
      <c r="L1546" s="185"/>
      <c r="M1546" s="185"/>
      <c r="N1546" s="185"/>
      <c r="O1546" s="185"/>
      <c r="P1546" s="185"/>
      <c r="Q1546" s="185"/>
      <c r="R1546" s="168"/>
      <c r="S1546" s="168"/>
      <c r="U1546" s="170"/>
      <c r="V1546" s="171"/>
      <c r="W1546" s="171"/>
      <c r="X1546" s="171"/>
      <c r="Y1546" s="185"/>
      <c r="Z1546" s="185"/>
    </row>
    <row r="1547" spans="4:26" x14ac:dyDescent="0.25">
      <c r="D1547" s="175"/>
      <c r="E1547" s="175"/>
      <c r="H1547" s="201"/>
      <c r="I1547" s="201"/>
      <c r="J1547" s="217"/>
      <c r="K1547" s="217"/>
      <c r="L1547" s="185"/>
      <c r="M1547" s="185"/>
      <c r="N1547" s="185"/>
      <c r="O1547" s="185"/>
      <c r="P1547" s="185"/>
      <c r="Q1547" s="185"/>
      <c r="R1547" s="168"/>
      <c r="S1547" s="168"/>
      <c r="U1547" s="170"/>
      <c r="V1547" s="171"/>
      <c r="W1547" s="171"/>
      <c r="X1547" s="171"/>
      <c r="Y1547" s="185"/>
      <c r="Z1547" s="185"/>
    </row>
    <row r="1548" spans="4:26" x14ac:dyDescent="0.25">
      <c r="D1548" s="175"/>
      <c r="E1548" s="175"/>
      <c r="H1548" s="201"/>
      <c r="I1548" s="201"/>
      <c r="J1548" s="217"/>
      <c r="K1548" s="217"/>
      <c r="L1548" s="185"/>
      <c r="M1548" s="185"/>
      <c r="N1548" s="185"/>
      <c r="O1548" s="185"/>
      <c r="P1548" s="185"/>
      <c r="Q1548" s="185"/>
      <c r="R1548" s="168"/>
      <c r="S1548" s="168"/>
      <c r="U1548" s="170"/>
      <c r="V1548" s="171"/>
      <c r="W1548" s="171"/>
      <c r="X1548" s="171"/>
      <c r="Y1548" s="185"/>
      <c r="Z1548" s="185"/>
    </row>
    <row r="1549" spans="4:26" x14ac:dyDescent="0.25">
      <c r="D1549" s="175"/>
      <c r="E1549" s="175"/>
      <c r="H1549" s="201"/>
      <c r="I1549" s="201"/>
      <c r="J1549" s="217"/>
      <c r="K1549" s="217"/>
      <c r="L1549" s="185"/>
      <c r="M1549" s="185"/>
      <c r="N1549" s="185"/>
      <c r="O1549" s="185"/>
      <c r="P1549" s="185"/>
      <c r="Q1549" s="185"/>
      <c r="R1549" s="168"/>
      <c r="S1549" s="168"/>
      <c r="U1549" s="170"/>
      <c r="V1549" s="171"/>
      <c r="W1549" s="171"/>
      <c r="X1549" s="171"/>
      <c r="Y1549" s="185"/>
      <c r="Z1549" s="185"/>
    </row>
    <row r="1550" spans="4:26" x14ac:dyDescent="0.25">
      <c r="D1550" s="175"/>
      <c r="E1550" s="175"/>
      <c r="H1550" s="201"/>
      <c r="I1550" s="201"/>
      <c r="J1550" s="217"/>
      <c r="K1550" s="217"/>
      <c r="L1550" s="185"/>
      <c r="M1550" s="185"/>
      <c r="N1550" s="185"/>
      <c r="O1550" s="185"/>
      <c r="P1550" s="185"/>
      <c r="Q1550" s="185"/>
      <c r="R1550" s="168"/>
      <c r="S1550" s="168"/>
      <c r="U1550" s="170"/>
      <c r="V1550" s="171"/>
      <c r="W1550" s="171"/>
      <c r="X1550" s="171"/>
      <c r="Y1550" s="185"/>
      <c r="Z1550" s="185"/>
    </row>
    <row r="1551" spans="4:26" x14ac:dyDescent="0.25">
      <c r="D1551" s="175"/>
      <c r="E1551" s="175"/>
      <c r="H1551" s="201"/>
      <c r="I1551" s="201"/>
      <c r="J1551" s="217"/>
      <c r="K1551" s="217"/>
      <c r="L1551" s="185"/>
      <c r="M1551" s="185"/>
      <c r="N1551" s="185"/>
      <c r="O1551" s="185"/>
      <c r="P1551" s="185"/>
      <c r="Q1551" s="185"/>
      <c r="R1551" s="168"/>
      <c r="S1551" s="168"/>
      <c r="U1551" s="170"/>
      <c r="V1551" s="171"/>
      <c r="W1551" s="171"/>
      <c r="X1551" s="171"/>
      <c r="Y1551" s="185"/>
      <c r="Z1551" s="185"/>
    </row>
    <row r="1552" spans="4:26" x14ac:dyDescent="0.25">
      <c r="D1552" s="175"/>
      <c r="E1552" s="175"/>
      <c r="H1552" s="201"/>
      <c r="I1552" s="201"/>
      <c r="J1552" s="217"/>
      <c r="K1552" s="217"/>
      <c r="L1552" s="185"/>
      <c r="M1552" s="185"/>
      <c r="N1552" s="185"/>
      <c r="O1552" s="185"/>
      <c r="P1552" s="185"/>
      <c r="Q1552" s="185"/>
      <c r="R1552" s="168"/>
      <c r="S1552" s="168"/>
      <c r="U1552" s="170"/>
      <c r="V1552" s="171"/>
      <c r="W1552" s="171"/>
      <c r="X1552" s="171"/>
      <c r="Y1552" s="185"/>
      <c r="Z1552" s="185"/>
    </row>
    <row r="1553" spans="4:26" x14ac:dyDescent="0.25">
      <c r="D1553" s="175"/>
      <c r="E1553" s="175"/>
      <c r="H1553" s="201"/>
      <c r="I1553" s="201"/>
      <c r="J1553" s="217"/>
      <c r="K1553" s="217"/>
      <c r="L1553" s="185"/>
      <c r="M1553" s="185"/>
      <c r="N1553" s="185"/>
      <c r="O1553" s="185"/>
      <c r="P1553" s="185"/>
      <c r="Q1553" s="185"/>
      <c r="R1553" s="168"/>
      <c r="S1553" s="168"/>
      <c r="U1553" s="170"/>
      <c r="V1553" s="171"/>
      <c r="W1553" s="171"/>
      <c r="X1553" s="171"/>
      <c r="Y1553" s="185"/>
      <c r="Z1553" s="185"/>
    </row>
    <row r="1554" spans="4:26" x14ac:dyDescent="0.25">
      <c r="D1554" s="175"/>
      <c r="E1554" s="175"/>
      <c r="H1554" s="201"/>
      <c r="I1554" s="201"/>
      <c r="J1554" s="217"/>
      <c r="K1554" s="217"/>
      <c r="L1554" s="185"/>
      <c r="M1554" s="185"/>
      <c r="N1554" s="185"/>
      <c r="O1554" s="185"/>
      <c r="P1554" s="185"/>
      <c r="Q1554" s="185"/>
      <c r="R1554" s="168"/>
      <c r="S1554" s="168"/>
      <c r="U1554" s="170"/>
      <c r="V1554" s="171"/>
      <c r="W1554" s="171"/>
      <c r="X1554" s="171"/>
      <c r="Y1554" s="185"/>
      <c r="Z1554" s="185"/>
    </row>
    <row r="1555" spans="4:26" x14ac:dyDescent="0.25">
      <c r="D1555" s="175"/>
      <c r="E1555" s="175"/>
      <c r="H1555" s="201"/>
      <c r="I1555" s="201"/>
      <c r="J1555" s="217"/>
      <c r="K1555" s="217"/>
      <c r="L1555" s="185"/>
      <c r="M1555" s="185"/>
      <c r="N1555" s="185"/>
      <c r="O1555" s="185"/>
      <c r="P1555" s="185"/>
      <c r="Q1555" s="185"/>
      <c r="R1555" s="168"/>
      <c r="S1555" s="168"/>
      <c r="U1555" s="170"/>
      <c r="V1555" s="171"/>
      <c r="W1555" s="171"/>
      <c r="X1555" s="171"/>
      <c r="Y1555" s="185"/>
      <c r="Z1555" s="185"/>
    </row>
    <row r="1556" spans="4:26" x14ac:dyDescent="0.25">
      <c r="D1556" s="175"/>
      <c r="E1556" s="175"/>
      <c r="H1556" s="201"/>
      <c r="I1556" s="201"/>
      <c r="J1556" s="217"/>
      <c r="K1556" s="217"/>
      <c r="L1556" s="185"/>
      <c r="M1556" s="185"/>
      <c r="N1556" s="185"/>
      <c r="O1556" s="185"/>
      <c r="P1556" s="185"/>
      <c r="Q1556" s="185"/>
      <c r="R1556" s="168"/>
      <c r="S1556" s="168"/>
      <c r="U1556" s="170"/>
      <c r="V1556" s="171"/>
      <c r="W1556" s="171"/>
      <c r="X1556" s="171"/>
      <c r="Y1556" s="185"/>
      <c r="Z1556" s="185"/>
    </row>
    <row r="1557" spans="4:26" x14ac:dyDescent="0.25">
      <c r="D1557" s="175"/>
      <c r="E1557" s="175"/>
      <c r="H1557" s="201"/>
      <c r="I1557" s="201"/>
      <c r="J1557" s="217"/>
      <c r="K1557" s="217"/>
      <c r="L1557" s="185"/>
      <c r="M1557" s="185"/>
      <c r="N1557" s="185"/>
      <c r="O1557" s="185"/>
      <c r="P1557" s="185"/>
      <c r="Q1557" s="185"/>
      <c r="R1557" s="168"/>
      <c r="S1557" s="168"/>
      <c r="U1557" s="170"/>
      <c r="V1557" s="171"/>
      <c r="W1557" s="171"/>
      <c r="X1557" s="171"/>
      <c r="Y1557" s="185"/>
      <c r="Z1557" s="185"/>
    </row>
    <row r="1558" spans="4:26" x14ac:dyDescent="0.25">
      <c r="D1558" s="175"/>
      <c r="E1558" s="175"/>
      <c r="H1558" s="201"/>
      <c r="I1558" s="201"/>
      <c r="J1558" s="217"/>
      <c r="K1558" s="217"/>
      <c r="L1558" s="185"/>
      <c r="M1558" s="185"/>
      <c r="N1558" s="185"/>
      <c r="O1558" s="185"/>
      <c r="P1558" s="185"/>
      <c r="Q1558" s="185"/>
      <c r="R1558" s="168"/>
      <c r="S1558" s="168"/>
      <c r="U1558" s="170"/>
      <c r="V1558" s="171"/>
      <c r="W1558" s="171"/>
      <c r="X1558" s="171"/>
      <c r="Y1558" s="185"/>
      <c r="Z1558" s="185"/>
    </row>
    <row r="1559" spans="4:26" x14ac:dyDescent="0.25">
      <c r="D1559" s="175"/>
      <c r="E1559" s="175"/>
      <c r="H1559" s="201"/>
      <c r="I1559" s="201"/>
      <c r="J1559" s="217"/>
      <c r="K1559" s="217"/>
      <c r="L1559" s="185"/>
      <c r="M1559" s="185"/>
      <c r="N1559" s="185"/>
      <c r="O1559" s="185"/>
      <c r="P1559" s="185"/>
      <c r="Q1559" s="185"/>
      <c r="R1559" s="168"/>
      <c r="S1559" s="168"/>
      <c r="U1559" s="170"/>
      <c r="V1559" s="171"/>
      <c r="W1559" s="171"/>
      <c r="X1559" s="171"/>
      <c r="Y1559" s="185"/>
      <c r="Z1559" s="185"/>
    </row>
    <row r="1560" spans="4:26" x14ac:dyDescent="0.25">
      <c r="D1560" s="175"/>
      <c r="E1560" s="175"/>
      <c r="H1560" s="201"/>
      <c r="I1560" s="201"/>
      <c r="J1560" s="217"/>
      <c r="K1560" s="217"/>
      <c r="L1560" s="185"/>
      <c r="M1560" s="185"/>
      <c r="N1560" s="185"/>
      <c r="O1560" s="185"/>
      <c r="P1560" s="185"/>
      <c r="Q1560" s="185"/>
      <c r="R1560" s="168"/>
      <c r="S1560" s="168"/>
      <c r="U1560" s="170"/>
      <c r="V1560" s="171"/>
      <c r="W1560" s="171"/>
      <c r="X1560" s="171"/>
      <c r="Y1560" s="185"/>
      <c r="Z1560" s="185"/>
    </row>
    <row r="1561" spans="4:26" x14ac:dyDescent="0.25">
      <c r="D1561" s="175"/>
      <c r="E1561" s="175"/>
      <c r="H1561" s="201"/>
      <c r="I1561" s="201"/>
      <c r="J1561" s="217"/>
      <c r="K1561" s="217"/>
      <c r="L1561" s="185"/>
      <c r="M1561" s="185"/>
      <c r="N1561" s="185"/>
      <c r="O1561" s="185"/>
      <c r="P1561" s="185"/>
      <c r="Q1561" s="185"/>
      <c r="R1561" s="168"/>
      <c r="S1561" s="168"/>
      <c r="U1561" s="170"/>
      <c r="V1561" s="171"/>
      <c r="W1561" s="171"/>
      <c r="X1561" s="171"/>
      <c r="Y1561" s="185"/>
      <c r="Z1561" s="185"/>
    </row>
    <row r="1562" spans="4:26" x14ac:dyDescent="0.25">
      <c r="D1562" s="175"/>
      <c r="E1562" s="175"/>
      <c r="H1562" s="201"/>
      <c r="I1562" s="201"/>
      <c r="J1562" s="217"/>
      <c r="K1562" s="217"/>
      <c r="L1562" s="185"/>
      <c r="M1562" s="185"/>
      <c r="N1562" s="185"/>
      <c r="O1562" s="185"/>
      <c r="P1562" s="185"/>
      <c r="Q1562" s="185"/>
      <c r="R1562" s="168"/>
      <c r="S1562" s="168"/>
      <c r="U1562" s="170"/>
      <c r="V1562" s="171"/>
      <c r="W1562" s="171"/>
      <c r="X1562" s="171"/>
      <c r="Y1562" s="185"/>
      <c r="Z1562" s="185"/>
    </row>
    <row r="1563" spans="4:26" x14ac:dyDescent="0.25">
      <c r="D1563" s="175"/>
      <c r="E1563" s="175"/>
      <c r="H1563" s="201"/>
      <c r="I1563" s="201"/>
      <c r="J1563" s="217"/>
      <c r="K1563" s="217"/>
      <c r="L1563" s="185"/>
      <c r="M1563" s="185"/>
      <c r="N1563" s="185"/>
      <c r="O1563" s="185"/>
      <c r="P1563" s="185"/>
      <c r="Q1563" s="185"/>
      <c r="R1563" s="168"/>
      <c r="S1563" s="168"/>
      <c r="U1563" s="170"/>
      <c r="V1563" s="171"/>
      <c r="W1563" s="171"/>
      <c r="X1563" s="171"/>
      <c r="Y1563" s="185"/>
      <c r="Z1563" s="185"/>
    </row>
    <row r="1564" spans="4:26" x14ac:dyDescent="0.25">
      <c r="D1564" s="175"/>
      <c r="E1564" s="175"/>
      <c r="H1564" s="201"/>
      <c r="I1564" s="201"/>
      <c r="J1564" s="217"/>
      <c r="K1564" s="217"/>
      <c r="L1564" s="185"/>
      <c r="M1564" s="185"/>
      <c r="N1564" s="185"/>
      <c r="O1564" s="185"/>
      <c r="P1564" s="185"/>
      <c r="Q1564" s="185"/>
      <c r="R1564" s="168"/>
      <c r="S1564" s="168"/>
      <c r="U1564" s="170"/>
      <c r="V1564" s="171"/>
      <c r="W1564" s="171"/>
      <c r="X1564" s="171"/>
      <c r="Y1564" s="185"/>
      <c r="Z1564" s="185"/>
    </row>
    <row r="1565" spans="4:26" x14ac:dyDescent="0.25">
      <c r="D1565" s="175"/>
      <c r="E1565" s="175"/>
      <c r="H1565" s="201"/>
      <c r="I1565" s="201"/>
      <c r="J1565" s="217"/>
      <c r="K1565" s="217"/>
      <c r="L1565" s="185"/>
      <c r="M1565" s="185"/>
      <c r="N1565" s="185"/>
      <c r="O1565" s="185"/>
      <c r="P1565" s="185"/>
      <c r="Q1565" s="185"/>
      <c r="R1565" s="168"/>
      <c r="S1565" s="168"/>
      <c r="U1565" s="170"/>
      <c r="V1565" s="171"/>
      <c r="W1565" s="171"/>
      <c r="X1565" s="171"/>
      <c r="Y1565" s="185"/>
      <c r="Z1565" s="185"/>
    </row>
    <row r="1566" spans="4:26" x14ac:dyDescent="0.25">
      <c r="D1566" s="175"/>
      <c r="E1566" s="175"/>
      <c r="H1566" s="201"/>
      <c r="I1566" s="201"/>
      <c r="J1566" s="217"/>
      <c r="K1566" s="217"/>
      <c r="L1566" s="185"/>
      <c r="M1566" s="185"/>
      <c r="N1566" s="185"/>
      <c r="O1566" s="185"/>
      <c r="P1566" s="185"/>
      <c r="Q1566" s="185"/>
      <c r="R1566" s="168"/>
      <c r="S1566" s="168"/>
      <c r="U1566" s="170"/>
      <c r="V1566" s="171"/>
      <c r="W1566" s="171"/>
      <c r="X1566" s="171"/>
      <c r="Y1566" s="185"/>
      <c r="Z1566" s="185"/>
    </row>
    <row r="1567" spans="4:26" x14ac:dyDescent="0.25">
      <c r="D1567" s="175"/>
      <c r="E1567" s="175"/>
      <c r="H1567" s="201"/>
      <c r="I1567" s="201"/>
      <c r="J1567" s="217"/>
      <c r="K1567" s="217"/>
      <c r="L1567" s="185"/>
      <c r="M1567" s="185"/>
      <c r="N1567" s="185"/>
      <c r="O1567" s="185"/>
      <c r="P1567" s="185"/>
      <c r="Q1567" s="185"/>
      <c r="R1567" s="168"/>
      <c r="S1567" s="168"/>
      <c r="U1567" s="170"/>
      <c r="V1567" s="171"/>
      <c r="W1567" s="171"/>
      <c r="X1567" s="171"/>
      <c r="Y1567" s="185"/>
      <c r="Z1567" s="185"/>
    </row>
    <row r="1568" spans="4:26" x14ac:dyDescent="0.25">
      <c r="D1568" s="175"/>
      <c r="E1568" s="175"/>
      <c r="H1568" s="201"/>
      <c r="I1568" s="201"/>
      <c r="J1568" s="217"/>
      <c r="K1568" s="217"/>
      <c r="L1568" s="185"/>
      <c r="M1568" s="185"/>
      <c r="N1568" s="185"/>
      <c r="O1568" s="185"/>
      <c r="P1568" s="185"/>
      <c r="Q1568" s="185"/>
      <c r="R1568" s="168"/>
      <c r="S1568" s="168"/>
      <c r="U1568" s="170"/>
      <c r="V1568" s="171"/>
      <c r="W1568" s="171"/>
      <c r="X1568" s="171"/>
      <c r="Y1568" s="185"/>
      <c r="Z1568" s="185"/>
    </row>
    <row r="1569" spans="4:26" x14ac:dyDescent="0.25">
      <c r="D1569" s="175"/>
      <c r="E1569" s="175"/>
      <c r="H1569" s="201"/>
      <c r="I1569" s="201"/>
      <c r="J1569" s="217"/>
      <c r="K1569" s="217"/>
      <c r="L1569" s="185"/>
      <c r="M1569" s="185"/>
      <c r="N1569" s="185"/>
      <c r="O1569" s="185"/>
      <c r="P1569" s="185"/>
      <c r="Q1569" s="185"/>
      <c r="R1569" s="168"/>
      <c r="S1569" s="168"/>
      <c r="U1569" s="170"/>
      <c r="V1569" s="171"/>
      <c r="W1569" s="171"/>
      <c r="X1569" s="171"/>
      <c r="Y1569" s="185"/>
      <c r="Z1569" s="185"/>
    </row>
    <row r="1570" spans="4:26" x14ac:dyDescent="0.25">
      <c r="D1570" s="175"/>
      <c r="E1570" s="175"/>
      <c r="H1570" s="201"/>
      <c r="I1570" s="201"/>
      <c r="J1570" s="217"/>
      <c r="K1570" s="217"/>
      <c r="L1570" s="185"/>
      <c r="M1570" s="185"/>
      <c r="N1570" s="185"/>
      <c r="O1570" s="185"/>
      <c r="P1570" s="185"/>
      <c r="Q1570" s="185"/>
      <c r="R1570" s="168"/>
      <c r="S1570" s="168"/>
      <c r="U1570" s="170"/>
      <c r="V1570" s="171"/>
      <c r="W1570" s="171"/>
      <c r="X1570" s="171"/>
      <c r="Y1570" s="185"/>
      <c r="Z1570" s="185"/>
    </row>
    <row r="1571" spans="4:26" x14ac:dyDescent="0.25">
      <c r="D1571" s="175"/>
      <c r="E1571" s="175"/>
      <c r="H1571" s="201"/>
      <c r="I1571" s="201"/>
      <c r="J1571" s="217"/>
      <c r="K1571" s="217"/>
      <c r="L1571" s="185"/>
      <c r="M1571" s="185"/>
      <c r="N1571" s="185"/>
      <c r="O1571" s="185"/>
      <c r="P1571" s="185"/>
      <c r="Q1571" s="185"/>
      <c r="R1571" s="168"/>
      <c r="S1571" s="168"/>
      <c r="U1571" s="170"/>
      <c r="V1571" s="171"/>
      <c r="W1571" s="171"/>
      <c r="X1571" s="171"/>
      <c r="Y1571" s="185"/>
      <c r="Z1571" s="185"/>
    </row>
    <row r="1572" spans="4:26" x14ac:dyDescent="0.25">
      <c r="D1572" s="175"/>
      <c r="E1572" s="175"/>
      <c r="H1572" s="201"/>
      <c r="I1572" s="201"/>
      <c r="J1572" s="217"/>
      <c r="K1572" s="217"/>
      <c r="L1572" s="185"/>
      <c r="M1572" s="185"/>
      <c r="N1572" s="185"/>
      <c r="O1572" s="185"/>
      <c r="P1572" s="185"/>
      <c r="Q1572" s="185"/>
      <c r="R1572" s="168"/>
      <c r="S1572" s="168"/>
      <c r="U1572" s="170"/>
      <c r="V1572" s="171"/>
      <c r="W1572" s="171"/>
      <c r="X1572" s="171"/>
      <c r="Y1572" s="185"/>
      <c r="Z1572" s="185"/>
    </row>
    <row r="1573" spans="4:26" x14ac:dyDescent="0.25">
      <c r="D1573" s="175"/>
      <c r="E1573" s="175"/>
      <c r="H1573" s="201"/>
      <c r="I1573" s="201"/>
      <c r="J1573" s="217"/>
      <c r="K1573" s="217"/>
      <c r="L1573" s="185"/>
      <c r="M1573" s="185"/>
      <c r="N1573" s="185"/>
      <c r="O1573" s="185"/>
      <c r="P1573" s="185"/>
      <c r="Q1573" s="185"/>
      <c r="R1573" s="168"/>
      <c r="S1573" s="168"/>
      <c r="U1573" s="170"/>
      <c r="V1573" s="171"/>
      <c r="W1573" s="171"/>
      <c r="X1573" s="171"/>
      <c r="Y1573" s="185"/>
      <c r="Z1573" s="185"/>
    </row>
    <row r="1574" spans="4:26" x14ac:dyDescent="0.25">
      <c r="D1574" s="175"/>
      <c r="E1574" s="175"/>
      <c r="H1574" s="201"/>
      <c r="I1574" s="201"/>
      <c r="J1574" s="217"/>
      <c r="K1574" s="217"/>
      <c r="L1574" s="185"/>
      <c r="M1574" s="185"/>
      <c r="N1574" s="185"/>
      <c r="O1574" s="185"/>
      <c r="P1574" s="185"/>
      <c r="Q1574" s="185"/>
      <c r="R1574" s="168"/>
      <c r="S1574" s="168"/>
      <c r="U1574" s="170"/>
      <c r="V1574" s="171"/>
      <c r="W1574" s="171"/>
      <c r="X1574" s="171"/>
      <c r="Y1574" s="185"/>
      <c r="Z1574" s="185"/>
    </row>
    <row r="1575" spans="4:26" x14ac:dyDescent="0.25">
      <c r="D1575" s="175"/>
      <c r="E1575" s="175"/>
      <c r="H1575" s="201"/>
      <c r="I1575" s="201"/>
      <c r="J1575" s="217"/>
      <c r="K1575" s="217"/>
      <c r="L1575" s="185"/>
      <c r="M1575" s="185"/>
      <c r="N1575" s="185"/>
      <c r="O1575" s="185"/>
      <c r="P1575" s="185"/>
      <c r="Q1575" s="185"/>
      <c r="R1575" s="168"/>
      <c r="S1575" s="168"/>
      <c r="U1575" s="170"/>
      <c r="V1575" s="171"/>
      <c r="W1575" s="171"/>
      <c r="X1575" s="171"/>
      <c r="Y1575" s="185"/>
      <c r="Z1575" s="185"/>
    </row>
    <row r="1576" spans="4:26" x14ac:dyDescent="0.25">
      <c r="D1576" s="175"/>
      <c r="E1576" s="175"/>
      <c r="H1576" s="201"/>
      <c r="I1576" s="201"/>
      <c r="J1576" s="217"/>
      <c r="K1576" s="217"/>
      <c r="L1576" s="185"/>
      <c r="M1576" s="185"/>
      <c r="N1576" s="185"/>
      <c r="O1576" s="185"/>
      <c r="P1576" s="185"/>
      <c r="Q1576" s="185"/>
      <c r="R1576" s="168"/>
      <c r="S1576" s="168"/>
      <c r="U1576" s="170"/>
      <c r="V1576" s="171"/>
      <c r="W1576" s="171"/>
      <c r="X1576" s="171"/>
      <c r="Y1576" s="185"/>
      <c r="Z1576" s="185"/>
    </row>
    <row r="1577" spans="4:26" x14ac:dyDescent="0.25">
      <c r="D1577" s="175"/>
      <c r="E1577" s="175"/>
      <c r="H1577" s="201"/>
      <c r="I1577" s="201"/>
      <c r="J1577" s="217"/>
      <c r="K1577" s="217"/>
      <c r="L1577" s="185"/>
      <c r="M1577" s="185"/>
      <c r="N1577" s="185"/>
      <c r="O1577" s="185"/>
      <c r="P1577" s="185"/>
      <c r="Q1577" s="185"/>
      <c r="R1577" s="168"/>
      <c r="S1577" s="168"/>
      <c r="U1577" s="170"/>
      <c r="V1577" s="171"/>
      <c r="W1577" s="171"/>
      <c r="X1577" s="171"/>
      <c r="Y1577" s="185"/>
      <c r="Z1577" s="185"/>
    </row>
    <row r="1578" spans="4:26" x14ac:dyDescent="0.25">
      <c r="D1578" s="175"/>
      <c r="E1578" s="175"/>
      <c r="H1578" s="201"/>
      <c r="I1578" s="201"/>
      <c r="J1578" s="217"/>
      <c r="K1578" s="217"/>
      <c r="L1578" s="185"/>
      <c r="M1578" s="185"/>
      <c r="N1578" s="185"/>
      <c r="O1578" s="185"/>
      <c r="P1578" s="185"/>
      <c r="Q1578" s="185"/>
      <c r="R1578" s="168"/>
      <c r="S1578" s="168"/>
      <c r="U1578" s="170"/>
      <c r="V1578" s="171"/>
      <c r="W1578" s="171"/>
      <c r="X1578" s="171"/>
      <c r="Y1578" s="185"/>
      <c r="Z1578" s="185"/>
    </row>
    <row r="1579" spans="4:26" x14ac:dyDescent="0.25">
      <c r="D1579" s="175"/>
      <c r="E1579" s="175"/>
      <c r="H1579" s="201"/>
      <c r="I1579" s="201"/>
      <c r="J1579" s="217"/>
      <c r="K1579" s="217"/>
      <c r="L1579" s="185"/>
      <c r="M1579" s="185"/>
      <c r="N1579" s="185"/>
      <c r="O1579" s="185"/>
      <c r="P1579" s="185"/>
      <c r="Q1579" s="185"/>
      <c r="R1579" s="168"/>
      <c r="S1579" s="168"/>
      <c r="U1579" s="170"/>
      <c r="V1579" s="171"/>
      <c r="W1579" s="171"/>
      <c r="X1579" s="171"/>
      <c r="Y1579" s="185"/>
      <c r="Z1579" s="185"/>
    </row>
    <row r="1580" spans="4:26" x14ac:dyDescent="0.25">
      <c r="D1580" s="175"/>
      <c r="E1580" s="175"/>
      <c r="H1580" s="201"/>
      <c r="I1580" s="201"/>
      <c r="J1580" s="217"/>
      <c r="K1580" s="217"/>
      <c r="L1580" s="185"/>
      <c r="M1580" s="185"/>
      <c r="N1580" s="185"/>
      <c r="O1580" s="185"/>
      <c r="P1580" s="185"/>
      <c r="Q1580" s="185"/>
      <c r="R1580" s="168"/>
      <c r="S1580" s="168"/>
      <c r="U1580" s="170"/>
      <c r="V1580" s="171"/>
      <c r="W1580" s="171"/>
      <c r="X1580" s="171"/>
      <c r="Y1580" s="185"/>
      <c r="Z1580" s="185"/>
    </row>
    <row r="1581" spans="4:26" x14ac:dyDescent="0.25">
      <c r="D1581" s="175"/>
      <c r="E1581" s="175"/>
      <c r="H1581" s="201"/>
      <c r="I1581" s="201"/>
      <c r="J1581" s="217"/>
      <c r="K1581" s="217"/>
      <c r="L1581" s="185"/>
      <c r="M1581" s="185"/>
      <c r="N1581" s="185"/>
      <c r="O1581" s="185"/>
      <c r="P1581" s="185"/>
      <c r="Q1581" s="185"/>
      <c r="R1581" s="168"/>
      <c r="S1581" s="168"/>
      <c r="U1581" s="170"/>
      <c r="V1581" s="171"/>
      <c r="W1581" s="171"/>
      <c r="X1581" s="171"/>
      <c r="Y1581" s="185"/>
      <c r="Z1581" s="185"/>
    </row>
    <row r="1582" spans="4:26" x14ac:dyDescent="0.25">
      <c r="D1582" s="175"/>
      <c r="E1582" s="175"/>
      <c r="H1582" s="201"/>
      <c r="I1582" s="201"/>
      <c r="J1582" s="217"/>
      <c r="K1582" s="217"/>
      <c r="L1582" s="185"/>
      <c r="M1582" s="185"/>
      <c r="N1582" s="185"/>
      <c r="O1582" s="185"/>
      <c r="P1582" s="185"/>
      <c r="Q1582" s="185"/>
      <c r="R1582" s="168"/>
      <c r="S1582" s="168"/>
      <c r="U1582" s="170"/>
      <c r="V1582" s="171"/>
      <c r="W1582" s="171"/>
      <c r="X1582" s="171"/>
      <c r="Y1582" s="185"/>
      <c r="Z1582" s="185"/>
    </row>
    <row r="1583" spans="4:26" x14ac:dyDescent="0.25">
      <c r="D1583" s="175"/>
      <c r="E1583" s="175"/>
      <c r="H1583" s="201"/>
      <c r="I1583" s="201"/>
      <c r="J1583" s="217"/>
      <c r="K1583" s="217"/>
      <c r="L1583" s="185"/>
      <c r="M1583" s="185"/>
      <c r="N1583" s="185"/>
      <c r="O1583" s="185"/>
      <c r="P1583" s="185"/>
      <c r="Q1583" s="185"/>
      <c r="R1583" s="168"/>
      <c r="S1583" s="168"/>
      <c r="U1583" s="170"/>
      <c r="V1583" s="171"/>
      <c r="W1583" s="171"/>
      <c r="X1583" s="171"/>
      <c r="Y1583" s="185"/>
      <c r="Z1583" s="185"/>
    </row>
    <row r="1584" spans="4:26" x14ac:dyDescent="0.25">
      <c r="D1584" s="175"/>
      <c r="E1584" s="175"/>
      <c r="H1584" s="201"/>
      <c r="I1584" s="201"/>
      <c r="J1584" s="217"/>
      <c r="K1584" s="217"/>
      <c r="L1584" s="185"/>
      <c r="M1584" s="185"/>
      <c r="N1584" s="185"/>
      <c r="O1584" s="185"/>
      <c r="P1584" s="185"/>
      <c r="Q1584" s="185"/>
      <c r="R1584" s="168"/>
      <c r="S1584" s="168"/>
      <c r="U1584" s="170"/>
      <c r="V1584" s="171"/>
      <c r="W1584" s="171"/>
      <c r="X1584" s="171"/>
      <c r="Y1584" s="185"/>
      <c r="Z1584" s="185"/>
    </row>
    <row r="1585" spans="4:26" x14ac:dyDescent="0.25">
      <c r="D1585" s="175"/>
      <c r="E1585" s="175"/>
      <c r="H1585" s="201"/>
      <c r="I1585" s="201"/>
      <c r="J1585" s="217"/>
      <c r="K1585" s="217"/>
      <c r="L1585" s="185"/>
      <c r="M1585" s="185"/>
      <c r="N1585" s="185"/>
      <c r="O1585" s="185"/>
      <c r="P1585" s="185"/>
      <c r="Q1585" s="185"/>
      <c r="R1585" s="168"/>
      <c r="S1585" s="168"/>
      <c r="U1585" s="170"/>
      <c r="V1585" s="171"/>
      <c r="W1585" s="171"/>
      <c r="X1585" s="171"/>
      <c r="Y1585" s="185"/>
      <c r="Z1585" s="185"/>
    </row>
    <row r="1586" spans="4:26" x14ac:dyDescent="0.25">
      <c r="D1586" s="175"/>
      <c r="E1586" s="175"/>
      <c r="H1586" s="201"/>
      <c r="I1586" s="201"/>
      <c r="J1586" s="217"/>
      <c r="K1586" s="217"/>
      <c r="L1586" s="185"/>
      <c r="M1586" s="185"/>
      <c r="N1586" s="185"/>
      <c r="O1586" s="185"/>
      <c r="P1586" s="185"/>
      <c r="Q1586" s="185"/>
      <c r="R1586" s="168"/>
      <c r="S1586" s="168"/>
      <c r="U1586" s="170"/>
      <c r="V1586" s="171"/>
      <c r="W1586" s="171"/>
      <c r="X1586" s="171"/>
      <c r="Y1586" s="185"/>
      <c r="Z1586" s="185"/>
    </row>
    <row r="1587" spans="4:26" x14ac:dyDescent="0.25">
      <c r="D1587" s="175"/>
      <c r="E1587" s="175"/>
      <c r="H1587" s="201"/>
      <c r="I1587" s="201"/>
      <c r="J1587" s="217"/>
      <c r="K1587" s="217"/>
      <c r="L1587" s="185"/>
      <c r="M1587" s="185"/>
      <c r="N1587" s="185"/>
      <c r="O1587" s="185"/>
      <c r="P1587" s="185"/>
      <c r="Q1587" s="185"/>
      <c r="R1587" s="168"/>
      <c r="S1587" s="168"/>
      <c r="U1587" s="170"/>
      <c r="V1587" s="171"/>
      <c r="W1587" s="171"/>
      <c r="X1587" s="171"/>
      <c r="Y1587" s="185"/>
      <c r="Z1587" s="185"/>
    </row>
    <row r="1588" spans="4:26" x14ac:dyDescent="0.25">
      <c r="D1588" s="175"/>
      <c r="E1588" s="175"/>
      <c r="H1588" s="201"/>
      <c r="I1588" s="201"/>
      <c r="J1588" s="217"/>
      <c r="K1588" s="217"/>
      <c r="L1588" s="185"/>
      <c r="M1588" s="185"/>
      <c r="N1588" s="185"/>
      <c r="O1588" s="185"/>
      <c r="P1588" s="185"/>
      <c r="Q1588" s="185"/>
      <c r="R1588" s="168"/>
      <c r="S1588" s="168"/>
      <c r="U1588" s="170"/>
      <c r="V1588" s="171"/>
      <c r="W1588" s="171"/>
      <c r="X1588" s="171"/>
      <c r="Y1588" s="185"/>
      <c r="Z1588" s="185"/>
    </row>
    <row r="1589" spans="4:26" x14ac:dyDescent="0.25">
      <c r="D1589" s="175"/>
      <c r="E1589" s="175"/>
      <c r="H1589" s="201"/>
      <c r="I1589" s="201"/>
      <c r="J1589" s="217"/>
      <c r="K1589" s="217"/>
      <c r="L1589" s="185"/>
      <c r="M1589" s="185"/>
      <c r="N1589" s="185"/>
      <c r="O1589" s="185"/>
      <c r="P1589" s="185"/>
      <c r="Q1589" s="185"/>
      <c r="R1589" s="168"/>
      <c r="S1589" s="168"/>
      <c r="U1589" s="170"/>
      <c r="V1589" s="171"/>
      <c r="W1589" s="171"/>
      <c r="X1589" s="171"/>
      <c r="Y1589" s="185"/>
      <c r="Z1589" s="185"/>
    </row>
    <row r="1590" spans="4:26" x14ac:dyDescent="0.25">
      <c r="D1590" s="175"/>
      <c r="E1590" s="175"/>
      <c r="H1590" s="201"/>
      <c r="I1590" s="201"/>
      <c r="J1590" s="217"/>
      <c r="K1590" s="217"/>
      <c r="L1590" s="185"/>
      <c r="M1590" s="185"/>
      <c r="N1590" s="185"/>
      <c r="O1590" s="185"/>
      <c r="P1590" s="185"/>
      <c r="Q1590" s="185"/>
      <c r="R1590" s="168"/>
      <c r="S1590" s="168"/>
      <c r="U1590" s="170"/>
      <c r="V1590" s="171"/>
      <c r="W1590" s="171"/>
      <c r="X1590" s="171"/>
      <c r="Y1590" s="185"/>
      <c r="Z1590" s="185"/>
    </row>
    <row r="1591" spans="4:26" x14ac:dyDescent="0.25">
      <c r="D1591" s="175"/>
      <c r="E1591" s="175"/>
      <c r="H1591" s="201"/>
      <c r="I1591" s="201"/>
      <c r="J1591" s="217"/>
      <c r="K1591" s="217"/>
      <c r="L1591" s="185"/>
      <c r="M1591" s="185"/>
      <c r="N1591" s="185"/>
      <c r="O1591" s="185"/>
      <c r="P1591" s="185"/>
      <c r="Q1591" s="185"/>
      <c r="R1591" s="168"/>
      <c r="S1591" s="168"/>
      <c r="U1591" s="170"/>
      <c r="V1591" s="171"/>
      <c r="W1591" s="171"/>
      <c r="X1591" s="171"/>
      <c r="Y1591" s="185"/>
      <c r="Z1591" s="185"/>
    </row>
    <row r="1592" spans="4:26" x14ac:dyDescent="0.25">
      <c r="D1592" s="175"/>
      <c r="E1592" s="175"/>
      <c r="H1592" s="201"/>
      <c r="I1592" s="201"/>
      <c r="J1592" s="217"/>
      <c r="K1592" s="217"/>
      <c r="L1592" s="185"/>
      <c r="M1592" s="185"/>
      <c r="N1592" s="185"/>
      <c r="O1592" s="185"/>
      <c r="P1592" s="185"/>
      <c r="Q1592" s="185"/>
      <c r="R1592" s="168"/>
      <c r="S1592" s="168"/>
      <c r="U1592" s="170"/>
      <c r="V1592" s="171"/>
      <c r="W1592" s="171"/>
      <c r="X1592" s="171"/>
      <c r="Y1592" s="185"/>
      <c r="Z1592" s="185"/>
    </row>
    <row r="1593" spans="4:26" x14ac:dyDescent="0.25">
      <c r="D1593" s="175"/>
      <c r="E1593" s="175"/>
      <c r="H1593" s="201"/>
      <c r="I1593" s="201"/>
      <c r="J1593" s="217"/>
      <c r="K1593" s="217"/>
      <c r="L1593" s="185"/>
      <c r="M1593" s="185"/>
      <c r="N1593" s="185"/>
      <c r="O1593" s="185"/>
      <c r="P1593" s="185"/>
      <c r="Q1593" s="185"/>
      <c r="R1593" s="168"/>
      <c r="S1593" s="168"/>
      <c r="U1593" s="170"/>
      <c r="V1593" s="171"/>
      <c r="W1593" s="171"/>
      <c r="X1593" s="171"/>
      <c r="Y1593" s="185"/>
      <c r="Z1593" s="185"/>
    </row>
    <row r="1594" spans="4:26" x14ac:dyDescent="0.25">
      <c r="D1594" s="175"/>
      <c r="E1594" s="175"/>
      <c r="H1594" s="201"/>
      <c r="I1594" s="201"/>
      <c r="J1594" s="217"/>
      <c r="K1594" s="217"/>
      <c r="L1594" s="185"/>
      <c r="M1594" s="185"/>
      <c r="N1594" s="185"/>
      <c r="O1594" s="185"/>
      <c r="P1594" s="185"/>
      <c r="Q1594" s="185"/>
      <c r="R1594" s="168"/>
      <c r="S1594" s="168"/>
      <c r="U1594" s="170"/>
      <c r="V1594" s="171"/>
      <c r="W1594" s="171"/>
      <c r="X1594" s="171"/>
      <c r="Y1594" s="185"/>
      <c r="Z1594" s="185"/>
    </row>
    <row r="1595" spans="4:26" x14ac:dyDescent="0.25">
      <c r="D1595" s="175"/>
      <c r="E1595" s="175"/>
      <c r="H1595" s="201"/>
      <c r="I1595" s="201"/>
      <c r="J1595" s="217"/>
      <c r="K1595" s="217"/>
      <c r="L1595" s="185"/>
      <c r="M1595" s="185"/>
      <c r="N1595" s="185"/>
      <c r="O1595" s="185"/>
      <c r="P1595" s="185"/>
      <c r="Q1595" s="185"/>
      <c r="R1595" s="168"/>
      <c r="S1595" s="168"/>
      <c r="U1595" s="170"/>
      <c r="V1595" s="171"/>
      <c r="W1595" s="171"/>
      <c r="X1595" s="171"/>
      <c r="Y1595" s="185"/>
      <c r="Z1595" s="185"/>
    </row>
    <row r="1596" spans="4:26" x14ac:dyDescent="0.25">
      <c r="D1596" s="175"/>
      <c r="E1596" s="175"/>
      <c r="H1596" s="201"/>
      <c r="I1596" s="201"/>
      <c r="J1596" s="217"/>
      <c r="K1596" s="217"/>
      <c r="L1596" s="185"/>
      <c r="M1596" s="185"/>
      <c r="N1596" s="185"/>
      <c r="O1596" s="185"/>
      <c r="P1596" s="185"/>
      <c r="Q1596" s="185"/>
      <c r="R1596" s="168"/>
      <c r="S1596" s="168"/>
      <c r="U1596" s="170"/>
      <c r="V1596" s="171"/>
      <c r="W1596" s="171"/>
      <c r="X1596" s="171"/>
      <c r="Y1596" s="185"/>
      <c r="Z1596" s="185"/>
    </row>
    <row r="1597" spans="4:26" x14ac:dyDescent="0.25">
      <c r="D1597" s="175"/>
      <c r="E1597" s="175"/>
      <c r="H1597" s="201"/>
      <c r="I1597" s="201"/>
      <c r="J1597" s="217"/>
      <c r="K1597" s="217"/>
      <c r="L1597" s="185"/>
      <c r="M1597" s="185"/>
      <c r="N1597" s="185"/>
      <c r="O1597" s="185"/>
      <c r="P1597" s="185"/>
      <c r="Q1597" s="185"/>
      <c r="R1597" s="168"/>
      <c r="S1597" s="168"/>
      <c r="U1597" s="170"/>
      <c r="V1597" s="171"/>
      <c r="W1597" s="171"/>
      <c r="X1597" s="171"/>
      <c r="Y1597" s="185"/>
      <c r="Z1597" s="185"/>
    </row>
    <row r="1598" spans="4:26" x14ac:dyDescent="0.25">
      <c r="D1598" s="175"/>
      <c r="E1598" s="175"/>
      <c r="H1598" s="201"/>
      <c r="I1598" s="201"/>
      <c r="J1598" s="217"/>
      <c r="K1598" s="217"/>
      <c r="L1598" s="185"/>
      <c r="M1598" s="185"/>
      <c r="N1598" s="185"/>
      <c r="O1598" s="185"/>
      <c r="P1598" s="185"/>
      <c r="Q1598" s="185"/>
      <c r="R1598" s="168"/>
      <c r="S1598" s="168"/>
      <c r="U1598" s="170"/>
      <c r="V1598" s="171"/>
      <c r="W1598" s="171"/>
      <c r="X1598" s="171"/>
      <c r="Y1598" s="185"/>
      <c r="Z1598" s="185"/>
    </row>
    <row r="1599" spans="4:26" x14ac:dyDescent="0.25">
      <c r="D1599" s="175"/>
      <c r="E1599" s="175"/>
      <c r="H1599" s="201"/>
      <c r="I1599" s="201"/>
      <c r="J1599" s="217"/>
      <c r="K1599" s="217"/>
      <c r="L1599" s="185"/>
      <c r="M1599" s="185"/>
      <c r="N1599" s="185"/>
      <c r="O1599" s="185"/>
      <c r="P1599" s="185"/>
      <c r="Q1599" s="185"/>
      <c r="R1599" s="168"/>
      <c r="S1599" s="168"/>
      <c r="U1599" s="170"/>
      <c r="V1599" s="171"/>
      <c r="W1599" s="171"/>
      <c r="X1599" s="171"/>
      <c r="Y1599" s="185"/>
      <c r="Z1599" s="185"/>
    </row>
    <row r="1600" spans="4:26" x14ac:dyDescent="0.25">
      <c r="D1600" s="175"/>
      <c r="E1600" s="175"/>
      <c r="H1600" s="201"/>
      <c r="I1600" s="201"/>
      <c r="J1600" s="217"/>
      <c r="K1600" s="217"/>
      <c r="L1600" s="185"/>
      <c r="M1600" s="185"/>
      <c r="N1600" s="185"/>
      <c r="O1600" s="185"/>
      <c r="P1600" s="185"/>
      <c r="Q1600" s="185"/>
      <c r="R1600" s="168"/>
      <c r="S1600" s="168"/>
      <c r="U1600" s="170"/>
      <c r="V1600" s="171"/>
      <c r="W1600" s="171"/>
      <c r="X1600" s="171"/>
      <c r="Y1600" s="185"/>
      <c r="Z1600" s="185"/>
    </row>
    <row r="1601" spans="4:26" x14ac:dyDescent="0.25">
      <c r="D1601" s="175"/>
      <c r="E1601" s="175"/>
      <c r="H1601" s="201"/>
      <c r="I1601" s="201"/>
      <c r="J1601" s="217"/>
      <c r="K1601" s="217"/>
      <c r="L1601" s="185"/>
      <c r="M1601" s="185"/>
      <c r="N1601" s="185"/>
      <c r="O1601" s="185"/>
      <c r="P1601" s="185"/>
      <c r="Q1601" s="185"/>
      <c r="R1601" s="168"/>
      <c r="S1601" s="168"/>
      <c r="U1601" s="170"/>
      <c r="V1601" s="171"/>
      <c r="W1601" s="171"/>
      <c r="X1601" s="171"/>
      <c r="Y1601" s="185"/>
      <c r="Z1601" s="185"/>
    </row>
    <row r="1602" spans="4:26" x14ac:dyDescent="0.25">
      <c r="D1602" s="175"/>
      <c r="E1602" s="175"/>
      <c r="H1602" s="201"/>
      <c r="I1602" s="201"/>
      <c r="J1602" s="217"/>
      <c r="K1602" s="217"/>
      <c r="L1602" s="185"/>
      <c r="M1602" s="185"/>
      <c r="N1602" s="185"/>
      <c r="O1602" s="185"/>
      <c r="P1602" s="185"/>
      <c r="Q1602" s="185"/>
      <c r="R1602" s="168"/>
      <c r="S1602" s="168"/>
      <c r="U1602" s="170"/>
      <c r="V1602" s="171"/>
      <c r="W1602" s="171"/>
      <c r="X1602" s="171"/>
      <c r="Y1602" s="185"/>
      <c r="Z1602" s="185"/>
    </row>
    <row r="1603" spans="4:26" x14ac:dyDescent="0.25">
      <c r="D1603" s="175"/>
      <c r="E1603" s="175"/>
      <c r="H1603" s="201"/>
      <c r="I1603" s="201"/>
      <c r="J1603" s="217"/>
      <c r="K1603" s="217"/>
      <c r="L1603" s="185"/>
      <c r="M1603" s="185"/>
      <c r="N1603" s="185"/>
      <c r="O1603" s="185"/>
      <c r="P1603" s="185"/>
      <c r="Q1603" s="185"/>
      <c r="R1603" s="168"/>
      <c r="S1603" s="168"/>
      <c r="U1603" s="170"/>
      <c r="V1603" s="171"/>
      <c r="W1603" s="171"/>
      <c r="X1603" s="171"/>
      <c r="Y1603" s="185"/>
      <c r="Z1603" s="185"/>
    </row>
    <row r="1604" spans="4:26" x14ac:dyDescent="0.25">
      <c r="D1604" s="175"/>
      <c r="E1604" s="175"/>
      <c r="H1604" s="201"/>
      <c r="I1604" s="201"/>
      <c r="J1604" s="217"/>
      <c r="K1604" s="217"/>
      <c r="L1604" s="185"/>
      <c r="M1604" s="185"/>
      <c r="N1604" s="185"/>
      <c r="O1604" s="185"/>
      <c r="P1604" s="185"/>
      <c r="Q1604" s="185"/>
      <c r="R1604" s="168"/>
      <c r="S1604" s="168"/>
      <c r="U1604" s="170"/>
      <c r="V1604" s="171"/>
      <c r="W1604" s="171"/>
      <c r="X1604" s="171"/>
      <c r="Y1604" s="185"/>
      <c r="Z1604" s="185"/>
    </row>
    <row r="1605" spans="4:26" x14ac:dyDescent="0.25">
      <c r="D1605" s="175"/>
      <c r="E1605" s="175"/>
      <c r="H1605" s="201"/>
      <c r="I1605" s="201"/>
      <c r="J1605" s="217"/>
      <c r="K1605" s="217"/>
      <c r="L1605" s="185"/>
      <c r="M1605" s="185"/>
      <c r="N1605" s="185"/>
      <c r="O1605" s="185"/>
      <c r="P1605" s="185"/>
      <c r="Q1605" s="185"/>
      <c r="R1605" s="168"/>
      <c r="S1605" s="168"/>
      <c r="U1605" s="170"/>
      <c r="V1605" s="171"/>
      <c r="W1605" s="171"/>
      <c r="X1605" s="171"/>
      <c r="Y1605" s="185"/>
      <c r="Z1605" s="185"/>
    </row>
    <row r="1606" spans="4:26" x14ac:dyDescent="0.25">
      <c r="D1606" s="175"/>
      <c r="E1606" s="175"/>
      <c r="H1606" s="201"/>
      <c r="I1606" s="201"/>
      <c r="J1606" s="217"/>
      <c r="K1606" s="217"/>
      <c r="L1606" s="185"/>
      <c r="M1606" s="185"/>
      <c r="N1606" s="185"/>
      <c r="O1606" s="185"/>
      <c r="P1606" s="185"/>
      <c r="Q1606" s="185"/>
      <c r="R1606" s="168"/>
      <c r="S1606" s="168"/>
      <c r="U1606" s="170"/>
      <c r="V1606" s="171"/>
      <c r="W1606" s="171"/>
      <c r="X1606" s="171"/>
      <c r="Y1606" s="185"/>
      <c r="Z1606" s="185"/>
    </row>
    <row r="1607" spans="4:26" x14ac:dyDescent="0.25">
      <c r="D1607" s="175"/>
      <c r="E1607" s="175"/>
      <c r="H1607" s="201"/>
      <c r="I1607" s="201"/>
      <c r="J1607" s="217"/>
      <c r="K1607" s="217"/>
      <c r="L1607" s="185"/>
      <c r="M1607" s="185"/>
      <c r="N1607" s="185"/>
      <c r="O1607" s="185"/>
      <c r="P1607" s="185"/>
      <c r="Q1607" s="185"/>
      <c r="R1607" s="168"/>
      <c r="S1607" s="168"/>
      <c r="U1607" s="170"/>
      <c r="V1607" s="171"/>
      <c r="W1607" s="171"/>
      <c r="X1607" s="171"/>
      <c r="Y1607" s="185"/>
      <c r="Z1607" s="185"/>
    </row>
    <row r="1608" spans="4:26" x14ac:dyDescent="0.25">
      <c r="D1608" s="175"/>
      <c r="E1608" s="175"/>
      <c r="H1608" s="201"/>
      <c r="I1608" s="201"/>
      <c r="J1608" s="217"/>
      <c r="K1608" s="217"/>
      <c r="L1608" s="185"/>
      <c r="M1608" s="185"/>
      <c r="N1608" s="185"/>
      <c r="O1608" s="185"/>
      <c r="P1608" s="185"/>
      <c r="Q1608" s="185"/>
      <c r="R1608" s="168"/>
      <c r="S1608" s="168"/>
      <c r="U1608" s="170"/>
      <c r="V1608" s="171"/>
      <c r="W1608" s="171"/>
      <c r="X1608" s="171"/>
      <c r="Y1608" s="185"/>
      <c r="Z1608" s="185"/>
    </row>
    <row r="1609" spans="4:26" x14ac:dyDescent="0.25">
      <c r="D1609" s="175"/>
      <c r="E1609" s="175"/>
      <c r="H1609" s="201"/>
      <c r="I1609" s="201"/>
      <c r="J1609" s="217"/>
      <c r="K1609" s="217"/>
      <c r="L1609" s="185"/>
      <c r="M1609" s="185"/>
      <c r="N1609" s="185"/>
      <c r="O1609" s="185"/>
      <c r="P1609" s="185"/>
      <c r="Q1609" s="185"/>
      <c r="R1609" s="168"/>
      <c r="S1609" s="168"/>
      <c r="U1609" s="170"/>
      <c r="V1609" s="171"/>
      <c r="W1609" s="171"/>
      <c r="X1609" s="171"/>
      <c r="Y1609" s="185"/>
      <c r="Z1609" s="185"/>
    </row>
    <row r="1610" spans="4:26" x14ac:dyDescent="0.25">
      <c r="D1610" s="175"/>
      <c r="E1610" s="175"/>
      <c r="H1610" s="201"/>
      <c r="I1610" s="201"/>
      <c r="J1610" s="217"/>
      <c r="K1610" s="217"/>
      <c r="L1610" s="185"/>
      <c r="M1610" s="185"/>
      <c r="N1610" s="185"/>
      <c r="O1610" s="185"/>
      <c r="P1610" s="185"/>
      <c r="Q1610" s="185"/>
      <c r="R1610" s="168"/>
      <c r="S1610" s="168"/>
      <c r="U1610" s="170"/>
      <c r="V1610" s="171"/>
      <c r="W1610" s="171"/>
      <c r="X1610" s="171"/>
      <c r="Y1610" s="185"/>
      <c r="Z1610" s="185"/>
    </row>
    <row r="1611" spans="4:26" x14ac:dyDescent="0.25">
      <c r="D1611" s="175"/>
      <c r="E1611" s="175"/>
      <c r="H1611" s="201"/>
      <c r="I1611" s="201"/>
      <c r="J1611" s="217"/>
      <c r="K1611" s="217"/>
      <c r="L1611" s="185"/>
      <c r="M1611" s="185"/>
      <c r="N1611" s="185"/>
      <c r="O1611" s="185"/>
      <c r="P1611" s="185"/>
      <c r="Q1611" s="185"/>
      <c r="R1611" s="168"/>
      <c r="S1611" s="168"/>
      <c r="U1611" s="170"/>
      <c r="V1611" s="171"/>
      <c r="W1611" s="171"/>
      <c r="X1611" s="171"/>
      <c r="Y1611" s="185"/>
      <c r="Z1611" s="185"/>
    </row>
    <row r="1612" spans="4:26" x14ac:dyDescent="0.25">
      <c r="D1612" s="175"/>
      <c r="E1612" s="175"/>
      <c r="H1612" s="201"/>
      <c r="I1612" s="201"/>
      <c r="J1612" s="217"/>
      <c r="K1612" s="217"/>
      <c r="L1612" s="185"/>
      <c r="M1612" s="185"/>
      <c r="N1612" s="185"/>
      <c r="O1612" s="185"/>
      <c r="P1612" s="185"/>
      <c r="Q1612" s="185"/>
      <c r="R1612" s="168"/>
      <c r="S1612" s="168"/>
      <c r="U1612" s="170"/>
      <c r="V1612" s="171"/>
      <c r="W1612" s="171"/>
      <c r="X1612" s="171"/>
      <c r="Y1612" s="185"/>
      <c r="Z1612" s="185"/>
    </row>
    <row r="1613" spans="4:26" x14ac:dyDescent="0.25">
      <c r="D1613" s="175"/>
      <c r="E1613" s="175"/>
      <c r="H1613" s="201"/>
      <c r="I1613" s="201"/>
      <c r="J1613" s="217"/>
      <c r="K1613" s="217"/>
      <c r="L1613" s="185"/>
      <c r="M1613" s="185"/>
      <c r="N1613" s="185"/>
      <c r="O1613" s="185"/>
      <c r="P1613" s="185"/>
      <c r="Q1613" s="185"/>
      <c r="R1613" s="168"/>
      <c r="S1613" s="168"/>
      <c r="U1613" s="170"/>
      <c r="V1613" s="171"/>
      <c r="W1613" s="171"/>
      <c r="X1613" s="171"/>
      <c r="Y1613" s="185"/>
      <c r="Z1613" s="185"/>
    </row>
    <row r="1614" spans="4:26" x14ac:dyDescent="0.25">
      <c r="D1614" s="175"/>
      <c r="E1614" s="175"/>
      <c r="H1614" s="201"/>
      <c r="I1614" s="201"/>
      <c r="J1614" s="217"/>
      <c r="K1614" s="217"/>
      <c r="L1614" s="185"/>
      <c r="M1614" s="185"/>
      <c r="N1614" s="185"/>
      <c r="O1614" s="185"/>
      <c r="P1614" s="185"/>
      <c r="Q1614" s="185"/>
      <c r="R1614" s="168"/>
      <c r="S1614" s="168"/>
      <c r="U1614" s="170"/>
      <c r="V1614" s="171"/>
      <c r="W1614" s="171"/>
      <c r="X1614" s="171"/>
      <c r="Y1614" s="185"/>
      <c r="Z1614" s="185"/>
    </row>
    <row r="1615" spans="4:26" x14ac:dyDescent="0.25">
      <c r="D1615" s="175"/>
      <c r="E1615" s="175"/>
      <c r="H1615" s="201"/>
      <c r="I1615" s="201"/>
      <c r="J1615" s="217"/>
      <c r="K1615" s="217"/>
      <c r="L1615" s="185"/>
      <c r="M1615" s="185"/>
      <c r="N1615" s="185"/>
      <c r="O1615" s="185"/>
      <c r="P1615" s="185"/>
      <c r="Q1615" s="185"/>
      <c r="R1615" s="168"/>
      <c r="S1615" s="168"/>
      <c r="U1615" s="170"/>
      <c r="V1615" s="171"/>
      <c r="W1615" s="171"/>
      <c r="X1615" s="171"/>
      <c r="Y1615" s="185"/>
      <c r="Z1615" s="185"/>
    </row>
    <row r="1616" spans="4:26" x14ac:dyDescent="0.25">
      <c r="D1616" s="175"/>
      <c r="E1616" s="175"/>
      <c r="H1616" s="201"/>
      <c r="I1616" s="201"/>
      <c r="J1616" s="217"/>
      <c r="K1616" s="217"/>
      <c r="L1616" s="185"/>
      <c r="M1616" s="185"/>
      <c r="N1616" s="185"/>
      <c r="O1616" s="185"/>
      <c r="P1616" s="185"/>
      <c r="Q1616" s="185"/>
      <c r="R1616" s="168"/>
      <c r="S1616" s="168"/>
      <c r="U1616" s="170"/>
      <c r="V1616" s="171"/>
      <c r="W1616" s="171"/>
      <c r="X1616" s="171"/>
      <c r="Y1616" s="185"/>
      <c r="Z1616" s="185"/>
    </row>
    <row r="1617" spans="4:26" x14ac:dyDescent="0.25">
      <c r="D1617" s="175"/>
      <c r="E1617" s="175"/>
      <c r="H1617" s="201"/>
      <c r="I1617" s="201"/>
      <c r="J1617" s="217"/>
      <c r="K1617" s="217"/>
      <c r="L1617" s="185"/>
      <c r="M1617" s="185"/>
      <c r="N1617" s="185"/>
      <c r="O1617" s="185"/>
      <c r="P1617" s="185"/>
      <c r="Q1617" s="185"/>
      <c r="R1617" s="168"/>
      <c r="S1617" s="168"/>
      <c r="U1617" s="170"/>
      <c r="V1617" s="171"/>
      <c r="W1617" s="171"/>
      <c r="X1617" s="171"/>
      <c r="Y1617" s="185"/>
      <c r="Z1617" s="185"/>
    </row>
    <row r="1618" spans="4:26" x14ac:dyDescent="0.25">
      <c r="D1618" s="175"/>
      <c r="E1618" s="175"/>
      <c r="H1618" s="201"/>
      <c r="I1618" s="201"/>
      <c r="J1618" s="217"/>
      <c r="K1618" s="217"/>
      <c r="L1618" s="185"/>
      <c r="M1618" s="185"/>
      <c r="N1618" s="185"/>
      <c r="O1618" s="185"/>
      <c r="P1618" s="185"/>
      <c r="Q1618" s="185"/>
      <c r="R1618" s="168"/>
      <c r="S1618" s="168"/>
      <c r="U1618" s="170"/>
      <c r="V1618" s="171"/>
      <c r="W1618" s="171"/>
      <c r="X1618" s="171"/>
      <c r="Y1618" s="185"/>
      <c r="Z1618" s="185"/>
    </row>
    <row r="1619" spans="4:26" x14ac:dyDescent="0.25">
      <c r="D1619" s="175"/>
      <c r="E1619" s="175"/>
      <c r="H1619" s="201"/>
      <c r="I1619" s="201"/>
      <c r="J1619" s="217"/>
      <c r="K1619" s="217"/>
      <c r="L1619" s="185"/>
      <c r="M1619" s="185"/>
      <c r="N1619" s="185"/>
      <c r="O1619" s="185"/>
      <c r="P1619" s="185"/>
      <c r="Q1619" s="185"/>
      <c r="R1619" s="168"/>
      <c r="S1619" s="168"/>
      <c r="U1619" s="170"/>
      <c r="V1619" s="171"/>
      <c r="W1619" s="171"/>
      <c r="X1619" s="171"/>
      <c r="Y1619" s="185"/>
      <c r="Z1619" s="185"/>
    </row>
    <row r="1620" spans="4:26" x14ac:dyDescent="0.25">
      <c r="D1620" s="175"/>
      <c r="E1620" s="175"/>
      <c r="H1620" s="201"/>
      <c r="I1620" s="201"/>
      <c r="J1620" s="217"/>
      <c r="K1620" s="217"/>
      <c r="L1620" s="185"/>
      <c r="M1620" s="185"/>
      <c r="N1620" s="185"/>
      <c r="O1620" s="185"/>
      <c r="P1620" s="185"/>
      <c r="Q1620" s="185"/>
      <c r="R1620" s="168"/>
      <c r="S1620" s="168"/>
      <c r="U1620" s="170"/>
      <c r="V1620" s="171"/>
      <c r="W1620" s="171"/>
      <c r="X1620" s="171"/>
      <c r="Y1620" s="185"/>
      <c r="Z1620" s="185"/>
    </row>
    <row r="1621" spans="4:26" x14ac:dyDescent="0.25">
      <c r="D1621" s="175"/>
      <c r="E1621" s="175"/>
      <c r="H1621" s="201"/>
      <c r="I1621" s="201"/>
      <c r="J1621" s="217"/>
      <c r="K1621" s="217"/>
      <c r="L1621" s="185"/>
      <c r="M1621" s="185"/>
      <c r="N1621" s="185"/>
      <c r="O1621" s="185"/>
      <c r="P1621" s="185"/>
      <c r="Q1621" s="185"/>
      <c r="R1621" s="168"/>
      <c r="S1621" s="168"/>
      <c r="U1621" s="170"/>
      <c r="V1621" s="171"/>
      <c r="W1621" s="171"/>
      <c r="X1621" s="171"/>
      <c r="Y1621" s="185"/>
      <c r="Z1621" s="185"/>
    </row>
    <row r="1622" spans="4:26" x14ac:dyDescent="0.25">
      <c r="D1622" s="175"/>
      <c r="E1622" s="175"/>
      <c r="H1622" s="201"/>
      <c r="I1622" s="201"/>
      <c r="J1622" s="217"/>
      <c r="K1622" s="217"/>
      <c r="L1622" s="185"/>
      <c r="M1622" s="185"/>
      <c r="N1622" s="185"/>
      <c r="O1622" s="185"/>
      <c r="P1622" s="185"/>
      <c r="Q1622" s="185"/>
      <c r="R1622" s="168"/>
      <c r="S1622" s="168"/>
      <c r="U1622" s="170"/>
      <c r="V1622" s="171"/>
      <c r="W1622" s="171"/>
      <c r="X1622" s="171"/>
      <c r="Y1622" s="185"/>
      <c r="Z1622" s="185"/>
    </row>
    <row r="1623" spans="4:26" x14ac:dyDescent="0.25">
      <c r="D1623" s="175"/>
      <c r="E1623" s="175"/>
      <c r="H1623" s="201"/>
      <c r="I1623" s="201"/>
      <c r="J1623" s="217"/>
      <c r="K1623" s="217"/>
      <c r="L1623" s="185"/>
      <c r="M1623" s="185"/>
      <c r="N1623" s="185"/>
      <c r="O1623" s="185"/>
      <c r="P1623" s="185"/>
      <c r="Q1623" s="185"/>
      <c r="R1623" s="168"/>
      <c r="S1623" s="168"/>
      <c r="U1623" s="170"/>
      <c r="V1623" s="171"/>
      <c r="W1623" s="171"/>
      <c r="X1623" s="171"/>
      <c r="Y1623" s="185"/>
      <c r="Z1623" s="185"/>
    </row>
    <row r="1624" spans="4:26" x14ac:dyDescent="0.25">
      <c r="D1624" s="175"/>
      <c r="E1624" s="175"/>
      <c r="H1624" s="201"/>
      <c r="I1624" s="201"/>
      <c r="J1624" s="217"/>
      <c r="K1624" s="217"/>
      <c r="L1624" s="185"/>
      <c r="M1624" s="185"/>
      <c r="N1624" s="185"/>
      <c r="O1624" s="185"/>
      <c r="P1624" s="185"/>
      <c r="Q1624" s="185"/>
      <c r="R1624" s="168"/>
      <c r="S1624" s="168"/>
      <c r="U1624" s="170"/>
      <c r="V1624" s="171"/>
      <c r="W1624" s="171"/>
      <c r="X1624" s="171"/>
      <c r="Y1624" s="185"/>
      <c r="Z1624" s="185"/>
    </row>
    <row r="1625" spans="4:26" x14ac:dyDescent="0.25">
      <c r="D1625" s="175"/>
      <c r="E1625" s="175"/>
      <c r="H1625" s="201"/>
      <c r="I1625" s="201"/>
      <c r="J1625" s="217"/>
      <c r="K1625" s="217"/>
      <c r="L1625" s="185"/>
      <c r="M1625" s="185"/>
      <c r="N1625" s="185"/>
      <c r="O1625" s="185"/>
      <c r="P1625" s="185"/>
      <c r="Q1625" s="185"/>
      <c r="R1625" s="168"/>
      <c r="S1625" s="168"/>
      <c r="U1625" s="170"/>
      <c r="V1625" s="171"/>
      <c r="W1625" s="171"/>
      <c r="X1625" s="171"/>
      <c r="Y1625" s="185"/>
      <c r="Z1625" s="185"/>
    </row>
    <row r="1626" spans="4:26" x14ac:dyDescent="0.25">
      <c r="D1626" s="175"/>
      <c r="E1626" s="175"/>
      <c r="H1626" s="201"/>
      <c r="I1626" s="201"/>
      <c r="J1626" s="217"/>
      <c r="K1626" s="217"/>
      <c r="L1626" s="185"/>
      <c r="M1626" s="185"/>
      <c r="N1626" s="185"/>
      <c r="O1626" s="185"/>
      <c r="P1626" s="185"/>
      <c r="Q1626" s="185"/>
      <c r="R1626" s="168"/>
      <c r="S1626" s="168"/>
      <c r="U1626" s="170"/>
      <c r="V1626" s="171"/>
      <c r="W1626" s="171"/>
      <c r="X1626" s="171"/>
      <c r="Y1626" s="185"/>
      <c r="Z1626" s="185"/>
    </row>
    <row r="1627" spans="4:26" x14ac:dyDescent="0.25">
      <c r="D1627" s="175"/>
      <c r="E1627" s="175"/>
      <c r="H1627" s="201"/>
      <c r="I1627" s="201"/>
      <c r="J1627" s="217"/>
      <c r="K1627" s="217"/>
      <c r="L1627" s="185"/>
      <c r="M1627" s="185"/>
      <c r="N1627" s="185"/>
      <c r="O1627" s="185"/>
      <c r="P1627" s="185"/>
      <c r="Q1627" s="185"/>
      <c r="R1627" s="168"/>
      <c r="S1627" s="168"/>
      <c r="U1627" s="170"/>
      <c r="V1627" s="171"/>
      <c r="W1627" s="171"/>
      <c r="X1627" s="171"/>
      <c r="Y1627" s="185"/>
      <c r="Z1627" s="185"/>
    </row>
    <row r="1628" spans="4:26" x14ac:dyDescent="0.25">
      <c r="D1628" s="175"/>
      <c r="E1628" s="175"/>
      <c r="H1628" s="201"/>
      <c r="I1628" s="201"/>
      <c r="J1628" s="217"/>
      <c r="K1628" s="217"/>
      <c r="L1628" s="185"/>
      <c r="M1628" s="185"/>
      <c r="N1628" s="185"/>
      <c r="O1628" s="185"/>
      <c r="P1628" s="185"/>
      <c r="Q1628" s="185"/>
      <c r="R1628" s="168"/>
      <c r="S1628" s="168"/>
      <c r="U1628" s="170"/>
      <c r="V1628" s="171"/>
      <c r="W1628" s="171"/>
      <c r="X1628" s="171"/>
      <c r="Y1628" s="185"/>
      <c r="Z1628" s="185"/>
    </row>
    <row r="1629" spans="4:26" x14ac:dyDescent="0.25">
      <c r="D1629" s="175"/>
      <c r="E1629" s="175"/>
      <c r="H1629" s="201"/>
      <c r="I1629" s="201"/>
      <c r="J1629" s="217"/>
      <c r="K1629" s="217"/>
      <c r="L1629" s="185"/>
      <c r="M1629" s="185"/>
      <c r="N1629" s="185"/>
      <c r="O1629" s="185"/>
      <c r="P1629" s="185"/>
      <c r="Q1629" s="185"/>
      <c r="R1629" s="168"/>
      <c r="S1629" s="168"/>
      <c r="U1629" s="170"/>
      <c r="V1629" s="171"/>
      <c r="W1629" s="171"/>
      <c r="X1629" s="171"/>
      <c r="Y1629" s="185"/>
      <c r="Z1629" s="185"/>
    </row>
    <row r="1630" spans="4:26" x14ac:dyDescent="0.25">
      <c r="D1630" s="175"/>
      <c r="E1630" s="175"/>
      <c r="H1630" s="201"/>
      <c r="I1630" s="201"/>
      <c r="J1630" s="217"/>
      <c r="K1630" s="217"/>
      <c r="L1630" s="185"/>
      <c r="M1630" s="185"/>
      <c r="N1630" s="185"/>
      <c r="O1630" s="185"/>
      <c r="P1630" s="185"/>
      <c r="Q1630" s="185"/>
      <c r="R1630" s="168"/>
      <c r="S1630" s="168"/>
      <c r="U1630" s="170"/>
      <c r="V1630" s="171"/>
      <c r="W1630" s="171"/>
      <c r="X1630" s="171"/>
      <c r="Y1630" s="185"/>
      <c r="Z1630" s="185"/>
    </row>
    <row r="1631" spans="4:26" x14ac:dyDescent="0.25">
      <c r="D1631" s="175"/>
      <c r="E1631" s="175"/>
      <c r="H1631" s="201"/>
      <c r="I1631" s="201"/>
      <c r="J1631" s="217"/>
      <c r="K1631" s="217"/>
      <c r="L1631" s="185"/>
      <c r="M1631" s="185"/>
      <c r="N1631" s="185"/>
      <c r="O1631" s="185"/>
      <c r="P1631" s="185"/>
      <c r="Q1631" s="185"/>
      <c r="R1631" s="168"/>
      <c r="S1631" s="168"/>
      <c r="U1631" s="170"/>
      <c r="V1631" s="171"/>
      <c r="W1631" s="171"/>
      <c r="X1631" s="171"/>
      <c r="Y1631" s="185"/>
      <c r="Z1631" s="185"/>
    </row>
    <row r="1632" spans="4:26" x14ac:dyDescent="0.25">
      <c r="D1632" s="175"/>
      <c r="E1632" s="175"/>
      <c r="H1632" s="201"/>
      <c r="I1632" s="201"/>
      <c r="J1632" s="217"/>
      <c r="K1632" s="217"/>
      <c r="L1632" s="185"/>
      <c r="M1632" s="185"/>
      <c r="N1632" s="185"/>
      <c r="O1632" s="185"/>
      <c r="P1632" s="185"/>
      <c r="Q1632" s="185"/>
      <c r="R1632" s="168"/>
      <c r="S1632" s="168"/>
      <c r="U1632" s="170"/>
      <c r="V1632" s="171"/>
      <c r="W1632" s="171"/>
      <c r="X1632" s="171"/>
      <c r="Y1632" s="185"/>
      <c r="Z1632" s="185"/>
    </row>
    <row r="1633" spans="4:26" x14ac:dyDescent="0.25">
      <c r="D1633" s="175"/>
      <c r="E1633" s="175"/>
      <c r="H1633" s="201"/>
      <c r="I1633" s="201"/>
      <c r="J1633" s="217"/>
      <c r="K1633" s="217"/>
      <c r="L1633" s="185"/>
      <c r="M1633" s="185"/>
      <c r="N1633" s="185"/>
      <c r="O1633" s="185"/>
      <c r="P1633" s="185"/>
      <c r="Q1633" s="185"/>
      <c r="R1633" s="168"/>
      <c r="S1633" s="168"/>
      <c r="U1633" s="170"/>
      <c r="V1633" s="171"/>
      <c r="W1633" s="171"/>
      <c r="X1633" s="171"/>
      <c r="Y1633" s="185"/>
      <c r="Z1633" s="185"/>
    </row>
    <row r="1634" spans="4:26" x14ac:dyDescent="0.25">
      <c r="D1634" s="175"/>
      <c r="E1634" s="175"/>
      <c r="H1634" s="201"/>
      <c r="I1634" s="201"/>
      <c r="J1634" s="217"/>
      <c r="K1634" s="217"/>
      <c r="L1634" s="185"/>
      <c r="M1634" s="185"/>
      <c r="N1634" s="185"/>
      <c r="O1634" s="185"/>
      <c r="P1634" s="185"/>
      <c r="Q1634" s="185"/>
      <c r="R1634" s="168"/>
      <c r="S1634" s="168"/>
      <c r="U1634" s="170"/>
      <c r="V1634" s="171"/>
      <c r="W1634" s="171"/>
      <c r="X1634" s="171"/>
      <c r="Y1634" s="185"/>
      <c r="Z1634" s="185"/>
    </row>
    <row r="1635" spans="4:26" x14ac:dyDescent="0.25">
      <c r="D1635" s="175"/>
      <c r="E1635" s="175"/>
      <c r="H1635" s="201"/>
      <c r="I1635" s="201"/>
      <c r="J1635" s="217"/>
      <c r="K1635" s="217"/>
      <c r="L1635" s="185"/>
      <c r="M1635" s="185"/>
      <c r="N1635" s="185"/>
      <c r="O1635" s="185"/>
      <c r="P1635" s="185"/>
      <c r="Q1635" s="185"/>
      <c r="R1635" s="168"/>
      <c r="S1635" s="168"/>
      <c r="U1635" s="170"/>
      <c r="V1635" s="171"/>
      <c r="W1635" s="171"/>
      <c r="X1635" s="171"/>
      <c r="Y1635" s="185"/>
      <c r="Z1635" s="185"/>
    </row>
    <row r="1636" spans="4:26" x14ac:dyDescent="0.25">
      <c r="D1636" s="175"/>
      <c r="E1636" s="175"/>
      <c r="H1636" s="201"/>
      <c r="I1636" s="201"/>
      <c r="J1636" s="217"/>
      <c r="K1636" s="217"/>
      <c r="L1636" s="185"/>
      <c r="M1636" s="185"/>
      <c r="N1636" s="185"/>
      <c r="O1636" s="185"/>
      <c r="P1636" s="185"/>
      <c r="Q1636" s="185"/>
      <c r="R1636" s="168"/>
      <c r="S1636" s="168"/>
      <c r="U1636" s="170"/>
      <c r="V1636" s="171"/>
      <c r="W1636" s="171"/>
      <c r="X1636" s="171"/>
      <c r="Y1636" s="185"/>
      <c r="Z1636" s="185"/>
    </row>
    <row r="1637" spans="4:26" x14ac:dyDescent="0.25">
      <c r="D1637" s="175"/>
      <c r="E1637" s="175"/>
      <c r="H1637" s="201"/>
      <c r="I1637" s="201"/>
      <c r="J1637" s="217"/>
      <c r="K1637" s="217"/>
      <c r="L1637" s="185"/>
      <c r="M1637" s="185"/>
      <c r="N1637" s="185"/>
      <c r="O1637" s="185"/>
      <c r="P1637" s="185"/>
      <c r="Q1637" s="185"/>
      <c r="R1637" s="168"/>
      <c r="S1637" s="168"/>
      <c r="U1637" s="170"/>
      <c r="V1637" s="171"/>
      <c r="W1637" s="171"/>
      <c r="X1637" s="171"/>
      <c r="Y1637" s="185"/>
      <c r="Z1637" s="185"/>
    </row>
    <row r="1638" spans="4:26" x14ac:dyDescent="0.25">
      <c r="D1638" s="175"/>
      <c r="E1638" s="175"/>
      <c r="H1638" s="201"/>
      <c r="I1638" s="201"/>
      <c r="J1638" s="217"/>
      <c r="K1638" s="217"/>
      <c r="L1638" s="185"/>
      <c r="M1638" s="185"/>
      <c r="N1638" s="185"/>
      <c r="O1638" s="185"/>
      <c r="P1638" s="185"/>
      <c r="Q1638" s="185"/>
      <c r="R1638" s="168"/>
      <c r="S1638" s="168"/>
      <c r="U1638" s="170"/>
      <c r="V1638" s="171"/>
      <c r="W1638" s="171"/>
      <c r="X1638" s="171"/>
      <c r="Y1638" s="185"/>
      <c r="Z1638" s="185"/>
    </row>
    <row r="1639" spans="4:26" x14ac:dyDescent="0.25">
      <c r="D1639" s="175"/>
      <c r="E1639" s="175"/>
      <c r="H1639" s="201"/>
      <c r="I1639" s="201"/>
      <c r="J1639" s="217"/>
      <c r="K1639" s="217"/>
      <c r="L1639" s="185"/>
      <c r="M1639" s="185"/>
      <c r="N1639" s="185"/>
      <c r="O1639" s="185"/>
      <c r="P1639" s="185"/>
      <c r="Q1639" s="185"/>
      <c r="R1639" s="168"/>
      <c r="S1639" s="168"/>
      <c r="U1639" s="170"/>
      <c r="V1639" s="171"/>
      <c r="W1639" s="171"/>
      <c r="X1639" s="171"/>
      <c r="Y1639" s="185"/>
      <c r="Z1639" s="185"/>
    </row>
    <row r="1640" spans="4:26" x14ac:dyDescent="0.25">
      <c r="D1640" s="175"/>
      <c r="E1640" s="175"/>
      <c r="H1640" s="201"/>
      <c r="I1640" s="201"/>
      <c r="J1640" s="217"/>
      <c r="K1640" s="217"/>
      <c r="L1640" s="185"/>
      <c r="M1640" s="185"/>
      <c r="N1640" s="185"/>
      <c r="O1640" s="185"/>
      <c r="P1640" s="185"/>
      <c r="Q1640" s="185"/>
      <c r="R1640" s="168"/>
      <c r="S1640" s="168"/>
      <c r="U1640" s="170"/>
      <c r="V1640" s="171"/>
      <c r="W1640" s="171"/>
      <c r="X1640" s="171"/>
      <c r="Y1640" s="185"/>
      <c r="Z1640" s="185"/>
    </row>
    <row r="1641" spans="4:26" x14ac:dyDescent="0.25">
      <c r="D1641" s="175"/>
      <c r="E1641" s="175"/>
      <c r="H1641" s="201"/>
      <c r="I1641" s="201"/>
      <c r="J1641" s="217"/>
      <c r="K1641" s="217"/>
      <c r="L1641" s="185"/>
      <c r="M1641" s="185"/>
      <c r="N1641" s="185"/>
      <c r="O1641" s="185"/>
      <c r="P1641" s="185"/>
      <c r="Q1641" s="185"/>
      <c r="R1641" s="168"/>
      <c r="S1641" s="168"/>
      <c r="U1641" s="170"/>
      <c r="V1641" s="171"/>
      <c r="W1641" s="171"/>
      <c r="X1641" s="171"/>
      <c r="Y1641" s="185"/>
      <c r="Z1641" s="185"/>
    </row>
    <row r="1642" spans="4:26" x14ac:dyDescent="0.25">
      <c r="D1642" s="175"/>
      <c r="E1642" s="175"/>
      <c r="H1642" s="201"/>
      <c r="I1642" s="201"/>
      <c r="J1642" s="217"/>
      <c r="K1642" s="217"/>
      <c r="L1642" s="185"/>
      <c r="M1642" s="185"/>
      <c r="N1642" s="185"/>
      <c r="O1642" s="185"/>
      <c r="P1642" s="185"/>
      <c r="Q1642" s="185"/>
      <c r="R1642" s="168"/>
      <c r="S1642" s="168"/>
      <c r="U1642" s="170"/>
      <c r="V1642" s="171"/>
      <c r="W1642" s="171"/>
      <c r="X1642" s="171"/>
      <c r="Y1642" s="185"/>
      <c r="Z1642" s="185"/>
    </row>
    <row r="1643" spans="4:26" x14ac:dyDescent="0.25">
      <c r="D1643" s="175"/>
      <c r="E1643" s="175"/>
      <c r="H1643" s="201"/>
      <c r="I1643" s="201"/>
      <c r="J1643" s="217"/>
      <c r="K1643" s="217"/>
      <c r="L1643" s="185"/>
      <c r="M1643" s="185"/>
      <c r="N1643" s="185"/>
      <c r="O1643" s="185"/>
      <c r="P1643" s="185"/>
      <c r="Q1643" s="185"/>
      <c r="R1643" s="168"/>
      <c r="S1643" s="168"/>
      <c r="U1643" s="170"/>
      <c r="V1643" s="171"/>
      <c r="W1643" s="171"/>
      <c r="X1643" s="171"/>
      <c r="Y1643" s="185"/>
      <c r="Z1643" s="185"/>
    </row>
    <row r="1644" spans="4:26" x14ac:dyDescent="0.25">
      <c r="D1644" s="175"/>
      <c r="E1644" s="175"/>
      <c r="H1644" s="201"/>
      <c r="I1644" s="201"/>
      <c r="J1644" s="217"/>
      <c r="K1644" s="217"/>
      <c r="L1644" s="185"/>
      <c r="M1644" s="185"/>
      <c r="N1644" s="185"/>
      <c r="O1644" s="185"/>
      <c r="P1644" s="185"/>
      <c r="Q1644" s="185"/>
      <c r="R1644" s="168"/>
      <c r="S1644" s="168"/>
      <c r="U1644" s="170"/>
      <c r="V1644" s="171"/>
      <c r="W1644" s="171"/>
      <c r="X1644" s="171"/>
      <c r="Y1644" s="185"/>
      <c r="Z1644" s="185"/>
    </row>
    <row r="1645" spans="4:26" x14ac:dyDescent="0.25">
      <c r="D1645" s="175"/>
      <c r="E1645" s="175"/>
      <c r="H1645" s="201"/>
      <c r="I1645" s="201"/>
      <c r="J1645" s="217"/>
      <c r="K1645" s="217"/>
      <c r="L1645" s="185"/>
      <c r="M1645" s="185"/>
      <c r="N1645" s="185"/>
      <c r="O1645" s="185"/>
      <c r="P1645" s="185"/>
      <c r="Q1645" s="185"/>
      <c r="R1645" s="168"/>
      <c r="S1645" s="168"/>
      <c r="U1645" s="170"/>
      <c r="V1645" s="171"/>
      <c r="W1645" s="171"/>
      <c r="X1645" s="171"/>
      <c r="Y1645" s="185"/>
      <c r="Z1645" s="185"/>
    </row>
    <row r="1646" spans="4:26" x14ac:dyDescent="0.25">
      <c r="D1646" s="175"/>
      <c r="E1646" s="175"/>
      <c r="H1646" s="201"/>
      <c r="I1646" s="201"/>
      <c r="J1646" s="217"/>
      <c r="K1646" s="217"/>
      <c r="L1646" s="185"/>
      <c r="M1646" s="185"/>
      <c r="N1646" s="185"/>
      <c r="O1646" s="185"/>
      <c r="P1646" s="185"/>
      <c r="Q1646" s="185"/>
      <c r="R1646" s="168"/>
      <c r="S1646" s="168"/>
      <c r="U1646" s="170"/>
      <c r="V1646" s="171"/>
      <c r="W1646" s="171"/>
      <c r="X1646" s="171"/>
      <c r="Y1646" s="185"/>
      <c r="Z1646" s="185"/>
    </row>
    <row r="1647" spans="4:26" x14ac:dyDescent="0.25">
      <c r="D1647" s="175"/>
      <c r="E1647" s="175"/>
      <c r="H1647" s="201"/>
      <c r="I1647" s="201"/>
      <c r="J1647" s="217"/>
      <c r="K1647" s="217"/>
      <c r="L1647" s="185"/>
      <c r="M1647" s="185"/>
      <c r="N1647" s="185"/>
      <c r="O1647" s="185"/>
      <c r="P1647" s="185"/>
      <c r="Q1647" s="185"/>
      <c r="R1647" s="168"/>
      <c r="S1647" s="168"/>
      <c r="U1647" s="170"/>
      <c r="V1647" s="171"/>
      <c r="W1647" s="171"/>
      <c r="X1647" s="171"/>
      <c r="Y1647" s="185"/>
      <c r="Z1647" s="185"/>
    </row>
    <row r="1648" spans="4:26" x14ac:dyDescent="0.25">
      <c r="D1648" s="175"/>
      <c r="E1648" s="175"/>
      <c r="H1648" s="201"/>
      <c r="I1648" s="201"/>
      <c r="J1648" s="217"/>
      <c r="K1648" s="217"/>
      <c r="L1648" s="185"/>
      <c r="M1648" s="185"/>
      <c r="N1648" s="185"/>
      <c r="O1648" s="185"/>
      <c r="P1648" s="185"/>
      <c r="Q1648" s="185"/>
      <c r="R1648" s="168"/>
      <c r="S1648" s="168"/>
      <c r="U1648" s="170"/>
      <c r="V1648" s="171"/>
      <c r="W1648" s="171"/>
      <c r="X1648" s="171"/>
      <c r="Y1648" s="185"/>
      <c r="Z1648" s="185"/>
    </row>
    <row r="1649" spans="4:26" x14ac:dyDescent="0.25">
      <c r="D1649" s="175"/>
      <c r="E1649" s="175"/>
      <c r="H1649" s="201"/>
      <c r="I1649" s="201"/>
      <c r="J1649" s="217"/>
      <c r="K1649" s="217"/>
      <c r="L1649" s="185"/>
      <c r="M1649" s="185"/>
      <c r="N1649" s="185"/>
      <c r="O1649" s="185"/>
      <c r="P1649" s="185"/>
      <c r="Q1649" s="185"/>
      <c r="R1649" s="168"/>
      <c r="S1649" s="168"/>
      <c r="U1649" s="170"/>
      <c r="V1649" s="171"/>
      <c r="W1649" s="171"/>
      <c r="X1649" s="171"/>
      <c r="Y1649" s="185"/>
      <c r="Z1649" s="185"/>
    </row>
    <row r="1650" spans="4:26" x14ac:dyDescent="0.25">
      <c r="D1650" s="175"/>
      <c r="E1650" s="175"/>
      <c r="H1650" s="201"/>
      <c r="I1650" s="201"/>
      <c r="J1650" s="217"/>
      <c r="K1650" s="217"/>
      <c r="L1650" s="185"/>
      <c r="M1650" s="185"/>
      <c r="N1650" s="185"/>
      <c r="O1650" s="185"/>
      <c r="P1650" s="185"/>
      <c r="Q1650" s="185"/>
      <c r="R1650" s="168"/>
      <c r="S1650" s="168"/>
      <c r="U1650" s="170"/>
      <c r="V1650" s="171"/>
      <c r="W1650" s="171"/>
      <c r="X1650" s="171"/>
      <c r="Y1650" s="185"/>
      <c r="Z1650" s="185"/>
    </row>
    <row r="1651" spans="4:26" x14ac:dyDescent="0.25">
      <c r="D1651" s="175"/>
      <c r="E1651" s="175"/>
      <c r="H1651" s="201"/>
      <c r="I1651" s="201"/>
      <c r="J1651" s="217"/>
      <c r="K1651" s="217"/>
      <c r="L1651" s="185"/>
      <c r="M1651" s="185"/>
      <c r="N1651" s="185"/>
      <c r="O1651" s="185"/>
      <c r="P1651" s="185"/>
      <c r="Q1651" s="185"/>
      <c r="R1651" s="168"/>
      <c r="S1651" s="168"/>
      <c r="U1651" s="170"/>
      <c r="V1651" s="171"/>
      <c r="W1651" s="171"/>
      <c r="X1651" s="171"/>
      <c r="Y1651" s="185"/>
      <c r="Z1651" s="185"/>
    </row>
    <row r="1652" spans="4:26" x14ac:dyDescent="0.25">
      <c r="D1652" s="175"/>
      <c r="E1652" s="175"/>
      <c r="H1652" s="201"/>
      <c r="I1652" s="201"/>
      <c r="J1652" s="217"/>
      <c r="K1652" s="217"/>
      <c r="L1652" s="185"/>
      <c r="M1652" s="185"/>
      <c r="N1652" s="185"/>
      <c r="O1652" s="185"/>
      <c r="P1652" s="185"/>
      <c r="Q1652" s="185"/>
      <c r="R1652" s="168"/>
      <c r="S1652" s="168"/>
      <c r="U1652" s="170"/>
      <c r="V1652" s="171"/>
      <c r="W1652" s="171"/>
      <c r="X1652" s="171"/>
      <c r="Y1652" s="185"/>
      <c r="Z1652" s="185"/>
    </row>
    <row r="1653" spans="4:26" x14ac:dyDescent="0.25">
      <c r="D1653" s="175"/>
      <c r="E1653" s="175"/>
      <c r="H1653" s="201"/>
      <c r="I1653" s="201"/>
      <c r="J1653" s="217"/>
      <c r="K1653" s="217"/>
      <c r="L1653" s="185"/>
      <c r="M1653" s="185"/>
      <c r="N1653" s="185"/>
      <c r="O1653" s="185"/>
      <c r="P1653" s="185"/>
      <c r="Q1653" s="185"/>
      <c r="R1653" s="168"/>
      <c r="S1653" s="168"/>
      <c r="U1653" s="170"/>
      <c r="V1653" s="171"/>
      <c r="W1653" s="171"/>
      <c r="X1653" s="171"/>
      <c r="Y1653" s="185"/>
      <c r="Z1653" s="185"/>
    </row>
    <row r="1654" spans="4:26" x14ac:dyDescent="0.25">
      <c r="D1654" s="175"/>
      <c r="E1654" s="175"/>
      <c r="H1654" s="201"/>
      <c r="I1654" s="201"/>
      <c r="J1654" s="217"/>
      <c r="K1654" s="217"/>
      <c r="L1654" s="185"/>
      <c r="M1654" s="185"/>
      <c r="N1654" s="185"/>
      <c r="O1654" s="185"/>
      <c r="P1654" s="185"/>
      <c r="Q1654" s="185"/>
      <c r="R1654" s="168"/>
      <c r="S1654" s="168"/>
      <c r="U1654" s="170"/>
      <c r="V1654" s="171"/>
      <c r="W1654" s="171"/>
      <c r="X1654" s="171"/>
      <c r="Y1654" s="185"/>
      <c r="Z1654" s="185"/>
    </row>
    <row r="1655" spans="4:26" x14ac:dyDescent="0.25">
      <c r="D1655" s="175"/>
      <c r="E1655" s="175"/>
      <c r="H1655" s="201"/>
      <c r="I1655" s="201"/>
      <c r="J1655" s="217"/>
      <c r="K1655" s="217"/>
      <c r="L1655" s="185"/>
      <c r="M1655" s="185"/>
      <c r="N1655" s="185"/>
      <c r="O1655" s="185"/>
      <c r="P1655" s="185"/>
      <c r="Q1655" s="185"/>
      <c r="R1655" s="168"/>
      <c r="S1655" s="168"/>
      <c r="U1655" s="170"/>
      <c r="V1655" s="171"/>
      <c r="W1655" s="171"/>
      <c r="X1655" s="171"/>
      <c r="Y1655" s="185"/>
      <c r="Z1655" s="185"/>
    </row>
    <row r="1656" spans="4:26" x14ac:dyDescent="0.25">
      <c r="D1656" s="175"/>
      <c r="E1656" s="175"/>
      <c r="H1656" s="201"/>
      <c r="I1656" s="201"/>
      <c r="J1656" s="217"/>
      <c r="K1656" s="217"/>
      <c r="L1656" s="185"/>
      <c r="M1656" s="185"/>
      <c r="N1656" s="185"/>
      <c r="O1656" s="185"/>
      <c r="P1656" s="185"/>
      <c r="Q1656" s="185"/>
      <c r="R1656" s="168"/>
      <c r="S1656" s="168"/>
      <c r="U1656" s="170"/>
      <c r="V1656" s="171"/>
      <c r="W1656" s="171"/>
      <c r="X1656" s="171"/>
      <c r="Y1656" s="185"/>
      <c r="Z1656" s="185"/>
    </row>
    <row r="1657" spans="4:26" x14ac:dyDescent="0.25">
      <c r="D1657" s="175"/>
      <c r="E1657" s="175"/>
      <c r="H1657" s="201"/>
      <c r="I1657" s="201"/>
      <c r="J1657" s="217"/>
      <c r="K1657" s="217"/>
      <c r="L1657" s="185"/>
      <c r="M1657" s="185"/>
      <c r="N1657" s="185"/>
      <c r="O1657" s="185"/>
      <c r="P1657" s="185"/>
      <c r="Q1657" s="185"/>
      <c r="R1657" s="168"/>
      <c r="S1657" s="168"/>
      <c r="U1657" s="170"/>
      <c r="V1657" s="171"/>
      <c r="W1657" s="171"/>
      <c r="X1657" s="171"/>
      <c r="Y1657" s="185"/>
      <c r="Z1657" s="185"/>
    </row>
    <row r="1658" spans="4:26" x14ac:dyDescent="0.25">
      <c r="D1658" s="175"/>
      <c r="E1658" s="175"/>
      <c r="H1658" s="201"/>
      <c r="I1658" s="201"/>
      <c r="J1658" s="217"/>
      <c r="K1658" s="217"/>
      <c r="L1658" s="185"/>
      <c r="M1658" s="185"/>
      <c r="N1658" s="185"/>
      <c r="O1658" s="185"/>
      <c r="P1658" s="185"/>
      <c r="Q1658" s="185"/>
      <c r="R1658" s="168"/>
      <c r="S1658" s="168"/>
      <c r="U1658" s="170"/>
      <c r="V1658" s="171"/>
      <c r="W1658" s="171"/>
      <c r="X1658" s="171"/>
      <c r="Y1658" s="185"/>
      <c r="Z1658" s="185"/>
    </row>
    <row r="1659" spans="4:26" x14ac:dyDescent="0.25">
      <c r="D1659" s="175"/>
      <c r="E1659" s="175"/>
      <c r="H1659" s="201"/>
      <c r="I1659" s="201"/>
      <c r="J1659" s="217"/>
      <c r="K1659" s="217"/>
      <c r="L1659" s="185"/>
      <c r="M1659" s="185"/>
      <c r="N1659" s="185"/>
      <c r="O1659" s="185"/>
      <c r="P1659" s="185"/>
      <c r="Q1659" s="185"/>
      <c r="R1659" s="168"/>
      <c r="S1659" s="168"/>
      <c r="U1659" s="170"/>
      <c r="V1659" s="171"/>
      <c r="W1659" s="171"/>
      <c r="X1659" s="171"/>
      <c r="Y1659" s="185"/>
      <c r="Z1659" s="185"/>
    </row>
    <row r="1660" spans="4:26" x14ac:dyDescent="0.25">
      <c r="D1660" s="175"/>
      <c r="E1660" s="175"/>
      <c r="H1660" s="201"/>
      <c r="I1660" s="201"/>
      <c r="J1660" s="217"/>
      <c r="K1660" s="217"/>
      <c r="L1660" s="185"/>
      <c r="M1660" s="185"/>
      <c r="N1660" s="185"/>
      <c r="O1660" s="185"/>
      <c r="P1660" s="185"/>
      <c r="Q1660" s="185"/>
      <c r="R1660" s="168"/>
      <c r="S1660" s="168"/>
      <c r="U1660" s="170"/>
      <c r="V1660" s="171"/>
      <c r="W1660" s="171"/>
      <c r="X1660" s="171"/>
      <c r="Y1660" s="185"/>
      <c r="Z1660" s="185"/>
    </row>
    <row r="1661" spans="4:26" x14ac:dyDescent="0.25">
      <c r="D1661" s="175"/>
      <c r="E1661" s="175"/>
      <c r="H1661" s="201"/>
      <c r="I1661" s="201"/>
      <c r="J1661" s="217"/>
      <c r="K1661" s="217"/>
      <c r="L1661" s="185"/>
      <c r="M1661" s="185"/>
      <c r="N1661" s="185"/>
      <c r="O1661" s="185"/>
      <c r="P1661" s="185"/>
      <c r="Q1661" s="185"/>
      <c r="R1661" s="168"/>
      <c r="S1661" s="168"/>
      <c r="U1661" s="170"/>
      <c r="V1661" s="171"/>
      <c r="W1661" s="171"/>
      <c r="X1661" s="171"/>
      <c r="Y1661" s="185"/>
      <c r="Z1661" s="185"/>
    </row>
    <row r="1662" spans="4:26" x14ac:dyDescent="0.25">
      <c r="D1662" s="175"/>
      <c r="E1662" s="175"/>
      <c r="H1662" s="201"/>
      <c r="I1662" s="201"/>
      <c r="J1662" s="217"/>
      <c r="K1662" s="217"/>
      <c r="L1662" s="185"/>
      <c r="M1662" s="185"/>
      <c r="N1662" s="185"/>
      <c r="O1662" s="185"/>
      <c r="P1662" s="185"/>
      <c r="Q1662" s="185"/>
      <c r="R1662" s="168"/>
      <c r="S1662" s="168"/>
      <c r="U1662" s="170"/>
      <c r="V1662" s="171"/>
      <c r="W1662" s="171"/>
      <c r="X1662" s="171"/>
      <c r="Y1662" s="185"/>
      <c r="Z1662" s="185"/>
    </row>
    <row r="1663" spans="4:26" x14ac:dyDescent="0.25">
      <c r="D1663" s="175"/>
      <c r="E1663" s="175"/>
      <c r="H1663" s="201"/>
      <c r="I1663" s="201"/>
      <c r="J1663" s="217"/>
      <c r="K1663" s="217"/>
      <c r="L1663" s="185"/>
      <c r="M1663" s="185"/>
      <c r="N1663" s="185"/>
      <c r="O1663" s="185"/>
      <c r="P1663" s="185"/>
      <c r="Q1663" s="185"/>
      <c r="R1663" s="168"/>
      <c r="S1663" s="168"/>
      <c r="U1663" s="170"/>
      <c r="V1663" s="171"/>
      <c r="W1663" s="171"/>
      <c r="X1663" s="171"/>
      <c r="Y1663" s="185"/>
      <c r="Z1663" s="185"/>
    </row>
    <row r="1664" spans="4:26" x14ac:dyDescent="0.25">
      <c r="D1664" s="175"/>
      <c r="E1664" s="175"/>
      <c r="H1664" s="201"/>
      <c r="I1664" s="201"/>
      <c r="J1664" s="217"/>
      <c r="K1664" s="217"/>
      <c r="L1664" s="185"/>
      <c r="M1664" s="185"/>
      <c r="N1664" s="185"/>
      <c r="O1664" s="185"/>
      <c r="P1664" s="185"/>
      <c r="Q1664" s="185"/>
      <c r="R1664" s="168"/>
      <c r="S1664" s="168"/>
      <c r="U1664" s="170"/>
      <c r="V1664" s="171"/>
      <c r="W1664" s="171"/>
      <c r="X1664" s="171"/>
      <c r="Y1664" s="185"/>
      <c r="Z1664" s="185"/>
    </row>
    <row r="1665" spans="4:26" x14ac:dyDescent="0.25">
      <c r="D1665" s="175"/>
      <c r="E1665" s="175"/>
      <c r="H1665" s="201"/>
      <c r="I1665" s="201"/>
      <c r="J1665" s="217"/>
      <c r="K1665" s="217"/>
      <c r="L1665" s="185"/>
      <c r="M1665" s="185"/>
      <c r="N1665" s="185"/>
      <c r="O1665" s="185"/>
      <c r="P1665" s="185"/>
      <c r="Q1665" s="185"/>
      <c r="R1665" s="168"/>
      <c r="S1665" s="168"/>
      <c r="U1665" s="170"/>
      <c r="V1665" s="171"/>
      <c r="W1665" s="171"/>
      <c r="X1665" s="171"/>
      <c r="Y1665" s="185"/>
      <c r="Z1665" s="185"/>
    </row>
    <row r="1666" spans="4:26" x14ac:dyDescent="0.25">
      <c r="D1666" s="175"/>
      <c r="E1666" s="175"/>
      <c r="H1666" s="201"/>
      <c r="I1666" s="201"/>
      <c r="J1666" s="217"/>
      <c r="K1666" s="217"/>
      <c r="L1666" s="185"/>
      <c r="M1666" s="185"/>
      <c r="N1666" s="185"/>
      <c r="O1666" s="185"/>
      <c r="P1666" s="185"/>
      <c r="Q1666" s="185"/>
      <c r="R1666" s="168"/>
      <c r="S1666" s="168"/>
      <c r="U1666" s="170"/>
      <c r="V1666" s="171"/>
      <c r="W1666" s="171"/>
      <c r="X1666" s="171"/>
      <c r="Y1666" s="185"/>
      <c r="Z1666" s="185"/>
    </row>
    <row r="1667" spans="4:26" x14ac:dyDescent="0.25">
      <c r="D1667" s="175"/>
      <c r="E1667" s="175"/>
      <c r="H1667" s="201"/>
      <c r="I1667" s="201"/>
      <c r="J1667" s="217"/>
      <c r="K1667" s="217"/>
      <c r="L1667" s="185"/>
      <c r="M1667" s="185"/>
      <c r="N1667" s="185"/>
      <c r="O1667" s="185"/>
      <c r="P1667" s="185"/>
      <c r="Q1667" s="185"/>
      <c r="R1667" s="168"/>
      <c r="S1667" s="168"/>
      <c r="U1667" s="170"/>
      <c r="V1667" s="171"/>
      <c r="W1667" s="171"/>
      <c r="X1667" s="171"/>
      <c r="Y1667" s="185"/>
      <c r="Z1667" s="185"/>
    </row>
    <row r="1668" spans="4:26" x14ac:dyDescent="0.25">
      <c r="D1668" s="175"/>
      <c r="E1668" s="175"/>
      <c r="H1668" s="201"/>
      <c r="I1668" s="201"/>
      <c r="J1668" s="217"/>
      <c r="K1668" s="217"/>
      <c r="L1668" s="185"/>
      <c r="M1668" s="185"/>
      <c r="N1668" s="185"/>
      <c r="O1668" s="185"/>
      <c r="P1668" s="185"/>
      <c r="Q1668" s="185"/>
      <c r="R1668" s="168"/>
      <c r="S1668" s="168"/>
      <c r="U1668" s="170"/>
      <c r="V1668" s="171"/>
      <c r="W1668" s="171"/>
      <c r="X1668" s="171"/>
      <c r="Y1668" s="185"/>
      <c r="Z1668" s="185"/>
    </row>
    <row r="1669" spans="4:26" x14ac:dyDescent="0.25">
      <c r="D1669" s="175"/>
      <c r="E1669" s="175"/>
      <c r="H1669" s="201"/>
      <c r="I1669" s="201"/>
      <c r="J1669" s="217"/>
      <c r="K1669" s="217"/>
      <c r="L1669" s="185"/>
      <c r="M1669" s="185"/>
      <c r="N1669" s="185"/>
      <c r="O1669" s="185"/>
      <c r="P1669" s="185"/>
      <c r="Q1669" s="185"/>
      <c r="R1669" s="168"/>
      <c r="S1669" s="168"/>
      <c r="U1669" s="170"/>
      <c r="V1669" s="171"/>
      <c r="W1669" s="171"/>
      <c r="X1669" s="171"/>
      <c r="Y1669" s="185"/>
      <c r="Z1669" s="185"/>
    </row>
    <row r="1670" spans="4:26" x14ac:dyDescent="0.25">
      <c r="D1670" s="175"/>
      <c r="E1670" s="175"/>
      <c r="H1670" s="201"/>
      <c r="I1670" s="201"/>
      <c r="J1670" s="217"/>
      <c r="K1670" s="217"/>
      <c r="L1670" s="185"/>
      <c r="M1670" s="185"/>
      <c r="N1670" s="185"/>
      <c r="O1670" s="185"/>
      <c r="P1670" s="185"/>
      <c r="Q1670" s="185"/>
      <c r="R1670" s="168"/>
      <c r="S1670" s="168"/>
      <c r="U1670" s="170"/>
      <c r="V1670" s="171"/>
      <c r="W1670" s="171"/>
      <c r="X1670" s="171"/>
      <c r="Y1670" s="185"/>
      <c r="Z1670" s="185"/>
    </row>
    <row r="1671" spans="4:26" x14ac:dyDescent="0.25">
      <c r="D1671" s="175"/>
      <c r="E1671" s="175"/>
      <c r="H1671" s="201"/>
      <c r="I1671" s="201"/>
      <c r="J1671" s="217"/>
      <c r="K1671" s="217"/>
      <c r="L1671" s="185"/>
      <c r="M1671" s="185"/>
      <c r="N1671" s="185"/>
      <c r="O1671" s="185"/>
      <c r="P1671" s="185"/>
      <c r="Q1671" s="185"/>
      <c r="R1671" s="168"/>
      <c r="S1671" s="168"/>
      <c r="U1671" s="170"/>
      <c r="V1671" s="171"/>
      <c r="W1671" s="171"/>
      <c r="X1671" s="171"/>
      <c r="Y1671" s="185"/>
      <c r="Z1671" s="185"/>
    </row>
    <row r="1672" spans="4:26" x14ac:dyDescent="0.25">
      <c r="D1672" s="175"/>
      <c r="E1672" s="175"/>
      <c r="H1672" s="201"/>
      <c r="I1672" s="201"/>
      <c r="J1672" s="217"/>
      <c r="K1672" s="217"/>
      <c r="L1672" s="185"/>
      <c r="M1672" s="185"/>
      <c r="N1672" s="185"/>
      <c r="O1672" s="185"/>
      <c r="P1672" s="185"/>
      <c r="Q1672" s="185"/>
      <c r="R1672" s="168"/>
      <c r="S1672" s="168"/>
      <c r="U1672" s="170"/>
      <c r="V1672" s="171"/>
      <c r="W1672" s="171"/>
      <c r="X1672" s="171"/>
      <c r="Y1672" s="185"/>
      <c r="Z1672" s="185"/>
    </row>
    <row r="1673" spans="4:26" x14ac:dyDescent="0.25">
      <c r="D1673" s="175"/>
      <c r="E1673" s="175"/>
      <c r="H1673" s="201"/>
      <c r="I1673" s="201"/>
      <c r="J1673" s="217"/>
      <c r="K1673" s="217"/>
      <c r="L1673" s="185"/>
      <c r="M1673" s="185"/>
      <c r="N1673" s="185"/>
      <c r="O1673" s="185"/>
      <c r="P1673" s="185"/>
      <c r="Q1673" s="185"/>
      <c r="R1673" s="168"/>
      <c r="S1673" s="168"/>
      <c r="U1673" s="170"/>
      <c r="V1673" s="171"/>
      <c r="W1673" s="171"/>
      <c r="X1673" s="171"/>
      <c r="Y1673" s="185"/>
      <c r="Z1673" s="185"/>
    </row>
    <row r="1674" spans="4:26" x14ac:dyDescent="0.25">
      <c r="D1674" s="175"/>
      <c r="E1674" s="175"/>
      <c r="H1674" s="201"/>
      <c r="I1674" s="201"/>
      <c r="J1674" s="217"/>
      <c r="K1674" s="217"/>
      <c r="L1674" s="185"/>
      <c r="M1674" s="185"/>
      <c r="N1674" s="185"/>
      <c r="O1674" s="185"/>
      <c r="P1674" s="185"/>
      <c r="Q1674" s="185"/>
      <c r="R1674" s="168"/>
      <c r="S1674" s="168"/>
      <c r="U1674" s="170"/>
      <c r="V1674" s="171"/>
      <c r="W1674" s="171"/>
      <c r="X1674" s="171"/>
      <c r="Y1674" s="185"/>
      <c r="Z1674" s="185"/>
    </row>
    <row r="1675" spans="4:26" x14ac:dyDescent="0.25">
      <c r="D1675" s="175"/>
      <c r="E1675" s="175"/>
      <c r="H1675" s="201"/>
      <c r="I1675" s="201"/>
      <c r="J1675" s="217"/>
      <c r="K1675" s="217"/>
      <c r="L1675" s="185"/>
      <c r="M1675" s="185"/>
      <c r="N1675" s="185"/>
      <c r="O1675" s="185"/>
      <c r="P1675" s="185"/>
      <c r="Q1675" s="185"/>
      <c r="R1675" s="168"/>
      <c r="S1675" s="168"/>
      <c r="U1675" s="170"/>
      <c r="V1675" s="171"/>
      <c r="W1675" s="171"/>
      <c r="X1675" s="171"/>
      <c r="Y1675" s="185"/>
      <c r="Z1675" s="185"/>
    </row>
    <row r="1676" spans="4:26" x14ac:dyDescent="0.25">
      <c r="D1676" s="175"/>
      <c r="E1676" s="175"/>
      <c r="H1676" s="201"/>
      <c r="I1676" s="201"/>
      <c r="J1676" s="217"/>
      <c r="K1676" s="217"/>
      <c r="L1676" s="185"/>
      <c r="M1676" s="185"/>
      <c r="N1676" s="185"/>
      <c r="O1676" s="185"/>
      <c r="P1676" s="185"/>
      <c r="Q1676" s="185"/>
      <c r="R1676" s="168"/>
      <c r="S1676" s="168"/>
      <c r="U1676" s="170"/>
      <c r="V1676" s="171"/>
      <c r="W1676" s="171"/>
      <c r="X1676" s="171"/>
      <c r="Y1676" s="185"/>
      <c r="Z1676" s="185"/>
    </row>
    <row r="1677" spans="4:26" x14ac:dyDescent="0.25">
      <c r="D1677" s="175"/>
      <c r="E1677" s="175"/>
      <c r="H1677" s="201"/>
      <c r="I1677" s="201"/>
      <c r="J1677" s="217"/>
      <c r="K1677" s="217"/>
      <c r="L1677" s="185"/>
      <c r="M1677" s="185"/>
      <c r="N1677" s="185"/>
      <c r="O1677" s="185"/>
      <c r="P1677" s="185"/>
      <c r="Q1677" s="185"/>
      <c r="R1677" s="168"/>
      <c r="S1677" s="168"/>
      <c r="U1677" s="170"/>
      <c r="V1677" s="171"/>
      <c r="W1677" s="171"/>
      <c r="X1677" s="171"/>
      <c r="Y1677" s="185"/>
      <c r="Z1677" s="185"/>
    </row>
    <row r="1678" spans="4:26" x14ac:dyDescent="0.25">
      <c r="D1678" s="175"/>
      <c r="E1678" s="175"/>
      <c r="H1678" s="201"/>
      <c r="I1678" s="201"/>
      <c r="J1678" s="217"/>
      <c r="K1678" s="217"/>
      <c r="L1678" s="185"/>
      <c r="M1678" s="185"/>
      <c r="N1678" s="185"/>
      <c r="O1678" s="185"/>
      <c r="P1678" s="185"/>
      <c r="Q1678" s="185"/>
      <c r="R1678" s="168"/>
      <c r="S1678" s="168"/>
      <c r="U1678" s="170"/>
      <c r="V1678" s="171"/>
      <c r="W1678" s="171"/>
      <c r="X1678" s="171"/>
      <c r="Y1678" s="185"/>
      <c r="Z1678" s="185"/>
    </row>
    <row r="1679" spans="4:26" x14ac:dyDescent="0.25">
      <c r="D1679" s="175"/>
      <c r="E1679" s="175"/>
      <c r="H1679" s="201"/>
      <c r="I1679" s="201"/>
      <c r="J1679" s="217"/>
      <c r="K1679" s="217"/>
      <c r="L1679" s="185"/>
      <c r="M1679" s="185"/>
      <c r="N1679" s="185"/>
      <c r="O1679" s="185"/>
      <c r="P1679" s="185"/>
      <c r="Q1679" s="185"/>
      <c r="R1679" s="168"/>
      <c r="S1679" s="168"/>
      <c r="U1679" s="170"/>
      <c r="V1679" s="171"/>
      <c r="W1679" s="171"/>
      <c r="X1679" s="171"/>
      <c r="Y1679" s="185"/>
      <c r="Z1679" s="185"/>
    </row>
    <row r="1680" spans="4:26" x14ac:dyDescent="0.25">
      <c r="D1680" s="175"/>
      <c r="E1680" s="175"/>
      <c r="H1680" s="201"/>
      <c r="I1680" s="201"/>
      <c r="J1680" s="217"/>
      <c r="K1680" s="217"/>
      <c r="L1680" s="185"/>
      <c r="M1680" s="185"/>
      <c r="N1680" s="185"/>
      <c r="O1680" s="185"/>
      <c r="P1680" s="185"/>
      <c r="Q1680" s="185"/>
      <c r="R1680" s="168"/>
      <c r="S1680" s="168"/>
      <c r="U1680" s="170"/>
      <c r="V1680" s="171"/>
      <c r="W1680" s="171"/>
      <c r="X1680" s="171"/>
      <c r="Y1680" s="185"/>
      <c r="Z1680" s="185"/>
    </row>
    <row r="1681" spans="4:26" x14ac:dyDescent="0.25">
      <c r="D1681" s="175"/>
      <c r="E1681" s="175"/>
      <c r="H1681" s="201"/>
      <c r="I1681" s="201"/>
      <c r="J1681" s="217"/>
      <c r="K1681" s="217"/>
      <c r="L1681" s="185"/>
      <c r="M1681" s="185"/>
      <c r="N1681" s="185"/>
      <c r="O1681" s="185"/>
      <c r="P1681" s="185"/>
      <c r="Q1681" s="185"/>
      <c r="R1681" s="168"/>
      <c r="S1681" s="168"/>
      <c r="U1681" s="170"/>
      <c r="V1681" s="171"/>
      <c r="W1681" s="171"/>
      <c r="X1681" s="171"/>
      <c r="Y1681" s="185"/>
      <c r="Z1681" s="185"/>
    </row>
    <row r="1682" spans="4:26" x14ac:dyDescent="0.25">
      <c r="D1682" s="175"/>
      <c r="E1682" s="175"/>
      <c r="H1682" s="201"/>
      <c r="I1682" s="201"/>
      <c r="J1682" s="217"/>
      <c r="K1682" s="217"/>
      <c r="L1682" s="185"/>
      <c r="M1682" s="185"/>
      <c r="N1682" s="185"/>
      <c r="O1682" s="185"/>
      <c r="P1682" s="185"/>
      <c r="Q1682" s="185"/>
      <c r="R1682" s="168"/>
      <c r="S1682" s="168"/>
      <c r="U1682" s="170"/>
      <c r="V1682" s="171"/>
      <c r="W1682" s="171"/>
      <c r="X1682" s="171"/>
      <c r="Y1682" s="185"/>
      <c r="Z1682" s="185"/>
    </row>
    <row r="1683" spans="4:26" x14ac:dyDescent="0.25">
      <c r="D1683" s="175"/>
      <c r="E1683" s="175"/>
      <c r="H1683" s="201"/>
      <c r="I1683" s="201"/>
      <c r="J1683" s="217"/>
      <c r="K1683" s="217"/>
      <c r="L1683" s="185"/>
      <c r="M1683" s="185"/>
      <c r="N1683" s="185"/>
      <c r="O1683" s="185"/>
      <c r="P1683" s="185"/>
      <c r="Q1683" s="185"/>
      <c r="R1683" s="168"/>
      <c r="S1683" s="168"/>
      <c r="U1683" s="170"/>
      <c r="V1683" s="171"/>
      <c r="W1683" s="171"/>
      <c r="X1683" s="171"/>
      <c r="Y1683" s="185"/>
      <c r="Z1683" s="185"/>
    </row>
    <row r="1684" spans="4:26" x14ac:dyDescent="0.25">
      <c r="D1684" s="175"/>
      <c r="E1684" s="175"/>
      <c r="H1684" s="201"/>
      <c r="I1684" s="201"/>
      <c r="J1684" s="217"/>
      <c r="K1684" s="217"/>
      <c r="L1684" s="185"/>
      <c r="M1684" s="185"/>
      <c r="N1684" s="185"/>
      <c r="O1684" s="185"/>
      <c r="P1684" s="185"/>
      <c r="Q1684" s="185"/>
      <c r="R1684" s="168"/>
      <c r="S1684" s="168"/>
      <c r="U1684" s="170"/>
      <c r="V1684" s="171"/>
      <c r="W1684" s="171"/>
      <c r="X1684" s="171"/>
      <c r="Y1684" s="185"/>
      <c r="Z1684" s="185"/>
    </row>
    <row r="1685" spans="4:26" x14ac:dyDescent="0.25">
      <c r="D1685" s="175"/>
      <c r="E1685" s="175"/>
      <c r="H1685" s="201"/>
      <c r="I1685" s="201"/>
      <c r="J1685" s="217"/>
      <c r="K1685" s="217"/>
      <c r="L1685" s="185"/>
      <c r="M1685" s="185"/>
      <c r="N1685" s="185"/>
      <c r="O1685" s="185"/>
      <c r="P1685" s="185"/>
      <c r="Q1685" s="185"/>
      <c r="R1685" s="168"/>
      <c r="S1685" s="168"/>
      <c r="U1685" s="170"/>
      <c r="V1685" s="171"/>
      <c r="W1685" s="171"/>
      <c r="X1685" s="171"/>
      <c r="Y1685" s="185"/>
      <c r="Z1685" s="185"/>
    </row>
    <row r="1686" spans="4:26" x14ac:dyDescent="0.25">
      <c r="D1686" s="175"/>
      <c r="E1686" s="175"/>
      <c r="H1686" s="201"/>
      <c r="I1686" s="201"/>
      <c r="J1686" s="217"/>
      <c r="K1686" s="217"/>
      <c r="L1686" s="185"/>
      <c r="M1686" s="185"/>
      <c r="N1686" s="185"/>
      <c r="O1686" s="185"/>
      <c r="P1686" s="185"/>
      <c r="Q1686" s="185"/>
      <c r="R1686" s="168"/>
      <c r="S1686" s="168"/>
      <c r="U1686" s="170"/>
      <c r="V1686" s="171"/>
      <c r="W1686" s="171"/>
      <c r="X1686" s="171"/>
      <c r="Y1686" s="185"/>
      <c r="Z1686" s="185"/>
    </row>
    <row r="1687" spans="4:26" x14ac:dyDescent="0.25">
      <c r="D1687" s="175"/>
      <c r="E1687" s="175"/>
      <c r="H1687" s="201"/>
      <c r="I1687" s="201"/>
      <c r="J1687" s="217"/>
      <c r="K1687" s="217"/>
      <c r="L1687" s="185"/>
      <c r="M1687" s="185"/>
      <c r="N1687" s="185"/>
      <c r="O1687" s="185"/>
      <c r="P1687" s="185"/>
      <c r="Q1687" s="185"/>
      <c r="R1687" s="168"/>
      <c r="S1687" s="168"/>
      <c r="U1687" s="170"/>
      <c r="V1687" s="171"/>
      <c r="W1687" s="171"/>
      <c r="X1687" s="171"/>
      <c r="Y1687" s="185"/>
      <c r="Z1687" s="185"/>
    </row>
    <row r="1688" spans="4:26" x14ac:dyDescent="0.25">
      <c r="D1688" s="175"/>
      <c r="E1688" s="175"/>
      <c r="H1688" s="201"/>
      <c r="I1688" s="201"/>
      <c r="J1688" s="217"/>
      <c r="K1688" s="217"/>
      <c r="L1688" s="185"/>
      <c r="M1688" s="185"/>
      <c r="N1688" s="185"/>
      <c r="O1688" s="185"/>
      <c r="P1688" s="185"/>
      <c r="Q1688" s="185"/>
      <c r="R1688" s="168"/>
      <c r="S1688" s="168"/>
      <c r="U1688" s="170"/>
      <c r="V1688" s="171"/>
      <c r="W1688" s="171"/>
      <c r="X1688" s="171"/>
      <c r="Y1688" s="185"/>
      <c r="Z1688" s="185"/>
    </row>
    <row r="1689" spans="4:26" x14ac:dyDescent="0.25">
      <c r="D1689" s="175"/>
      <c r="E1689" s="175"/>
      <c r="H1689" s="201"/>
      <c r="I1689" s="201"/>
      <c r="J1689" s="217"/>
      <c r="K1689" s="217"/>
      <c r="L1689" s="185"/>
      <c r="M1689" s="185"/>
      <c r="N1689" s="185"/>
      <c r="O1689" s="185"/>
      <c r="P1689" s="185"/>
      <c r="Q1689" s="185"/>
      <c r="R1689" s="168"/>
      <c r="S1689" s="168"/>
      <c r="U1689" s="170"/>
      <c r="V1689" s="171"/>
      <c r="W1689" s="171"/>
      <c r="X1689" s="171"/>
      <c r="Y1689" s="185"/>
      <c r="Z1689" s="185"/>
    </row>
    <row r="1690" spans="4:26" x14ac:dyDescent="0.25">
      <c r="D1690" s="175"/>
      <c r="E1690" s="175"/>
      <c r="H1690" s="201"/>
      <c r="I1690" s="201"/>
      <c r="J1690" s="217"/>
      <c r="K1690" s="217"/>
      <c r="L1690" s="185"/>
      <c r="M1690" s="185"/>
      <c r="N1690" s="185"/>
      <c r="O1690" s="185"/>
      <c r="P1690" s="185"/>
      <c r="Q1690" s="185"/>
      <c r="R1690" s="168"/>
      <c r="S1690" s="168"/>
      <c r="U1690" s="170"/>
      <c r="V1690" s="171"/>
      <c r="W1690" s="171"/>
      <c r="X1690" s="171"/>
      <c r="Y1690" s="185"/>
      <c r="Z1690" s="185"/>
    </row>
    <row r="1691" spans="4:26" x14ac:dyDescent="0.25">
      <c r="D1691" s="175"/>
      <c r="E1691" s="175"/>
      <c r="H1691" s="201"/>
      <c r="I1691" s="201"/>
      <c r="J1691" s="217"/>
      <c r="K1691" s="217"/>
      <c r="L1691" s="185"/>
      <c r="M1691" s="185"/>
      <c r="N1691" s="185"/>
      <c r="O1691" s="185"/>
      <c r="P1691" s="185"/>
      <c r="Q1691" s="185"/>
      <c r="R1691" s="168"/>
      <c r="S1691" s="168"/>
      <c r="U1691" s="170"/>
      <c r="V1691" s="171"/>
      <c r="W1691" s="171"/>
      <c r="X1691" s="171"/>
      <c r="Y1691" s="185"/>
      <c r="Z1691" s="185"/>
    </row>
    <row r="1692" spans="4:26" x14ac:dyDescent="0.25">
      <c r="D1692" s="175"/>
      <c r="E1692" s="175"/>
      <c r="H1692" s="201"/>
      <c r="I1692" s="201"/>
      <c r="J1692" s="217"/>
      <c r="K1692" s="217"/>
      <c r="L1692" s="185"/>
      <c r="M1692" s="185"/>
      <c r="N1692" s="185"/>
      <c r="O1692" s="185"/>
      <c r="P1692" s="185"/>
      <c r="Q1692" s="185"/>
      <c r="R1692" s="168"/>
      <c r="S1692" s="168"/>
      <c r="U1692" s="170"/>
      <c r="V1692" s="171"/>
      <c r="W1692" s="171"/>
      <c r="X1692" s="171"/>
      <c r="Y1692" s="185"/>
      <c r="Z1692" s="185"/>
    </row>
    <row r="1693" spans="4:26" x14ac:dyDescent="0.25">
      <c r="D1693" s="175"/>
      <c r="E1693" s="175"/>
      <c r="H1693" s="201"/>
      <c r="I1693" s="201"/>
      <c r="J1693" s="217"/>
      <c r="K1693" s="217"/>
      <c r="L1693" s="185"/>
      <c r="M1693" s="185"/>
      <c r="N1693" s="185"/>
      <c r="O1693" s="185"/>
      <c r="P1693" s="185"/>
      <c r="Q1693" s="185"/>
      <c r="R1693" s="168"/>
      <c r="S1693" s="168"/>
      <c r="U1693" s="170"/>
      <c r="V1693" s="171"/>
      <c r="W1693" s="171"/>
      <c r="X1693" s="171"/>
      <c r="Y1693" s="185"/>
      <c r="Z1693" s="185"/>
    </row>
    <row r="1694" spans="4:26" x14ac:dyDescent="0.25">
      <c r="D1694" s="175"/>
      <c r="E1694" s="175"/>
      <c r="H1694" s="201"/>
      <c r="I1694" s="201"/>
      <c r="J1694" s="217"/>
      <c r="K1694" s="217"/>
      <c r="L1694" s="185"/>
      <c r="M1694" s="185"/>
      <c r="N1694" s="185"/>
      <c r="O1694" s="185"/>
      <c r="P1694" s="185"/>
      <c r="Q1694" s="185"/>
      <c r="R1694" s="168"/>
      <c r="S1694" s="168"/>
      <c r="U1694" s="170"/>
      <c r="V1694" s="171"/>
      <c r="W1694" s="171"/>
      <c r="X1694" s="171"/>
      <c r="Y1694" s="185"/>
      <c r="Z1694" s="185"/>
    </row>
    <row r="1695" spans="4:26" x14ac:dyDescent="0.25">
      <c r="D1695" s="175"/>
      <c r="E1695" s="175"/>
      <c r="H1695" s="201"/>
      <c r="I1695" s="201"/>
      <c r="J1695" s="217"/>
      <c r="K1695" s="217"/>
      <c r="L1695" s="185"/>
      <c r="M1695" s="185"/>
      <c r="N1695" s="185"/>
      <c r="O1695" s="185"/>
      <c r="P1695" s="185"/>
      <c r="Q1695" s="185"/>
      <c r="R1695" s="168"/>
      <c r="S1695" s="168"/>
      <c r="U1695" s="170"/>
      <c r="V1695" s="171"/>
      <c r="W1695" s="171"/>
      <c r="X1695" s="171"/>
      <c r="Y1695" s="185"/>
      <c r="Z1695" s="185"/>
    </row>
    <row r="1696" spans="4:26" x14ac:dyDescent="0.25">
      <c r="D1696" s="175"/>
      <c r="E1696" s="175"/>
      <c r="H1696" s="201"/>
      <c r="I1696" s="201"/>
      <c r="J1696" s="217"/>
      <c r="K1696" s="217"/>
      <c r="L1696" s="185"/>
      <c r="M1696" s="185"/>
      <c r="N1696" s="185"/>
      <c r="O1696" s="185"/>
      <c r="P1696" s="185"/>
      <c r="Q1696" s="185"/>
      <c r="R1696" s="168"/>
      <c r="S1696" s="168"/>
      <c r="U1696" s="170"/>
      <c r="V1696" s="171"/>
      <c r="W1696" s="171"/>
      <c r="X1696" s="171"/>
      <c r="Y1696" s="185"/>
      <c r="Z1696" s="185"/>
    </row>
    <row r="1697" spans="4:26" x14ac:dyDescent="0.25">
      <c r="D1697" s="223"/>
      <c r="E1697" s="175"/>
      <c r="H1697" s="201"/>
      <c r="I1697" s="201"/>
      <c r="J1697" s="217"/>
      <c r="K1697" s="217"/>
      <c r="L1697" s="185"/>
      <c r="M1697" s="185"/>
      <c r="N1697" s="185"/>
      <c r="O1697" s="185"/>
      <c r="P1697" s="185"/>
      <c r="Q1697" s="185"/>
      <c r="R1697" s="168"/>
      <c r="S1697" s="168"/>
      <c r="U1697" s="170"/>
      <c r="V1697" s="171"/>
      <c r="W1697" s="171"/>
      <c r="X1697" s="171"/>
      <c r="Y1697" s="185"/>
      <c r="Z1697" s="185"/>
    </row>
    <row r="1698" spans="4:26" x14ac:dyDescent="0.25">
      <c r="D1698" s="175"/>
      <c r="E1698" s="175"/>
      <c r="H1698" s="201"/>
      <c r="I1698" s="201"/>
      <c r="J1698" s="217"/>
      <c r="K1698" s="217"/>
      <c r="L1698" s="185"/>
      <c r="M1698" s="185"/>
      <c r="N1698" s="185"/>
      <c r="O1698" s="185"/>
      <c r="P1698" s="185"/>
      <c r="Q1698" s="185"/>
      <c r="R1698" s="168"/>
      <c r="S1698" s="168"/>
      <c r="U1698" s="170"/>
      <c r="V1698" s="171"/>
      <c r="W1698" s="171"/>
      <c r="X1698" s="171"/>
      <c r="Y1698" s="185"/>
      <c r="Z1698" s="185"/>
    </row>
    <row r="1699" spans="4:26" x14ac:dyDescent="0.25">
      <c r="D1699" s="175"/>
      <c r="E1699" s="175"/>
      <c r="H1699" s="201"/>
      <c r="I1699" s="201"/>
      <c r="J1699" s="217"/>
      <c r="K1699" s="217"/>
      <c r="L1699" s="185"/>
      <c r="M1699" s="185"/>
      <c r="N1699" s="185"/>
      <c r="O1699" s="185"/>
      <c r="P1699" s="185"/>
      <c r="Q1699" s="185"/>
      <c r="R1699" s="168"/>
      <c r="S1699" s="168"/>
      <c r="U1699" s="170"/>
      <c r="V1699" s="171"/>
      <c r="W1699" s="171"/>
      <c r="X1699" s="171"/>
      <c r="Y1699" s="185"/>
      <c r="Z1699" s="185"/>
    </row>
    <row r="1700" spans="4:26" x14ac:dyDescent="0.25">
      <c r="D1700" s="175"/>
      <c r="E1700" s="175"/>
      <c r="H1700" s="201"/>
      <c r="I1700" s="201"/>
      <c r="J1700" s="217"/>
      <c r="K1700" s="217"/>
      <c r="L1700" s="185"/>
      <c r="M1700" s="185"/>
      <c r="N1700" s="185"/>
      <c r="O1700" s="185"/>
      <c r="P1700" s="185"/>
      <c r="Q1700" s="185"/>
      <c r="R1700" s="168"/>
      <c r="S1700" s="168"/>
      <c r="U1700" s="170"/>
      <c r="V1700" s="171"/>
      <c r="W1700" s="171"/>
      <c r="X1700" s="171"/>
      <c r="Y1700" s="185"/>
      <c r="Z1700" s="185"/>
    </row>
    <row r="1701" spans="4:26" x14ac:dyDescent="0.25">
      <c r="D1701" s="175"/>
      <c r="E1701" s="175"/>
      <c r="H1701" s="201"/>
      <c r="I1701" s="201"/>
      <c r="J1701" s="217"/>
      <c r="K1701" s="217"/>
      <c r="L1701" s="185"/>
      <c r="M1701" s="185"/>
      <c r="N1701" s="185"/>
      <c r="O1701" s="185"/>
      <c r="P1701" s="185"/>
      <c r="Q1701" s="185"/>
      <c r="R1701" s="168"/>
      <c r="S1701" s="168"/>
      <c r="U1701" s="170"/>
      <c r="V1701" s="171"/>
      <c r="W1701" s="171"/>
      <c r="X1701" s="171"/>
      <c r="Y1701" s="185"/>
      <c r="Z1701" s="185"/>
    </row>
    <row r="1702" spans="4:26" x14ac:dyDescent="0.25">
      <c r="D1702" s="175"/>
      <c r="E1702" s="175"/>
      <c r="H1702" s="201"/>
      <c r="I1702" s="201"/>
      <c r="J1702" s="217"/>
      <c r="K1702" s="217"/>
      <c r="L1702" s="185"/>
      <c r="M1702" s="185"/>
      <c r="N1702" s="185"/>
      <c r="O1702" s="185"/>
      <c r="P1702" s="185"/>
      <c r="Q1702" s="185"/>
      <c r="R1702" s="168"/>
      <c r="S1702" s="168"/>
      <c r="U1702" s="170"/>
      <c r="V1702" s="171"/>
      <c r="W1702" s="171"/>
      <c r="X1702" s="171"/>
      <c r="Y1702" s="185"/>
      <c r="Z1702" s="185"/>
    </row>
    <row r="1703" spans="4:26" x14ac:dyDescent="0.25">
      <c r="D1703" s="175"/>
      <c r="E1703" s="175"/>
      <c r="H1703" s="201"/>
      <c r="I1703" s="201"/>
      <c r="J1703" s="217"/>
      <c r="K1703" s="217"/>
      <c r="L1703" s="185"/>
      <c r="M1703" s="185"/>
      <c r="N1703" s="185"/>
      <c r="O1703" s="185"/>
      <c r="P1703" s="185"/>
      <c r="Q1703" s="185"/>
      <c r="R1703" s="168"/>
      <c r="S1703" s="168"/>
      <c r="U1703" s="170"/>
      <c r="V1703" s="171"/>
      <c r="W1703" s="171"/>
      <c r="X1703" s="171"/>
      <c r="Y1703" s="185"/>
      <c r="Z1703" s="185"/>
    </row>
    <row r="1704" spans="4:26" x14ac:dyDescent="0.25">
      <c r="D1704" s="175"/>
      <c r="E1704" s="175"/>
      <c r="H1704" s="201"/>
      <c r="I1704" s="201"/>
      <c r="J1704" s="217"/>
      <c r="K1704" s="217"/>
      <c r="L1704" s="185"/>
      <c r="M1704" s="185"/>
      <c r="N1704" s="185"/>
      <c r="O1704" s="185"/>
      <c r="P1704" s="185"/>
      <c r="Q1704" s="185"/>
      <c r="R1704" s="168"/>
      <c r="S1704" s="168"/>
      <c r="U1704" s="170"/>
      <c r="V1704" s="171"/>
      <c r="W1704" s="171"/>
      <c r="X1704" s="171"/>
      <c r="Y1704" s="185"/>
      <c r="Z1704" s="185"/>
    </row>
    <row r="1705" spans="4:26" x14ac:dyDescent="0.25">
      <c r="D1705" s="175"/>
      <c r="E1705" s="175"/>
      <c r="H1705" s="201"/>
      <c r="I1705" s="201"/>
      <c r="J1705" s="217"/>
      <c r="K1705" s="217"/>
      <c r="L1705" s="185"/>
      <c r="M1705" s="185"/>
      <c r="N1705" s="185"/>
      <c r="O1705" s="185"/>
      <c r="P1705" s="185"/>
      <c r="Q1705" s="185"/>
      <c r="R1705" s="168"/>
      <c r="S1705" s="168"/>
      <c r="U1705" s="170"/>
      <c r="V1705" s="171"/>
      <c r="W1705" s="171"/>
      <c r="X1705" s="171"/>
      <c r="Y1705" s="185"/>
      <c r="Z1705" s="185"/>
    </row>
    <row r="1706" spans="4:26" x14ac:dyDescent="0.25">
      <c r="D1706" s="175"/>
      <c r="E1706" s="175"/>
      <c r="H1706" s="201"/>
      <c r="I1706" s="201"/>
      <c r="J1706" s="217"/>
      <c r="K1706" s="217"/>
      <c r="L1706" s="185"/>
      <c r="M1706" s="185"/>
      <c r="N1706" s="185"/>
      <c r="O1706" s="185"/>
      <c r="P1706" s="185"/>
      <c r="Q1706" s="185"/>
      <c r="R1706" s="168"/>
      <c r="S1706" s="168"/>
      <c r="U1706" s="170"/>
      <c r="V1706" s="171"/>
      <c r="W1706" s="171"/>
      <c r="X1706" s="171"/>
      <c r="Y1706" s="185"/>
      <c r="Z1706" s="185"/>
    </row>
    <row r="1707" spans="4:26" x14ac:dyDescent="0.25">
      <c r="D1707" s="175"/>
      <c r="E1707" s="175"/>
      <c r="H1707" s="201"/>
      <c r="I1707" s="201"/>
      <c r="J1707" s="217"/>
      <c r="K1707" s="217"/>
      <c r="L1707" s="185"/>
      <c r="M1707" s="185"/>
      <c r="N1707" s="185"/>
      <c r="O1707" s="185"/>
      <c r="P1707" s="185"/>
      <c r="Q1707" s="185"/>
      <c r="R1707" s="168"/>
      <c r="S1707" s="168"/>
      <c r="U1707" s="170"/>
      <c r="V1707" s="171"/>
      <c r="W1707" s="171"/>
      <c r="X1707" s="171"/>
      <c r="Y1707" s="185"/>
      <c r="Z1707" s="185"/>
    </row>
    <row r="1708" spans="4:26" x14ac:dyDescent="0.25">
      <c r="D1708" s="175"/>
      <c r="E1708" s="175"/>
      <c r="H1708" s="201"/>
      <c r="I1708" s="201"/>
      <c r="J1708" s="217"/>
      <c r="K1708" s="217"/>
      <c r="L1708" s="185"/>
      <c r="M1708" s="185"/>
      <c r="N1708" s="185"/>
      <c r="O1708" s="185"/>
      <c r="P1708" s="185"/>
      <c r="Q1708" s="185"/>
      <c r="R1708" s="168"/>
      <c r="S1708" s="168"/>
      <c r="U1708" s="170"/>
      <c r="V1708" s="171"/>
      <c r="W1708" s="171"/>
      <c r="X1708" s="171"/>
      <c r="Y1708" s="185"/>
      <c r="Z1708" s="185"/>
    </row>
    <row r="1709" spans="4:26" x14ac:dyDescent="0.25">
      <c r="D1709" s="175"/>
      <c r="E1709" s="175"/>
      <c r="H1709" s="201"/>
      <c r="I1709" s="201"/>
      <c r="J1709" s="217"/>
      <c r="K1709" s="217"/>
      <c r="L1709" s="185"/>
      <c r="M1709" s="185"/>
      <c r="N1709" s="185"/>
      <c r="O1709" s="185"/>
      <c r="P1709" s="185"/>
      <c r="Q1709" s="185"/>
      <c r="R1709" s="168"/>
      <c r="S1709" s="168"/>
      <c r="U1709" s="170"/>
      <c r="V1709" s="171"/>
      <c r="W1709" s="171"/>
      <c r="X1709" s="171"/>
      <c r="Y1709" s="185"/>
      <c r="Z1709" s="185"/>
    </row>
    <row r="1710" spans="4:26" x14ac:dyDescent="0.25">
      <c r="D1710" s="175"/>
      <c r="E1710" s="175"/>
      <c r="H1710" s="201"/>
      <c r="I1710" s="201"/>
      <c r="J1710" s="217"/>
      <c r="K1710" s="217"/>
      <c r="L1710" s="185"/>
      <c r="M1710" s="185"/>
      <c r="N1710" s="185"/>
      <c r="O1710" s="185"/>
      <c r="P1710" s="185"/>
      <c r="Q1710" s="185"/>
      <c r="R1710" s="168"/>
      <c r="S1710" s="168"/>
      <c r="U1710" s="170"/>
      <c r="V1710" s="171"/>
      <c r="W1710" s="171"/>
      <c r="X1710" s="171"/>
      <c r="Y1710" s="185"/>
      <c r="Z1710" s="185"/>
    </row>
    <row r="1711" spans="4:26" x14ac:dyDescent="0.25">
      <c r="D1711" s="175"/>
      <c r="E1711" s="175"/>
      <c r="H1711" s="201"/>
      <c r="I1711" s="201"/>
      <c r="J1711" s="217"/>
      <c r="K1711" s="217"/>
      <c r="L1711" s="185"/>
      <c r="M1711" s="185"/>
      <c r="N1711" s="185"/>
      <c r="O1711" s="185"/>
      <c r="P1711" s="185"/>
      <c r="Q1711" s="185"/>
      <c r="R1711" s="168"/>
      <c r="S1711" s="168"/>
      <c r="U1711" s="170"/>
      <c r="V1711" s="171"/>
      <c r="W1711" s="171"/>
      <c r="X1711" s="171"/>
      <c r="Y1711" s="185"/>
      <c r="Z1711" s="185"/>
    </row>
    <row r="1712" spans="4:26" x14ac:dyDescent="0.25">
      <c r="D1712" s="175"/>
      <c r="E1712" s="175"/>
      <c r="H1712" s="201"/>
      <c r="I1712" s="201"/>
      <c r="J1712" s="217"/>
      <c r="K1712" s="217"/>
      <c r="L1712" s="185"/>
      <c r="M1712" s="185"/>
      <c r="N1712" s="185"/>
      <c r="O1712" s="185"/>
      <c r="P1712" s="185"/>
      <c r="Q1712" s="185"/>
      <c r="R1712" s="168"/>
      <c r="S1712" s="168"/>
      <c r="U1712" s="170"/>
      <c r="V1712" s="171"/>
      <c r="W1712" s="171"/>
      <c r="X1712" s="171"/>
      <c r="Y1712" s="185"/>
      <c r="Z1712" s="185"/>
    </row>
    <row r="1713" spans="4:26" x14ac:dyDescent="0.25">
      <c r="D1713" s="175"/>
      <c r="E1713" s="175"/>
      <c r="H1713" s="201"/>
      <c r="I1713" s="201"/>
      <c r="J1713" s="217"/>
      <c r="K1713" s="217"/>
      <c r="L1713" s="185"/>
      <c r="M1713" s="185"/>
      <c r="N1713" s="185"/>
      <c r="O1713" s="185"/>
      <c r="P1713" s="185"/>
      <c r="Q1713" s="185"/>
      <c r="R1713" s="168"/>
      <c r="S1713" s="168"/>
      <c r="U1713" s="170"/>
      <c r="V1713" s="171"/>
      <c r="W1713" s="171"/>
      <c r="X1713" s="171"/>
      <c r="Y1713" s="185"/>
      <c r="Z1713" s="185"/>
    </row>
    <row r="1714" spans="4:26" x14ac:dyDescent="0.25">
      <c r="D1714" s="175"/>
      <c r="E1714" s="175"/>
      <c r="H1714" s="201"/>
      <c r="I1714" s="201"/>
      <c r="J1714" s="217"/>
      <c r="K1714" s="217"/>
      <c r="L1714" s="185"/>
      <c r="M1714" s="185"/>
      <c r="N1714" s="185"/>
      <c r="O1714" s="185"/>
      <c r="P1714" s="185"/>
      <c r="Q1714" s="185"/>
      <c r="R1714" s="168"/>
      <c r="S1714" s="168"/>
      <c r="U1714" s="170"/>
      <c r="V1714" s="171"/>
      <c r="W1714" s="171"/>
      <c r="X1714" s="171"/>
      <c r="Y1714" s="185"/>
      <c r="Z1714" s="185"/>
    </row>
    <row r="1715" spans="4:26" x14ac:dyDescent="0.25">
      <c r="D1715" s="175"/>
      <c r="E1715" s="175"/>
      <c r="H1715" s="201"/>
      <c r="I1715" s="201"/>
      <c r="J1715" s="217"/>
      <c r="K1715" s="217"/>
      <c r="L1715" s="185"/>
      <c r="M1715" s="185"/>
      <c r="N1715" s="185"/>
      <c r="O1715" s="185"/>
      <c r="P1715" s="185"/>
      <c r="Q1715" s="185"/>
      <c r="R1715" s="168"/>
      <c r="S1715" s="168"/>
      <c r="U1715" s="170"/>
      <c r="V1715" s="171"/>
      <c r="W1715" s="171"/>
      <c r="X1715" s="171"/>
      <c r="Y1715" s="185"/>
      <c r="Z1715" s="185"/>
    </row>
    <row r="1716" spans="4:26" x14ac:dyDescent="0.25">
      <c r="D1716" s="175"/>
      <c r="E1716" s="175"/>
      <c r="H1716" s="201"/>
      <c r="I1716" s="201"/>
      <c r="J1716" s="217"/>
      <c r="K1716" s="217"/>
      <c r="L1716" s="185"/>
      <c r="M1716" s="185"/>
      <c r="N1716" s="185"/>
      <c r="O1716" s="185"/>
      <c r="P1716" s="185"/>
      <c r="Q1716" s="185"/>
      <c r="R1716" s="168"/>
      <c r="S1716" s="168"/>
      <c r="U1716" s="170"/>
      <c r="V1716" s="171"/>
      <c r="W1716" s="171"/>
      <c r="X1716" s="171"/>
      <c r="Y1716" s="185"/>
      <c r="Z1716" s="185"/>
    </row>
    <row r="1717" spans="4:26" x14ac:dyDescent="0.25">
      <c r="D1717" s="175"/>
      <c r="E1717" s="175"/>
      <c r="H1717" s="201"/>
      <c r="I1717" s="201"/>
      <c r="J1717" s="217"/>
      <c r="K1717" s="217"/>
      <c r="L1717" s="185"/>
      <c r="M1717" s="185"/>
      <c r="N1717" s="185"/>
      <c r="O1717" s="185"/>
      <c r="P1717" s="185"/>
      <c r="Q1717" s="185"/>
      <c r="R1717" s="168"/>
      <c r="S1717" s="168"/>
      <c r="U1717" s="170"/>
      <c r="V1717" s="171"/>
      <c r="W1717" s="171"/>
      <c r="X1717" s="171"/>
      <c r="Y1717" s="185"/>
      <c r="Z1717" s="185"/>
    </row>
    <row r="1718" spans="4:26" x14ac:dyDescent="0.25">
      <c r="D1718" s="175"/>
      <c r="E1718" s="175"/>
      <c r="H1718" s="201"/>
      <c r="I1718" s="201"/>
      <c r="J1718" s="217"/>
      <c r="K1718" s="217"/>
      <c r="L1718" s="185"/>
      <c r="M1718" s="185"/>
      <c r="N1718" s="185"/>
      <c r="O1718" s="185"/>
      <c r="P1718" s="185"/>
      <c r="Q1718" s="185"/>
      <c r="R1718" s="168"/>
      <c r="S1718" s="168"/>
      <c r="U1718" s="170"/>
      <c r="V1718" s="171"/>
      <c r="W1718" s="171"/>
      <c r="X1718" s="171"/>
      <c r="Y1718" s="185"/>
      <c r="Z1718" s="185"/>
    </row>
    <row r="1719" spans="4:26" x14ac:dyDescent="0.25">
      <c r="D1719" s="175"/>
      <c r="E1719" s="175"/>
      <c r="H1719" s="201"/>
      <c r="I1719" s="201"/>
      <c r="J1719" s="217"/>
      <c r="K1719" s="217"/>
      <c r="L1719" s="185"/>
      <c r="M1719" s="185"/>
      <c r="N1719" s="185"/>
      <c r="O1719" s="185"/>
      <c r="P1719" s="185"/>
      <c r="Q1719" s="185"/>
      <c r="R1719" s="168"/>
      <c r="S1719" s="168"/>
      <c r="U1719" s="170"/>
      <c r="V1719" s="171"/>
      <c r="W1719" s="171"/>
      <c r="X1719" s="171"/>
      <c r="Y1719" s="185"/>
      <c r="Z1719" s="185"/>
    </row>
    <row r="1720" spans="4:26" x14ac:dyDescent="0.25">
      <c r="D1720" s="175"/>
      <c r="E1720" s="175"/>
      <c r="H1720" s="201"/>
      <c r="I1720" s="201"/>
      <c r="J1720" s="217"/>
      <c r="K1720" s="217"/>
      <c r="L1720" s="185"/>
      <c r="M1720" s="185"/>
      <c r="N1720" s="185"/>
      <c r="O1720" s="185"/>
      <c r="P1720" s="185"/>
      <c r="Q1720" s="185"/>
      <c r="R1720" s="168"/>
      <c r="S1720" s="168"/>
      <c r="U1720" s="170"/>
      <c r="V1720" s="171"/>
      <c r="W1720" s="171"/>
      <c r="X1720" s="171"/>
      <c r="Y1720" s="185"/>
      <c r="Z1720" s="185"/>
    </row>
    <row r="1721" spans="4:26" x14ac:dyDescent="0.25">
      <c r="D1721" s="175"/>
      <c r="E1721" s="175"/>
      <c r="H1721" s="201"/>
      <c r="I1721" s="201"/>
      <c r="J1721" s="217"/>
      <c r="K1721" s="217"/>
      <c r="L1721" s="185"/>
      <c r="M1721" s="185"/>
      <c r="N1721" s="185"/>
      <c r="O1721" s="185"/>
      <c r="P1721" s="185"/>
      <c r="Q1721" s="185"/>
      <c r="R1721" s="168"/>
      <c r="S1721" s="168"/>
      <c r="U1721" s="170"/>
      <c r="V1721" s="171"/>
      <c r="W1721" s="171"/>
      <c r="X1721" s="171"/>
      <c r="Y1721" s="185"/>
      <c r="Z1721" s="185"/>
    </row>
    <row r="1722" spans="4:26" x14ac:dyDescent="0.25">
      <c r="D1722" s="175"/>
      <c r="E1722" s="175"/>
      <c r="H1722" s="201"/>
      <c r="I1722" s="201"/>
      <c r="J1722" s="217"/>
      <c r="K1722" s="217"/>
      <c r="L1722" s="185"/>
      <c r="M1722" s="185"/>
      <c r="N1722" s="185"/>
      <c r="O1722" s="185"/>
      <c r="P1722" s="185"/>
      <c r="Q1722" s="185"/>
      <c r="R1722" s="168"/>
      <c r="S1722" s="168"/>
      <c r="U1722" s="170"/>
      <c r="V1722" s="171"/>
      <c r="W1722" s="171"/>
      <c r="X1722" s="171"/>
      <c r="Y1722" s="185"/>
      <c r="Z1722" s="185"/>
    </row>
    <row r="1723" spans="4:26" x14ac:dyDescent="0.25">
      <c r="D1723" s="175"/>
      <c r="E1723" s="175"/>
      <c r="H1723" s="201"/>
      <c r="I1723" s="201"/>
      <c r="J1723" s="217"/>
      <c r="K1723" s="217"/>
      <c r="L1723" s="185"/>
      <c r="M1723" s="185"/>
      <c r="N1723" s="185"/>
      <c r="O1723" s="185"/>
      <c r="P1723" s="185"/>
      <c r="Q1723" s="185"/>
      <c r="R1723" s="168"/>
      <c r="S1723" s="168"/>
      <c r="U1723" s="170"/>
      <c r="V1723" s="171"/>
      <c r="W1723" s="171"/>
      <c r="X1723" s="171"/>
      <c r="Y1723" s="185"/>
      <c r="Z1723" s="185"/>
    </row>
    <row r="1724" spans="4:26" x14ac:dyDescent="0.25">
      <c r="D1724" s="175"/>
      <c r="E1724" s="175"/>
      <c r="H1724" s="201"/>
      <c r="I1724" s="201"/>
      <c r="J1724" s="217"/>
      <c r="K1724" s="217"/>
      <c r="L1724" s="185"/>
      <c r="M1724" s="185"/>
      <c r="N1724" s="185"/>
      <c r="O1724" s="185"/>
      <c r="P1724" s="185"/>
      <c r="Q1724" s="185"/>
      <c r="R1724" s="168"/>
      <c r="S1724" s="168"/>
      <c r="U1724" s="170"/>
      <c r="V1724" s="171"/>
      <c r="W1724" s="171"/>
      <c r="X1724" s="171"/>
      <c r="Y1724" s="185"/>
      <c r="Z1724" s="185"/>
    </row>
    <row r="1725" spans="4:26" x14ac:dyDescent="0.25">
      <c r="D1725" s="175"/>
      <c r="E1725" s="175"/>
      <c r="H1725" s="201"/>
      <c r="I1725" s="201"/>
      <c r="J1725" s="217"/>
      <c r="K1725" s="217"/>
      <c r="L1725" s="185"/>
      <c r="M1725" s="185"/>
      <c r="N1725" s="185"/>
      <c r="O1725" s="185"/>
      <c r="P1725" s="185"/>
      <c r="Q1725" s="185"/>
      <c r="R1725" s="168"/>
      <c r="S1725" s="168"/>
      <c r="U1725" s="170"/>
      <c r="V1725" s="171"/>
      <c r="W1725" s="171"/>
      <c r="X1725" s="171"/>
      <c r="Y1725" s="185"/>
      <c r="Z1725" s="185"/>
    </row>
    <row r="1726" spans="4:26" x14ac:dyDescent="0.25">
      <c r="D1726" s="175"/>
      <c r="E1726" s="175"/>
      <c r="H1726" s="201"/>
      <c r="I1726" s="201"/>
      <c r="J1726" s="217"/>
      <c r="K1726" s="217"/>
      <c r="L1726" s="185"/>
      <c r="M1726" s="185"/>
      <c r="N1726" s="185"/>
      <c r="O1726" s="185"/>
      <c r="P1726" s="185"/>
      <c r="Q1726" s="185"/>
      <c r="R1726" s="168"/>
      <c r="S1726" s="168"/>
      <c r="U1726" s="170"/>
      <c r="V1726" s="171"/>
      <c r="W1726" s="171"/>
      <c r="X1726" s="171"/>
      <c r="Y1726" s="185"/>
      <c r="Z1726" s="185"/>
    </row>
    <row r="1727" spans="4:26" x14ac:dyDescent="0.25">
      <c r="D1727" s="175"/>
      <c r="E1727" s="175"/>
      <c r="H1727" s="201"/>
      <c r="I1727" s="201"/>
      <c r="J1727" s="217"/>
      <c r="K1727" s="217"/>
      <c r="L1727" s="185"/>
      <c r="M1727" s="185"/>
      <c r="N1727" s="185"/>
      <c r="O1727" s="185"/>
      <c r="P1727" s="185"/>
      <c r="Q1727" s="185"/>
      <c r="R1727" s="168"/>
      <c r="S1727" s="168"/>
      <c r="U1727" s="170"/>
      <c r="V1727" s="171"/>
      <c r="W1727" s="171"/>
      <c r="X1727" s="171"/>
      <c r="Y1727" s="185"/>
      <c r="Z1727" s="185"/>
    </row>
    <row r="1728" spans="4:26" x14ac:dyDescent="0.25">
      <c r="D1728" s="175"/>
      <c r="E1728" s="175"/>
      <c r="H1728" s="201"/>
      <c r="I1728" s="201"/>
      <c r="J1728" s="217"/>
      <c r="K1728" s="217"/>
      <c r="L1728" s="185"/>
      <c r="M1728" s="185"/>
      <c r="N1728" s="185"/>
      <c r="O1728" s="185"/>
      <c r="P1728" s="185"/>
      <c r="Q1728" s="185"/>
      <c r="R1728" s="168"/>
      <c r="S1728" s="168"/>
      <c r="U1728" s="170"/>
      <c r="V1728" s="171"/>
      <c r="W1728" s="171"/>
      <c r="X1728" s="171"/>
      <c r="Y1728" s="185"/>
      <c r="Z1728" s="185"/>
    </row>
    <row r="1729" spans="4:26" x14ac:dyDescent="0.25">
      <c r="D1729" s="175"/>
      <c r="E1729" s="175"/>
      <c r="H1729" s="201"/>
      <c r="I1729" s="201"/>
      <c r="J1729" s="217"/>
      <c r="K1729" s="217"/>
      <c r="L1729" s="185"/>
      <c r="M1729" s="185"/>
      <c r="N1729" s="185"/>
      <c r="O1729" s="185"/>
      <c r="P1729" s="185"/>
      <c r="Q1729" s="185"/>
      <c r="R1729" s="168"/>
      <c r="S1729" s="168"/>
      <c r="U1729" s="170"/>
      <c r="V1729" s="171"/>
      <c r="W1729" s="171"/>
      <c r="X1729" s="171"/>
      <c r="Y1729" s="185"/>
      <c r="Z1729" s="185"/>
    </row>
    <row r="1730" spans="4:26" x14ac:dyDescent="0.25">
      <c r="D1730" s="175"/>
      <c r="E1730" s="175"/>
      <c r="H1730" s="201"/>
      <c r="I1730" s="201"/>
      <c r="J1730" s="217"/>
      <c r="K1730" s="217"/>
      <c r="L1730" s="185"/>
      <c r="M1730" s="185"/>
      <c r="N1730" s="185"/>
      <c r="O1730" s="185"/>
      <c r="P1730" s="185"/>
      <c r="Q1730" s="185"/>
      <c r="R1730" s="168"/>
      <c r="S1730" s="168"/>
      <c r="U1730" s="170"/>
      <c r="V1730" s="171"/>
      <c r="W1730" s="171"/>
      <c r="X1730" s="171"/>
      <c r="Y1730" s="185"/>
      <c r="Z1730" s="185"/>
    </row>
    <row r="1731" spans="4:26" x14ac:dyDescent="0.25">
      <c r="D1731" s="175"/>
      <c r="E1731" s="175"/>
      <c r="H1731" s="201"/>
      <c r="I1731" s="201"/>
      <c r="J1731" s="217"/>
      <c r="K1731" s="217"/>
      <c r="L1731" s="185"/>
      <c r="M1731" s="185"/>
      <c r="N1731" s="185"/>
      <c r="O1731" s="185"/>
      <c r="P1731" s="185"/>
      <c r="Q1731" s="185"/>
      <c r="R1731" s="168"/>
      <c r="S1731" s="168"/>
      <c r="U1731" s="170"/>
      <c r="V1731" s="171"/>
      <c r="W1731" s="171"/>
      <c r="X1731" s="171"/>
      <c r="Y1731" s="185"/>
      <c r="Z1731" s="185"/>
    </row>
    <row r="1732" spans="4:26" x14ac:dyDescent="0.25">
      <c r="D1732" s="175"/>
      <c r="E1732" s="175"/>
      <c r="H1732" s="201"/>
      <c r="I1732" s="201"/>
      <c r="J1732" s="217"/>
      <c r="K1732" s="217"/>
      <c r="L1732" s="185"/>
      <c r="M1732" s="185"/>
      <c r="N1732" s="185"/>
      <c r="O1732" s="185"/>
      <c r="P1732" s="185"/>
      <c r="Q1732" s="185"/>
      <c r="R1732" s="168"/>
      <c r="S1732" s="168"/>
      <c r="U1732" s="170"/>
      <c r="V1732" s="171"/>
      <c r="W1732" s="171"/>
      <c r="X1732" s="171"/>
      <c r="Y1732" s="185"/>
      <c r="Z1732" s="185"/>
    </row>
    <row r="1733" spans="4:26" x14ac:dyDescent="0.25">
      <c r="D1733" s="175"/>
      <c r="E1733" s="175"/>
      <c r="H1733" s="201"/>
      <c r="I1733" s="201"/>
      <c r="J1733" s="217"/>
      <c r="K1733" s="217"/>
      <c r="L1733" s="185"/>
      <c r="M1733" s="185"/>
      <c r="N1733" s="185"/>
      <c r="O1733" s="185"/>
      <c r="P1733" s="185"/>
      <c r="Q1733" s="185"/>
      <c r="R1733" s="168"/>
      <c r="S1733" s="168"/>
      <c r="U1733" s="170"/>
      <c r="V1733" s="171"/>
      <c r="W1733" s="171"/>
      <c r="X1733" s="171"/>
      <c r="Y1733" s="185"/>
      <c r="Z1733" s="185"/>
    </row>
    <row r="1734" spans="4:26" x14ac:dyDescent="0.25">
      <c r="D1734" s="175"/>
      <c r="E1734" s="175"/>
      <c r="H1734" s="201"/>
      <c r="I1734" s="201"/>
      <c r="J1734" s="217"/>
      <c r="K1734" s="217"/>
      <c r="L1734" s="185"/>
      <c r="M1734" s="185"/>
      <c r="N1734" s="185"/>
      <c r="O1734" s="185"/>
      <c r="P1734" s="185"/>
      <c r="Q1734" s="185"/>
      <c r="R1734" s="168"/>
      <c r="S1734" s="168"/>
      <c r="U1734" s="170"/>
      <c r="V1734" s="171"/>
      <c r="W1734" s="171"/>
      <c r="X1734" s="171"/>
      <c r="Y1734" s="185"/>
      <c r="Z1734" s="185"/>
    </row>
    <row r="1735" spans="4:26" x14ac:dyDescent="0.25">
      <c r="D1735" s="175"/>
      <c r="E1735" s="175"/>
      <c r="H1735" s="201"/>
      <c r="I1735" s="201"/>
      <c r="J1735" s="217"/>
      <c r="K1735" s="217"/>
      <c r="L1735" s="185"/>
      <c r="M1735" s="185"/>
      <c r="N1735" s="185"/>
      <c r="O1735" s="185"/>
      <c r="P1735" s="185"/>
      <c r="Q1735" s="185"/>
      <c r="R1735" s="168"/>
      <c r="S1735" s="168"/>
      <c r="U1735" s="170"/>
      <c r="V1735" s="171"/>
      <c r="W1735" s="171"/>
      <c r="X1735" s="171"/>
      <c r="Y1735" s="185"/>
      <c r="Z1735" s="185"/>
    </row>
    <row r="1736" spans="4:26" x14ac:dyDescent="0.25">
      <c r="D1736" s="175"/>
      <c r="E1736" s="175"/>
      <c r="H1736" s="201"/>
      <c r="I1736" s="201"/>
      <c r="J1736" s="217"/>
      <c r="K1736" s="217"/>
      <c r="L1736" s="185"/>
      <c r="M1736" s="185"/>
      <c r="N1736" s="185"/>
      <c r="O1736" s="185"/>
      <c r="P1736" s="185"/>
      <c r="Q1736" s="185"/>
      <c r="R1736" s="168"/>
      <c r="S1736" s="168"/>
      <c r="U1736" s="170"/>
      <c r="V1736" s="171"/>
      <c r="W1736" s="171"/>
      <c r="X1736" s="171"/>
      <c r="Y1736" s="185"/>
      <c r="Z1736" s="185"/>
    </row>
    <row r="1737" spans="4:26" x14ac:dyDescent="0.25">
      <c r="D1737" s="175"/>
      <c r="E1737" s="175"/>
      <c r="H1737" s="201"/>
      <c r="I1737" s="201"/>
      <c r="J1737" s="217"/>
      <c r="K1737" s="217"/>
      <c r="L1737" s="185"/>
      <c r="M1737" s="185"/>
      <c r="N1737" s="185"/>
      <c r="O1737" s="185"/>
      <c r="P1737" s="185"/>
      <c r="Q1737" s="185"/>
      <c r="R1737" s="168"/>
      <c r="S1737" s="168"/>
      <c r="U1737" s="170"/>
      <c r="V1737" s="171"/>
      <c r="W1737" s="171"/>
      <c r="X1737" s="171"/>
      <c r="Y1737" s="185"/>
      <c r="Z1737" s="185"/>
    </row>
    <row r="1738" spans="4:26" x14ac:dyDescent="0.25">
      <c r="D1738" s="175"/>
      <c r="E1738" s="175"/>
      <c r="H1738" s="201"/>
      <c r="I1738" s="201"/>
      <c r="J1738" s="217"/>
      <c r="K1738" s="217"/>
      <c r="L1738" s="185"/>
      <c r="M1738" s="185"/>
      <c r="N1738" s="185"/>
      <c r="O1738" s="185"/>
      <c r="P1738" s="185"/>
      <c r="Q1738" s="185"/>
      <c r="R1738" s="168"/>
      <c r="S1738" s="168"/>
      <c r="U1738" s="170"/>
      <c r="V1738" s="171"/>
      <c r="W1738" s="171"/>
      <c r="X1738" s="171"/>
      <c r="Y1738" s="185"/>
      <c r="Z1738" s="185"/>
    </row>
    <row r="1739" spans="4:26" x14ac:dyDescent="0.25">
      <c r="D1739" s="175"/>
      <c r="E1739" s="175"/>
      <c r="H1739" s="201"/>
      <c r="I1739" s="201"/>
      <c r="J1739" s="217"/>
      <c r="K1739" s="217"/>
      <c r="L1739" s="185"/>
      <c r="M1739" s="185"/>
      <c r="N1739" s="185"/>
      <c r="O1739" s="185"/>
      <c r="P1739" s="185"/>
      <c r="Q1739" s="185"/>
      <c r="R1739" s="168"/>
      <c r="S1739" s="168"/>
      <c r="U1739" s="170"/>
      <c r="V1739" s="171"/>
      <c r="W1739" s="171"/>
      <c r="X1739" s="171"/>
      <c r="Y1739" s="185"/>
      <c r="Z1739" s="185"/>
    </row>
    <row r="1740" spans="4:26" x14ac:dyDescent="0.25">
      <c r="D1740" s="175"/>
      <c r="E1740" s="175"/>
      <c r="H1740" s="201"/>
      <c r="I1740" s="201"/>
      <c r="J1740" s="217"/>
      <c r="K1740" s="217"/>
      <c r="L1740" s="185"/>
      <c r="M1740" s="185"/>
      <c r="N1740" s="185"/>
      <c r="O1740" s="185"/>
      <c r="P1740" s="185"/>
      <c r="Q1740" s="185"/>
      <c r="R1740" s="168"/>
      <c r="S1740" s="168"/>
      <c r="U1740" s="170"/>
      <c r="V1740" s="171"/>
      <c r="W1740" s="171"/>
      <c r="X1740" s="171"/>
      <c r="Y1740" s="185"/>
      <c r="Z1740" s="185"/>
    </row>
    <row r="1741" spans="4:26" x14ac:dyDescent="0.25">
      <c r="D1741" s="175"/>
      <c r="E1741" s="175"/>
      <c r="H1741" s="201"/>
      <c r="I1741" s="201"/>
      <c r="J1741" s="217"/>
      <c r="K1741" s="217"/>
      <c r="L1741" s="185"/>
      <c r="M1741" s="185"/>
      <c r="N1741" s="185"/>
      <c r="O1741" s="185"/>
      <c r="P1741" s="185"/>
      <c r="Q1741" s="185"/>
      <c r="R1741" s="168"/>
      <c r="S1741" s="168"/>
      <c r="U1741" s="170"/>
      <c r="V1741" s="171"/>
      <c r="W1741" s="171"/>
      <c r="X1741" s="171"/>
      <c r="Y1741" s="185"/>
      <c r="Z1741" s="185"/>
    </row>
    <row r="1742" spans="4:26" x14ac:dyDescent="0.25">
      <c r="D1742" s="175"/>
      <c r="E1742" s="175"/>
      <c r="H1742" s="201"/>
      <c r="I1742" s="201"/>
      <c r="J1742" s="217"/>
      <c r="K1742" s="217"/>
      <c r="L1742" s="185"/>
      <c r="M1742" s="185"/>
      <c r="N1742" s="185"/>
      <c r="O1742" s="185"/>
      <c r="P1742" s="185"/>
      <c r="Q1742" s="185"/>
      <c r="R1742" s="168"/>
      <c r="S1742" s="168"/>
      <c r="U1742" s="170"/>
      <c r="V1742" s="171"/>
      <c r="W1742" s="171"/>
      <c r="X1742" s="171"/>
      <c r="Y1742" s="185"/>
      <c r="Z1742" s="185"/>
    </row>
    <row r="1743" spans="4:26" x14ac:dyDescent="0.25">
      <c r="D1743" s="175"/>
      <c r="E1743" s="175"/>
      <c r="H1743" s="201"/>
      <c r="I1743" s="201"/>
      <c r="J1743" s="217"/>
      <c r="K1743" s="217"/>
      <c r="L1743" s="185"/>
      <c r="M1743" s="185"/>
      <c r="N1743" s="185"/>
      <c r="O1743" s="185"/>
      <c r="P1743" s="185"/>
      <c r="Q1743" s="185"/>
      <c r="R1743" s="168"/>
      <c r="S1743" s="168"/>
      <c r="U1743" s="170"/>
      <c r="V1743" s="171"/>
      <c r="W1743" s="171"/>
      <c r="X1743" s="171"/>
      <c r="Y1743" s="185"/>
      <c r="Z1743" s="185"/>
    </row>
    <row r="1744" spans="4:26" x14ac:dyDescent="0.25">
      <c r="D1744" s="175"/>
      <c r="E1744" s="175"/>
      <c r="H1744" s="201"/>
      <c r="I1744" s="201"/>
      <c r="J1744" s="217"/>
      <c r="K1744" s="217"/>
      <c r="L1744" s="185"/>
      <c r="M1744" s="185"/>
      <c r="N1744" s="185"/>
      <c r="O1744" s="185"/>
      <c r="P1744" s="185"/>
      <c r="Q1744" s="185"/>
      <c r="R1744" s="168"/>
      <c r="S1744" s="168"/>
      <c r="U1744" s="170"/>
      <c r="V1744" s="171"/>
      <c r="W1744" s="171"/>
      <c r="X1744" s="171"/>
      <c r="Y1744" s="185"/>
      <c r="Z1744" s="185"/>
    </row>
    <row r="1745" spans="4:26" x14ac:dyDescent="0.25">
      <c r="D1745" s="175"/>
      <c r="E1745" s="175"/>
      <c r="H1745" s="201"/>
      <c r="I1745" s="201"/>
      <c r="J1745" s="217"/>
      <c r="K1745" s="217"/>
      <c r="L1745" s="185"/>
      <c r="M1745" s="185"/>
      <c r="N1745" s="185"/>
      <c r="O1745" s="185"/>
      <c r="P1745" s="185"/>
      <c r="Q1745" s="185"/>
      <c r="R1745" s="168"/>
      <c r="S1745" s="168"/>
      <c r="U1745" s="170"/>
      <c r="V1745" s="171"/>
      <c r="W1745" s="171"/>
      <c r="X1745" s="171"/>
      <c r="Y1745" s="185"/>
      <c r="Z1745" s="185"/>
    </row>
    <row r="1746" spans="4:26" x14ac:dyDescent="0.25">
      <c r="D1746" s="175"/>
      <c r="E1746" s="175"/>
      <c r="H1746" s="201"/>
      <c r="I1746" s="201"/>
      <c r="J1746" s="217"/>
      <c r="K1746" s="217"/>
      <c r="L1746" s="185"/>
      <c r="M1746" s="185"/>
      <c r="N1746" s="185"/>
      <c r="O1746" s="185"/>
      <c r="P1746" s="185"/>
      <c r="Q1746" s="185"/>
      <c r="R1746" s="168"/>
      <c r="S1746" s="168"/>
      <c r="U1746" s="170"/>
      <c r="V1746" s="171"/>
      <c r="W1746" s="171"/>
      <c r="X1746" s="171"/>
      <c r="Y1746" s="185"/>
      <c r="Z1746" s="185"/>
    </row>
    <row r="1747" spans="4:26" x14ac:dyDescent="0.25">
      <c r="D1747" s="175"/>
      <c r="E1747" s="175"/>
      <c r="H1747" s="201"/>
      <c r="I1747" s="201"/>
      <c r="J1747" s="217"/>
      <c r="K1747" s="217"/>
      <c r="L1747" s="185"/>
      <c r="M1747" s="185"/>
      <c r="N1747" s="185"/>
      <c r="O1747" s="185"/>
      <c r="P1747" s="185"/>
      <c r="Q1747" s="185"/>
      <c r="R1747" s="168"/>
      <c r="S1747" s="168"/>
      <c r="U1747" s="170"/>
      <c r="V1747" s="171"/>
      <c r="W1747" s="171"/>
      <c r="X1747" s="171"/>
      <c r="Y1747" s="185"/>
      <c r="Z1747" s="185"/>
    </row>
    <row r="1748" spans="4:26" x14ac:dyDescent="0.25">
      <c r="D1748" s="175"/>
      <c r="E1748" s="175"/>
      <c r="H1748" s="201"/>
      <c r="I1748" s="201"/>
      <c r="J1748" s="217"/>
      <c r="K1748" s="217"/>
      <c r="L1748" s="185"/>
      <c r="M1748" s="185"/>
      <c r="N1748" s="185"/>
      <c r="O1748" s="185"/>
      <c r="P1748" s="185"/>
      <c r="Q1748" s="185"/>
      <c r="R1748" s="168"/>
      <c r="S1748" s="168"/>
      <c r="U1748" s="170"/>
      <c r="V1748" s="171"/>
      <c r="W1748" s="171"/>
      <c r="X1748" s="171"/>
      <c r="Y1748" s="185"/>
      <c r="Z1748" s="185"/>
    </row>
    <row r="1749" spans="4:26" x14ac:dyDescent="0.25">
      <c r="D1749" s="175"/>
      <c r="E1749" s="175"/>
      <c r="H1749" s="201"/>
      <c r="I1749" s="201"/>
      <c r="J1749" s="217"/>
      <c r="K1749" s="217"/>
      <c r="L1749" s="185"/>
      <c r="M1749" s="185"/>
      <c r="N1749" s="185"/>
      <c r="O1749" s="185"/>
      <c r="P1749" s="185"/>
      <c r="Q1749" s="185"/>
      <c r="R1749" s="168"/>
      <c r="S1749" s="168"/>
      <c r="U1749" s="170"/>
      <c r="V1749" s="171"/>
      <c r="W1749" s="171"/>
      <c r="X1749" s="171"/>
      <c r="Y1749" s="185"/>
      <c r="Z1749" s="185"/>
    </row>
    <row r="1750" spans="4:26" x14ac:dyDescent="0.25">
      <c r="D1750" s="175"/>
      <c r="E1750" s="175"/>
      <c r="H1750" s="201"/>
      <c r="I1750" s="201"/>
      <c r="J1750" s="217"/>
      <c r="K1750" s="217"/>
      <c r="L1750" s="185"/>
      <c r="M1750" s="185"/>
      <c r="N1750" s="185"/>
      <c r="O1750" s="185"/>
      <c r="P1750" s="185"/>
      <c r="Q1750" s="185"/>
      <c r="R1750" s="168"/>
      <c r="S1750" s="168"/>
      <c r="U1750" s="170"/>
      <c r="V1750" s="171"/>
      <c r="W1750" s="171"/>
      <c r="X1750" s="171"/>
      <c r="Y1750" s="185"/>
      <c r="Z1750" s="185"/>
    </row>
    <row r="1751" spans="4:26" x14ac:dyDescent="0.25">
      <c r="D1751" s="175"/>
      <c r="E1751" s="175"/>
      <c r="H1751" s="201"/>
      <c r="I1751" s="201"/>
      <c r="J1751" s="217"/>
      <c r="K1751" s="217"/>
      <c r="L1751" s="185"/>
      <c r="M1751" s="185"/>
      <c r="N1751" s="185"/>
      <c r="O1751" s="185"/>
      <c r="P1751" s="185"/>
      <c r="Q1751" s="185"/>
      <c r="R1751" s="168"/>
      <c r="S1751" s="168"/>
      <c r="U1751" s="170"/>
      <c r="V1751" s="171"/>
      <c r="W1751" s="171"/>
      <c r="X1751" s="171"/>
      <c r="Y1751" s="185"/>
      <c r="Z1751" s="185"/>
    </row>
    <row r="1752" spans="4:26" x14ac:dyDescent="0.25">
      <c r="D1752" s="175"/>
      <c r="E1752" s="175"/>
      <c r="H1752" s="201"/>
      <c r="I1752" s="201"/>
      <c r="J1752" s="217"/>
      <c r="K1752" s="217"/>
      <c r="L1752" s="185"/>
      <c r="M1752" s="185"/>
      <c r="N1752" s="185"/>
      <c r="O1752" s="185"/>
      <c r="P1752" s="185"/>
      <c r="Q1752" s="185"/>
      <c r="R1752" s="168"/>
      <c r="S1752" s="168"/>
      <c r="U1752" s="170"/>
      <c r="V1752" s="171"/>
      <c r="W1752" s="171"/>
      <c r="X1752" s="171"/>
      <c r="Y1752" s="185"/>
      <c r="Z1752" s="185"/>
    </row>
    <row r="1753" spans="4:26" x14ac:dyDescent="0.25">
      <c r="D1753" s="175"/>
      <c r="E1753" s="175"/>
      <c r="H1753" s="201"/>
      <c r="I1753" s="201"/>
      <c r="J1753" s="217"/>
      <c r="K1753" s="217"/>
      <c r="L1753" s="185"/>
      <c r="M1753" s="185"/>
      <c r="N1753" s="185"/>
      <c r="O1753" s="185"/>
      <c r="P1753" s="185"/>
      <c r="Q1753" s="185"/>
      <c r="R1753" s="168"/>
      <c r="S1753" s="168"/>
      <c r="U1753" s="170"/>
      <c r="V1753" s="171"/>
      <c r="W1753" s="171"/>
      <c r="X1753" s="171"/>
      <c r="Y1753" s="185"/>
      <c r="Z1753" s="185"/>
    </row>
    <row r="1754" spans="4:26" x14ac:dyDescent="0.25">
      <c r="D1754" s="175"/>
      <c r="E1754" s="175"/>
      <c r="H1754" s="201"/>
      <c r="I1754" s="201"/>
      <c r="J1754" s="217"/>
      <c r="K1754" s="217"/>
      <c r="L1754" s="185"/>
      <c r="M1754" s="185"/>
      <c r="N1754" s="185"/>
      <c r="O1754" s="185"/>
      <c r="P1754" s="185"/>
      <c r="Q1754" s="185"/>
      <c r="R1754" s="168"/>
      <c r="S1754" s="168"/>
      <c r="U1754" s="170"/>
      <c r="V1754" s="171"/>
      <c r="W1754" s="171"/>
      <c r="X1754" s="171"/>
      <c r="Y1754" s="185"/>
      <c r="Z1754" s="185"/>
    </row>
    <row r="1755" spans="4:26" x14ac:dyDescent="0.25">
      <c r="D1755" s="175"/>
      <c r="E1755" s="175"/>
      <c r="H1755" s="201"/>
      <c r="I1755" s="201"/>
      <c r="J1755" s="217"/>
      <c r="K1755" s="217"/>
      <c r="L1755" s="185"/>
      <c r="M1755" s="185"/>
      <c r="N1755" s="185"/>
      <c r="O1755" s="185"/>
      <c r="P1755" s="185"/>
      <c r="Q1755" s="185"/>
      <c r="R1755" s="168"/>
      <c r="S1755" s="168"/>
      <c r="U1755" s="170"/>
      <c r="V1755" s="171"/>
      <c r="W1755" s="171"/>
      <c r="X1755" s="171"/>
      <c r="Y1755" s="185"/>
      <c r="Z1755" s="185"/>
    </row>
    <row r="1756" spans="4:26" x14ac:dyDescent="0.25">
      <c r="D1756" s="175"/>
      <c r="E1756" s="175"/>
      <c r="H1756" s="201"/>
      <c r="I1756" s="201"/>
      <c r="J1756" s="217"/>
      <c r="K1756" s="217"/>
      <c r="L1756" s="185"/>
      <c r="M1756" s="185"/>
      <c r="N1756" s="185"/>
      <c r="O1756" s="185"/>
      <c r="P1756" s="185"/>
      <c r="Q1756" s="185"/>
      <c r="R1756" s="168"/>
      <c r="S1756" s="168"/>
      <c r="U1756" s="170"/>
      <c r="V1756" s="171"/>
      <c r="W1756" s="171"/>
      <c r="X1756" s="171"/>
      <c r="Y1756" s="185"/>
      <c r="Z1756" s="185"/>
    </row>
    <row r="1757" spans="4:26" x14ac:dyDescent="0.25">
      <c r="D1757" s="175"/>
      <c r="E1757" s="175"/>
      <c r="H1757" s="201"/>
      <c r="I1757" s="201"/>
      <c r="J1757" s="217"/>
      <c r="K1757" s="217"/>
      <c r="L1757" s="185"/>
      <c r="M1757" s="185"/>
      <c r="N1757" s="185"/>
      <c r="O1757" s="185"/>
      <c r="P1757" s="185"/>
      <c r="Q1757" s="185"/>
      <c r="R1757" s="168"/>
      <c r="S1757" s="168"/>
      <c r="U1757" s="170"/>
      <c r="V1757" s="171"/>
      <c r="W1757" s="171"/>
      <c r="X1757" s="171"/>
      <c r="Y1757" s="185"/>
      <c r="Z1757" s="185"/>
    </row>
    <row r="1758" spans="4:26" x14ac:dyDescent="0.25">
      <c r="D1758" s="175"/>
      <c r="E1758" s="175"/>
      <c r="H1758" s="201"/>
      <c r="I1758" s="201"/>
      <c r="J1758" s="217"/>
      <c r="K1758" s="217"/>
      <c r="L1758" s="185"/>
      <c r="M1758" s="185"/>
      <c r="N1758" s="185"/>
      <c r="O1758" s="185"/>
      <c r="P1758" s="185"/>
      <c r="Q1758" s="185"/>
      <c r="R1758" s="168"/>
      <c r="S1758" s="168"/>
      <c r="U1758" s="170"/>
      <c r="V1758" s="171"/>
      <c r="W1758" s="171"/>
      <c r="X1758" s="171"/>
      <c r="Y1758" s="185"/>
      <c r="Z1758" s="185"/>
    </row>
    <row r="1759" spans="4:26" x14ac:dyDescent="0.25">
      <c r="D1759" s="175"/>
      <c r="E1759" s="175"/>
      <c r="H1759" s="201"/>
      <c r="I1759" s="201"/>
      <c r="J1759" s="217"/>
      <c r="K1759" s="217"/>
      <c r="L1759" s="185"/>
      <c r="M1759" s="185"/>
      <c r="N1759" s="185"/>
      <c r="O1759" s="185"/>
      <c r="P1759" s="185"/>
      <c r="Q1759" s="185"/>
      <c r="R1759" s="168"/>
      <c r="S1759" s="168"/>
      <c r="U1759" s="170"/>
      <c r="V1759" s="171"/>
      <c r="W1759" s="171"/>
      <c r="X1759" s="171"/>
      <c r="Y1759" s="185"/>
      <c r="Z1759" s="185"/>
    </row>
    <row r="1760" spans="4:26" x14ac:dyDescent="0.25">
      <c r="D1760" s="175"/>
      <c r="E1760" s="175"/>
      <c r="H1760" s="201"/>
      <c r="I1760" s="201"/>
      <c r="J1760" s="217"/>
      <c r="K1760" s="217"/>
      <c r="L1760" s="185"/>
      <c r="M1760" s="185"/>
      <c r="N1760" s="185"/>
      <c r="O1760" s="185"/>
      <c r="P1760" s="185"/>
      <c r="Q1760" s="185"/>
      <c r="R1760" s="168"/>
      <c r="S1760" s="168"/>
      <c r="U1760" s="170"/>
      <c r="V1760" s="171"/>
      <c r="W1760" s="171"/>
      <c r="X1760" s="171"/>
      <c r="Y1760" s="185"/>
      <c r="Z1760" s="185"/>
    </row>
    <row r="1761" spans="4:26" x14ac:dyDescent="0.25">
      <c r="D1761" s="175"/>
      <c r="E1761" s="175"/>
      <c r="H1761" s="201"/>
      <c r="I1761" s="201"/>
      <c r="J1761" s="217"/>
      <c r="K1761" s="217"/>
      <c r="L1761" s="185"/>
      <c r="M1761" s="185"/>
      <c r="N1761" s="185"/>
      <c r="O1761" s="185"/>
      <c r="P1761" s="185"/>
      <c r="Q1761" s="185"/>
      <c r="R1761" s="168"/>
      <c r="S1761" s="168"/>
      <c r="U1761" s="170"/>
      <c r="V1761" s="171"/>
      <c r="W1761" s="171"/>
      <c r="X1761" s="171"/>
      <c r="Y1761" s="185"/>
      <c r="Z1761" s="185"/>
    </row>
    <row r="1762" spans="4:26" x14ac:dyDescent="0.25">
      <c r="D1762" s="175"/>
      <c r="E1762" s="175"/>
      <c r="H1762" s="201"/>
      <c r="I1762" s="201"/>
      <c r="J1762" s="217"/>
      <c r="K1762" s="217"/>
      <c r="L1762" s="185"/>
      <c r="M1762" s="185"/>
      <c r="N1762" s="185"/>
      <c r="O1762" s="185"/>
      <c r="P1762" s="185"/>
      <c r="Q1762" s="185"/>
      <c r="R1762" s="168"/>
      <c r="S1762" s="168"/>
      <c r="U1762" s="170"/>
      <c r="V1762" s="171"/>
      <c r="W1762" s="171"/>
      <c r="X1762" s="171"/>
      <c r="Y1762" s="185"/>
      <c r="Z1762" s="185"/>
    </row>
    <row r="1763" spans="4:26" x14ac:dyDescent="0.25">
      <c r="D1763" s="175"/>
      <c r="E1763" s="175"/>
      <c r="H1763" s="201"/>
      <c r="I1763" s="201"/>
      <c r="J1763" s="217"/>
      <c r="K1763" s="217"/>
      <c r="L1763" s="185"/>
      <c r="M1763" s="185"/>
      <c r="N1763" s="185"/>
      <c r="O1763" s="185"/>
      <c r="P1763" s="185"/>
      <c r="Q1763" s="185"/>
      <c r="R1763" s="168"/>
      <c r="S1763" s="168"/>
      <c r="U1763" s="170"/>
      <c r="V1763" s="171"/>
      <c r="W1763" s="171"/>
      <c r="X1763" s="171"/>
      <c r="Y1763" s="185"/>
      <c r="Z1763" s="185"/>
    </row>
    <row r="1764" spans="4:26" x14ac:dyDescent="0.25">
      <c r="D1764" s="175"/>
      <c r="E1764" s="175"/>
      <c r="H1764" s="201"/>
      <c r="I1764" s="201"/>
      <c r="J1764" s="217"/>
      <c r="K1764" s="217"/>
      <c r="L1764" s="185"/>
      <c r="M1764" s="185"/>
      <c r="N1764" s="185"/>
      <c r="O1764" s="185"/>
      <c r="P1764" s="185"/>
      <c r="Q1764" s="185"/>
      <c r="R1764" s="168"/>
      <c r="S1764" s="168"/>
      <c r="U1764" s="170"/>
      <c r="V1764" s="171"/>
      <c r="W1764" s="171"/>
      <c r="X1764" s="171"/>
      <c r="Y1764" s="185"/>
      <c r="Z1764" s="185"/>
    </row>
    <row r="1765" spans="4:26" x14ac:dyDescent="0.25">
      <c r="D1765" s="175"/>
      <c r="E1765" s="175"/>
      <c r="H1765" s="201"/>
      <c r="I1765" s="201"/>
      <c r="J1765" s="217"/>
      <c r="K1765" s="217"/>
      <c r="L1765" s="185"/>
      <c r="M1765" s="185"/>
      <c r="N1765" s="185"/>
      <c r="O1765" s="185"/>
      <c r="P1765" s="185"/>
      <c r="Q1765" s="185"/>
      <c r="R1765" s="168"/>
      <c r="S1765" s="168"/>
      <c r="U1765" s="170"/>
      <c r="V1765" s="171"/>
      <c r="W1765" s="171"/>
      <c r="X1765" s="171"/>
      <c r="Y1765" s="185"/>
      <c r="Z1765" s="185"/>
    </row>
    <row r="1766" spans="4:26" x14ac:dyDescent="0.25">
      <c r="D1766" s="175"/>
      <c r="E1766" s="175"/>
      <c r="H1766" s="201"/>
      <c r="I1766" s="201"/>
      <c r="J1766" s="217"/>
      <c r="K1766" s="217"/>
      <c r="L1766" s="185"/>
      <c r="M1766" s="185"/>
      <c r="N1766" s="185"/>
      <c r="O1766" s="185"/>
      <c r="P1766" s="185"/>
      <c r="Q1766" s="185"/>
      <c r="R1766" s="168"/>
      <c r="S1766" s="168"/>
      <c r="U1766" s="170"/>
      <c r="V1766" s="171"/>
      <c r="W1766" s="171"/>
      <c r="X1766" s="171"/>
      <c r="Y1766" s="185"/>
      <c r="Z1766" s="185"/>
    </row>
    <row r="1767" spans="4:26" x14ac:dyDescent="0.25">
      <c r="D1767" s="175"/>
      <c r="E1767" s="175"/>
      <c r="H1767" s="201"/>
      <c r="I1767" s="201"/>
      <c r="J1767" s="217"/>
      <c r="K1767" s="217"/>
      <c r="L1767" s="185"/>
      <c r="M1767" s="185"/>
      <c r="N1767" s="185"/>
      <c r="O1767" s="185"/>
      <c r="P1767" s="185"/>
      <c r="Q1767" s="185"/>
      <c r="R1767" s="168"/>
      <c r="S1767" s="168"/>
      <c r="U1767" s="170"/>
      <c r="V1767" s="171"/>
      <c r="W1767" s="171"/>
      <c r="X1767" s="171"/>
      <c r="Y1767" s="185"/>
      <c r="Z1767" s="185"/>
    </row>
    <row r="1768" spans="4:26" x14ac:dyDescent="0.25">
      <c r="D1768" s="175"/>
      <c r="E1768" s="175"/>
      <c r="H1768" s="201"/>
      <c r="I1768" s="201"/>
      <c r="J1768" s="217"/>
      <c r="K1768" s="217"/>
      <c r="L1768" s="185"/>
      <c r="M1768" s="185"/>
      <c r="N1768" s="185"/>
      <c r="O1768" s="185"/>
      <c r="P1768" s="185"/>
      <c r="Q1768" s="185"/>
      <c r="R1768" s="168"/>
      <c r="S1768" s="168"/>
      <c r="U1768" s="170"/>
      <c r="V1768" s="171"/>
      <c r="W1768" s="171"/>
      <c r="X1768" s="171"/>
      <c r="Y1768" s="185"/>
      <c r="Z1768" s="185"/>
    </row>
    <row r="1769" spans="4:26" x14ac:dyDescent="0.25">
      <c r="D1769" s="175"/>
      <c r="E1769" s="175"/>
      <c r="H1769" s="201"/>
      <c r="I1769" s="201"/>
      <c r="J1769" s="217"/>
      <c r="K1769" s="217"/>
      <c r="L1769" s="185"/>
      <c r="M1769" s="185"/>
      <c r="N1769" s="185"/>
      <c r="O1769" s="185"/>
      <c r="P1769" s="185"/>
      <c r="Q1769" s="185"/>
      <c r="R1769" s="168"/>
      <c r="S1769" s="168"/>
      <c r="U1769" s="170"/>
      <c r="V1769" s="171"/>
      <c r="W1769" s="171"/>
      <c r="X1769" s="171"/>
      <c r="Y1769" s="185"/>
      <c r="Z1769" s="185"/>
    </row>
    <row r="1770" spans="4:26" x14ac:dyDescent="0.25">
      <c r="D1770" s="175"/>
      <c r="E1770" s="175"/>
      <c r="H1770" s="201"/>
      <c r="I1770" s="201"/>
      <c r="J1770" s="217"/>
      <c r="K1770" s="217"/>
      <c r="L1770" s="185"/>
      <c r="M1770" s="185"/>
      <c r="N1770" s="185"/>
      <c r="O1770" s="185"/>
      <c r="P1770" s="185"/>
      <c r="Q1770" s="185"/>
      <c r="R1770" s="168"/>
      <c r="S1770" s="168"/>
      <c r="U1770" s="170"/>
      <c r="V1770" s="171"/>
      <c r="W1770" s="171"/>
      <c r="X1770" s="171"/>
      <c r="Y1770" s="185"/>
      <c r="Z1770" s="185"/>
    </row>
    <row r="1771" spans="4:26" x14ac:dyDescent="0.25">
      <c r="D1771" s="175"/>
      <c r="E1771" s="175"/>
      <c r="H1771" s="201"/>
      <c r="I1771" s="201"/>
      <c r="J1771" s="217"/>
      <c r="K1771" s="217"/>
      <c r="L1771" s="185"/>
      <c r="M1771" s="185"/>
      <c r="N1771" s="185"/>
      <c r="O1771" s="185"/>
      <c r="P1771" s="185"/>
      <c r="Q1771" s="185"/>
      <c r="R1771" s="168"/>
      <c r="S1771" s="168"/>
      <c r="U1771" s="170"/>
      <c r="V1771" s="171"/>
      <c r="W1771" s="171"/>
      <c r="X1771" s="171"/>
      <c r="Y1771" s="185"/>
      <c r="Z1771" s="185"/>
    </row>
    <row r="1772" spans="4:26" x14ac:dyDescent="0.25">
      <c r="D1772" s="175"/>
      <c r="E1772" s="175"/>
      <c r="H1772" s="201"/>
      <c r="I1772" s="201"/>
      <c r="J1772" s="217"/>
      <c r="K1772" s="217"/>
      <c r="L1772" s="185"/>
      <c r="M1772" s="185"/>
      <c r="N1772" s="185"/>
      <c r="O1772" s="185"/>
      <c r="P1772" s="185"/>
      <c r="Q1772" s="185"/>
      <c r="R1772" s="168"/>
      <c r="S1772" s="168"/>
      <c r="U1772" s="170"/>
      <c r="V1772" s="171"/>
      <c r="W1772" s="171"/>
      <c r="X1772" s="171"/>
      <c r="Y1772" s="185"/>
      <c r="Z1772" s="185"/>
    </row>
    <row r="1773" spans="4:26" x14ac:dyDescent="0.25">
      <c r="D1773" s="175"/>
      <c r="E1773" s="175"/>
      <c r="H1773" s="201"/>
      <c r="I1773" s="201"/>
      <c r="J1773" s="217"/>
      <c r="K1773" s="217"/>
      <c r="L1773" s="185"/>
      <c r="M1773" s="185"/>
      <c r="N1773" s="185"/>
      <c r="O1773" s="185"/>
      <c r="P1773" s="185"/>
      <c r="Q1773" s="185"/>
      <c r="R1773" s="168"/>
      <c r="S1773" s="168"/>
      <c r="U1773" s="170"/>
      <c r="V1773" s="171"/>
      <c r="W1773" s="171"/>
      <c r="X1773" s="171"/>
      <c r="Y1773" s="185"/>
      <c r="Z1773" s="185"/>
    </row>
    <row r="1774" spans="4:26" x14ac:dyDescent="0.25">
      <c r="D1774" s="175"/>
      <c r="E1774" s="175"/>
      <c r="H1774" s="201"/>
      <c r="I1774" s="201"/>
      <c r="J1774" s="217"/>
      <c r="K1774" s="217"/>
      <c r="L1774" s="185"/>
      <c r="M1774" s="185"/>
      <c r="N1774" s="185"/>
      <c r="O1774" s="185"/>
      <c r="P1774" s="185"/>
      <c r="Q1774" s="185"/>
      <c r="R1774" s="168"/>
      <c r="S1774" s="168"/>
      <c r="U1774" s="170"/>
      <c r="V1774" s="171"/>
      <c r="W1774" s="171"/>
      <c r="X1774" s="171"/>
      <c r="Y1774" s="185"/>
      <c r="Z1774" s="185"/>
    </row>
    <row r="1775" spans="4:26" x14ac:dyDescent="0.25">
      <c r="D1775" s="175"/>
      <c r="E1775" s="175"/>
      <c r="H1775" s="201"/>
      <c r="I1775" s="201"/>
      <c r="J1775" s="217"/>
      <c r="K1775" s="217"/>
      <c r="L1775" s="185"/>
      <c r="M1775" s="185"/>
      <c r="N1775" s="185"/>
      <c r="O1775" s="185"/>
      <c r="P1775" s="185"/>
      <c r="Q1775" s="185"/>
      <c r="R1775" s="168"/>
      <c r="S1775" s="168"/>
      <c r="U1775" s="170"/>
      <c r="V1775" s="171"/>
      <c r="W1775" s="171"/>
      <c r="X1775" s="171"/>
      <c r="Y1775" s="185"/>
      <c r="Z1775" s="185"/>
    </row>
    <row r="1776" spans="4:26" x14ac:dyDescent="0.25">
      <c r="D1776" s="175"/>
      <c r="E1776" s="175"/>
      <c r="H1776" s="201"/>
      <c r="I1776" s="201"/>
      <c r="J1776" s="217"/>
      <c r="K1776" s="217"/>
      <c r="L1776" s="185"/>
      <c r="M1776" s="185"/>
      <c r="N1776" s="185"/>
      <c r="O1776" s="185"/>
      <c r="P1776" s="185"/>
      <c r="Q1776" s="185"/>
      <c r="R1776" s="168"/>
      <c r="S1776" s="168"/>
      <c r="U1776" s="170"/>
      <c r="V1776" s="171"/>
      <c r="W1776" s="171"/>
      <c r="X1776" s="171"/>
      <c r="Y1776" s="185"/>
      <c r="Z1776" s="185"/>
    </row>
    <row r="1777" spans="4:26" x14ac:dyDescent="0.25">
      <c r="D1777" s="175"/>
      <c r="E1777" s="175"/>
      <c r="H1777" s="201"/>
      <c r="I1777" s="201"/>
      <c r="J1777" s="217"/>
      <c r="K1777" s="217"/>
      <c r="L1777" s="185"/>
      <c r="M1777" s="185"/>
      <c r="N1777" s="185"/>
      <c r="O1777" s="185"/>
      <c r="P1777" s="185"/>
      <c r="Q1777" s="185"/>
      <c r="R1777" s="168"/>
      <c r="S1777" s="168"/>
      <c r="U1777" s="170"/>
      <c r="V1777" s="171"/>
      <c r="W1777" s="171"/>
      <c r="X1777" s="171"/>
      <c r="Y1777" s="185"/>
      <c r="Z1777" s="185"/>
    </row>
    <row r="1778" spans="4:26" x14ac:dyDescent="0.25">
      <c r="D1778" s="175"/>
      <c r="E1778" s="175"/>
      <c r="H1778" s="201"/>
      <c r="I1778" s="201"/>
      <c r="J1778" s="217"/>
      <c r="K1778" s="217"/>
      <c r="L1778" s="185"/>
      <c r="M1778" s="185"/>
      <c r="N1778" s="185"/>
      <c r="O1778" s="185"/>
      <c r="P1778" s="185"/>
      <c r="Q1778" s="185"/>
      <c r="R1778" s="168"/>
      <c r="S1778" s="168"/>
      <c r="U1778" s="170"/>
      <c r="V1778" s="171"/>
      <c r="W1778" s="171"/>
      <c r="X1778" s="171"/>
      <c r="Y1778" s="185"/>
      <c r="Z1778" s="185"/>
    </row>
    <row r="1779" spans="4:26" x14ac:dyDescent="0.25">
      <c r="D1779" s="175"/>
      <c r="E1779" s="175"/>
      <c r="H1779" s="201"/>
      <c r="I1779" s="201"/>
      <c r="J1779" s="217"/>
      <c r="K1779" s="217"/>
      <c r="L1779" s="185"/>
      <c r="M1779" s="185"/>
      <c r="N1779" s="185"/>
      <c r="O1779" s="185"/>
      <c r="P1779" s="185"/>
      <c r="Q1779" s="185"/>
      <c r="R1779" s="168"/>
      <c r="S1779" s="168"/>
      <c r="U1779" s="170"/>
      <c r="V1779" s="171"/>
      <c r="W1779" s="171"/>
      <c r="X1779" s="171"/>
      <c r="Y1779" s="185"/>
      <c r="Z1779" s="185"/>
    </row>
    <row r="1780" spans="4:26" x14ac:dyDescent="0.25">
      <c r="D1780" s="175"/>
      <c r="E1780" s="175"/>
      <c r="H1780" s="201"/>
      <c r="I1780" s="201"/>
      <c r="J1780" s="217"/>
      <c r="K1780" s="217"/>
      <c r="L1780" s="185"/>
      <c r="M1780" s="185"/>
      <c r="N1780" s="185"/>
      <c r="O1780" s="185"/>
      <c r="P1780" s="185"/>
      <c r="Q1780" s="185"/>
      <c r="R1780" s="168"/>
      <c r="S1780" s="168"/>
      <c r="U1780" s="170"/>
      <c r="V1780" s="171"/>
      <c r="W1780" s="171"/>
      <c r="X1780" s="171"/>
      <c r="Y1780" s="185"/>
      <c r="Z1780" s="185"/>
    </row>
    <row r="1781" spans="4:26" x14ac:dyDescent="0.25">
      <c r="D1781" s="175"/>
      <c r="E1781" s="175"/>
      <c r="H1781" s="201"/>
      <c r="I1781" s="201"/>
      <c r="J1781" s="217"/>
      <c r="K1781" s="217"/>
      <c r="L1781" s="185"/>
      <c r="M1781" s="185"/>
      <c r="N1781" s="185"/>
      <c r="O1781" s="185"/>
      <c r="P1781" s="185"/>
      <c r="Q1781" s="185"/>
      <c r="R1781" s="168"/>
      <c r="S1781" s="168"/>
      <c r="U1781" s="170"/>
      <c r="V1781" s="171"/>
      <c r="W1781" s="171"/>
      <c r="X1781" s="171"/>
      <c r="Y1781" s="185"/>
      <c r="Z1781" s="185"/>
    </row>
    <row r="1782" spans="4:26" x14ac:dyDescent="0.25">
      <c r="D1782" s="175"/>
      <c r="E1782" s="175"/>
      <c r="H1782" s="201"/>
      <c r="I1782" s="201"/>
      <c r="J1782" s="217"/>
      <c r="K1782" s="217"/>
      <c r="L1782" s="185"/>
      <c r="M1782" s="185"/>
      <c r="N1782" s="185"/>
      <c r="O1782" s="185"/>
      <c r="P1782" s="185"/>
      <c r="Q1782" s="185"/>
      <c r="R1782" s="168"/>
      <c r="S1782" s="168"/>
      <c r="U1782" s="170"/>
      <c r="V1782" s="171"/>
      <c r="W1782" s="171"/>
      <c r="X1782" s="171"/>
      <c r="Y1782" s="185"/>
      <c r="Z1782" s="185"/>
    </row>
    <row r="1783" spans="4:26" x14ac:dyDescent="0.25">
      <c r="D1783" s="175"/>
      <c r="E1783" s="175"/>
      <c r="H1783" s="201"/>
      <c r="I1783" s="201"/>
      <c r="J1783" s="217"/>
      <c r="K1783" s="217"/>
      <c r="L1783" s="185"/>
      <c r="M1783" s="185"/>
      <c r="N1783" s="185"/>
      <c r="O1783" s="185"/>
      <c r="P1783" s="185"/>
      <c r="Q1783" s="185"/>
      <c r="R1783" s="168"/>
      <c r="S1783" s="168"/>
      <c r="U1783" s="170"/>
      <c r="V1783" s="171"/>
      <c r="W1783" s="171"/>
      <c r="X1783" s="171"/>
      <c r="Y1783" s="185"/>
      <c r="Z1783" s="185"/>
    </row>
    <row r="1784" spans="4:26" x14ac:dyDescent="0.25">
      <c r="D1784" s="175"/>
      <c r="E1784" s="175"/>
      <c r="H1784" s="201"/>
      <c r="I1784" s="201"/>
      <c r="J1784" s="217"/>
      <c r="K1784" s="217"/>
      <c r="L1784" s="185"/>
      <c r="M1784" s="185"/>
      <c r="N1784" s="185"/>
      <c r="O1784" s="185"/>
      <c r="P1784" s="185"/>
      <c r="Q1784" s="185"/>
      <c r="R1784" s="168"/>
      <c r="S1784" s="168"/>
      <c r="U1784" s="170"/>
      <c r="V1784" s="171"/>
      <c r="W1784" s="171"/>
      <c r="X1784" s="171"/>
      <c r="Y1784" s="185"/>
      <c r="Z1784" s="185"/>
    </row>
    <row r="1785" spans="4:26" x14ac:dyDescent="0.25">
      <c r="D1785" s="175"/>
      <c r="E1785" s="175"/>
      <c r="H1785" s="201"/>
      <c r="I1785" s="201"/>
      <c r="J1785" s="217"/>
      <c r="K1785" s="217"/>
      <c r="L1785" s="185"/>
      <c r="M1785" s="185"/>
      <c r="N1785" s="185"/>
      <c r="O1785" s="185"/>
      <c r="P1785" s="185"/>
      <c r="Q1785" s="185"/>
      <c r="R1785" s="168"/>
      <c r="S1785" s="168"/>
      <c r="U1785" s="170"/>
      <c r="V1785" s="171"/>
      <c r="W1785" s="171"/>
      <c r="X1785" s="171"/>
      <c r="Y1785" s="185"/>
      <c r="Z1785" s="185"/>
    </row>
    <row r="1786" spans="4:26" x14ac:dyDescent="0.25">
      <c r="D1786" s="175"/>
      <c r="E1786" s="175"/>
      <c r="H1786" s="201"/>
      <c r="I1786" s="201"/>
      <c r="J1786" s="217"/>
      <c r="K1786" s="217"/>
      <c r="L1786" s="185"/>
      <c r="M1786" s="185"/>
      <c r="N1786" s="185"/>
      <c r="O1786" s="185"/>
      <c r="P1786" s="185"/>
      <c r="Q1786" s="185"/>
      <c r="R1786" s="168"/>
      <c r="S1786" s="168"/>
      <c r="U1786" s="170"/>
      <c r="V1786" s="171"/>
      <c r="W1786" s="171"/>
      <c r="X1786" s="171"/>
      <c r="Y1786" s="185"/>
      <c r="Z1786" s="185"/>
    </row>
    <row r="1787" spans="4:26" x14ac:dyDescent="0.25">
      <c r="D1787" s="175"/>
      <c r="E1787" s="175"/>
      <c r="H1787" s="201"/>
      <c r="I1787" s="201"/>
      <c r="J1787" s="217"/>
      <c r="K1787" s="217"/>
      <c r="L1787" s="185"/>
      <c r="M1787" s="185"/>
      <c r="N1787" s="185"/>
      <c r="O1787" s="185"/>
      <c r="P1787" s="185"/>
      <c r="Q1787" s="185"/>
      <c r="R1787" s="168"/>
      <c r="S1787" s="168"/>
      <c r="U1787" s="170"/>
      <c r="V1787" s="171"/>
      <c r="W1787" s="171"/>
      <c r="X1787" s="171"/>
      <c r="Y1787" s="185"/>
      <c r="Z1787" s="185"/>
    </row>
    <row r="1788" spans="4:26" x14ac:dyDescent="0.25">
      <c r="D1788" s="175"/>
      <c r="E1788" s="175"/>
      <c r="H1788" s="201"/>
      <c r="I1788" s="201"/>
      <c r="J1788" s="217"/>
      <c r="K1788" s="217"/>
      <c r="L1788" s="185"/>
      <c r="M1788" s="185"/>
      <c r="N1788" s="185"/>
      <c r="O1788" s="185"/>
      <c r="P1788" s="185"/>
      <c r="Q1788" s="185"/>
      <c r="R1788" s="168"/>
      <c r="S1788" s="168"/>
      <c r="U1788" s="170"/>
      <c r="V1788" s="171"/>
      <c r="W1788" s="171"/>
      <c r="X1788" s="171"/>
      <c r="Y1788" s="185"/>
      <c r="Z1788" s="185"/>
    </row>
    <row r="1789" spans="4:26" x14ac:dyDescent="0.25">
      <c r="D1789" s="175"/>
      <c r="E1789" s="175"/>
      <c r="H1789" s="201"/>
      <c r="I1789" s="201"/>
      <c r="J1789" s="217"/>
      <c r="K1789" s="217"/>
      <c r="L1789" s="185"/>
      <c r="M1789" s="185"/>
      <c r="N1789" s="185"/>
      <c r="O1789" s="185"/>
      <c r="P1789" s="185"/>
      <c r="Q1789" s="185"/>
      <c r="R1789" s="168"/>
      <c r="S1789" s="168"/>
      <c r="U1789" s="170"/>
      <c r="V1789" s="171"/>
      <c r="W1789" s="171"/>
      <c r="X1789" s="171"/>
      <c r="Y1789" s="185"/>
      <c r="Z1789" s="185"/>
    </row>
    <row r="1790" spans="4:26" x14ac:dyDescent="0.25">
      <c r="D1790" s="175"/>
      <c r="E1790" s="175"/>
      <c r="H1790" s="201"/>
      <c r="I1790" s="201"/>
      <c r="J1790" s="217"/>
      <c r="K1790" s="217"/>
      <c r="L1790" s="185"/>
      <c r="M1790" s="185"/>
      <c r="N1790" s="185"/>
      <c r="O1790" s="185"/>
      <c r="P1790" s="185"/>
      <c r="Q1790" s="185"/>
      <c r="R1790" s="168"/>
      <c r="S1790" s="168"/>
      <c r="U1790" s="170"/>
      <c r="V1790" s="171"/>
      <c r="W1790" s="171"/>
      <c r="X1790" s="171"/>
      <c r="Y1790" s="185"/>
      <c r="Z1790" s="185"/>
    </row>
    <row r="1791" spans="4:26" x14ac:dyDescent="0.25">
      <c r="D1791" s="175"/>
      <c r="E1791" s="175"/>
      <c r="H1791" s="201"/>
      <c r="I1791" s="201"/>
      <c r="J1791" s="217"/>
      <c r="K1791" s="217"/>
      <c r="L1791" s="185"/>
      <c r="M1791" s="185"/>
      <c r="N1791" s="185"/>
      <c r="O1791" s="185"/>
      <c r="P1791" s="185"/>
      <c r="Q1791" s="185"/>
      <c r="R1791" s="168"/>
      <c r="S1791" s="168"/>
      <c r="U1791" s="170"/>
      <c r="V1791" s="171"/>
      <c r="W1791" s="171"/>
      <c r="X1791" s="171"/>
      <c r="Y1791" s="185"/>
      <c r="Z1791" s="185"/>
    </row>
    <row r="1792" spans="4:26" x14ac:dyDescent="0.25">
      <c r="D1792" s="175"/>
      <c r="E1792" s="175"/>
      <c r="H1792" s="201"/>
      <c r="I1792" s="201"/>
      <c r="J1792" s="217"/>
      <c r="K1792" s="217"/>
      <c r="L1792" s="185"/>
      <c r="M1792" s="185"/>
      <c r="N1792" s="185"/>
      <c r="O1792" s="185"/>
      <c r="P1792" s="185"/>
      <c r="Q1792" s="185"/>
      <c r="R1792" s="168"/>
      <c r="S1792" s="168"/>
      <c r="U1792" s="170"/>
      <c r="V1792" s="171"/>
      <c r="W1792" s="171"/>
      <c r="X1792" s="171"/>
      <c r="Y1792" s="185"/>
      <c r="Z1792" s="185"/>
    </row>
    <row r="1793" spans="4:26" x14ac:dyDescent="0.25">
      <c r="D1793" s="175"/>
      <c r="E1793" s="175"/>
      <c r="H1793" s="201"/>
      <c r="I1793" s="201"/>
      <c r="J1793" s="217"/>
      <c r="K1793" s="217"/>
      <c r="L1793" s="185"/>
      <c r="M1793" s="185"/>
      <c r="N1793" s="185"/>
      <c r="O1793" s="185"/>
      <c r="P1793" s="185"/>
      <c r="Q1793" s="185"/>
      <c r="R1793" s="168"/>
      <c r="S1793" s="168"/>
      <c r="U1793" s="170"/>
      <c r="V1793" s="171"/>
      <c r="W1793" s="171"/>
      <c r="X1793" s="171"/>
      <c r="Y1793" s="185"/>
      <c r="Z1793" s="185"/>
    </row>
    <row r="1794" spans="4:26" x14ac:dyDescent="0.25">
      <c r="D1794" s="175"/>
      <c r="E1794" s="175"/>
      <c r="H1794" s="201"/>
      <c r="I1794" s="201"/>
      <c r="J1794" s="217"/>
      <c r="K1794" s="217"/>
      <c r="L1794" s="185"/>
      <c r="M1794" s="185"/>
      <c r="N1794" s="185"/>
      <c r="O1794" s="185"/>
      <c r="P1794" s="185"/>
      <c r="Q1794" s="185"/>
      <c r="R1794" s="168"/>
      <c r="S1794" s="168"/>
      <c r="U1794" s="170"/>
      <c r="V1794" s="171"/>
      <c r="W1794" s="171"/>
      <c r="X1794" s="171"/>
      <c r="Y1794" s="185"/>
      <c r="Z1794" s="185"/>
    </row>
    <row r="1795" spans="4:26" x14ac:dyDescent="0.25">
      <c r="D1795" s="175"/>
      <c r="E1795" s="175"/>
      <c r="H1795" s="201"/>
      <c r="I1795" s="201"/>
      <c r="J1795" s="217"/>
      <c r="K1795" s="217"/>
      <c r="L1795" s="185"/>
      <c r="M1795" s="185"/>
      <c r="N1795" s="185"/>
      <c r="O1795" s="185"/>
      <c r="P1795" s="185"/>
      <c r="Q1795" s="185"/>
      <c r="R1795" s="168"/>
      <c r="S1795" s="168"/>
      <c r="U1795" s="170"/>
      <c r="V1795" s="171"/>
      <c r="W1795" s="171"/>
      <c r="X1795" s="171"/>
      <c r="Y1795" s="185"/>
      <c r="Z1795" s="185"/>
    </row>
    <row r="1796" spans="4:26" x14ac:dyDescent="0.25">
      <c r="D1796" s="175"/>
      <c r="E1796" s="175"/>
      <c r="H1796" s="201"/>
      <c r="I1796" s="201"/>
      <c r="J1796" s="217"/>
      <c r="K1796" s="217"/>
      <c r="L1796" s="185"/>
      <c r="M1796" s="185"/>
      <c r="N1796" s="185"/>
      <c r="O1796" s="185"/>
      <c r="P1796" s="185"/>
      <c r="Q1796" s="185"/>
      <c r="R1796" s="168"/>
      <c r="S1796" s="168"/>
      <c r="U1796" s="170"/>
      <c r="V1796" s="171"/>
      <c r="W1796" s="171"/>
      <c r="X1796" s="171"/>
      <c r="Y1796" s="185"/>
      <c r="Z1796" s="185"/>
    </row>
    <row r="1797" spans="4:26" x14ac:dyDescent="0.25">
      <c r="D1797" s="175"/>
      <c r="E1797" s="175"/>
      <c r="H1797" s="201"/>
      <c r="I1797" s="201"/>
      <c r="J1797" s="217"/>
      <c r="K1797" s="217"/>
      <c r="L1797" s="185"/>
      <c r="M1797" s="185"/>
      <c r="N1797" s="185"/>
      <c r="O1797" s="185"/>
      <c r="P1797" s="185"/>
      <c r="Q1797" s="185"/>
      <c r="R1797" s="168"/>
      <c r="S1797" s="168"/>
      <c r="U1797" s="170"/>
      <c r="V1797" s="171"/>
      <c r="W1797" s="171"/>
      <c r="X1797" s="171"/>
      <c r="Y1797" s="185"/>
      <c r="Z1797" s="185"/>
    </row>
    <row r="1798" spans="4:26" x14ac:dyDescent="0.25">
      <c r="D1798" s="175"/>
      <c r="E1798" s="175"/>
      <c r="H1798" s="201"/>
      <c r="I1798" s="201"/>
      <c r="J1798" s="217"/>
      <c r="K1798" s="217"/>
      <c r="L1798" s="185"/>
      <c r="M1798" s="185"/>
      <c r="N1798" s="185"/>
      <c r="O1798" s="185"/>
      <c r="P1798" s="185"/>
      <c r="Q1798" s="185"/>
      <c r="R1798" s="168"/>
      <c r="S1798" s="168"/>
      <c r="U1798" s="170"/>
      <c r="V1798" s="171"/>
      <c r="W1798" s="171"/>
      <c r="X1798" s="171"/>
      <c r="Y1798" s="185"/>
      <c r="Z1798" s="185"/>
    </row>
    <row r="1799" spans="4:26" x14ac:dyDescent="0.25">
      <c r="D1799" s="175"/>
      <c r="E1799" s="175"/>
      <c r="H1799" s="201"/>
      <c r="I1799" s="201"/>
      <c r="J1799" s="217"/>
      <c r="K1799" s="217"/>
      <c r="L1799" s="185"/>
      <c r="M1799" s="185"/>
      <c r="N1799" s="185"/>
      <c r="O1799" s="185"/>
      <c r="P1799" s="185"/>
      <c r="Q1799" s="185"/>
      <c r="R1799" s="168"/>
      <c r="S1799" s="168"/>
      <c r="U1799" s="170"/>
      <c r="V1799" s="171"/>
      <c r="W1799" s="171"/>
      <c r="X1799" s="171"/>
      <c r="Y1799" s="185"/>
      <c r="Z1799" s="185"/>
    </row>
    <row r="1800" spans="4:26" x14ac:dyDescent="0.25">
      <c r="D1800" s="175"/>
      <c r="E1800" s="175"/>
      <c r="H1800" s="201"/>
      <c r="I1800" s="201"/>
      <c r="J1800" s="217"/>
      <c r="K1800" s="217"/>
      <c r="L1800" s="185"/>
      <c r="M1800" s="185"/>
      <c r="N1800" s="185"/>
      <c r="O1800" s="185"/>
      <c r="P1800" s="185"/>
      <c r="Q1800" s="185"/>
      <c r="R1800" s="168"/>
      <c r="S1800" s="168"/>
      <c r="U1800" s="170"/>
      <c r="V1800" s="171"/>
      <c r="W1800" s="171"/>
      <c r="X1800" s="171"/>
      <c r="Y1800" s="185"/>
      <c r="Z1800" s="185"/>
    </row>
    <row r="1801" spans="4:26" x14ac:dyDescent="0.25">
      <c r="D1801" s="175"/>
      <c r="E1801" s="175"/>
      <c r="H1801" s="201"/>
      <c r="I1801" s="201"/>
      <c r="J1801" s="217"/>
      <c r="K1801" s="217"/>
      <c r="L1801" s="185"/>
      <c r="M1801" s="185"/>
      <c r="N1801" s="185"/>
      <c r="O1801" s="185"/>
      <c r="P1801" s="185"/>
      <c r="Q1801" s="185"/>
      <c r="R1801" s="168"/>
      <c r="S1801" s="168"/>
      <c r="U1801" s="170"/>
      <c r="V1801" s="171"/>
      <c r="W1801" s="171"/>
      <c r="X1801" s="171"/>
      <c r="Y1801" s="185"/>
      <c r="Z1801" s="185"/>
    </row>
    <row r="1802" spans="4:26" x14ac:dyDescent="0.25">
      <c r="D1802" s="175"/>
      <c r="E1802" s="175"/>
      <c r="H1802" s="201"/>
      <c r="I1802" s="201"/>
      <c r="J1802" s="217"/>
      <c r="K1802" s="217"/>
      <c r="L1802" s="185"/>
      <c r="M1802" s="185"/>
      <c r="N1802" s="185"/>
      <c r="O1802" s="185"/>
      <c r="P1802" s="185"/>
      <c r="Q1802" s="185"/>
      <c r="R1802" s="168"/>
      <c r="S1802" s="168"/>
      <c r="U1802" s="170"/>
      <c r="V1802" s="171"/>
      <c r="W1802" s="171"/>
      <c r="X1802" s="171"/>
      <c r="Y1802" s="185"/>
      <c r="Z1802" s="185"/>
    </row>
    <row r="1803" spans="4:26" x14ac:dyDescent="0.25">
      <c r="D1803" s="175"/>
      <c r="E1803" s="175"/>
      <c r="H1803" s="201"/>
      <c r="I1803" s="201"/>
      <c r="J1803" s="217"/>
      <c r="K1803" s="217"/>
      <c r="L1803" s="185"/>
      <c r="M1803" s="185"/>
      <c r="N1803" s="185"/>
      <c r="O1803" s="185"/>
      <c r="P1803" s="185"/>
      <c r="Q1803" s="185"/>
      <c r="R1803" s="168"/>
      <c r="S1803" s="168"/>
      <c r="U1803" s="170"/>
      <c r="V1803" s="171"/>
      <c r="W1803" s="171"/>
      <c r="X1803" s="171"/>
      <c r="Y1803" s="185"/>
      <c r="Z1803" s="185"/>
    </row>
    <row r="1804" spans="4:26" x14ac:dyDescent="0.25">
      <c r="D1804" s="175"/>
      <c r="E1804" s="175"/>
      <c r="H1804" s="201"/>
      <c r="I1804" s="201"/>
      <c r="J1804" s="217"/>
      <c r="K1804" s="217"/>
      <c r="L1804" s="185"/>
      <c r="M1804" s="185"/>
      <c r="N1804" s="185"/>
      <c r="O1804" s="185"/>
      <c r="P1804" s="185"/>
      <c r="Q1804" s="185"/>
      <c r="R1804" s="168"/>
      <c r="S1804" s="168"/>
      <c r="U1804" s="170"/>
      <c r="V1804" s="171"/>
      <c r="W1804" s="171"/>
      <c r="X1804" s="171"/>
      <c r="Y1804" s="185"/>
      <c r="Z1804" s="185"/>
    </row>
    <row r="1805" spans="4:26" x14ac:dyDescent="0.25">
      <c r="D1805" s="175"/>
      <c r="E1805" s="175"/>
      <c r="H1805" s="201"/>
      <c r="I1805" s="201"/>
      <c r="J1805" s="217"/>
      <c r="K1805" s="217"/>
      <c r="L1805" s="185"/>
      <c r="M1805" s="185"/>
      <c r="N1805" s="185"/>
      <c r="O1805" s="185"/>
      <c r="P1805" s="185"/>
      <c r="Q1805" s="185"/>
      <c r="R1805" s="168"/>
      <c r="S1805" s="168"/>
      <c r="U1805" s="170"/>
      <c r="V1805" s="171"/>
      <c r="W1805" s="171"/>
      <c r="X1805" s="171"/>
      <c r="Y1805" s="185"/>
      <c r="Z1805" s="185"/>
    </row>
    <row r="1806" spans="4:26" x14ac:dyDescent="0.25">
      <c r="D1806" s="175"/>
      <c r="E1806" s="175"/>
      <c r="H1806" s="201"/>
      <c r="I1806" s="201"/>
      <c r="J1806" s="217"/>
      <c r="K1806" s="217"/>
      <c r="L1806" s="185"/>
      <c r="M1806" s="185"/>
      <c r="N1806" s="185"/>
      <c r="O1806" s="185"/>
      <c r="P1806" s="185"/>
      <c r="Q1806" s="185"/>
      <c r="R1806" s="168"/>
      <c r="S1806" s="168"/>
      <c r="U1806" s="170"/>
      <c r="V1806" s="171"/>
      <c r="W1806" s="171"/>
      <c r="X1806" s="171"/>
      <c r="Y1806" s="185"/>
      <c r="Z1806" s="185"/>
    </row>
    <row r="1807" spans="4:26" x14ac:dyDescent="0.25">
      <c r="D1807" s="175"/>
      <c r="E1807" s="175"/>
      <c r="H1807" s="201"/>
      <c r="I1807" s="201"/>
      <c r="J1807" s="217"/>
      <c r="K1807" s="217"/>
      <c r="L1807" s="185"/>
      <c r="M1807" s="185"/>
      <c r="N1807" s="185"/>
      <c r="O1807" s="185"/>
      <c r="P1807" s="185"/>
      <c r="Q1807" s="185"/>
      <c r="R1807" s="168"/>
      <c r="S1807" s="168"/>
      <c r="U1807" s="170"/>
      <c r="V1807" s="171"/>
      <c r="W1807" s="171"/>
      <c r="X1807" s="171"/>
      <c r="Y1807" s="185"/>
      <c r="Z1807" s="185"/>
    </row>
    <row r="1808" spans="4:26" x14ac:dyDescent="0.25">
      <c r="D1808" s="175"/>
      <c r="E1808" s="175"/>
      <c r="H1808" s="201"/>
      <c r="I1808" s="201"/>
      <c r="J1808" s="217"/>
      <c r="K1808" s="217"/>
      <c r="L1808" s="185"/>
      <c r="M1808" s="185"/>
      <c r="N1808" s="185"/>
      <c r="O1808" s="185"/>
      <c r="P1808" s="185"/>
      <c r="Q1808" s="185"/>
      <c r="R1808" s="168"/>
      <c r="S1808" s="168"/>
      <c r="U1808" s="170"/>
      <c r="V1808" s="171"/>
      <c r="W1808" s="171"/>
      <c r="X1808" s="171"/>
      <c r="Y1808" s="185"/>
      <c r="Z1808" s="185"/>
    </row>
    <row r="1809" spans="4:26" x14ac:dyDescent="0.25">
      <c r="D1809" s="175"/>
      <c r="E1809" s="175"/>
      <c r="H1809" s="201"/>
      <c r="I1809" s="201"/>
      <c r="J1809" s="217"/>
      <c r="K1809" s="217"/>
      <c r="L1809" s="185"/>
      <c r="M1809" s="185"/>
      <c r="N1809" s="185"/>
      <c r="O1809" s="185"/>
      <c r="P1809" s="185"/>
      <c r="Q1809" s="185"/>
      <c r="R1809" s="168"/>
      <c r="S1809" s="168"/>
      <c r="U1809" s="170"/>
      <c r="V1809" s="171"/>
      <c r="W1809" s="171"/>
      <c r="X1809" s="171"/>
      <c r="Y1809" s="185"/>
      <c r="Z1809" s="185"/>
    </row>
    <row r="1810" spans="4:26" x14ac:dyDescent="0.25">
      <c r="D1810" s="175"/>
      <c r="E1810" s="175"/>
      <c r="H1810" s="201"/>
      <c r="I1810" s="201"/>
      <c r="J1810" s="217"/>
      <c r="K1810" s="217"/>
      <c r="L1810" s="185"/>
      <c r="M1810" s="185"/>
      <c r="N1810" s="185"/>
      <c r="O1810" s="185"/>
      <c r="P1810" s="185"/>
      <c r="Q1810" s="185"/>
      <c r="R1810" s="168"/>
      <c r="S1810" s="168"/>
      <c r="U1810" s="170"/>
      <c r="V1810" s="171"/>
      <c r="W1810" s="171"/>
      <c r="X1810" s="171"/>
      <c r="Y1810" s="185"/>
      <c r="Z1810" s="185"/>
    </row>
    <row r="1811" spans="4:26" x14ac:dyDescent="0.25">
      <c r="D1811" s="175"/>
      <c r="E1811" s="175"/>
      <c r="H1811" s="201"/>
      <c r="I1811" s="201"/>
      <c r="J1811" s="217"/>
      <c r="K1811" s="217"/>
      <c r="L1811" s="185"/>
      <c r="M1811" s="185"/>
      <c r="N1811" s="185"/>
      <c r="O1811" s="185"/>
      <c r="P1811" s="185"/>
      <c r="Q1811" s="185"/>
      <c r="R1811" s="168"/>
      <c r="S1811" s="168"/>
      <c r="U1811" s="170"/>
      <c r="V1811" s="171"/>
      <c r="W1811" s="171"/>
      <c r="X1811" s="171"/>
      <c r="Y1811" s="185"/>
      <c r="Z1811" s="185"/>
    </row>
    <row r="1812" spans="4:26" x14ac:dyDescent="0.25">
      <c r="D1812" s="175"/>
      <c r="E1812" s="175"/>
      <c r="H1812" s="201"/>
      <c r="I1812" s="201"/>
      <c r="J1812" s="217"/>
      <c r="K1812" s="217"/>
      <c r="L1812" s="185"/>
      <c r="M1812" s="185"/>
      <c r="N1812" s="185"/>
      <c r="O1812" s="185"/>
      <c r="P1812" s="185"/>
      <c r="Q1812" s="185"/>
      <c r="R1812" s="168"/>
      <c r="S1812" s="168"/>
      <c r="U1812" s="170"/>
      <c r="V1812" s="171"/>
      <c r="W1812" s="171"/>
      <c r="X1812" s="171"/>
      <c r="Y1812" s="185"/>
      <c r="Z1812" s="185"/>
    </row>
    <row r="1813" spans="4:26" x14ac:dyDescent="0.25">
      <c r="D1813" s="175"/>
      <c r="E1813" s="175"/>
      <c r="H1813" s="201"/>
      <c r="I1813" s="201"/>
      <c r="J1813" s="217"/>
      <c r="K1813" s="217"/>
      <c r="L1813" s="185"/>
      <c r="M1813" s="185"/>
      <c r="N1813" s="185"/>
      <c r="O1813" s="185"/>
      <c r="P1813" s="185"/>
      <c r="Q1813" s="185"/>
      <c r="R1813" s="168"/>
      <c r="S1813" s="168"/>
      <c r="U1813" s="170"/>
      <c r="V1813" s="171"/>
      <c r="W1813" s="171"/>
      <c r="X1813" s="171"/>
      <c r="Y1813" s="185"/>
      <c r="Z1813" s="185"/>
    </row>
    <row r="1814" spans="4:26" x14ac:dyDescent="0.25">
      <c r="D1814" s="175"/>
      <c r="E1814" s="175"/>
      <c r="H1814" s="201"/>
      <c r="I1814" s="201"/>
      <c r="J1814" s="217"/>
      <c r="K1814" s="217"/>
      <c r="L1814" s="185"/>
      <c r="M1814" s="185"/>
      <c r="N1814" s="185"/>
      <c r="O1814" s="185"/>
      <c r="P1814" s="185"/>
      <c r="Q1814" s="185"/>
      <c r="R1814" s="168"/>
      <c r="S1814" s="168"/>
      <c r="U1814" s="170"/>
      <c r="V1814" s="171"/>
      <c r="W1814" s="171"/>
      <c r="X1814" s="171"/>
      <c r="Y1814" s="185"/>
      <c r="Z1814" s="185"/>
    </row>
    <row r="1815" spans="4:26" x14ac:dyDescent="0.25">
      <c r="D1815" s="175"/>
      <c r="E1815" s="175"/>
      <c r="H1815" s="201"/>
      <c r="I1815" s="201"/>
      <c r="J1815" s="217"/>
      <c r="K1815" s="217"/>
      <c r="L1815" s="185"/>
      <c r="M1815" s="185"/>
      <c r="N1815" s="185"/>
      <c r="O1815" s="185"/>
      <c r="P1815" s="185"/>
      <c r="Q1815" s="185"/>
      <c r="R1815" s="168"/>
      <c r="S1815" s="168"/>
      <c r="U1815" s="170"/>
      <c r="V1815" s="171"/>
      <c r="W1815" s="171"/>
      <c r="X1815" s="171"/>
      <c r="Y1815" s="185"/>
      <c r="Z1815" s="185"/>
    </row>
    <row r="1816" spans="4:26" x14ac:dyDescent="0.25">
      <c r="D1816" s="175"/>
      <c r="E1816" s="175"/>
      <c r="H1816" s="201"/>
      <c r="I1816" s="201"/>
      <c r="J1816" s="217"/>
      <c r="K1816" s="217"/>
      <c r="L1816" s="185"/>
      <c r="M1816" s="185"/>
      <c r="N1816" s="185"/>
      <c r="O1816" s="185"/>
      <c r="P1816" s="185"/>
      <c r="Q1816" s="185"/>
      <c r="R1816" s="168"/>
      <c r="S1816" s="168"/>
      <c r="U1816" s="170"/>
      <c r="V1816" s="171"/>
      <c r="W1816" s="171"/>
      <c r="X1816" s="171"/>
      <c r="Y1816" s="185"/>
      <c r="Z1816" s="185"/>
    </row>
    <row r="1817" spans="4:26" x14ac:dyDescent="0.25">
      <c r="D1817" s="175"/>
      <c r="E1817" s="175"/>
      <c r="H1817" s="201"/>
      <c r="I1817" s="201"/>
      <c r="J1817" s="217"/>
      <c r="K1817" s="217"/>
      <c r="L1817" s="185"/>
      <c r="M1817" s="185"/>
      <c r="N1817" s="185"/>
      <c r="O1817" s="185"/>
      <c r="P1817" s="185"/>
      <c r="Q1817" s="185"/>
      <c r="R1817" s="168"/>
      <c r="S1817" s="168"/>
      <c r="U1817" s="170"/>
      <c r="V1817" s="171"/>
      <c r="W1817" s="171"/>
      <c r="X1817" s="171"/>
      <c r="Y1817" s="185"/>
      <c r="Z1817" s="185"/>
    </row>
    <row r="1818" spans="4:26" x14ac:dyDescent="0.25">
      <c r="D1818" s="175"/>
      <c r="E1818" s="175"/>
      <c r="H1818" s="201"/>
      <c r="I1818" s="201"/>
      <c r="J1818" s="217"/>
      <c r="K1818" s="217"/>
      <c r="L1818" s="185"/>
      <c r="M1818" s="185"/>
      <c r="N1818" s="185"/>
      <c r="O1818" s="185"/>
      <c r="P1818" s="185"/>
      <c r="Q1818" s="185"/>
      <c r="R1818" s="168"/>
      <c r="S1818" s="168"/>
      <c r="U1818" s="170"/>
      <c r="V1818" s="171"/>
      <c r="W1818" s="171"/>
      <c r="X1818" s="171"/>
      <c r="Y1818" s="185"/>
      <c r="Z1818" s="185"/>
    </row>
    <row r="1819" spans="4:26" x14ac:dyDescent="0.25">
      <c r="D1819" s="175"/>
      <c r="E1819" s="175"/>
      <c r="H1819" s="201"/>
      <c r="I1819" s="201"/>
      <c r="J1819" s="217"/>
      <c r="K1819" s="217"/>
      <c r="L1819" s="185"/>
      <c r="M1819" s="185"/>
      <c r="N1819" s="185"/>
      <c r="O1819" s="185"/>
      <c r="P1819" s="185"/>
      <c r="Q1819" s="185"/>
      <c r="R1819" s="168"/>
      <c r="S1819" s="168"/>
      <c r="U1819" s="170"/>
      <c r="V1819" s="171"/>
      <c r="W1819" s="171"/>
      <c r="X1819" s="171"/>
      <c r="Y1819" s="185"/>
      <c r="Z1819" s="185"/>
    </row>
    <row r="1820" spans="4:26" x14ac:dyDescent="0.25">
      <c r="D1820" s="175"/>
      <c r="E1820" s="175"/>
      <c r="H1820" s="201"/>
      <c r="I1820" s="201"/>
      <c r="J1820" s="217"/>
      <c r="K1820" s="217"/>
      <c r="L1820" s="185"/>
      <c r="M1820" s="185"/>
      <c r="N1820" s="185"/>
      <c r="O1820" s="185"/>
      <c r="P1820" s="185"/>
      <c r="Q1820" s="185"/>
      <c r="R1820" s="168"/>
      <c r="S1820" s="168"/>
      <c r="U1820" s="170"/>
      <c r="V1820" s="171"/>
      <c r="W1820" s="171"/>
      <c r="X1820" s="171"/>
      <c r="Y1820" s="185"/>
      <c r="Z1820" s="185"/>
    </row>
    <row r="1821" spans="4:26" x14ac:dyDescent="0.25">
      <c r="D1821" s="175"/>
      <c r="E1821" s="175"/>
      <c r="H1821" s="201"/>
      <c r="I1821" s="201"/>
      <c r="J1821" s="217"/>
      <c r="K1821" s="217"/>
      <c r="L1821" s="185"/>
      <c r="M1821" s="185"/>
      <c r="N1821" s="185"/>
      <c r="O1821" s="185"/>
      <c r="P1821" s="185"/>
      <c r="Q1821" s="185"/>
      <c r="R1821" s="168"/>
      <c r="S1821" s="168"/>
      <c r="U1821" s="170"/>
      <c r="V1821" s="171"/>
      <c r="W1821" s="171"/>
      <c r="X1821" s="171"/>
      <c r="Y1821" s="185"/>
      <c r="Z1821" s="185"/>
    </row>
    <row r="1822" spans="4:26" x14ac:dyDescent="0.25">
      <c r="D1822" s="175"/>
      <c r="E1822" s="175"/>
      <c r="H1822" s="201"/>
      <c r="I1822" s="201"/>
      <c r="J1822" s="217"/>
      <c r="K1822" s="217"/>
      <c r="L1822" s="185"/>
      <c r="M1822" s="185"/>
      <c r="N1822" s="185"/>
      <c r="O1822" s="185"/>
      <c r="P1822" s="185"/>
      <c r="Q1822" s="185"/>
      <c r="R1822" s="168"/>
      <c r="S1822" s="168"/>
      <c r="U1822" s="170"/>
      <c r="V1822" s="171"/>
      <c r="W1822" s="171"/>
      <c r="X1822" s="171"/>
      <c r="Y1822" s="185"/>
      <c r="Z1822" s="185"/>
    </row>
    <row r="1823" spans="4:26" x14ac:dyDescent="0.25">
      <c r="D1823" s="175"/>
      <c r="E1823" s="175"/>
      <c r="H1823" s="201"/>
      <c r="I1823" s="201"/>
      <c r="J1823" s="217"/>
      <c r="K1823" s="217"/>
      <c r="L1823" s="185"/>
      <c r="M1823" s="185"/>
      <c r="N1823" s="185"/>
      <c r="O1823" s="185"/>
      <c r="P1823" s="185"/>
      <c r="Q1823" s="185"/>
      <c r="R1823" s="168"/>
      <c r="S1823" s="168"/>
      <c r="U1823" s="170"/>
      <c r="V1823" s="171"/>
      <c r="W1823" s="171"/>
      <c r="X1823" s="171"/>
      <c r="Y1823" s="185"/>
      <c r="Z1823" s="185"/>
    </row>
    <row r="1824" spans="4:26" x14ac:dyDescent="0.25">
      <c r="D1824" s="175"/>
      <c r="E1824" s="175"/>
      <c r="H1824" s="201"/>
      <c r="I1824" s="201"/>
      <c r="J1824" s="217"/>
      <c r="K1824" s="217"/>
      <c r="L1824" s="185"/>
      <c r="M1824" s="185"/>
      <c r="N1824" s="185"/>
      <c r="O1824" s="185"/>
      <c r="P1824" s="185"/>
      <c r="Q1824" s="185"/>
      <c r="R1824" s="168"/>
      <c r="S1824" s="168"/>
      <c r="U1824" s="170"/>
      <c r="V1824" s="171"/>
      <c r="W1824" s="171"/>
      <c r="X1824" s="171"/>
      <c r="Y1824" s="185"/>
      <c r="Z1824" s="185"/>
    </row>
    <row r="1825" spans="4:26" x14ac:dyDescent="0.25">
      <c r="D1825" s="175"/>
      <c r="E1825" s="175"/>
      <c r="H1825" s="201"/>
      <c r="I1825" s="201"/>
      <c r="J1825" s="217"/>
      <c r="K1825" s="217"/>
      <c r="L1825" s="185"/>
      <c r="M1825" s="185"/>
      <c r="N1825" s="185"/>
      <c r="O1825" s="185"/>
      <c r="P1825" s="185"/>
      <c r="Q1825" s="185"/>
      <c r="R1825" s="168"/>
      <c r="S1825" s="168"/>
      <c r="U1825" s="170"/>
      <c r="V1825" s="171"/>
      <c r="W1825" s="171"/>
      <c r="X1825" s="171"/>
      <c r="Y1825" s="185"/>
      <c r="Z1825" s="185"/>
    </row>
    <row r="1826" spans="4:26" x14ac:dyDescent="0.25">
      <c r="D1826" s="175"/>
      <c r="E1826" s="175"/>
      <c r="H1826" s="201"/>
      <c r="I1826" s="201"/>
      <c r="J1826" s="217"/>
      <c r="K1826" s="217"/>
      <c r="L1826" s="185"/>
      <c r="M1826" s="185"/>
      <c r="N1826" s="185"/>
      <c r="O1826" s="185"/>
      <c r="P1826" s="185"/>
      <c r="Q1826" s="185"/>
      <c r="R1826" s="168"/>
      <c r="S1826" s="168"/>
      <c r="U1826" s="170"/>
      <c r="V1826" s="171"/>
      <c r="W1826" s="171"/>
      <c r="X1826" s="171"/>
      <c r="Y1826" s="185"/>
      <c r="Z1826" s="185"/>
    </row>
    <row r="1827" spans="4:26" x14ac:dyDescent="0.25">
      <c r="D1827" s="175"/>
      <c r="E1827" s="175"/>
      <c r="H1827" s="201"/>
      <c r="I1827" s="201"/>
      <c r="J1827" s="217"/>
      <c r="K1827" s="217"/>
      <c r="L1827" s="185"/>
      <c r="M1827" s="185"/>
      <c r="N1827" s="185"/>
      <c r="O1827" s="185"/>
      <c r="P1827" s="185"/>
      <c r="Q1827" s="185"/>
      <c r="R1827" s="168"/>
      <c r="S1827" s="168"/>
      <c r="U1827" s="170"/>
      <c r="V1827" s="171"/>
      <c r="W1827" s="171"/>
      <c r="X1827" s="171"/>
      <c r="Y1827" s="185"/>
      <c r="Z1827" s="185"/>
    </row>
    <row r="1828" spans="4:26" x14ac:dyDescent="0.25">
      <c r="D1828" s="175"/>
      <c r="E1828" s="175"/>
      <c r="H1828" s="201"/>
      <c r="I1828" s="201"/>
      <c r="J1828" s="217"/>
      <c r="K1828" s="217"/>
      <c r="L1828" s="185"/>
      <c r="M1828" s="185"/>
      <c r="N1828" s="185"/>
      <c r="O1828" s="185"/>
      <c r="P1828" s="185"/>
      <c r="Q1828" s="185"/>
      <c r="R1828" s="168"/>
      <c r="S1828" s="168"/>
      <c r="U1828" s="170"/>
      <c r="V1828" s="171"/>
      <c r="W1828" s="171"/>
      <c r="X1828" s="171"/>
      <c r="Y1828" s="185"/>
      <c r="Z1828" s="185"/>
    </row>
    <row r="1829" spans="4:26" x14ac:dyDescent="0.25">
      <c r="D1829" s="175"/>
      <c r="E1829" s="175"/>
      <c r="H1829" s="201"/>
      <c r="I1829" s="201"/>
      <c r="J1829" s="217"/>
      <c r="K1829" s="217"/>
      <c r="L1829" s="185"/>
      <c r="M1829" s="185"/>
      <c r="N1829" s="185"/>
      <c r="O1829" s="185"/>
      <c r="P1829" s="185"/>
      <c r="Q1829" s="185"/>
      <c r="R1829" s="168"/>
      <c r="S1829" s="168"/>
      <c r="U1829" s="170"/>
      <c r="V1829" s="171"/>
      <c r="W1829" s="171"/>
      <c r="X1829" s="171"/>
      <c r="Y1829" s="185"/>
      <c r="Z1829" s="185"/>
    </row>
    <row r="1830" spans="4:26" x14ac:dyDescent="0.25">
      <c r="D1830" s="175"/>
      <c r="E1830" s="175"/>
      <c r="H1830" s="201"/>
      <c r="I1830" s="201"/>
      <c r="J1830" s="217"/>
      <c r="K1830" s="217"/>
      <c r="L1830" s="185"/>
      <c r="M1830" s="185"/>
      <c r="N1830" s="185"/>
      <c r="O1830" s="185"/>
      <c r="P1830" s="185"/>
      <c r="Q1830" s="185"/>
      <c r="R1830" s="168"/>
      <c r="S1830" s="168"/>
      <c r="U1830" s="170"/>
      <c r="V1830" s="171"/>
      <c r="W1830" s="171"/>
      <c r="X1830" s="171"/>
      <c r="Y1830" s="185"/>
      <c r="Z1830" s="185"/>
    </row>
    <row r="1831" spans="4:26" x14ac:dyDescent="0.25">
      <c r="D1831" s="175"/>
      <c r="E1831" s="175"/>
      <c r="H1831" s="201"/>
      <c r="I1831" s="201"/>
      <c r="J1831" s="217"/>
      <c r="K1831" s="217"/>
      <c r="L1831" s="185"/>
      <c r="M1831" s="185"/>
      <c r="N1831" s="185"/>
      <c r="O1831" s="185"/>
      <c r="P1831" s="185"/>
      <c r="Q1831" s="185"/>
      <c r="R1831" s="168"/>
      <c r="S1831" s="168"/>
      <c r="U1831" s="170"/>
      <c r="V1831" s="171"/>
      <c r="W1831" s="171"/>
      <c r="X1831" s="171"/>
      <c r="Y1831" s="185"/>
      <c r="Z1831" s="185"/>
    </row>
    <row r="1832" spans="4:26" x14ac:dyDescent="0.25">
      <c r="D1832" s="175"/>
      <c r="E1832" s="175"/>
      <c r="H1832" s="201"/>
      <c r="I1832" s="201"/>
      <c r="J1832" s="217"/>
      <c r="K1832" s="217"/>
      <c r="L1832" s="185"/>
      <c r="M1832" s="185"/>
      <c r="N1832" s="185"/>
      <c r="O1832" s="185"/>
      <c r="P1832" s="185"/>
      <c r="Q1832" s="185"/>
      <c r="R1832" s="168"/>
      <c r="S1832" s="168"/>
      <c r="U1832" s="170"/>
      <c r="V1832" s="171"/>
      <c r="W1832" s="171"/>
      <c r="X1832" s="171"/>
      <c r="Y1832" s="185"/>
      <c r="Z1832" s="185"/>
    </row>
    <row r="1833" spans="4:26" x14ac:dyDescent="0.25">
      <c r="D1833" s="175"/>
      <c r="E1833" s="175"/>
      <c r="H1833" s="201"/>
      <c r="I1833" s="201"/>
      <c r="J1833" s="217"/>
      <c r="K1833" s="217"/>
      <c r="L1833" s="185"/>
      <c r="M1833" s="185"/>
      <c r="N1833" s="185"/>
      <c r="O1833" s="185"/>
      <c r="P1833" s="185"/>
      <c r="Q1833" s="185"/>
      <c r="R1833" s="168"/>
      <c r="S1833" s="168"/>
      <c r="U1833" s="170"/>
      <c r="V1833" s="171"/>
      <c r="W1833" s="171"/>
      <c r="X1833" s="171"/>
      <c r="Y1833" s="185"/>
      <c r="Z1833" s="185"/>
    </row>
    <row r="1834" spans="4:26" x14ac:dyDescent="0.25">
      <c r="D1834" s="175"/>
      <c r="E1834" s="175"/>
      <c r="H1834" s="201"/>
      <c r="I1834" s="201"/>
      <c r="J1834" s="217"/>
      <c r="K1834" s="217"/>
      <c r="L1834" s="185"/>
      <c r="M1834" s="185"/>
      <c r="N1834" s="185"/>
      <c r="O1834" s="185"/>
      <c r="P1834" s="185"/>
      <c r="Q1834" s="185"/>
      <c r="R1834" s="168"/>
      <c r="S1834" s="168"/>
      <c r="U1834" s="170"/>
      <c r="V1834" s="171"/>
      <c r="W1834" s="171"/>
      <c r="X1834" s="171"/>
      <c r="Y1834" s="185"/>
      <c r="Z1834" s="185"/>
    </row>
    <row r="1835" spans="4:26" x14ac:dyDescent="0.25">
      <c r="D1835" s="175"/>
      <c r="E1835" s="175"/>
      <c r="H1835" s="201"/>
      <c r="I1835" s="201"/>
      <c r="J1835" s="217"/>
      <c r="K1835" s="217"/>
      <c r="L1835" s="185"/>
      <c r="M1835" s="185"/>
      <c r="N1835" s="185"/>
      <c r="O1835" s="185"/>
      <c r="P1835" s="185"/>
      <c r="Q1835" s="185"/>
      <c r="R1835" s="168"/>
      <c r="S1835" s="168"/>
      <c r="U1835" s="170"/>
      <c r="V1835" s="171"/>
      <c r="W1835" s="171"/>
      <c r="X1835" s="171"/>
      <c r="Y1835" s="185"/>
      <c r="Z1835" s="185"/>
    </row>
    <row r="1836" spans="4:26" x14ac:dyDescent="0.25">
      <c r="D1836" s="175"/>
      <c r="E1836" s="175"/>
      <c r="H1836" s="201"/>
      <c r="I1836" s="201"/>
      <c r="J1836" s="217"/>
      <c r="K1836" s="217"/>
      <c r="L1836" s="185"/>
      <c r="M1836" s="185"/>
      <c r="N1836" s="185"/>
      <c r="O1836" s="185"/>
      <c r="P1836" s="185"/>
      <c r="Q1836" s="185"/>
      <c r="R1836" s="168"/>
      <c r="S1836" s="168"/>
      <c r="U1836" s="170"/>
      <c r="V1836" s="171"/>
      <c r="W1836" s="171"/>
      <c r="X1836" s="171"/>
      <c r="Y1836" s="185"/>
      <c r="Z1836" s="185"/>
    </row>
    <row r="1837" spans="4:26" x14ac:dyDescent="0.25">
      <c r="D1837" s="175"/>
      <c r="E1837" s="175"/>
      <c r="H1837" s="201"/>
      <c r="I1837" s="201"/>
      <c r="J1837" s="217"/>
      <c r="K1837" s="217"/>
      <c r="L1837" s="185"/>
      <c r="M1837" s="185"/>
      <c r="N1837" s="185"/>
      <c r="O1837" s="185"/>
      <c r="P1837" s="185"/>
      <c r="Q1837" s="185"/>
      <c r="R1837" s="168"/>
      <c r="S1837" s="168"/>
      <c r="U1837" s="170"/>
      <c r="V1837" s="171"/>
      <c r="W1837" s="171"/>
      <c r="X1837" s="171"/>
      <c r="Y1837" s="185"/>
      <c r="Z1837" s="185"/>
    </row>
    <row r="1838" spans="4:26" x14ac:dyDescent="0.25">
      <c r="D1838" s="175"/>
      <c r="E1838" s="175"/>
      <c r="H1838" s="201"/>
      <c r="I1838" s="201"/>
      <c r="J1838" s="217"/>
      <c r="K1838" s="217"/>
      <c r="L1838" s="185"/>
      <c r="M1838" s="185"/>
      <c r="N1838" s="185"/>
      <c r="O1838" s="185"/>
      <c r="P1838" s="185"/>
      <c r="Q1838" s="185"/>
      <c r="R1838" s="168"/>
      <c r="S1838" s="168"/>
      <c r="U1838" s="170"/>
      <c r="V1838" s="171"/>
      <c r="W1838" s="171"/>
      <c r="X1838" s="171"/>
      <c r="Y1838" s="185"/>
      <c r="Z1838" s="185"/>
    </row>
    <row r="1839" spans="4:26" x14ac:dyDescent="0.25">
      <c r="D1839" s="175"/>
      <c r="E1839" s="175"/>
      <c r="H1839" s="201"/>
      <c r="I1839" s="201"/>
      <c r="J1839" s="217"/>
      <c r="K1839" s="217"/>
      <c r="L1839" s="185"/>
      <c r="M1839" s="185"/>
      <c r="N1839" s="185"/>
      <c r="O1839" s="185"/>
      <c r="P1839" s="185"/>
      <c r="Q1839" s="185"/>
      <c r="R1839" s="168"/>
      <c r="S1839" s="168"/>
      <c r="U1839" s="170"/>
      <c r="V1839" s="171"/>
      <c r="W1839" s="171"/>
      <c r="X1839" s="171"/>
      <c r="Y1839" s="185"/>
      <c r="Z1839" s="185"/>
    </row>
    <row r="1840" spans="4:26" x14ac:dyDescent="0.25">
      <c r="D1840" s="175"/>
      <c r="E1840" s="175"/>
      <c r="H1840" s="201"/>
      <c r="I1840" s="201"/>
      <c r="J1840" s="217"/>
      <c r="K1840" s="217"/>
      <c r="L1840" s="185"/>
      <c r="M1840" s="185"/>
      <c r="N1840" s="185"/>
      <c r="O1840" s="185"/>
      <c r="P1840" s="185"/>
      <c r="Q1840" s="185"/>
      <c r="R1840" s="168"/>
      <c r="S1840" s="168"/>
      <c r="U1840" s="170"/>
      <c r="V1840" s="171"/>
      <c r="W1840" s="171"/>
      <c r="X1840" s="171"/>
      <c r="Y1840" s="185"/>
      <c r="Z1840" s="185"/>
    </row>
    <row r="1841" spans="4:26" x14ac:dyDescent="0.25">
      <c r="D1841" s="175"/>
      <c r="E1841" s="175"/>
      <c r="H1841" s="201"/>
      <c r="I1841" s="201"/>
      <c r="J1841" s="217"/>
      <c r="K1841" s="217"/>
      <c r="L1841" s="185"/>
      <c r="M1841" s="185"/>
      <c r="N1841" s="185"/>
      <c r="O1841" s="185"/>
      <c r="P1841" s="185"/>
      <c r="Q1841" s="185"/>
      <c r="R1841" s="168"/>
      <c r="S1841" s="168"/>
      <c r="U1841" s="170"/>
      <c r="V1841" s="171"/>
      <c r="W1841" s="171"/>
      <c r="X1841" s="171"/>
      <c r="Y1841" s="185"/>
      <c r="Z1841" s="185"/>
    </row>
    <row r="1842" spans="4:26" x14ac:dyDescent="0.25">
      <c r="D1842" s="175"/>
      <c r="E1842" s="175"/>
      <c r="H1842" s="201"/>
      <c r="I1842" s="201"/>
      <c r="J1842" s="217"/>
      <c r="K1842" s="217"/>
      <c r="L1842" s="185"/>
      <c r="M1842" s="185"/>
      <c r="N1842" s="185"/>
      <c r="O1842" s="185"/>
      <c r="P1842" s="185"/>
      <c r="Q1842" s="185"/>
      <c r="R1842" s="168"/>
      <c r="S1842" s="168"/>
      <c r="U1842" s="170"/>
      <c r="V1842" s="171"/>
      <c r="W1842" s="171"/>
      <c r="X1842" s="171"/>
      <c r="Y1842" s="185"/>
      <c r="Z1842" s="185"/>
    </row>
    <row r="1843" spans="4:26" x14ac:dyDescent="0.25">
      <c r="D1843" s="175"/>
      <c r="E1843" s="175"/>
      <c r="H1843" s="201"/>
      <c r="I1843" s="201"/>
      <c r="J1843" s="217"/>
      <c r="K1843" s="217"/>
      <c r="L1843" s="185"/>
      <c r="M1843" s="185"/>
      <c r="N1843" s="185"/>
      <c r="O1843" s="185"/>
      <c r="P1843" s="185"/>
      <c r="Q1843" s="185"/>
      <c r="R1843" s="168"/>
      <c r="S1843" s="168"/>
      <c r="U1843" s="170"/>
      <c r="V1843" s="171"/>
      <c r="W1843" s="171"/>
      <c r="X1843" s="171"/>
      <c r="Y1843" s="185"/>
      <c r="Z1843" s="185"/>
    </row>
    <row r="1844" spans="4:26" x14ac:dyDescent="0.25">
      <c r="D1844" s="175"/>
      <c r="E1844" s="175"/>
      <c r="H1844" s="201"/>
      <c r="I1844" s="201"/>
      <c r="J1844" s="217"/>
      <c r="K1844" s="217"/>
      <c r="L1844" s="185"/>
      <c r="M1844" s="185"/>
      <c r="N1844" s="185"/>
      <c r="O1844" s="185"/>
      <c r="P1844" s="185"/>
      <c r="Q1844" s="185"/>
      <c r="R1844" s="168"/>
      <c r="S1844" s="168"/>
      <c r="U1844" s="170"/>
      <c r="V1844" s="171"/>
      <c r="W1844" s="171"/>
      <c r="X1844" s="171"/>
      <c r="Y1844" s="185"/>
      <c r="Z1844" s="185"/>
    </row>
    <row r="1845" spans="4:26" x14ac:dyDescent="0.25">
      <c r="D1845" s="175"/>
      <c r="E1845" s="175"/>
      <c r="H1845" s="201"/>
      <c r="I1845" s="201"/>
      <c r="J1845" s="217"/>
      <c r="K1845" s="217"/>
      <c r="L1845" s="185"/>
      <c r="M1845" s="185"/>
      <c r="N1845" s="185"/>
      <c r="O1845" s="185"/>
      <c r="P1845" s="185"/>
      <c r="Q1845" s="185"/>
      <c r="R1845" s="168"/>
      <c r="S1845" s="168"/>
      <c r="U1845" s="170"/>
      <c r="V1845" s="171"/>
      <c r="W1845" s="171"/>
      <c r="X1845" s="171"/>
      <c r="Y1845" s="185"/>
      <c r="Z1845" s="185"/>
    </row>
    <row r="1846" spans="4:26" x14ac:dyDescent="0.25">
      <c r="D1846" s="175"/>
      <c r="E1846" s="175"/>
      <c r="H1846" s="201"/>
      <c r="I1846" s="201"/>
      <c r="J1846" s="217"/>
      <c r="K1846" s="217"/>
      <c r="L1846" s="185"/>
      <c r="M1846" s="185"/>
      <c r="N1846" s="185"/>
      <c r="O1846" s="185"/>
      <c r="P1846" s="185"/>
      <c r="Q1846" s="185"/>
      <c r="R1846" s="168"/>
      <c r="S1846" s="168"/>
      <c r="U1846" s="170"/>
      <c r="V1846" s="171"/>
      <c r="W1846" s="171"/>
      <c r="X1846" s="171"/>
      <c r="Y1846" s="185"/>
      <c r="Z1846" s="185"/>
    </row>
    <row r="1847" spans="4:26" x14ac:dyDescent="0.25">
      <c r="D1847" s="175"/>
      <c r="E1847" s="175"/>
      <c r="H1847" s="201"/>
      <c r="I1847" s="201"/>
      <c r="J1847" s="217"/>
      <c r="K1847" s="217"/>
      <c r="L1847" s="185"/>
      <c r="M1847" s="185"/>
      <c r="N1847" s="185"/>
      <c r="O1847" s="185"/>
      <c r="P1847" s="185"/>
      <c r="Q1847" s="185"/>
      <c r="R1847" s="168"/>
      <c r="S1847" s="168"/>
      <c r="U1847" s="170"/>
      <c r="V1847" s="171"/>
      <c r="W1847" s="171"/>
      <c r="X1847" s="171"/>
      <c r="Y1847" s="185"/>
      <c r="Z1847" s="185"/>
    </row>
    <row r="1848" spans="4:26" x14ac:dyDescent="0.25">
      <c r="D1848" s="175"/>
      <c r="E1848" s="175"/>
      <c r="H1848" s="201"/>
      <c r="I1848" s="201"/>
      <c r="J1848" s="217"/>
      <c r="K1848" s="217"/>
      <c r="L1848" s="185"/>
      <c r="M1848" s="185"/>
      <c r="N1848" s="185"/>
      <c r="O1848" s="185"/>
      <c r="P1848" s="185"/>
      <c r="Q1848" s="185"/>
      <c r="R1848" s="168"/>
      <c r="S1848" s="168"/>
      <c r="U1848" s="170"/>
      <c r="V1848" s="171"/>
      <c r="W1848" s="171"/>
      <c r="X1848" s="171"/>
      <c r="Y1848" s="185"/>
      <c r="Z1848" s="185"/>
    </row>
    <row r="1849" spans="4:26" x14ac:dyDescent="0.25">
      <c r="D1849" s="175"/>
      <c r="E1849" s="175"/>
      <c r="H1849" s="201"/>
      <c r="I1849" s="201"/>
      <c r="J1849" s="217"/>
      <c r="K1849" s="217"/>
      <c r="L1849" s="185"/>
      <c r="M1849" s="185"/>
      <c r="N1849" s="185"/>
      <c r="O1849" s="185"/>
      <c r="P1849" s="185"/>
      <c r="Q1849" s="185"/>
      <c r="R1849" s="168"/>
      <c r="S1849" s="168"/>
      <c r="U1849" s="170"/>
      <c r="V1849" s="171"/>
      <c r="W1849" s="171"/>
      <c r="X1849" s="171"/>
      <c r="Y1849" s="185"/>
      <c r="Z1849" s="185"/>
    </row>
    <row r="1850" spans="4:26" x14ac:dyDescent="0.25">
      <c r="D1850" s="175"/>
      <c r="E1850" s="175"/>
      <c r="H1850" s="201"/>
      <c r="I1850" s="201"/>
      <c r="J1850" s="217"/>
      <c r="K1850" s="217"/>
      <c r="L1850" s="185"/>
      <c r="M1850" s="185"/>
      <c r="N1850" s="185"/>
      <c r="O1850" s="185"/>
      <c r="P1850" s="185"/>
      <c r="Q1850" s="185"/>
      <c r="R1850" s="168"/>
      <c r="S1850" s="168"/>
      <c r="U1850" s="170"/>
      <c r="V1850" s="171"/>
      <c r="W1850" s="171"/>
      <c r="X1850" s="171"/>
      <c r="Y1850" s="185"/>
      <c r="Z1850" s="185"/>
    </row>
    <row r="1851" spans="4:26" x14ac:dyDescent="0.25">
      <c r="D1851" s="175"/>
      <c r="E1851" s="175"/>
      <c r="H1851" s="201"/>
      <c r="I1851" s="201"/>
      <c r="J1851" s="217"/>
      <c r="K1851" s="217"/>
      <c r="L1851" s="185"/>
      <c r="M1851" s="185"/>
      <c r="N1851" s="185"/>
      <c r="O1851" s="185"/>
      <c r="P1851" s="185"/>
      <c r="Q1851" s="185"/>
      <c r="R1851" s="168"/>
      <c r="S1851" s="168"/>
      <c r="U1851" s="170"/>
      <c r="V1851" s="171"/>
      <c r="W1851" s="171"/>
      <c r="X1851" s="171"/>
      <c r="Y1851" s="185"/>
      <c r="Z1851" s="185"/>
    </row>
    <row r="1852" spans="4:26" x14ac:dyDescent="0.25">
      <c r="D1852" s="175"/>
      <c r="E1852" s="175"/>
      <c r="H1852" s="201"/>
      <c r="I1852" s="201"/>
      <c r="J1852" s="217"/>
      <c r="K1852" s="217"/>
      <c r="L1852" s="185"/>
      <c r="M1852" s="185"/>
      <c r="N1852" s="185"/>
      <c r="O1852" s="185"/>
      <c r="P1852" s="185"/>
      <c r="Q1852" s="185"/>
      <c r="R1852" s="168"/>
      <c r="S1852" s="168"/>
      <c r="U1852" s="170"/>
      <c r="V1852" s="171"/>
      <c r="W1852" s="171"/>
      <c r="X1852" s="171"/>
      <c r="Y1852" s="185"/>
      <c r="Z1852" s="185"/>
    </row>
    <row r="1853" spans="4:26" x14ac:dyDescent="0.25">
      <c r="D1853" s="175"/>
      <c r="E1853" s="175"/>
      <c r="H1853" s="201"/>
      <c r="I1853" s="201"/>
      <c r="J1853" s="217"/>
      <c r="K1853" s="217"/>
      <c r="L1853" s="185"/>
      <c r="M1853" s="185"/>
      <c r="N1853" s="185"/>
      <c r="O1853" s="185"/>
      <c r="P1853" s="185"/>
      <c r="Q1853" s="185"/>
      <c r="R1853" s="168"/>
      <c r="S1853" s="168"/>
      <c r="U1853" s="170"/>
      <c r="V1853" s="171"/>
      <c r="W1853" s="171"/>
      <c r="X1853" s="171"/>
      <c r="Y1853" s="185"/>
      <c r="Z1853" s="185"/>
    </row>
    <row r="1854" spans="4:26" x14ac:dyDescent="0.25">
      <c r="D1854" s="175"/>
      <c r="E1854" s="175"/>
      <c r="H1854" s="201"/>
      <c r="I1854" s="201"/>
      <c r="J1854" s="217"/>
      <c r="K1854" s="217"/>
      <c r="L1854" s="185"/>
      <c r="M1854" s="185"/>
      <c r="N1854" s="185"/>
      <c r="O1854" s="185"/>
      <c r="P1854" s="185"/>
      <c r="Q1854" s="185"/>
      <c r="R1854" s="168"/>
      <c r="S1854" s="168"/>
      <c r="U1854" s="170"/>
      <c r="V1854" s="171"/>
      <c r="W1854" s="171"/>
      <c r="X1854" s="171"/>
      <c r="Y1854" s="185"/>
      <c r="Z1854" s="185"/>
    </row>
    <row r="1855" spans="4:26" x14ac:dyDescent="0.25">
      <c r="D1855" s="175"/>
      <c r="E1855" s="175"/>
      <c r="H1855" s="201"/>
      <c r="I1855" s="201"/>
      <c r="J1855" s="217"/>
      <c r="K1855" s="217"/>
      <c r="L1855" s="185"/>
      <c r="M1855" s="185"/>
      <c r="N1855" s="185"/>
      <c r="O1855" s="185"/>
      <c r="P1855" s="185"/>
      <c r="Q1855" s="185"/>
      <c r="R1855" s="168"/>
      <c r="S1855" s="168"/>
      <c r="U1855" s="170"/>
      <c r="V1855" s="171"/>
      <c r="W1855" s="171"/>
      <c r="X1855" s="171"/>
      <c r="Y1855" s="185"/>
      <c r="Z1855" s="185"/>
    </row>
    <row r="1856" spans="4:26" x14ac:dyDescent="0.25">
      <c r="D1856" s="175"/>
      <c r="E1856" s="175"/>
      <c r="H1856" s="201"/>
      <c r="I1856" s="201"/>
      <c r="J1856" s="217"/>
      <c r="K1856" s="217"/>
      <c r="L1856" s="185"/>
      <c r="M1856" s="185"/>
      <c r="N1856" s="185"/>
      <c r="O1856" s="185"/>
      <c r="P1856" s="185"/>
      <c r="Q1856" s="185"/>
      <c r="R1856" s="168"/>
      <c r="S1856" s="168"/>
      <c r="U1856" s="170"/>
      <c r="V1856" s="171"/>
      <c r="W1856" s="171"/>
      <c r="X1856" s="171"/>
      <c r="Y1856" s="185"/>
      <c r="Z1856" s="185"/>
    </row>
    <row r="1857" spans="4:26" x14ac:dyDescent="0.25">
      <c r="D1857" s="175"/>
      <c r="E1857" s="175"/>
      <c r="H1857" s="201"/>
      <c r="I1857" s="201"/>
      <c r="J1857" s="217"/>
      <c r="K1857" s="217"/>
      <c r="L1857" s="185"/>
      <c r="M1857" s="185"/>
      <c r="N1857" s="185"/>
      <c r="O1857" s="185"/>
      <c r="P1857" s="185"/>
      <c r="Q1857" s="185"/>
      <c r="R1857" s="168"/>
      <c r="S1857" s="168"/>
      <c r="U1857" s="170"/>
      <c r="V1857" s="171"/>
      <c r="W1857" s="171"/>
      <c r="X1857" s="171"/>
      <c r="Y1857" s="185"/>
      <c r="Z1857" s="185"/>
    </row>
    <row r="1858" spans="4:26" x14ac:dyDescent="0.25">
      <c r="D1858" s="175"/>
      <c r="E1858" s="175"/>
      <c r="H1858" s="201"/>
      <c r="I1858" s="201"/>
      <c r="J1858" s="217"/>
      <c r="K1858" s="217"/>
      <c r="L1858" s="185"/>
      <c r="M1858" s="185"/>
      <c r="N1858" s="185"/>
      <c r="O1858" s="185"/>
      <c r="P1858" s="185"/>
      <c r="Q1858" s="185"/>
      <c r="R1858" s="168"/>
      <c r="S1858" s="168"/>
      <c r="U1858" s="170"/>
      <c r="V1858" s="171"/>
      <c r="W1858" s="171"/>
      <c r="X1858" s="171"/>
      <c r="Y1858" s="185"/>
      <c r="Z1858" s="185"/>
    </row>
    <row r="1859" spans="4:26" x14ac:dyDescent="0.25">
      <c r="D1859" s="175"/>
      <c r="E1859" s="175"/>
      <c r="H1859" s="201"/>
      <c r="I1859" s="201"/>
      <c r="J1859" s="217"/>
      <c r="K1859" s="217"/>
      <c r="L1859" s="185"/>
      <c r="M1859" s="185"/>
      <c r="N1859" s="185"/>
      <c r="O1859" s="185"/>
      <c r="P1859" s="185"/>
      <c r="Q1859" s="185"/>
      <c r="R1859" s="168"/>
      <c r="S1859" s="168"/>
      <c r="U1859" s="170"/>
      <c r="V1859" s="171"/>
      <c r="W1859" s="171"/>
      <c r="X1859" s="171"/>
      <c r="Y1859" s="185"/>
      <c r="Z1859" s="185"/>
    </row>
    <row r="1860" spans="4:26" x14ac:dyDescent="0.25">
      <c r="D1860" s="175"/>
      <c r="E1860" s="175"/>
      <c r="H1860" s="201"/>
      <c r="I1860" s="201"/>
      <c r="J1860" s="217"/>
      <c r="K1860" s="217"/>
      <c r="L1860" s="185"/>
      <c r="M1860" s="185"/>
      <c r="N1860" s="185"/>
      <c r="O1860" s="185"/>
      <c r="P1860" s="185"/>
      <c r="Q1860" s="185"/>
      <c r="R1860" s="168"/>
      <c r="S1860" s="168"/>
      <c r="U1860" s="170"/>
      <c r="V1860" s="171"/>
      <c r="W1860" s="171"/>
      <c r="X1860" s="171"/>
      <c r="Y1860" s="185"/>
      <c r="Z1860" s="185"/>
    </row>
    <row r="1861" spans="4:26" x14ac:dyDescent="0.25">
      <c r="D1861" s="175"/>
      <c r="E1861" s="175"/>
      <c r="H1861" s="201"/>
      <c r="I1861" s="201"/>
      <c r="J1861" s="217"/>
      <c r="K1861" s="217"/>
      <c r="L1861" s="185"/>
      <c r="M1861" s="185"/>
      <c r="N1861" s="185"/>
      <c r="O1861" s="185"/>
      <c r="P1861" s="185"/>
      <c r="Q1861" s="185"/>
      <c r="R1861" s="168"/>
      <c r="S1861" s="168"/>
      <c r="U1861" s="170"/>
      <c r="V1861" s="171"/>
      <c r="W1861" s="171"/>
      <c r="X1861" s="171"/>
      <c r="Y1861" s="185"/>
      <c r="Z1861" s="185"/>
    </row>
    <row r="1862" spans="4:26" x14ac:dyDescent="0.25">
      <c r="D1862" s="175"/>
      <c r="E1862" s="175"/>
      <c r="H1862" s="201"/>
      <c r="I1862" s="201"/>
      <c r="J1862" s="217"/>
      <c r="K1862" s="217"/>
      <c r="L1862" s="185"/>
      <c r="M1862" s="185"/>
      <c r="N1862" s="185"/>
      <c r="O1862" s="185"/>
      <c r="P1862" s="185"/>
      <c r="Q1862" s="185"/>
      <c r="R1862" s="168"/>
      <c r="S1862" s="168"/>
      <c r="U1862" s="170"/>
      <c r="V1862" s="171"/>
      <c r="W1862" s="171"/>
      <c r="X1862" s="171"/>
      <c r="Y1862" s="185"/>
      <c r="Z1862" s="185"/>
    </row>
    <row r="1863" spans="4:26" x14ac:dyDescent="0.25">
      <c r="D1863" s="175"/>
      <c r="E1863" s="175"/>
      <c r="H1863" s="201"/>
      <c r="I1863" s="201"/>
      <c r="J1863" s="217"/>
      <c r="K1863" s="217"/>
      <c r="L1863" s="185"/>
      <c r="M1863" s="185"/>
      <c r="N1863" s="185"/>
      <c r="O1863" s="185"/>
      <c r="P1863" s="185"/>
      <c r="Q1863" s="185"/>
      <c r="R1863" s="168"/>
      <c r="S1863" s="168"/>
      <c r="U1863" s="170"/>
      <c r="V1863" s="171"/>
      <c r="W1863" s="171"/>
      <c r="X1863" s="171"/>
      <c r="Y1863" s="185"/>
      <c r="Z1863" s="185"/>
    </row>
    <row r="1864" spans="4:26" x14ac:dyDescent="0.25">
      <c r="D1864" s="175"/>
      <c r="E1864" s="175"/>
      <c r="H1864" s="201"/>
      <c r="I1864" s="201"/>
      <c r="J1864" s="217"/>
      <c r="K1864" s="217"/>
      <c r="L1864" s="185"/>
      <c r="M1864" s="185"/>
      <c r="N1864" s="185"/>
      <c r="O1864" s="185"/>
      <c r="P1864" s="185"/>
      <c r="Q1864" s="185"/>
      <c r="R1864" s="168"/>
      <c r="S1864" s="168"/>
      <c r="U1864" s="170"/>
      <c r="V1864" s="171"/>
      <c r="W1864" s="171"/>
      <c r="X1864" s="171"/>
      <c r="Y1864" s="185"/>
      <c r="Z1864" s="185"/>
    </row>
    <row r="1865" spans="4:26" x14ac:dyDescent="0.25">
      <c r="D1865" s="175"/>
      <c r="E1865" s="175"/>
      <c r="H1865" s="201"/>
      <c r="I1865" s="201"/>
      <c r="J1865" s="217"/>
      <c r="K1865" s="217"/>
      <c r="L1865" s="185"/>
      <c r="M1865" s="185"/>
      <c r="N1865" s="185"/>
      <c r="O1865" s="185"/>
      <c r="P1865" s="185"/>
      <c r="Q1865" s="185"/>
      <c r="R1865" s="168"/>
      <c r="S1865" s="168"/>
      <c r="U1865" s="170"/>
      <c r="V1865" s="171"/>
      <c r="W1865" s="171"/>
      <c r="X1865" s="171"/>
      <c r="Y1865" s="185"/>
      <c r="Z1865" s="185"/>
    </row>
    <row r="1866" spans="4:26" x14ac:dyDescent="0.25">
      <c r="D1866" s="175"/>
      <c r="E1866" s="175"/>
      <c r="H1866" s="201"/>
      <c r="I1866" s="201"/>
      <c r="J1866" s="217"/>
      <c r="K1866" s="217"/>
      <c r="L1866" s="185"/>
      <c r="M1866" s="185"/>
      <c r="N1866" s="185"/>
      <c r="O1866" s="185"/>
      <c r="P1866" s="185"/>
      <c r="Q1866" s="185"/>
      <c r="R1866" s="168"/>
      <c r="S1866" s="168"/>
      <c r="U1866" s="170"/>
      <c r="V1866" s="171"/>
      <c r="W1866" s="171"/>
      <c r="X1866" s="171"/>
      <c r="Y1866" s="185"/>
      <c r="Z1866" s="185"/>
    </row>
    <row r="1867" spans="4:26" x14ac:dyDescent="0.25">
      <c r="D1867" s="175"/>
      <c r="E1867" s="175"/>
      <c r="H1867" s="201"/>
      <c r="I1867" s="201"/>
      <c r="J1867" s="217"/>
      <c r="K1867" s="217"/>
      <c r="L1867" s="185"/>
      <c r="M1867" s="185"/>
      <c r="N1867" s="185"/>
      <c r="O1867" s="185"/>
      <c r="P1867" s="185"/>
      <c r="Q1867" s="185"/>
      <c r="R1867" s="168"/>
      <c r="S1867" s="168"/>
      <c r="U1867" s="170"/>
      <c r="V1867" s="171"/>
      <c r="W1867" s="171"/>
      <c r="X1867" s="171"/>
      <c r="Y1867" s="185"/>
      <c r="Z1867" s="185"/>
    </row>
    <row r="1868" spans="4:26" x14ac:dyDescent="0.25">
      <c r="D1868" s="175"/>
      <c r="E1868" s="175"/>
      <c r="H1868" s="201"/>
      <c r="I1868" s="201"/>
      <c r="J1868" s="217"/>
      <c r="K1868" s="217"/>
      <c r="L1868" s="185"/>
      <c r="M1868" s="185"/>
      <c r="N1868" s="185"/>
      <c r="O1868" s="185"/>
      <c r="P1868" s="185"/>
      <c r="Q1868" s="185"/>
      <c r="R1868" s="168"/>
      <c r="S1868" s="168"/>
      <c r="U1868" s="170"/>
      <c r="V1868" s="171"/>
      <c r="W1868" s="171"/>
      <c r="X1868" s="171"/>
      <c r="Y1868" s="185"/>
      <c r="Z1868" s="185"/>
    </row>
    <row r="1869" spans="4:26" x14ac:dyDescent="0.25">
      <c r="D1869" s="175"/>
      <c r="E1869" s="175"/>
      <c r="H1869" s="201"/>
      <c r="I1869" s="201"/>
      <c r="J1869" s="217"/>
      <c r="K1869" s="217"/>
      <c r="L1869" s="185"/>
      <c r="M1869" s="185"/>
      <c r="N1869" s="185"/>
      <c r="O1869" s="185"/>
      <c r="P1869" s="185"/>
      <c r="Q1869" s="185"/>
      <c r="R1869" s="168"/>
      <c r="S1869" s="168"/>
      <c r="U1869" s="170"/>
      <c r="V1869" s="171"/>
      <c r="W1869" s="171"/>
      <c r="X1869" s="171"/>
      <c r="Y1869" s="185"/>
      <c r="Z1869" s="185"/>
    </row>
    <row r="1870" spans="4:26" x14ac:dyDescent="0.25">
      <c r="D1870" s="175"/>
      <c r="E1870" s="175"/>
      <c r="H1870" s="201"/>
      <c r="I1870" s="201"/>
      <c r="J1870" s="217"/>
      <c r="K1870" s="217"/>
      <c r="L1870" s="185"/>
      <c r="M1870" s="185"/>
      <c r="N1870" s="185"/>
      <c r="O1870" s="185"/>
      <c r="P1870" s="185"/>
      <c r="Q1870" s="185"/>
      <c r="R1870" s="168"/>
      <c r="S1870" s="168"/>
      <c r="U1870" s="170"/>
      <c r="V1870" s="171"/>
      <c r="W1870" s="171"/>
      <c r="X1870" s="171"/>
      <c r="Y1870" s="185"/>
      <c r="Z1870" s="185"/>
    </row>
    <row r="1871" spans="4:26" x14ac:dyDescent="0.25">
      <c r="D1871" s="175"/>
      <c r="E1871" s="175"/>
      <c r="H1871" s="201"/>
      <c r="I1871" s="201"/>
      <c r="J1871" s="217"/>
      <c r="K1871" s="217"/>
      <c r="L1871" s="185"/>
      <c r="M1871" s="185"/>
      <c r="N1871" s="185"/>
      <c r="O1871" s="185"/>
      <c r="P1871" s="185"/>
      <c r="Q1871" s="185"/>
      <c r="R1871" s="168"/>
      <c r="S1871" s="168"/>
      <c r="U1871" s="170"/>
      <c r="V1871" s="171"/>
      <c r="W1871" s="171"/>
      <c r="X1871" s="171"/>
      <c r="Y1871" s="185"/>
      <c r="Z1871" s="185"/>
    </row>
    <row r="1872" spans="4:26" x14ac:dyDescent="0.25">
      <c r="D1872" s="175"/>
      <c r="E1872" s="175"/>
      <c r="H1872" s="201"/>
      <c r="I1872" s="201"/>
      <c r="J1872" s="217"/>
      <c r="K1872" s="217"/>
      <c r="L1872" s="185"/>
      <c r="M1872" s="185"/>
      <c r="N1872" s="185"/>
      <c r="O1872" s="185"/>
      <c r="P1872" s="185"/>
      <c r="Q1872" s="185"/>
      <c r="R1872" s="168"/>
      <c r="S1872" s="168"/>
      <c r="U1872" s="170"/>
      <c r="V1872" s="171"/>
      <c r="W1872" s="171"/>
      <c r="X1872" s="171"/>
      <c r="Y1872" s="185"/>
      <c r="Z1872" s="185"/>
    </row>
    <row r="1873" spans="4:26" x14ac:dyDescent="0.25">
      <c r="D1873" s="175"/>
      <c r="E1873" s="175"/>
      <c r="H1873" s="201"/>
      <c r="I1873" s="201"/>
      <c r="J1873" s="217"/>
      <c r="K1873" s="217"/>
      <c r="L1873" s="185"/>
      <c r="M1873" s="185"/>
      <c r="N1873" s="185"/>
      <c r="O1873" s="185"/>
      <c r="P1873" s="185"/>
      <c r="Q1873" s="185"/>
      <c r="R1873" s="168"/>
      <c r="S1873" s="168"/>
      <c r="U1873" s="170"/>
      <c r="V1873" s="171"/>
      <c r="W1873" s="171"/>
      <c r="X1873" s="171"/>
      <c r="Y1873" s="185"/>
      <c r="Z1873" s="185"/>
    </row>
    <row r="1874" spans="4:26" x14ac:dyDescent="0.25">
      <c r="D1874" s="175"/>
      <c r="E1874" s="175"/>
      <c r="H1874" s="201"/>
      <c r="I1874" s="201"/>
      <c r="J1874" s="217"/>
      <c r="K1874" s="217"/>
      <c r="L1874" s="185"/>
      <c r="M1874" s="185"/>
      <c r="N1874" s="185"/>
      <c r="O1874" s="185"/>
      <c r="P1874" s="185"/>
      <c r="Q1874" s="185"/>
      <c r="R1874" s="168"/>
      <c r="S1874" s="168"/>
      <c r="U1874" s="170"/>
      <c r="V1874" s="171"/>
      <c r="W1874" s="171"/>
      <c r="X1874" s="171"/>
      <c r="Y1874" s="185"/>
      <c r="Z1874" s="185"/>
    </row>
    <row r="1875" spans="4:26" x14ac:dyDescent="0.25">
      <c r="D1875" s="175"/>
      <c r="E1875" s="175"/>
      <c r="H1875" s="201"/>
      <c r="I1875" s="201"/>
      <c r="J1875" s="217"/>
      <c r="K1875" s="217"/>
      <c r="L1875" s="185"/>
      <c r="M1875" s="185"/>
      <c r="N1875" s="185"/>
      <c r="O1875" s="185"/>
      <c r="P1875" s="185"/>
      <c r="Q1875" s="185"/>
      <c r="R1875" s="168"/>
      <c r="S1875" s="168"/>
      <c r="U1875" s="170"/>
      <c r="V1875" s="171"/>
      <c r="W1875" s="171"/>
      <c r="X1875" s="171"/>
      <c r="Y1875" s="185"/>
      <c r="Z1875" s="185"/>
    </row>
    <row r="1876" spans="4:26" x14ac:dyDescent="0.25">
      <c r="D1876" s="175"/>
      <c r="E1876" s="175"/>
      <c r="H1876" s="201"/>
      <c r="I1876" s="201"/>
      <c r="J1876" s="217"/>
      <c r="K1876" s="217"/>
      <c r="L1876" s="185"/>
      <c r="M1876" s="185"/>
      <c r="N1876" s="185"/>
      <c r="O1876" s="185"/>
      <c r="P1876" s="185"/>
      <c r="Q1876" s="185"/>
      <c r="R1876" s="168"/>
      <c r="S1876" s="168"/>
      <c r="U1876" s="170"/>
      <c r="V1876" s="171"/>
      <c r="W1876" s="171"/>
      <c r="X1876" s="171"/>
      <c r="Y1876" s="185"/>
      <c r="Z1876" s="185"/>
    </row>
    <row r="1877" spans="4:26" x14ac:dyDescent="0.25">
      <c r="D1877" s="175"/>
      <c r="E1877" s="175"/>
      <c r="H1877" s="201"/>
      <c r="I1877" s="201"/>
      <c r="J1877" s="217"/>
      <c r="K1877" s="217"/>
      <c r="L1877" s="185"/>
      <c r="M1877" s="185"/>
      <c r="N1877" s="185"/>
      <c r="O1877" s="185"/>
      <c r="P1877" s="185"/>
      <c r="Q1877" s="185"/>
      <c r="R1877" s="168"/>
      <c r="S1877" s="168"/>
      <c r="U1877" s="170"/>
      <c r="V1877" s="171"/>
      <c r="W1877" s="171"/>
      <c r="X1877" s="171"/>
      <c r="Y1877" s="185"/>
      <c r="Z1877" s="185"/>
    </row>
    <row r="1878" spans="4:26" x14ac:dyDescent="0.25">
      <c r="D1878" s="175"/>
      <c r="E1878" s="175"/>
      <c r="H1878" s="201"/>
      <c r="I1878" s="201"/>
      <c r="J1878" s="217"/>
      <c r="K1878" s="217"/>
      <c r="L1878" s="185"/>
      <c r="M1878" s="185"/>
      <c r="N1878" s="185"/>
      <c r="O1878" s="185"/>
      <c r="P1878" s="185"/>
      <c r="Q1878" s="185"/>
      <c r="R1878" s="168"/>
      <c r="S1878" s="168"/>
      <c r="U1878" s="170"/>
      <c r="V1878" s="171"/>
      <c r="W1878" s="171"/>
      <c r="X1878" s="171"/>
      <c r="Y1878" s="185"/>
      <c r="Z1878" s="185"/>
    </row>
    <row r="1879" spans="4:26" x14ac:dyDescent="0.25">
      <c r="D1879" s="175"/>
      <c r="E1879" s="175"/>
      <c r="H1879" s="201"/>
      <c r="I1879" s="201"/>
      <c r="J1879" s="217"/>
      <c r="K1879" s="217"/>
      <c r="L1879" s="185"/>
      <c r="M1879" s="185"/>
      <c r="N1879" s="185"/>
      <c r="O1879" s="185"/>
      <c r="P1879" s="185"/>
      <c r="Q1879" s="185"/>
      <c r="R1879" s="168"/>
      <c r="S1879" s="168"/>
      <c r="U1879" s="170"/>
      <c r="V1879" s="171"/>
      <c r="W1879" s="171"/>
      <c r="X1879" s="171"/>
      <c r="Y1879" s="185"/>
      <c r="Z1879" s="185"/>
    </row>
    <row r="1880" spans="4:26" x14ac:dyDescent="0.25">
      <c r="D1880" s="175"/>
      <c r="E1880" s="175"/>
      <c r="H1880" s="201"/>
      <c r="I1880" s="201"/>
      <c r="J1880" s="217"/>
      <c r="K1880" s="217"/>
      <c r="L1880" s="185"/>
      <c r="M1880" s="185"/>
      <c r="N1880" s="185"/>
      <c r="O1880" s="185"/>
      <c r="P1880" s="185"/>
      <c r="Q1880" s="185"/>
      <c r="R1880" s="168"/>
      <c r="S1880" s="168"/>
      <c r="U1880" s="170"/>
      <c r="V1880" s="171"/>
      <c r="W1880" s="171"/>
      <c r="X1880" s="171"/>
      <c r="Y1880" s="185"/>
      <c r="Z1880" s="185"/>
    </row>
    <row r="1881" spans="4:26" x14ac:dyDescent="0.25">
      <c r="D1881" s="175"/>
      <c r="E1881" s="175"/>
      <c r="H1881" s="201"/>
      <c r="I1881" s="201"/>
      <c r="J1881" s="217"/>
      <c r="K1881" s="217"/>
      <c r="L1881" s="185"/>
      <c r="M1881" s="185"/>
      <c r="N1881" s="185"/>
      <c r="O1881" s="185"/>
      <c r="P1881" s="185"/>
      <c r="Q1881" s="185"/>
      <c r="R1881" s="168"/>
      <c r="S1881" s="168"/>
      <c r="U1881" s="170"/>
      <c r="V1881" s="171"/>
      <c r="W1881" s="171"/>
      <c r="X1881" s="171"/>
      <c r="Y1881" s="185"/>
      <c r="Z1881" s="185"/>
    </row>
    <row r="1882" spans="4:26" x14ac:dyDescent="0.25">
      <c r="D1882" s="175"/>
      <c r="E1882" s="175"/>
      <c r="H1882" s="201"/>
      <c r="I1882" s="201"/>
      <c r="J1882" s="217"/>
      <c r="K1882" s="217"/>
      <c r="L1882" s="185"/>
      <c r="M1882" s="185"/>
      <c r="N1882" s="185"/>
      <c r="O1882" s="185"/>
      <c r="P1882" s="185"/>
      <c r="Q1882" s="185"/>
      <c r="R1882" s="168"/>
      <c r="S1882" s="168"/>
      <c r="U1882" s="170"/>
      <c r="V1882" s="171"/>
      <c r="W1882" s="171"/>
      <c r="X1882" s="171"/>
      <c r="Y1882" s="185"/>
      <c r="Z1882" s="185"/>
    </row>
    <row r="1883" spans="4:26" x14ac:dyDescent="0.25">
      <c r="D1883" s="175"/>
      <c r="E1883" s="175"/>
      <c r="H1883" s="201"/>
      <c r="I1883" s="201"/>
      <c r="J1883" s="217"/>
      <c r="K1883" s="217"/>
      <c r="L1883" s="185"/>
      <c r="M1883" s="185"/>
      <c r="N1883" s="185"/>
      <c r="O1883" s="185"/>
      <c r="P1883" s="185"/>
      <c r="Q1883" s="185"/>
      <c r="R1883" s="168"/>
      <c r="S1883" s="168"/>
      <c r="U1883" s="170"/>
      <c r="V1883" s="171"/>
      <c r="W1883" s="171"/>
      <c r="X1883" s="171"/>
      <c r="Y1883" s="185"/>
      <c r="Z1883" s="185"/>
    </row>
    <row r="1884" spans="4:26" x14ac:dyDescent="0.25">
      <c r="D1884" s="175"/>
      <c r="E1884" s="175"/>
      <c r="H1884" s="201"/>
      <c r="I1884" s="201"/>
      <c r="J1884" s="217"/>
      <c r="K1884" s="217"/>
      <c r="L1884" s="185"/>
      <c r="M1884" s="185"/>
      <c r="N1884" s="185"/>
      <c r="O1884" s="185"/>
      <c r="P1884" s="185"/>
      <c r="Q1884" s="185"/>
      <c r="R1884" s="168"/>
      <c r="S1884" s="168"/>
      <c r="U1884" s="170"/>
      <c r="V1884" s="171"/>
      <c r="W1884" s="171"/>
      <c r="X1884" s="171"/>
      <c r="Y1884" s="185"/>
      <c r="Z1884" s="185"/>
    </row>
    <row r="1885" spans="4:26" x14ac:dyDescent="0.25">
      <c r="D1885" s="175"/>
      <c r="E1885" s="175"/>
      <c r="H1885" s="201"/>
      <c r="I1885" s="201"/>
      <c r="J1885" s="217"/>
      <c r="K1885" s="217"/>
      <c r="L1885" s="185"/>
      <c r="M1885" s="185"/>
      <c r="N1885" s="185"/>
      <c r="O1885" s="185"/>
      <c r="P1885" s="185"/>
      <c r="Q1885" s="185"/>
      <c r="R1885" s="168"/>
      <c r="S1885" s="168"/>
      <c r="U1885" s="170"/>
      <c r="V1885" s="171"/>
      <c r="W1885" s="171"/>
      <c r="X1885" s="171"/>
      <c r="Y1885" s="185"/>
      <c r="Z1885" s="185"/>
    </row>
    <row r="1886" spans="4:26" x14ac:dyDescent="0.25">
      <c r="D1886" s="175"/>
      <c r="E1886" s="175"/>
      <c r="H1886" s="201"/>
      <c r="I1886" s="201"/>
      <c r="J1886" s="217"/>
      <c r="K1886" s="217"/>
      <c r="L1886" s="185"/>
      <c r="M1886" s="185"/>
      <c r="N1886" s="185"/>
      <c r="O1886" s="185"/>
      <c r="P1886" s="185"/>
      <c r="Q1886" s="185"/>
      <c r="R1886" s="168"/>
      <c r="S1886" s="168"/>
      <c r="U1886" s="170"/>
      <c r="V1886" s="171"/>
      <c r="W1886" s="171"/>
      <c r="X1886" s="171"/>
      <c r="Y1886" s="185"/>
      <c r="Z1886" s="185"/>
    </row>
    <row r="1887" spans="4:26" x14ac:dyDescent="0.25">
      <c r="D1887" s="175"/>
      <c r="E1887" s="175"/>
      <c r="H1887" s="201"/>
      <c r="I1887" s="201"/>
      <c r="J1887" s="217"/>
      <c r="K1887" s="217"/>
      <c r="L1887" s="185"/>
      <c r="M1887" s="185"/>
      <c r="N1887" s="185"/>
      <c r="O1887" s="185"/>
      <c r="P1887" s="185"/>
      <c r="Q1887" s="185"/>
      <c r="R1887" s="168"/>
      <c r="S1887" s="168"/>
      <c r="U1887" s="170"/>
      <c r="V1887" s="171"/>
      <c r="W1887" s="171"/>
      <c r="X1887" s="171"/>
      <c r="Y1887" s="185"/>
      <c r="Z1887" s="185"/>
    </row>
    <row r="1888" spans="4:26" x14ac:dyDescent="0.25">
      <c r="D1888" s="175"/>
      <c r="E1888" s="175"/>
      <c r="H1888" s="201"/>
      <c r="I1888" s="201"/>
      <c r="J1888" s="217"/>
      <c r="K1888" s="217"/>
      <c r="L1888" s="185"/>
      <c r="M1888" s="185"/>
      <c r="N1888" s="185"/>
      <c r="O1888" s="185"/>
      <c r="P1888" s="185"/>
      <c r="Q1888" s="185"/>
      <c r="R1888" s="168"/>
      <c r="S1888" s="168"/>
      <c r="U1888" s="170"/>
      <c r="V1888" s="171"/>
      <c r="W1888" s="171"/>
      <c r="X1888" s="171"/>
      <c r="Y1888" s="185"/>
      <c r="Z1888" s="185"/>
    </row>
    <row r="1889" spans="4:26" x14ac:dyDescent="0.25">
      <c r="D1889" s="175"/>
      <c r="E1889" s="175"/>
      <c r="H1889" s="201"/>
      <c r="I1889" s="201"/>
      <c r="J1889" s="217"/>
      <c r="K1889" s="217"/>
      <c r="L1889" s="185"/>
      <c r="M1889" s="185"/>
      <c r="N1889" s="185"/>
      <c r="O1889" s="185"/>
      <c r="P1889" s="185"/>
      <c r="Q1889" s="185"/>
      <c r="R1889" s="168"/>
      <c r="S1889" s="168"/>
      <c r="U1889" s="170"/>
      <c r="V1889" s="171"/>
      <c r="W1889" s="171"/>
      <c r="X1889" s="171"/>
      <c r="Y1889" s="185"/>
      <c r="Z1889" s="185"/>
    </row>
    <row r="1890" spans="4:26" x14ac:dyDescent="0.25">
      <c r="D1890" s="175"/>
      <c r="E1890" s="175"/>
      <c r="H1890" s="201"/>
      <c r="I1890" s="201"/>
      <c r="J1890" s="217"/>
      <c r="K1890" s="217"/>
      <c r="L1890" s="185"/>
      <c r="M1890" s="185"/>
      <c r="N1890" s="185"/>
      <c r="O1890" s="185"/>
      <c r="P1890" s="185"/>
      <c r="Q1890" s="185"/>
      <c r="R1890" s="168"/>
      <c r="S1890" s="168"/>
      <c r="U1890" s="170"/>
      <c r="V1890" s="171"/>
      <c r="W1890" s="171"/>
      <c r="X1890" s="171"/>
      <c r="Y1890" s="185"/>
      <c r="Z1890" s="185"/>
    </row>
    <row r="1891" spans="4:26" x14ac:dyDescent="0.25">
      <c r="D1891" s="175"/>
      <c r="E1891" s="175"/>
      <c r="H1891" s="201"/>
      <c r="I1891" s="201"/>
      <c r="J1891" s="217"/>
      <c r="K1891" s="217"/>
      <c r="L1891" s="185"/>
      <c r="M1891" s="185"/>
      <c r="N1891" s="185"/>
      <c r="O1891" s="185"/>
      <c r="P1891" s="185"/>
      <c r="Q1891" s="185"/>
      <c r="R1891" s="168"/>
      <c r="S1891" s="168"/>
      <c r="U1891" s="170"/>
      <c r="V1891" s="171"/>
      <c r="W1891" s="171"/>
      <c r="X1891" s="171"/>
      <c r="Y1891" s="185"/>
      <c r="Z1891" s="185"/>
    </row>
    <row r="1892" spans="4:26" x14ac:dyDescent="0.25">
      <c r="D1892" s="175"/>
      <c r="E1892" s="175"/>
      <c r="H1892" s="201"/>
      <c r="I1892" s="201"/>
      <c r="J1892" s="217"/>
      <c r="K1892" s="217"/>
      <c r="L1892" s="185"/>
      <c r="M1892" s="185"/>
      <c r="N1892" s="185"/>
      <c r="O1892" s="185"/>
      <c r="P1892" s="185"/>
      <c r="Q1892" s="185"/>
      <c r="R1892" s="168"/>
      <c r="S1892" s="168"/>
      <c r="U1892" s="170"/>
      <c r="V1892" s="171"/>
      <c r="W1892" s="171"/>
      <c r="X1892" s="171"/>
      <c r="Y1892" s="185"/>
      <c r="Z1892" s="185"/>
    </row>
    <row r="1893" spans="4:26" x14ac:dyDescent="0.25">
      <c r="D1893" s="175"/>
      <c r="E1893" s="175"/>
      <c r="H1893" s="201"/>
      <c r="I1893" s="201"/>
      <c r="J1893" s="217"/>
      <c r="K1893" s="217"/>
      <c r="L1893" s="185"/>
      <c r="M1893" s="185"/>
      <c r="N1893" s="185"/>
      <c r="O1893" s="185"/>
      <c r="P1893" s="185"/>
      <c r="Q1893" s="185"/>
      <c r="R1893" s="168"/>
      <c r="S1893" s="168"/>
      <c r="U1893" s="170"/>
      <c r="V1893" s="171"/>
      <c r="W1893" s="171"/>
      <c r="X1893" s="171"/>
      <c r="Y1893" s="185"/>
      <c r="Z1893" s="185"/>
    </row>
    <row r="1894" spans="4:26" x14ac:dyDescent="0.25">
      <c r="D1894" s="175"/>
      <c r="E1894" s="175"/>
      <c r="H1894" s="201"/>
      <c r="I1894" s="201"/>
      <c r="J1894" s="217"/>
      <c r="K1894" s="217"/>
      <c r="L1894" s="185"/>
      <c r="M1894" s="185"/>
      <c r="N1894" s="185"/>
      <c r="O1894" s="185"/>
      <c r="P1894" s="185"/>
      <c r="Q1894" s="185"/>
      <c r="R1894" s="168"/>
      <c r="S1894" s="168"/>
      <c r="U1894" s="170"/>
      <c r="V1894" s="171"/>
      <c r="W1894" s="171"/>
      <c r="X1894" s="171"/>
      <c r="Y1894" s="185"/>
      <c r="Z1894" s="185"/>
    </row>
    <row r="1895" spans="4:26" x14ac:dyDescent="0.25">
      <c r="D1895" s="175"/>
      <c r="E1895" s="175"/>
      <c r="H1895" s="201"/>
      <c r="I1895" s="201"/>
      <c r="J1895" s="217"/>
      <c r="K1895" s="217"/>
      <c r="L1895" s="185"/>
      <c r="M1895" s="185"/>
      <c r="N1895" s="185"/>
      <c r="O1895" s="185"/>
      <c r="P1895" s="185"/>
      <c r="Q1895" s="185"/>
      <c r="R1895" s="168"/>
      <c r="S1895" s="168"/>
      <c r="U1895" s="170"/>
      <c r="V1895" s="171"/>
      <c r="W1895" s="171"/>
      <c r="X1895" s="171"/>
      <c r="Y1895" s="185"/>
      <c r="Z1895" s="185"/>
    </row>
    <row r="1896" spans="4:26" x14ac:dyDescent="0.25">
      <c r="D1896" s="175"/>
      <c r="E1896" s="175"/>
      <c r="H1896" s="201"/>
      <c r="I1896" s="201"/>
      <c r="J1896" s="217"/>
      <c r="K1896" s="217"/>
      <c r="L1896" s="185"/>
      <c r="M1896" s="185"/>
      <c r="N1896" s="185"/>
      <c r="O1896" s="185"/>
      <c r="P1896" s="185"/>
      <c r="Q1896" s="185"/>
      <c r="R1896" s="168"/>
      <c r="S1896" s="168"/>
      <c r="U1896" s="170"/>
      <c r="V1896" s="171"/>
      <c r="W1896" s="171"/>
      <c r="X1896" s="171"/>
      <c r="Y1896" s="185"/>
      <c r="Z1896" s="185"/>
    </row>
    <row r="1897" spans="4:26" x14ac:dyDescent="0.25">
      <c r="D1897" s="175"/>
      <c r="E1897" s="175"/>
      <c r="H1897" s="201"/>
      <c r="I1897" s="201"/>
      <c r="J1897" s="217"/>
      <c r="K1897" s="217"/>
      <c r="L1897" s="185"/>
      <c r="M1897" s="185"/>
      <c r="N1897" s="185"/>
      <c r="O1897" s="185"/>
      <c r="P1897" s="185"/>
      <c r="Q1897" s="185"/>
      <c r="R1897" s="168"/>
      <c r="S1897" s="168"/>
      <c r="U1897" s="170"/>
      <c r="V1897" s="171"/>
      <c r="W1897" s="171"/>
      <c r="X1897" s="171"/>
      <c r="Y1897" s="185"/>
      <c r="Z1897" s="185"/>
    </row>
    <row r="1898" spans="4:26" x14ac:dyDescent="0.25">
      <c r="D1898" s="175"/>
      <c r="E1898" s="175"/>
      <c r="H1898" s="201"/>
      <c r="I1898" s="201"/>
      <c r="J1898" s="217"/>
      <c r="K1898" s="217"/>
      <c r="L1898" s="185"/>
      <c r="M1898" s="185"/>
      <c r="N1898" s="185"/>
      <c r="O1898" s="185"/>
      <c r="P1898" s="185"/>
      <c r="Q1898" s="185"/>
      <c r="R1898" s="168"/>
      <c r="S1898" s="168"/>
      <c r="U1898" s="170"/>
      <c r="V1898" s="171"/>
      <c r="W1898" s="171"/>
      <c r="X1898" s="171"/>
      <c r="Y1898" s="185"/>
      <c r="Z1898" s="185"/>
    </row>
    <row r="1899" spans="4:26" x14ac:dyDescent="0.25">
      <c r="D1899" s="175"/>
      <c r="E1899" s="175"/>
      <c r="H1899" s="201"/>
      <c r="I1899" s="201"/>
      <c r="J1899" s="217"/>
      <c r="K1899" s="217"/>
      <c r="L1899" s="185"/>
      <c r="M1899" s="185"/>
      <c r="N1899" s="185"/>
      <c r="O1899" s="185"/>
      <c r="P1899" s="185"/>
      <c r="Q1899" s="185"/>
      <c r="R1899" s="168"/>
      <c r="S1899" s="168"/>
      <c r="U1899" s="170"/>
      <c r="V1899" s="171"/>
      <c r="W1899" s="171"/>
      <c r="X1899" s="171"/>
      <c r="Y1899" s="185"/>
      <c r="Z1899" s="185"/>
    </row>
    <row r="1900" spans="4:26" x14ac:dyDescent="0.25">
      <c r="D1900" s="175"/>
      <c r="E1900" s="175"/>
      <c r="H1900" s="201"/>
      <c r="I1900" s="201"/>
      <c r="J1900" s="217"/>
      <c r="K1900" s="217"/>
      <c r="L1900" s="185"/>
      <c r="M1900" s="185"/>
      <c r="N1900" s="185"/>
      <c r="O1900" s="185"/>
      <c r="P1900" s="185"/>
      <c r="Q1900" s="185"/>
      <c r="R1900" s="168"/>
      <c r="S1900" s="168"/>
      <c r="U1900" s="170"/>
      <c r="V1900" s="171"/>
      <c r="W1900" s="171"/>
      <c r="X1900" s="171"/>
      <c r="Y1900" s="185"/>
      <c r="Z1900" s="185"/>
    </row>
    <row r="1901" spans="4:26" x14ac:dyDescent="0.25">
      <c r="D1901" s="175"/>
      <c r="E1901" s="175"/>
      <c r="H1901" s="201"/>
      <c r="I1901" s="201"/>
      <c r="J1901" s="217"/>
      <c r="K1901" s="217"/>
      <c r="L1901" s="185"/>
      <c r="M1901" s="185"/>
      <c r="N1901" s="185"/>
      <c r="O1901" s="185"/>
      <c r="P1901" s="185"/>
      <c r="Q1901" s="185"/>
      <c r="R1901" s="168"/>
      <c r="S1901" s="168"/>
      <c r="U1901" s="170"/>
      <c r="V1901" s="171"/>
      <c r="W1901" s="171"/>
      <c r="X1901" s="171"/>
      <c r="Y1901" s="185"/>
      <c r="Z1901" s="185"/>
    </row>
    <row r="1902" spans="4:26" x14ac:dyDescent="0.25">
      <c r="D1902" s="175"/>
      <c r="E1902" s="175"/>
      <c r="H1902" s="201"/>
      <c r="I1902" s="201"/>
      <c r="J1902" s="217"/>
      <c r="K1902" s="217"/>
      <c r="L1902" s="185"/>
      <c r="M1902" s="185"/>
      <c r="N1902" s="185"/>
      <c r="O1902" s="185"/>
      <c r="P1902" s="185"/>
      <c r="Q1902" s="185"/>
      <c r="R1902" s="168"/>
      <c r="S1902" s="168"/>
      <c r="U1902" s="170"/>
      <c r="V1902" s="171"/>
      <c r="W1902" s="171"/>
      <c r="X1902" s="171"/>
      <c r="Y1902" s="185"/>
      <c r="Z1902" s="185"/>
    </row>
    <row r="1903" spans="4:26" x14ac:dyDescent="0.25">
      <c r="D1903" s="175"/>
      <c r="E1903" s="175"/>
      <c r="H1903" s="201"/>
      <c r="I1903" s="201"/>
      <c r="J1903" s="217"/>
      <c r="K1903" s="217"/>
      <c r="L1903" s="185"/>
      <c r="M1903" s="185"/>
      <c r="N1903" s="185"/>
      <c r="O1903" s="185"/>
      <c r="P1903" s="185"/>
      <c r="Q1903" s="185"/>
      <c r="R1903" s="168"/>
      <c r="S1903" s="168"/>
      <c r="U1903" s="170"/>
      <c r="V1903" s="171"/>
      <c r="W1903" s="171"/>
      <c r="X1903" s="171"/>
      <c r="Y1903" s="185"/>
      <c r="Z1903" s="185"/>
    </row>
    <row r="1904" spans="4:26" x14ac:dyDescent="0.25">
      <c r="D1904" s="175"/>
      <c r="E1904" s="175"/>
      <c r="H1904" s="201"/>
      <c r="I1904" s="201"/>
      <c r="J1904" s="217"/>
      <c r="K1904" s="217"/>
      <c r="L1904" s="185"/>
      <c r="M1904" s="185"/>
      <c r="N1904" s="185"/>
      <c r="O1904" s="185"/>
      <c r="P1904" s="185"/>
      <c r="Q1904" s="185"/>
      <c r="R1904" s="168"/>
      <c r="S1904" s="168"/>
      <c r="U1904" s="170"/>
      <c r="V1904" s="171"/>
      <c r="W1904" s="171"/>
      <c r="X1904" s="171"/>
      <c r="Y1904" s="185"/>
      <c r="Z1904" s="185"/>
    </row>
    <row r="1905" spans="4:26" x14ac:dyDescent="0.25">
      <c r="D1905" s="175"/>
      <c r="E1905" s="175"/>
      <c r="H1905" s="201"/>
      <c r="I1905" s="201"/>
      <c r="J1905" s="217"/>
      <c r="K1905" s="217"/>
      <c r="L1905" s="185"/>
      <c r="M1905" s="185"/>
      <c r="N1905" s="185"/>
      <c r="O1905" s="185"/>
      <c r="P1905" s="185"/>
      <c r="Q1905" s="185"/>
      <c r="R1905" s="168"/>
      <c r="S1905" s="168"/>
      <c r="U1905" s="170"/>
      <c r="V1905" s="171"/>
      <c r="W1905" s="171"/>
      <c r="X1905" s="171"/>
      <c r="Y1905" s="185"/>
      <c r="Z1905" s="185"/>
    </row>
    <row r="1906" spans="4:26" x14ac:dyDescent="0.25">
      <c r="D1906" s="175"/>
      <c r="E1906" s="175"/>
      <c r="H1906" s="201"/>
      <c r="I1906" s="201"/>
      <c r="J1906" s="217"/>
      <c r="K1906" s="217"/>
      <c r="L1906" s="185"/>
      <c r="M1906" s="185"/>
      <c r="N1906" s="185"/>
      <c r="O1906" s="185"/>
      <c r="P1906" s="185"/>
      <c r="Q1906" s="185"/>
      <c r="R1906" s="168"/>
      <c r="S1906" s="168"/>
      <c r="U1906" s="170"/>
      <c r="V1906" s="171"/>
      <c r="W1906" s="171"/>
      <c r="X1906" s="171"/>
      <c r="Y1906" s="185"/>
      <c r="Z1906" s="185"/>
    </row>
    <row r="1907" spans="4:26" x14ac:dyDescent="0.25">
      <c r="D1907" s="175"/>
      <c r="E1907" s="175"/>
      <c r="H1907" s="201"/>
      <c r="I1907" s="201"/>
      <c r="J1907" s="217"/>
      <c r="K1907" s="217"/>
      <c r="L1907" s="185"/>
      <c r="M1907" s="185"/>
      <c r="N1907" s="185"/>
      <c r="O1907" s="185"/>
      <c r="P1907" s="185"/>
      <c r="Q1907" s="185"/>
      <c r="R1907" s="168"/>
      <c r="S1907" s="168"/>
      <c r="U1907" s="170"/>
      <c r="V1907" s="171"/>
      <c r="W1907" s="171"/>
      <c r="X1907" s="171"/>
      <c r="Y1907" s="185"/>
      <c r="Z1907" s="185"/>
    </row>
    <row r="1908" spans="4:26" x14ac:dyDescent="0.25">
      <c r="D1908" s="175"/>
      <c r="E1908" s="175"/>
      <c r="H1908" s="201"/>
      <c r="I1908" s="201"/>
      <c r="J1908" s="217"/>
      <c r="K1908" s="217"/>
      <c r="L1908" s="185"/>
      <c r="M1908" s="185"/>
      <c r="N1908" s="185"/>
      <c r="O1908" s="185"/>
      <c r="P1908" s="185"/>
      <c r="Q1908" s="185"/>
      <c r="R1908" s="168"/>
      <c r="S1908" s="168"/>
      <c r="U1908" s="170"/>
      <c r="V1908" s="171"/>
      <c r="W1908" s="171"/>
      <c r="X1908" s="171"/>
      <c r="Y1908" s="185"/>
      <c r="Z1908" s="185"/>
    </row>
    <row r="1909" spans="4:26" x14ac:dyDescent="0.25">
      <c r="D1909" s="175"/>
      <c r="E1909" s="175"/>
      <c r="H1909" s="201"/>
      <c r="I1909" s="201"/>
      <c r="J1909" s="217"/>
      <c r="K1909" s="217"/>
      <c r="L1909" s="185"/>
      <c r="M1909" s="185"/>
      <c r="N1909" s="185"/>
      <c r="O1909" s="185"/>
      <c r="P1909" s="185"/>
      <c r="Q1909" s="185"/>
      <c r="R1909" s="168"/>
      <c r="S1909" s="168"/>
      <c r="U1909" s="170"/>
      <c r="V1909" s="171"/>
      <c r="W1909" s="171"/>
      <c r="X1909" s="171"/>
      <c r="Y1909" s="185"/>
      <c r="Z1909" s="185"/>
    </row>
    <row r="1910" spans="4:26" x14ac:dyDescent="0.25">
      <c r="D1910" s="175"/>
      <c r="E1910" s="175"/>
      <c r="H1910" s="201"/>
      <c r="I1910" s="201"/>
      <c r="J1910" s="217"/>
      <c r="K1910" s="217"/>
      <c r="L1910" s="185"/>
      <c r="M1910" s="185"/>
      <c r="N1910" s="185"/>
      <c r="O1910" s="185"/>
      <c r="P1910" s="185"/>
      <c r="Q1910" s="185"/>
      <c r="R1910" s="168"/>
      <c r="S1910" s="168"/>
      <c r="U1910" s="170"/>
      <c r="V1910" s="171"/>
      <c r="W1910" s="171"/>
      <c r="X1910" s="171"/>
      <c r="Y1910" s="185"/>
      <c r="Z1910" s="185"/>
    </row>
    <row r="1911" spans="4:26" x14ac:dyDescent="0.25">
      <c r="D1911" s="175"/>
      <c r="E1911" s="175"/>
      <c r="H1911" s="201"/>
      <c r="I1911" s="201"/>
      <c r="J1911" s="217"/>
      <c r="K1911" s="217"/>
      <c r="L1911" s="185"/>
      <c r="M1911" s="185"/>
      <c r="N1911" s="185"/>
      <c r="O1911" s="185"/>
      <c r="P1911" s="185"/>
      <c r="Q1911" s="185"/>
      <c r="R1911" s="168"/>
      <c r="S1911" s="168"/>
      <c r="U1911" s="170"/>
      <c r="V1911" s="171"/>
      <c r="W1911" s="171"/>
      <c r="X1911" s="171"/>
      <c r="Y1911" s="185"/>
      <c r="Z1911" s="185"/>
    </row>
    <row r="1912" spans="4:26" x14ac:dyDescent="0.25">
      <c r="D1912" s="175"/>
      <c r="E1912" s="175"/>
      <c r="H1912" s="201"/>
      <c r="I1912" s="201"/>
      <c r="J1912" s="217"/>
      <c r="K1912" s="217"/>
      <c r="L1912" s="185"/>
      <c r="M1912" s="185"/>
      <c r="N1912" s="185"/>
      <c r="O1912" s="185"/>
      <c r="P1912" s="185"/>
      <c r="Q1912" s="185"/>
      <c r="R1912" s="168"/>
      <c r="S1912" s="168"/>
      <c r="U1912" s="170"/>
      <c r="V1912" s="171"/>
      <c r="W1912" s="171"/>
      <c r="X1912" s="171"/>
      <c r="Y1912" s="185"/>
      <c r="Z1912" s="185"/>
    </row>
    <row r="1913" spans="4:26" x14ac:dyDescent="0.25">
      <c r="D1913" s="175"/>
      <c r="E1913" s="175"/>
      <c r="H1913" s="201"/>
      <c r="I1913" s="201"/>
      <c r="J1913" s="217"/>
      <c r="K1913" s="217"/>
      <c r="L1913" s="185"/>
      <c r="M1913" s="185"/>
      <c r="N1913" s="185"/>
      <c r="O1913" s="185"/>
      <c r="P1913" s="185"/>
      <c r="Q1913" s="185"/>
      <c r="R1913" s="168"/>
      <c r="S1913" s="168"/>
      <c r="U1913" s="170"/>
      <c r="V1913" s="171"/>
      <c r="W1913" s="171"/>
      <c r="X1913" s="171"/>
      <c r="Y1913" s="185"/>
      <c r="Z1913" s="185"/>
    </row>
    <row r="1914" spans="4:26" x14ac:dyDescent="0.25">
      <c r="D1914" s="175"/>
      <c r="E1914" s="175"/>
      <c r="H1914" s="201"/>
      <c r="I1914" s="201"/>
      <c r="J1914" s="217"/>
      <c r="K1914" s="217"/>
      <c r="L1914" s="185"/>
      <c r="M1914" s="185"/>
      <c r="N1914" s="185"/>
      <c r="O1914" s="185"/>
      <c r="P1914" s="185"/>
      <c r="Q1914" s="185"/>
      <c r="R1914" s="168"/>
      <c r="S1914" s="168"/>
      <c r="U1914" s="170"/>
      <c r="V1914" s="171"/>
      <c r="W1914" s="171"/>
      <c r="X1914" s="171"/>
      <c r="Y1914" s="185"/>
      <c r="Z1914" s="185"/>
    </row>
    <row r="1915" spans="4:26" x14ac:dyDescent="0.25">
      <c r="D1915" s="175"/>
      <c r="E1915" s="175"/>
      <c r="H1915" s="201"/>
      <c r="I1915" s="201"/>
      <c r="J1915" s="217"/>
      <c r="K1915" s="217"/>
      <c r="L1915" s="185"/>
      <c r="M1915" s="185"/>
      <c r="N1915" s="185"/>
      <c r="O1915" s="185"/>
      <c r="P1915" s="185"/>
      <c r="Q1915" s="185"/>
      <c r="R1915" s="168"/>
      <c r="S1915" s="168"/>
      <c r="U1915" s="170"/>
      <c r="V1915" s="171"/>
      <c r="W1915" s="171"/>
      <c r="X1915" s="171"/>
      <c r="Y1915" s="185"/>
      <c r="Z1915" s="185"/>
    </row>
    <row r="1916" spans="4:26" x14ac:dyDescent="0.25">
      <c r="D1916" s="175"/>
      <c r="E1916" s="175"/>
      <c r="H1916" s="201"/>
      <c r="I1916" s="201"/>
      <c r="J1916" s="217"/>
      <c r="K1916" s="217"/>
      <c r="L1916" s="185"/>
      <c r="M1916" s="185"/>
      <c r="N1916" s="185"/>
      <c r="O1916" s="185"/>
      <c r="P1916" s="185"/>
      <c r="Q1916" s="185"/>
      <c r="R1916" s="168"/>
      <c r="S1916" s="168"/>
      <c r="U1916" s="170"/>
      <c r="V1916" s="171"/>
      <c r="W1916" s="171"/>
      <c r="X1916" s="171"/>
      <c r="Y1916" s="185"/>
      <c r="Z1916" s="185"/>
    </row>
    <row r="1917" spans="4:26" x14ac:dyDescent="0.25">
      <c r="D1917" s="175"/>
      <c r="E1917" s="175"/>
      <c r="H1917" s="201"/>
      <c r="I1917" s="201"/>
      <c r="J1917" s="217"/>
      <c r="K1917" s="217"/>
      <c r="L1917" s="185"/>
      <c r="M1917" s="185"/>
      <c r="N1917" s="185"/>
      <c r="O1917" s="185"/>
      <c r="P1917" s="185"/>
      <c r="Q1917" s="185"/>
      <c r="R1917" s="168"/>
      <c r="S1917" s="168"/>
      <c r="U1917" s="170"/>
      <c r="V1917" s="171"/>
      <c r="W1917" s="171"/>
      <c r="X1917" s="171"/>
      <c r="Y1917" s="185"/>
      <c r="Z1917" s="185"/>
    </row>
    <row r="1918" spans="4:26" x14ac:dyDescent="0.25">
      <c r="D1918" s="175"/>
      <c r="E1918" s="175"/>
      <c r="H1918" s="201"/>
      <c r="I1918" s="201"/>
      <c r="J1918" s="217"/>
      <c r="K1918" s="217"/>
      <c r="L1918" s="185"/>
      <c r="M1918" s="185"/>
      <c r="N1918" s="185"/>
      <c r="O1918" s="185"/>
      <c r="P1918" s="185"/>
      <c r="Q1918" s="185"/>
      <c r="R1918" s="168"/>
      <c r="S1918" s="168"/>
      <c r="U1918" s="170"/>
      <c r="V1918" s="171"/>
      <c r="W1918" s="171"/>
      <c r="X1918" s="171"/>
      <c r="Y1918" s="185"/>
      <c r="Z1918" s="185"/>
    </row>
    <row r="1919" spans="4:26" x14ac:dyDescent="0.25">
      <c r="D1919" s="175"/>
      <c r="E1919" s="175"/>
      <c r="H1919" s="201"/>
      <c r="I1919" s="201"/>
      <c r="J1919" s="217"/>
      <c r="K1919" s="217"/>
      <c r="L1919" s="185"/>
      <c r="M1919" s="185"/>
      <c r="N1919" s="185"/>
      <c r="O1919" s="185"/>
      <c r="P1919" s="185"/>
      <c r="Q1919" s="185"/>
      <c r="R1919" s="168"/>
      <c r="S1919" s="168"/>
      <c r="U1919" s="170"/>
      <c r="V1919" s="171"/>
      <c r="W1919" s="171"/>
      <c r="X1919" s="171"/>
      <c r="Y1919" s="185"/>
      <c r="Z1919" s="185"/>
    </row>
    <row r="1920" spans="4:26" x14ac:dyDescent="0.25">
      <c r="D1920" s="175"/>
      <c r="E1920" s="175"/>
      <c r="H1920" s="201"/>
      <c r="I1920" s="201"/>
      <c r="J1920" s="217"/>
      <c r="K1920" s="217"/>
      <c r="L1920" s="185"/>
      <c r="M1920" s="185"/>
      <c r="N1920" s="185"/>
      <c r="O1920" s="185"/>
      <c r="P1920" s="185"/>
      <c r="Q1920" s="185"/>
      <c r="R1920" s="168"/>
      <c r="S1920" s="168"/>
      <c r="U1920" s="170"/>
      <c r="V1920" s="171"/>
      <c r="W1920" s="171"/>
      <c r="X1920" s="171"/>
      <c r="Y1920" s="185"/>
      <c r="Z1920" s="185"/>
    </row>
    <row r="1921" spans="4:26" x14ac:dyDescent="0.25">
      <c r="D1921" s="175"/>
      <c r="E1921" s="175"/>
      <c r="H1921" s="201"/>
      <c r="I1921" s="201"/>
      <c r="J1921" s="217"/>
      <c r="K1921" s="217"/>
      <c r="L1921" s="185"/>
      <c r="M1921" s="185"/>
      <c r="N1921" s="185"/>
      <c r="O1921" s="185"/>
      <c r="P1921" s="185"/>
      <c r="Q1921" s="185"/>
      <c r="R1921" s="168"/>
      <c r="S1921" s="168"/>
      <c r="U1921" s="170"/>
      <c r="V1921" s="171"/>
      <c r="W1921" s="171"/>
      <c r="X1921" s="171"/>
      <c r="Y1921" s="185"/>
      <c r="Z1921" s="185"/>
    </row>
    <row r="1922" spans="4:26" x14ac:dyDescent="0.25">
      <c r="D1922" s="175"/>
      <c r="E1922" s="175"/>
      <c r="H1922" s="201"/>
      <c r="I1922" s="201"/>
      <c r="J1922" s="217"/>
      <c r="K1922" s="217"/>
      <c r="L1922" s="185"/>
      <c r="M1922" s="185"/>
      <c r="N1922" s="185"/>
      <c r="O1922" s="185"/>
      <c r="P1922" s="185"/>
      <c r="Q1922" s="185"/>
      <c r="R1922" s="168"/>
      <c r="S1922" s="168"/>
      <c r="U1922" s="170"/>
      <c r="V1922" s="171"/>
      <c r="W1922" s="171"/>
      <c r="X1922" s="171"/>
      <c r="Y1922" s="185"/>
      <c r="Z1922" s="185"/>
    </row>
    <row r="1923" spans="4:26" x14ac:dyDescent="0.25">
      <c r="D1923" s="175"/>
      <c r="E1923" s="175"/>
      <c r="H1923" s="201"/>
      <c r="I1923" s="201"/>
      <c r="J1923" s="217"/>
      <c r="K1923" s="217"/>
      <c r="L1923" s="185"/>
      <c r="M1923" s="185"/>
      <c r="N1923" s="185"/>
      <c r="O1923" s="185"/>
      <c r="P1923" s="185"/>
      <c r="Q1923" s="185"/>
      <c r="R1923" s="168"/>
      <c r="S1923" s="168"/>
      <c r="U1923" s="170"/>
      <c r="V1923" s="171"/>
      <c r="W1923" s="171"/>
      <c r="X1923" s="171"/>
      <c r="Y1923" s="185"/>
      <c r="Z1923" s="185"/>
    </row>
    <row r="1924" spans="4:26" x14ac:dyDescent="0.25">
      <c r="D1924" s="175"/>
      <c r="E1924" s="175"/>
      <c r="H1924" s="201"/>
      <c r="I1924" s="201"/>
      <c r="J1924" s="217"/>
      <c r="K1924" s="217"/>
      <c r="L1924" s="185"/>
      <c r="M1924" s="185"/>
      <c r="N1924" s="185"/>
      <c r="O1924" s="185"/>
      <c r="P1924" s="185"/>
      <c r="Q1924" s="185"/>
      <c r="R1924" s="168"/>
      <c r="S1924" s="168"/>
      <c r="U1924" s="170"/>
      <c r="V1924" s="171"/>
      <c r="W1924" s="171"/>
      <c r="X1924" s="171"/>
      <c r="Y1924" s="185"/>
      <c r="Z1924" s="185"/>
    </row>
    <row r="1925" spans="4:26" x14ac:dyDescent="0.25">
      <c r="D1925" s="175"/>
      <c r="E1925" s="175"/>
      <c r="H1925" s="201"/>
      <c r="I1925" s="201"/>
      <c r="J1925" s="217"/>
      <c r="K1925" s="217"/>
      <c r="L1925" s="185"/>
      <c r="M1925" s="185"/>
      <c r="N1925" s="185"/>
      <c r="O1925" s="185"/>
      <c r="P1925" s="185"/>
      <c r="Q1925" s="185"/>
      <c r="R1925" s="168"/>
      <c r="S1925" s="168"/>
      <c r="U1925" s="170"/>
      <c r="V1925" s="171"/>
      <c r="W1925" s="171"/>
      <c r="X1925" s="171"/>
      <c r="Y1925" s="185"/>
      <c r="Z1925" s="185"/>
    </row>
    <row r="1926" spans="4:26" x14ac:dyDescent="0.25">
      <c r="D1926" s="175"/>
      <c r="E1926" s="175"/>
      <c r="H1926" s="201"/>
      <c r="I1926" s="201"/>
      <c r="J1926" s="217"/>
      <c r="K1926" s="217"/>
      <c r="L1926" s="185"/>
      <c r="M1926" s="185"/>
      <c r="N1926" s="185"/>
      <c r="O1926" s="185"/>
      <c r="P1926" s="185"/>
      <c r="Q1926" s="185"/>
      <c r="R1926" s="168"/>
      <c r="S1926" s="168"/>
      <c r="U1926" s="170"/>
      <c r="V1926" s="171"/>
      <c r="W1926" s="171"/>
      <c r="X1926" s="171"/>
      <c r="Y1926" s="185"/>
      <c r="Z1926" s="185"/>
    </row>
    <row r="1927" spans="4:26" x14ac:dyDescent="0.25">
      <c r="D1927" s="175"/>
      <c r="E1927" s="175"/>
      <c r="H1927" s="201"/>
      <c r="I1927" s="201"/>
      <c r="J1927" s="217"/>
      <c r="K1927" s="217"/>
      <c r="L1927" s="185"/>
      <c r="M1927" s="185"/>
      <c r="N1927" s="185"/>
      <c r="O1927" s="185"/>
      <c r="P1927" s="185"/>
      <c r="Q1927" s="185"/>
      <c r="R1927" s="168"/>
      <c r="S1927" s="168"/>
      <c r="U1927" s="170"/>
      <c r="V1927" s="171"/>
      <c r="W1927" s="171"/>
      <c r="X1927" s="171"/>
      <c r="Y1927" s="185"/>
      <c r="Z1927" s="185"/>
    </row>
    <row r="1928" spans="4:26" x14ac:dyDescent="0.25">
      <c r="D1928" s="175"/>
      <c r="E1928" s="175"/>
      <c r="H1928" s="201"/>
      <c r="I1928" s="201"/>
      <c r="J1928" s="217"/>
      <c r="K1928" s="217"/>
      <c r="L1928" s="185"/>
      <c r="M1928" s="185"/>
      <c r="N1928" s="185"/>
      <c r="O1928" s="185"/>
      <c r="P1928" s="185"/>
      <c r="Q1928" s="185"/>
      <c r="R1928" s="168"/>
      <c r="S1928" s="168"/>
      <c r="U1928" s="170"/>
      <c r="V1928" s="171"/>
      <c r="W1928" s="171"/>
      <c r="X1928" s="171"/>
      <c r="Y1928" s="185"/>
      <c r="Z1928" s="185"/>
    </row>
    <row r="1929" spans="4:26" x14ac:dyDescent="0.25">
      <c r="D1929" s="175"/>
      <c r="E1929" s="175"/>
      <c r="H1929" s="201"/>
      <c r="I1929" s="201"/>
      <c r="J1929" s="217"/>
      <c r="K1929" s="217"/>
      <c r="L1929" s="185"/>
      <c r="M1929" s="185"/>
      <c r="N1929" s="185"/>
      <c r="O1929" s="185"/>
      <c r="P1929" s="185"/>
      <c r="Q1929" s="185"/>
      <c r="R1929" s="168"/>
      <c r="S1929" s="168"/>
      <c r="U1929" s="170"/>
      <c r="V1929" s="171"/>
      <c r="W1929" s="171"/>
      <c r="X1929" s="171"/>
      <c r="Y1929" s="185"/>
      <c r="Z1929" s="185"/>
    </row>
    <row r="1930" spans="4:26" x14ac:dyDescent="0.25">
      <c r="D1930" s="175"/>
      <c r="E1930" s="175"/>
      <c r="H1930" s="201"/>
      <c r="I1930" s="201"/>
      <c r="J1930" s="217"/>
      <c r="K1930" s="217"/>
      <c r="L1930" s="185"/>
      <c r="M1930" s="185"/>
      <c r="N1930" s="185"/>
      <c r="O1930" s="185"/>
      <c r="P1930" s="185"/>
      <c r="Q1930" s="185"/>
      <c r="R1930" s="168"/>
      <c r="S1930" s="168"/>
      <c r="U1930" s="170"/>
      <c r="V1930" s="171"/>
      <c r="W1930" s="171"/>
      <c r="X1930" s="171"/>
      <c r="Y1930" s="185"/>
      <c r="Z1930" s="185"/>
    </row>
    <row r="1931" spans="4:26" x14ac:dyDescent="0.25">
      <c r="D1931" s="175"/>
      <c r="E1931" s="175"/>
      <c r="H1931" s="201"/>
      <c r="I1931" s="201"/>
      <c r="J1931" s="217"/>
      <c r="K1931" s="217"/>
      <c r="L1931" s="185"/>
      <c r="M1931" s="185"/>
      <c r="N1931" s="185"/>
      <c r="O1931" s="185"/>
      <c r="P1931" s="185"/>
      <c r="Q1931" s="185"/>
      <c r="R1931" s="168"/>
      <c r="S1931" s="168"/>
      <c r="U1931" s="170"/>
      <c r="V1931" s="171"/>
      <c r="W1931" s="171"/>
      <c r="X1931" s="171"/>
      <c r="Y1931" s="185"/>
      <c r="Z1931" s="185"/>
    </row>
    <row r="1932" spans="4:26" x14ac:dyDescent="0.25">
      <c r="D1932" s="175"/>
      <c r="E1932" s="175"/>
      <c r="H1932" s="201"/>
      <c r="I1932" s="201"/>
      <c r="J1932" s="217"/>
      <c r="K1932" s="217"/>
      <c r="L1932" s="185"/>
      <c r="M1932" s="185"/>
      <c r="N1932" s="185"/>
      <c r="O1932" s="185"/>
      <c r="P1932" s="185"/>
      <c r="Q1932" s="185"/>
      <c r="R1932" s="168"/>
      <c r="S1932" s="168"/>
      <c r="U1932" s="170"/>
      <c r="V1932" s="171"/>
      <c r="W1932" s="171"/>
      <c r="X1932" s="171"/>
      <c r="Y1932" s="185"/>
      <c r="Z1932" s="185"/>
    </row>
    <row r="1933" spans="4:26" x14ac:dyDescent="0.25">
      <c r="D1933" s="175"/>
      <c r="E1933" s="175"/>
      <c r="H1933" s="201"/>
      <c r="I1933" s="201"/>
      <c r="J1933" s="217"/>
      <c r="K1933" s="217"/>
      <c r="L1933" s="185"/>
      <c r="M1933" s="185"/>
      <c r="N1933" s="185"/>
      <c r="O1933" s="185"/>
      <c r="P1933" s="185"/>
      <c r="Q1933" s="185"/>
      <c r="R1933" s="168"/>
      <c r="S1933" s="168"/>
      <c r="U1933" s="170"/>
      <c r="V1933" s="171"/>
      <c r="W1933" s="171"/>
      <c r="X1933" s="171"/>
      <c r="Y1933" s="185"/>
      <c r="Z1933" s="185"/>
    </row>
    <row r="1934" spans="4:26" x14ac:dyDescent="0.25">
      <c r="D1934" s="175"/>
      <c r="E1934" s="175"/>
      <c r="H1934" s="201"/>
      <c r="I1934" s="201"/>
      <c r="J1934" s="217"/>
      <c r="K1934" s="217"/>
      <c r="L1934" s="185"/>
      <c r="M1934" s="185"/>
      <c r="N1934" s="185"/>
      <c r="O1934" s="185"/>
      <c r="P1934" s="185"/>
      <c r="Q1934" s="185"/>
      <c r="R1934" s="168"/>
      <c r="S1934" s="168"/>
      <c r="U1934" s="170"/>
      <c r="V1934" s="171"/>
      <c r="W1934" s="171"/>
      <c r="X1934" s="171"/>
      <c r="Y1934" s="185"/>
      <c r="Z1934" s="185"/>
    </row>
    <row r="1935" spans="4:26" x14ac:dyDescent="0.25">
      <c r="D1935" s="175"/>
      <c r="E1935" s="175"/>
      <c r="H1935" s="201"/>
      <c r="I1935" s="201"/>
      <c r="J1935" s="217"/>
      <c r="K1935" s="217"/>
      <c r="L1935" s="185"/>
      <c r="M1935" s="185"/>
      <c r="N1935" s="185"/>
      <c r="O1935" s="185"/>
      <c r="P1935" s="185"/>
      <c r="Q1935" s="185"/>
      <c r="R1935" s="168"/>
      <c r="S1935" s="168"/>
      <c r="U1935" s="170"/>
      <c r="V1935" s="171"/>
      <c r="W1935" s="171"/>
      <c r="X1935" s="171"/>
      <c r="Y1935" s="185"/>
      <c r="Z1935" s="185"/>
    </row>
    <row r="1936" spans="4:26" x14ac:dyDescent="0.25">
      <c r="D1936" s="175"/>
      <c r="E1936" s="175"/>
      <c r="H1936" s="201"/>
      <c r="I1936" s="201"/>
      <c r="J1936" s="217"/>
      <c r="K1936" s="217"/>
      <c r="L1936" s="185"/>
      <c r="M1936" s="185"/>
      <c r="N1936" s="185"/>
      <c r="O1936" s="185"/>
      <c r="P1936" s="185"/>
      <c r="Q1936" s="185"/>
      <c r="R1936" s="168"/>
      <c r="S1936" s="168"/>
      <c r="U1936" s="170"/>
      <c r="V1936" s="171"/>
      <c r="W1936" s="171"/>
      <c r="X1936" s="171"/>
      <c r="Y1936" s="185"/>
      <c r="Z1936" s="185"/>
    </row>
    <row r="1937" spans="4:26" x14ac:dyDescent="0.25">
      <c r="D1937" s="175"/>
      <c r="E1937" s="175"/>
      <c r="H1937" s="201"/>
      <c r="I1937" s="201"/>
      <c r="J1937" s="217"/>
      <c r="K1937" s="217"/>
      <c r="L1937" s="185"/>
      <c r="M1937" s="185"/>
      <c r="N1937" s="185"/>
      <c r="O1937" s="185"/>
      <c r="P1937" s="185"/>
      <c r="Q1937" s="185"/>
      <c r="R1937" s="168"/>
      <c r="S1937" s="168"/>
      <c r="U1937" s="170"/>
      <c r="V1937" s="171"/>
      <c r="W1937" s="171"/>
      <c r="X1937" s="171"/>
      <c r="Y1937" s="185"/>
      <c r="Z1937" s="185"/>
    </row>
    <row r="1938" spans="4:26" x14ac:dyDescent="0.25">
      <c r="D1938" s="175"/>
      <c r="E1938" s="175"/>
      <c r="H1938" s="201"/>
      <c r="I1938" s="201"/>
      <c r="J1938" s="217"/>
      <c r="K1938" s="217"/>
      <c r="L1938" s="185"/>
      <c r="M1938" s="185"/>
      <c r="N1938" s="185"/>
      <c r="O1938" s="185"/>
      <c r="P1938" s="185"/>
      <c r="Q1938" s="185"/>
      <c r="R1938" s="168"/>
      <c r="S1938" s="168"/>
      <c r="U1938" s="170"/>
      <c r="V1938" s="171"/>
      <c r="W1938" s="171"/>
      <c r="X1938" s="171"/>
      <c r="Y1938" s="185"/>
      <c r="Z1938" s="185"/>
    </row>
    <row r="1939" spans="4:26" x14ac:dyDescent="0.25">
      <c r="D1939" s="175"/>
      <c r="E1939" s="175"/>
      <c r="H1939" s="201"/>
      <c r="I1939" s="201"/>
      <c r="J1939" s="217"/>
      <c r="K1939" s="217"/>
      <c r="L1939" s="185"/>
      <c r="M1939" s="185"/>
      <c r="N1939" s="185"/>
      <c r="O1939" s="185"/>
      <c r="P1939" s="185"/>
      <c r="Q1939" s="185"/>
      <c r="R1939" s="168"/>
      <c r="S1939" s="168"/>
      <c r="U1939" s="170"/>
      <c r="V1939" s="171"/>
      <c r="W1939" s="171"/>
      <c r="X1939" s="171"/>
      <c r="Y1939" s="185"/>
      <c r="Z1939" s="185"/>
    </row>
    <row r="1940" spans="4:26" x14ac:dyDescent="0.25">
      <c r="D1940" s="175"/>
      <c r="E1940" s="175"/>
      <c r="H1940" s="201"/>
      <c r="I1940" s="201"/>
      <c r="J1940" s="217"/>
      <c r="K1940" s="217"/>
      <c r="L1940" s="185"/>
      <c r="M1940" s="185"/>
      <c r="N1940" s="185"/>
      <c r="O1940" s="185"/>
      <c r="P1940" s="185"/>
      <c r="Q1940" s="185"/>
      <c r="R1940" s="168"/>
      <c r="S1940" s="168"/>
      <c r="U1940" s="170"/>
      <c r="V1940" s="171"/>
      <c r="W1940" s="171"/>
      <c r="X1940" s="171"/>
      <c r="Y1940" s="185"/>
      <c r="Z1940" s="185"/>
    </row>
    <row r="1941" spans="4:26" x14ac:dyDescent="0.25">
      <c r="D1941" s="175"/>
      <c r="E1941" s="175"/>
      <c r="H1941" s="201"/>
      <c r="I1941" s="201"/>
      <c r="J1941" s="217"/>
      <c r="K1941" s="217"/>
      <c r="L1941" s="185"/>
      <c r="M1941" s="185"/>
      <c r="N1941" s="185"/>
      <c r="O1941" s="185"/>
      <c r="P1941" s="185"/>
      <c r="Q1941" s="185"/>
      <c r="R1941" s="168"/>
      <c r="S1941" s="168"/>
      <c r="U1941" s="170"/>
      <c r="V1941" s="171"/>
      <c r="W1941" s="171"/>
      <c r="X1941" s="171"/>
      <c r="Y1941" s="185"/>
      <c r="Z1941" s="185"/>
    </row>
    <row r="1942" spans="4:26" x14ac:dyDescent="0.25">
      <c r="D1942" s="175"/>
      <c r="E1942" s="175"/>
      <c r="H1942" s="201"/>
      <c r="I1942" s="201"/>
      <c r="J1942" s="217"/>
      <c r="K1942" s="217"/>
      <c r="L1942" s="185"/>
      <c r="M1942" s="185"/>
      <c r="N1942" s="185"/>
      <c r="O1942" s="185"/>
      <c r="P1942" s="185"/>
      <c r="Q1942" s="185"/>
      <c r="R1942" s="168"/>
      <c r="S1942" s="168"/>
      <c r="U1942" s="170"/>
      <c r="V1942" s="171"/>
      <c r="W1942" s="171"/>
      <c r="X1942" s="171"/>
      <c r="Y1942" s="185"/>
      <c r="Z1942" s="185"/>
    </row>
    <row r="1943" spans="4:26" x14ac:dyDescent="0.25">
      <c r="D1943" s="175"/>
      <c r="E1943" s="175"/>
      <c r="H1943" s="201"/>
      <c r="I1943" s="201"/>
      <c r="J1943" s="217"/>
      <c r="K1943" s="217"/>
      <c r="L1943" s="185"/>
      <c r="M1943" s="185"/>
      <c r="N1943" s="185"/>
      <c r="O1943" s="185"/>
      <c r="P1943" s="185"/>
      <c r="Q1943" s="185"/>
      <c r="R1943" s="168"/>
      <c r="S1943" s="168"/>
      <c r="U1943" s="170"/>
      <c r="V1943" s="171"/>
      <c r="W1943" s="171"/>
      <c r="X1943" s="171"/>
      <c r="Y1943" s="185"/>
      <c r="Z1943" s="185"/>
    </row>
    <row r="1944" spans="4:26" x14ac:dyDescent="0.25">
      <c r="D1944" s="175"/>
      <c r="E1944" s="175"/>
      <c r="H1944" s="201"/>
      <c r="I1944" s="201"/>
      <c r="J1944" s="217"/>
      <c r="K1944" s="217"/>
      <c r="L1944" s="185"/>
      <c r="M1944" s="185"/>
      <c r="N1944" s="185"/>
      <c r="O1944" s="185"/>
      <c r="P1944" s="185"/>
      <c r="Q1944" s="185"/>
      <c r="R1944" s="168"/>
      <c r="S1944" s="168"/>
      <c r="U1944" s="170"/>
      <c r="V1944" s="171"/>
      <c r="W1944" s="171"/>
      <c r="X1944" s="171"/>
      <c r="Y1944" s="185"/>
      <c r="Z1944" s="185"/>
    </row>
    <row r="1945" spans="4:26" x14ac:dyDescent="0.25">
      <c r="D1945" s="175"/>
      <c r="E1945" s="175"/>
      <c r="H1945" s="201"/>
      <c r="I1945" s="201"/>
      <c r="J1945" s="217"/>
      <c r="K1945" s="217"/>
      <c r="L1945" s="185"/>
      <c r="M1945" s="185"/>
      <c r="N1945" s="185"/>
      <c r="O1945" s="185"/>
      <c r="P1945" s="185"/>
      <c r="Q1945" s="185"/>
      <c r="R1945" s="168"/>
      <c r="S1945" s="168"/>
      <c r="U1945" s="170"/>
      <c r="V1945" s="171"/>
      <c r="W1945" s="171"/>
      <c r="X1945" s="171"/>
      <c r="Y1945" s="185"/>
      <c r="Z1945" s="185"/>
    </row>
    <row r="1946" spans="4:26" x14ac:dyDescent="0.25">
      <c r="D1946" s="175"/>
      <c r="E1946" s="175"/>
      <c r="H1946" s="201"/>
      <c r="I1946" s="201"/>
      <c r="J1946" s="217"/>
      <c r="K1946" s="217"/>
      <c r="L1946" s="185"/>
      <c r="M1946" s="185"/>
      <c r="N1946" s="185"/>
      <c r="O1946" s="185"/>
      <c r="P1946" s="185"/>
      <c r="Q1946" s="185"/>
      <c r="R1946" s="168"/>
      <c r="S1946" s="168"/>
      <c r="U1946" s="170"/>
      <c r="V1946" s="171"/>
      <c r="W1946" s="171"/>
      <c r="X1946" s="171"/>
      <c r="Y1946" s="185"/>
      <c r="Z1946" s="185"/>
    </row>
    <row r="1947" spans="4:26" x14ac:dyDescent="0.25">
      <c r="D1947" s="175"/>
      <c r="E1947" s="175"/>
      <c r="H1947" s="201"/>
      <c r="I1947" s="201"/>
      <c r="J1947" s="217"/>
      <c r="K1947" s="217"/>
      <c r="L1947" s="185"/>
      <c r="M1947" s="185"/>
      <c r="N1947" s="185"/>
      <c r="O1947" s="185"/>
      <c r="P1947" s="185"/>
      <c r="Q1947" s="185"/>
      <c r="R1947" s="168"/>
      <c r="S1947" s="168"/>
      <c r="U1947" s="170"/>
      <c r="V1947" s="171"/>
      <c r="W1947" s="171"/>
      <c r="X1947" s="171"/>
      <c r="Y1947" s="185"/>
      <c r="Z1947" s="185"/>
    </row>
    <row r="1948" spans="4:26" x14ac:dyDescent="0.25">
      <c r="D1948" s="175"/>
      <c r="E1948" s="175"/>
      <c r="H1948" s="201"/>
      <c r="I1948" s="201"/>
      <c r="J1948" s="217"/>
      <c r="K1948" s="217"/>
      <c r="L1948" s="185"/>
      <c r="M1948" s="185"/>
      <c r="N1948" s="185"/>
      <c r="O1948" s="185"/>
      <c r="P1948" s="185"/>
      <c r="Q1948" s="185"/>
      <c r="R1948" s="168"/>
      <c r="S1948" s="168"/>
      <c r="U1948" s="170"/>
      <c r="V1948" s="171"/>
      <c r="W1948" s="171"/>
      <c r="X1948" s="171"/>
      <c r="Y1948" s="185"/>
      <c r="Z1948" s="185"/>
    </row>
    <row r="1949" spans="4:26" x14ac:dyDescent="0.25">
      <c r="D1949" s="175"/>
      <c r="E1949" s="175"/>
      <c r="H1949" s="201"/>
      <c r="I1949" s="201"/>
      <c r="J1949" s="217"/>
      <c r="K1949" s="217"/>
      <c r="L1949" s="185"/>
      <c r="M1949" s="185"/>
      <c r="N1949" s="185"/>
      <c r="O1949" s="185"/>
      <c r="P1949" s="185"/>
      <c r="Q1949" s="185"/>
      <c r="R1949" s="168"/>
      <c r="S1949" s="168"/>
      <c r="U1949" s="170"/>
      <c r="V1949" s="171"/>
      <c r="W1949" s="171"/>
      <c r="X1949" s="171"/>
      <c r="Y1949" s="185"/>
      <c r="Z1949" s="185"/>
    </row>
    <row r="1950" spans="4:26" x14ac:dyDescent="0.25">
      <c r="D1950" s="175"/>
      <c r="E1950" s="175"/>
      <c r="H1950" s="201"/>
      <c r="I1950" s="201"/>
      <c r="J1950" s="217"/>
      <c r="K1950" s="217"/>
      <c r="L1950" s="185"/>
      <c r="M1950" s="185"/>
      <c r="N1950" s="185"/>
      <c r="O1950" s="185"/>
      <c r="P1950" s="185"/>
      <c r="Q1950" s="185"/>
      <c r="R1950" s="168"/>
      <c r="S1950" s="168"/>
      <c r="U1950" s="170"/>
      <c r="V1950" s="171"/>
      <c r="W1950" s="171"/>
      <c r="X1950" s="171"/>
      <c r="Y1950" s="185"/>
      <c r="Z1950" s="185"/>
    </row>
    <row r="1951" spans="4:26" x14ac:dyDescent="0.25">
      <c r="D1951" s="175"/>
      <c r="E1951" s="175"/>
      <c r="H1951" s="201"/>
      <c r="I1951" s="201"/>
      <c r="J1951" s="217"/>
      <c r="K1951" s="217"/>
      <c r="L1951" s="185"/>
      <c r="M1951" s="185"/>
      <c r="N1951" s="185"/>
      <c r="O1951" s="185"/>
      <c r="P1951" s="185"/>
      <c r="Q1951" s="185"/>
      <c r="R1951" s="168"/>
      <c r="S1951" s="168"/>
      <c r="U1951" s="170"/>
      <c r="V1951" s="171"/>
      <c r="W1951" s="171"/>
      <c r="X1951" s="171"/>
      <c r="Y1951" s="185"/>
      <c r="Z1951" s="185"/>
    </row>
    <row r="1952" spans="4:26" x14ac:dyDescent="0.25">
      <c r="D1952" s="175"/>
      <c r="E1952" s="175"/>
      <c r="H1952" s="201"/>
      <c r="I1952" s="201"/>
      <c r="J1952" s="217"/>
      <c r="K1952" s="217"/>
      <c r="L1952" s="185"/>
      <c r="M1952" s="185"/>
      <c r="N1952" s="185"/>
      <c r="O1952" s="185"/>
      <c r="P1952" s="185"/>
      <c r="Q1952" s="185"/>
      <c r="R1952" s="168"/>
      <c r="S1952" s="168"/>
      <c r="U1952" s="170"/>
      <c r="V1952" s="171"/>
      <c r="W1952" s="171"/>
      <c r="X1952" s="171"/>
      <c r="Y1952" s="185"/>
      <c r="Z1952" s="185"/>
    </row>
    <row r="1953" spans="4:26" x14ac:dyDescent="0.25">
      <c r="D1953" s="175"/>
      <c r="E1953" s="175"/>
      <c r="H1953" s="201"/>
      <c r="I1953" s="201"/>
      <c r="J1953" s="217"/>
      <c r="K1953" s="217"/>
      <c r="L1953" s="185"/>
      <c r="M1953" s="185"/>
      <c r="N1953" s="185"/>
      <c r="O1953" s="185"/>
      <c r="P1953" s="185"/>
      <c r="Q1953" s="185"/>
      <c r="R1953" s="168"/>
      <c r="S1953" s="168"/>
      <c r="U1953" s="170"/>
      <c r="V1953" s="171"/>
      <c r="W1953" s="171"/>
      <c r="X1953" s="171"/>
      <c r="Y1953" s="185"/>
      <c r="Z1953" s="185"/>
    </row>
    <row r="1954" spans="4:26" x14ac:dyDescent="0.25">
      <c r="D1954" s="175"/>
      <c r="E1954" s="175"/>
      <c r="H1954" s="201"/>
      <c r="I1954" s="201"/>
      <c r="J1954" s="217"/>
      <c r="K1954" s="217"/>
      <c r="L1954" s="185"/>
      <c r="M1954" s="185"/>
      <c r="N1954" s="185"/>
      <c r="O1954" s="185"/>
      <c r="P1954" s="185"/>
      <c r="Q1954" s="185"/>
      <c r="R1954" s="168"/>
      <c r="S1954" s="168"/>
      <c r="U1954" s="170"/>
      <c r="V1954" s="171"/>
      <c r="W1954" s="171"/>
      <c r="X1954" s="171"/>
      <c r="Y1954" s="185"/>
      <c r="Z1954" s="185"/>
    </row>
    <row r="1955" spans="4:26" x14ac:dyDescent="0.25">
      <c r="D1955" s="175"/>
      <c r="E1955" s="175"/>
      <c r="H1955" s="201"/>
      <c r="I1955" s="201"/>
      <c r="J1955" s="217"/>
      <c r="K1955" s="217"/>
      <c r="L1955" s="185"/>
      <c r="M1955" s="185"/>
      <c r="N1955" s="185"/>
      <c r="O1955" s="185"/>
      <c r="P1955" s="185"/>
      <c r="Q1955" s="185"/>
      <c r="R1955" s="168"/>
      <c r="S1955" s="168"/>
      <c r="U1955" s="170"/>
      <c r="V1955" s="171"/>
      <c r="W1955" s="171"/>
      <c r="X1955" s="171"/>
      <c r="Y1955" s="185"/>
      <c r="Z1955" s="185"/>
    </row>
    <row r="1956" spans="4:26" x14ac:dyDescent="0.25">
      <c r="D1956" s="175"/>
      <c r="E1956" s="175"/>
      <c r="H1956" s="201"/>
      <c r="I1956" s="201"/>
      <c r="J1956" s="217"/>
      <c r="K1956" s="217"/>
      <c r="L1956" s="185"/>
      <c r="M1956" s="185"/>
      <c r="N1956" s="185"/>
      <c r="O1956" s="185"/>
      <c r="P1956" s="185"/>
      <c r="Q1956" s="185"/>
      <c r="R1956" s="168"/>
      <c r="S1956" s="168"/>
      <c r="U1956" s="170"/>
      <c r="V1956" s="171"/>
      <c r="W1956" s="171"/>
      <c r="X1956" s="171"/>
      <c r="Y1956" s="185"/>
      <c r="Z1956" s="185"/>
    </row>
    <row r="1957" spans="4:26" x14ac:dyDescent="0.25">
      <c r="D1957" s="175"/>
      <c r="E1957" s="175"/>
      <c r="H1957" s="201"/>
      <c r="I1957" s="201"/>
      <c r="J1957" s="217"/>
      <c r="K1957" s="217"/>
      <c r="L1957" s="185"/>
      <c r="M1957" s="185"/>
      <c r="N1957" s="185"/>
      <c r="O1957" s="185"/>
      <c r="P1957" s="185"/>
      <c r="Q1957" s="185"/>
      <c r="R1957" s="168"/>
      <c r="S1957" s="168"/>
      <c r="U1957" s="170"/>
      <c r="V1957" s="171"/>
      <c r="W1957" s="171"/>
      <c r="X1957" s="171"/>
      <c r="Y1957" s="185"/>
      <c r="Z1957" s="185"/>
    </row>
    <row r="1958" spans="4:26" x14ac:dyDescent="0.25">
      <c r="D1958" s="175"/>
      <c r="E1958" s="175"/>
      <c r="H1958" s="201"/>
      <c r="I1958" s="201"/>
      <c r="J1958" s="217"/>
      <c r="K1958" s="217"/>
      <c r="L1958" s="185"/>
      <c r="M1958" s="185"/>
      <c r="N1958" s="185"/>
      <c r="O1958" s="185"/>
      <c r="P1958" s="185"/>
      <c r="Q1958" s="185"/>
      <c r="R1958" s="168"/>
      <c r="S1958" s="168"/>
      <c r="U1958" s="170"/>
      <c r="V1958" s="171"/>
      <c r="W1958" s="171"/>
      <c r="X1958" s="171"/>
      <c r="Y1958" s="185"/>
      <c r="Z1958" s="185"/>
    </row>
    <row r="1959" spans="4:26" x14ac:dyDescent="0.25">
      <c r="D1959" s="175"/>
      <c r="E1959" s="175"/>
      <c r="H1959" s="201"/>
      <c r="I1959" s="201"/>
      <c r="J1959" s="217"/>
      <c r="K1959" s="217"/>
      <c r="L1959" s="185"/>
      <c r="M1959" s="185"/>
      <c r="N1959" s="185"/>
      <c r="O1959" s="185"/>
      <c r="P1959" s="185"/>
      <c r="Q1959" s="185"/>
      <c r="R1959" s="168"/>
      <c r="S1959" s="168"/>
      <c r="U1959" s="170"/>
      <c r="V1959" s="171"/>
      <c r="W1959" s="171"/>
      <c r="X1959" s="171"/>
      <c r="Y1959" s="185"/>
      <c r="Z1959" s="185"/>
    </row>
    <row r="1960" spans="4:26" x14ac:dyDescent="0.25">
      <c r="D1960" s="175"/>
      <c r="E1960" s="175"/>
      <c r="H1960" s="201"/>
      <c r="I1960" s="201"/>
      <c r="J1960" s="217"/>
      <c r="K1960" s="217"/>
      <c r="L1960" s="185"/>
      <c r="M1960" s="185"/>
      <c r="N1960" s="185"/>
      <c r="O1960" s="185"/>
      <c r="P1960" s="185"/>
      <c r="Q1960" s="185"/>
      <c r="R1960" s="168"/>
      <c r="S1960" s="168"/>
      <c r="U1960" s="170"/>
      <c r="V1960" s="171"/>
      <c r="W1960" s="171"/>
      <c r="X1960" s="171"/>
      <c r="Y1960" s="185"/>
      <c r="Z1960" s="185"/>
    </row>
    <row r="1961" spans="4:26" x14ac:dyDescent="0.25">
      <c r="D1961" s="175"/>
      <c r="E1961" s="175"/>
      <c r="H1961" s="201"/>
      <c r="I1961" s="201"/>
      <c r="J1961" s="217"/>
      <c r="K1961" s="217"/>
      <c r="L1961" s="185"/>
      <c r="M1961" s="185"/>
      <c r="N1961" s="185"/>
      <c r="O1961" s="185"/>
      <c r="P1961" s="185"/>
      <c r="Q1961" s="185"/>
      <c r="R1961" s="168"/>
      <c r="S1961" s="168"/>
      <c r="U1961" s="170"/>
      <c r="V1961" s="171"/>
      <c r="W1961" s="171"/>
      <c r="X1961" s="171"/>
      <c r="Y1961" s="185"/>
      <c r="Z1961" s="185"/>
    </row>
    <row r="1962" spans="4:26" x14ac:dyDescent="0.25">
      <c r="D1962" s="175"/>
      <c r="E1962" s="175"/>
      <c r="H1962" s="201"/>
      <c r="I1962" s="201"/>
      <c r="J1962" s="217"/>
      <c r="K1962" s="217"/>
      <c r="L1962" s="185"/>
      <c r="M1962" s="185"/>
      <c r="N1962" s="185"/>
      <c r="O1962" s="185"/>
      <c r="P1962" s="185"/>
      <c r="Q1962" s="185"/>
      <c r="R1962" s="168"/>
      <c r="S1962" s="168"/>
      <c r="U1962" s="170"/>
      <c r="V1962" s="171"/>
      <c r="W1962" s="171"/>
      <c r="X1962" s="171"/>
      <c r="Y1962" s="185"/>
      <c r="Z1962" s="185"/>
    </row>
    <row r="1963" spans="4:26" x14ac:dyDescent="0.25">
      <c r="D1963" s="175"/>
      <c r="E1963" s="175"/>
      <c r="H1963" s="201"/>
      <c r="I1963" s="201"/>
      <c r="J1963" s="217"/>
      <c r="K1963" s="217"/>
      <c r="L1963" s="185"/>
      <c r="M1963" s="185"/>
      <c r="N1963" s="185"/>
      <c r="O1963" s="185"/>
      <c r="P1963" s="185"/>
      <c r="Q1963" s="185"/>
      <c r="R1963" s="168"/>
      <c r="S1963" s="168"/>
      <c r="U1963" s="170"/>
      <c r="V1963" s="171"/>
      <c r="W1963" s="171"/>
      <c r="X1963" s="171"/>
      <c r="Y1963" s="185"/>
      <c r="Z1963" s="185"/>
    </row>
    <row r="1964" spans="4:26" x14ac:dyDescent="0.25">
      <c r="D1964" s="175"/>
      <c r="E1964" s="175"/>
      <c r="H1964" s="201"/>
      <c r="I1964" s="201"/>
      <c r="J1964" s="217"/>
      <c r="K1964" s="217"/>
      <c r="L1964" s="185"/>
      <c r="M1964" s="185"/>
      <c r="N1964" s="185"/>
      <c r="O1964" s="185"/>
      <c r="P1964" s="185"/>
      <c r="Q1964" s="185"/>
      <c r="R1964" s="168"/>
      <c r="S1964" s="168"/>
      <c r="U1964" s="170"/>
      <c r="V1964" s="171"/>
      <c r="W1964" s="171"/>
      <c r="X1964" s="171"/>
      <c r="Y1964" s="185"/>
      <c r="Z1964" s="185"/>
    </row>
    <row r="1965" spans="4:26" x14ac:dyDescent="0.25">
      <c r="D1965" s="175"/>
      <c r="E1965" s="175"/>
      <c r="H1965" s="201"/>
      <c r="I1965" s="201"/>
      <c r="J1965" s="217"/>
      <c r="K1965" s="217"/>
      <c r="L1965" s="185"/>
      <c r="M1965" s="185"/>
      <c r="N1965" s="185"/>
      <c r="O1965" s="185"/>
      <c r="P1965" s="185"/>
      <c r="Q1965" s="185"/>
      <c r="R1965" s="168"/>
      <c r="S1965" s="168"/>
      <c r="U1965" s="170"/>
      <c r="V1965" s="171"/>
      <c r="W1965" s="171"/>
      <c r="X1965" s="171"/>
      <c r="Y1965" s="185"/>
      <c r="Z1965" s="185"/>
    </row>
    <row r="1966" spans="4:26" x14ac:dyDescent="0.25">
      <c r="D1966" s="175"/>
      <c r="E1966" s="175"/>
      <c r="H1966" s="201"/>
      <c r="I1966" s="201"/>
      <c r="J1966" s="217"/>
      <c r="K1966" s="217"/>
      <c r="L1966" s="185"/>
      <c r="M1966" s="185"/>
      <c r="N1966" s="185"/>
      <c r="O1966" s="185"/>
      <c r="P1966" s="185"/>
      <c r="Q1966" s="185"/>
      <c r="R1966" s="168"/>
      <c r="S1966" s="168"/>
      <c r="U1966" s="170"/>
      <c r="V1966" s="171"/>
      <c r="W1966" s="171"/>
      <c r="X1966" s="171"/>
      <c r="Y1966" s="185"/>
      <c r="Z1966" s="185"/>
    </row>
    <row r="1967" spans="4:26" x14ac:dyDescent="0.25">
      <c r="D1967" s="175"/>
      <c r="E1967" s="175"/>
      <c r="H1967" s="201"/>
      <c r="I1967" s="201"/>
      <c r="J1967" s="217"/>
      <c r="K1967" s="217"/>
      <c r="L1967" s="185"/>
      <c r="M1967" s="185"/>
      <c r="N1967" s="185"/>
      <c r="O1967" s="185"/>
      <c r="P1967" s="185"/>
      <c r="Q1967" s="185"/>
      <c r="R1967" s="168"/>
      <c r="S1967" s="168"/>
      <c r="U1967" s="170"/>
      <c r="V1967" s="171"/>
      <c r="W1967" s="171"/>
      <c r="X1967" s="171"/>
      <c r="Y1967" s="185"/>
      <c r="Z1967" s="185"/>
    </row>
    <row r="1968" spans="4:26" x14ac:dyDescent="0.25">
      <c r="D1968" s="175"/>
      <c r="E1968" s="175"/>
      <c r="H1968" s="201"/>
      <c r="I1968" s="201"/>
      <c r="J1968" s="217"/>
      <c r="K1968" s="217"/>
      <c r="L1968" s="185"/>
      <c r="M1968" s="185"/>
      <c r="N1968" s="185"/>
      <c r="O1968" s="185"/>
      <c r="P1968" s="185"/>
      <c r="Q1968" s="185"/>
      <c r="R1968" s="168"/>
      <c r="S1968" s="168"/>
      <c r="U1968" s="170"/>
      <c r="V1968" s="171"/>
      <c r="W1968" s="171"/>
      <c r="X1968" s="171"/>
      <c r="Y1968" s="185"/>
      <c r="Z1968" s="185"/>
    </row>
    <row r="1969" spans="4:26" x14ac:dyDescent="0.25">
      <c r="D1969" s="175"/>
      <c r="E1969" s="175"/>
      <c r="H1969" s="201"/>
      <c r="I1969" s="201"/>
      <c r="J1969" s="217"/>
      <c r="K1969" s="217"/>
      <c r="L1969" s="185"/>
      <c r="M1969" s="185"/>
      <c r="N1969" s="185"/>
      <c r="O1969" s="185"/>
      <c r="P1969" s="185"/>
      <c r="Q1969" s="185"/>
      <c r="R1969" s="168"/>
      <c r="S1969" s="168"/>
      <c r="U1969" s="170"/>
      <c r="V1969" s="171"/>
      <c r="W1969" s="171"/>
      <c r="X1969" s="171"/>
      <c r="Y1969" s="185"/>
      <c r="Z1969" s="185"/>
    </row>
    <row r="1970" spans="4:26" x14ac:dyDescent="0.25">
      <c r="D1970" s="175"/>
      <c r="E1970" s="175"/>
      <c r="H1970" s="201"/>
      <c r="I1970" s="201"/>
      <c r="J1970" s="217"/>
      <c r="K1970" s="217"/>
      <c r="L1970" s="185"/>
      <c r="M1970" s="185"/>
      <c r="N1970" s="185"/>
      <c r="O1970" s="185"/>
      <c r="P1970" s="185"/>
      <c r="Q1970" s="185"/>
      <c r="R1970" s="168"/>
      <c r="S1970" s="168"/>
      <c r="U1970" s="170"/>
      <c r="V1970" s="171"/>
      <c r="W1970" s="171"/>
      <c r="X1970" s="171"/>
      <c r="Y1970" s="185"/>
      <c r="Z1970" s="185"/>
    </row>
  </sheetData>
  <sortState xmlns:xlrd2="http://schemas.microsoft.com/office/spreadsheetml/2017/richdata2" ref="A2:AB403">
    <sortCondition ref="A2:A403"/>
    <sortCondition ref="C2:C403"/>
  </sortState>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AB039-7F4F-43D1-9055-EBD5B74C6820}">
  <sheetPr codeName="Sheet24"/>
  <dimension ref="A1:B88"/>
  <sheetViews>
    <sheetView workbookViewId="0"/>
  </sheetViews>
  <sheetFormatPr defaultRowHeight="15" x14ac:dyDescent="0.25"/>
  <cols>
    <col min="1" max="1" width="146.140625" bestFit="1" customWidth="1"/>
    <col min="2" max="2" width="17.28515625" bestFit="1" customWidth="1"/>
  </cols>
  <sheetData>
    <row r="1" spans="1:2" x14ac:dyDescent="0.25">
      <c r="A1" s="166" t="s">
        <v>238</v>
      </c>
      <c r="B1" s="166" t="s">
        <v>1059</v>
      </c>
    </row>
    <row r="2" spans="1:2" x14ac:dyDescent="0.25">
      <c r="A2" s="167" t="s">
        <v>252</v>
      </c>
      <c r="B2" s="166" t="s">
        <v>1067</v>
      </c>
    </row>
    <row r="3" spans="1:2" x14ac:dyDescent="0.25">
      <c r="A3" s="167" t="s">
        <v>254</v>
      </c>
      <c r="B3" s="166" t="s">
        <v>1068</v>
      </c>
    </row>
    <row r="4" spans="1:2" x14ac:dyDescent="0.25">
      <c r="A4" s="167" t="s">
        <v>256</v>
      </c>
      <c r="B4" s="166" t="s">
        <v>1069</v>
      </c>
    </row>
    <row r="5" spans="1:2" x14ac:dyDescent="0.25">
      <c r="A5" s="167" t="s">
        <v>260</v>
      </c>
      <c r="B5" s="166" t="s">
        <v>1070</v>
      </c>
    </row>
    <row r="6" spans="1:2" x14ac:dyDescent="0.25">
      <c r="A6" s="167" t="s">
        <v>268</v>
      </c>
      <c r="B6" s="166" t="s">
        <v>1071</v>
      </c>
    </row>
    <row r="7" spans="1:2" x14ac:dyDescent="0.25">
      <c r="A7" s="167" t="s">
        <v>270</v>
      </c>
      <c r="B7" s="166" t="s">
        <v>1072</v>
      </c>
    </row>
    <row r="8" spans="1:2" x14ac:dyDescent="0.25">
      <c r="A8" s="167" t="s">
        <v>1049</v>
      </c>
      <c r="B8" s="166" t="s">
        <v>1073</v>
      </c>
    </row>
    <row r="9" spans="1:2" x14ac:dyDescent="0.25">
      <c r="A9" s="167" t="s">
        <v>273</v>
      </c>
      <c r="B9" s="166" t="s">
        <v>1074</v>
      </c>
    </row>
    <row r="10" spans="1:2" x14ac:dyDescent="0.25">
      <c r="A10" s="167" t="s">
        <v>273</v>
      </c>
      <c r="B10" s="166" t="s">
        <v>1074</v>
      </c>
    </row>
    <row r="11" spans="1:2" x14ac:dyDescent="0.25">
      <c r="A11" s="167" t="s">
        <v>275</v>
      </c>
      <c r="B11" s="166" t="s">
        <v>1075</v>
      </c>
    </row>
    <row r="12" spans="1:2" x14ac:dyDescent="0.25">
      <c r="A12" s="167" t="s">
        <v>276</v>
      </c>
      <c r="B12" s="166" t="s">
        <v>1076</v>
      </c>
    </row>
    <row r="13" spans="1:2" x14ac:dyDescent="0.25">
      <c r="A13" s="167" t="s">
        <v>278</v>
      </c>
      <c r="B13" s="166" t="s">
        <v>1077</v>
      </c>
    </row>
    <row r="14" spans="1:2" x14ac:dyDescent="0.25">
      <c r="A14" s="167" t="s">
        <v>279</v>
      </c>
      <c r="B14" s="166" t="s">
        <v>1078</v>
      </c>
    </row>
    <row r="15" spans="1:2" x14ac:dyDescent="0.25">
      <c r="A15" s="167" t="s">
        <v>280</v>
      </c>
      <c r="B15" s="166" t="s">
        <v>1079</v>
      </c>
    </row>
    <row r="16" spans="1:2" x14ac:dyDescent="0.25">
      <c r="A16" s="167" t="s">
        <v>1035</v>
      </c>
      <c r="B16" s="166" t="s">
        <v>1080</v>
      </c>
    </row>
    <row r="17" spans="1:2" x14ac:dyDescent="0.25">
      <c r="A17" s="167" t="s">
        <v>286</v>
      </c>
      <c r="B17" s="166" t="s">
        <v>1064</v>
      </c>
    </row>
    <row r="18" spans="1:2" x14ac:dyDescent="0.25">
      <c r="A18" s="167" t="s">
        <v>287</v>
      </c>
      <c r="B18" s="166" t="s">
        <v>1081</v>
      </c>
    </row>
    <row r="19" spans="1:2" x14ac:dyDescent="0.25">
      <c r="A19" s="167" t="s">
        <v>288</v>
      </c>
      <c r="B19" s="166" t="s">
        <v>1082</v>
      </c>
    </row>
    <row r="20" spans="1:2" x14ac:dyDescent="0.25">
      <c r="A20" s="167" t="s">
        <v>289</v>
      </c>
      <c r="B20" s="166" t="s">
        <v>1083</v>
      </c>
    </row>
    <row r="21" spans="1:2" x14ac:dyDescent="0.25">
      <c r="A21" s="167" t="s">
        <v>293</v>
      </c>
      <c r="B21" s="166" t="s">
        <v>1084</v>
      </c>
    </row>
    <row r="22" spans="1:2" x14ac:dyDescent="0.25">
      <c r="A22" s="167" t="s">
        <v>294</v>
      </c>
      <c r="B22" s="166" t="s">
        <v>1085</v>
      </c>
    </row>
    <row r="23" spans="1:2" x14ac:dyDescent="0.25">
      <c r="A23" s="167" t="s">
        <v>295</v>
      </c>
      <c r="B23" s="166" t="s">
        <v>1086</v>
      </c>
    </row>
    <row r="24" spans="1:2" x14ac:dyDescent="0.25">
      <c r="A24" s="167" t="s">
        <v>297</v>
      </c>
      <c r="B24" s="166" t="s">
        <v>1087</v>
      </c>
    </row>
    <row r="25" spans="1:2" x14ac:dyDescent="0.25">
      <c r="A25" s="167" t="s">
        <v>299</v>
      </c>
      <c r="B25" s="166" t="s">
        <v>1088</v>
      </c>
    </row>
    <row r="26" spans="1:2" x14ac:dyDescent="0.25">
      <c r="A26" s="167" t="s">
        <v>1036</v>
      </c>
      <c r="B26" s="166" t="s">
        <v>1089</v>
      </c>
    </row>
    <row r="27" spans="1:2" x14ac:dyDescent="0.25">
      <c r="A27" s="167" t="s">
        <v>302</v>
      </c>
      <c r="B27" s="166" t="s">
        <v>1090</v>
      </c>
    </row>
    <row r="28" spans="1:2" x14ac:dyDescent="0.25">
      <c r="A28" s="167" t="s">
        <v>304</v>
      </c>
      <c r="B28" s="166" t="s">
        <v>1091</v>
      </c>
    </row>
    <row r="29" spans="1:2" x14ac:dyDescent="0.25">
      <c r="A29" s="167" t="s">
        <v>305</v>
      </c>
      <c r="B29" s="166" t="s">
        <v>1092</v>
      </c>
    </row>
    <row r="30" spans="1:2" x14ac:dyDescent="0.25">
      <c r="A30" s="167" t="s">
        <v>306</v>
      </c>
      <c r="B30" s="166" t="s">
        <v>1093</v>
      </c>
    </row>
    <row r="31" spans="1:2" x14ac:dyDescent="0.25">
      <c r="A31" s="167" t="s">
        <v>308</v>
      </c>
      <c r="B31" s="166" t="s">
        <v>1094</v>
      </c>
    </row>
    <row r="32" spans="1:2" x14ac:dyDescent="0.25">
      <c r="A32" s="167" t="s">
        <v>310</v>
      </c>
      <c r="B32" s="166" t="s">
        <v>1095</v>
      </c>
    </row>
    <row r="33" spans="1:2" x14ac:dyDescent="0.25">
      <c r="A33" s="167" t="s">
        <v>312</v>
      </c>
      <c r="B33" s="166" t="s">
        <v>1096</v>
      </c>
    </row>
    <row r="34" spans="1:2" x14ac:dyDescent="0.25">
      <c r="A34" s="167" t="s">
        <v>314</v>
      </c>
      <c r="B34" s="166" t="s">
        <v>1097</v>
      </c>
    </row>
    <row r="35" spans="1:2" x14ac:dyDescent="0.25">
      <c r="A35" s="167" t="s">
        <v>317</v>
      </c>
      <c r="B35" s="166" t="s">
        <v>1098</v>
      </c>
    </row>
    <row r="36" spans="1:2" x14ac:dyDescent="0.25">
      <c r="A36" s="167" t="s">
        <v>319</v>
      </c>
      <c r="B36" s="166" t="s">
        <v>1099</v>
      </c>
    </row>
    <row r="37" spans="1:2" x14ac:dyDescent="0.25">
      <c r="A37" s="167" t="s">
        <v>319</v>
      </c>
      <c r="B37" s="166" t="s">
        <v>1099</v>
      </c>
    </row>
    <row r="38" spans="1:2" x14ac:dyDescent="0.25">
      <c r="A38" s="167" t="s">
        <v>322</v>
      </c>
      <c r="B38" s="166" t="s">
        <v>1100</v>
      </c>
    </row>
    <row r="39" spans="1:2" x14ac:dyDescent="0.25">
      <c r="A39" s="167" t="s">
        <v>310</v>
      </c>
      <c r="B39" s="166" t="s">
        <v>1095</v>
      </c>
    </row>
    <row r="40" spans="1:2" x14ac:dyDescent="0.25">
      <c r="A40" s="167" t="s">
        <v>326</v>
      </c>
      <c r="B40" s="166" t="s">
        <v>1101</v>
      </c>
    </row>
    <row r="41" spans="1:2" x14ac:dyDescent="0.25">
      <c r="A41" s="167" t="s">
        <v>327</v>
      </c>
      <c r="B41" s="166" t="s">
        <v>1102</v>
      </c>
    </row>
    <row r="42" spans="1:2" x14ac:dyDescent="0.25">
      <c r="A42" s="167" t="s">
        <v>328</v>
      </c>
      <c r="B42" s="166" t="s">
        <v>1103</v>
      </c>
    </row>
    <row r="43" spans="1:2" x14ac:dyDescent="0.25">
      <c r="A43" s="167" t="s">
        <v>331</v>
      </c>
      <c r="B43" s="166" t="s">
        <v>1104</v>
      </c>
    </row>
    <row r="44" spans="1:2" x14ac:dyDescent="0.25">
      <c r="A44" s="167" t="s">
        <v>331</v>
      </c>
      <c r="B44" s="166" t="s">
        <v>1104</v>
      </c>
    </row>
    <row r="45" spans="1:2" x14ac:dyDescent="0.25">
      <c r="A45" s="167" t="s">
        <v>334</v>
      </c>
      <c r="B45" s="166" t="s">
        <v>1105</v>
      </c>
    </row>
    <row r="46" spans="1:2" x14ac:dyDescent="0.25">
      <c r="A46" s="167" t="s">
        <v>335</v>
      </c>
      <c r="B46" s="166" t="s">
        <v>1106</v>
      </c>
    </row>
    <row r="47" spans="1:2" x14ac:dyDescent="0.25">
      <c r="A47" s="167" t="s">
        <v>337</v>
      </c>
      <c r="B47" s="166" t="s">
        <v>1107</v>
      </c>
    </row>
    <row r="48" spans="1:2" x14ac:dyDescent="0.25">
      <c r="A48" s="167" t="s">
        <v>339</v>
      </c>
      <c r="B48" s="166" t="s">
        <v>1108</v>
      </c>
    </row>
    <row r="49" spans="1:2" x14ac:dyDescent="0.25">
      <c r="A49" s="167" t="s">
        <v>341</v>
      </c>
      <c r="B49" s="166" t="s">
        <v>1109</v>
      </c>
    </row>
    <row r="50" spans="1:2" x14ac:dyDescent="0.25">
      <c r="A50" s="167" t="s">
        <v>343</v>
      </c>
      <c r="B50" s="166" t="s">
        <v>1110</v>
      </c>
    </row>
    <row r="51" spans="1:2" x14ac:dyDescent="0.25">
      <c r="A51" s="167" t="s">
        <v>1037</v>
      </c>
      <c r="B51" s="166" t="s">
        <v>1111</v>
      </c>
    </row>
    <row r="52" spans="1:2" x14ac:dyDescent="0.25">
      <c r="A52" s="167" t="s">
        <v>1038</v>
      </c>
      <c r="B52" s="166" t="s">
        <v>1061</v>
      </c>
    </row>
    <row r="53" spans="1:2" x14ac:dyDescent="0.25">
      <c r="A53" s="167" t="s">
        <v>1039</v>
      </c>
      <c r="B53" s="166" t="s">
        <v>1112</v>
      </c>
    </row>
    <row r="54" spans="1:2" x14ac:dyDescent="0.25">
      <c r="A54" s="167" t="s">
        <v>1040</v>
      </c>
      <c r="B54" s="166" t="s">
        <v>1060</v>
      </c>
    </row>
    <row r="55" spans="1:2" x14ac:dyDescent="0.25">
      <c r="A55" s="167" t="s">
        <v>1041</v>
      </c>
      <c r="B55" s="166" t="s">
        <v>1113</v>
      </c>
    </row>
    <row r="56" spans="1:2" x14ac:dyDescent="0.25">
      <c r="A56" s="167" t="s">
        <v>258</v>
      </c>
      <c r="B56" s="166" t="s">
        <v>1114</v>
      </c>
    </row>
    <row r="57" spans="1:2" x14ac:dyDescent="0.25">
      <c r="A57" s="167" t="s">
        <v>306</v>
      </c>
      <c r="B57" s="166" t="s">
        <v>1093</v>
      </c>
    </row>
    <row r="58" spans="1:2" x14ac:dyDescent="0.25">
      <c r="A58" s="167" t="s">
        <v>1042</v>
      </c>
      <c r="B58" s="166">
        <v>1</v>
      </c>
    </row>
    <row r="59" spans="1:2" x14ac:dyDescent="0.25">
      <c r="A59" s="167" t="s">
        <v>1042</v>
      </c>
      <c r="B59" s="166">
        <v>1</v>
      </c>
    </row>
    <row r="60" spans="1:2" x14ac:dyDescent="0.25">
      <c r="A60" s="167" t="s">
        <v>278</v>
      </c>
      <c r="B60" s="166" t="s">
        <v>1077</v>
      </c>
    </row>
    <row r="61" spans="1:2" x14ac:dyDescent="0.25">
      <c r="A61" s="167" t="s">
        <v>328</v>
      </c>
      <c r="B61" s="166" t="s">
        <v>1103</v>
      </c>
    </row>
    <row r="62" spans="1:2" x14ac:dyDescent="0.25">
      <c r="A62" s="167" t="s">
        <v>1035</v>
      </c>
      <c r="B62" s="166" t="s">
        <v>1080</v>
      </c>
    </row>
    <row r="63" spans="1:2" x14ac:dyDescent="0.25">
      <c r="A63" s="167" t="s">
        <v>334</v>
      </c>
      <c r="B63" s="166" t="s">
        <v>1105</v>
      </c>
    </row>
    <row r="64" spans="1:2" x14ac:dyDescent="0.25">
      <c r="A64" s="167" t="s">
        <v>1036</v>
      </c>
      <c r="B64" s="166" t="s">
        <v>1089</v>
      </c>
    </row>
    <row r="65" spans="1:2" x14ac:dyDescent="0.25">
      <c r="A65" s="167" t="s">
        <v>288</v>
      </c>
      <c r="B65" s="166" t="s">
        <v>1082</v>
      </c>
    </row>
    <row r="66" spans="1:2" x14ac:dyDescent="0.25">
      <c r="A66" s="167" t="s">
        <v>1043</v>
      </c>
      <c r="B66" s="166" t="s">
        <v>1115</v>
      </c>
    </row>
    <row r="67" spans="1:2" x14ac:dyDescent="0.25">
      <c r="A67" s="167" t="s">
        <v>1053</v>
      </c>
      <c r="B67" s="167" t="s">
        <v>1053</v>
      </c>
    </row>
    <row r="68" spans="1:2" x14ac:dyDescent="0.25">
      <c r="A68" s="167" t="s">
        <v>1044</v>
      </c>
      <c r="B68" s="166" t="s">
        <v>1062</v>
      </c>
    </row>
    <row r="69" spans="1:2" x14ac:dyDescent="0.25">
      <c r="A69" s="167" t="s">
        <v>1053</v>
      </c>
      <c r="B69" s="167" t="s">
        <v>1053</v>
      </c>
    </row>
    <row r="70" spans="1:2" x14ac:dyDescent="0.25">
      <c r="A70" s="167" t="s">
        <v>1045</v>
      </c>
      <c r="B70" s="166" t="s">
        <v>1063</v>
      </c>
    </row>
    <row r="71" spans="1:2" x14ac:dyDescent="0.25">
      <c r="A71" s="167" t="s">
        <v>1046</v>
      </c>
      <c r="B71" s="166" t="s">
        <v>1116</v>
      </c>
    </row>
    <row r="72" spans="1:2" x14ac:dyDescent="0.25">
      <c r="A72" s="167" t="s">
        <v>1053</v>
      </c>
      <c r="B72" s="167" t="s">
        <v>1053</v>
      </c>
    </row>
    <row r="73" spans="1:2" x14ac:dyDescent="0.25">
      <c r="A73" s="167" t="s">
        <v>1047</v>
      </c>
      <c r="B73" s="166" t="s">
        <v>1117</v>
      </c>
    </row>
    <row r="74" spans="1:2" x14ac:dyDescent="0.25">
      <c r="A74" s="167" t="s">
        <v>279</v>
      </c>
      <c r="B74" s="166" t="s">
        <v>1078</v>
      </c>
    </row>
    <row r="75" spans="1:2" x14ac:dyDescent="0.25">
      <c r="A75" s="167" t="s">
        <v>1048</v>
      </c>
      <c r="B75" s="166" t="s">
        <v>1118</v>
      </c>
    </row>
    <row r="76" spans="1:2" x14ac:dyDescent="0.25">
      <c r="A76" s="167" t="s">
        <v>1049</v>
      </c>
      <c r="B76" s="166" t="s">
        <v>1073</v>
      </c>
    </row>
    <row r="77" spans="1:2" x14ac:dyDescent="0.25">
      <c r="A77" s="167" t="s">
        <v>1049</v>
      </c>
      <c r="B77" s="166" t="s">
        <v>1073</v>
      </c>
    </row>
    <row r="78" spans="1:2" x14ac:dyDescent="0.25">
      <c r="A78" s="167" t="s">
        <v>1050</v>
      </c>
      <c r="B78" s="166" t="s">
        <v>1119</v>
      </c>
    </row>
    <row r="79" spans="1:2" x14ac:dyDescent="0.25">
      <c r="A79" s="167" t="s">
        <v>286</v>
      </c>
      <c r="B79" s="166" t="s">
        <v>1064</v>
      </c>
    </row>
    <row r="80" spans="1:2" x14ac:dyDescent="0.25">
      <c r="A80" s="167" t="s">
        <v>1051</v>
      </c>
      <c r="B80" s="166" t="s">
        <v>1120</v>
      </c>
    </row>
    <row r="81" spans="1:2" x14ac:dyDescent="0.25">
      <c r="A81" s="167" t="s">
        <v>1014</v>
      </c>
      <c r="B81" s="166" t="s">
        <v>1121</v>
      </c>
    </row>
    <row r="82" spans="1:2" x14ac:dyDescent="0.25">
      <c r="A82" s="167" t="s">
        <v>1054</v>
      </c>
      <c r="B82" s="166" t="s">
        <v>1065</v>
      </c>
    </row>
    <row r="83" spans="1:2" x14ac:dyDescent="0.25">
      <c r="A83" s="167" t="s">
        <v>327</v>
      </c>
      <c r="B83" s="166" t="s">
        <v>1102</v>
      </c>
    </row>
    <row r="84" spans="1:2" x14ac:dyDescent="0.25">
      <c r="A84" s="167" t="s">
        <v>1043</v>
      </c>
      <c r="B84" s="166" t="s">
        <v>1115</v>
      </c>
    </row>
    <row r="85" spans="1:2" x14ac:dyDescent="0.25">
      <c r="A85" s="167" t="s">
        <v>329</v>
      </c>
      <c r="B85" s="166" t="s">
        <v>1122</v>
      </c>
    </row>
    <row r="86" spans="1:2" x14ac:dyDescent="0.25">
      <c r="A86" s="167" t="s">
        <v>1055</v>
      </c>
      <c r="B86" s="166" t="s">
        <v>1066</v>
      </c>
    </row>
    <row r="87" spans="1:2" x14ac:dyDescent="0.25">
      <c r="A87" s="167" t="s">
        <v>1123</v>
      </c>
      <c r="B87" s="167" t="s">
        <v>1124</v>
      </c>
    </row>
    <row r="88" spans="1:2" x14ac:dyDescent="0.25">
      <c r="A88" s="167" t="s">
        <v>1057</v>
      </c>
      <c r="B88" s="167" t="s">
        <v>1088</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FFDCC-FF36-46C3-8415-DA7B3D9C1E23}">
  <sheetPr codeName="Sheet25"/>
  <dimension ref="B23:L164"/>
  <sheetViews>
    <sheetView workbookViewId="0"/>
  </sheetViews>
  <sheetFormatPr defaultRowHeight="15" x14ac:dyDescent="0.25"/>
  <sheetData>
    <row r="23" spans="2:8" s="139" customFormat="1" x14ac:dyDescent="0.25"/>
    <row r="24" spans="2:8" s="139" customFormat="1" x14ac:dyDescent="0.25">
      <c r="B24" s="140" t="s">
        <v>961</v>
      </c>
    </row>
    <row r="25" spans="2:8" s="139" customFormat="1" x14ac:dyDescent="0.25"/>
    <row r="26" spans="2:8" s="139" customFormat="1" x14ac:dyDescent="0.25">
      <c r="C26" s="138" t="s">
        <v>723</v>
      </c>
      <c r="D26" s="138" t="s">
        <v>724</v>
      </c>
      <c r="E26" s="138" t="s">
        <v>725</v>
      </c>
      <c r="F26" s="138" t="s">
        <v>726</v>
      </c>
      <c r="G26" s="138"/>
      <c r="H26" s="138"/>
    </row>
    <row r="27" spans="2:8" s="139" customFormat="1" x14ac:dyDescent="0.25">
      <c r="B27" s="139" t="s">
        <v>722</v>
      </c>
      <c r="C27" s="142">
        <v>0.215</v>
      </c>
      <c r="D27" s="142">
        <v>6.0999999999999999E-2</v>
      </c>
      <c r="E27" s="142">
        <v>2.3E-2</v>
      </c>
      <c r="F27" s="143">
        <v>0.01</v>
      </c>
      <c r="G27" s="138" t="s">
        <v>727</v>
      </c>
    </row>
    <row r="28" spans="2:8" s="139" customFormat="1" x14ac:dyDescent="0.25">
      <c r="C28" s="139" t="s">
        <v>729</v>
      </c>
      <c r="D28" s="144"/>
      <c r="G28" s="138" t="s">
        <v>728</v>
      </c>
    </row>
    <row r="29" spans="2:8" s="139" customFormat="1" x14ac:dyDescent="0.25">
      <c r="C29" s="141" t="s">
        <v>730</v>
      </c>
      <c r="G29" s="138" t="s">
        <v>731</v>
      </c>
    </row>
    <row r="30" spans="2:8" s="139" customFormat="1" x14ac:dyDescent="0.25">
      <c r="C30" s="141" t="s">
        <v>733</v>
      </c>
      <c r="G30" s="145" t="s">
        <v>732</v>
      </c>
    </row>
    <row r="31" spans="2:8" s="139" customFormat="1" x14ac:dyDescent="0.25">
      <c r="C31" s="141" t="s">
        <v>735</v>
      </c>
      <c r="G31" s="138" t="s">
        <v>734</v>
      </c>
    </row>
    <row r="32" spans="2:8" s="139" customFormat="1" x14ac:dyDescent="0.25">
      <c r="C32" s="141" t="s">
        <v>738</v>
      </c>
      <c r="G32" s="138" t="s">
        <v>739</v>
      </c>
    </row>
    <row r="33" spans="2:12" s="139" customFormat="1" x14ac:dyDescent="0.25">
      <c r="C33" s="141" t="s">
        <v>740</v>
      </c>
      <c r="G33" s="138" t="s">
        <v>178</v>
      </c>
    </row>
    <row r="34" spans="2:12" s="139" customFormat="1" x14ac:dyDescent="0.25">
      <c r="B34" s="139" t="s">
        <v>736</v>
      </c>
      <c r="C34" s="141" t="s">
        <v>737</v>
      </c>
      <c r="G34" s="138" t="s">
        <v>734</v>
      </c>
    </row>
    <row r="35" spans="2:12" s="139" customFormat="1" x14ac:dyDescent="0.25">
      <c r="C35" s="141"/>
      <c r="L35" s="138"/>
    </row>
    <row r="36" spans="2:12" s="139" customFormat="1" x14ac:dyDescent="0.25">
      <c r="C36" s="141"/>
      <c r="L36" s="138"/>
    </row>
    <row r="37" spans="2:12" s="139" customFormat="1" x14ac:dyDescent="0.25">
      <c r="C37" s="141"/>
      <c r="L37" s="138"/>
    </row>
    <row r="38" spans="2:12" s="139" customFormat="1" x14ac:dyDescent="0.25">
      <c r="C38" s="141"/>
      <c r="L38" s="138"/>
    </row>
    <row r="39" spans="2:12" s="139" customFormat="1" x14ac:dyDescent="0.25"/>
    <row r="40" spans="2:12" s="139" customFormat="1" x14ac:dyDescent="0.25">
      <c r="B40" s="140" t="s">
        <v>741</v>
      </c>
    </row>
    <row r="41" spans="2:12" s="139" customFormat="1" x14ac:dyDescent="0.25"/>
    <row r="42" spans="2:12" s="139" customFormat="1" x14ac:dyDescent="0.25"/>
    <row r="43" spans="2:12" s="139" customFormat="1" x14ac:dyDescent="0.25"/>
    <row r="44" spans="2:12" s="139" customFormat="1" x14ac:dyDescent="0.25"/>
    <row r="45" spans="2:12" s="139" customFormat="1" x14ac:dyDescent="0.25"/>
    <row r="46" spans="2:12" s="139" customFormat="1" x14ac:dyDescent="0.25"/>
    <row r="47" spans="2:12" s="139" customFormat="1" x14ac:dyDescent="0.25"/>
    <row r="48" spans="2:12" s="139" customFormat="1" x14ac:dyDescent="0.25"/>
    <row r="49" s="139" customFormat="1" x14ac:dyDescent="0.25"/>
    <row r="50" s="139" customFormat="1" x14ac:dyDescent="0.25"/>
    <row r="51" s="139" customFormat="1" x14ac:dyDescent="0.25"/>
    <row r="52" s="139" customFormat="1" x14ac:dyDescent="0.25"/>
    <row r="53" s="139" customFormat="1" x14ac:dyDescent="0.25"/>
    <row r="54" s="139" customFormat="1" x14ac:dyDescent="0.25"/>
    <row r="55" s="139" customFormat="1" x14ac:dyDescent="0.25"/>
    <row r="56" s="139" customFormat="1" x14ac:dyDescent="0.25"/>
    <row r="57" s="139" customFormat="1" x14ac:dyDescent="0.25"/>
    <row r="58" s="139" customFormat="1" x14ac:dyDescent="0.25"/>
    <row r="59" s="139" customFormat="1" x14ac:dyDescent="0.25"/>
    <row r="60" s="139" customFormat="1" x14ac:dyDescent="0.25"/>
    <row r="61" s="139" customFormat="1" x14ac:dyDescent="0.25"/>
    <row r="62" s="139" customFormat="1" x14ac:dyDescent="0.25"/>
    <row r="63" s="139" customFormat="1" x14ac:dyDescent="0.25"/>
    <row r="64" s="139" customFormat="1" x14ac:dyDescent="0.25"/>
    <row r="65" spans="2:2" s="139" customFormat="1" x14ac:dyDescent="0.25"/>
    <row r="66" spans="2:2" s="139" customFormat="1" x14ac:dyDescent="0.25"/>
    <row r="67" spans="2:2" s="139" customFormat="1" x14ac:dyDescent="0.25"/>
    <row r="68" spans="2:2" s="139" customFormat="1" x14ac:dyDescent="0.25"/>
    <row r="69" spans="2:2" s="139" customFormat="1" x14ac:dyDescent="0.25"/>
    <row r="70" spans="2:2" s="139" customFormat="1" x14ac:dyDescent="0.25"/>
    <row r="71" spans="2:2" s="139" customFormat="1" x14ac:dyDescent="0.25"/>
    <row r="72" spans="2:2" s="139" customFormat="1" x14ac:dyDescent="0.25"/>
    <row r="73" spans="2:2" s="139" customFormat="1" x14ac:dyDescent="0.25"/>
    <row r="74" spans="2:2" s="139" customFormat="1" x14ac:dyDescent="0.25"/>
    <row r="75" spans="2:2" s="139" customFormat="1" x14ac:dyDescent="0.25"/>
    <row r="76" spans="2:2" s="139" customFormat="1" x14ac:dyDescent="0.25">
      <c r="B76" s="140" t="s">
        <v>602</v>
      </c>
    </row>
    <row r="77" spans="2:2" s="139" customFormat="1" x14ac:dyDescent="0.25"/>
    <row r="78" spans="2:2" s="139" customFormat="1" x14ac:dyDescent="0.25"/>
    <row r="79" spans="2:2" s="139" customFormat="1" x14ac:dyDescent="0.25"/>
    <row r="80" spans="2:2" s="139" customFormat="1" x14ac:dyDescent="0.25"/>
    <row r="81" s="139" customFormat="1" x14ac:dyDescent="0.25"/>
    <row r="82" s="139" customFormat="1" x14ac:dyDescent="0.25"/>
    <row r="83" s="139" customFormat="1" x14ac:dyDescent="0.25"/>
    <row r="84" s="139" customFormat="1" x14ac:dyDescent="0.25"/>
    <row r="85" s="139" customFormat="1" x14ac:dyDescent="0.25"/>
    <row r="86" s="139" customFormat="1" x14ac:dyDescent="0.25"/>
    <row r="87" s="139" customFormat="1" x14ac:dyDescent="0.25"/>
    <row r="88" s="139" customFormat="1" x14ac:dyDescent="0.25"/>
    <row r="89" s="139" customFormat="1" x14ac:dyDescent="0.25"/>
    <row r="90" s="139" customFormat="1" x14ac:dyDescent="0.25"/>
    <row r="91" s="139" customFormat="1" x14ac:dyDescent="0.25"/>
    <row r="92" s="139" customFormat="1" x14ac:dyDescent="0.25"/>
    <row r="93" s="139" customFormat="1" x14ac:dyDescent="0.25"/>
    <row r="94" s="139" customFormat="1" x14ac:dyDescent="0.25"/>
    <row r="95" s="139" customFormat="1" x14ac:dyDescent="0.25"/>
    <row r="96" s="139" customFormat="1" x14ac:dyDescent="0.25"/>
    <row r="97" spans="2:2" s="139" customFormat="1" x14ac:dyDescent="0.25"/>
    <row r="98" spans="2:2" s="139" customFormat="1" x14ac:dyDescent="0.25"/>
    <row r="99" spans="2:2" s="139" customFormat="1" x14ac:dyDescent="0.25"/>
    <row r="100" spans="2:2" s="139" customFormat="1" x14ac:dyDescent="0.25"/>
    <row r="101" spans="2:2" s="139" customFormat="1" x14ac:dyDescent="0.25"/>
    <row r="102" spans="2:2" s="139" customFormat="1" x14ac:dyDescent="0.25">
      <c r="B102" s="140" t="s">
        <v>742</v>
      </c>
    </row>
    <row r="103" spans="2:2" s="139" customFormat="1" x14ac:dyDescent="0.25"/>
    <row r="104" spans="2:2" s="139" customFormat="1" x14ac:dyDescent="0.25"/>
    <row r="105" spans="2:2" s="139" customFormat="1" x14ac:dyDescent="0.25"/>
    <row r="106" spans="2:2" s="139" customFormat="1" x14ac:dyDescent="0.25"/>
    <row r="107" spans="2:2" s="139" customFormat="1" x14ac:dyDescent="0.25"/>
    <row r="108" spans="2:2" s="139" customFormat="1" x14ac:dyDescent="0.25"/>
    <row r="109" spans="2:2" s="139" customFormat="1" x14ac:dyDescent="0.25"/>
    <row r="110" spans="2:2" s="139" customFormat="1" x14ac:dyDescent="0.25"/>
    <row r="111" spans="2:2" s="139" customFormat="1" x14ac:dyDescent="0.25"/>
    <row r="112" spans="2:2" s="139" customFormat="1" x14ac:dyDescent="0.25"/>
    <row r="113" s="139" customFormat="1" x14ac:dyDescent="0.25"/>
    <row r="114" s="139" customFormat="1" x14ac:dyDescent="0.25"/>
    <row r="115" s="139" customFormat="1" x14ac:dyDescent="0.25"/>
    <row r="116" s="139" customFormat="1" x14ac:dyDescent="0.25"/>
    <row r="117" s="139" customFormat="1" x14ac:dyDescent="0.25"/>
    <row r="118" s="139" customFormat="1" x14ac:dyDescent="0.25"/>
    <row r="119" s="139" customFormat="1" x14ac:dyDescent="0.25"/>
    <row r="120" s="139" customFormat="1" x14ac:dyDescent="0.25"/>
    <row r="121" s="139" customFormat="1" x14ac:dyDescent="0.25"/>
    <row r="122" s="139" customFormat="1" x14ac:dyDescent="0.25"/>
    <row r="123" s="139" customFormat="1" x14ac:dyDescent="0.25"/>
    <row r="124" s="139" customFormat="1" x14ac:dyDescent="0.25"/>
    <row r="125" s="139" customFormat="1" x14ac:dyDescent="0.25"/>
    <row r="126" s="139" customFormat="1" x14ac:dyDescent="0.25"/>
    <row r="127" s="139" customFormat="1" x14ac:dyDescent="0.25"/>
    <row r="128" s="139" customFormat="1" x14ac:dyDescent="0.25"/>
    <row r="129" s="139" customFormat="1" x14ac:dyDescent="0.25"/>
    <row r="130" s="139" customFormat="1" x14ac:dyDescent="0.25"/>
    <row r="131" s="139" customFormat="1" x14ac:dyDescent="0.25"/>
    <row r="132" s="139" customFormat="1" x14ac:dyDescent="0.25"/>
    <row r="133" s="139" customFormat="1" x14ac:dyDescent="0.25"/>
    <row r="134" s="139" customFormat="1" x14ac:dyDescent="0.25"/>
    <row r="135" s="139" customFormat="1" x14ac:dyDescent="0.25"/>
    <row r="136" s="139" customFormat="1" x14ac:dyDescent="0.25"/>
    <row r="137" s="139" customFormat="1" x14ac:dyDescent="0.25"/>
    <row r="138" s="139" customFormat="1" x14ac:dyDescent="0.25"/>
    <row r="139" s="139" customFormat="1" x14ac:dyDescent="0.25"/>
    <row r="140" s="139" customFormat="1" x14ac:dyDescent="0.25"/>
    <row r="141" s="139" customFormat="1" x14ac:dyDescent="0.25"/>
    <row r="142" s="139" customFormat="1" x14ac:dyDescent="0.25"/>
    <row r="143" s="139" customFormat="1" x14ac:dyDescent="0.25"/>
    <row r="144" s="139" customFormat="1" x14ac:dyDescent="0.25"/>
    <row r="145" s="139" customFormat="1" x14ac:dyDescent="0.25"/>
    <row r="146" s="139" customFormat="1" x14ac:dyDescent="0.25"/>
    <row r="147" s="139" customFormat="1" x14ac:dyDescent="0.25"/>
    <row r="148" s="139" customFormat="1" x14ac:dyDescent="0.25"/>
    <row r="149" s="139" customFormat="1" x14ac:dyDescent="0.25"/>
    <row r="150" s="139" customFormat="1" x14ac:dyDescent="0.25"/>
    <row r="151" s="139" customFormat="1" x14ac:dyDescent="0.25"/>
    <row r="152" s="139" customFormat="1" x14ac:dyDescent="0.25"/>
    <row r="153" s="139" customFormat="1" x14ac:dyDescent="0.25"/>
    <row r="154" s="139" customFormat="1" x14ac:dyDescent="0.25"/>
    <row r="155" s="139" customFormat="1" x14ac:dyDescent="0.25"/>
    <row r="156" s="139" customFormat="1" x14ac:dyDescent="0.25"/>
    <row r="157" s="139" customFormat="1" x14ac:dyDescent="0.25"/>
    <row r="158" s="139" customFormat="1" x14ac:dyDescent="0.25"/>
    <row r="159" s="139" customFormat="1" x14ac:dyDescent="0.25"/>
    <row r="160" s="139" customFormat="1" x14ac:dyDescent="0.25"/>
    <row r="161" s="139" customFormat="1" x14ac:dyDescent="0.25"/>
    <row r="162" s="139" customFormat="1" x14ac:dyDescent="0.25"/>
    <row r="163" s="139" customFormat="1" x14ac:dyDescent="0.25"/>
    <row r="164" s="139" customFormat="1" x14ac:dyDescent="0.25"/>
  </sheetData>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8962C3-F89D-4160-AFFE-21853616ECEA}">
  <sheetPr codeName="Sheet26"/>
  <dimension ref="A1:G120"/>
  <sheetViews>
    <sheetView workbookViewId="0">
      <selection activeCell="B1" sqref="B1"/>
    </sheetView>
  </sheetViews>
  <sheetFormatPr defaultRowHeight="15" x14ac:dyDescent="0.25"/>
  <cols>
    <col min="1" max="1" width="20.140625" customWidth="1"/>
    <col min="2" max="2" width="21" customWidth="1"/>
    <col min="3" max="3" width="14.7109375" style="4" customWidth="1"/>
    <col min="4" max="4" width="29.5703125" customWidth="1"/>
    <col min="5" max="5" width="24.85546875" bestFit="1" customWidth="1"/>
    <col min="7" max="7" width="33.42578125" bestFit="1" customWidth="1"/>
  </cols>
  <sheetData>
    <row r="1" spans="1:7" x14ac:dyDescent="0.25">
      <c r="A1" s="246" t="s">
        <v>2772</v>
      </c>
      <c r="B1" s="246" t="s">
        <v>1059</v>
      </c>
      <c r="C1" s="460" t="s">
        <v>357</v>
      </c>
      <c r="D1" s="246" t="s">
        <v>4577</v>
      </c>
      <c r="E1" s="246" t="s">
        <v>4578</v>
      </c>
    </row>
    <row r="2" spans="1:7" x14ac:dyDescent="0.25">
      <c r="A2" s="354">
        <v>1100000141</v>
      </c>
      <c r="B2" s="354" t="str">
        <f>VLOOKUP(A2,'Loan Book Summary'!C:G,5,FALSE)</f>
        <v>0015800000blLRK</v>
      </c>
      <c r="C2" s="274">
        <v>0.37514320519767774</v>
      </c>
      <c r="D2" s="354" t="s">
        <v>260</v>
      </c>
      <c r="E2" s="354" t="s">
        <v>168</v>
      </c>
      <c r="G2" s="434" t="s">
        <v>4583</v>
      </c>
    </row>
    <row r="3" spans="1:7" x14ac:dyDescent="0.25">
      <c r="A3" s="354">
        <v>1100000145</v>
      </c>
      <c r="B3" s="354" t="str">
        <f>VLOOKUP(A3,'Loan Book Summary'!C:G,5,FALSE)</f>
        <v>0015800000me5DQ</v>
      </c>
      <c r="C3" s="274">
        <v>0.2402</v>
      </c>
      <c r="D3" s="354" t="s">
        <v>275</v>
      </c>
      <c r="E3" s="354" t="s">
        <v>211</v>
      </c>
    </row>
    <row r="4" spans="1:7" x14ac:dyDescent="0.25">
      <c r="A4" s="354">
        <v>1100000199</v>
      </c>
      <c r="B4" s="354" t="str">
        <f>VLOOKUP(A4,'Loan Book Summary'!C:G,5,FALSE)</f>
        <v>00158000013gcxO</v>
      </c>
      <c r="C4" s="274">
        <v>0.42375534614710542</v>
      </c>
      <c r="D4" s="354" t="s">
        <v>279</v>
      </c>
      <c r="E4" s="354" t="s">
        <v>135</v>
      </c>
    </row>
    <row r="5" spans="1:7" x14ac:dyDescent="0.25">
      <c r="A5" s="354">
        <v>1100000198</v>
      </c>
      <c r="B5" s="354" t="str">
        <f>VLOOKUP(A5,'Loan Book Summary'!C:G,5,FALSE)</f>
        <v>00158000013gcxO</v>
      </c>
      <c r="C5" s="274">
        <v>0.42375534614710542</v>
      </c>
      <c r="D5" s="354" t="s">
        <v>279</v>
      </c>
      <c r="E5" s="354" t="s">
        <v>135</v>
      </c>
    </row>
    <row r="6" spans="1:7" x14ac:dyDescent="0.25">
      <c r="A6" s="354">
        <v>1100000205</v>
      </c>
      <c r="B6" s="354" t="str">
        <f>VLOOKUP(A6,'Loan Book Summary'!C:G,5,FALSE)</f>
        <v>0015800000dRt2K</v>
      </c>
      <c r="C6" s="274">
        <v>0.3637959654763534</v>
      </c>
      <c r="D6" s="354" t="s">
        <v>2754</v>
      </c>
      <c r="E6" s="354" t="s">
        <v>117</v>
      </c>
    </row>
    <row r="7" spans="1:7" x14ac:dyDescent="0.25">
      <c r="A7" s="354">
        <v>1100000168</v>
      </c>
      <c r="B7" s="354" t="str">
        <f>VLOOKUP(A7,'Loan Book Summary'!C:G,5,FALSE)</f>
        <v>0015800001Eo5rw</v>
      </c>
      <c r="C7" s="274">
        <v>0.1</v>
      </c>
      <c r="D7" s="354" t="s">
        <v>287</v>
      </c>
      <c r="E7" s="354" t="s">
        <v>132</v>
      </c>
    </row>
    <row r="8" spans="1:7" x14ac:dyDescent="0.25">
      <c r="A8" s="354">
        <v>1100000209</v>
      </c>
      <c r="B8" s="354" t="str">
        <f>VLOOKUP(A8,'Loan Book Summary'!C:G,5,FALSE)</f>
        <v>0015800000z8vOY</v>
      </c>
      <c r="C8" s="274">
        <v>0.35859999999999997</v>
      </c>
      <c r="D8" s="354" t="s">
        <v>288</v>
      </c>
      <c r="E8" s="354" t="s">
        <v>129</v>
      </c>
    </row>
    <row r="9" spans="1:7" x14ac:dyDescent="0.25">
      <c r="A9" s="354">
        <v>1100000175</v>
      </c>
      <c r="B9" s="354" t="str">
        <f>VLOOKUP(A9,'Loan Book Summary'!C:G,5,FALSE)</f>
        <v>0015800001Enl9O</v>
      </c>
      <c r="C9" s="274">
        <v>0.15358983630422796</v>
      </c>
      <c r="D9" s="354" t="s">
        <v>1318</v>
      </c>
      <c r="E9" s="354" t="s">
        <v>198</v>
      </c>
    </row>
    <row r="10" spans="1:7" x14ac:dyDescent="0.25">
      <c r="A10" s="354">
        <v>1100000144</v>
      </c>
      <c r="B10" s="354" t="str">
        <f>VLOOKUP(A10,'Loan Book Summary'!C:G,5,FALSE)</f>
        <v>0015800001Pfprh</v>
      </c>
      <c r="C10" s="274">
        <v>0.42289867849075702</v>
      </c>
      <c r="D10" s="354" t="s">
        <v>289</v>
      </c>
      <c r="E10" s="354" t="s">
        <v>112</v>
      </c>
    </row>
    <row r="11" spans="1:7" x14ac:dyDescent="0.25">
      <c r="A11" s="354">
        <v>1100000143</v>
      </c>
      <c r="B11" s="354" t="str">
        <f>VLOOKUP(A11,'Loan Book Summary'!C:G,5,FALSE)</f>
        <v>0015800000YDm0R</v>
      </c>
      <c r="C11" s="274">
        <v>0.256405868273481</v>
      </c>
      <c r="D11" s="354" t="s">
        <v>297</v>
      </c>
      <c r="E11" s="354" t="s">
        <v>164</v>
      </c>
    </row>
    <row r="12" spans="1:7" x14ac:dyDescent="0.25">
      <c r="A12" s="354">
        <v>1100000153</v>
      </c>
      <c r="B12" s="354" t="str">
        <f>VLOOKUP(A12,'Loan Book Summary'!C:G,5,FALSE)</f>
        <v>0015800001b11sC</v>
      </c>
      <c r="C12" s="274">
        <v>0.1613</v>
      </c>
      <c r="D12" s="354" t="s">
        <v>305</v>
      </c>
      <c r="E12" s="354" t="s">
        <v>212</v>
      </c>
    </row>
    <row r="13" spans="1:7" x14ac:dyDescent="0.25">
      <c r="A13" s="354">
        <v>1100000151</v>
      </c>
      <c r="B13" s="354" t="str">
        <f>VLOOKUP(A13,'Loan Book Summary'!C:G,5,FALSE)</f>
        <v>0015800001fH29a</v>
      </c>
      <c r="C13" s="274">
        <v>0.1</v>
      </c>
      <c r="D13" s="354" t="s">
        <v>310</v>
      </c>
      <c r="E13" s="354" t="s">
        <v>175</v>
      </c>
    </row>
    <row r="14" spans="1:7" x14ac:dyDescent="0.25">
      <c r="A14" s="354">
        <v>1100000186</v>
      </c>
      <c r="B14" s="354" t="str">
        <f>VLOOKUP(A14,'Loan Book Summary'!C:G,5,FALSE)</f>
        <v>0014I00001i941O</v>
      </c>
      <c r="C14" s="274">
        <v>0.30073707995253063</v>
      </c>
      <c r="D14" s="354" t="s">
        <v>319</v>
      </c>
      <c r="E14" s="354" t="s">
        <v>131</v>
      </c>
    </row>
    <row r="15" spans="1:7" x14ac:dyDescent="0.25">
      <c r="A15" s="354">
        <v>1100000187</v>
      </c>
      <c r="B15" s="354" t="str">
        <f>VLOOKUP(A15,'Loan Book Summary'!C:G,5,FALSE)</f>
        <v>0014I00001i941O</v>
      </c>
      <c r="C15" s="274">
        <v>0.30073707995253063</v>
      </c>
      <c r="D15" s="354" t="s">
        <v>319</v>
      </c>
      <c r="E15" s="354" t="s">
        <v>131</v>
      </c>
    </row>
    <row r="16" spans="1:7" x14ac:dyDescent="0.25">
      <c r="A16" s="354">
        <v>1100000171</v>
      </c>
      <c r="B16" s="354" t="str">
        <f>VLOOKUP(A16,'Loan Book Summary'!C:G,5,FALSE)</f>
        <v>0014I00001lzk4N</v>
      </c>
      <c r="C16" s="274">
        <v>0.15</v>
      </c>
      <c r="D16" s="354" t="s">
        <v>1389</v>
      </c>
      <c r="E16" s="354" t="s">
        <v>323</v>
      </c>
    </row>
    <row r="17" spans="1:5" x14ac:dyDescent="0.25">
      <c r="A17" s="354">
        <v>1100000223</v>
      </c>
      <c r="B17" s="354" t="str">
        <f>VLOOKUP(A17,'Loan Book Summary'!C:G,5,FALSE)</f>
        <v>0014I00001lGVkG</v>
      </c>
      <c r="C17" s="274">
        <v>0.15002895299620464</v>
      </c>
      <c r="D17" s="354" t="s">
        <v>1393</v>
      </c>
      <c r="E17" s="354" t="s">
        <v>202</v>
      </c>
    </row>
    <row r="18" spans="1:5" x14ac:dyDescent="0.25">
      <c r="A18" s="354">
        <v>1100000185</v>
      </c>
      <c r="B18" s="354" t="str">
        <f>VLOOKUP(A18,'Loan Book Summary'!C:G,5,FALSE)</f>
        <v>0014I00001oIXfG</v>
      </c>
      <c r="C18" s="274">
        <v>0.33850601215969001</v>
      </c>
      <c r="D18" s="354" t="s">
        <v>327</v>
      </c>
      <c r="E18" s="354" t="s">
        <v>121</v>
      </c>
    </row>
    <row r="19" spans="1:5" x14ac:dyDescent="0.25">
      <c r="A19" s="354">
        <v>1100000152</v>
      </c>
      <c r="B19" s="354" t="str">
        <f>VLOOKUP(A19,'Loan Book Summary'!C:G,5,FALSE)</f>
        <v>0015800001fH29a</v>
      </c>
      <c r="C19" s="274">
        <v>0.1</v>
      </c>
      <c r="D19" s="354" t="s">
        <v>310</v>
      </c>
      <c r="E19" s="354" t="s">
        <v>175</v>
      </c>
    </row>
    <row r="20" spans="1:5" x14ac:dyDescent="0.25">
      <c r="A20" s="354">
        <v>1100000002</v>
      </c>
      <c r="B20" s="354" t="str">
        <f>VLOOKUP(A20,'Loan Book Summary'!C:G,5,FALSE)</f>
        <v>0014I00001jTjtP</v>
      </c>
      <c r="C20" s="274">
        <v>0.15</v>
      </c>
      <c r="D20" s="354" t="s">
        <v>1397</v>
      </c>
      <c r="E20" s="354" t="s">
        <v>203</v>
      </c>
    </row>
    <row r="21" spans="1:5" x14ac:dyDescent="0.25">
      <c r="A21" s="354">
        <v>1100000202</v>
      </c>
      <c r="B21" s="354" t="str">
        <f>VLOOKUP(A21,'Loan Book Summary'!C:G,5,FALSE)</f>
        <v>0015800001VjgTF</v>
      </c>
      <c r="C21" s="274">
        <v>0.15</v>
      </c>
      <c r="D21" s="354" t="s">
        <v>1399</v>
      </c>
      <c r="E21" s="354" t="s">
        <v>1398</v>
      </c>
    </row>
    <row r="22" spans="1:5" x14ac:dyDescent="0.25">
      <c r="A22" s="354">
        <v>1100000203</v>
      </c>
      <c r="B22" s="354" t="str">
        <f>VLOOKUP(A22,'Loan Book Summary'!C:G,5,FALSE)</f>
        <v>0014I00001pussv</v>
      </c>
      <c r="C22" s="274">
        <v>0.28376064624326203</v>
      </c>
      <c r="D22" s="354" t="s">
        <v>328</v>
      </c>
      <c r="E22" s="354" t="s">
        <v>111</v>
      </c>
    </row>
    <row r="23" spans="1:5" x14ac:dyDescent="0.25">
      <c r="A23" s="354">
        <v>1100000184</v>
      </c>
      <c r="B23" s="354" t="str">
        <f>VLOOKUP(A23,'Loan Book Summary'!C:G,5,FALSE)</f>
        <v>0014I00001tNfla</v>
      </c>
      <c r="C23" s="274">
        <v>0.28722729829082327</v>
      </c>
      <c r="D23" s="354" t="s">
        <v>337</v>
      </c>
      <c r="E23" s="354" t="s">
        <v>130</v>
      </c>
    </row>
    <row r="24" spans="1:5" x14ac:dyDescent="0.25">
      <c r="A24" s="354">
        <v>1100000182</v>
      </c>
      <c r="B24" s="354" t="str">
        <f>VLOOKUP(A24,'Loan Book Summary'!C:G,5,FALSE)</f>
        <v>0014I00001tNfla</v>
      </c>
      <c r="C24" s="274">
        <v>0.28722729829082327</v>
      </c>
      <c r="D24" s="354" t="s">
        <v>337</v>
      </c>
      <c r="E24" s="354" t="s">
        <v>130</v>
      </c>
    </row>
    <row r="25" spans="1:5" x14ac:dyDescent="0.25">
      <c r="A25" s="354">
        <v>1100000130</v>
      </c>
      <c r="B25" s="354" t="str">
        <f>VLOOKUP(A25,'Loan Book Summary'!C:G,5,FALSE)</f>
        <v>0014I00001oqqTN</v>
      </c>
      <c r="C25" s="274">
        <v>0.15189421709416262</v>
      </c>
      <c r="D25" s="354" t="s">
        <v>339</v>
      </c>
      <c r="E25" s="354" t="s">
        <v>171</v>
      </c>
    </row>
    <row r="26" spans="1:5" x14ac:dyDescent="0.25">
      <c r="A26" s="354">
        <v>1100000190</v>
      </c>
      <c r="B26" s="354" t="str">
        <f>VLOOKUP(A26,'Loan Book Summary'!C:G,5,FALSE)</f>
        <v>0014I00001wCsHB</v>
      </c>
      <c r="C26" s="274">
        <v>9.9999999999999978E-2</v>
      </c>
      <c r="D26" s="354" t="s">
        <v>343</v>
      </c>
      <c r="E26" s="354" t="s">
        <v>218</v>
      </c>
    </row>
    <row r="27" spans="1:5" x14ac:dyDescent="0.25">
      <c r="A27" s="354">
        <v>1100000191</v>
      </c>
      <c r="B27" s="354" t="str">
        <f>VLOOKUP(A27,'Loan Book Summary'!C:G,5,FALSE)</f>
        <v>0014I00001wCsHB</v>
      </c>
      <c r="C27" s="274">
        <v>9.9999999999999978E-2</v>
      </c>
      <c r="D27" s="354" t="s">
        <v>343</v>
      </c>
      <c r="E27" s="354" t="s">
        <v>218</v>
      </c>
    </row>
    <row r="28" spans="1:5" x14ac:dyDescent="0.25">
      <c r="A28" s="354">
        <v>1100000004</v>
      </c>
      <c r="B28" s="354" t="str">
        <f>VLOOKUP(A28,'Loan Book Summary'!C:G,5,FALSE)</f>
        <v>0014I00001rYqrM</v>
      </c>
      <c r="C28" s="274">
        <v>0.40369925783208194</v>
      </c>
      <c r="D28" s="354" t="s">
        <v>1037</v>
      </c>
      <c r="E28" s="354" t="s">
        <v>965</v>
      </c>
    </row>
    <row r="29" spans="1:5" x14ac:dyDescent="0.25">
      <c r="A29" s="354">
        <v>1100000005</v>
      </c>
      <c r="B29" s="354" t="str">
        <f>VLOOKUP(A29,'Loan Book Summary'!C:G,5,FALSE)</f>
        <v>0014I00001or3M2</v>
      </c>
      <c r="C29" s="274">
        <v>0.1</v>
      </c>
      <c r="D29" s="354" t="s">
        <v>1041</v>
      </c>
      <c r="E29" s="354" t="s">
        <v>967</v>
      </c>
    </row>
    <row r="30" spans="1:5" x14ac:dyDescent="0.25">
      <c r="A30" s="354">
        <v>1200000152</v>
      </c>
      <c r="B30" s="354" t="str">
        <f>VLOOKUP(A30,'Loan Book Summary'!C:G,5,FALSE)</f>
        <v>0015800000z8vOY</v>
      </c>
      <c r="C30" s="274">
        <v>0.1</v>
      </c>
      <c r="D30" s="354" t="s">
        <v>288</v>
      </c>
      <c r="E30" s="354" t="s">
        <v>129</v>
      </c>
    </row>
    <row r="31" spans="1:5" x14ac:dyDescent="0.25">
      <c r="A31" s="354">
        <v>1200000128</v>
      </c>
      <c r="B31" s="354" t="str">
        <f>VLOOKUP(A31,'Loan Book Summary'!C:G,5,FALSE)</f>
        <v>0015800000QSQGI</v>
      </c>
      <c r="C31" s="274">
        <v>0.34429999999999999</v>
      </c>
      <c r="D31" s="354" t="s">
        <v>1042</v>
      </c>
      <c r="E31" s="354" t="s">
        <v>2691</v>
      </c>
    </row>
    <row r="32" spans="1:5" x14ac:dyDescent="0.25">
      <c r="A32" s="354">
        <v>1200000130</v>
      </c>
      <c r="B32" s="354" t="str">
        <f>VLOOKUP(A32,'Loan Book Summary'!C:G,5,FALSE)</f>
        <v>0015800000QSQGI</v>
      </c>
      <c r="C32" s="274">
        <v>0.34429999999999999</v>
      </c>
      <c r="D32" s="354" t="s">
        <v>1042</v>
      </c>
      <c r="E32" s="354" t="s">
        <v>2691</v>
      </c>
    </row>
    <row r="33" spans="1:5" x14ac:dyDescent="0.25">
      <c r="A33" s="354">
        <v>1200000001</v>
      </c>
      <c r="B33" s="354" t="str">
        <f>VLOOKUP(A33,'Loan Book Summary'!C:G,5,FALSE)</f>
        <v>0014I00001pussv</v>
      </c>
      <c r="C33" s="274">
        <v>0.2</v>
      </c>
      <c r="D33" s="354" t="s">
        <v>328</v>
      </c>
      <c r="E33" s="354" t="s">
        <v>111</v>
      </c>
    </row>
    <row r="34" spans="1:5" x14ac:dyDescent="0.25">
      <c r="A34" s="354">
        <v>1200000131</v>
      </c>
      <c r="B34" s="354" t="str">
        <f>VLOOKUP(A34,'Loan Book Summary'!C:G,5,FALSE)</f>
        <v>0014I00001lzk4N</v>
      </c>
      <c r="C34" s="274">
        <v>0.15</v>
      </c>
      <c r="D34" s="354" t="s">
        <v>1389</v>
      </c>
      <c r="E34" s="354" t="s">
        <v>323</v>
      </c>
    </row>
    <row r="35" spans="1:5" x14ac:dyDescent="0.25">
      <c r="A35" s="354">
        <v>1200000149</v>
      </c>
      <c r="B35" s="354" t="str">
        <f>VLOOKUP(A35,'Loan Book Summary'!C:G,5,FALSE)</f>
        <v>0015800000dRt2K</v>
      </c>
      <c r="C35" s="274">
        <v>0.2</v>
      </c>
      <c r="D35" s="354" t="s">
        <v>2754</v>
      </c>
      <c r="E35" s="354" t="s">
        <v>117</v>
      </c>
    </row>
    <row r="36" spans="1:5" x14ac:dyDescent="0.25">
      <c r="A36" s="354">
        <v>1200000148</v>
      </c>
      <c r="B36" s="354" t="str">
        <f>VLOOKUP(A36,'Loan Book Summary'!C:G,5,FALSE)</f>
        <v>0015800000dRt2K</v>
      </c>
      <c r="C36" s="274">
        <v>0.2</v>
      </c>
      <c r="D36" s="354" t="s">
        <v>2754</v>
      </c>
      <c r="E36" s="354" t="s">
        <v>117</v>
      </c>
    </row>
    <row r="37" spans="1:5" x14ac:dyDescent="0.25">
      <c r="A37" s="354">
        <v>1200000125</v>
      </c>
      <c r="B37" s="354" t="str">
        <f>VLOOKUP(A37,'Loan Book Summary'!C:G,5,FALSE)</f>
        <v>00158000010bEcS</v>
      </c>
      <c r="C37" s="274">
        <v>0.44259999999999999</v>
      </c>
      <c r="D37" s="354" t="s">
        <v>278</v>
      </c>
      <c r="E37" s="354" t="s">
        <v>973</v>
      </c>
    </row>
    <row r="38" spans="1:5" x14ac:dyDescent="0.25">
      <c r="A38" s="354">
        <v>1200000124</v>
      </c>
      <c r="B38" s="354" t="str">
        <f>VLOOKUP(A38,'Loan Book Summary'!C:G,5,FALSE)</f>
        <v>00158000010bEcS</v>
      </c>
      <c r="C38" s="274">
        <v>0.44259999999999999</v>
      </c>
      <c r="D38" s="354" t="s">
        <v>278</v>
      </c>
      <c r="E38" s="354" t="s">
        <v>973</v>
      </c>
    </row>
    <row r="39" spans="1:5" x14ac:dyDescent="0.25">
      <c r="A39" s="354">
        <v>1200000127</v>
      </c>
      <c r="B39" s="354" t="str">
        <f>VLOOKUP(A39,'Loan Book Summary'!C:G,5,FALSE)</f>
        <v>00158000010bEcS</v>
      </c>
      <c r="C39" s="274">
        <v>0.44259999999999999</v>
      </c>
      <c r="D39" s="354" t="s">
        <v>278</v>
      </c>
      <c r="E39" s="354" t="s">
        <v>973</v>
      </c>
    </row>
    <row r="40" spans="1:5" x14ac:dyDescent="0.25">
      <c r="A40" s="354">
        <v>1200000132</v>
      </c>
      <c r="B40" s="354" t="str">
        <f>VLOOKUP(A40,'Loan Book Summary'!C:G,5,FALSE)</f>
        <v>0015800001Enl9O</v>
      </c>
      <c r="C40" s="274">
        <v>0.15373995174733182</v>
      </c>
      <c r="D40" s="354" t="s">
        <v>1318</v>
      </c>
      <c r="E40" s="354" t="s">
        <v>198</v>
      </c>
    </row>
    <row r="41" spans="1:5" x14ac:dyDescent="0.25">
      <c r="A41" s="354">
        <v>1200000133</v>
      </c>
      <c r="B41" s="354" t="str">
        <f>VLOOKUP(A41,'Loan Book Summary'!C:G,5,FALSE)</f>
        <v>0015800001fFIlI</v>
      </c>
      <c r="C41" s="274">
        <v>0.15</v>
      </c>
      <c r="D41" s="354" t="s">
        <v>1479</v>
      </c>
      <c r="E41" s="354" t="s">
        <v>1478</v>
      </c>
    </row>
    <row r="42" spans="1:5" x14ac:dyDescent="0.25">
      <c r="A42" s="354">
        <v>1200000134</v>
      </c>
      <c r="B42" s="354" t="str">
        <f>VLOOKUP(A42,'Loan Book Summary'!C:G,5,FALSE)</f>
        <v>0015800001fFIlI</v>
      </c>
      <c r="C42" s="274">
        <v>0.15</v>
      </c>
      <c r="D42" s="354" t="s">
        <v>1479</v>
      </c>
      <c r="E42" s="354" t="s">
        <v>1478</v>
      </c>
    </row>
    <row r="43" spans="1:5" x14ac:dyDescent="0.25">
      <c r="A43" s="354">
        <v>1200000157</v>
      </c>
      <c r="B43" s="354" t="str">
        <f>VLOOKUP(A43,'Loan Book Summary'!C:G,5,FALSE)</f>
        <v>0014I00001zbcqS</v>
      </c>
      <c r="C43" s="274">
        <v>0.42970000000000003</v>
      </c>
      <c r="D43" s="354" t="s">
        <v>1038</v>
      </c>
      <c r="E43" s="354" t="s">
        <v>977</v>
      </c>
    </row>
    <row r="44" spans="1:5" x14ac:dyDescent="0.25">
      <c r="A44" s="354">
        <v>1200000002</v>
      </c>
      <c r="B44" s="354" t="str">
        <f>VLOOKUP(A44,'Loan Book Summary'!C:G,5,FALSE)</f>
        <v>0014I00001zbxX3</v>
      </c>
      <c r="C44" s="274">
        <v>0.2</v>
      </c>
      <c r="D44" s="354" t="s">
        <v>1039</v>
      </c>
      <c r="E44" s="354" t="s">
        <v>978</v>
      </c>
    </row>
    <row r="45" spans="1:5" x14ac:dyDescent="0.25">
      <c r="A45" s="354">
        <v>1100000225</v>
      </c>
      <c r="B45" s="354" t="str">
        <f>VLOOKUP(A45,'Loan Book Summary'!C:G,5,FALSE)</f>
        <v>0014I00001zbxX3</v>
      </c>
      <c r="C45" s="274">
        <v>0.2</v>
      </c>
      <c r="D45" s="354" t="s">
        <v>1039</v>
      </c>
      <c r="E45" s="354" t="s">
        <v>978</v>
      </c>
    </row>
    <row r="46" spans="1:5" x14ac:dyDescent="0.25">
      <c r="A46" s="354">
        <v>1100000111</v>
      </c>
      <c r="B46" s="354" t="str">
        <f>VLOOKUP(A46,'Loan Book Summary'!C:G,5,FALSE)</f>
        <v>0014I000023fvfX</v>
      </c>
      <c r="C46" s="274">
        <v>0.39429999999999998</v>
      </c>
      <c r="D46" s="354" t="s">
        <v>1047</v>
      </c>
      <c r="E46" s="354" t="s">
        <v>991</v>
      </c>
    </row>
    <row r="47" spans="1:5" x14ac:dyDescent="0.25">
      <c r="A47" s="354">
        <v>1100000110</v>
      </c>
      <c r="B47" s="354" t="str">
        <f>VLOOKUP(A47,'Loan Book Summary'!C:G,5,FALSE)</f>
        <v>0014I000023fvfX</v>
      </c>
      <c r="C47" s="274">
        <v>0.39429999999999998</v>
      </c>
      <c r="D47" s="354" t="s">
        <v>1047</v>
      </c>
      <c r="E47" s="354" t="s">
        <v>991</v>
      </c>
    </row>
    <row r="48" spans="1:5" x14ac:dyDescent="0.25">
      <c r="A48" s="354">
        <v>1200000147</v>
      </c>
      <c r="B48" s="354" t="str">
        <f>VLOOKUP(A48,'Loan Book Summary'!C:G,5,FALSE)</f>
        <v>0015800001VjgTF</v>
      </c>
      <c r="C48" s="274">
        <v>0.15</v>
      </c>
      <c r="D48" s="354" t="s">
        <v>1399</v>
      </c>
      <c r="E48" s="354" t="s">
        <v>1398</v>
      </c>
    </row>
    <row r="49" spans="1:5" x14ac:dyDescent="0.25">
      <c r="A49" s="354">
        <v>1200000146</v>
      </c>
      <c r="B49" s="354" t="str">
        <f>VLOOKUP(A49,'Loan Book Summary'!C:G,5,FALSE)</f>
        <v>00158000013gcxO</v>
      </c>
      <c r="C49" s="274">
        <v>0.43159999999999998</v>
      </c>
      <c r="D49" s="354" t="s">
        <v>279</v>
      </c>
      <c r="E49" s="354" t="s">
        <v>135</v>
      </c>
    </row>
    <row r="50" spans="1:5" x14ac:dyDescent="0.25">
      <c r="A50" s="354">
        <v>1200000116</v>
      </c>
      <c r="B50" s="354" t="str">
        <f>VLOOKUP(A50,'Loan Book Summary'!C:G,5,FALSE)</f>
        <v>0015800000bzlGg</v>
      </c>
      <c r="C50" s="274">
        <v>0.1</v>
      </c>
      <c r="D50" s="354" t="s">
        <v>263</v>
      </c>
      <c r="E50" s="354" t="s">
        <v>1023</v>
      </c>
    </row>
    <row r="51" spans="1:5" x14ac:dyDescent="0.25">
      <c r="A51" s="354">
        <v>1200000105</v>
      </c>
      <c r="B51" s="354" t="str">
        <f>VLOOKUP(A51,'Loan Book Summary'!C:G,5,FALSE)</f>
        <v>0014I00001opmrL</v>
      </c>
      <c r="C51" s="274">
        <v>0.15</v>
      </c>
      <c r="D51" s="354" t="s">
        <v>1054</v>
      </c>
      <c r="E51" s="354" t="s">
        <v>1541</v>
      </c>
    </row>
    <row r="52" spans="1:5" x14ac:dyDescent="0.25">
      <c r="A52" s="354">
        <v>1200000106</v>
      </c>
      <c r="B52" s="354" t="str">
        <f>VLOOKUP(A52,'Loan Book Summary'!C:G,5,FALSE)</f>
        <v>0014I00001r6hl4</v>
      </c>
      <c r="C52" s="274">
        <v>0.457881885879943</v>
      </c>
      <c r="D52" s="354" t="s">
        <v>329</v>
      </c>
      <c r="E52" s="354" t="s">
        <v>1542</v>
      </c>
    </row>
    <row r="53" spans="1:5" x14ac:dyDescent="0.25">
      <c r="A53" s="354">
        <v>1200000135</v>
      </c>
      <c r="B53" s="354" t="str">
        <f>VLOOKUP(A53,'Loan Book Summary'!C:G,5,FALSE)</f>
        <v>0014I00001oIXfG</v>
      </c>
      <c r="C53" s="274">
        <v>0.33850601215969001</v>
      </c>
      <c r="D53" s="354" t="s">
        <v>327</v>
      </c>
      <c r="E53" s="354" t="s">
        <v>121</v>
      </c>
    </row>
    <row r="54" spans="1:5" x14ac:dyDescent="0.25">
      <c r="A54" s="354">
        <v>1100000119</v>
      </c>
      <c r="B54" s="354" t="str">
        <f>VLOOKUP(A54,'Loan Book Summary'!C:G,5,FALSE)</f>
        <v>0014I000026umUx</v>
      </c>
      <c r="C54" s="274">
        <v>0.44950000000000001</v>
      </c>
      <c r="D54" s="354" t="s">
        <v>1174</v>
      </c>
      <c r="E54" s="354" t="s">
        <v>1552</v>
      </c>
    </row>
    <row r="55" spans="1:5" x14ac:dyDescent="0.25">
      <c r="A55" s="354">
        <v>1200000111</v>
      </c>
      <c r="B55" s="354" t="str">
        <f>VLOOKUP(A55,'Loan Book Summary'!C:G,5,FALSE)</f>
        <v>0015800001RC0fT</v>
      </c>
      <c r="C55" s="274">
        <v>0.21205137936335117</v>
      </c>
      <c r="D55" s="354" t="s">
        <v>315</v>
      </c>
      <c r="E55" s="354" t="s">
        <v>1553</v>
      </c>
    </row>
    <row r="56" spans="1:5" x14ac:dyDescent="0.25">
      <c r="A56" s="354">
        <v>1200000112</v>
      </c>
      <c r="B56" s="354" t="str">
        <f>VLOOKUP(A56,'Loan Book Summary'!C:G,5,FALSE)</f>
        <v>0015800001RC0fT</v>
      </c>
      <c r="C56" s="274">
        <v>0.21205137936335117</v>
      </c>
      <c r="D56" s="354" t="s">
        <v>315</v>
      </c>
      <c r="E56" s="354" t="s">
        <v>1553</v>
      </c>
    </row>
    <row r="57" spans="1:5" x14ac:dyDescent="0.25">
      <c r="A57" s="354">
        <v>1200000108</v>
      </c>
      <c r="B57" s="354" t="str">
        <f>VLOOKUP(A57,'Loan Book Summary'!C:G,5,FALSE)</f>
        <v>0015800001cfgV5</v>
      </c>
      <c r="C57" s="274">
        <v>0.44550000000000001</v>
      </c>
      <c r="D57" s="354" t="s">
        <v>1173</v>
      </c>
      <c r="E57" s="354" t="s">
        <v>4579</v>
      </c>
    </row>
    <row r="58" spans="1:5" x14ac:dyDescent="0.25">
      <c r="A58" s="354">
        <v>1100000126</v>
      </c>
      <c r="B58" s="354" t="str">
        <f>VLOOKUP(A58,'Loan Book Summary'!C:G,5,FALSE)</f>
        <v>0014I0000279PJU</v>
      </c>
      <c r="C58" s="274">
        <v>0.44550000000000001</v>
      </c>
      <c r="D58" s="354" t="s">
        <v>1176</v>
      </c>
      <c r="E58" s="354" t="s">
        <v>1568</v>
      </c>
    </row>
    <row r="59" spans="1:5" x14ac:dyDescent="0.25">
      <c r="A59" s="354">
        <v>1100000128</v>
      </c>
      <c r="B59" s="354" t="str">
        <f>VLOOKUP(A59,'Loan Book Summary'!C:G,5,FALSE)</f>
        <v>0014I000023R1Ij</v>
      </c>
      <c r="C59" s="274">
        <v>0.40620000000000001</v>
      </c>
      <c r="D59" s="354" t="s">
        <v>1727</v>
      </c>
      <c r="E59" s="354" t="s">
        <v>1161</v>
      </c>
    </row>
    <row r="60" spans="1:5" x14ac:dyDescent="0.25">
      <c r="A60" s="354">
        <v>1100000136</v>
      </c>
      <c r="B60" s="354" t="str">
        <f>VLOOKUP(A60,'Loan Book Summary'!C:G,5,FALSE)</f>
        <v>0014I00001z5rPw</v>
      </c>
      <c r="C60" s="274">
        <v>0.1</v>
      </c>
      <c r="D60" s="354" t="s">
        <v>1175</v>
      </c>
      <c r="E60" s="354" t="s">
        <v>1165</v>
      </c>
    </row>
    <row r="61" spans="1:5" x14ac:dyDescent="0.25">
      <c r="A61" s="354">
        <v>1200000117</v>
      </c>
      <c r="B61" s="354" t="str">
        <f>VLOOKUP(A61,'Loan Book Summary'!C:G,5,FALSE)</f>
        <v>0014I00001xvXvo</v>
      </c>
      <c r="C61" s="274">
        <v>0.15</v>
      </c>
      <c r="D61" s="354" t="s">
        <v>3845</v>
      </c>
      <c r="E61" s="354" t="s">
        <v>1166</v>
      </c>
    </row>
    <row r="62" spans="1:5" x14ac:dyDescent="0.25">
      <c r="A62" s="354">
        <v>1100000150</v>
      </c>
      <c r="B62" s="354" t="str">
        <f>VLOOKUP(A62,'Loan Book Summary'!C:G,5,FALSE)</f>
        <v>0014I00001xvXvo</v>
      </c>
      <c r="C62" s="274">
        <v>0.15</v>
      </c>
      <c r="D62" s="354" t="s">
        <v>3845</v>
      </c>
      <c r="E62" s="354" t="s">
        <v>1166</v>
      </c>
    </row>
    <row r="63" spans="1:5" x14ac:dyDescent="0.25">
      <c r="A63" s="354">
        <v>1200000118</v>
      </c>
      <c r="B63" s="354" t="str">
        <f>VLOOKUP(A63,'Loan Book Summary'!C:G,5,FALSE)</f>
        <v>0014I000027uYyB</v>
      </c>
      <c r="C63" s="274">
        <v>0.15</v>
      </c>
      <c r="D63" s="354" t="s">
        <v>1178</v>
      </c>
      <c r="E63" s="354" t="s">
        <v>1603</v>
      </c>
    </row>
    <row r="64" spans="1:5" x14ac:dyDescent="0.25">
      <c r="A64" s="354">
        <v>1100000157</v>
      </c>
      <c r="B64" s="354" t="str">
        <f>VLOOKUP(A64,'Loan Book Summary'!C:G,5,FALSE)</f>
        <v>0014I000027uYyB</v>
      </c>
      <c r="C64" s="274">
        <v>0.1</v>
      </c>
      <c r="D64" s="354" t="s">
        <v>1178</v>
      </c>
      <c r="E64" s="354" t="s">
        <v>1603</v>
      </c>
    </row>
    <row r="65" spans="1:5" x14ac:dyDescent="0.25">
      <c r="A65" s="354">
        <v>1200000119</v>
      </c>
      <c r="B65" s="354" t="str">
        <f>VLOOKUP(A65,'Loan Book Summary'!C:G,5,FALSE)</f>
        <v>0014I00001jTjtP</v>
      </c>
      <c r="C65" s="274">
        <v>0.15</v>
      </c>
      <c r="D65" s="354" t="s">
        <v>1397</v>
      </c>
      <c r="E65" s="354" t="s">
        <v>203</v>
      </c>
    </row>
    <row r="66" spans="1:5" x14ac:dyDescent="0.25">
      <c r="A66" s="354">
        <v>1200000120</v>
      </c>
      <c r="B66" s="354" t="str">
        <f>VLOOKUP(A66,'Loan Book Summary'!C:G,5,FALSE)</f>
        <v>0014I00001jTjtP</v>
      </c>
      <c r="C66" s="274">
        <v>0.15</v>
      </c>
      <c r="D66" s="354" t="s">
        <v>1397</v>
      </c>
      <c r="E66" s="354" t="s">
        <v>203</v>
      </c>
    </row>
    <row r="67" spans="1:5" x14ac:dyDescent="0.25">
      <c r="A67" s="354">
        <v>1200000121</v>
      </c>
      <c r="B67" s="354" t="str">
        <f>VLOOKUP(A67,'Loan Book Summary'!C:G,5,FALSE)</f>
        <v>0014I000026e8Lr</v>
      </c>
      <c r="C67" s="274">
        <v>0.15</v>
      </c>
      <c r="D67" s="354" t="s">
        <v>1182</v>
      </c>
      <c r="E67" s="354" t="s">
        <v>1612</v>
      </c>
    </row>
    <row r="68" spans="1:5" x14ac:dyDescent="0.25">
      <c r="A68" s="354">
        <v>1200000137</v>
      </c>
      <c r="B68" s="354" t="str">
        <f>VLOOKUP(A68,'Loan Book Summary'!C:G,5,FALSE)</f>
        <v>00158000010bEcS</v>
      </c>
      <c r="C68" s="274">
        <v>0.44259999999999999</v>
      </c>
      <c r="D68" s="354" t="s">
        <v>278</v>
      </c>
      <c r="E68" s="354" t="s">
        <v>973</v>
      </c>
    </row>
    <row r="69" spans="1:5" x14ac:dyDescent="0.25">
      <c r="A69" s="354">
        <v>1200000138</v>
      </c>
      <c r="B69" s="354" t="str">
        <f>VLOOKUP(A69,'Loan Book Summary'!C:G,5,FALSE)</f>
        <v>00158000010bEcS</v>
      </c>
      <c r="C69" s="274">
        <v>0.44259999999999999</v>
      </c>
      <c r="D69" s="354" t="s">
        <v>278</v>
      </c>
      <c r="E69" s="354" t="s">
        <v>973</v>
      </c>
    </row>
    <row r="70" spans="1:5" x14ac:dyDescent="0.25">
      <c r="A70" s="354">
        <v>1200000142</v>
      </c>
      <c r="B70" s="354" t="str">
        <f>VLOOKUP(A70,'Loan Book Summary'!C:G,5,FALSE)</f>
        <v>0015800001Enl9O</v>
      </c>
      <c r="C70" s="274">
        <v>0.15397009191929528</v>
      </c>
      <c r="D70" s="354" t="s">
        <v>1318</v>
      </c>
      <c r="E70" s="354" t="s">
        <v>198</v>
      </c>
    </row>
    <row r="71" spans="1:5" x14ac:dyDescent="0.25">
      <c r="A71" s="354">
        <v>1200000143</v>
      </c>
      <c r="B71" s="354" t="str">
        <f>VLOOKUP(A71,'Loan Book Summary'!C:G,5,FALSE)</f>
        <v>0015800001fFIlI</v>
      </c>
      <c r="C71" s="274">
        <v>0.15</v>
      </c>
      <c r="D71" s="354" t="s">
        <v>1479</v>
      </c>
      <c r="E71" s="354" t="s">
        <v>1478</v>
      </c>
    </row>
    <row r="72" spans="1:5" x14ac:dyDescent="0.25">
      <c r="A72" s="354">
        <v>1200000144</v>
      </c>
      <c r="B72" s="354" t="str">
        <f>VLOOKUP(A72,'Loan Book Summary'!C:G,5,FALSE)</f>
        <v>0015800001cfgV5</v>
      </c>
      <c r="C72" s="274">
        <v>0.44550000000000001</v>
      </c>
      <c r="D72" s="354" t="s">
        <v>1173</v>
      </c>
      <c r="E72" s="354" t="s">
        <v>4579</v>
      </c>
    </row>
    <row r="73" spans="1:5" x14ac:dyDescent="0.25">
      <c r="A73" s="354">
        <v>1200000139</v>
      </c>
      <c r="B73" s="354" t="str">
        <f>VLOOKUP(A73,'Loan Book Summary'!C:G,5,FALSE)</f>
        <v>0014I0000293MAy</v>
      </c>
      <c r="C73" s="274">
        <v>0.15</v>
      </c>
      <c r="D73" s="354" t="s">
        <v>1197</v>
      </c>
      <c r="E73" s="354" t="s">
        <v>1196</v>
      </c>
    </row>
    <row r="74" spans="1:5" x14ac:dyDescent="0.25">
      <c r="A74" s="354">
        <v>1100000195</v>
      </c>
      <c r="B74" s="354" t="str">
        <f>VLOOKUP(A74,'Loan Book Summary'!C:G,5,FALSE)</f>
        <v>0014I000029Mo45</v>
      </c>
      <c r="C74" s="274">
        <v>0.38150000000000001</v>
      </c>
      <c r="D74" s="354" t="s">
        <v>1209</v>
      </c>
      <c r="E74" s="354" t="s">
        <v>1208</v>
      </c>
    </row>
    <row r="75" spans="1:5" x14ac:dyDescent="0.25">
      <c r="A75" s="354">
        <v>1100000224</v>
      </c>
      <c r="B75" s="354" t="str">
        <f>VLOOKUP(A75,'Loan Book Summary'!C:G,5,FALSE)</f>
        <v>0014I00002AOsY6</v>
      </c>
      <c r="C75" s="274">
        <v>0.15</v>
      </c>
      <c r="D75" s="354" t="s">
        <v>1667</v>
      </c>
      <c r="E75" s="354" t="e">
        <v>#N/A</v>
      </c>
    </row>
    <row r="76" spans="1:5" x14ac:dyDescent="0.25">
      <c r="A76" s="354">
        <v>1100000226</v>
      </c>
      <c r="B76" s="354" t="str">
        <f>VLOOKUP(A76,'Loan Book Summary'!C:G,5,FALSE)</f>
        <v>0014I000029MDAV</v>
      </c>
      <c r="C76" s="274">
        <v>0.1</v>
      </c>
      <c r="D76" s="354" t="s">
        <v>4099</v>
      </c>
      <c r="E76" s="354" t="s">
        <v>4580</v>
      </c>
    </row>
    <row r="77" spans="1:5" x14ac:dyDescent="0.25">
      <c r="A77" s="354">
        <v>1300000001</v>
      </c>
      <c r="B77" s="354" t="str">
        <f>VLOOKUP(A77,'Loan Book Summary'!C:G,5,FALSE)</f>
        <v>0015800001b11sC</v>
      </c>
      <c r="C77" s="274">
        <v>0.1613</v>
      </c>
      <c r="D77" s="354" t="s">
        <v>305</v>
      </c>
      <c r="E77" s="354" t="s">
        <v>212</v>
      </c>
    </row>
    <row r="78" spans="1:5" x14ac:dyDescent="0.25">
      <c r="A78" s="354">
        <v>1100000234</v>
      </c>
      <c r="B78" s="354" t="str">
        <f>VLOOKUP(A78,'Loan Book Summary'!C:G,5,FALSE)</f>
        <v>0014I00002789GY</v>
      </c>
      <c r="C78" s="274">
        <v>0.45</v>
      </c>
      <c r="D78" s="354" t="s">
        <v>1691</v>
      </c>
      <c r="E78" s="354" t="s">
        <v>4581</v>
      </c>
    </row>
    <row r="79" spans="1:5" x14ac:dyDescent="0.25">
      <c r="A79" s="354">
        <v>1100000233</v>
      </c>
      <c r="B79" s="354" t="str">
        <f>VLOOKUP(A79,'Loan Book Summary'!C:G,5,FALSE)</f>
        <v>0014I00002789GY</v>
      </c>
      <c r="C79" s="274">
        <v>0.45</v>
      </c>
      <c r="D79" s="354" t="s">
        <v>1691</v>
      </c>
      <c r="E79" s="354" t="s">
        <v>4581</v>
      </c>
    </row>
    <row r="80" spans="1:5" x14ac:dyDescent="0.25">
      <c r="A80" s="354">
        <v>1100000235</v>
      </c>
      <c r="B80" s="354" t="str">
        <f>VLOOKUP(A80,'Loan Book Summary'!C:G,5,FALSE)</f>
        <v>0014I00002BvrLc</v>
      </c>
      <c r="C80" s="274">
        <v>0.42</v>
      </c>
      <c r="D80" s="354" t="s">
        <v>1694</v>
      </c>
      <c r="E80" s="354" t="s">
        <v>1694</v>
      </c>
    </row>
    <row r="81" spans="1:5" x14ac:dyDescent="0.25">
      <c r="A81" s="354">
        <v>1100000238</v>
      </c>
      <c r="B81" s="354" t="str">
        <f>VLOOKUP(A81,'Loan Book Summary'!C:G,5,FALSE)</f>
        <v>0014I00002BVyev</v>
      </c>
      <c r="C81" s="274">
        <v>0.4264</v>
      </c>
      <c r="D81" s="354" t="s">
        <v>1703</v>
      </c>
      <c r="E81" s="354" t="s">
        <v>4582</v>
      </c>
    </row>
    <row r="82" spans="1:5" x14ac:dyDescent="0.25">
      <c r="A82" s="354">
        <v>1100000236</v>
      </c>
      <c r="B82" s="354" t="str">
        <f>VLOOKUP(A82,'Loan Book Summary'!C:G,5,FALSE)</f>
        <v>0014I00002BVyev</v>
      </c>
      <c r="C82" s="274">
        <v>0.4264</v>
      </c>
      <c r="D82" s="354" t="s">
        <v>1703</v>
      </c>
      <c r="E82" s="354" t="s">
        <v>4582</v>
      </c>
    </row>
    <row r="83" spans="1:5" x14ac:dyDescent="0.25">
      <c r="A83" s="354">
        <v>1100000237</v>
      </c>
      <c r="B83" s="354" t="str">
        <f>VLOOKUP(A83,'Loan Book Summary'!C:G,5,FALSE)</f>
        <v>0014I00002BVyev</v>
      </c>
      <c r="C83" s="274">
        <v>0.4264</v>
      </c>
      <c r="D83" s="354" t="s">
        <v>1703</v>
      </c>
      <c r="E83" s="354" t="s">
        <v>4582</v>
      </c>
    </row>
    <row r="84" spans="1:5" x14ac:dyDescent="0.25">
      <c r="A84" s="354">
        <v>1100000241</v>
      </c>
      <c r="B84" s="354" t="str">
        <f>VLOOKUP(A84,'Loan Book Summary'!C:G,5,FALSE)</f>
        <v>0014I000027xjkG</v>
      </c>
      <c r="C84" s="274">
        <v>0.15016858201638894</v>
      </c>
      <c r="D84" s="354" t="s">
        <v>4191</v>
      </c>
      <c r="E84" s="354" t="s">
        <v>1728</v>
      </c>
    </row>
    <row r="85" spans="1:5" x14ac:dyDescent="0.25">
      <c r="A85" s="354">
        <v>1100000242</v>
      </c>
      <c r="B85" s="354" t="str">
        <f>VLOOKUP(A85,'Loan Book Summary'!C:G,5,FALSE)</f>
        <v>0014I000027xjiZ</v>
      </c>
      <c r="C85" s="274">
        <v>0.15016858201638894</v>
      </c>
      <c r="D85" s="354" t="s">
        <v>4191</v>
      </c>
      <c r="E85" s="354" t="s">
        <v>1729</v>
      </c>
    </row>
    <row r="86" spans="1:5" x14ac:dyDescent="0.25">
      <c r="A86" s="354">
        <v>1100000243</v>
      </c>
      <c r="B86" s="354" t="str">
        <f>VLOOKUP(A86,'Loan Book Summary'!C:G,5,FALSE)</f>
        <v>0014I000027xjgR</v>
      </c>
      <c r="C86" s="274">
        <v>0.15016858201638894</v>
      </c>
      <c r="D86" s="354" t="s">
        <v>4191</v>
      </c>
      <c r="E86" s="354" t="s">
        <v>1730</v>
      </c>
    </row>
    <row r="87" spans="1:5" x14ac:dyDescent="0.25">
      <c r="A87" s="354">
        <v>1100000245</v>
      </c>
      <c r="B87" s="354" t="str">
        <f>VLOOKUP(A87,'Loan Book Summary'!C:G,5,FALSE)</f>
        <v>0014I000027xjnF</v>
      </c>
      <c r="C87" s="274">
        <v>0.15016858201638894</v>
      </c>
      <c r="D87" s="354" t="s">
        <v>4191</v>
      </c>
      <c r="E87" s="354" t="s">
        <v>1731</v>
      </c>
    </row>
    <row r="88" spans="1:5" x14ac:dyDescent="0.25">
      <c r="A88" s="354">
        <v>1100000244</v>
      </c>
      <c r="B88" s="354" t="str">
        <f>VLOOKUP(A88,'Loan Book Summary'!C:G,5,FALSE)</f>
        <v>0014I000027xjnt</v>
      </c>
      <c r="C88" s="274">
        <v>0.15016858201638894</v>
      </c>
      <c r="D88" s="354" t="s">
        <v>4191</v>
      </c>
      <c r="E88" s="354" t="s">
        <v>1732</v>
      </c>
    </row>
    <row r="89" spans="1:5" x14ac:dyDescent="0.25">
      <c r="A89" s="354">
        <v>1100000248</v>
      </c>
      <c r="B89" s="354" t="str">
        <f>VLOOKUP(A89,'Loan Book Summary'!C:G,5,FALSE)</f>
        <v>0015800000z8vOY</v>
      </c>
      <c r="C89" s="274">
        <v>0.35859999999999997</v>
      </c>
      <c r="D89" s="354" t="s">
        <v>288</v>
      </c>
      <c r="E89" s="354" t="s">
        <v>129</v>
      </c>
    </row>
    <row r="90" spans="1:5" x14ac:dyDescent="0.25">
      <c r="A90" s="354">
        <v>1100000249</v>
      </c>
      <c r="B90" s="354" t="str">
        <f>VLOOKUP(A90,'Loan Book Summary'!C:G,5,FALSE)</f>
        <v>0015800000z8vOY</v>
      </c>
      <c r="C90" s="274">
        <v>0.35859999999999997</v>
      </c>
      <c r="D90" s="354" t="s">
        <v>288</v>
      </c>
      <c r="E90" s="354" t="s">
        <v>129</v>
      </c>
    </row>
    <row r="91" spans="1:5" x14ac:dyDescent="0.25">
      <c r="A91" s="354">
        <v>1100000258</v>
      </c>
      <c r="B91" s="354" t="str">
        <f>VLOOKUP(A91,'Loan Book Summary'!C:G,5,FALSE)</f>
        <v>0015800000z8vOY</v>
      </c>
      <c r="C91" s="274">
        <v>0.35859999999999997</v>
      </c>
      <c r="D91" s="354" t="s">
        <v>288</v>
      </c>
      <c r="E91" s="354" t="s">
        <v>129</v>
      </c>
    </row>
    <row r="92" spans="1:5" x14ac:dyDescent="0.25">
      <c r="A92" s="354">
        <v>1100000259</v>
      </c>
      <c r="B92" s="354" t="str">
        <f>VLOOKUP(A92,'Loan Book Summary'!C:G,5,FALSE)</f>
        <v>0015800000z8vOY</v>
      </c>
      <c r="C92" s="274">
        <v>0.35859999999999997</v>
      </c>
      <c r="D92" s="354" t="s">
        <v>288</v>
      </c>
      <c r="E92" s="354" t="s">
        <v>129</v>
      </c>
    </row>
    <row r="93" spans="1:5" x14ac:dyDescent="0.25">
      <c r="A93" s="354">
        <v>1100000253</v>
      </c>
      <c r="B93" s="354" t="str">
        <f>VLOOKUP(A93,'Loan Book Summary'!C:G,5,FALSE)</f>
        <v>0015800000z8vOY</v>
      </c>
      <c r="C93" s="274">
        <v>0.35859999999999997</v>
      </c>
      <c r="D93" s="354" t="s">
        <v>288</v>
      </c>
      <c r="E93" s="354" t="s">
        <v>129</v>
      </c>
    </row>
    <row r="94" spans="1:5" x14ac:dyDescent="0.25">
      <c r="A94" s="354">
        <v>1100000250</v>
      </c>
      <c r="B94" s="354" t="str">
        <f>VLOOKUP(A94,'Loan Book Summary'!C:G,5,FALSE)</f>
        <v>0015800000z8vOY</v>
      </c>
      <c r="C94" s="274">
        <v>0.35859999999999997</v>
      </c>
      <c r="D94" s="354" t="s">
        <v>288</v>
      </c>
      <c r="E94" s="354" t="s">
        <v>129</v>
      </c>
    </row>
    <row r="95" spans="1:5" x14ac:dyDescent="0.25">
      <c r="A95" s="354">
        <v>1100000255</v>
      </c>
      <c r="B95" s="354" t="str">
        <f>VLOOKUP(A95,'Loan Book Summary'!C:G,5,FALSE)</f>
        <v>0015800000z8vOY</v>
      </c>
      <c r="C95" s="274">
        <v>0.35859999999999997</v>
      </c>
      <c r="D95" s="354" t="s">
        <v>288</v>
      </c>
      <c r="E95" s="354" t="s">
        <v>129</v>
      </c>
    </row>
    <row r="96" spans="1:5" x14ac:dyDescent="0.25">
      <c r="A96" s="354">
        <v>1100000252</v>
      </c>
      <c r="B96" s="354" t="str">
        <f>VLOOKUP(A96,'Loan Book Summary'!C:G,5,FALSE)</f>
        <v>0015800000z8vOY</v>
      </c>
      <c r="C96" s="274">
        <v>0.35859999999999997</v>
      </c>
      <c r="D96" s="354" t="s">
        <v>288</v>
      </c>
      <c r="E96" s="354" t="s">
        <v>129</v>
      </c>
    </row>
    <row r="97" spans="1:5" x14ac:dyDescent="0.25">
      <c r="A97" s="354">
        <v>1100000257</v>
      </c>
      <c r="B97" s="354" t="str">
        <f>VLOOKUP(A97,'Loan Book Summary'!C:G,5,FALSE)</f>
        <v>0015800000z8vOY</v>
      </c>
      <c r="C97" s="274">
        <v>0.35859999999999997</v>
      </c>
      <c r="D97" s="354" t="s">
        <v>288</v>
      </c>
      <c r="E97" s="354" t="s">
        <v>129</v>
      </c>
    </row>
    <row r="98" spans="1:5" x14ac:dyDescent="0.25">
      <c r="A98" s="354">
        <v>1100000251</v>
      </c>
      <c r="B98" s="354" t="str">
        <f>VLOOKUP(A98,'Loan Book Summary'!C:G,5,FALSE)</f>
        <v>0015800000z8vOY</v>
      </c>
      <c r="C98" s="274">
        <v>0.35859999999999997</v>
      </c>
      <c r="D98" s="354" t="s">
        <v>288</v>
      </c>
      <c r="E98" s="354" t="s">
        <v>129</v>
      </c>
    </row>
    <row r="99" spans="1:5" x14ac:dyDescent="0.25">
      <c r="A99" s="354">
        <v>1100000254</v>
      </c>
      <c r="B99" s="354" t="str">
        <f>VLOOKUP(A99,'Loan Book Summary'!C:G,5,FALSE)</f>
        <v>0015800000z8vOY</v>
      </c>
      <c r="C99" s="274">
        <v>0.35859999999999997</v>
      </c>
      <c r="D99" s="354" t="s">
        <v>288</v>
      </c>
      <c r="E99" s="354" t="s">
        <v>129</v>
      </c>
    </row>
    <row r="100" spans="1:5" x14ac:dyDescent="0.25">
      <c r="A100" s="354">
        <v>1100000256</v>
      </c>
      <c r="B100" s="354" t="str">
        <f>VLOOKUP(A100,'Loan Book Summary'!C:G,5,FALSE)</f>
        <v>0015800000z8vOY</v>
      </c>
      <c r="C100" s="274">
        <v>0.35859999999999997</v>
      </c>
      <c r="D100" s="354" t="s">
        <v>288</v>
      </c>
      <c r="E100" s="354" t="s">
        <v>129</v>
      </c>
    </row>
    <row r="101" spans="1:5" x14ac:dyDescent="0.25">
      <c r="A101" s="354">
        <v>1100000268</v>
      </c>
      <c r="B101" s="354" t="str">
        <f>VLOOKUP(A101,'Loan Book Summary'!C:G,5,FALSE)</f>
        <v>0018e000003CXt8</v>
      </c>
      <c r="C101" s="274">
        <v>0.41450000000000004</v>
      </c>
      <c r="D101" s="354" t="s">
        <v>1869</v>
      </c>
      <c r="E101" s="354" t="s">
        <v>1864</v>
      </c>
    </row>
    <row r="102" spans="1:5" x14ac:dyDescent="0.25">
      <c r="A102" s="354">
        <v>1100000269</v>
      </c>
      <c r="B102" s="354" t="str">
        <f>VLOOKUP(A102,'Loan Book Summary'!C:G,5,FALSE)</f>
        <v>0018e000003CXt8</v>
      </c>
      <c r="C102" s="274">
        <v>0.41450000000000004</v>
      </c>
      <c r="D102" s="354" t="s">
        <v>1869</v>
      </c>
      <c r="E102" s="354" t="s">
        <v>1864</v>
      </c>
    </row>
    <row r="103" spans="1:5" x14ac:dyDescent="0.25">
      <c r="A103" s="354">
        <v>1100000266</v>
      </c>
      <c r="B103" s="354" t="str">
        <f>VLOOKUP(A103,'Loan Book Summary'!C:G,5,FALSE)</f>
        <v>0018e000003COuL</v>
      </c>
      <c r="C103" s="274">
        <v>0.39140000000000003</v>
      </c>
      <c r="D103" s="354" t="s">
        <v>1870</v>
      </c>
      <c r="E103" s="354" t="s">
        <v>1866</v>
      </c>
    </row>
    <row r="104" spans="1:5" x14ac:dyDescent="0.25">
      <c r="A104" s="354">
        <v>1100000267</v>
      </c>
      <c r="B104" s="354" t="str">
        <f>VLOOKUP(A104,'Loan Book Summary'!C:G,5,FALSE)</f>
        <v>0018e000003COuL</v>
      </c>
      <c r="C104" s="274">
        <v>0.39140000000000003</v>
      </c>
      <c r="D104" s="354" t="s">
        <v>1870</v>
      </c>
      <c r="E104" s="354" t="s">
        <v>1866</v>
      </c>
    </row>
    <row r="105" spans="1:5" x14ac:dyDescent="0.25">
      <c r="A105" s="354">
        <v>1100000270</v>
      </c>
      <c r="B105" s="354" t="str">
        <f>VLOOKUP(A105,'Loan Book Summary'!C:G,5,FALSE)</f>
        <v>0018e000003COuL</v>
      </c>
      <c r="C105" s="274">
        <v>0.39140000000000003</v>
      </c>
      <c r="D105" s="354" t="s">
        <v>1870</v>
      </c>
      <c r="E105" s="354" t="s">
        <v>1866</v>
      </c>
    </row>
    <row r="106" spans="1:5" x14ac:dyDescent="0.25">
      <c r="A106" s="354">
        <v>1100000271</v>
      </c>
      <c r="B106" s="354" t="str">
        <f>VLOOKUP(A106,'Loan Book Summary'!C:G,5,FALSE)</f>
        <v>0015800000WRe2v</v>
      </c>
      <c r="C106" s="274">
        <v>0.39140000000000003</v>
      </c>
      <c r="D106" s="354" t="s">
        <v>1900</v>
      </c>
      <c r="E106" s="354" t="s">
        <v>1873</v>
      </c>
    </row>
    <row r="107" spans="1:5" x14ac:dyDescent="0.25">
      <c r="A107" s="354">
        <v>1100000272</v>
      </c>
      <c r="B107" s="354" t="str">
        <f>VLOOKUP(A107,'Loan Book Summary'!C:G,5,FALSE)</f>
        <v>0015800000WRe2v</v>
      </c>
      <c r="C107" s="274">
        <v>0.39140000000000003</v>
      </c>
      <c r="D107" s="354" t="s">
        <v>1900</v>
      </c>
      <c r="E107" s="354" t="s">
        <v>1873</v>
      </c>
    </row>
    <row r="108" spans="1:5" x14ac:dyDescent="0.25">
      <c r="A108" s="354">
        <v>1100000274</v>
      </c>
      <c r="B108" s="354" t="str">
        <f>VLOOKUP(A108,'Loan Book Summary'!C:G,5,FALSE)</f>
        <v>0015800000WRe2v</v>
      </c>
      <c r="C108" s="274">
        <v>0.39140000000000003</v>
      </c>
      <c r="D108" s="354" t="s">
        <v>1900</v>
      </c>
      <c r="E108" s="354" t="s">
        <v>1873</v>
      </c>
    </row>
    <row r="109" spans="1:5" x14ac:dyDescent="0.25">
      <c r="A109" s="354">
        <v>1100000273</v>
      </c>
      <c r="B109" s="354" t="str">
        <f>VLOOKUP(A109,'Loan Book Summary'!C:G,5,FALSE)</f>
        <v>0015800000WRe2v</v>
      </c>
      <c r="C109" s="274">
        <v>0.39140000000000003</v>
      </c>
      <c r="D109" s="354" t="s">
        <v>1900</v>
      </c>
      <c r="E109" s="354" t="s">
        <v>1873</v>
      </c>
    </row>
    <row r="110" spans="1:5" x14ac:dyDescent="0.25">
      <c r="A110" s="354">
        <v>1100000275</v>
      </c>
      <c r="B110" s="354" t="str">
        <f>VLOOKUP(A110,'Loan Book Summary'!C:G,5,FALSE)</f>
        <v>0018e000003CbBk</v>
      </c>
      <c r="C110" s="274">
        <v>0.39140000000000003</v>
      </c>
      <c r="D110" s="354" t="s">
        <v>1900</v>
      </c>
      <c r="E110" s="354" t="e">
        <v>#N/A</v>
      </c>
    </row>
    <row r="111" spans="1:5" x14ac:dyDescent="0.25">
      <c r="A111" s="354">
        <v>1100000276</v>
      </c>
      <c r="B111" s="354" t="str">
        <f>VLOOKUP(A111,'Loan Book Summary'!C:G,5,FALSE)</f>
        <v>0014I00001oIXfG</v>
      </c>
      <c r="C111" s="274">
        <v>0.33850601215969001</v>
      </c>
      <c r="D111" s="354" t="s">
        <v>327</v>
      </c>
      <c r="E111" s="354" t="s">
        <v>121</v>
      </c>
    </row>
    <row r="112" spans="1:5" x14ac:dyDescent="0.25">
      <c r="A112" s="354">
        <v>1300000002</v>
      </c>
      <c r="B112" s="354" t="str">
        <f>VLOOKUP(A112,'Loan Book Summary'!C:G,5,FALSE)</f>
        <v>0018e000003CQVk</v>
      </c>
      <c r="C112" s="274">
        <v>0.1</v>
      </c>
      <c r="D112" s="354" t="s">
        <v>1872</v>
      </c>
      <c r="E112" s="354" t="s">
        <v>1871</v>
      </c>
    </row>
    <row r="113" spans="1:5" x14ac:dyDescent="0.25">
      <c r="A113" s="354">
        <v>1100000277</v>
      </c>
      <c r="B113" s="354" t="str">
        <f>VLOOKUP(A113,'Loan Book Summary'!C:G,5,FALSE)</f>
        <v>0018e000003Cg7J</v>
      </c>
      <c r="C113" s="274">
        <v>0.12740000000000001</v>
      </c>
      <c r="D113" s="354" t="s">
        <v>4387</v>
      </c>
      <c r="E113" s="354" t="e">
        <v>#N/A</v>
      </c>
    </row>
    <row r="114" spans="1:5" x14ac:dyDescent="0.25">
      <c r="A114" s="354">
        <v>1100000281</v>
      </c>
      <c r="B114" s="354" t="str">
        <f>VLOOKUP(A114,'Loan Book Summary'!C:G,5,FALSE)</f>
        <v>0018e000003Cg7J</v>
      </c>
      <c r="C114" s="274">
        <v>0.12740000000000001</v>
      </c>
      <c r="D114" s="354" t="s">
        <v>4387</v>
      </c>
      <c r="E114" s="354" t="e">
        <v>#N/A</v>
      </c>
    </row>
    <row r="115" spans="1:5" x14ac:dyDescent="0.25">
      <c r="A115" s="354">
        <v>1100000279</v>
      </c>
      <c r="B115" s="354" t="str">
        <f>VLOOKUP(A115,'Loan Book Summary'!C:G,5,FALSE)</f>
        <v>0018e000003CaFZ</v>
      </c>
      <c r="C115" s="274">
        <v>0.1</v>
      </c>
      <c r="D115" s="354" t="s">
        <v>4415</v>
      </c>
      <c r="E115" s="354" t="e">
        <v>#N/A</v>
      </c>
    </row>
    <row r="116" spans="1:5" x14ac:dyDescent="0.25">
      <c r="A116" s="354">
        <v>1100000283</v>
      </c>
      <c r="B116" s="354" t="str">
        <f>VLOOKUP(A116,'Loan Book Summary'!C:G,5,FALSE)</f>
        <v>0018e000003CYQC</v>
      </c>
      <c r="C116" s="274">
        <v>0.39649999999999996</v>
      </c>
      <c r="D116" s="354" t="s">
        <v>5253</v>
      </c>
      <c r="E116" s="354" t="s">
        <v>5358</v>
      </c>
    </row>
    <row r="117" spans="1:5" x14ac:dyDescent="0.25">
      <c r="A117" s="354">
        <v>1100000284</v>
      </c>
      <c r="B117" s="354" t="str">
        <f>VLOOKUP(A117,'Loan Book Summary'!C:G,5,FALSE)</f>
        <v>0018e000003CRe4</v>
      </c>
      <c r="C117" s="274">
        <v>0.3911</v>
      </c>
      <c r="D117" s="354" t="s">
        <v>5259</v>
      </c>
      <c r="E117" s="354" t="s">
        <v>5358</v>
      </c>
    </row>
    <row r="118" spans="1:5" x14ac:dyDescent="0.25">
      <c r="A118" s="354">
        <v>1300000003</v>
      </c>
      <c r="B118" s="354" t="str">
        <f>VLOOKUP(A118,'Loan Book Summary'!C:G,5,FALSE)</f>
        <v>0018e000003CRe4</v>
      </c>
      <c r="C118" s="274">
        <v>0.3911</v>
      </c>
      <c r="D118" s="354" t="s">
        <v>5259</v>
      </c>
      <c r="E118" s="354" t="s">
        <v>5358</v>
      </c>
    </row>
    <row r="119" spans="1:5" x14ac:dyDescent="0.25">
      <c r="A119" s="354">
        <v>1100000289</v>
      </c>
      <c r="B119" s="354" t="str">
        <f>VLOOKUP(A119,'Loan Book Summary'!C:G,5,FALSE)</f>
        <v>0018e000003CZk8</v>
      </c>
      <c r="C119" s="274">
        <v>0.41700000000000004</v>
      </c>
      <c r="D119" s="354" t="s">
        <v>5315</v>
      </c>
      <c r="E119" s="354" t="s">
        <v>5358</v>
      </c>
    </row>
    <row r="120" spans="1:5" x14ac:dyDescent="0.25">
      <c r="A120" s="354">
        <v>1300000004</v>
      </c>
      <c r="B120" s="354" t="str">
        <f>VLOOKUP(A120,'Loan Book Summary'!C:G,5,FALSE)</f>
        <v>0014I000027uYyB</v>
      </c>
      <c r="C120" s="274">
        <v>0.1</v>
      </c>
      <c r="D120" s="354" t="s">
        <v>1178</v>
      </c>
      <c r="E120" s="354" t="s">
        <v>5359</v>
      </c>
    </row>
  </sheetData>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AC34B-B13F-4C0F-83D8-64B777226308}">
  <sheetPr codeName="Sheet27"/>
  <dimension ref="A1"/>
  <sheetViews>
    <sheetView workbookViewId="0"/>
  </sheetViews>
  <sheetFormatPr defaultRowHeight="15" x14ac:dyDescent="0.25"/>
  <sheetData/>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E8F757-129D-4014-B144-6730197DD8AB}">
  <sheetPr codeName="Sheet28"/>
  <dimension ref="A1:BF114"/>
  <sheetViews>
    <sheetView zoomScale="80" zoomScaleNormal="80" workbookViewId="0">
      <pane ySplit="1" topLeftCell="A2" activePane="bottomLeft" state="frozen"/>
      <selection pane="bottomLeft"/>
    </sheetView>
  </sheetViews>
  <sheetFormatPr defaultColWidth="8.7109375" defaultRowHeight="15" x14ac:dyDescent="0.25"/>
  <cols>
    <col min="1" max="1" width="14.140625" style="355" bestFit="1" customWidth="1"/>
    <col min="2" max="2" width="8.5703125" style="355" bestFit="1" customWidth="1"/>
    <col min="3" max="3" width="19.140625" style="355" bestFit="1" customWidth="1"/>
    <col min="4" max="4" width="18.5703125" style="355" bestFit="1" customWidth="1"/>
    <col min="5" max="5" width="8.85546875" style="355" bestFit="1" customWidth="1"/>
    <col min="6" max="6" width="13.7109375" style="355" bestFit="1" customWidth="1"/>
    <col min="7" max="7" width="4.7109375" style="355" bestFit="1" customWidth="1"/>
    <col min="8" max="8" width="6.85546875" style="355" bestFit="1" customWidth="1"/>
    <col min="9" max="9" width="15.5703125" style="355" bestFit="1" customWidth="1"/>
    <col min="10" max="10" width="6.42578125" style="355" bestFit="1" customWidth="1"/>
    <col min="11" max="11" width="8.85546875" style="355" bestFit="1" customWidth="1"/>
    <col min="12" max="13" width="6.140625" style="355" bestFit="1" customWidth="1"/>
    <col min="14" max="14" width="10.5703125" style="355" bestFit="1" customWidth="1"/>
    <col min="15" max="20" width="12.85546875" style="355" bestFit="1" customWidth="1"/>
    <col min="21" max="21" width="7" style="355" bestFit="1" customWidth="1"/>
    <col min="22" max="22" width="6.5703125" style="355" bestFit="1" customWidth="1"/>
    <col min="23" max="23" width="10.42578125" style="355" bestFit="1" customWidth="1"/>
    <col min="24" max="24" width="22.28515625" style="355" bestFit="1" customWidth="1"/>
    <col min="25" max="25" width="10.5703125" style="355" bestFit="1" customWidth="1"/>
    <col min="26" max="26" width="8.7109375" style="355"/>
    <col min="27" max="27" width="12.42578125" style="355" customWidth="1"/>
    <col min="28" max="28" width="8.7109375" style="355"/>
    <col min="29" max="29" width="16.28515625" style="355" bestFit="1" customWidth="1"/>
    <col min="30" max="34" width="8.7109375" style="355"/>
    <col min="35" max="35" width="11.28515625" style="355" bestFit="1" customWidth="1"/>
    <col min="36" max="36" width="15.85546875" style="355" customWidth="1"/>
    <col min="37" max="37" width="17.85546875" bestFit="1" customWidth="1"/>
    <col min="42" max="42" width="9.140625" style="355" customWidth="1"/>
    <col min="43" max="16384" width="8.7109375" style="355"/>
  </cols>
  <sheetData>
    <row r="1" spans="1:58" x14ac:dyDescent="0.25">
      <c r="A1" s="328" t="s">
        <v>545</v>
      </c>
      <c r="B1" s="328" t="s">
        <v>546</v>
      </c>
      <c r="C1" s="335" t="s">
        <v>547</v>
      </c>
      <c r="D1" s="335" t="s">
        <v>548</v>
      </c>
      <c r="E1" s="335" t="s">
        <v>709</v>
      </c>
      <c r="F1" s="328" t="s">
        <v>549</v>
      </c>
      <c r="G1" s="328" t="s">
        <v>550</v>
      </c>
      <c r="H1" s="328" t="s">
        <v>715</v>
      </c>
      <c r="I1" s="328" t="s">
        <v>710</v>
      </c>
      <c r="J1" s="328" t="s">
        <v>551</v>
      </c>
      <c r="K1" s="328" t="s">
        <v>552</v>
      </c>
      <c r="L1" s="328" t="s">
        <v>553</v>
      </c>
      <c r="M1" s="328" t="s">
        <v>717</v>
      </c>
      <c r="N1" s="328" t="s">
        <v>711</v>
      </c>
      <c r="O1" s="328" t="s">
        <v>554</v>
      </c>
      <c r="P1" s="328" t="s">
        <v>555</v>
      </c>
      <c r="Q1" s="328" t="s">
        <v>556</v>
      </c>
      <c r="R1" s="328" t="s">
        <v>718</v>
      </c>
      <c r="S1" s="328" t="s">
        <v>712</v>
      </c>
      <c r="T1" s="336" t="s">
        <v>557</v>
      </c>
      <c r="U1" s="328" t="s">
        <v>558</v>
      </c>
      <c r="V1" s="336" t="s">
        <v>559</v>
      </c>
      <c r="W1" s="334" t="s">
        <v>560</v>
      </c>
      <c r="X1" s="335" t="s">
        <v>561</v>
      </c>
      <c r="Y1" s="328" t="s">
        <v>562</v>
      </c>
      <c r="AE1" s="355">
        <v>2019</v>
      </c>
      <c r="AF1" s="355">
        <v>2020</v>
      </c>
      <c r="AK1" s="355"/>
      <c r="AL1" s="355"/>
      <c r="AM1" s="355"/>
      <c r="AN1" s="355"/>
      <c r="AO1" s="355"/>
    </row>
    <row r="2" spans="1:58" x14ac:dyDescent="0.25">
      <c r="C2" s="337"/>
      <c r="D2" s="337"/>
      <c r="E2" s="337"/>
      <c r="F2" s="328"/>
      <c r="G2" s="328"/>
      <c r="H2" s="328"/>
      <c r="I2" s="328"/>
      <c r="J2" s="328"/>
      <c r="K2" s="401"/>
      <c r="L2" s="328"/>
      <c r="M2" s="328"/>
      <c r="N2" s="328"/>
      <c r="O2" s="328"/>
      <c r="P2" s="328"/>
      <c r="Q2" s="328"/>
      <c r="R2" s="328"/>
      <c r="S2" s="328"/>
      <c r="T2" s="336"/>
      <c r="U2" s="328"/>
      <c r="V2" s="336"/>
      <c r="W2" s="334"/>
      <c r="X2" s="335"/>
      <c r="Y2" s="328"/>
      <c r="AA2" s="338" t="s">
        <v>707</v>
      </c>
      <c r="AB2" s="355">
        <v>2020</v>
      </c>
      <c r="AK2" s="355"/>
      <c r="AL2" s="355"/>
      <c r="AM2" s="355"/>
      <c r="AN2" s="355"/>
      <c r="AO2" s="355"/>
    </row>
    <row r="3" spans="1:58" x14ac:dyDescent="0.25">
      <c r="C3" s="337"/>
      <c r="D3" s="337"/>
      <c r="E3" s="337"/>
      <c r="F3" s="328"/>
      <c r="G3" s="328"/>
      <c r="H3" s="328"/>
      <c r="I3" s="328"/>
      <c r="J3" s="328"/>
      <c r="K3" s="401"/>
      <c r="L3" s="328"/>
      <c r="M3" s="328"/>
      <c r="N3" s="328"/>
      <c r="O3" s="328"/>
      <c r="P3" s="328"/>
      <c r="Q3" s="328"/>
      <c r="R3" s="328"/>
      <c r="S3" s="328"/>
      <c r="T3" s="336"/>
      <c r="U3" s="328"/>
      <c r="V3" s="336"/>
      <c r="W3" s="334"/>
      <c r="X3" s="335"/>
      <c r="Y3" s="328"/>
      <c r="AB3" s="355" t="s">
        <v>713</v>
      </c>
      <c r="AC3" s="355" t="s">
        <v>577</v>
      </c>
      <c r="AD3" s="355" t="s">
        <v>550</v>
      </c>
      <c r="AE3" s="355" t="s">
        <v>714</v>
      </c>
      <c r="AF3" s="355" t="s">
        <v>715</v>
      </c>
      <c r="AK3" s="355"/>
      <c r="AL3" s="355"/>
      <c r="AM3" s="355"/>
      <c r="AN3" s="355"/>
      <c r="AO3" s="355"/>
    </row>
    <row r="4" spans="1:58" s="357" customFormat="1" x14ac:dyDescent="0.25">
      <c r="A4" s="357" t="s">
        <v>563</v>
      </c>
      <c r="B4" s="357" t="s">
        <v>564</v>
      </c>
      <c r="C4" s="345">
        <f>'Historical Data'!B188</f>
        <v>0.2</v>
      </c>
      <c r="D4" s="401">
        <f>'Historical Data'!E21</f>
        <v>12</v>
      </c>
      <c r="E4" s="357">
        <v>5.75</v>
      </c>
      <c r="F4" s="355"/>
      <c r="G4" s="401">
        <f>'Historical Data'!H53</f>
        <v>-0.9</v>
      </c>
      <c r="H4" s="320">
        <v>0.16071428569999999</v>
      </c>
      <c r="I4" s="355"/>
      <c r="J4" s="355"/>
      <c r="K4" s="401">
        <f t="shared" ref="K4" si="0">PERCENTRANK($D$2:$D$91,D4)</f>
        <v>0.98799999999999999</v>
      </c>
      <c r="L4" s="401">
        <f>PERCENTRANK($G$4:$G$91,G4)</f>
        <v>0.13700000000000001</v>
      </c>
      <c r="M4" s="355"/>
      <c r="N4" s="355"/>
      <c r="O4" s="355"/>
      <c r="P4" s="355"/>
      <c r="Q4" s="355"/>
      <c r="R4" s="355"/>
      <c r="S4" s="355"/>
      <c r="T4" s="355"/>
      <c r="U4" s="331"/>
      <c r="V4" s="330"/>
      <c r="W4" s="330"/>
      <c r="X4" s="330"/>
      <c r="Y4" s="330"/>
      <c r="Z4" s="355"/>
      <c r="AA4" s="328" t="s">
        <v>565</v>
      </c>
      <c r="AB4" s="402">
        <f>AVERAGE(J4:J99)</f>
        <v>0.49426315789473663</v>
      </c>
      <c r="AC4" s="402">
        <f>AVERAGE(K4:K99)</f>
        <v>0.48646875000000006</v>
      </c>
      <c r="AD4" s="402">
        <f>AVERAGE(L4:L99)</f>
        <v>0.49326041666666676</v>
      </c>
      <c r="AE4" s="402">
        <f>AVERAGE(N4:N99)</f>
        <v>0.27974736842105247</v>
      </c>
      <c r="AF4" s="402">
        <f>AVERAGE(M4:M99)</f>
        <v>0.49482105263157899</v>
      </c>
      <c r="AG4" s="355"/>
      <c r="AH4" s="355"/>
      <c r="AI4" s="355"/>
      <c r="AV4" s="355"/>
      <c r="AW4" s="355"/>
      <c r="AX4" s="355"/>
      <c r="AY4" s="355"/>
      <c r="AZ4" s="355"/>
      <c r="BA4" s="355"/>
      <c r="BB4" s="355"/>
      <c r="BC4" s="355"/>
      <c r="BD4" s="355"/>
      <c r="BE4" s="355"/>
      <c r="BF4" s="355"/>
    </row>
    <row r="5" spans="1:58" x14ac:dyDescent="0.25">
      <c r="A5" s="355" t="s">
        <v>563</v>
      </c>
      <c r="B5" s="355" t="s">
        <v>566</v>
      </c>
      <c r="C5" s="345">
        <f>'Historical Data'!B189</f>
        <v>0.15</v>
      </c>
      <c r="D5" s="401">
        <f>'Historical Data'!E22</f>
        <v>15</v>
      </c>
      <c r="E5" s="355">
        <v>5.75</v>
      </c>
      <c r="F5" s="401">
        <f t="shared" ref="F5:F68" si="1">D5-D4</f>
        <v>3</v>
      </c>
      <c r="G5" s="401">
        <f>'Historical Data'!H54</f>
        <v>-0.9</v>
      </c>
      <c r="H5" s="321">
        <v>0.17416131329999998</v>
      </c>
      <c r="I5" s="401">
        <f>E5-E4</f>
        <v>0</v>
      </c>
      <c r="J5" s="401">
        <f t="shared" ref="J5:J36" si="2">PERCENTRANK($C$4:$C$99,C5)</f>
        <v>0.97799999999999998</v>
      </c>
      <c r="K5" s="401">
        <f t="shared" ref="K5:K36" si="3">PERCENTRANK($D$2:$D$99,D5)</f>
        <v>1</v>
      </c>
      <c r="L5" s="401">
        <f t="shared" ref="L5:L36" si="4">PERCENTRANK($G$4:$G$99,G5)</f>
        <v>0.126</v>
      </c>
      <c r="M5" s="401">
        <f t="shared" ref="M5:M36" si="5">PERCENTRANK($H$4:$H$99,H5)</f>
        <v>0.96799999999999997</v>
      </c>
      <c r="N5" s="401">
        <f t="shared" ref="N5:N36" si="6">PERCENTRANK($I$4:$I$99,I5)</f>
        <v>0.14799999999999999</v>
      </c>
      <c r="O5" s="401">
        <f t="shared" ref="O5:Q5" si="7">(J5-AB$4)/AB$5</f>
        <v>1.6759727451038509</v>
      </c>
      <c r="P5" s="401">
        <f t="shared" si="7"/>
        <v>1.7529158996800227</v>
      </c>
      <c r="Q5" s="401">
        <f t="shared" si="7"/>
        <v>-1.2526014427544425</v>
      </c>
      <c r="R5" s="401">
        <f>(M5-AF$4)/AF$5</f>
        <v>1.6341602964486135</v>
      </c>
      <c r="S5" s="401">
        <f>(N5-AE$4)/AE$5</f>
        <v>-0.43490921419350353</v>
      </c>
      <c r="T5" s="401">
        <f>O5*$AB$8-P5*$AB$9+Q5*$AB$10+S5*$AB$11+R5*$AB$12</f>
        <v>0.82495702104437485</v>
      </c>
      <c r="U5" s="331">
        <v>1.7000000000000001E-2</v>
      </c>
      <c r="V5" s="332">
        <f t="shared" ref="V5:V68" si="8">NORMSDIST((_xlfn.NORM.S.INV(U5)-(SQRT($AF$11)*T5))/SQRT(1-$AF$11))</f>
        <v>3.1885171627281817E-3</v>
      </c>
      <c r="W5" s="330">
        <v>1.35E-2</v>
      </c>
      <c r="X5" s="332">
        <f t="shared" ref="X5:X68" si="9">Y5</f>
        <v>9.2746368133088061E-4</v>
      </c>
      <c r="Y5" s="330">
        <v>9.2746368133088061E-4</v>
      </c>
      <c r="Z5" s="330"/>
      <c r="AA5" s="328" t="s">
        <v>567</v>
      </c>
      <c r="AB5" s="402">
        <f>_xlfn.STDEV.P(J4:J99)</f>
        <v>0.28863049445072497</v>
      </c>
      <c r="AC5" s="402">
        <f>_xlfn.STDEV.P(K4:K99)</f>
        <v>0.29295829314671629</v>
      </c>
      <c r="AD5" s="402">
        <f>_xlfn.STDEV.P(L4:L99)</f>
        <v>0.29319814278600009</v>
      </c>
      <c r="AE5" s="402">
        <f>_xlfn.STDEV.P(N4:N99)</f>
        <v>0.30293073616608707</v>
      </c>
      <c r="AF5" s="402">
        <f>_xlfn.STDEV.P(M4:M99)</f>
        <v>0.2895547936128065</v>
      </c>
      <c r="AK5" s="355"/>
      <c r="AL5" s="355"/>
      <c r="AM5" s="355"/>
      <c r="AN5" s="355"/>
      <c r="AO5" s="355"/>
    </row>
    <row r="6" spans="1:58" x14ac:dyDescent="0.25">
      <c r="A6" s="355" t="s">
        <v>563</v>
      </c>
      <c r="B6" s="355" t="s">
        <v>568</v>
      </c>
      <c r="C6" s="345">
        <f>'Historical Data'!B190</f>
        <v>0.1</v>
      </c>
      <c r="D6" s="401">
        <f>'Historical Data'!E23</f>
        <v>9</v>
      </c>
      <c r="E6" s="355">
        <v>5.75</v>
      </c>
      <c r="F6" s="401">
        <f t="shared" si="1"/>
        <v>-6</v>
      </c>
      <c r="G6" s="401">
        <f>'Historical Data'!H55</f>
        <v>-0.9</v>
      </c>
      <c r="H6" s="321">
        <v>0.13014160490000001</v>
      </c>
      <c r="I6" s="401">
        <f t="shared" ref="I6:I69" si="10">E6-E5</f>
        <v>0</v>
      </c>
      <c r="J6" s="401">
        <f t="shared" si="2"/>
        <v>0.96799999999999997</v>
      </c>
      <c r="K6" s="401">
        <f t="shared" si="3"/>
        <v>0.97799999999999998</v>
      </c>
      <c r="L6" s="401">
        <f t="shared" si="4"/>
        <v>0.126</v>
      </c>
      <c r="M6" s="401">
        <f t="shared" si="5"/>
        <v>0.89400000000000002</v>
      </c>
      <c r="N6" s="401">
        <f t="shared" si="6"/>
        <v>0.14799999999999999</v>
      </c>
      <c r="O6" s="401">
        <f t="shared" ref="O6:O69" si="11">(J6-AB$4)/AB$5</f>
        <v>1.6413263713066872</v>
      </c>
      <c r="P6" s="401">
        <f t="shared" ref="P6:P69" si="12">(K6-AC$4)/AC$5</f>
        <v>1.6778198859652573</v>
      </c>
      <c r="Q6" s="401">
        <f t="shared" ref="Q6:Q69" si="13">(L6-AD$4)/AD$5</f>
        <v>-1.2526014427544425</v>
      </c>
      <c r="R6" s="401">
        <f t="shared" ref="R6:R69" si="14">(M6-AF$4)/AF$5</f>
        <v>1.3785955410643425</v>
      </c>
      <c r="S6" s="401">
        <f t="shared" ref="S6:S69" si="15">(N6-AE$4)/AE$5</f>
        <v>-0.43490921419350353</v>
      </c>
      <c r="T6" s="401">
        <f t="shared" ref="T6:T69" si="16">O6*$AB$8-P6*$AB$9+Q6*$AB$10+S6*$AB$11+R6*$AB$12</f>
        <v>0.78612232259912618</v>
      </c>
      <c r="U6" s="331">
        <v>1.7000000000000001E-2</v>
      </c>
      <c r="V6" s="332">
        <f t="shared" si="8"/>
        <v>3.3688029965729927E-3</v>
      </c>
      <c r="W6" s="330">
        <v>1.52E-2</v>
      </c>
      <c r="X6" s="332">
        <f t="shared" si="9"/>
        <v>6.1861259455313327E-3</v>
      </c>
      <c r="Y6" s="330">
        <v>6.1861259455313327E-3</v>
      </c>
      <c r="Z6" s="330"/>
      <c r="AK6" s="355"/>
      <c r="AL6" s="355"/>
      <c r="AM6" s="355"/>
      <c r="AN6" s="355"/>
      <c r="AO6" s="355"/>
    </row>
    <row r="7" spans="1:58" x14ac:dyDescent="0.25">
      <c r="A7" s="355" t="s">
        <v>563</v>
      </c>
      <c r="B7" s="355" t="s">
        <v>569</v>
      </c>
      <c r="C7" s="345">
        <f>'Historical Data'!B191</f>
        <v>1.7626895578982671E-2</v>
      </c>
      <c r="D7" s="401">
        <f>'Historical Data'!E24</f>
        <v>4.8</v>
      </c>
      <c r="E7" s="355">
        <v>5.75</v>
      </c>
      <c r="F7" s="401">
        <f t="shared" si="1"/>
        <v>-4.2</v>
      </c>
      <c r="G7" s="401">
        <f>'Historical Data'!H56</f>
        <v>-0.7</v>
      </c>
      <c r="H7" s="321">
        <v>0.13477975019999999</v>
      </c>
      <c r="I7" s="401">
        <f t="shared" si="10"/>
        <v>0</v>
      </c>
      <c r="J7" s="401">
        <f t="shared" si="2"/>
        <v>0.42099999999999999</v>
      </c>
      <c r="K7" s="401">
        <f t="shared" si="3"/>
        <v>0.43099999999999999</v>
      </c>
      <c r="L7" s="401">
        <f t="shared" si="4"/>
        <v>0.17799999999999999</v>
      </c>
      <c r="M7" s="401">
        <f t="shared" si="5"/>
        <v>0.90500000000000003</v>
      </c>
      <c r="N7" s="401">
        <f t="shared" si="6"/>
        <v>0.14799999999999999</v>
      </c>
      <c r="O7" s="401">
        <f t="shared" si="11"/>
        <v>-0.25383027539816705</v>
      </c>
      <c r="P7" s="401">
        <f t="shared" si="12"/>
        <v>-0.18934009139731298</v>
      </c>
      <c r="Q7" s="401">
        <f t="shared" si="13"/>
        <v>-1.0752469769113426</v>
      </c>
      <c r="R7" s="401">
        <f t="shared" si="14"/>
        <v>1.416584896594437</v>
      </c>
      <c r="S7" s="401">
        <f t="shared" si="15"/>
        <v>-0.43490921419350353</v>
      </c>
      <c r="T7" s="401">
        <f t="shared" si="16"/>
        <v>-0.14272128555020983</v>
      </c>
      <c r="U7" s="331">
        <v>1.7000000000000001E-2</v>
      </c>
      <c r="V7" s="332">
        <f t="shared" si="8"/>
        <v>1.1472188385341676E-2</v>
      </c>
      <c r="W7" s="330">
        <v>1.4800000000000001E-2</v>
      </c>
      <c r="X7" s="332">
        <f t="shared" si="9"/>
        <v>6.0098361815476174E-3</v>
      </c>
      <c r="Y7" s="332">
        <f>AVERAGE(V5:V7)</f>
        <v>6.0098361815476174E-3</v>
      </c>
      <c r="Z7" s="330"/>
      <c r="AA7" s="328" t="s">
        <v>570</v>
      </c>
      <c r="AC7" s="355" t="s">
        <v>706</v>
      </c>
      <c r="AE7" s="340" t="s">
        <v>571</v>
      </c>
      <c r="AG7" s="341" t="s">
        <v>704</v>
      </c>
      <c r="AK7" s="355"/>
      <c r="AL7" s="355"/>
      <c r="AM7" s="355"/>
      <c r="AN7" s="355"/>
      <c r="AO7" s="355"/>
    </row>
    <row r="8" spans="1:58" x14ac:dyDescent="0.25">
      <c r="A8" s="355" t="s">
        <v>563</v>
      </c>
      <c r="B8" s="355" t="s">
        <v>573</v>
      </c>
      <c r="C8" s="345">
        <f>'Historical Data'!B192</f>
        <v>2.4380255980643639E-2</v>
      </c>
      <c r="D8" s="401">
        <f>'Historical Data'!E25</f>
        <v>4.9000000000000004</v>
      </c>
      <c r="E8" s="355">
        <v>5.75</v>
      </c>
      <c r="F8" s="401">
        <f t="shared" si="1"/>
        <v>0.10000000000000053</v>
      </c>
      <c r="G8" s="401">
        <f>'Historical Data'!H57</f>
        <v>-0.9</v>
      </c>
      <c r="H8" s="321">
        <v>0.1006410256</v>
      </c>
      <c r="I8" s="401">
        <f t="shared" si="10"/>
        <v>0</v>
      </c>
      <c r="J8" s="401">
        <f t="shared" si="2"/>
        <v>0.68400000000000005</v>
      </c>
      <c r="K8" s="401">
        <f t="shared" si="3"/>
        <v>0.48399999999999999</v>
      </c>
      <c r="L8" s="401">
        <f t="shared" si="4"/>
        <v>0.126</v>
      </c>
      <c r="M8" s="401">
        <f t="shared" si="5"/>
        <v>0.81</v>
      </c>
      <c r="N8" s="401">
        <f t="shared" si="6"/>
        <v>0.14799999999999999</v>
      </c>
      <c r="O8" s="401">
        <f t="shared" si="11"/>
        <v>0.65736935546723851</v>
      </c>
      <c r="P8" s="401">
        <f t="shared" si="12"/>
        <v>-8.4269674481060059E-3</v>
      </c>
      <c r="Q8" s="401">
        <f t="shared" si="13"/>
        <v>-1.2526014427544425</v>
      </c>
      <c r="R8" s="401">
        <f t="shared" si="14"/>
        <v>1.0884950079254403</v>
      </c>
      <c r="S8" s="401">
        <f t="shared" si="15"/>
        <v>-0.43490921419350353</v>
      </c>
      <c r="T8" s="401">
        <f t="shared" si="16"/>
        <v>0.33536274512290309</v>
      </c>
      <c r="U8" s="331">
        <v>1.7000000000000001E-2</v>
      </c>
      <c r="V8" s="332">
        <f t="shared" si="8"/>
        <v>6.2386096855343428E-3</v>
      </c>
      <c r="W8" s="330">
        <v>1.52E-2</v>
      </c>
      <c r="X8" s="332">
        <f t="shared" si="9"/>
        <v>7.0265336891496702E-3</v>
      </c>
      <c r="Y8" s="332">
        <f t="shared" ref="Y8:Y71" si="17">AVERAGE(V6:V8)</f>
        <v>7.0265336891496702E-3</v>
      </c>
      <c r="Z8" s="330"/>
      <c r="AA8" s="334" t="s">
        <v>574</v>
      </c>
      <c r="AB8" s="403">
        <f>MacroAssumptions!C16</f>
        <v>0.6</v>
      </c>
      <c r="AC8" s="355">
        <v>0.6</v>
      </c>
      <c r="AE8" s="355" t="s">
        <v>684</v>
      </c>
      <c r="AG8" s="355" t="s">
        <v>575</v>
      </c>
      <c r="AK8" s="355"/>
      <c r="AL8" s="355"/>
      <c r="AM8" s="355"/>
      <c r="AN8" s="355"/>
      <c r="AO8" s="355"/>
    </row>
    <row r="9" spans="1:58" x14ac:dyDescent="0.25">
      <c r="A9" s="355" t="s">
        <v>563</v>
      </c>
      <c r="B9" s="355" t="s">
        <v>576</v>
      </c>
      <c r="C9" s="345">
        <f>'Historical Data'!B193</f>
        <v>2.7201613997918539E-2</v>
      </c>
      <c r="D9" s="401">
        <f>'Historical Data'!E26</f>
        <v>4.7</v>
      </c>
      <c r="E9" s="355">
        <v>5.25</v>
      </c>
      <c r="F9" s="401">
        <f t="shared" si="1"/>
        <v>-0.20000000000000018</v>
      </c>
      <c r="G9" s="401">
        <f>'Historical Data'!H58</f>
        <v>-0.5</v>
      </c>
      <c r="H9" s="321">
        <v>8.1458966569999999E-2</v>
      </c>
      <c r="I9" s="401">
        <f t="shared" si="10"/>
        <v>-0.5</v>
      </c>
      <c r="J9" s="401">
        <f t="shared" si="2"/>
        <v>0.78900000000000003</v>
      </c>
      <c r="K9" s="401">
        <f t="shared" si="3"/>
        <v>0.33600000000000002</v>
      </c>
      <c r="L9" s="401">
        <f t="shared" si="4"/>
        <v>0.221</v>
      </c>
      <c r="M9" s="401">
        <f t="shared" si="5"/>
        <v>0.70499999999999996</v>
      </c>
      <c r="N9" s="401">
        <f t="shared" si="6"/>
        <v>4.2000000000000003E-2</v>
      </c>
      <c r="O9" s="401">
        <f t="shared" si="11"/>
        <v>1.0211562803374572</v>
      </c>
      <c r="P9" s="401">
        <f t="shared" si="12"/>
        <v>-0.51361833243834432</v>
      </c>
      <c r="Q9" s="401">
        <f t="shared" si="13"/>
        <v>-0.92858847631031771</v>
      </c>
      <c r="R9" s="401">
        <f t="shared" si="14"/>
        <v>0.72586934150181215</v>
      </c>
      <c r="S9" s="401">
        <f t="shared" si="15"/>
        <v>-0.78482418598389869</v>
      </c>
      <c r="T9" s="401">
        <f t="shared" si="16"/>
        <v>0.56530126936706837</v>
      </c>
      <c r="U9" s="331">
        <v>1.7000000000000001E-2</v>
      </c>
      <c r="V9" s="332">
        <f t="shared" si="8"/>
        <v>4.5792106339989013E-3</v>
      </c>
      <c r="W9" s="330">
        <v>1.9E-2</v>
      </c>
      <c r="X9" s="332">
        <f t="shared" si="9"/>
        <v>7.4300029016249741E-3</v>
      </c>
      <c r="Y9" s="332">
        <f t="shared" si="17"/>
        <v>7.4300029016249741E-3</v>
      </c>
      <c r="Z9" s="330"/>
      <c r="AA9" s="334" t="s">
        <v>577</v>
      </c>
      <c r="AB9" s="403">
        <f>MacroAssumptions!C20</f>
        <v>0.1</v>
      </c>
      <c r="AC9" s="355">
        <v>0.2</v>
      </c>
      <c r="AK9" s="355"/>
      <c r="AL9" s="355"/>
      <c r="AM9" s="355"/>
      <c r="AN9" s="355"/>
      <c r="AO9" s="355"/>
    </row>
    <row r="10" spans="1:58" x14ac:dyDescent="0.25">
      <c r="A10" s="355" t="s">
        <v>563</v>
      </c>
      <c r="B10" s="355" t="s">
        <v>578</v>
      </c>
      <c r="C10" s="345">
        <f>'Historical Data'!B194</f>
        <v>3.2563571694006477E-2</v>
      </c>
      <c r="D10" s="401">
        <f>'Historical Data'!E27</f>
        <v>5.2</v>
      </c>
      <c r="E10" s="355">
        <v>4.75</v>
      </c>
      <c r="F10" s="401">
        <f t="shared" si="1"/>
        <v>0.5</v>
      </c>
      <c r="G10" s="401">
        <f>'Historical Data'!H59</f>
        <v>-0.6</v>
      </c>
      <c r="H10" s="321">
        <v>9.9642004770000001E-2</v>
      </c>
      <c r="I10" s="401">
        <f t="shared" si="10"/>
        <v>-0.5</v>
      </c>
      <c r="J10" s="401">
        <f t="shared" si="2"/>
        <v>0.85199999999999998</v>
      </c>
      <c r="K10" s="401">
        <f t="shared" si="3"/>
        <v>0.63100000000000001</v>
      </c>
      <c r="L10" s="401">
        <f t="shared" si="4"/>
        <v>0.189</v>
      </c>
      <c r="M10" s="401">
        <f t="shared" si="5"/>
        <v>0.78900000000000003</v>
      </c>
      <c r="N10" s="401">
        <f t="shared" si="6"/>
        <v>4.2000000000000003E-2</v>
      </c>
      <c r="O10" s="401">
        <f t="shared" si="11"/>
        <v>1.2394284352595883</v>
      </c>
      <c r="P10" s="401">
        <f t="shared" si="12"/>
        <v>0.49335094237327948</v>
      </c>
      <c r="Q10" s="401">
        <f t="shared" si="13"/>
        <v>-1.0377296860599174</v>
      </c>
      <c r="R10" s="401">
        <f t="shared" si="14"/>
        <v>1.0159698746407146</v>
      </c>
      <c r="S10" s="401">
        <f t="shared" si="15"/>
        <v>-0.78482418598389869</v>
      </c>
      <c r="T10" s="401">
        <f t="shared" si="16"/>
        <v>0.61366356717811499</v>
      </c>
      <c r="U10" s="331">
        <v>1.7000000000000001E-2</v>
      </c>
      <c r="V10" s="332">
        <f t="shared" si="8"/>
        <v>4.2850681211447873E-3</v>
      </c>
      <c r="W10" s="330">
        <v>2.3300000000000001E-2</v>
      </c>
      <c r="X10" s="332">
        <f t="shared" si="9"/>
        <v>5.0342961468926766E-3</v>
      </c>
      <c r="Y10" s="332">
        <f t="shared" si="17"/>
        <v>5.0342961468926766E-3</v>
      </c>
      <c r="Z10" s="330"/>
      <c r="AA10" s="334" t="s">
        <v>579</v>
      </c>
      <c r="AB10" s="403">
        <f>MacroAssumptions!C19</f>
        <v>0.1</v>
      </c>
      <c r="AC10" s="355">
        <v>0.2</v>
      </c>
      <c r="AK10" s="355"/>
      <c r="AL10" s="355"/>
      <c r="AM10" s="355"/>
      <c r="AN10" s="355"/>
      <c r="AO10" s="355"/>
    </row>
    <row r="11" spans="1:58" x14ac:dyDescent="0.25">
      <c r="A11" s="355" t="s">
        <v>563</v>
      </c>
      <c r="B11" s="355" t="s">
        <v>580</v>
      </c>
      <c r="C11" s="345">
        <f>'Historical Data'!B195</f>
        <v>3.476769855803763E-2</v>
      </c>
      <c r="D11" s="401">
        <f>'Historical Data'!E28</f>
        <v>4.8</v>
      </c>
      <c r="E11" s="355">
        <v>4</v>
      </c>
      <c r="F11" s="401">
        <f t="shared" si="1"/>
        <v>-0.40000000000000036</v>
      </c>
      <c r="G11" s="401">
        <f>'Historical Data'!H60</f>
        <v>-1.1000000000000001</v>
      </c>
      <c r="H11" s="321">
        <v>4.6349942060000003E-2</v>
      </c>
      <c r="I11" s="401">
        <f t="shared" si="10"/>
        <v>-0.75</v>
      </c>
      <c r="J11" s="401">
        <f t="shared" si="2"/>
        <v>0.89400000000000002</v>
      </c>
      <c r="K11" s="401">
        <f t="shared" si="3"/>
        <v>0.43099999999999999</v>
      </c>
      <c r="L11" s="401">
        <f t="shared" si="4"/>
        <v>8.4000000000000005E-2</v>
      </c>
      <c r="M11" s="401">
        <f t="shared" si="5"/>
        <v>0.49399999999999999</v>
      </c>
      <c r="N11" s="401">
        <f t="shared" si="6"/>
        <v>2.1000000000000001E-2</v>
      </c>
      <c r="O11" s="401">
        <f t="shared" si="11"/>
        <v>1.384943205207676</v>
      </c>
      <c r="P11" s="401">
        <f t="shared" si="12"/>
        <v>-0.18934009139731298</v>
      </c>
      <c r="Q11" s="401">
        <f t="shared" si="13"/>
        <v>-1.3958492805507925</v>
      </c>
      <c r="R11" s="401">
        <f t="shared" si="14"/>
        <v>-2.8355691209067464E-3</v>
      </c>
      <c r="S11" s="401">
        <f t="shared" si="15"/>
        <v>-0.85414696341407126</v>
      </c>
      <c r="T11" s="401">
        <f t="shared" si="16"/>
        <v>0.62461675095575986</v>
      </c>
      <c r="U11" s="331">
        <v>1.7000000000000001E-2</v>
      </c>
      <c r="V11" s="332">
        <f t="shared" si="8"/>
        <v>4.2208433401423051E-3</v>
      </c>
      <c r="W11" s="330">
        <v>2.6800000000000001E-2</v>
      </c>
      <c r="X11" s="332">
        <f t="shared" si="9"/>
        <v>4.361707365095331E-3</v>
      </c>
      <c r="Y11" s="332">
        <f t="shared" si="17"/>
        <v>4.361707365095331E-3</v>
      </c>
      <c r="Z11" s="330"/>
      <c r="AA11" s="334" t="s">
        <v>716</v>
      </c>
      <c r="AB11" s="403">
        <f>MacroAssumptions!C18</f>
        <v>0.1</v>
      </c>
      <c r="AE11" s="328" t="s">
        <v>581</v>
      </c>
      <c r="AF11" s="342">
        <v>0.18</v>
      </c>
      <c r="AG11" s="355" t="s">
        <v>582</v>
      </c>
      <c r="AK11" s="355"/>
      <c r="AL11" s="355"/>
      <c r="AM11" s="355"/>
      <c r="AN11" s="355"/>
      <c r="AO11" s="355"/>
    </row>
    <row r="12" spans="1:58" x14ac:dyDescent="0.25">
      <c r="A12" s="355" t="s">
        <v>563</v>
      </c>
      <c r="B12" s="355" t="s">
        <v>583</v>
      </c>
      <c r="C12" s="345">
        <f>'Historical Data'!B196</f>
        <v>2.4690970943038293E-2</v>
      </c>
      <c r="D12" s="401">
        <f>'Historical Data'!E29</f>
        <v>5</v>
      </c>
      <c r="E12" s="355">
        <v>4</v>
      </c>
      <c r="F12" s="401">
        <f t="shared" si="1"/>
        <v>0.20000000000000018</v>
      </c>
      <c r="G12" s="401">
        <f>'Historical Data'!H61</f>
        <v>-0.5</v>
      </c>
      <c r="H12" s="321">
        <v>0.12421374489999999</v>
      </c>
      <c r="I12" s="401">
        <f t="shared" si="10"/>
        <v>0</v>
      </c>
      <c r="J12" s="401">
        <f t="shared" si="2"/>
        <v>0.71499999999999997</v>
      </c>
      <c r="K12" s="401">
        <f t="shared" si="3"/>
        <v>0.56799999999999995</v>
      </c>
      <c r="L12" s="401">
        <f t="shared" si="4"/>
        <v>0.221</v>
      </c>
      <c r="M12" s="401">
        <f t="shared" si="5"/>
        <v>0.88400000000000001</v>
      </c>
      <c r="N12" s="401">
        <f t="shared" si="6"/>
        <v>0.14799999999999999</v>
      </c>
      <c r="O12" s="401">
        <f t="shared" si="11"/>
        <v>0.76477311423844563</v>
      </c>
      <c r="P12" s="401">
        <f t="shared" si="12"/>
        <v>0.27830326673554268</v>
      </c>
      <c r="Q12" s="401">
        <f t="shared" si="13"/>
        <v>-0.92858847631031771</v>
      </c>
      <c r="R12" s="401">
        <f t="shared" si="14"/>
        <v>1.3440597633097113</v>
      </c>
      <c r="S12" s="401">
        <f t="shared" si="15"/>
        <v>-0.43490921419350353</v>
      </c>
      <c r="T12" s="401">
        <f t="shared" si="16"/>
        <v>0.42908974915010212</v>
      </c>
      <c r="U12" s="331">
        <v>1.7000000000000001E-2</v>
      </c>
      <c r="V12" s="332">
        <f t="shared" si="8"/>
        <v>5.506828582815571E-3</v>
      </c>
      <c r="W12" s="330">
        <v>2.4799999999999999E-2</v>
      </c>
      <c r="X12" s="332">
        <f t="shared" si="9"/>
        <v>4.6709133480342217E-3</v>
      </c>
      <c r="Y12" s="332">
        <f t="shared" si="17"/>
        <v>4.6709133480342217E-3</v>
      </c>
      <c r="Z12" s="330"/>
      <c r="AA12" s="334" t="s">
        <v>708</v>
      </c>
      <c r="AB12" s="403">
        <f>MacroAssumptions!C17</f>
        <v>0.1</v>
      </c>
      <c r="AK12" s="355"/>
      <c r="AL12" s="355"/>
      <c r="AM12" s="355"/>
      <c r="AN12" s="355"/>
      <c r="AO12" s="355"/>
    </row>
    <row r="13" spans="1:58" x14ac:dyDescent="0.25">
      <c r="A13" s="355" t="s">
        <v>563</v>
      </c>
      <c r="B13" s="355" t="s">
        <v>584</v>
      </c>
      <c r="C13" s="345">
        <f>'Historical Data'!B197</f>
        <v>2.1335309496726129E-2</v>
      </c>
      <c r="D13" s="401">
        <f>'Historical Data'!E30</f>
        <v>4.8</v>
      </c>
      <c r="E13" s="355">
        <v>4</v>
      </c>
      <c r="F13" s="401">
        <f t="shared" si="1"/>
        <v>-0.20000000000000018</v>
      </c>
      <c r="G13" s="401">
        <f>'Historical Data'!H62</f>
        <v>-1.6</v>
      </c>
      <c r="H13" s="321">
        <v>0.17414277680000001</v>
      </c>
      <c r="I13" s="401">
        <f t="shared" si="10"/>
        <v>0</v>
      </c>
      <c r="J13" s="401">
        <f t="shared" si="2"/>
        <v>0.56799999999999995</v>
      </c>
      <c r="K13" s="401">
        <f t="shared" si="3"/>
        <v>0.43099999999999999</v>
      </c>
      <c r="L13" s="401">
        <f t="shared" si="4"/>
        <v>5.1999999999999998E-2</v>
      </c>
      <c r="M13" s="401">
        <f t="shared" si="5"/>
        <v>0.95699999999999996</v>
      </c>
      <c r="N13" s="401">
        <f t="shared" si="6"/>
        <v>0.14799999999999999</v>
      </c>
      <c r="O13" s="401">
        <f t="shared" si="11"/>
        <v>0.25547141942013923</v>
      </c>
      <c r="P13" s="401">
        <f t="shared" si="12"/>
        <v>-0.18934009139731298</v>
      </c>
      <c r="Q13" s="401">
        <f t="shared" si="13"/>
        <v>-1.5049904903003926</v>
      </c>
      <c r="R13" s="401">
        <f t="shared" si="14"/>
        <v>1.5961709409185192</v>
      </c>
      <c r="S13" s="401">
        <f t="shared" si="15"/>
        <v>-0.43490921419350353</v>
      </c>
      <c r="T13" s="401">
        <f t="shared" si="16"/>
        <v>0.13784398443427712</v>
      </c>
      <c r="U13" s="331">
        <v>1.7000000000000001E-2</v>
      </c>
      <c r="V13" s="332">
        <f t="shared" si="8"/>
        <v>8.0683193814748873E-3</v>
      </c>
      <c r="W13" s="330">
        <v>2.41E-2</v>
      </c>
      <c r="X13" s="332">
        <f t="shared" si="9"/>
        <v>5.9319971014775881E-3</v>
      </c>
      <c r="Y13" s="332">
        <f t="shared" si="17"/>
        <v>5.9319971014775881E-3</v>
      </c>
      <c r="Z13" s="330"/>
      <c r="AC13" s="355">
        <v>2019</v>
      </c>
      <c r="AD13" s="355">
        <v>2020</v>
      </c>
      <c r="AK13" s="355"/>
      <c r="AL13" s="355"/>
      <c r="AM13" s="355"/>
      <c r="AN13" s="355"/>
      <c r="AO13" s="355"/>
    </row>
    <row r="14" spans="1:58" x14ac:dyDescent="0.25">
      <c r="A14" s="355" t="s">
        <v>563</v>
      </c>
      <c r="B14" s="355" t="s">
        <v>585</v>
      </c>
      <c r="C14" s="345">
        <f>'Historical Data'!B198</f>
        <v>2.0994426849833436E-2</v>
      </c>
      <c r="D14" s="401">
        <f>'Historical Data'!E31</f>
        <v>5.2</v>
      </c>
      <c r="E14" s="355">
        <v>4</v>
      </c>
      <c r="F14" s="401">
        <f t="shared" si="1"/>
        <v>0.40000000000000036</v>
      </c>
      <c r="G14" s="401">
        <f>'Historical Data'!H63</f>
        <v>-1.6</v>
      </c>
      <c r="H14" s="321">
        <v>0.19610960389999998</v>
      </c>
      <c r="I14" s="401">
        <f t="shared" si="10"/>
        <v>0</v>
      </c>
      <c r="J14" s="401">
        <f t="shared" si="2"/>
        <v>0.55700000000000005</v>
      </c>
      <c r="K14" s="401">
        <f t="shared" si="3"/>
        <v>0.63100000000000001</v>
      </c>
      <c r="L14" s="401">
        <f t="shared" si="4"/>
        <v>5.1999999999999998E-2</v>
      </c>
      <c r="M14" s="401">
        <f t="shared" si="5"/>
        <v>0.97799999999999998</v>
      </c>
      <c r="N14" s="401">
        <f t="shared" si="6"/>
        <v>0.14799999999999999</v>
      </c>
      <c r="O14" s="401">
        <f t="shared" si="11"/>
        <v>0.2173604082432595</v>
      </c>
      <c r="P14" s="401">
        <f t="shared" si="12"/>
        <v>0.49335094237327948</v>
      </c>
      <c r="Q14" s="401">
        <f t="shared" si="13"/>
        <v>-1.5049904903003926</v>
      </c>
      <c r="R14" s="401">
        <f t="shared" si="14"/>
        <v>1.6686960742032448</v>
      </c>
      <c r="S14" s="401">
        <f t="shared" si="15"/>
        <v>-0.43490921419350353</v>
      </c>
      <c r="T14" s="401">
        <f t="shared" si="16"/>
        <v>5.3960787679562611E-2</v>
      </c>
      <c r="U14" s="331">
        <v>1.7000000000000001E-2</v>
      </c>
      <c r="V14" s="332">
        <f t="shared" si="8"/>
        <v>8.9783615917714051E-3</v>
      </c>
      <c r="W14" s="330">
        <v>2.81E-2</v>
      </c>
      <c r="X14" s="332">
        <f t="shared" si="9"/>
        <v>7.5178365186872875E-3</v>
      </c>
      <c r="Y14" s="332">
        <f t="shared" si="17"/>
        <v>7.5178365186872875E-3</v>
      </c>
      <c r="Z14" s="330"/>
      <c r="AA14" s="334" t="s">
        <v>572</v>
      </c>
      <c r="AB14" s="403">
        <f>MacroAssumptions!F16</f>
        <v>0.6</v>
      </c>
      <c r="AC14" s="355">
        <v>0.6</v>
      </c>
      <c r="AD14" s="355">
        <v>0.4</v>
      </c>
      <c r="AK14" s="355"/>
      <c r="AL14" s="355"/>
      <c r="AM14" s="355"/>
      <c r="AN14" s="355"/>
      <c r="AO14" s="355"/>
    </row>
    <row r="15" spans="1:58" x14ac:dyDescent="0.25">
      <c r="A15" s="355" t="s">
        <v>563</v>
      </c>
      <c r="B15" s="355" t="s">
        <v>586</v>
      </c>
      <c r="C15" s="345">
        <f>'Historical Data'!B199</f>
        <v>2.5957095878622827E-2</v>
      </c>
      <c r="D15" s="401">
        <f>'Historical Data'!E32</f>
        <v>4.7</v>
      </c>
      <c r="E15" s="355">
        <v>4</v>
      </c>
      <c r="F15" s="401">
        <f t="shared" si="1"/>
        <v>-0.5</v>
      </c>
      <c r="G15" s="401">
        <f>'Historical Data'!H64</f>
        <v>-1.1000000000000001</v>
      </c>
      <c r="H15" s="321">
        <v>0.28360741969999997</v>
      </c>
      <c r="I15" s="401">
        <f t="shared" si="10"/>
        <v>0</v>
      </c>
      <c r="J15" s="401">
        <f t="shared" si="2"/>
        <v>0.73599999999999999</v>
      </c>
      <c r="K15" s="401">
        <f t="shared" si="3"/>
        <v>0.33600000000000002</v>
      </c>
      <c r="L15" s="401">
        <f t="shared" si="4"/>
        <v>8.4000000000000005E-2</v>
      </c>
      <c r="M15" s="401">
        <f t="shared" si="5"/>
        <v>1</v>
      </c>
      <c r="N15" s="401">
        <f t="shared" si="6"/>
        <v>0.14799999999999999</v>
      </c>
      <c r="O15" s="401">
        <f t="shared" si="11"/>
        <v>0.83753049921248945</v>
      </c>
      <c r="P15" s="401">
        <f t="shared" si="12"/>
        <v>-0.51361833243834432</v>
      </c>
      <c r="Q15" s="401">
        <f t="shared" si="13"/>
        <v>-1.3958492805507925</v>
      </c>
      <c r="R15" s="401">
        <f t="shared" si="14"/>
        <v>1.7446747852634334</v>
      </c>
      <c r="S15" s="401">
        <f t="shared" si="15"/>
        <v>-0.43490921419350353</v>
      </c>
      <c r="T15" s="401">
        <f t="shared" si="16"/>
        <v>0.54527176182324189</v>
      </c>
      <c r="U15" s="331">
        <v>1.7000000000000001E-2</v>
      </c>
      <c r="V15" s="332">
        <f t="shared" si="8"/>
        <v>4.7062190013307898E-3</v>
      </c>
      <c r="W15" s="330">
        <v>2.9499999999999998E-2</v>
      </c>
      <c r="X15" s="332">
        <f t="shared" si="9"/>
        <v>7.2509666581923602E-3</v>
      </c>
      <c r="Y15" s="332">
        <f t="shared" si="17"/>
        <v>7.2509666581923602E-3</v>
      </c>
      <c r="Z15" s="330"/>
      <c r="AA15" s="334" t="s">
        <v>2535</v>
      </c>
      <c r="AB15" s="403">
        <f>MacroAssumptions!F18</f>
        <v>0.05</v>
      </c>
      <c r="AC15" s="355">
        <v>0.2</v>
      </c>
      <c r="AD15" s="355">
        <v>0.6</v>
      </c>
      <c r="AK15" s="355"/>
      <c r="AL15" s="355"/>
      <c r="AM15" s="355"/>
      <c r="AN15" s="355"/>
      <c r="AO15" s="355"/>
    </row>
    <row r="16" spans="1:58" x14ac:dyDescent="0.25">
      <c r="A16" s="355" t="s">
        <v>563</v>
      </c>
      <c r="B16" s="355" t="s">
        <v>588</v>
      </c>
      <c r="C16" s="345">
        <f>'Historical Data'!B200</f>
        <v>2.8214013427473539E-2</v>
      </c>
      <c r="D16" s="401">
        <f>'Historical Data'!E33</f>
        <v>4.9000000000000004</v>
      </c>
      <c r="E16" s="355">
        <v>3.75</v>
      </c>
      <c r="F16" s="401">
        <f t="shared" si="1"/>
        <v>0.20000000000000018</v>
      </c>
      <c r="G16" s="401">
        <f>'Historical Data'!H65</f>
        <v>-1</v>
      </c>
      <c r="H16" s="321">
        <v>0.20483091789999999</v>
      </c>
      <c r="I16" s="401">
        <f t="shared" si="10"/>
        <v>-0.25</v>
      </c>
      <c r="J16" s="401">
        <f t="shared" si="2"/>
        <v>0.82099999999999995</v>
      </c>
      <c r="K16" s="401">
        <f t="shared" si="3"/>
        <v>0.48399999999999999</v>
      </c>
      <c r="L16" s="401">
        <f t="shared" si="4"/>
        <v>0.115</v>
      </c>
      <c r="M16" s="401">
        <f t="shared" si="5"/>
        <v>0.98899999999999999</v>
      </c>
      <c r="N16" s="401">
        <f t="shared" si="6"/>
        <v>7.3999999999999996E-2</v>
      </c>
      <c r="O16" s="401">
        <f t="shared" si="11"/>
        <v>1.1320246764883808</v>
      </c>
      <c r="P16" s="401">
        <f t="shared" si="12"/>
        <v>-8.4269674481060059E-3</v>
      </c>
      <c r="Q16" s="401">
        <f t="shared" si="13"/>
        <v>-1.2901187336058675</v>
      </c>
      <c r="R16" s="401">
        <f t="shared" si="14"/>
        <v>1.7066854297333391</v>
      </c>
      <c r="S16" s="401">
        <f t="shared" si="15"/>
        <v>-0.67918947751887371</v>
      </c>
      <c r="T16" s="401">
        <f t="shared" si="16"/>
        <v>0.65379522449869887</v>
      </c>
      <c r="U16" s="331">
        <v>1.7000000000000001E-2</v>
      </c>
      <c r="V16" s="332">
        <f t="shared" si="8"/>
        <v>4.0539344017126947E-3</v>
      </c>
      <c r="W16" s="330">
        <v>2.6700000000000002E-2</v>
      </c>
      <c r="X16" s="332">
        <f t="shared" si="9"/>
        <v>5.9128383316049624E-3</v>
      </c>
      <c r="Y16" s="332">
        <f t="shared" si="17"/>
        <v>5.9128383316049624E-3</v>
      </c>
      <c r="Z16" s="330"/>
      <c r="AA16" s="322" t="s">
        <v>2536</v>
      </c>
      <c r="AB16" s="403">
        <f>MacroAssumptions!F17</f>
        <v>0.35</v>
      </c>
      <c r="AC16" s="355">
        <v>0.2</v>
      </c>
      <c r="AD16" s="355">
        <v>0</v>
      </c>
      <c r="AK16" s="355"/>
      <c r="AL16" s="355"/>
      <c r="AM16" s="355"/>
      <c r="AN16" s="355"/>
      <c r="AO16" s="355"/>
    </row>
    <row r="17" spans="1:42" x14ac:dyDescent="0.25">
      <c r="A17" s="355" t="s">
        <v>563</v>
      </c>
      <c r="B17" s="355" t="s">
        <v>589</v>
      </c>
      <c r="C17" s="345">
        <f>'Historical Data'!B201</f>
        <v>3.2610543246897938E-2</v>
      </c>
      <c r="D17" s="401">
        <f>'Historical Data'!E34</f>
        <v>4.5</v>
      </c>
      <c r="E17" s="355">
        <v>3.75</v>
      </c>
      <c r="F17" s="401">
        <f t="shared" si="1"/>
        <v>-0.40000000000000036</v>
      </c>
      <c r="G17" s="401">
        <f>'Historical Data'!H66</f>
        <v>-0.8</v>
      </c>
      <c r="H17" s="321">
        <v>0.13482142859999999</v>
      </c>
      <c r="I17" s="401">
        <f t="shared" si="10"/>
        <v>0</v>
      </c>
      <c r="J17" s="401">
        <f t="shared" si="2"/>
        <v>0.86299999999999999</v>
      </c>
      <c r="K17" s="401">
        <f t="shared" si="3"/>
        <v>0.26300000000000001</v>
      </c>
      <c r="L17" s="401">
        <f t="shared" si="4"/>
        <v>0.16800000000000001</v>
      </c>
      <c r="M17" s="401">
        <f t="shared" si="5"/>
        <v>0.91500000000000004</v>
      </c>
      <c r="N17" s="401">
        <f t="shared" si="6"/>
        <v>0.14799999999999999</v>
      </c>
      <c r="O17" s="401">
        <f t="shared" si="11"/>
        <v>1.2775394464364684</v>
      </c>
      <c r="P17" s="401">
        <f t="shared" si="12"/>
        <v>-0.76280055976461059</v>
      </c>
      <c r="Q17" s="401">
        <f t="shared" si="13"/>
        <v>-1.1093536049580923</v>
      </c>
      <c r="R17" s="401">
        <f t="shared" si="14"/>
        <v>1.4511206743490681</v>
      </c>
      <c r="S17" s="401">
        <f t="shared" si="15"/>
        <v>-0.43490921419350353</v>
      </c>
      <c r="T17" s="401">
        <f t="shared" si="16"/>
        <v>0.8334895093580893</v>
      </c>
      <c r="U17" s="331">
        <v>1.7000000000000001E-2</v>
      </c>
      <c r="V17" s="332">
        <f t="shared" si="8"/>
        <v>3.1500887049116691E-3</v>
      </c>
      <c r="W17" s="330">
        <v>2.4299999999999999E-2</v>
      </c>
      <c r="X17" s="332">
        <f t="shared" si="9"/>
        <v>3.970080702651718E-3</v>
      </c>
      <c r="Y17" s="332">
        <f t="shared" si="17"/>
        <v>3.970080702651718E-3</v>
      </c>
      <c r="Z17" s="330"/>
      <c r="AK17" s="355"/>
      <c r="AL17" s="355"/>
      <c r="AM17" s="355"/>
      <c r="AN17" s="355"/>
      <c r="AO17" s="355"/>
    </row>
    <row r="18" spans="1:42" ht="15.75" x14ac:dyDescent="0.25">
      <c r="A18" s="355" t="s">
        <v>563</v>
      </c>
      <c r="B18" s="355" t="s">
        <v>590</v>
      </c>
      <c r="C18" s="345">
        <f>'Historical Data'!B202</f>
        <v>3.5349656952225139E-2</v>
      </c>
      <c r="D18" s="401">
        <f>'Historical Data'!E35</f>
        <v>5</v>
      </c>
      <c r="E18" s="355">
        <v>3.5</v>
      </c>
      <c r="F18" s="401">
        <f t="shared" si="1"/>
        <v>0.5</v>
      </c>
      <c r="G18" s="401">
        <f>'Historical Data'!H67</f>
        <v>-0.3</v>
      </c>
      <c r="H18" s="321">
        <v>0.1099830795</v>
      </c>
      <c r="I18" s="401">
        <f t="shared" si="10"/>
        <v>-0.25</v>
      </c>
      <c r="J18" s="401">
        <f t="shared" si="2"/>
        <v>0.91500000000000004</v>
      </c>
      <c r="K18" s="401">
        <f t="shared" si="3"/>
        <v>0.56799999999999995</v>
      </c>
      <c r="L18" s="401">
        <f t="shared" si="4"/>
        <v>0.252</v>
      </c>
      <c r="M18" s="401">
        <f t="shared" si="5"/>
        <v>0.86299999999999999</v>
      </c>
      <c r="N18" s="401">
        <f t="shared" si="6"/>
        <v>7.3999999999999996E-2</v>
      </c>
      <c r="O18" s="401">
        <f t="shared" si="11"/>
        <v>1.4577005901817199</v>
      </c>
      <c r="P18" s="401">
        <f t="shared" si="12"/>
        <v>0.27830326673554268</v>
      </c>
      <c r="Q18" s="401">
        <f t="shared" si="13"/>
        <v>-0.82285792936539259</v>
      </c>
      <c r="R18" s="401">
        <f t="shared" si="14"/>
        <v>1.2715346300249857</v>
      </c>
      <c r="S18" s="401">
        <f t="shared" si="15"/>
        <v>-0.67918947751887371</v>
      </c>
      <c r="T18" s="401">
        <f t="shared" si="16"/>
        <v>0.82373874974954964</v>
      </c>
      <c r="U18" s="331">
        <v>1.7000000000000001E-2</v>
      </c>
      <c r="V18" s="332">
        <f t="shared" si="8"/>
        <v>3.1940382710498984E-3</v>
      </c>
      <c r="W18" s="330">
        <v>1.83E-2</v>
      </c>
      <c r="X18" s="332">
        <f t="shared" si="9"/>
        <v>3.4660204592247544E-3</v>
      </c>
      <c r="Y18" s="332">
        <f t="shared" si="17"/>
        <v>3.4660204592247544E-3</v>
      </c>
      <c r="Z18" s="330"/>
      <c r="AA18" s="343" t="s">
        <v>622</v>
      </c>
      <c r="AB18" s="357"/>
      <c r="AC18" s="357"/>
      <c r="AK18" s="355"/>
      <c r="AL18" s="355"/>
      <c r="AM18" s="355"/>
      <c r="AN18" s="355"/>
      <c r="AO18" s="355"/>
    </row>
    <row r="19" spans="1:42" x14ac:dyDescent="0.25">
      <c r="A19" s="355" t="s">
        <v>563</v>
      </c>
      <c r="B19" s="355" t="s">
        <v>591</v>
      </c>
      <c r="C19" s="345">
        <f>'Historical Data'!B203</f>
        <v>3.5198346426619009E-2</v>
      </c>
      <c r="D19" s="401">
        <f>'Historical Data'!E36</f>
        <v>4.5</v>
      </c>
      <c r="E19" s="355">
        <v>3.75</v>
      </c>
      <c r="F19" s="401">
        <f t="shared" si="1"/>
        <v>-0.5</v>
      </c>
      <c r="G19" s="401">
        <f>'Historical Data'!H68</f>
        <v>-0.2</v>
      </c>
      <c r="H19" s="321">
        <v>8.2864038619999997E-2</v>
      </c>
      <c r="I19" s="401">
        <f t="shared" si="10"/>
        <v>0.25</v>
      </c>
      <c r="J19" s="401">
        <f t="shared" si="2"/>
        <v>0.90500000000000003</v>
      </c>
      <c r="K19" s="401">
        <f t="shared" si="3"/>
        <v>0.26300000000000001</v>
      </c>
      <c r="L19" s="401">
        <f t="shared" si="4"/>
        <v>0.30499999999999999</v>
      </c>
      <c r="M19" s="401">
        <f t="shared" si="5"/>
        <v>0.72599999999999998</v>
      </c>
      <c r="N19" s="401">
        <f t="shared" si="6"/>
        <v>0.84</v>
      </c>
      <c r="O19" s="401">
        <f t="shared" si="11"/>
        <v>1.4230542163845561</v>
      </c>
      <c r="P19" s="401">
        <f t="shared" si="12"/>
        <v>-0.76280055976461059</v>
      </c>
      <c r="Q19" s="401">
        <f t="shared" si="13"/>
        <v>-0.64209280071761765</v>
      </c>
      <c r="R19" s="401">
        <f t="shared" si="14"/>
        <v>0.7983944747865378</v>
      </c>
      <c r="S19" s="401">
        <f t="shared" si="15"/>
        <v>1.8494413563626613</v>
      </c>
      <c r="T19" s="401">
        <f t="shared" si="16"/>
        <v>1.1306868888503527</v>
      </c>
      <c r="U19" s="331">
        <v>1.7000000000000001E-2</v>
      </c>
      <c r="V19" s="332">
        <f t="shared" si="8"/>
        <v>2.046017453675907E-3</v>
      </c>
      <c r="W19" s="330">
        <v>1.43E-2</v>
      </c>
      <c r="X19" s="332">
        <f t="shared" si="9"/>
        <v>2.7967148098791577E-3</v>
      </c>
      <c r="Y19" s="332">
        <f t="shared" si="17"/>
        <v>2.7967148098791577E-3</v>
      </c>
      <c r="Z19" s="330"/>
      <c r="AK19" s="355"/>
      <c r="AL19" s="355"/>
      <c r="AM19" s="355"/>
      <c r="AN19" s="334" t="s">
        <v>592</v>
      </c>
      <c r="AO19" s="357"/>
    </row>
    <row r="20" spans="1:42" x14ac:dyDescent="0.25">
      <c r="A20" s="355" t="s">
        <v>563</v>
      </c>
      <c r="B20" s="355" t="s">
        <v>593</v>
      </c>
      <c r="C20" s="345">
        <f>'Historical Data'!B204</f>
        <v>3.3964379063896377E-2</v>
      </c>
      <c r="D20" s="401">
        <f>'Historical Data'!E37</f>
        <v>4.5999999999999996</v>
      </c>
      <c r="E20" s="355">
        <v>4</v>
      </c>
      <c r="F20" s="401">
        <f t="shared" si="1"/>
        <v>9.9999999999999645E-2</v>
      </c>
      <c r="G20" s="401">
        <f>'Historical Data'!H69</f>
        <v>-0.4</v>
      </c>
      <c r="H20" s="321">
        <v>7.7786688049999997E-2</v>
      </c>
      <c r="I20" s="401">
        <f t="shared" si="10"/>
        <v>0.25</v>
      </c>
      <c r="J20" s="401">
        <f t="shared" si="2"/>
        <v>0.88400000000000001</v>
      </c>
      <c r="K20" s="401">
        <f t="shared" si="3"/>
        <v>0.315</v>
      </c>
      <c r="L20" s="401">
        <f t="shared" si="4"/>
        <v>0.24199999999999999</v>
      </c>
      <c r="M20" s="401">
        <f t="shared" si="5"/>
        <v>0.69399999999999995</v>
      </c>
      <c r="N20" s="401">
        <f t="shared" si="6"/>
        <v>0.84</v>
      </c>
      <c r="O20" s="401">
        <f t="shared" si="11"/>
        <v>1.3502968314105124</v>
      </c>
      <c r="P20" s="401">
        <f t="shared" si="12"/>
        <v>-0.58530089098425653</v>
      </c>
      <c r="Q20" s="401">
        <f t="shared" si="13"/>
        <v>-0.85696455741214261</v>
      </c>
      <c r="R20" s="401">
        <f t="shared" si="14"/>
        <v>0.68787998597171773</v>
      </c>
      <c r="S20" s="401">
        <f t="shared" si="15"/>
        <v>1.8494413563626613</v>
      </c>
      <c r="T20" s="401">
        <f t="shared" si="16"/>
        <v>1.0367438664369568</v>
      </c>
      <c r="U20" s="331">
        <v>1.7000000000000001E-2</v>
      </c>
      <c r="V20" s="332">
        <f t="shared" si="8"/>
        <v>2.3495798585898135E-3</v>
      </c>
      <c r="W20" s="330">
        <v>1.23E-2</v>
      </c>
      <c r="X20" s="332">
        <f t="shared" si="9"/>
        <v>2.5298785277718728E-3</v>
      </c>
      <c r="Y20" s="332">
        <f t="shared" si="17"/>
        <v>2.5298785277718728E-3</v>
      </c>
      <c r="Z20" s="330"/>
      <c r="AK20" s="355"/>
      <c r="AL20" s="355"/>
      <c r="AM20" s="355"/>
      <c r="AN20" s="355"/>
      <c r="AO20" s="355"/>
    </row>
    <row r="21" spans="1:42" x14ac:dyDescent="0.25">
      <c r="A21" s="355" t="s">
        <v>563</v>
      </c>
      <c r="B21" s="355" t="s">
        <v>594</v>
      </c>
      <c r="C21" s="345">
        <f>'Historical Data'!B205</f>
        <v>2.8040322243815474E-2</v>
      </c>
      <c r="D21" s="401">
        <f>'Historical Data'!E38</f>
        <v>4.4000000000000004</v>
      </c>
      <c r="E21" s="355">
        <v>4.5</v>
      </c>
      <c r="F21" s="401">
        <f t="shared" si="1"/>
        <v>-0.19999999999999929</v>
      </c>
      <c r="G21" s="401">
        <f>'Historical Data'!H70</f>
        <v>-0.2</v>
      </c>
      <c r="H21" s="321">
        <v>0.13847364280000002</v>
      </c>
      <c r="I21" s="401">
        <f t="shared" si="10"/>
        <v>0.5</v>
      </c>
      <c r="J21" s="401">
        <f t="shared" si="2"/>
        <v>0.8</v>
      </c>
      <c r="K21" s="401">
        <f t="shared" si="3"/>
        <v>0.21</v>
      </c>
      <c r="L21" s="401">
        <f t="shared" si="4"/>
        <v>0.30499999999999999</v>
      </c>
      <c r="M21" s="401">
        <f t="shared" si="5"/>
        <v>0.93600000000000005</v>
      </c>
      <c r="N21" s="401">
        <f t="shared" si="6"/>
        <v>0.97799999999999998</v>
      </c>
      <c r="O21" s="401">
        <f t="shared" si="11"/>
        <v>1.0592672915143373</v>
      </c>
      <c r="P21" s="401">
        <f t="shared" si="12"/>
        <v>-0.94371368371381747</v>
      </c>
      <c r="Q21" s="401">
        <f t="shared" si="13"/>
        <v>-0.64209280071761765</v>
      </c>
      <c r="R21" s="401">
        <f t="shared" si="14"/>
        <v>1.5236458076337938</v>
      </c>
      <c r="S21" s="401">
        <f t="shared" si="15"/>
        <v>2.3049910366180812</v>
      </c>
      <c r="T21" s="401">
        <f t="shared" si="16"/>
        <v>1.04858614763341</v>
      </c>
      <c r="U21" s="331">
        <v>1.7000000000000001E-2</v>
      </c>
      <c r="V21" s="332">
        <f t="shared" si="8"/>
        <v>2.3091883762668707E-3</v>
      </c>
      <c r="W21" s="330">
        <v>1.12E-2</v>
      </c>
      <c r="X21" s="332">
        <f t="shared" si="9"/>
        <v>2.2349285628441972E-3</v>
      </c>
      <c r="Y21" s="332">
        <f t="shared" si="17"/>
        <v>2.2349285628441972E-3</v>
      </c>
      <c r="Z21" s="330"/>
      <c r="AK21" s="355"/>
      <c r="AL21" s="355"/>
      <c r="AM21" s="355"/>
      <c r="AN21" s="328" t="s">
        <v>595</v>
      </c>
      <c r="AO21" s="355"/>
      <c r="AP21" s="355" t="s">
        <v>596</v>
      </c>
    </row>
    <row r="22" spans="1:42" x14ac:dyDescent="0.25">
      <c r="A22" s="355" t="s">
        <v>563</v>
      </c>
      <c r="B22" s="355" t="s">
        <v>597</v>
      </c>
      <c r="C22" s="345">
        <f>'Historical Data'!B206</f>
        <v>1.924297508602546E-2</v>
      </c>
      <c r="D22" s="401">
        <f>'Historical Data'!E39</f>
        <v>4.7</v>
      </c>
      <c r="E22" s="355">
        <v>4.75</v>
      </c>
      <c r="F22" s="401">
        <f t="shared" si="1"/>
        <v>0.29999999999999982</v>
      </c>
      <c r="G22" s="401">
        <f>'Historical Data'!H71</f>
        <v>-0.6</v>
      </c>
      <c r="H22" s="321">
        <v>0.137195122</v>
      </c>
      <c r="I22" s="401">
        <f t="shared" si="10"/>
        <v>0.25</v>
      </c>
      <c r="J22" s="401">
        <f t="shared" si="2"/>
        <v>0.48399999999999999</v>
      </c>
      <c r="K22" s="401">
        <f t="shared" si="3"/>
        <v>0.33600000000000002</v>
      </c>
      <c r="L22" s="401">
        <f t="shared" si="4"/>
        <v>0.189</v>
      </c>
      <c r="M22" s="401">
        <f t="shared" si="5"/>
        <v>0.92600000000000005</v>
      </c>
      <c r="N22" s="401">
        <f t="shared" si="6"/>
        <v>0.84</v>
      </c>
      <c r="O22" s="401">
        <f t="shared" si="11"/>
        <v>-3.555812047603573E-2</v>
      </c>
      <c r="P22" s="401">
        <f t="shared" si="12"/>
        <v>-0.51361833243834432</v>
      </c>
      <c r="Q22" s="401">
        <f t="shared" si="13"/>
        <v>-1.0377296860599174</v>
      </c>
      <c r="R22" s="401">
        <f t="shared" si="14"/>
        <v>1.4891100298791626</v>
      </c>
      <c r="S22" s="401">
        <f t="shared" si="15"/>
        <v>1.8494413563626613</v>
      </c>
      <c r="T22" s="401">
        <f t="shared" si="16"/>
        <v>0.26010913097640365</v>
      </c>
      <c r="U22" s="331">
        <v>1.7000000000000001E-2</v>
      </c>
      <c r="V22" s="332">
        <f t="shared" si="8"/>
        <v>6.8871863385608833E-3</v>
      </c>
      <c r="W22" s="330">
        <v>1.2500000000000001E-2</v>
      </c>
      <c r="X22" s="332">
        <f t="shared" si="9"/>
        <v>3.8486515244725225E-3</v>
      </c>
      <c r="Y22" s="332">
        <f t="shared" si="17"/>
        <v>3.8486515244725225E-3</v>
      </c>
      <c r="Z22" s="330"/>
      <c r="AK22" s="355"/>
      <c r="AL22" s="355"/>
      <c r="AM22" s="355"/>
      <c r="AN22" s="328" t="s">
        <v>598</v>
      </c>
      <c r="AO22" s="355"/>
      <c r="AP22" s="355" t="s">
        <v>599</v>
      </c>
    </row>
    <row r="23" spans="1:42" x14ac:dyDescent="0.25">
      <c r="A23" s="355" t="s">
        <v>563</v>
      </c>
      <c r="B23" s="355" t="s">
        <v>600</v>
      </c>
      <c r="C23" s="345">
        <f>'Historical Data'!B207</f>
        <v>1.4034681579118802E-2</v>
      </c>
      <c r="D23" s="401">
        <f>'Historical Data'!E40</f>
        <v>4.4000000000000004</v>
      </c>
      <c r="E23" s="355">
        <v>4.75</v>
      </c>
      <c r="F23" s="401">
        <f t="shared" si="1"/>
        <v>-0.29999999999999982</v>
      </c>
      <c r="G23" s="401">
        <f>'Historical Data'!H72</f>
        <v>-0.3</v>
      </c>
      <c r="H23" s="321">
        <v>0.106983655</v>
      </c>
      <c r="I23" s="401">
        <f t="shared" si="10"/>
        <v>0</v>
      </c>
      <c r="J23" s="401">
        <f t="shared" si="2"/>
        <v>0.32600000000000001</v>
      </c>
      <c r="K23" s="401">
        <f t="shared" si="3"/>
        <v>0.21</v>
      </c>
      <c r="L23" s="401">
        <f t="shared" si="4"/>
        <v>0.252</v>
      </c>
      <c r="M23" s="401">
        <f t="shared" si="5"/>
        <v>0.84199999999999997</v>
      </c>
      <c r="N23" s="401">
        <f t="shared" si="6"/>
        <v>0.14799999999999999</v>
      </c>
      <c r="O23" s="401">
        <f t="shared" si="11"/>
        <v>-0.58297082647122211</v>
      </c>
      <c r="P23" s="401">
        <f t="shared" si="12"/>
        <v>-0.94371368371381747</v>
      </c>
      <c r="Q23" s="401">
        <f t="shared" si="13"/>
        <v>-0.82285792936539259</v>
      </c>
      <c r="R23" s="401">
        <f t="shared" si="14"/>
        <v>1.19900949674026</v>
      </c>
      <c r="S23" s="401">
        <f t="shared" si="15"/>
        <v>-0.43490921419350353</v>
      </c>
      <c r="T23" s="401">
        <f t="shared" si="16"/>
        <v>-0.2612868921932151</v>
      </c>
      <c r="U23" s="331">
        <v>1.7000000000000001E-2</v>
      </c>
      <c r="V23" s="332">
        <f t="shared" si="8"/>
        <v>1.3249859025457039E-2</v>
      </c>
      <c r="W23" s="330">
        <v>1.1900000000000001E-2</v>
      </c>
      <c r="X23" s="332">
        <f t="shared" si="9"/>
        <v>7.4820779134282646E-3</v>
      </c>
      <c r="Y23" s="332">
        <f t="shared" si="17"/>
        <v>7.4820779134282646E-3</v>
      </c>
      <c r="Z23" s="330"/>
      <c r="AK23" s="355"/>
      <c r="AL23" s="355"/>
      <c r="AM23" s="355"/>
      <c r="AN23" s="328" t="s">
        <v>602</v>
      </c>
      <c r="AO23" s="355"/>
      <c r="AP23" s="355" t="s">
        <v>603</v>
      </c>
    </row>
    <row r="24" spans="1:42" x14ac:dyDescent="0.25">
      <c r="A24" s="357" t="s">
        <v>563</v>
      </c>
      <c r="B24" s="357" t="s">
        <v>604</v>
      </c>
      <c r="C24" s="345">
        <f>'Historical Data'!B208</f>
        <v>1.7026348988588236E-2</v>
      </c>
      <c r="D24" s="401">
        <f>'Historical Data'!E41</f>
        <v>4.5</v>
      </c>
      <c r="E24" s="357">
        <v>4.75</v>
      </c>
      <c r="F24" s="401">
        <f t="shared" si="1"/>
        <v>9.9999999999999645E-2</v>
      </c>
      <c r="G24" s="401">
        <f>'Historical Data'!H73</f>
        <v>-0.1</v>
      </c>
      <c r="H24" s="321">
        <v>0.11590247910000001</v>
      </c>
      <c r="I24" s="401">
        <f t="shared" si="10"/>
        <v>0</v>
      </c>
      <c r="J24" s="401">
        <f t="shared" si="2"/>
        <v>0.41</v>
      </c>
      <c r="K24" s="401">
        <f t="shared" si="3"/>
        <v>0.26300000000000001</v>
      </c>
      <c r="L24" s="401">
        <f t="shared" si="4"/>
        <v>0.33600000000000002</v>
      </c>
      <c r="M24" s="401">
        <f t="shared" si="5"/>
        <v>0.873</v>
      </c>
      <c r="N24" s="401">
        <f t="shared" si="6"/>
        <v>0.14799999999999999</v>
      </c>
      <c r="O24" s="401">
        <f t="shared" si="11"/>
        <v>-0.29194128657504714</v>
      </c>
      <c r="P24" s="401">
        <f t="shared" si="12"/>
        <v>-0.76280055976461059</v>
      </c>
      <c r="Q24" s="401">
        <f t="shared" si="13"/>
        <v>-0.53636225377269253</v>
      </c>
      <c r="R24" s="401">
        <f t="shared" si="14"/>
        <v>1.3060704077796168</v>
      </c>
      <c r="S24" s="401">
        <f t="shared" si="15"/>
        <v>-0.43490921419350353</v>
      </c>
      <c r="T24" s="401">
        <f t="shared" si="16"/>
        <v>-6.5404821987225137E-2</v>
      </c>
      <c r="U24" s="331">
        <v>1.7000000000000001E-2</v>
      </c>
      <c r="V24" s="332">
        <f t="shared" si="8"/>
        <v>1.0427922768091909E-2</v>
      </c>
      <c r="W24" s="330">
        <v>1.04E-2</v>
      </c>
      <c r="X24" s="332">
        <f t="shared" si="9"/>
        <v>1.0188322710703277E-2</v>
      </c>
      <c r="Y24" s="332">
        <f t="shared" si="17"/>
        <v>1.0188322710703277E-2</v>
      </c>
      <c r="Z24" s="330"/>
      <c r="AK24" s="355"/>
      <c r="AL24" s="355"/>
      <c r="AM24" s="355"/>
      <c r="AN24" s="328" t="s">
        <v>605</v>
      </c>
      <c r="AO24" s="355"/>
      <c r="AP24" s="355" t="s">
        <v>596</v>
      </c>
    </row>
    <row r="25" spans="1:42" x14ac:dyDescent="0.25">
      <c r="A25" s="355" t="s">
        <v>563</v>
      </c>
      <c r="B25" s="355" t="s">
        <v>606</v>
      </c>
      <c r="C25" s="345">
        <f>'Historical Data'!B209</f>
        <v>2.5999321278863619E-2</v>
      </c>
      <c r="D25" s="401">
        <f>'Historical Data'!E42</f>
        <v>4.4000000000000004</v>
      </c>
      <c r="E25" s="355">
        <v>4.75</v>
      </c>
      <c r="F25" s="401">
        <f t="shared" si="1"/>
        <v>-9.9999999999999645E-2</v>
      </c>
      <c r="G25" s="401">
        <f>'Historical Data'!H74</f>
        <v>0.1</v>
      </c>
      <c r="H25" s="321">
        <v>7.0927939440000004E-2</v>
      </c>
      <c r="I25" s="401">
        <f t="shared" si="10"/>
        <v>0</v>
      </c>
      <c r="J25" s="401">
        <f t="shared" si="2"/>
        <v>0.747</v>
      </c>
      <c r="K25" s="401">
        <f t="shared" si="3"/>
        <v>0.21</v>
      </c>
      <c r="L25" s="401">
        <f t="shared" si="4"/>
        <v>0.34699999999999998</v>
      </c>
      <c r="M25" s="401">
        <f t="shared" si="5"/>
        <v>0.65200000000000002</v>
      </c>
      <c r="N25" s="401">
        <f t="shared" si="6"/>
        <v>0.14799999999999999</v>
      </c>
      <c r="O25" s="401">
        <f t="shared" si="11"/>
        <v>0.87564151038936955</v>
      </c>
      <c r="P25" s="401">
        <f t="shared" si="12"/>
        <v>-0.94371368371381747</v>
      </c>
      <c r="Q25" s="401">
        <f t="shared" si="13"/>
        <v>-0.49884496292126773</v>
      </c>
      <c r="R25" s="401">
        <f t="shared" si="14"/>
        <v>0.54282971940226676</v>
      </c>
      <c r="S25" s="401">
        <f t="shared" si="15"/>
        <v>-0.43490921419350353</v>
      </c>
      <c r="T25" s="401">
        <f t="shared" si="16"/>
        <v>0.58066382883375289</v>
      </c>
      <c r="U25" s="331">
        <v>1.7000000000000001E-2</v>
      </c>
      <c r="V25" s="332">
        <f t="shared" si="8"/>
        <v>4.4838783313602606E-3</v>
      </c>
      <c r="W25" s="330">
        <v>1.11E-2</v>
      </c>
      <c r="X25" s="332">
        <f t="shared" si="9"/>
        <v>9.3872200416364026E-3</v>
      </c>
      <c r="Y25" s="332">
        <f t="shared" si="17"/>
        <v>9.3872200416364026E-3</v>
      </c>
      <c r="Z25" s="330"/>
      <c r="AK25" s="355"/>
      <c r="AL25" s="355"/>
      <c r="AM25" s="355"/>
      <c r="AN25" s="328" t="s">
        <v>607</v>
      </c>
      <c r="AO25" s="355"/>
      <c r="AP25" s="355" t="s">
        <v>608</v>
      </c>
    </row>
    <row r="26" spans="1:42" x14ac:dyDescent="0.25">
      <c r="A26" s="355" t="s">
        <v>563</v>
      </c>
      <c r="B26" s="355" t="s">
        <v>609</v>
      </c>
      <c r="C26" s="345">
        <f>'Historical Data'!B210</f>
        <v>3.5967532591475671E-2</v>
      </c>
      <c r="D26" s="401">
        <f>'Historical Data'!E43</f>
        <v>4.7</v>
      </c>
      <c r="E26" s="355">
        <v>4.5</v>
      </c>
      <c r="F26" s="401">
        <f t="shared" si="1"/>
        <v>0.29999999999999982</v>
      </c>
      <c r="G26" s="401">
        <f>'Historical Data'!H75</f>
        <v>0.6</v>
      </c>
      <c r="H26" s="321">
        <v>5.4634944489999997E-2</v>
      </c>
      <c r="I26" s="401">
        <f t="shared" si="10"/>
        <v>-0.25</v>
      </c>
      <c r="J26" s="401">
        <f t="shared" si="2"/>
        <v>0.92600000000000005</v>
      </c>
      <c r="K26" s="401">
        <f t="shared" si="3"/>
        <v>0.33600000000000002</v>
      </c>
      <c r="L26" s="401">
        <f t="shared" si="4"/>
        <v>0.43099999999999999</v>
      </c>
      <c r="M26" s="401">
        <f t="shared" si="5"/>
        <v>0.56799999999999995</v>
      </c>
      <c r="N26" s="401">
        <f t="shared" si="6"/>
        <v>7.3999999999999996E-2</v>
      </c>
      <c r="O26" s="401">
        <f t="shared" si="11"/>
        <v>1.4958116013586</v>
      </c>
      <c r="P26" s="401">
        <f t="shared" si="12"/>
        <v>-0.51361833243834432</v>
      </c>
      <c r="Q26" s="401">
        <f t="shared" si="13"/>
        <v>-0.21234928732856773</v>
      </c>
      <c r="R26" s="401">
        <f t="shared" si="14"/>
        <v>0.25272918626336421</v>
      </c>
      <c r="S26" s="401">
        <f t="shared" si="15"/>
        <v>-0.67918947751887371</v>
      </c>
      <c r="T26" s="401">
        <f t="shared" si="16"/>
        <v>0.88496783620058672</v>
      </c>
      <c r="U26" s="331">
        <v>1.7000000000000001E-2</v>
      </c>
      <c r="V26" s="332">
        <f t="shared" si="8"/>
        <v>2.9269579077232091E-3</v>
      </c>
      <c r="W26" s="330">
        <v>1.01E-2</v>
      </c>
      <c r="X26" s="332">
        <f t="shared" si="9"/>
        <v>5.9462530023917928E-3</v>
      </c>
      <c r="Y26" s="332">
        <f t="shared" si="17"/>
        <v>5.9462530023917928E-3</v>
      </c>
      <c r="Z26" s="330"/>
      <c r="AK26" s="355"/>
      <c r="AL26" s="355"/>
      <c r="AM26" s="355"/>
      <c r="AN26" s="328" t="s">
        <v>610</v>
      </c>
      <c r="AO26" s="355"/>
      <c r="AP26" s="355" t="s">
        <v>611</v>
      </c>
    </row>
    <row r="27" spans="1:42" x14ac:dyDescent="0.25">
      <c r="A27" s="355" t="s">
        <v>563</v>
      </c>
      <c r="B27" s="355" t="s">
        <v>612</v>
      </c>
      <c r="C27" s="345">
        <f>'Historical Data'!B211</f>
        <v>4.8058653006965324E-2</v>
      </c>
      <c r="D27" s="401">
        <f>'Historical Data'!E44</f>
        <v>4.7</v>
      </c>
      <c r="E27" s="355">
        <v>4.5</v>
      </c>
      <c r="F27" s="401">
        <f t="shared" si="1"/>
        <v>0</v>
      </c>
      <c r="G27" s="401">
        <f>'Historical Data'!H76</f>
        <v>0.4</v>
      </c>
      <c r="H27" s="321">
        <v>6.2856288310000008E-2</v>
      </c>
      <c r="I27" s="401">
        <f t="shared" si="10"/>
        <v>0</v>
      </c>
      <c r="J27" s="401">
        <f t="shared" si="2"/>
        <v>0.95699999999999996</v>
      </c>
      <c r="K27" s="401">
        <f t="shared" si="3"/>
        <v>0.33600000000000002</v>
      </c>
      <c r="L27" s="401">
        <f t="shared" si="4"/>
        <v>0.378</v>
      </c>
      <c r="M27" s="401">
        <f t="shared" si="5"/>
        <v>0.58899999999999997</v>
      </c>
      <c r="N27" s="401">
        <f t="shared" si="6"/>
        <v>0.14799999999999999</v>
      </c>
      <c r="O27" s="401">
        <f t="shared" si="11"/>
        <v>1.6032153601298071</v>
      </c>
      <c r="P27" s="401">
        <f t="shared" si="12"/>
        <v>-0.51361833243834432</v>
      </c>
      <c r="Q27" s="401">
        <f t="shared" si="13"/>
        <v>-0.39311441597634267</v>
      </c>
      <c r="R27" s="401">
        <f t="shared" si="14"/>
        <v>0.32525431954808987</v>
      </c>
      <c r="S27" s="401">
        <f t="shared" si="15"/>
        <v>-0.43490921419350353</v>
      </c>
      <c r="T27" s="401">
        <f t="shared" si="16"/>
        <v>0.96301411825954297</v>
      </c>
      <c r="U27" s="331">
        <v>1.7000000000000001E-2</v>
      </c>
      <c r="V27" s="332">
        <f t="shared" si="8"/>
        <v>2.6157690281868214E-3</v>
      </c>
      <c r="W27" s="330">
        <v>1.04E-2</v>
      </c>
      <c r="X27" s="332">
        <f t="shared" si="9"/>
        <v>3.3422017557567635E-3</v>
      </c>
      <c r="Y27" s="332">
        <f t="shared" si="17"/>
        <v>3.3422017557567635E-3</v>
      </c>
      <c r="Z27" s="330"/>
      <c r="AK27" s="355"/>
      <c r="AL27" s="355"/>
      <c r="AM27" s="355"/>
      <c r="AN27" s="355"/>
      <c r="AO27" s="355"/>
    </row>
    <row r="28" spans="1:42" x14ac:dyDescent="0.25">
      <c r="A28" s="355" t="s">
        <v>563</v>
      </c>
      <c r="B28" s="355" t="s">
        <v>613</v>
      </c>
      <c r="C28" s="345">
        <f>'Historical Data'!B212</f>
        <v>4.347456967604546E-2</v>
      </c>
      <c r="D28" s="401">
        <f>'Historical Data'!E45</f>
        <v>4.9000000000000004</v>
      </c>
      <c r="E28" s="355">
        <v>4.5</v>
      </c>
      <c r="F28" s="401">
        <f t="shared" si="1"/>
        <v>0.20000000000000018</v>
      </c>
      <c r="G28" s="401">
        <f>'Historical Data'!H77</f>
        <v>0.4</v>
      </c>
      <c r="H28" s="321">
        <v>6.4641021110000002E-2</v>
      </c>
      <c r="I28" s="401">
        <f t="shared" si="10"/>
        <v>0</v>
      </c>
      <c r="J28" s="401">
        <f t="shared" si="2"/>
        <v>0.93600000000000005</v>
      </c>
      <c r="K28" s="401">
        <f t="shared" si="3"/>
        <v>0.48399999999999999</v>
      </c>
      <c r="L28" s="401">
        <f t="shared" si="4"/>
        <v>0.378</v>
      </c>
      <c r="M28" s="401">
        <f t="shared" si="5"/>
        <v>0.61</v>
      </c>
      <c r="N28" s="401">
        <f t="shared" si="6"/>
        <v>0.14799999999999999</v>
      </c>
      <c r="O28" s="401">
        <f t="shared" si="11"/>
        <v>1.5304579751557637</v>
      </c>
      <c r="P28" s="401">
        <f t="shared" si="12"/>
        <v>-8.4269674481060059E-3</v>
      </c>
      <c r="Q28" s="401">
        <f t="shared" si="13"/>
        <v>-0.39311441597634267</v>
      </c>
      <c r="R28" s="401">
        <f t="shared" si="14"/>
        <v>0.39777945283281552</v>
      </c>
      <c r="S28" s="401">
        <f t="shared" si="15"/>
        <v>-0.43490921419350353</v>
      </c>
      <c r="T28" s="401">
        <f t="shared" si="16"/>
        <v>0.87609306410456578</v>
      </c>
      <c r="U28" s="331">
        <v>1.7000000000000001E-2</v>
      </c>
      <c r="V28" s="332">
        <f t="shared" si="8"/>
        <v>2.9643785554870059E-3</v>
      </c>
      <c r="W28" s="330">
        <v>1.09E-2</v>
      </c>
      <c r="X28" s="332">
        <f t="shared" si="9"/>
        <v>2.8357018304656788E-3</v>
      </c>
      <c r="Y28" s="332">
        <f t="shared" si="17"/>
        <v>2.8357018304656788E-3</v>
      </c>
      <c r="Z28" s="330"/>
      <c r="AK28" s="355"/>
      <c r="AL28" s="355"/>
      <c r="AM28" s="355"/>
      <c r="AN28" s="328" t="s">
        <v>614</v>
      </c>
      <c r="AO28" s="355"/>
    </row>
    <row r="29" spans="1:42" x14ac:dyDescent="0.25">
      <c r="A29" s="355" t="s">
        <v>563</v>
      </c>
      <c r="B29" s="355" t="s">
        <v>615</v>
      </c>
      <c r="C29" s="345">
        <f>'Historical Data'!B213</f>
        <v>3.3253127671419191E-2</v>
      </c>
      <c r="D29" s="401">
        <f>'Historical Data'!E46</f>
        <v>5.0999999999999996</v>
      </c>
      <c r="E29" s="355">
        <v>4.5</v>
      </c>
      <c r="F29" s="401">
        <f t="shared" si="1"/>
        <v>0.19999999999999929</v>
      </c>
      <c r="G29" s="401">
        <f>'Historical Data'!H78</f>
        <v>1.2</v>
      </c>
      <c r="H29" s="321">
        <v>7.2828290000000004E-2</v>
      </c>
      <c r="I29" s="401">
        <f t="shared" si="10"/>
        <v>0</v>
      </c>
      <c r="J29" s="401">
        <f t="shared" si="2"/>
        <v>0.873</v>
      </c>
      <c r="K29" s="401">
        <f t="shared" si="3"/>
        <v>0.6</v>
      </c>
      <c r="L29" s="401">
        <f t="shared" si="4"/>
        <v>0.505</v>
      </c>
      <c r="M29" s="401">
        <f t="shared" si="5"/>
        <v>0.66300000000000003</v>
      </c>
      <c r="N29" s="401">
        <f t="shared" si="6"/>
        <v>0.14799999999999999</v>
      </c>
      <c r="O29" s="401">
        <f t="shared" si="11"/>
        <v>1.3121858202336323</v>
      </c>
      <c r="P29" s="401">
        <f t="shared" si="12"/>
        <v>0.38753383213883758</v>
      </c>
      <c r="Q29" s="401">
        <f t="shared" si="13"/>
        <v>4.0039760217382252E-2</v>
      </c>
      <c r="R29" s="401">
        <f t="shared" si="14"/>
        <v>0.58081907493236118</v>
      </c>
      <c r="S29" s="401">
        <f t="shared" si="15"/>
        <v>-0.43490921419350353</v>
      </c>
      <c r="T29" s="401">
        <f t="shared" si="16"/>
        <v>0.76715307102191954</v>
      </c>
      <c r="U29" s="331">
        <v>1.7000000000000001E-2</v>
      </c>
      <c r="V29" s="332">
        <f t="shared" si="8"/>
        <v>3.4601534575357052E-3</v>
      </c>
      <c r="W29" s="330">
        <v>1.04E-2</v>
      </c>
      <c r="X29" s="332">
        <f t="shared" si="9"/>
        <v>3.0134336804031776E-3</v>
      </c>
      <c r="Y29" s="332">
        <f t="shared" si="17"/>
        <v>3.0134336804031776E-3</v>
      </c>
      <c r="Z29" s="330"/>
      <c r="AK29" s="355"/>
      <c r="AL29" s="355"/>
      <c r="AM29" s="355"/>
      <c r="AN29" s="355"/>
      <c r="AO29" s="355"/>
    </row>
    <row r="30" spans="1:42" x14ac:dyDescent="0.25">
      <c r="A30" s="355" t="s">
        <v>563</v>
      </c>
      <c r="B30" s="355" t="s">
        <v>616</v>
      </c>
      <c r="C30" s="345">
        <f>'Historical Data'!B214</f>
        <v>2.2666817133921269E-2</v>
      </c>
      <c r="D30" s="401">
        <f>'Historical Data'!E47</f>
        <v>5.4</v>
      </c>
      <c r="E30" s="355">
        <v>4.75</v>
      </c>
      <c r="F30" s="401">
        <f t="shared" si="1"/>
        <v>0.30000000000000071</v>
      </c>
      <c r="G30" s="401">
        <f>'Historical Data'!H79</f>
        <v>1.9</v>
      </c>
      <c r="H30" s="321">
        <v>8.5152860699999999E-2</v>
      </c>
      <c r="I30" s="401">
        <f t="shared" si="10"/>
        <v>0.25</v>
      </c>
      <c r="J30" s="401">
        <f t="shared" si="2"/>
        <v>0.621</v>
      </c>
      <c r="K30" s="401">
        <f t="shared" si="3"/>
        <v>0.69399999999999995</v>
      </c>
      <c r="L30" s="401">
        <f t="shared" si="4"/>
        <v>0.65200000000000002</v>
      </c>
      <c r="M30" s="401">
        <f t="shared" si="5"/>
        <v>0.75700000000000001</v>
      </c>
      <c r="N30" s="401">
        <f t="shared" si="6"/>
        <v>0.84</v>
      </c>
      <c r="O30" s="401">
        <f t="shared" si="11"/>
        <v>0.43909720054510698</v>
      </c>
      <c r="P30" s="401">
        <f t="shared" si="12"/>
        <v>0.70839861801101589</v>
      </c>
      <c r="Q30" s="401">
        <f t="shared" si="13"/>
        <v>0.54140719250460723</v>
      </c>
      <c r="R30" s="401">
        <f t="shared" si="14"/>
        <v>0.90545538582589469</v>
      </c>
      <c r="S30" s="401">
        <f t="shared" si="15"/>
        <v>1.8494413563626613</v>
      </c>
      <c r="T30" s="401">
        <f t="shared" si="16"/>
        <v>0.52224885199527893</v>
      </c>
      <c r="U30" s="331">
        <v>1.7000000000000001E-2</v>
      </c>
      <c r="V30" s="332">
        <f t="shared" si="8"/>
        <v>4.8560829968335188E-3</v>
      </c>
      <c r="W30" s="330">
        <v>1.15E-2</v>
      </c>
      <c r="X30" s="332">
        <f t="shared" si="9"/>
        <v>3.7602050032854105E-3</v>
      </c>
      <c r="Y30" s="332">
        <f t="shared" si="17"/>
        <v>3.7602050032854105E-3</v>
      </c>
      <c r="Z30" s="330"/>
      <c r="AK30" s="355"/>
      <c r="AL30" s="355"/>
      <c r="AM30" s="355"/>
      <c r="AN30" s="355" t="s">
        <v>617</v>
      </c>
      <c r="AO30" s="355"/>
      <c r="AP30" s="355" t="s">
        <v>618</v>
      </c>
    </row>
    <row r="31" spans="1:42" x14ac:dyDescent="0.25">
      <c r="A31" s="355" t="s">
        <v>563</v>
      </c>
      <c r="B31" s="355" t="s">
        <v>619</v>
      </c>
      <c r="C31" s="345">
        <f>'Historical Data'!B215</f>
        <v>1.2788280888372583E-2</v>
      </c>
      <c r="D31" s="401">
        <f>'Historical Data'!E48</f>
        <v>5.0999999999999996</v>
      </c>
      <c r="E31" s="355">
        <v>5</v>
      </c>
      <c r="F31" s="401">
        <f t="shared" si="1"/>
        <v>-0.30000000000000071</v>
      </c>
      <c r="G31" s="401">
        <f>'Historical Data'!H80</f>
        <v>1.9</v>
      </c>
      <c r="H31" s="321">
        <v>0.1036774855</v>
      </c>
      <c r="I31" s="401">
        <f t="shared" si="10"/>
        <v>0.25</v>
      </c>
      <c r="J31" s="401">
        <f t="shared" si="2"/>
        <v>0.252</v>
      </c>
      <c r="K31" s="401">
        <f t="shared" si="3"/>
        <v>0.6</v>
      </c>
      <c r="L31" s="401">
        <f t="shared" si="4"/>
        <v>0.65200000000000002</v>
      </c>
      <c r="M31" s="401">
        <f t="shared" si="5"/>
        <v>0.82099999999999995</v>
      </c>
      <c r="N31" s="401">
        <f t="shared" si="6"/>
        <v>0.84</v>
      </c>
      <c r="O31" s="401">
        <f t="shared" si="11"/>
        <v>-0.83935399257023346</v>
      </c>
      <c r="P31" s="401">
        <f t="shared" si="12"/>
        <v>0.38753383213883758</v>
      </c>
      <c r="Q31" s="401">
        <f t="shared" si="13"/>
        <v>0.54140719250460723</v>
      </c>
      <c r="R31" s="401">
        <f t="shared" si="14"/>
        <v>1.1264843634555344</v>
      </c>
      <c r="S31" s="401">
        <f t="shared" si="15"/>
        <v>1.8494413563626613</v>
      </c>
      <c r="T31" s="401">
        <f t="shared" si="16"/>
        <v>-0.19063248752374362</v>
      </c>
      <c r="U31" s="331">
        <v>1.7000000000000001E-2</v>
      </c>
      <c r="V31" s="332">
        <f t="shared" si="8"/>
        <v>1.2163912316261977E-2</v>
      </c>
      <c r="W31" s="330">
        <v>1.0999999999999999E-2</v>
      </c>
      <c r="X31" s="332">
        <f t="shared" si="9"/>
        <v>6.8267162568770674E-3</v>
      </c>
      <c r="Y31" s="332">
        <f t="shared" si="17"/>
        <v>6.8267162568770674E-3</v>
      </c>
      <c r="Z31" s="330"/>
      <c r="AK31" s="355"/>
      <c r="AL31" s="355"/>
      <c r="AM31" s="355"/>
      <c r="AN31" s="355"/>
      <c r="AO31" s="355"/>
    </row>
    <row r="32" spans="1:42" x14ac:dyDescent="0.25">
      <c r="A32" s="355" t="s">
        <v>563</v>
      </c>
      <c r="B32" s="355" t="s">
        <v>620</v>
      </c>
      <c r="C32" s="345">
        <f>'Historical Data'!B216</f>
        <v>1.8174997061987552E-2</v>
      </c>
      <c r="D32" s="401">
        <f>'Historical Data'!E49</f>
        <v>5.0999999999999996</v>
      </c>
      <c r="E32" s="355">
        <v>5.25</v>
      </c>
      <c r="F32" s="401">
        <f t="shared" si="1"/>
        <v>0</v>
      </c>
      <c r="G32" s="401">
        <f>'Historical Data'!H81</f>
        <v>2.2000000000000002</v>
      </c>
      <c r="H32" s="321">
        <v>0.1058985848</v>
      </c>
      <c r="I32" s="401">
        <f t="shared" si="10"/>
        <v>0.25</v>
      </c>
      <c r="J32" s="401">
        <f t="shared" si="2"/>
        <v>0.442</v>
      </c>
      <c r="K32" s="401">
        <f t="shared" si="3"/>
        <v>0.6</v>
      </c>
      <c r="L32" s="401">
        <f t="shared" si="4"/>
        <v>0.75700000000000001</v>
      </c>
      <c r="M32" s="401">
        <f t="shared" si="5"/>
        <v>0.83099999999999996</v>
      </c>
      <c r="N32" s="401">
        <f t="shared" si="6"/>
        <v>0.84</v>
      </c>
      <c r="O32" s="401">
        <f t="shared" si="11"/>
        <v>-0.1810728904241232</v>
      </c>
      <c r="P32" s="401">
        <f t="shared" si="12"/>
        <v>0.38753383213883758</v>
      </c>
      <c r="Q32" s="401">
        <f t="shared" si="13"/>
        <v>0.89952678699548205</v>
      </c>
      <c r="R32" s="401">
        <f t="shared" si="14"/>
        <v>1.1610201412101655</v>
      </c>
      <c r="S32" s="401">
        <f t="shared" si="15"/>
        <v>1.8494413563626613</v>
      </c>
      <c r="T32" s="401">
        <f t="shared" si="16"/>
        <v>0.24360171098847322</v>
      </c>
      <c r="U32" s="331">
        <v>1.7000000000000001E-2</v>
      </c>
      <c r="V32" s="332">
        <f t="shared" si="8"/>
        <v>7.037176016624366E-3</v>
      </c>
      <c r="W32" s="330">
        <v>1.0999999999999999E-2</v>
      </c>
      <c r="X32" s="332">
        <f t="shared" si="9"/>
        <v>8.0190571099066216E-3</v>
      </c>
      <c r="Y32" s="332">
        <f t="shared" si="17"/>
        <v>8.0190571099066216E-3</v>
      </c>
      <c r="Z32" s="330"/>
      <c r="AK32" s="355"/>
      <c r="AL32" s="355"/>
      <c r="AM32" s="355"/>
      <c r="AN32" s="355"/>
      <c r="AO32" s="355"/>
    </row>
    <row r="33" spans="1:52" ht="15.75" x14ac:dyDescent="0.25">
      <c r="A33" s="355" t="s">
        <v>563</v>
      </c>
      <c r="B33" s="355" t="s">
        <v>621</v>
      </c>
      <c r="C33" s="345">
        <f>'Historical Data'!B217</f>
        <v>2.191668413779424E-2</v>
      </c>
      <c r="D33" s="401">
        <f>'Historical Data'!E50</f>
        <v>4.9000000000000004</v>
      </c>
      <c r="E33" s="355">
        <v>5.5</v>
      </c>
      <c r="F33" s="401">
        <f t="shared" si="1"/>
        <v>-0.19999999999999929</v>
      </c>
      <c r="G33" s="401">
        <f>'Historical Data'!H82</f>
        <v>1.7</v>
      </c>
      <c r="H33" s="321">
        <v>0.10800060039999999</v>
      </c>
      <c r="I33" s="401">
        <f t="shared" si="10"/>
        <v>0.25</v>
      </c>
      <c r="J33" s="401">
        <f t="shared" si="2"/>
        <v>0.57799999999999996</v>
      </c>
      <c r="K33" s="401">
        <f t="shared" si="3"/>
        <v>0.48399999999999999</v>
      </c>
      <c r="L33" s="401">
        <f t="shared" si="4"/>
        <v>0.57799999999999996</v>
      </c>
      <c r="M33" s="401">
        <f t="shared" si="5"/>
        <v>0.85199999999999998</v>
      </c>
      <c r="N33" s="401">
        <f t="shared" si="6"/>
        <v>0.84</v>
      </c>
      <c r="O33" s="401">
        <f t="shared" si="11"/>
        <v>0.29011779321730297</v>
      </c>
      <c r="P33" s="401">
        <f t="shared" si="12"/>
        <v>-8.4269674481060059E-3</v>
      </c>
      <c r="Q33" s="401">
        <f t="shared" si="13"/>
        <v>0.28901814495865702</v>
      </c>
      <c r="R33" s="401">
        <f t="shared" si="14"/>
        <v>1.2335452744948912</v>
      </c>
      <c r="S33" s="401">
        <f t="shared" si="15"/>
        <v>1.8494413563626613</v>
      </c>
      <c r="T33" s="401">
        <f t="shared" si="16"/>
        <v>0.51211385025681333</v>
      </c>
      <c r="U33" s="331">
        <v>1.7000000000000001E-2</v>
      </c>
      <c r="V33" s="332">
        <f t="shared" si="8"/>
        <v>4.9233930096693711E-3</v>
      </c>
      <c r="W33" s="330">
        <v>1.2E-2</v>
      </c>
      <c r="X33" s="332">
        <f t="shared" si="9"/>
        <v>8.0414937808519042E-3</v>
      </c>
      <c r="Y33" s="332">
        <f t="shared" si="17"/>
        <v>8.0414937808519042E-3</v>
      </c>
      <c r="Z33" s="330"/>
      <c r="AB33" s="343"/>
      <c r="AC33" s="343"/>
      <c r="AD33" s="343"/>
      <c r="AK33" s="355"/>
      <c r="AL33" s="355"/>
      <c r="AM33" s="355"/>
      <c r="AN33" s="334" t="s">
        <v>698</v>
      </c>
      <c r="AO33" s="357"/>
      <c r="AZ33" s="328" t="s">
        <v>703</v>
      </c>
    </row>
    <row r="34" spans="1:52" x14ac:dyDescent="0.25">
      <c r="A34" s="355" t="s">
        <v>563</v>
      </c>
      <c r="B34" s="355" t="s">
        <v>623</v>
      </c>
      <c r="C34" s="345">
        <f>'Historical Data'!B218</f>
        <v>2.8792126924072958E-2</v>
      </c>
      <c r="D34" s="401">
        <f>'Historical Data'!E51</f>
        <v>5.3</v>
      </c>
      <c r="E34" s="355">
        <v>5.75</v>
      </c>
      <c r="F34" s="401">
        <f t="shared" si="1"/>
        <v>0.39999999999999947</v>
      </c>
      <c r="G34" s="401">
        <f>'Historical Data'!H83</f>
        <v>0.3</v>
      </c>
      <c r="H34" s="321">
        <v>0.10011633310000001</v>
      </c>
      <c r="I34" s="401">
        <f t="shared" si="10"/>
        <v>0.25</v>
      </c>
      <c r="J34" s="401">
        <f t="shared" si="2"/>
        <v>0.84199999999999997</v>
      </c>
      <c r="K34" s="401">
        <f t="shared" si="3"/>
        <v>0.65200000000000002</v>
      </c>
      <c r="L34" s="401">
        <f t="shared" si="4"/>
        <v>0.36799999999999999</v>
      </c>
      <c r="M34" s="401">
        <f t="shared" si="5"/>
        <v>0.8</v>
      </c>
      <c r="N34" s="401">
        <f t="shared" si="6"/>
        <v>0.84</v>
      </c>
      <c r="O34" s="401">
        <f t="shared" si="11"/>
        <v>1.2047820614624247</v>
      </c>
      <c r="P34" s="401">
        <f t="shared" si="12"/>
        <v>0.5650335009191918</v>
      </c>
      <c r="Q34" s="401">
        <f t="shared" si="13"/>
        <v>-0.42722104402309269</v>
      </c>
      <c r="R34" s="401">
        <f t="shared" si="14"/>
        <v>1.0539592301708092</v>
      </c>
      <c r="S34" s="401">
        <f t="shared" si="15"/>
        <v>1.8494413563626613</v>
      </c>
      <c r="T34" s="401">
        <f t="shared" si="16"/>
        <v>0.91398384103657337</v>
      </c>
      <c r="U34" s="331">
        <v>1.7000000000000001E-2</v>
      </c>
      <c r="V34" s="332">
        <f t="shared" si="8"/>
        <v>2.8075648449795826E-3</v>
      </c>
      <c r="W34" s="330">
        <v>1.2500000000000001E-2</v>
      </c>
      <c r="X34" s="332">
        <f t="shared" si="9"/>
        <v>4.9227112904244403E-3</v>
      </c>
      <c r="Y34" s="332">
        <f t="shared" si="17"/>
        <v>4.9227112904244403E-3</v>
      </c>
      <c r="Z34" s="330"/>
      <c r="AK34" s="355"/>
      <c r="AL34" s="355"/>
      <c r="AM34" s="355"/>
      <c r="AN34" s="355"/>
      <c r="AO34" s="355"/>
    </row>
    <row r="35" spans="1:52" x14ac:dyDescent="0.25">
      <c r="A35" s="355" t="s">
        <v>563</v>
      </c>
      <c r="B35" s="355" t="s">
        <v>624</v>
      </c>
      <c r="C35" s="345">
        <f>'Historical Data'!B219</f>
        <v>2.8296053339068816E-2</v>
      </c>
      <c r="D35" s="401">
        <f>'Historical Data'!E52</f>
        <v>4.8</v>
      </c>
      <c r="E35" s="355">
        <v>5.5</v>
      </c>
      <c r="F35" s="401">
        <f t="shared" si="1"/>
        <v>-0.5</v>
      </c>
      <c r="G35" s="401">
        <f>'Historical Data'!H84</f>
        <v>1.1000000000000001</v>
      </c>
      <c r="H35" s="321">
        <v>6.9983724979999995E-2</v>
      </c>
      <c r="I35" s="401">
        <f t="shared" si="10"/>
        <v>-0.25</v>
      </c>
      <c r="J35" s="401">
        <f t="shared" si="2"/>
        <v>0.83099999999999996</v>
      </c>
      <c r="K35" s="401">
        <f t="shared" si="3"/>
        <v>0.43099999999999999</v>
      </c>
      <c r="L35" s="401">
        <f t="shared" si="4"/>
        <v>0.49399999999999999</v>
      </c>
      <c r="M35" s="401">
        <f t="shared" si="5"/>
        <v>0.64200000000000002</v>
      </c>
      <c r="N35" s="401">
        <f t="shared" si="6"/>
        <v>7.3999999999999996E-2</v>
      </c>
      <c r="O35" s="401">
        <f t="shared" si="11"/>
        <v>1.1666710502855446</v>
      </c>
      <c r="P35" s="401">
        <f t="shared" si="12"/>
        <v>-0.18934009139731298</v>
      </c>
      <c r="Q35" s="401">
        <f t="shared" si="13"/>
        <v>2.5224693659572266E-3</v>
      </c>
      <c r="R35" s="401">
        <f t="shared" si="14"/>
        <v>0.50829394164763553</v>
      </c>
      <c r="S35" s="401">
        <f t="shared" si="15"/>
        <v>-0.67918947751887371</v>
      </c>
      <c r="T35" s="401">
        <f t="shared" si="16"/>
        <v>0.70209933266053004</v>
      </c>
      <c r="U35" s="331">
        <v>1.7000000000000001E-2</v>
      </c>
      <c r="V35" s="332">
        <f t="shared" si="8"/>
        <v>3.790574849235786E-3</v>
      </c>
      <c r="W35" s="330">
        <v>1.4500000000000001E-2</v>
      </c>
      <c r="X35" s="332">
        <f t="shared" si="9"/>
        <v>3.8405109012949134E-3</v>
      </c>
      <c r="Y35" s="332">
        <f t="shared" si="17"/>
        <v>3.8405109012949134E-3</v>
      </c>
      <c r="Z35" s="330"/>
      <c r="AK35" s="355"/>
      <c r="AL35" s="355"/>
      <c r="AM35" s="355"/>
      <c r="AN35" s="328" t="s">
        <v>699</v>
      </c>
      <c r="AO35" s="355"/>
      <c r="AP35" s="355" t="s">
        <v>702</v>
      </c>
    </row>
    <row r="36" spans="1:52" x14ac:dyDescent="0.25">
      <c r="A36" s="355" t="s">
        <v>563</v>
      </c>
      <c r="B36" s="355" t="s">
        <v>625</v>
      </c>
      <c r="C36" s="345">
        <f>'Historical Data'!B220</f>
        <v>2.4314233837493759E-2</v>
      </c>
      <c r="D36" s="401">
        <f>'Historical Data'!E53</f>
        <v>4.9000000000000004</v>
      </c>
      <c r="E36" s="355">
        <v>5.25</v>
      </c>
      <c r="F36" s="401">
        <f t="shared" si="1"/>
        <v>0.10000000000000053</v>
      </c>
      <c r="G36" s="401">
        <f>'Historical Data'!H85</f>
        <v>1.6</v>
      </c>
      <c r="H36" s="321">
        <v>2.3558061239999997E-2</v>
      </c>
      <c r="I36" s="401">
        <f t="shared" si="10"/>
        <v>-0.25</v>
      </c>
      <c r="J36" s="401">
        <f t="shared" si="2"/>
        <v>0.67300000000000004</v>
      </c>
      <c r="K36" s="401">
        <f t="shared" si="3"/>
        <v>0.48399999999999999</v>
      </c>
      <c r="L36" s="401">
        <f t="shared" si="4"/>
        <v>0.56799999999999995</v>
      </c>
      <c r="M36" s="401">
        <f t="shared" si="5"/>
        <v>0.315</v>
      </c>
      <c r="N36" s="401">
        <f t="shared" si="6"/>
        <v>7.3999999999999996E-2</v>
      </c>
      <c r="O36" s="401">
        <f t="shared" si="11"/>
        <v>0.61925834429035842</v>
      </c>
      <c r="P36" s="401">
        <f t="shared" si="12"/>
        <v>-8.4269674481060059E-3</v>
      </c>
      <c r="Q36" s="401">
        <f t="shared" si="13"/>
        <v>0.254911516911907</v>
      </c>
      <c r="R36" s="401">
        <f t="shared" si="14"/>
        <v>-0.62102599092880573</v>
      </c>
      <c r="S36" s="401">
        <f t="shared" si="15"/>
        <v>-0.67918947751887371</v>
      </c>
      <c r="T36" s="401">
        <f t="shared" si="16"/>
        <v>0.26786730816544835</v>
      </c>
      <c r="U36" s="331">
        <v>1.7000000000000001E-2</v>
      </c>
      <c r="V36" s="332">
        <f t="shared" si="8"/>
        <v>6.8176743973191716E-3</v>
      </c>
      <c r="W36" s="330">
        <v>1.7899999999999999E-2</v>
      </c>
      <c r="X36" s="332">
        <f t="shared" si="9"/>
        <v>4.4719380305115134E-3</v>
      </c>
      <c r="Y36" s="332">
        <f t="shared" si="17"/>
        <v>4.4719380305115134E-3</v>
      </c>
      <c r="Z36" s="330"/>
      <c r="AK36" s="355"/>
      <c r="AL36" s="355"/>
      <c r="AM36" s="355"/>
      <c r="AN36" s="328" t="s">
        <v>700</v>
      </c>
      <c r="AO36" s="355"/>
      <c r="AP36" s="355" t="s">
        <v>701</v>
      </c>
    </row>
    <row r="37" spans="1:52" x14ac:dyDescent="0.25">
      <c r="A37" s="355" t="s">
        <v>563</v>
      </c>
      <c r="B37" s="355" t="s">
        <v>626</v>
      </c>
      <c r="C37" s="345">
        <f>'Historical Data'!B221</f>
        <v>1.2355755761497056E-2</v>
      </c>
      <c r="D37" s="401">
        <f>'Historical Data'!E54</f>
        <v>5</v>
      </c>
      <c r="E37" s="355">
        <v>5</v>
      </c>
      <c r="F37" s="401">
        <f t="shared" si="1"/>
        <v>9.9999999999999645E-2</v>
      </c>
      <c r="G37" s="401">
        <f>'Historical Data'!H86</f>
        <v>3</v>
      </c>
      <c r="H37" s="321">
        <v>-2.4242095919999998E-2</v>
      </c>
      <c r="I37" s="401">
        <f t="shared" si="10"/>
        <v>-0.25</v>
      </c>
      <c r="J37" s="401">
        <f t="shared" ref="J37:J68" si="18">PERCENTRANK($C$4:$C$99,C37)</f>
        <v>0.23100000000000001</v>
      </c>
      <c r="K37" s="401">
        <f t="shared" ref="K37:K68" si="19">PERCENTRANK($D$2:$D$99,D37)</f>
        <v>0.56799999999999995</v>
      </c>
      <c r="L37" s="401">
        <f t="shared" ref="L37:L68" si="20">PERCENTRANK($G$4:$G$99,G37)</f>
        <v>0.86299999999999999</v>
      </c>
      <c r="M37" s="401">
        <f t="shared" ref="M37:M68" si="21">PERCENTRANK($H$4:$H$99,H37)</f>
        <v>5.1999999999999998E-2</v>
      </c>
      <c r="N37" s="401">
        <f t="shared" ref="N37:N68" si="22">PERCENTRANK($I$4:$I$99,I37)</f>
        <v>7.3999999999999996E-2</v>
      </c>
      <c r="O37" s="401">
        <f t="shared" si="11"/>
        <v>-0.91211137754427729</v>
      </c>
      <c r="P37" s="401">
        <f t="shared" si="12"/>
        <v>0.27830326673554268</v>
      </c>
      <c r="Q37" s="401">
        <f t="shared" si="13"/>
        <v>1.261057044291032</v>
      </c>
      <c r="R37" s="401">
        <f t="shared" si="14"/>
        <v>-1.5293169458756071</v>
      </c>
      <c r="S37" s="401">
        <f t="shared" si="15"/>
        <v>-0.67918947751887371</v>
      </c>
      <c r="T37" s="401">
        <f t="shared" si="16"/>
        <v>-0.66984209111046544</v>
      </c>
      <c r="U37" s="331">
        <v>1.7000000000000001E-2</v>
      </c>
      <c r="V37" s="332">
        <f t="shared" si="8"/>
        <v>2.131115729631864E-2</v>
      </c>
      <c r="W37" s="330">
        <v>1.8200000000000001E-2</v>
      </c>
      <c r="X37" s="332">
        <f t="shared" si="9"/>
        <v>1.0639802180957865E-2</v>
      </c>
      <c r="Y37" s="332">
        <f t="shared" si="17"/>
        <v>1.0639802180957865E-2</v>
      </c>
      <c r="Z37" s="330"/>
      <c r="AK37" s="355"/>
      <c r="AL37" s="355"/>
      <c r="AM37" s="355"/>
      <c r="AN37" s="328"/>
      <c r="AO37" s="355"/>
    </row>
    <row r="38" spans="1:52" x14ac:dyDescent="0.25">
      <c r="A38" s="355" t="s">
        <v>563</v>
      </c>
      <c r="B38" s="355" t="s">
        <v>627</v>
      </c>
      <c r="C38" s="345">
        <f>'Historical Data'!B222</f>
        <v>-1.1150756298841991E-2</v>
      </c>
      <c r="D38" s="401">
        <f>'Historical Data'!E55</f>
        <v>5.9</v>
      </c>
      <c r="E38" s="355">
        <v>4.5</v>
      </c>
      <c r="F38" s="401">
        <f t="shared" si="1"/>
        <v>0.90000000000000036</v>
      </c>
      <c r="G38" s="401">
        <f>'Historical Data'!H87</f>
        <v>5.2</v>
      </c>
      <c r="H38" s="321">
        <v>-9.6680545440000001E-2</v>
      </c>
      <c r="I38" s="401">
        <f t="shared" si="10"/>
        <v>-0.5</v>
      </c>
      <c r="J38" s="401">
        <f t="shared" si="18"/>
        <v>8.4000000000000005E-2</v>
      </c>
      <c r="K38" s="401">
        <f t="shared" si="19"/>
        <v>0.71499999999999997</v>
      </c>
      <c r="L38" s="401">
        <f t="shared" si="20"/>
        <v>0.98899999999999999</v>
      </c>
      <c r="M38" s="401">
        <f t="shared" si="21"/>
        <v>3.1E-2</v>
      </c>
      <c r="N38" s="401">
        <f t="shared" si="22"/>
        <v>4.2000000000000003E-2</v>
      </c>
      <c r="O38" s="401">
        <f t="shared" si="11"/>
        <v>-1.4214130723625835</v>
      </c>
      <c r="P38" s="401">
        <f t="shared" si="12"/>
        <v>0.78008117655692821</v>
      </c>
      <c r="Q38" s="401">
        <f t="shared" si="13"/>
        <v>1.690800557680082</v>
      </c>
      <c r="R38" s="401">
        <f t="shared" si="14"/>
        <v>-1.6018420791603327</v>
      </c>
      <c r="S38" s="401">
        <f t="shared" si="15"/>
        <v>-0.78482418598389869</v>
      </c>
      <c r="T38" s="401">
        <f t="shared" si="16"/>
        <v>-1.0004425318196577</v>
      </c>
      <c r="U38" s="331">
        <v>1.7000000000000001E-2</v>
      </c>
      <c r="V38" s="332">
        <f t="shared" si="8"/>
        <v>3.0568806996655724E-2</v>
      </c>
      <c r="W38" s="330">
        <v>2.2200000000000001E-2</v>
      </c>
      <c r="X38" s="332">
        <f t="shared" si="9"/>
        <v>1.9565879563431181E-2</v>
      </c>
      <c r="Y38" s="332">
        <f t="shared" si="17"/>
        <v>1.9565879563431181E-2</v>
      </c>
      <c r="Z38" s="330"/>
      <c r="AK38" s="355"/>
      <c r="AL38" s="355"/>
      <c r="AM38" s="355"/>
      <c r="AN38" s="355"/>
      <c r="AO38" s="355"/>
    </row>
    <row r="39" spans="1:52" x14ac:dyDescent="0.25">
      <c r="A39" s="355" t="s">
        <v>563</v>
      </c>
      <c r="B39" s="355" t="s">
        <v>628</v>
      </c>
      <c r="C39" s="345">
        <f>'Historical Data'!B223</f>
        <v>-3.611470602332989E-2</v>
      </c>
      <c r="D39" s="401">
        <f>'Historical Data'!E56</f>
        <v>6</v>
      </c>
      <c r="E39" s="355">
        <v>2</v>
      </c>
      <c r="F39" s="401">
        <f t="shared" si="1"/>
        <v>9.9999999999999645E-2</v>
      </c>
      <c r="G39" s="401">
        <f>'Historical Data'!H88</f>
        <v>3.4</v>
      </c>
      <c r="H39" s="321">
        <v>-0.14926129129999999</v>
      </c>
      <c r="I39" s="401">
        <f t="shared" si="10"/>
        <v>-2.5</v>
      </c>
      <c r="J39" s="401">
        <f t="shared" si="18"/>
        <v>4.2000000000000003E-2</v>
      </c>
      <c r="K39" s="401">
        <f t="shared" si="19"/>
        <v>0.72599999999999998</v>
      </c>
      <c r="L39" s="401">
        <f t="shared" si="20"/>
        <v>0.90500000000000003</v>
      </c>
      <c r="M39" s="401">
        <f t="shared" si="21"/>
        <v>0.01</v>
      </c>
      <c r="N39" s="401">
        <f t="shared" si="22"/>
        <v>0</v>
      </c>
      <c r="O39" s="401">
        <f t="shared" si="11"/>
        <v>-1.5669278423106712</v>
      </c>
      <c r="P39" s="401">
        <f t="shared" si="12"/>
        <v>0.81762918341431079</v>
      </c>
      <c r="Q39" s="401">
        <f t="shared" si="13"/>
        <v>1.404304882087382</v>
      </c>
      <c r="R39" s="401">
        <f t="shared" si="14"/>
        <v>-1.6743672124450582</v>
      </c>
      <c r="S39" s="401">
        <f t="shared" si="15"/>
        <v>-0.92346974084424394</v>
      </c>
      <c r="T39" s="401">
        <f t="shared" si="16"/>
        <v>-1.1412728308480258</v>
      </c>
      <c r="U39" s="331">
        <v>1.7000000000000001E-2</v>
      </c>
      <c r="V39" s="332">
        <f t="shared" si="8"/>
        <v>3.5418817846818211E-2</v>
      </c>
      <c r="W39" s="330">
        <v>2.8000000000000001E-2</v>
      </c>
      <c r="X39" s="332">
        <f t="shared" si="9"/>
        <v>2.9099594046597527E-2</v>
      </c>
      <c r="Y39" s="332">
        <f t="shared" si="17"/>
        <v>2.9099594046597527E-2</v>
      </c>
      <c r="Z39" s="330"/>
      <c r="AK39" s="355"/>
      <c r="AL39" s="355"/>
      <c r="AM39" s="355"/>
      <c r="AN39" s="355"/>
      <c r="AO39" s="355"/>
    </row>
    <row r="40" spans="1:52" x14ac:dyDescent="0.25">
      <c r="A40" s="355" t="s">
        <v>563</v>
      </c>
      <c r="B40" s="355" t="s">
        <v>629</v>
      </c>
      <c r="C40" s="345">
        <f>'Historical Data'!B224</f>
        <v>-5.8066361556064039E-2</v>
      </c>
      <c r="D40" s="401">
        <f>'Historical Data'!E57</f>
        <v>6.9</v>
      </c>
      <c r="E40" s="355">
        <v>0.5</v>
      </c>
      <c r="F40" s="401">
        <f t="shared" si="1"/>
        <v>0.90000000000000036</v>
      </c>
      <c r="G40" s="401">
        <f>'Historical Data'!H89</f>
        <v>2.1</v>
      </c>
      <c r="H40" s="321">
        <v>-0.15528132980000001</v>
      </c>
      <c r="I40" s="401">
        <f t="shared" si="10"/>
        <v>-1.5</v>
      </c>
      <c r="J40" s="401">
        <f t="shared" si="18"/>
        <v>0.01</v>
      </c>
      <c r="K40" s="401">
        <f t="shared" si="19"/>
        <v>0.76800000000000002</v>
      </c>
      <c r="L40" s="401">
        <f t="shared" si="20"/>
        <v>0.71499999999999997</v>
      </c>
      <c r="M40" s="401">
        <f t="shared" si="21"/>
        <v>0</v>
      </c>
      <c r="N40" s="401">
        <f t="shared" si="22"/>
        <v>0.01</v>
      </c>
      <c r="O40" s="401">
        <f t="shared" si="11"/>
        <v>-1.677796238461595</v>
      </c>
      <c r="P40" s="401">
        <f t="shared" si="12"/>
        <v>0.96099430050613532</v>
      </c>
      <c r="Q40" s="401">
        <f t="shared" si="13"/>
        <v>0.75627894919913197</v>
      </c>
      <c r="R40" s="401">
        <f t="shared" si="14"/>
        <v>-1.7089029901996895</v>
      </c>
      <c r="S40" s="401">
        <f t="shared" si="15"/>
        <v>-0.89045889444892368</v>
      </c>
      <c r="T40" s="401">
        <f t="shared" si="16"/>
        <v>-1.2870854666725187</v>
      </c>
      <c r="U40" s="331">
        <v>1.7000000000000001E-2</v>
      </c>
      <c r="V40" s="332">
        <f t="shared" si="8"/>
        <v>4.1087738190407924E-2</v>
      </c>
      <c r="W40" s="330">
        <v>2.6599999999999999E-2</v>
      </c>
      <c r="X40" s="332">
        <f t="shared" si="9"/>
        <v>3.5691787677960621E-2</v>
      </c>
      <c r="Y40" s="332">
        <f t="shared" si="17"/>
        <v>3.5691787677960621E-2</v>
      </c>
      <c r="Z40" s="330"/>
      <c r="AK40" s="355"/>
      <c r="AL40" s="355"/>
      <c r="AM40" s="355"/>
      <c r="AN40" s="355"/>
      <c r="AO40" s="355"/>
    </row>
    <row r="41" spans="1:52" x14ac:dyDescent="0.25">
      <c r="A41" s="355" t="s">
        <v>563</v>
      </c>
      <c r="B41" s="355" t="s">
        <v>630</v>
      </c>
      <c r="C41" s="345">
        <f>'Historical Data'!B225</f>
        <v>-5.5117320967854377E-2</v>
      </c>
      <c r="D41" s="401">
        <f>'Historical Data'!E58</f>
        <v>7.5</v>
      </c>
      <c r="E41" s="355">
        <v>0.5</v>
      </c>
      <c r="F41" s="401">
        <f t="shared" si="1"/>
        <v>0.59999999999999964</v>
      </c>
      <c r="G41" s="401">
        <f>'Historical Data'!H90</f>
        <v>1</v>
      </c>
      <c r="H41" s="321">
        <v>-0.12247434459999999</v>
      </c>
      <c r="I41" s="401">
        <f t="shared" si="10"/>
        <v>0</v>
      </c>
      <c r="J41" s="401">
        <f t="shared" si="18"/>
        <v>2.1000000000000001E-2</v>
      </c>
      <c r="K41" s="401">
        <f t="shared" si="19"/>
        <v>0.81</v>
      </c>
      <c r="L41" s="401">
        <f t="shared" si="20"/>
        <v>0.46300000000000002</v>
      </c>
      <c r="M41" s="401">
        <f t="shared" si="21"/>
        <v>2.1000000000000001E-2</v>
      </c>
      <c r="N41" s="401">
        <f t="shared" si="22"/>
        <v>0.14799999999999999</v>
      </c>
      <c r="O41" s="401">
        <f t="shared" si="11"/>
        <v>-1.6396852272847149</v>
      </c>
      <c r="P41" s="401">
        <f t="shared" si="12"/>
        <v>1.1043594175979599</v>
      </c>
      <c r="Q41" s="401">
        <f t="shared" si="13"/>
        <v>-0.10320807757896766</v>
      </c>
      <c r="R41" s="401">
        <f t="shared" si="14"/>
        <v>-1.6363778569149638</v>
      </c>
      <c r="S41" s="401">
        <f t="shared" si="15"/>
        <v>-0.43490921419350353</v>
      </c>
      <c r="T41" s="401">
        <f t="shared" si="16"/>
        <v>-1.3116965929993682</v>
      </c>
      <c r="U41" s="331">
        <v>1.7000000000000001E-2</v>
      </c>
      <c r="V41" s="332">
        <f t="shared" si="8"/>
        <v>4.2113495972813324E-2</v>
      </c>
      <c r="W41" s="330">
        <v>2.5499999999999998E-2</v>
      </c>
      <c r="X41" s="332">
        <f t="shared" si="9"/>
        <v>3.9540017336679827E-2</v>
      </c>
      <c r="Y41" s="332">
        <f t="shared" si="17"/>
        <v>3.9540017336679827E-2</v>
      </c>
      <c r="Z41" s="330"/>
      <c r="AK41" s="355"/>
      <c r="AL41" s="355"/>
      <c r="AM41" s="355"/>
      <c r="AN41" s="355"/>
      <c r="AO41" s="355"/>
    </row>
    <row r="42" spans="1:52" x14ac:dyDescent="0.25">
      <c r="A42" s="355" t="s">
        <v>563</v>
      </c>
      <c r="B42" s="355" t="s">
        <v>631</v>
      </c>
      <c r="C42" s="345">
        <f>'Historical Data'!B226</f>
        <v>-3.9425682256893357E-2</v>
      </c>
      <c r="D42" s="401">
        <f>'Historical Data'!E59</f>
        <v>7.8</v>
      </c>
      <c r="E42" s="355">
        <v>0.5</v>
      </c>
      <c r="F42" s="401">
        <f t="shared" si="1"/>
        <v>0.29999999999999982</v>
      </c>
      <c r="G42" s="401">
        <f>'Historical Data'!H91</f>
        <v>0.4</v>
      </c>
      <c r="H42" s="321">
        <v>-3.6967079539999996E-2</v>
      </c>
      <c r="I42" s="401">
        <f t="shared" si="10"/>
        <v>0</v>
      </c>
      <c r="J42" s="401">
        <f t="shared" si="18"/>
        <v>3.1E-2</v>
      </c>
      <c r="K42" s="401">
        <f t="shared" si="19"/>
        <v>0.89400000000000002</v>
      </c>
      <c r="L42" s="401">
        <f t="shared" si="20"/>
        <v>0.378</v>
      </c>
      <c r="M42" s="401">
        <f t="shared" si="21"/>
        <v>4.2000000000000003E-2</v>
      </c>
      <c r="N42" s="401">
        <f t="shared" si="22"/>
        <v>0.14799999999999999</v>
      </c>
      <c r="O42" s="401">
        <f t="shared" si="11"/>
        <v>-1.605038853487551</v>
      </c>
      <c r="P42" s="401">
        <f t="shared" si="12"/>
        <v>1.3910896517816085</v>
      </c>
      <c r="Q42" s="401">
        <f t="shared" si="13"/>
        <v>-0.39311441597634267</v>
      </c>
      <c r="R42" s="401">
        <f t="shared" si="14"/>
        <v>-1.5638527236302384</v>
      </c>
      <c r="S42" s="401">
        <f t="shared" si="15"/>
        <v>-0.43490921419350353</v>
      </c>
      <c r="T42" s="401">
        <f t="shared" si="16"/>
        <v>-1.3413199126507001</v>
      </c>
      <c r="U42" s="331">
        <v>1.7000000000000001E-2</v>
      </c>
      <c r="V42" s="332">
        <f t="shared" si="8"/>
        <v>4.3375535877203782E-2</v>
      </c>
      <c r="W42" s="330">
        <v>2.2499999999999999E-2</v>
      </c>
      <c r="X42" s="332">
        <f t="shared" si="9"/>
        <v>4.2192256680141677E-2</v>
      </c>
      <c r="Y42" s="332">
        <f t="shared" si="17"/>
        <v>4.2192256680141677E-2</v>
      </c>
      <c r="Z42" s="330"/>
      <c r="AK42" s="355"/>
      <c r="AL42" s="355"/>
      <c r="AM42" s="355"/>
      <c r="AN42" s="355"/>
      <c r="AO42" s="355"/>
    </row>
    <row r="43" spans="1:52" x14ac:dyDescent="0.25">
      <c r="A43" s="355" t="s">
        <v>563</v>
      </c>
      <c r="B43" s="355" t="s">
        <v>632</v>
      </c>
      <c r="C43" s="345">
        <f>'Historical Data'!B227</f>
        <v>-1.6224915575286047E-2</v>
      </c>
      <c r="D43" s="401">
        <f>'Historical Data'!E60</f>
        <v>7.4</v>
      </c>
      <c r="E43" s="355">
        <v>0.5</v>
      </c>
      <c r="F43" s="401">
        <f t="shared" si="1"/>
        <v>-0.39999999999999947</v>
      </c>
      <c r="G43" s="401">
        <f>'Historical Data'!H92</f>
        <v>1.8</v>
      </c>
      <c r="H43" s="321">
        <v>4.4282049029999999E-2</v>
      </c>
      <c r="I43" s="401">
        <f t="shared" si="10"/>
        <v>0</v>
      </c>
      <c r="J43" s="401">
        <f t="shared" si="18"/>
        <v>6.3E-2</v>
      </c>
      <c r="K43" s="401">
        <f t="shared" si="19"/>
        <v>0.78900000000000003</v>
      </c>
      <c r="L43" s="401">
        <f t="shared" si="20"/>
        <v>0.63100000000000001</v>
      </c>
      <c r="M43" s="401">
        <f t="shared" si="21"/>
        <v>0.46300000000000002</v>
      </c>
      <c r="N43" s="401">
        <f t="shared" si="22"/>
        <v>0.14799999999999999</v>
      </c>
      <c r="O43" s="401">
        <f t="shared" si="11"/>
        <v>-1.4941704573366275</v>
      </c>
      <c r="P43" s="401">
        <f t="shared" si="12"/>
        <v>1.0326768590520476</v>
      </c>
      <c r="Q43" s="401">
        <f t="shared" si="13"/>
        <v>0.46978327360643218</v>
      </c>
      <c r="R43" s="401">
        <f t="shared" si="14"/>
        <v>-0.10989648016026346</v>
      </c>
      <c r="S43" s="401">
        <f t="shared" si="15"/>
        <v>-0.43490921419350353</v>
      </c>
      <c r="T43" s="401">
        <f t="shared" si="16"/>
        <v>-1.0072722023819147</v>
      </c>
      <c r="U43" s="331">
        <v>1.7000000000000001E-2</v>
      </c>
      <c r="V43" s="332">
        <f t="shared" si="8"/>
        <v>3.0790609866990972E-2</v>
      </c>
      <c r="W43" s="330">
        <v>1.8499999999999999E-2</v>
      </c>
      <c r="X43" s="332">
        <f t="shared" si="9"/>
        <v>3.8759880572336029E-2</v>
      </c>
      <c r="Y43" s="332">
        <f t="shared" si="17"/>
        <v>3.8759880572336029E-2</v>
      </c>
      <c r="Z43" s="330"/>
      <c r="AK43" s="355"/>
      <c r="AL43" s="355"/>
      <c r="AM43" s="355"/>
      <c r="AN43" s="355"/>
      <c r="AO43" s="355"/>
    </row>
    <row r="44" spans="1:52" x14ac:dyDescent="0.25">
      <c r="A44" s="355" t="s">
        <v>563</v>
      </c>
      <c r="B44" s="355" t="s">
        <v>633</v>
      </c>
      <c r="C44" s="345">
        <f>'Historical Data'!B228</f>
        <v>7.6493756269038204E-3</v>
      </c>
      <c r="D44" s="401">
        <f>'Historical Data'!E61</f>
        <v>7.8</v>
      </c>
      <c r="E44" s="355">
        <v>0.5</v>
      </c>
      <c r="F44" s="401">
        <f t="shared" si="1"/>
        <v>0.39999999999999947</v>
      </c>
      <c r="G44" s="401">
        <f>'Historical Data'!H93</f>
        <v>3.4</v>
      </c>
      <c r="H44" s="321">
        <v>8.6923685749999993E-2</v>
      </c>
      <c r="I44" s="401">
        <f t="shared" si="10"/>
        <v>0</v>
      </c>
      <c r="J44" s="401">
        <f t="shared" si="18"/>
        <v>0.13600000000000001</v>
      </c>
      <c r="K44" s="401">
        <f t="shared" si="19"/>
        <v>0.89400000000000002</v>
      </c>
      <c r="L44" s="401">
        <f t="shared" si="20"/>
        <v>0.90500000000000003</v>
      </c>
      <c r="M44" s="401">
        <f t="shared" si="21"/>
        <v>0.76800000000000002</v>
      </c>
      <c r="N44" s="401">
        <f t="shared" si="22"/>
        <v>0.14799999999999999</v>
      </c>
      <c r="O44" s="401">
        <f t="shared" si="11"/>
        <v>-1.2412519286173325</v>
      </c>
      <c r="P44" s="401">
        <f t="shared" si="12"/>
        <v>1.3910896517816085</v>
      </c>
      <c r="Q44" s="401">
        <f t="shared" si="13"/>
        <v>1.404304882087382</v>
      </c>
      <c r="R44" s="401">
        <f t="shared" si="14"/>
        <v>0.94344474135598899</v>
      </c>
      <c r="S44" s="401">
        <f t="shared" si="15"/>
        <v>-0.43490921419350353</v>
      </c>
      <c r="T44" s="401">
        <f t="shared" si="16"/>
        <v>-0.69257608142357363</v>
      </c>
      <c r="U44" s="331">
        <v>1.7000000000000001E-2</v>
      </c>
      <c r="V44" s="332">
        <f t="shared" si="8"/>
        <v>2.186128045749074E-2</v>
      </c>
      <c r="W44" s="330">
        <v>1.6400000000000001E-2</v>
      </c>
      <c r="X44" s="332">
        <f t="shared" si="9"/>
        <v>3.2009142067228498E-2</v>
      </c>
      <c r="Y44" s="332">
        <f t="shared" si="17"/>
        <v>3.2009142067228498E-2</v>
      </c>
      <c r="Z44" s="330"/>
      <c r="AK44" s="355"/>
      <c r="AL44" s="355"/>
      <c r="AM44" s="355"/>
      <c r="AN44" s="355"/>
      <c r="AO44" s="355"/>
    </row>
    <row r="45" spans="1:52" x14ac:dyDescent="0.25">
      <c r="A45" s="355" t="s">
        <v>563</v>
      </c>
      <c r="B45" s="355" t="s">
        <v>634</v>
      </c>
      <c r="C45" s="345">
        <f>'Historical Data'!B229</f>
        <v>2.0229787508821095E-2</v>
      </c>
      <c r="D45" s="401">
        <f>'Historical Data'!E62</f>
        <v>7.5</v>
      </c>
      <c r="E45" s="355">
        <v>0.5</v>
      </c>
      <c r="F45" s="401">
        <f t="shared" si="1"/>
        <v>-0.29999999999999982</v>
      </c>
      <c r="G45" s="401">
        <f>'Historical Data'!H94</f>
        <v>3.4</v>
      </c>
      <c r="H45" s="321">
        <v>7.6005238579999995E-2</v>
      </c>
      <c r="I45" s="401">
        <f t="shared" si="10"/>
        <v>0</v>
      </c>
      <c r="J45" s="401">
        <f t="shared" si="18"/>
        <v>0.53600000000000003</v>
      </c>
      <c r="K45" s="401">
        <f t="shared" si="19"/>
        <v>0.81</v>
      </c>
      <c r="L45" s="401">
        <f t="shared" si="20"/>
        <v>0.90500000000000003</v>
      </c>
      <c r="M45" s="401">
        <f t="shared" si="21"/>
        <v>0.67300000000000004</v>
      </c>
      <c r="N45" s="401">
        <f t="shared" si="22"/>
        <v>0.14799999999999999</v>
      </c>
      <c r="O45" s="401">
        <f t="shared" si="11"/>
        <v>0.14460302326921567</v>
      </c>
      <c r="P45" s="401">
        <f t="shared" si="12"/>
        <v>1.1043594175979599</v>
      </c>
      <c r="Q45" s="401">
        <f t="shared" si="13"/>
        <v>1.404304882087382</v>
      </c>
      <c r="R45" s="401">
        <f t="shared" si="14"/>
        <v>0.61535485268699242</v>
      </c>
      <c r="S45" s="401">
        <f t="shared" si="15"/>
        <v>-0.43490921419350353</v>
      </c>
      <c r="T45" s="401">
        <f t="shared" si="16"/>
        <v>0.13480092425982054</v>
      </c>
      <c r="U45" s="331">
        <v>1.7000000000000001E-2</v>
      </c>
      <c r="V45" s="332">
        <f t="shared" si="8"/>
        <v>8.0998594917438705E-3</v>
      </c>
      <c r="W45" s="330">
        <v>1.54E-2</v>
      </c>
      <c r="X45" s="332">
        <f t="shared" si="9"/>
        <v>2.0250583272075195E-2</v>
      </c>
      <c r="Y45" s="332">
        <f t="shared" si="17"/>
        <v>2.0250583272075195E-2</v>
      </c>
      <c r="Z45" s="330"/>
      <c r="AK45" s="355"/>
      <c r="AL45" s="355"/>
      <c r="AM45" s="355"/>
      <c r="AN45" s="355"/>
      <c r="AO45" s="355"/>
    </row>
    <row r="46" spans="1:52" x14ac:dyDescent="0.25">
      <c r="A46" s="355" t="s">
        <v>563</v>
      </c>
      <c r="B46" s="355" t="s">
        <v>635</v>
      </c>
      <c r="C46" s="345">
        <f>'Historical Data'!B230</f>
        <v>2.6267151541967904E-2</v>
      </c>
      <c r="D46" s="401">
        <f>'Historical Data'!E63</f>
        <v>7.8</v>
      </c>
      <c r="E46" s="355">
        <v>0.5</v>
      </c>
      <c r="F46" s="401">
        <f t="shared" si="1"/>
        <v>0.29999999999999982</v>
      </c>
      <c r="G46" s="401">
        <f>'Historical Data'!H95</f>
        <v>2.5</v>
      </c>
      <c r="H46" s="321">
        <v>4.6325687999999997E-2</v>
      </c>
      <c r="I46" s="401">
        <f t="shared" si="10"/>
        <v>0</v>
      </c>
      <c r="J46" s="401">
        <f t="shared" si="18"/>
        <v>0.75700000000000001</v>
      </c>
      <c r="K46" s="401">
        <f t="shared" si="19"/>
        <v>0.89400000000000002</v>
      </c>
      <c r="L46" s="401">
        <f t="shared" si="20"/>
        <v>0.8</v>
      </c>
      <c r="M46" s="401">
        <f t="shared" si="21"/>
        <v>0.48399999999999999</v>
      </c>
      <c r="N46" s="401">
        <f t="shared" si="22"/>
        <v>0.14799999999999999</v>
      </c>
      <c r="O46" s="401">
        <f t="shared" si="11"/>
        <v>0.91028788418653328</v>
      </c>
      <c r="P46" s="401">
        <f t="shared" si="12"/>
        <v>1.3910896517816085</v>
      </c>
      <c r="Q46" s="401">
        <f t="shared" si="13"/>
        <v>1.0461852875965072</v>
      </c>
      <c r="R46" s="401">
        <f t="shared" si="14"/>
        <v>-3.737134687553801E-2</v>
      </c>
      <c r="S46" s="401">
        <f t="shared" si="15"/>
        <v>-0.43490921419350353</v>
      </c>
      <c r="T46" s="401">
        <f t="shared" si="16"/>
        <v>0.46445423798650565</v>
      </c>
      <c r="U46" s="331">
        <v>1.7000000000000001E-2</v>
      </c>
      <c r="V46" s="332">
        <f t="shared" si="8"/>
        <v>5.251190619097945E-3</v>
      </c>
      <c r="W46" s="330">
        <v>1.4500000000000001E-2</v>
      </c>
      <c r="X46" s="332">
        <f t="shared" si="9"/>
        <v>1.1737443522777518E-2</v>
      </c>
      <c r="Y46" s="332">
        <f t="shared" si="17"/>
        <v>1.1737443522777518E-2</v>
      </c>
      <c r="Z46" s="330"/>
      <c r="AK46" s="355"/>
      <c r="AL46" s="355"/>
      <c r="AM46" s="355"/>
      <c r="AN46" s="355"/>
      <c r="AO46" s="355"/>
    </row>
    <row r="47" spans="1:52" x14ac:dyDescent="0.25">
      <c r="A47" s="355" t="s">
        <v>563</v>
      </c>
      <c r="B47" s="355" t="s">
        <v>636</v>
      </c>
      <c r="C47" s="345">
        <f>'Historical Data'!B231</f>
        <v>2.3844973209444342E-2</v>
      </c>
      <c r="D47" s="401">
        <f>'Historical Data'!E64</f>
        <v>7.6</v>
      </c>
      <c r="E47" s="355">
        <v>0.5</v>
      </c>
      <c r="F47" s="401">
        <f t="shared" si="1"/>
        <v>-0.20000000000000018</v>
      </c>
      <c r="G47" s="401">
        <f>'Historical Data'!H96</f>
        <v>3</v>
      </c>
      <c r="H47" s="321">
        <v>3.6953019700000003E-3</v>
      </c>
      <c r="I47" s="401">
        <f t="shared" si="10"/>
        <v>0</v>
      </c>
      <c r="J47" s="401">
        <f t="shared" si="18"/>
        <v>0.65200000000000002</v>
      </c>
      <c r="K47" s="401">
        <f t="shared" si="19"/>
        <v>0.85199999999999998</v>
      </c>
      <c r="L47" s="401">
        <f t="shared" si="20"/>
        <v>0.86299999999999999</v>
      </c>
      <c r="M47" s="401">
        <f t="shared" si="21"/>
        <v>0.14699999999999999</v>
      </c>
      <c r="N47" s="401">
        <f t="shared" si="22"/>
        <v>0.14799999999999999</v>
      </c>
      <c r="O47" s="401">
        <f t="shared" si="11"/>
        <v>0.54650095931631448</v>
      </c>
      <c r="P47" s="401">
        <f t="shared" si="12"/>
        <v>1.2477245346897841</v>
      </c>
      <c r="Q47" s="401">
        <f t="shared" si="13"/>
        <v>1.261057044291032</v>
      </c>
      <c r="R47" s="401">
        <f t="shared" si="14"/>
        <v>-1.2012270572066106</v>
      </c>
      <c r="S47" s="401">
        <f t="shared" si="15"/>
        <v>-0.43490921419350353</v>
      </c>
      <c r="T47" s="401">
        <f t="shared" si="16"/>
        <v>0.16562019940990208</v>
      </c>
      <c r="U47" s="331">
        <v>1.7000000000000001E-2</v>
      </c>
      <c r="V47" s="332">
        <f t="shared" si="8"/>
        <v>7.7853836248589778E-3</v>
      </c>
      <c r="W47" s="330">
        <v>1.3599999999999999E-2</v>
      </c>
      <c r="X47" s="332">
        <f t="shared" si="9"/>
        <v>7.0454779119002641E-3</v>
      </c>
      <c r="Y47" s="332">
        <f t="shared" si="17"/>
        <v>7.0454779119002641E-3</v>
      </c>
      <c r="Z47" s="330"/>
      <c r="AK47" s="355"/>
      <c r="AL47" s="355"/>
      <c r="AM47" s="355"/>
      <c r="AN47" s="355"/>
      <c r="AO47" s="355"/>
    </row>
    <row r="48" spans="1:52" x14ac:dyDescent="0.25">
      <c r="A48" s="355" t="s">
        <v>563</v>
      </c>
      <c r="B48" s="355" t="s">
        <v>637</v>
      </c>
      <c r="C48" s="345">
        <f>'Historical Data'!B232</f>
        <v>2.3767069024956511E-2</v>
      </c>
      <c r="D48" s="401">
        <f>'Historical Data'!E65</f>
        <v>7.6</v>
      </c>
      <c r="E48" s="355">
        <v>0.5</v>
      </c>
      <c r="F48" s="401">
        <f t="shared" si="1"/>
        <v>0</v>
      </c>
      <c r="G48" s="401">
        <f>'Historical Data'!H97</f>
        <v>4.0999999999999996</v>
      </c>
      <c r="H48" s="321">
        <v>-1.327996217E-2</v>
      </c>
      <c r="I48" s="401">
        <f t="shared" si="10"/>
        <v>0</v>
      </c>
      <c r="J48" s="401">
        <f t="shared" si="18"/>
        <v>0.64200000000000002</v>
      </c>
      <c r="K48" s="401">
        <f t="shared" si="19"/>
        <v>0.85199999999999998</v>
      </c>
      <c r="L48" s="401">
        <f t="shared" si="20"/>
        <v>0.94699999999999995</v>
      </c>
      <c r="M48" s="401">
        <f t="shared" si="21"/>
        <v>8.4000000000000005E-2</v>
      </c>
      <c r="N48" s="401">
        <f t="shared" si="22"/>
        <v>0.14799999999999999</v>
      </c>
      <c r="O48" s="401">
        <f t="shared" si="11"/>
        <v>0.51185458551915086</v>
      </c>
      <c r="P48" s="401">
        <f t="shared" si="12"/>
        <v>1.2477245346897841</v>
      </c>
      <c r="Q48" s="401">
        <f t="shared" si="13"/>
        <v>1.5475527198837318</v>
      </c>
      <c r="R48" s="401">
        <f t="shared" si="14"/>
        <v>-1.4188024570607871</v>
      </c>
      <c r="S48" s="401">
        <f t="shared" si="15"/>
        <v>-0.43490921419350353</v>
      </c>
      <c r="T48" s="401">
        <f t="shared" si="16"/>
        <v>0.15172440270545623</v>
      </c>
      <c r="U48" s="331">
        <v>1.7000000000000001E-2</v>
      </c>
      <c r="V48" s="332">
        <f t="shared" si="8"/>
        <v>7.9258195664403622E-3</v>
      </c>
      <c r="W48" s="330">
        <v>1.09E-2</v>
      </c>
      <c r="X48" s="332">
        <f t="shared" si="9"/>
        <v>6.9874646034657623E-3</v>
      </c>
      <c r="Y48" s="332">
        <f t="shared" si="17"/>
        <v>6.9874646034657623E-3</v>
      </c>
      <c r="Z48" s="330"/>
      <c r="AK48" s="355"/>
      <c r="AL48" s="355"/>
      <c r="AM48" s="355"/>
      <c r="AN48" s="355"/>
      <c r="AO48" s="355"/>
    </row>
    <row r="49" spans="1:26" s="355" customFormat="1" x14ac:dyDescent="0.25">
      <c r="A49" s="355" t="s">
        <v>563</v>
      </c>
      <c r="B49" s="355" t="s">
        <v>638</v>
      </c>
      <c r="C49" s="345">
        <f>'Historical Data'!B233</f>
        <v>1.4618323198987371E-2</v>
      </c>
      <c r="D49" s="401">
        <f>'Historical Data'!E66</f>
        <v>7.7</v>
      </c>
      <c r="E49" s="355">
        <v>0.5</v>
      </c>
      <c r="F49" s="401">
        <f t="shared" si="1"/>
        <v>0.10000000000000053</v>
      </c>
      <c r="G49" s="401">
        <f>'Historical Data'!H98</f>
        <v>4.2</v>
      </c>
      <c r="H49" s="321">
        <v>-2.2923066209999999E-2</v>
      </c>
      <c r="I49" s="401">
        <f t="shared" si="10"/>
        <v>0</v>
      </c>
      <c r="J49" s="401">
        <f t="shared" si="18"/>
        <v>0.34699999999999998</v>
      </c>
      <c r="K49" s="401">
        <f t="shared" si="19"/>
        <v>0.88400000000000001</v>
      </c>
      <c r="L49" s="401">
        <f t="shared" si="20"/>
        <v>0.95699999999999996</v>
      </c>
      <c r="M49" s="401">
        <f t="shared" si="21"/>
        <v>6.3E-2</v>
      </c>
      <c r="N49" s="401">
        <f t="shared" si="22"/>
        <v>0.14799999999999999</v>
      </c>
      <c r="O49" s="401">
        <f t="shared" si="11"/>
        <v>-0.5102134414971784</v>
      </c>
      <c r="P49" s="401">
        <f t="shared" si="12"/>
        <v>1.3569551000930788</v>
      </c>
      <c r="Q49" s="401">
        <f t="shared" si="13"/>
        <v>1.5816593479304819</v>
      </c>
      <c r="R49" s="401">
        <f t="shared" si="14"/>
        <v>-1.4913275903455128</v>
      </c>
      <c r="S49" s="401">
        <f t="shared" si="15"/>
        <v>-0.43490921419350353</v>
      </c>
      <c r="T49" s="401">
        <f t="shared" si="16"/>
        <v>-0.47628132056846839</v>
      </c>
      <c r="U49" s="331">
        <v>1.7000000000000001E-2</v>
      </c>
      <c r="V49" s="332">
        <f t="shared" si="8"/>
        <v>1.7084164118153486E-2</v>
      </c>
      <c r="W49" s="330">
        <v>1.09E-2</v>
      </c>
      <c r="X49" s="332">
        <f t="shared" si="9"/>
        <v>1.0931789103150943E-2</v>
      </c>
      <c r="Y49" s="332">
        <f t="shared" si="17"/>
        <v>1.0931789103150943E-2</v>
      </c>
      <c r="Z49" s="330"/>
    </row>
    <row r="50" spans="1:26" s="355" customFormat="1" x14ac:dyDescent="0.25">
      <c r="A50" s="355" t="s">
        <v>563</v>
      </c>
      <c r="B50" s="355" t="s">
        <v>639</v>
      </c>
      <c r="C50" s="345">
        <f>'Historical Data'!B234</f>
        <v>1.10593635195948E-2</v>
      </c>
      <c r="D50" s="401">
        <f>'Historical Data'!E67</f>
        <v>8.4</v>
      </c>
      <c r="E50" s="355">
        <v>0.5</v>
      </c>
      <c r="F50" s="401">
        <f t="shared" si="1"/>
        <v>0.70000000000000018</v>
      </c>
      <c r="G50" s="401">
        <f>'Historical Data'!H99</f>
        <v>5</v>
      </c>
      <c r="H50" s="321">
        <v>-1.9820953830000002E-2</v>
      </c>
      <c r="I50" s="401">
        <f t="shared" si="10"/>
        <v>0</v>
      </c>
      <c r="J50" s="401">
        <f t="shared" si="18"/>
        <v>0.2</v>
      </c>
      <c r="K50" s="401">
        <f t="shared" si="19"/>
        <v>0.96799999999999997</v>
      </c>
      <c r="L50" s="401">
        <f t="shared" si="20"/>
        <v>0.97799999999999998</v>
      </c>
      <c r="M50" s="401">
        <f t="shared" si="21"/>
        <v>7.2999999999999995E-2</v>
      </c>
      <c r="N50" s="401">
        <f t="shared" si="22"/>
        <v>0.14799999999999999</v>
      </c>
      <c r="O50" s="401">
        <f t="shared" si="11"/>
        <v>-1.0195151363154846</v>
      </c>
      <c r="P50" s="401">
        <f t="shared" si="12"/>
        <v>1.6436853342767275</v>
      </c>
      <c r="Q50" s="401">
        <f t="shared" si="13"/>
        <v>1.6532832668286568</v>
      </c>
      <c r="R50" s="401">
        <f t="shared" si="14"/>
        <v>-1.4567918125908814</v>
      </c>
      <c r="S50" s="401">
        <f t="shared" si="15"/>
        <v>-0.43490921419350353</v>
      </c>
      <c r="T50" s="401">
        <f t="shared" si="16"/>
        <v>-0.79991939121253641</v>
      </c>
      <c r="U50" s="331">
        <v>1.7000000000000001E-2</v>
      </c>
      <c r="V50" s="332">
        <f t="shared" si="8"/>
        <v>2.4623426751350624E-2</v>
      </c>
      <c r="W50" s="330">
        <v>1.1599999999999999E-2</v>
      </c>
      <c r="X50" s="332">
        <f t="shared" si="9"/>
        <v>1.6544470145314825E-2</v>
      </c>
      <c r="Y50" s="332">
        <f t="shared" si="17"/>
        <v>1.6544470145314825E-2</v>
      </c>
      <c r="Z50" s="330"/>
    </row>
    <row r="51" spans="1:26" s="355" customFormat="1" x14ac:dyDescent="0.25">
      <c r="A51" s="355" t="s">
        <v>563</v>
      </c>
      <c r="B51" s="355" t="s">
        <v>640</v>
      </c>
      <c r="C51" s="345">
        <f>'Historical Data'!B235</f>
        <v>1.2297859544081469E-2</v>
      </c>
      <c r="D51" s="401">
        <f>'Historical Data'!E68</f>
        <v>8</v>
      </c>
      <c r="E51" s="355">
        <v>0.5</v>
      </c>
      <c r="F51" s="401">
        <f t="shared" si="1"/>
        <v>-0.40000000000000036</v>
      </c>
      <c r="G51" s="401">
        <f>'Historical Data'!H100</f>
        <v>4.9000000000000004</v>
      </c>
      <c r="H51" s="321">
        <v>-9.8098642800000004E-3</v>
      </c>
      <c r="I51" s="401">
        <f t="shared" si="10"/>
        <v>0</v>
      </c>
      <c r="J51" s="401">
        <f t="shared" si="18"/>
        <v>0.221</v>
      </c>
      <c r="K51" s="401">
        <f t="shared" si="19"/>
        <v>0.95699999999999996</v>
      </c>
      <c r="L51" s="401">
        <f t="shared" si="20"/>
        <v>0.96799999999999997</v>
      </c>
      <c r="M51" s="401">
        <f t="shared" si="21"/>
        <v>9.4E-2</v>
      </c>
      <c r="N51" s="401">
        <f t="shared" si="22"/>
        <v>0.14799999999999999</v>
      </c>
      <c r="O51" s="401">
        <f t="shared" si="11"/>
        <v>-0.94675775134144102</v>
      </c>
      <c r="P51" s="401">
        <f t="shared" si="12"/>
        <v>1.6061373274193449</v>
      </c>
      <c r="Q51" s="401">
        <f t="shared" si="13"/>
        <v>1.6191766387819069</v>
      </c>
      <c r="R51" s="401">
        <f t="shared" si="14"/>
        <v>-1.3842666793061558</v>
      </c>
      <c r="S51" s="401">
        <f t="shared" si="15"/>
        <v>-0.43490921419350353</v>
      </c>
      <c r="T51" s="401">
        <f t="shared" si="16"/>
        <v>-0.7486683090185744</v>
      </c>
      <c r="U51" s="331">
        <v>1.7000000000000001E-2</v>
      </c>
      <c r="V51" s="332">
        <f t="shared" si="8"/>
        <v>2.3270116515026144E-2</v>
      </c>
      <c r="W51" s="330">
        <v>1.29E-2</v>
      </c>
      <c r="X51" s="332">
        <f t="shared" si="9"/>
        <v>2.1659235794843416E-2</v>
      </c>
      <c r="Y51" s="332">
        <f t="shared" si="17"/>
        <v>2.1659235794843416E-2</v>
      </c>
      <c r="Z51" s="330"/>
    </row>
    <row r="52" spans="1:26" s="355" customFormat="1" x14ac:dyDescent="0.25">
      <c r="A52" s="355" t="s">
        <v>563</v>
      </c>
      <c r="B52" s="355" t="s">
        <v>641</v>
      </c>
      <c r="C52" s="345">
        <f>'Historical Data'!B236</f>
        <v>1.2439480744227849E-2</v>
      </c>
      <c r="D52" s="401">
        <f>'Historical Data'!E69</f>
        <v>7.9</v>
      </c>
      <c r="E52" s="355">
        <v>0.5</v>
      </c>
      <c r="F52" s="401">
        <f t="shared" si="1"/>
        <v>-9.9999999999999645E-2</v>
      </c>
      <c r="G52" s="401">
        <f>'Historical Data'!H101</f>
        <v>3.5</v>
      </c>
      <c r="H52" s="321">
        <v>1.80375592E-3</v>
      </c>
      <c r="I52" s="401">
        <f t="shared" si="10"/>
        <v>0</v>
      </c>
      <c r="J52" s="401">
        <f t="shared" si="18"/>
        <v>0.24199999999999999</v>
      </c>
      <c r="K52" s="401">
        <f t="shared" si="19"/>
        <v>0.93600000000000005</v>
      </c>
      <c r="L52" s="401">
        <f t="shared" si="20"/>
        <v>0.93600000000000005</v>
      </c>
      <c r="M52" s="401">
        <f t="shared" si="21"/>
        <v>0.126</v>
      </c>
      <c r="N52" s="401">
        <f t="shared" si="22"/>
        <v>0.14799999999999999</v>
      </c>
      <c r="O52" s="401">
        <f t="shared" si="11"/>
        <v>-0.8740003663673972</v>
      </c>
      <c r="P52" s="401">
        <f t="shared" si="12"/>
        <v>1.5344547688734331</v>
      </c>
      <c r="Q52" s="401">
        <f t="shared" si="13"/>
        <v>1.510035429032307</v>
      </c>
      <c r="R52" s="401">
        <f t="shared" si="14"/>
        <v>-1.273752190491336</v>
      </c>
      <c r="S52" s="401">
        <f t="shared" si="15"/>
        <v>-0.43490921419350353</v>
      </c>
      <c r="T52" s="401">
        <f t="shared" si="16"/>
        <v>-0.69770829427303493</v>
      </c>
      <c r="U52" s="331">
        <v>1.7000000000000001E-2</v>
      </c>
      <c r="V52" s="332">
        <f t="shared" si="8"/>
        <v>2.1987116865839602E-2</v>
      </c>
      <c r="W52" s="330">
        <v>1.26E-2</v>
      </c>
      <c r="X52" s="332">
        <f t="shared" si="9"/>
        <v>2.3293553377405452E-2</v>
      </c>
      <c r="Y52" s="332">
        <f t="shared" si="17"/>
        <v>2.3293553377405452E-2</v>
      </c>
      <c r="Z52" s="330"/>
    </row>
    <row r="53" spans="1:26" s="355" customFormat="1" x14ac:dyDescent="0.25">
      <c r="A53" s="355" t="s">
        <v>563</v>
      </c>
      <c r="B53" s="355" t="s">
        <v>642</v>
      </c>
      <c r="C53" s="345">
        <f>'Historical Data'!B237</f>
        <v>1.0635904085265491E-2</v>
      </c>
      <c r="D53" s="401">
        <f>'Historical Data'!E70</f>
        <v>7.8</v>
      </c>
      <c r="E53" s="355">
        <v>0.5</v>
      </c>
      <c r="F53" s="401">
        <f t="shared" si="1"/>
        <v>-0.10000000000000053</v>
      </c>
      <c r="G53" s="401">
        <f>'Historical Data'!H102</f>
        <v>2.4</v>
      </c>
      <c r="H53" s="321">
        <v>1.368831278E-2</v>
      </c>
      <c r="I53" s="401">
        <f t="shared" si="10"/>
        <v>0</v>
      </c>
      <c r="J53" s="401">
        <f t="shared" si="18"/>
        <v>0.189</v>
      </c>
      <c r="K53" s="401">
        <f t="shared" si="19"/>
        <v>0.89400000000000002</v>
      </c>
      <c r="L53" s="401">
        <f t="shared" si="20"/>
        <v>0.78900000000000003</v>
      </c>
      <c r="M53" s="401">
        <f t="shared" si="21"/>
        <v>0.252</v>
      </c>
      <c r="N53" s="401">
        <f t="shared" si="22"/>
        <v>0.14799999999999999</v>
      </c>
      <c r="O53" s="401">
        <f t="shared" si="11"/>
        <v>-1.0576261474923647</v>
      </c>
      <c r="P53" s="401">
        <f t="shared" si="12"/>
        <v>1.3910896517816085</v>
      </c>
      <c r="Q53" s="401">
        <f t="shared" si="13"/>
        <v>1.0086679967450822</v>
      </c>
      <c r="R53" s="401">
        <f t="shared" si="14"/>
        <v>-0.83860139078298246</v>
      </c>
      <c r="S53" s="401">
        <f t="shared" si="15"/>
        <v>-0.43490921419350353</v>
      </c>
      <c r="T53" s="401">
        <f t="shared" si="16"/>
        <v>-0.80016891449672012</v>
      </c>
      <c r="U53" s="331">
        <v>1.7000000000000001E-2</v>
      </c>
      <c r="V53" s="332">
        <f t="shared" si="8"/>
        <v>2.4630173734902682E-2</v>
      </c>
      <c r="W53" s="330">
        <v>1.26E-2</v>
      </c>
      <c r="X53" s="332">
        <f t="shared" si="9"/>
        <v>2.3295802371922813E-2</v>
      </c>
      <c r="Y53" s="332">
        <f t="shared" si="17"/>
        <v>2.3295802371922813E-2</v>
      </c>
      <c r="Z53" s="330"/>
    </row>
    <row r="54" spans="1:26" s="355" customFormat="1" x14ac:dyDescent="0.25">
      <c r="A54" s="355" t="s">
        <v>563</v>
      </c>
      <c r="B54" s="355" t="s">
        <v>643</v>
      </c>
      <c r="C54" s="345">
        <f>'Historical Data'!B238</f>
        <v>1.9757956153150902E-2</v>
      </c>
      <c r="D54" s="401">
        <f>'Historical Data'!E71</f>
        <v>7.9</v>
      </c>
      <c r="E54" s="355">
        <v>0.5</v>
      </c>
      <c r="F54" s="401">
        <f t="shared" si="1"/>
        <v>0.10000000000000053</v>
      </c>
      <c r="G54" s="401">
        <f>'Historical Data'!H103</f>
        <v>1.7</v>
      </c>
      <c r="H54" s="321">
        <v>4.4328183500000002E-3</v>
      </c>
      <c r="I54" s="401">
        <f t="shared" si="10"/>
        <v>0</v>
      </c>
      <c r="J54" s="401">
        <f t="shared" si="18"/>
        <v>0.505</v>
      </c>
      <c r="K54" s="401">
        <f t="shared" si="19"/>
        <v>0.93600000000000005</v>
      </c>
      <c r="L54" s="401">
        <f t="shared" si="20"/>
        <v>0.57799999999999996</v>
      </c>
      <c r="M54" s="401">
        <f t="shared" si="21"/>
        <v>0.157</v>
      </c>
      <c r="N54" s="401">
        <f t="shared" si="22"/>
        <v>0.14799999999999999</v>
      </c>
      <c r="O54" s="401">
        <f t="shared" si="11"/>
        <v>3.7199264498008103E-2</v>
      </c>
      <c r="P54" s="401">
        <f t="shared" si="12"/>
        <v>1.5344547688734331</v>
      </c>
      <c r="Q54" s="401">
        <f t="shared" si="13"/>
        <v>0.28901814495865702</v>
      </c>
      <c r="R54" s="401">
        <f t="shared" si="14"/>
        <v>-1.1666912794519793</v>
      </c>
      <c r="S54" s="401">
        <f t="shared" si="15"/>
        <v>-0.43490921419350353</v>
      </c>
      <c r="T54" s="401">
        <f t="shared" si="16"/>
        <v>-0.26238415305722107</v>
      </c>
      <c r="U54" s="331">
        <v>1.7000000000000001E-2</v>
      </c>
      <c r="V54" s="332">
        <f t="shared" si="8"/>
        <v>1.3267363796855705E-2</v>
      </c>
      <c r="W54" s="330">
        <v>1.3100000000000001E-2</v>
      </c>
      <c r="X54" s="332">
        <f t="shared" si="9"/>
        <v>1.9961551465865996E-2</v>
      </c>
      <c r="Y54" s="332">
        <f t="shared" si="17"/>
        <v>1.9961551465865996E-2</v>
      </c>
      <c r="Z54" s="330"/>
    </row>
    <row r="55" spans="1:26" s="355" customFormat="1" x14ac:dyDescent="0.25">
      <c r="A55" s="355" t="s">
        <v>563</v>
      </c>
      <c r="B55" s="355" t="s">
        <v>644</v>
      </c>
      <c r="C55" s="345">
        <f>'Historical Data'!B239</f>
        <v>1.6300661071281253E-2</v>
      </c>
      <c r="D55" s="401">
        <f>'Historical Data'!E72</f>
        <v>7.4</v>
      </c>
      <c r="E55" s="355">
        <v>0.5</v>
      </c>
      <c r="F55" s="401">
        <f t="shared" si="1"/>
        <v>-0.5</v>
      </c>
      <c r="G55" s="401">
        <f>'Historical Data'!H104</f>
        <v>1.7</v>
      </c>
      <c r="H55" s="321">
        <v>1.0745865269999998E-2</v>
      </c>
      <c r="I55" s="401">
        <f t="shared" si="10"/>
        <v>0</v>
      </c>
      <c r="J55" s="401">
        <f t="shared" si="18"/>
        <v>0.38900000000000001</v>
      </c>
      <c r="K55" s="401">
        <f t="shared" si="19"/>
        <v>0.78900000000000003</v>
      </c>
      <c r="L55" s="401">
        <f t="shared" si="20"/>
        <v>0.57799999999999996</v>
      </c>
      <c r="M55" s="401">
        <f t="shared" si="21"/>
        <v>0.21</v>
      </c>
      <c r="N55" s="401">
        <f t="shared" si="22"/>
        <v>0.14799999999999999</v>
      </c>
      <c r="O55" s="401">
        <f t="shared" si="11"/>
        <v>-0.36469867154909075</v>
      </c>
      <c r="P55" s="401">
        <f t="shared" si="12"/>
        <v>1.0326768590520476</v>
      </c>
      <c r="Q55" s="401">
        <f t="shared" si="13"/>
        <v>0.28901814495865702</v>
      </c>
      <c r="R55" s="401">
        <f t="shared" si="14"/>
        <v>-0.98365165735243365</v>
      </c>
      <c r="S55" s="401">
        <f t="shared" si="15"/>
        <v>-0.43490921419350353</v>
      </c>
      <c r="T55" s="401">
        <f t="shared" si="16"/>
        <v>-0.43504116149338723</v>
      </c>
      <c r="U55" s="331">
        <v>1.7000000000000001E-2</v>
      </c>
      <c r="V55" s="332">
        <f t="shared" si="8"/>
        <v>1.628267571536858E-2</v>
      </c>
      <c r="W55" s="330">
        <v>1.3299999999999999E-2</v>
      </c>
      <c r="X55" s="332">
        <f t="shared" si="9"/>
        <v>1.8060071082375655E-2</v>
      </c>
      <c r="Y55" s="332">
        <f t="shared" si="17"/>
        <v>1.8060071082375655E-2</v>
      </c>
      <c r="Z55" s="330"/>
    </row>
    <row r="56" spans="1:26" s="355" customFormat="1" x14ac:dyDescent="0.25">
      <c r="A56" s="355" t="s">
        <v>563</v>
      </c>
      <c r="B56" s="355" t="s">
        <v>645</v>
      </c>
      <c r="C56" s="345">
        <f>'Historical Data'!B240</f>
        <v>1.6310967886887129E-2</v>
      </c>
      <c r="D56" s="401">
        <f>'Historical Data'!E73</f>
        <v>7.5</v>
      </c>
      <c r="E56" s="355">
        <v>0.5</v>
      </c>
      <c r="F56" s="401">
        <f t="shared" si="1"/>
        <v>9.9999999999999645E-2</v>
      </c>
      <c r="G56" s="401">
        <f>'Historical Data'!H105</f>
        <v>1.9</v>
      </c>
      <c r="H56" s="321">
        <v>1.6475956359999998E-2</v>
      </c>
      <c r="I56" s="401">
        <f t="shared" si="10"/>
        <v>0</v>
      </c>
      <c r="J56" s="401">
        <f t="shared" si="18"/>
        <v>0.4</v>
      </c>
      <c r="K56" s="401">
        <f t="shared" si="19"/>
        <v>0.81</v>
      </c>
      <c r="L56" s="401">
        <f t="shared" si="20"/>
        <v>0.65200000000000002</v>
      </c>
      <c r="M56" s="401">
        <f t="shared" si="21"/>
        <v>0.28399999999999997</v>
      </c>
      <c r="N56" s="401">
        <f t="shared" si="22"/>
        <v>0.14799999999999999</v>
      </c>
      <c r="O56" s="401">
        <f t="shared" si="11"/>
        <v>-0.32658766037221065</v>
      </c>
      <c r="P56" s="401">
        <f t="shared" si="12"/>
        <v>1.1043594175979599</v>
      </c>
      <c r="Q56" s="401">
        <f t="shared" si="13"/>
        <v>0.54140719250460723</v>
      </c>
      <c r="R56" s="401">
        <f t="shared" si="14"/>
        <v>-0.72808690196816261</v>
      </c>
      <c r="S56" s="401">
        <f t="shared" si="15"/>
        <v>-0.43490921419350353</v>
      </c>
      <c r="T56" s="401">
        <f t="shared" si="16"/>
        <v>-0.36854743034882831</v>
      </c>
      <c r="U56" s="331">
        <v>1.7000000000000001E-2</v>
      </c>
      <c r="V56" s="332">
        <f t="shared" si="8"/>
        <v>1.5058234575107679E-2</v>
      </c>
      <c r="W56" s="330">
        <v>1.2200000000000001E-2</v>
      </c>
      <c r="X56" s="332">
        <f t="shared" si="9"/>
        <v>1.4869424695777322E-2</v>
      </c>
      <c r="Y56" s="332">
        <f t="shared" si="17"/>
        <v>1.4869424695777322E-2</v>
      </c>
      <c r="Z56" s="330"/>
    </row>
    <row r="57" spans="1:26" s="355" customFormat="1" x14ac:dyDescent="0.25">
      <c r="A57" s="355" t="s">
        <v>563</v>
      </c>
      <c r="B57" s="355" t="s">
        <v>646</v>
      </c>
      <c r="C57" s="345">
        <f>'Historical Data'!B241</f>
        <v>2.2564595453132608E-2</v>
      </c>
      <c r="D57" s="401">
        <f>'Historical Data'!E74</f>
        <v>7.5</v>
      </c>
      <c r="E57" s="355">
        <v>0.5</v>
      </c>
      <c r="F57" s="401">
        <f t="shared" si="1"/>
        <v>0</v>
      </c>
      <c r="G57" s="401">
        <f>'Historical Data'!H106</f>
        <v>2</v>
      </c>
      <c r="H57" s="321">
        <v>1.532113951E-2</v>
      </c>
      <c r="I57" s="401">
        <f t="shared" si="10"/>
        <v>0</v>
      </c>
      <c r="J57" s="401">
        <f t="shared" si="18"/>
        <v>0.61</v>
      </c>
      <c r="K57" s="401">
        <f t="shared" si="19"/>
        <v>0.81</v>
      </c>
      <c r="L57" s="401">
        <f t="shared" si="20"/>
        <v>0.68400000000000005</v>
      </c>
      <c r="M57" s="401">
        <f t="shared" si="21"/>
        <v>0.27300000000000002</v>
      </c>
      <c r="N57" s="401">
        <f t="shared" si="22"/>
        <v>0.14799999999999999</v>
      </c>
      <c r="O57" s="401">
        <f t="shared" si="11"/>
        <v>0.40098618936822689</v>
      </c>
      <c r="P57" s="401">
        <f t="shared" si="12"/>
        <v>1.1043594175979599</v>
      </c>
      <c r="Q57" s="401">
        <f t="shared" si="13"/>
        <v>0.65054840225420729</v>
      </c>
      <c r="R57" s="401">
        <f t="shared" si="14"/>
        <v>-0.76607625749825681</v>
      </c>
      <c r="S57" s="401">
        <f t="shared" si="15"/>
        <v>-0.43490921419350353</v>
      </c>
      <c r="T57" s="401">
        <f t="shared" si="16"/>
        <v>7.5112064917384841E-2</v>
      </c>
      <c r="U57" s="331">
        <v>1.7000000000000001E-2</v>
      </c>
      <c r="V57" s="332">
        <f t="shared" si="8"/>
        <v>8.7407966645563061E-3</v>
      </c>
      <c r="W57" s="330">
        <v>1.11E-2</v>
      </c>
      <c r="X57" s="332">
        <f t="shared" si="9"/>
        <v>1.3360568985010856E-2</v>
      </c>
      <c r="Y57" s="332">
        <f t="shared" si="17"/>
        <v>1.3360568985010856E-2</v>
      </c>
      <c r="Z57" s="330"/>
    </row>
    <row r="58" spans="1:26" s="355" customFormat="1" x14ac:dyDescent="0.25">
      <c r="A58" s="355" t="s">
        <v>563</v>
      </c>
      <c r="B58" s="355" t="s">
        <v>647</v>
      </c>
      <c r="C58" s="345">
        <f>'Historical Data'!B242</f>
        <v>1.983904866654318E-2</v>
      </c>
      <c r="D58" s="401">
        <f>'Historical Data'!E75</f>
        <v>7.6</v>
      </c>
      <c r="E58" s="355">
        <v>0.5</v>
      </c>
      <c r="F58" s="401">
        <f t="shared" si="1"/>
        <v>9.9999999999999645E-2</v>
      </c>
      <c r="G58" s="401">
        <f>'Historical Data'!H107</f>
        <v>2.2999999999999998</v>
      </c>
      <c r="H58" s="321">
        <v>3.407436405E-2</v>
      </c>
      <c r="I58" s="401">
        <f t="shared" si="10"/>
        <v>0</v>
      </c>
      <c r="J58" s="401">
        <f t="shared" si="18"/>
        <v>0.51500000000000001</v>
      </c>
      <c r="K58" s="401">
        <f t="shared" si="19"/>
        <v>0.85199999999999998</v>
      </c>
      <c r="L58" s="401">
        <f t="shared" si="20"/>
        <v>0.77800000000000002</v>
      </c>
      <c r="M58" s="401">
        <f t="shared" si="21"/>
        <v>0.38900000000000001</v>
      </c>
      <c r="N58" s="401">
        <f t="shared" si="22"/>
        <v>0.14799999999999999</v>
      </c>
      <c r="O58" s="401">
        <f t="shared" si="11"/>
        <v>7.1845638295171835E-2</v>
      </c>
      <c r="P58" s="401">
        <f t="shared" si="12"/>
        <v>1.2477245346897841</v>
      </c>
      <c r="Q58" s="401">
        <f t="shared" si="13"/>
        <v>0.97115070589365715</v>
      </c>
      <c r="R58" s="401">
        <f t="shared" si="14"/>
        <v>-0.36546123554453458</v>
      </c>
      <c r="S58" s="401">
        <f t="shared" si="15"/>
        <v>-0.43490921419350353</v>
      </c>
      <c r="T58" s="401">
        <f t="shared" si="16"/>
        <v>-6.4587044876313421E-2</v>
      </c>
      <c r="U58" s="331">
        <v>1.7000000000000001E-2</v>
      </c>
      <c r="V58" s="332">
        <f t="shared" si="8"/>
        <v>1.041733567354795E-2</v>
      </c>
      <c r="W58" s="330">
        <v>1.0999999999999999E-2</v>
      </c>
      <c r="X58" s="332">
        <f t="shared" si="9"/>
        <v>1.1405455637737311E-2</v>
      </c>
      <c r="Y58" s="332">
        <f t="shared" si="17"/>
        <v>1.1405455637737311E-2</v>
      </c>
      <c r="Z58" s="330"/>
    </row>
    <row r="59" spans="1:26" s="355" customFormat="1" x14ac:dyDescent="0.25">
      <c r="A59" s="355" t="s">
        <v>563</v>
      </c>
      <c r="B59" s="355" t="s">
        <v>648</v>
      </c>
      <c r="C59" s="345">
        <f>'Historical Data'!B243</f>
        <v>2.6832359376056658E-2</v>
      </c>
      <c r="D59" s="401">
        <f>'Historical Data'!E76</f>
        <v>6.9</v>
      </c>
      <c r="E59" s="355">
        <v>0.5</v>
      </c>
      <c r="F59" s="401">
        <f t="shared" si="1"/>
        <v>-0.69999999999999929</v>
      </c>
      <c r="G59" s="401">
        <f>'Historical Data'!H108</f>
        <v>1.7</v>
      </c>
      <c r="H59" s="321">
        <v>5.4060855339999998E-2</v>
      </c>
      <c r="I59" s="401">
        <f t="shared" si="10"/>
        <v>0</v>
      </c>
      <c r="J59" s="401">
        <f t="shared" si="18"/>
        <v>0.76800000000000002</v>
      </c>
      <c r="K59" s="401">
        <f t="shared" si="19"/>
        <v>0.76800000000000002</v>
      </c>
      <c r="L59" s="401">
        <f t="shared" si="20"/>
        <v>0.57799999999999996</v>
      </c>
      <c r="M59" s="401">
        <f t="shared" si="21"/>
        <v>0.55700000000000005</v>
      </c>
      <c r="N59" s="401">
        <f t="shared" si="22"/>
        <v>0.14799999999999999</v>
      </c>
      <c r="O59" s="401">
        <f t="shared" si="11"/>
        <v>0.94839889536341337</v>
      </c>
      <c r="P59" s="401">
        <f t="shared" si="12"/>
        <v>0.96099430050613532</v>
      </c>
      <c r="Q59" s="401">
        <f t="shared" si="13"/>
        <v>0.28901814495865702</v>
      </c>
      <c r="R59" s="401">
        <f t="shared" si="14"/>
        <v>0.21473983073327019</v>
      </c>
      <c r="S59" s="401">
        <f t="shared" si="15"/>
        <v>-0.43490921419350353</v>
      </c>
      <c r="T59" s="401">
        <f t="shared" si="16"/>
        <v>0.47982478331727679</v>
      </c>
      <c r="U59" s="331">
        <v>1.7000000000000001E-2</v>
      </c>
      <c r="V59" s="332">
        <f t="shared" si="8"/>
        <v>5.1434128216362694E-3</v>
      </c>
      <c r="W59" s="330">
        <v>1.09E-2</v>
      </c>
      <c r="X59" s="332">
        <f t="shared" si="9"/>
        <v>8.1005150532468418E-3</v>
      </c>
      <c r="Y59" s="332">
        <f t="shared" si="17"/>
        <v>8.1005150532468418E-3</v>
      </c>
      <c r="Z59" s="330"/>
    </row>
    <row r="60" spans="1:26" s="355" customFormat="1" x14ac:dyDescent="0.25">
      <c r="A60" s="355" t="s">
        <v>563</v>
      </c>
      <c r="B60" s="355" t="s">
        <v>649</v>
      </c>
      <c r="C60" s="345">
        <f>'Historical Data'!B244</f>
        <v>2.6979111128449862E-2</v>
      </c>
      <c r="D60" s="401">
        <f>'Historical Data'!E77</f>
        <v>6.5</v>
      </c>
      <c r="E60" s="355">
        <v>0.5</v>
      </c>
      <c r="F60" s="401">
        <f t="shared" si="1"/>
        <v>-0.40000000000000036</v>
      </c>
      <c r="G60" s="401">
        <f>'Historical Data'!H109</f>
        <v>1.2</v>
      </c>
      <c r="H60" s="321">
        <v>6.4354311309999995E-2</v>
      </c>
      <c r="I60" s="401">
        <f t="shared" si="10"/>
        <v>0</v>
      </c>
      <c r="J60" s="401">
        <f t="shared" si="18"/>
        <v>0.77800000000000002</v>
      </c>
      <c r="K60" s="401">
        <f t="shared" si="19"/>
        <v>0.75700000000000001</v>
      </c>
      <c r="L60" s="401">
        <f t="shared" si="20"/>
        <v>0.505</v>
      </c>
      <c r="M60" s="401">
        <f t="shared" si="21"/>
        <v>0.6</v>
      </c>
      <c r="N60" s="401">
        <f t="shared" si="22"/>
        <v>0.14799999999999999</v>
      </c>
      <c r="O60" s="401">
        <f t="shared" si="11"/>
        <v>0.98304526916057711</v>
      </c>
      <c r="P60" s="401">
        <f t="shared" si="12"/>
        <v>0.92344629364875275</v>
      </c>
      <c r="Q60" s="401">
        <f t="shared" si="13"/>
        <v>4.0039760217382252E-2</v>
      </c>
      <c r="R60" s="401">
        <f t="shared" si="14"/>
        <v>0.36324367507818422</v>
      </c>
      <c r="S60" s="401">
        <f t="shared" si="15"/>
        <v>-0.43490921419350353</v>
      </c>
      <c r="T60" s="401">
        <f t="shared" si="16"/>
        <v>0.49431995424167724</v>
      </c>
      <c r="U60" s="331">
        <v>1.7000000000000001E-2</v>
      </c>
      <c r="V60" s="332">
        <f t="shared" si="8"/>
        <v>5.0435816240683067E-3</v>
      </c>
      <c r="W60" s="330">
        <v>1.0200000000000001E-2</v>
      </c>
      <c r="X60" s="332">
        <f t="shared" si="9"/>
        <v>6.8681100397508417E-3</v>
      </c>
      <c r="Y60" s="332">
        <f t="shared" si="17"/>
        <v>6.8681100397508417E-3</v>
      </c>
      <c r="Z60" s="330"/>
    </row>
    <row r="61" spans="1:26" s="355" customFormat="1" x14ac:dyDescent="0.25">
      <c r="A61" s="355" t="s">
        <v>563</v>
      </c>
      <c r="B61" s="355" t="s">
        <v>650</v>
      </c>
      <c r="C61" s="345">
        <f>'Historical Data'!B245</f>
        <v>2.8202049294302034E-2</v>
      </c>
      <c r="D61" s="401">
        <f>'Historical Data'!E78</f>
        <v>6</v>
      </c>
      <c r="E61" s="355">
        <v>0.5</v>
      </c>
      <c r="F61" s="401">
        <f t="shared" si="1"/>
        <v>-0.5</v>
      </c>
      <c r="G61" s="401">
        <f>'Historical Data'!H110</f>
        <v>1</v>
      </c>
      <c r="H61" s="321">
        <v>8.3536590339999994E-2</v>
      </c>
      <c r="I61" s="401">
        <f t="shared" si="10"/>
        <v>0</v>
      </c>
      <c r="J61" s="401">
        <f t="shared" si="18"/>
        <v>0.81</v>
      </c>
      <c r="K61" s="401">
        <f t="shared" si="19"/>
        <v>0.72599999999999998</v>
      </c>
      <c r="L61" s="401">
        <f t="shared" si="20"/>
        <v>0.46300000000000002</v>
      </c>
      <c r="M61" s="401">
        <f t="shared" si="21"/>
        <v>0.73599999999999999</v>
      </c>
      <c r="N61" s="401">
        <f t="shared" si="22"/>
        <v>0.14799999999999999</v>
      </c>
      <c r="O61" s="401">
        <f t="shared" si="11"/>
        <v>1.0939136653115011</v>
      </c>
      <c r="P61" s="401">
        <f t="shared" si="12"/>
        <v>0.81762918341431079</v>
      </c>
      <c r="Q61" s="401">
        <f t="shared" si="13"/>
        <v>-0.10320807757896766</v>
      </c>
      <c r="R61" s="401">
        <f t="shared" si="14"/>
        <v>0.83293025254116904</v>
      </c>
      <c r="S61" s="401">
        <f t="shared" si="15"/>
        <v>-0.43490921419350353</v>
      </c>
      <c r="T61" s="401">
        <f t="shared" si="16"/>
        <v>0.60406657692233923</v>
      </c>
      <c r="U61" s="331">
        <v>1.7000000000000001E-2</v>
      </c>
      <c r="V61" s="332">
        <f t="shared" si="8"/>
        <v>4.3420573766195687E-3</v>
      </c>
      <c r="W61" s="330">
        <v>8.9999999999999993E-3</v>
      </c>
      <c r="X61" s="332">
        <f t="shared" si="9"/>
        <v>4.8430172741080477E-3</v>
      </c>
      <c r="Y61" s="332">
        <f t="shared" si="17"/>
        <v>4.8430172741080477E-3</v>
      </c>
      <c r="Z61" s="330"/>
    </row>
    <row r="62" spans="1:26" s="355" customFormat="1" x14ac:dyDescent="0.25">
      <c r="A62" s="355" t="s">
        <v>563</v>
      </c>
      <c r="B62" s="355" t="s">
        <v>651</v>
      </c>
      <c r="C62" s="345">
        <f>'Historical Data'!B246</f>
        <v>2.4435455970477582E-2</v>
      </c>
      <c r="D62" s="401">
        <f>'Historical Data'!E79</f>
        <v>6.1</v>
      </c>
      <c r="E62" s="355">
        <v>0.5</v>
      </c>
      <c r="F62" s="401">
        <f t="shared" si="1"/>
        <v>9.9999999999999645E-2</v>
      </c>
      <c r="G62" s="401">
        <f>'Historical Data'!H111</f>
        <v>0.5</v>
      </c>
      <c r="H62" s="321">
        <v>9.1087032380000002E-2</v>
      </c>
      <c r="I62" s="401">
        <f t="shared" si="10"/>
        <v>0</v>
      </c>
      <c r="J62" s="401">
        <f t="shared" si="18"/>
        <v>0.70499999999999996</v>
      </c>
      <c r="K62" s="401">
        <f t="shared" si="19"/>
        <v>0.747</v>
      </c>
      <c r="L62" s="401">
        <f t="shared" si="20"/>
        <v>0.41</v>
      </c>
      <c r="M62" s="401">
        <f t="shared" si="21"/>
        <v>0.77800000000000002</v>
      </c>
      <c r="N62" s="401">
        <f t="shared" si="22"/>
        <v>0.14799999999999999</v>
      </c>
      <c r="O62" s="401">
        <f t="shared" si="11"/>
        <v>0.7301267404412819</v>
      </c>
      <c r="P62" s="401">
        <f t="shared" si="12"/>
        <v>0.889311741960223</v>
      </c>
      <c r="Q62" s="401">
        <f t="shared" si="13"/>
        <v>-0.28397320622674277</v>
      </c>
      <c r="R62" s="401">
        <f t="shared" si="14"/>
        <v>0.97798051911062034</v>
      </c>
      <c r="S62" s="401">
        <f t="shared" si="15"/>
        <v>-0.43490921419350353</v>
      </c>
      <c r="T62" s="401">
        <f t="shared" si="16"/>
        <v>0.37505467993778424</v>
      </c>
      <c r="U62" s="331">
        <v>1.7000000000000001E-2</v>
      </c>
      <c r="V62" s="332">
        <f t="shared" si="8"/>
        <v>5.9188044914817231E-3</v>
      </c>
      <c r="W62" s="330">
        <v>9.7000000000000003E-3</v>
      </c>
      <c r="X62" s="332">
        <f t="shared" si="9"/>
        <v>5.1014811640565328E-3</v>
      </c>
      <c r="Y62" s="332">
        <f t="shared" si="17"/>
        <v>5.1014811640565328E-3</v>
      </c>
      <c r="Z62" s="330"/>
    </row>
    <row r="63" spans="1:26" s="355" customFormat="1" x14ac:dyDescent="0.25">
      <c r="A63" s="355" t="s">
        <v>563</v>
      </c>
      <c r="B63" s="355" t="s">
        <v>652</v>
      </c>
      <c r="C63" s="345">
        <f>'Historical Data'!B247</f>
        <v>2.4724901219356665E-2</v>
      </c>
      <c r="D63" s="401">
        <f>'Historical Data'!E80</f>
        <v>5.4</v>
      </c>
      <c r="E63" s="355">
        <v>0.5</v>
      </c>
      <c r="F63" s="401">
        <f t="shared" si="1"/>
        <v>-0.69999999999999929</v>
      </c>
      <c r="G63" s="401">
        <f>'Historical Data'!H112</f>
        <v>-0.3</v>
      </c>
      <c r="H63" s="321">
        <v>7.6971567719999995E-2</v>
      </c>
      <c r="I63" s="401">
        <f t="shared" si="10"/>
        <v>0</v>
      </c>
      <c r="J63" s="401">
        <f t="shared" si="18"/>
        <v>0.72599999999999998</v>
      </c>
      <c r="K63" s="401">
        <f t="shared" si="19"/>
        <v>0.69399999999999995</v>
      </c>
      <c r="L63" s="401">
        <f t="shared" si="20"/>
        <v>0.252</v>
      </c>
      <c r="M63" s="401">
        <f t="shared" si="21"/>
        <v>0.68400000000000005</v>
      </c>
      <c r="N63" s="401">
        <f t="shared" si="22"/>
        <v>0.14799999999999999</v>
      </c>
      <c r="O63" s="401">
        <f t="shared" si="11"/>
        <v>0.80288412541532572</v>
      </c>
      <c r="P63" s="401">
        <f t="shared" si="12"/>
        <v>0.70839861801101589</v>
      </c>
      <c r="Q63" s="401">
        <f t="shared" si="13"/>
        <v>-0.82285792936539259</v>
      </c>
      <c r="R63" s="401">
        <f t="shared" si="14"/>
        <v>0.65334420821708683</v>
      </c>
      <c r="S63" s="401">
        <f t="shared" si="15"/>
        <v>-0.43490921419350353</v>
      </c>
      <c r="T63" s="401">
        <f t="shared" si="16"/>
        <v>0.35044831991391295</v>
      </c>
      <c r="U63" s="331">
        <v>1.7000000000000001E-2</v>
      </c>
      <c r="V63" s="332">
        <f t="shared" si="8"/>
        <v>6.1153028322746619E-3</v>
      </c>
      <c r="W63" s="330">
        <v>1.11E-2</v>
      </c>
      <c r="X63" s="332">
        <f t="shared" si="9"/>
        <v>5.4587215667919846E-3</v>
      </c>
      <c r="Y63" s="332">
        <f t="shared" si="17"/>
        <v>5.4587215667919846E-3</v>
      </c>
      <c r="Z63" s="330"/>
    </row>
    <row r="64" spans="1:26" s="355" customFormat="1" x14ac:dyDescent="0.25">
      <c r="A64" s="355" t="s">
        <v>563</v>
      </c>
      <c r="B64" s="355" t="s">
        <v>653</v>
      </c>
      <c r="C64" s="345">
        <f>'Historical Data'!B248</f>
        <v>2.3379101050561069E-2</v>
      </c>
      <c r="D64" s="401">
        <f>'Historical Data'!E81</f>
        <v>5.3</v>
      </c>
      <c r="E64" s="355">
        <v>0.5</v>
      </c>
      <c r="F64" s="401">
        <f t="shared" si="1"/>
        <v>-0.10000000000000053</v>
      </c>
      <c r="G64" s="401">
        <f>'Historical Data'!H113</f>
        <v>-1.8</v>
      </c>
      <c r="H64" s="321">
        <v>6.6840959829999991E-2</v>
      </c>
      <c r="I64" s="401">
        <f t="shared" si="10"/>
        <v>0</v>
      </c>
      <c r="J64" s="401">
        <f t="shared" si="18"/>
        <v>0.63100000000000001</v>
      </c>
      <c r="K64" s="401">
        <f t="shared" si="19"/>
        <v>0.65200000000000002</v>
      </c>
      <c r="L64" s="401">
        <f t="shared" si="20"/>
        <v>3.1E-2</v>
      </c>
      <c r="M64" s="401">
        <f t="shared" si="21"/>
        <v>0.621</v>
      </c>
      <c r="N64" s="401">
        <f t="shared" si="22"/>
        <v>0.14799999999999999</v>
      </c>
      <c r="O64" s="401">
        <f t="shared" si="11"/>
        <v>0.47374357434227071</v>
      </c>
      <c r="P64" s="401">
        <f t="shared" si="12"/>
        <v>0.5650335009191918</v>
      </c>
      <c r="Q64" s="401">
        <f t="shared" si="13"/>
        <v>-1.5766144091985674</v>
      </c>
      <c r="R64" s="401">
        <f t="shared" si="14"/>
        <v>0.43576880836290988</v>
      </c>
      <c r="S64" s="401">
        <f t="shared" si="15"/>
        <v>-0.43490921419350353</v>
      </c>
      <c r="T64" s="401">
        <f t="shared" si="16"/>
        <v>7.0167313010527116E-2</v>
      </c>
      <c r="U64" s="331">
        <v>1.7000000000000001E-2</v>
      </c>
      <c r="V64" s="332">
        <f t="shared" si="8"/>
        <v>8.7958354975393536E-3</v>
      </c>
      <c r="W64" s="330">
        <v>1.0999999999999999E-2</v>
      </c>
      <c r="X64" s="332">
        <f t="shared" si="9"/>
        <v>6.9433142737652456E-3</v>
      </c>
      <c r="Y64" s="332">
        <f t="shared" si="17"/>
        <v>6.9433142737652456E-3</v>
      </c>
      <c r="Z64" s="330"/>
    </row>
    <row r="65" spans="1:58" x14ac:dyDescent="0.25">
      <c r="A65" s="355" t="s">
        <v>563</v>
      </c>
      <c r="B65" s="355" t="s">
        <v>654</v>
      </c>
      <c r="C65" s="345">
        <f>'Historical Data'!B249</f>
        <v>2.3962729767752933E-2</v>
      </c>
      <c r="D65" s="401">
        <f>'Historical Data'!E82</f>
        <v>5.3</v>
      </c>
      <c r="E65" s="355">
        <v>0.5</v>
      </c>
      <c r="F65" s="401">
        <f t="shared" si="1"/>
        <v>0</v>
      </c>
      <c r="G65" s="401">
        <f>'Historical Data'!H114</f>
        <v>-1.9</v>
      </c>
      <c r="H65" s="321">
        <v>5.1983691959999995E-2</v>
      </c>
      <c r="I65" s="401">
        <f t="shared" si="10"/>
        <v>0</v>
      </c>
      <c r="J65" s="401">
        <f t="shared" si="18"/>
        <v>0.66300000000000003</v>
      </c>
      <c r="K65" s="401">
        <f t="shared" si="19"/>
        <v>0.65200000000000002</v>
      </c>
      <c r="L65" s="401">
        <f t="shared" si="20"/>
        <v>2.1000000000000001E-2</v>
      </c>
      <c r="M65" s="401">
        <f t="shared" si="21"/>
        <v>0.53600000000000003</v>
      </c>
      <c r="N65" s="401">
        <f t="shared" si="22"/>
        <v>0.14799999999999999</v>
      </c>
      <c r="O65" s="401">
        <f t="shared" si="11"/>
        <v>0.58461197049319469</v>
      </c>
      <c r="P65" s="401">
        <f t="shared" si="12"/>
        <v>0.5650335009191918</v>
      </c>
      <c r="Q65" s="401">
        <f t="shared" si="13"/>
        <v>-1.6107210372453173</v>
      </c>
      <c r="R65" s="401">
        <f t="shared" si="14"/>
        <v>0.14221469744854456</v>
      </c>
      <c r="S65" s="401">
        <f t="shared" si="15"/>
        <v>-0.43490921419350353</v>
      </c>
      <c r="T65" s="401">
        <f t="shared" si="16"/>
        <v>0.10392227680496997</v>
      </c>
      <c r="U65" s="331">
        <v>1.7000000000000001E-2</v>
      </c>
      <c r="V65" s="332">
        <f t="shared" si="8"/>
        <v>8.4260830562847815E-3</v>
      </c>
      <c r="W65" s="330">
        <v>1.1900000000000001E-2</v>
      </c>
      <c r="X65" s="332">
        <f t="shared" si="9"/>
        <v>7.779073795366266E-3</v>
      </c>
      <c r="Y65" s="332">
        <f t="shared" si="17"/>
        <v>7.779073795366266E-3</v>
      </c>
      <c r="Z65" s="330"/>
      <c r="AK65" s="355"/>
      <c r="AL65" s="355"/>
      <c r="AM65" s="355"/>
      <c r="AN65" s="355"/>
      <c r="AO65" s="355"/>
    </row>
    <row r="66" spans="1:58" x14ac:dyDescent="0.25">
      <c r="A66" s="355" t="s">
        <v>563</v>
      </c>
      <c r="B66" s="355" t="s">
        <v>655</v>
      </c>
      <c r="C66" s="345">
        <f>'Historical Data'!B250</f>
        <v>2.2476735265668291E-2</v>
      </c>
      <c r="D66" s="401">
        <f>'Historical Data'!E83</f>
        <v>5.3</v>
      </c>
      <c r="E66" s="355">
        <v>0.5</v>
      </c>
      <c r="F66" s="401">
        <f t="shared" si="1"/>
        <v>0</v>
      </c>
      <c r="G66" s="401">
        <f>'Historical Data'!H115</f>
        <v>-2.1</v>
      </c>
      <c r="H66" s="321">
        <v>5.3350561240000004E-2</v>
      </c>
      <c r="I66" s="401">
        <f t="shared" si="10"/>
        <v>0</v>
      </c>
      <c r="J66" s="401">
        <f t="shared" si="18"/>
        <v>0.6</v>
      </c>
      <c r="K66" s="401">
        <f t="shared" si="19"/>
        <v>0.65200000000000002</v>
      </c>
      <c r="L66" s="401">
        <f t="shared" si="20"/>
        <v>0</v>
      </c>
      <c r="M66" s="401">
        <f t="shared" si="21"/>
        <v>0.54700000000000004</v>
      </c>
      <c r="N66" s="401">
        <f t="shared" si="22"/>
        <v>0.14799999999999999</v>
      </c>
      <c r="O66" s="401">
        <f t="shared" si="11"/>
        <v>0.36633981557106315</v>
      </c>
      <c r="P66" s="401">
        <f t="shared" si="12"/>
        <v>0.5650335009191918</v>
      </c>
      <c r="Q66" s="401">
        <f t="shared" si="13"/>
        <v>-1.6823449561434924</v>
      </c>
      <c r="R66" s="401">
        <f t="shared" si="14"/>
        <v>0.18020405297863895</v>
      </c>
      <c r="S66" s="401">
        <f t="shared" si="15"/>
        <v>-0.43490921419350353</v>
      </c>
      <c r="T66" s="401">
        <f t="shared" si="16"/>
        <v>-3.040447248511699E-2</v>
      </c>
      <c r="U66" s="331">
        <v>1.7000000000000001E-2</v>
      </c>
      <c r="V66" s="332">
        <f t="shared" si="8"/>
        <v>9.9831015775026285E-3</v>
      </c>
      <c r="W66" s="330">
        <v>1.2699999999999999E-2</v>
      </c>
      <c r="X66" s="332">
        <f t="shared" si="9"/>
        <v>9.0683400437755884E-3</v>
      </c>
      <c r="Y66" s="332">
        <f t="shared" si="17"/>
        <v>9.0683400437755884E-3</v>
      </c>
      <c r="Z66" s="330"/>
      <c r="AK66" s="355"/>
      <c r="AL66" s="355"/>
      <c r="AM66" s="355"/>
      <c r="AN66" s="355"/>
      <c r="AO66" s="355"/>
    </row>
    <row r="67" spans="1:58" x14ac:dyDescent="0.25">
      <c r="A67" s="355" t="s">
        <v>563</v>
      </c>
      <c r="B67" s="355" t="s">
        <v>656</v>
      </c>
      <c r="C67" s="345">
        <f>'Historical Data'!B251</f>
        <v>2.438953602872429E-2</v>
      </c>
      <c r="D67" s="401">
        <f>'Historical Data'!E84</f>
        <v>4.7</v>
      </c>
      <c r="E67" s="355">
        <v>0.5</v>
      </c>
      <c r="F67" s="401">
        <f t="shared" si="1"/>
        <v>-0.59999999999999964</v>
      </c>
      <c r="G67" s="401">
        <f>'Historical Data'!H116</f>
        <v>-2.1</v>
      </c>
      <c r="H67" s="321">
        <v>6.9134372730000004E-2</v>
      </c>
      <c r="I67" s="401">
        <f t="shared" si="10"/>
        <v>0</v>
      </c>
      <c r="J67" s="401">
        <f t="shared" si="18"/>
        <v>0.69399999999999995</v>
      </c>
      <c r="K67" s="401">
        <f t="shared" si="19"/>
        <v>0.33600000000000002</v>
      </c>
      <c r="L67" s="401">
        <f t="shared" si="20"/>
        <v>0</v>
      </c>
      <c r="M67" s="401">
        <f t="shared" si="21"/>
        <v>0.63100000000000001</v>
      </c>
      <c r="N67" s="401">
        <f t="shared" si="22"/>
        <v>0.14799999999999999</v>
      </c>
      <c r="O67" s="401">
        <f t="shared" si="11"/>
        <v>0.6920157292644018</v>
      </c>
      <c r="P67" s="401">
        <f t="shared" si="12"/>
        <v>-0.51361833243834432</v>
      </c>
      <c r="Q67" s="401">
        <f t="shared" si="13"/>
        <v>-1.6823449561434924</v>
      </c>
      <c r="R67" s="401">
        <f t="shared" si="14"/>
        <v>0.47030458611754117</v>
      </c>
      <c r="S67" s="401">
        <f t="shared" si="15"/>
        <v>-0.43490921419350353</v>
      </c>
      <c r="T67" s="401">
        <f t="shared" si="16"/>
        <v>0.30187631238053003</v>
      </c>
      <c r="U67" s="331">
        <v>1.7000000000000001E-2</v>
      </c>
      <c r="V67" s="332">
        <f t="shared" si="8"/>
        <v>6.5202195881790314E-3</v>
      </c>
      <c r="W67" s="330">
        <v>1.32E-2</v>
      </c>
      <c r="X67" s="332">
        <f t="shared" si="9"/>
        <v>8.3098014073221468E-3</v>
      </c>
      <c r="Y67" s="332">
        <f t="shared" si="17"/>
        <v>8.3098014073221468E-3</v>
      </c>
      <c r="Z67" s="330"/>
      <c r="AK67" s="355"/>
      <c r="AL67" s="355"/>
      <c r="AM67" s="355"/>
      <c r="AN67" s="355"/>
      <c r="AO67" s="355"/>
    </row>
    <row r="68" spans="1:58" x14ac:dyDescent="0.25">
      <c r="A68" s="355" t="s">
        <v>563</v>
      </c>
      <c r="B68" s="355" t="s">
        <v>657</v>
      </c>
      <c r="C68" s="345">
        <f>'Historical Data'!B252</f>
        <v>2.0716819269157805E-2</v>
      </c>
      <c r="D68" s="401">
        <f>'Historical Data'!E85</f>
        <v>4.9000000000000004</v>
      </c>
      <c r="E68" s="355">
        <v>0.5</v>
      </c>
      <c r="F68" s="401">
        <f t="shared" si="1"/>
        <v>0.20000000000000018</v>
      </c>
      <c r="G68" s="401">
        <f>'Historical Data'!H117</f>
        <v>-1.6</v>
      </c>
      <c r="H68" s="321">
        <v>8.4212869080000002E-2</v>
      </c>
      <c r="I68" s="401">
        <f t="shared" si="10"/>
        <v>0</v>
      </c>
      <c r="J68" s="401">
        <f t="shared" si="18"/>
        <v>0.54700000000000004</v>
      </c>
      <c r="K68" s="401">
        <f t="shared" si="19"/>
        <v>0.48399999999999999</v>
      </c>
      <c r="L68" s="401">
        <f t="shared" si="20"/>
        <v>5.1999999999999998E-2</v>
      </c>
      <c r="M68" s="401">
        <f t="shared" si="21"/>
        <v>0.747</v>
      </c>
      <c r="N68" s="401">
        <f t="shared" si="22"/>
        <v>0.14799999999999999</v>
      </c>
      <c r="O68" s="401">
        <f t="shared" si="11"/>
        <v>0.18271403444609577</v>
      </c>
      <c r="P68" s="401">
        <f t="shared" si="12"/>
        <v>-8.4269674481060059E-3</v>
      </c>
      <c r="Q68" s="401">
        <f t="shared" si="13"/>
        <v>-1.5049904903003926</v>
      </c>
      <c r="R68" s="401">
        <f t="shared" si="14"/>
        <v>0.87091960807126334</v>
      </c>
      <c r="S68" s="401">
        <f t="shared" si="15"/>
        <v>-0.43490921419350353</v>
      </c>
      <c r="T68" s="401">
        <f t="shared" si="16"/>
        <v>3.5731077702047809E-3</v>
      </c>
      <c r="U68" s="331">
        <v>1.7000000000000001E-2</v>
      </c>
      <c r="V68" s="332">
        <f t="shared" si="8"/>
        <v>9.5672144613127737E-3</v>
      </c>
      <c r="W68" s="330">
        <v>1.6299999999999999E-2</v>
      </c>
      <c r="X68" s="332">
        <f t="shared" si="9"/>
        <v>8.6901785423314781E-3</v>
      </c>
      <c r="Y68" s="332">
        <f t="shared" si="17"/>
        <v>8.6901785423314781E-3</v>
      </c>
      <c r="Z68" s="330"/>
      <c r="AK68" s="355"/>
      <c r="AL68" s="355"/>
      <c r="AM68" s="355"/>
      <c r="AN68" s="355"/>
      <c r="AO68" s="355"/>
    </row>
    <row r="69" spans="1:58" x14ac:dyDescent="0.25">
      <c r="A69" s="355" t="s">
        <v>563</v>
      </c>
      <c r="B69" s="355" t="s">
        <v>658</v>
      </c>
      <c r="C69" s="345">
        <f>'Historical Data'!B253</f>
        <v>1.8868581303826071E-2</v>
      </c>
      <c r="D69" s="401">
        <f>'Historical Data'!E86</f>
        <v>4.7</v>
      </c>
      <c r="E69" s="355">
        <v>0.5</v>
      </c>
      <c r="F69" s="401">
        <f t="shared" ref="F69:F91" si="23">D69-D68</f>
        <v>-0.20000000000000018</v>
      </c>
      <c r="G69" s="401">
        <f>'Historical Data'!H118</f>
        <v>-1.7</v>
      </c>
      <c r="H69" s="321">
        <v>8.1726987870000004E-2</v>
      </c>
      <c r="I69" s="401">
        <f t="shared" si="10"/>
        <v>0</v>
      </c>
      <c r="J69" s="401">
        <f t="shared" ref="J69:J100" si="24">PERCENTRANK($C$4:$C$99,C69)</f>
        <v>0.46300000000000002</v>
      </c>
      <c r="K69" s="401">
        <f t="shared" ref="K69:K100" si="25">PERCENTRANK($D$2:$D$99,D69)</f>
        <v>0.33600000000000002</v>
      </c>
      <c r="L69" s="401">
        <f t="shared" ref="L69:L100" si="26">PERCENTRANK($G$4:$G$99,G69)</f>
        <v>4.2000000000000003E-2</v>
      </c>
      <c r="M69" s="401">
        <f t="shared" ref="M69:M100" si="27">PERCENTRANK($H$4:$H$99,H69)</f>
        <v>0.71499999999999997</v>
      </c>
      <c r="N69" s="401">
        <f t="shared" ref="N69:N100" si="28">PERCENTRANK($I$4:$I$99,I69)</f>
        <v>0.14799999999999999</v>
      </c>
      <c r="O69" s="401">
        <f t="shared" si="11"/>
        <v>-0.10831550545007937</v>
      </c>
      <c r="P69" s="401">
        <f t="shared" si="12"/>
        <v>-0.51361833243834432</v>
      </c>
      <c r="Q69" s="401">
        <f t="shared" si="13"/>
        <v>-1.5390971183471425</v>
      </c>
      <c r="R69" s="401">
        <f t="shared" si="14"/>
        <v>0.76040511925644338</v>
      </c>
      <c r="S69" s="401">
        <f t="shared" si="15"/>
        <v>-0.43490921419350353</v>
      </c>
      <c r="T69" s="401">
        <f t="shared" si="16"/>
        <v>-0.13498759135463342</v>
      </c>
      <c r="U69" s="331">
        <v>1.7000000000000001E-2</v>
      </c>
      <c r="V69" s="332">
        <f t="shared" ref="V69:V86" si="29">NORMSDIST((_xlfn.NORM.S.INV(U69)-(SQRT($AF$11)*T69))/SQRT(1-$AF$11))</f>
        <v>1.1363796401545117E-2</v>
      </c>
      <c r="W69" s="330">
        <v>1.77E-2</v>
      </c>
      <c r="X69" s="332">
        <f t="shared" ref="X69:X79" si="30">Y69</f>
        <v>9.1504101503456416E-3</v>
      </c>
      <c r="Y69" s="332">
        <f t="shared" si="17"/>
        <v>9.1504101503456416E-3</v>
      </c>
      <c r="Z69" s="330"/>
      <c r="AK69" s="355"/>
      <c r="AL69" s="355"/>
      <c r="AM69" s="355"/>
      <c r="AN69" s="355"/>
      <c r="AO69" s="355"/>
    </row>
    <row r="70" spans="1:58" x14ac:dyDescent="0.25">
      <c r="A70" s="355" t="s">
        <v>563</v>
      </c>
      <c r="B70" s="355" t="s">
        <v>659</v>
      </c>
      <c r="C70" s="345">
        <f>'Historical Data'!B254</f>
        <v>1.9079347085903864E-2</v>
      </c>
      <c r="D70" s="401">
        <f>'Historical Data'!E87</f>
        <v>4.9000000000000004</v>
      </c>
      <c r="E70" s="355">
        <v>0.25</v>
      </c>
      <c r="F70" s="401">
        <f t="shared" si="23"/>
        <v>0.20000000000000018</v>
      </c>
      <c r="G70" s="401">
        <f>'Historical Data'!H119</f>
        <v>-1.1000000000000001</v>
      </c>
      <c r="H70" s="321">
        <v>6.1404145200000003E-2</v>
      </c>
      <c r="I70" s="401">
        <f t="shared" ref="I70:I91" si="31">E70-E69</f>
        <v>-0.25</v>
      </c>
      <c r="J70" s="401">
        <f t="shared" si="24"/>
        <v>0.47299999999999998</v>
      </c>
      <c r="K70" s="401">
        <f t="shared" si="25"/>
        <v>0.48399999999999999</v>
      </c>
      <c r="L70" s="401">
        <f t="shared" si="26"/>
        <v>8.4000000000000005E-2</v>
      </c>
      <c r="M70" s="401">
        <f t="shared" si="27"/>
        <v>0.57799999999999996</v>
      </c>
      <c r="N70" s="401">
        <f t="shared" si="28"/>
        <v>7.3999999999999996E-2</v>
      </c>
      <c r="O70" s="401">
        <f t="shared" ref="O70:O91" si="32">(J70-AB$4)/AB$5</f>
        <v>-7.3669131652915831E-2</v>
      </c>
      <c r="P70" s="401">
        <f t="shared" ref="P70:P91" si="33">(K70-AC$4)/AC$5</f>
        <v>-8.4269674481060059E-3</v>
      </c>
      <c r="Q70" s="401">
        <f t="shared" ref="Q70:Q91" si="34">(L70-AD$4)/AD$5</f>
        <v>-1.3958492805507925</v>
      </c>
      <c r="R70" s="401">
        <f t="shared" ref="R70:R91" si="35">(M70-AF$4)/AF$5</f>
        <v>0.28726496401799545</v>
      </c>
      <c r="S70" s="401">
        <f t="shared" ref="S70:S91" si="36">(N70-AE$4)/AE$5</f>
        <v>-0.67918947751887371</v>
      </c>
      <c r="T70" s="401">
        <f t="shared" ref="T70:T86" si="37">O70*$AB$8-P70*$AB$9+Q70*$AB$10+S70*$AB$11+R70*$AB$12</f>
        <v>-0.22213616165210595</v>
      </c>
      <c r="U70" s="331">
        <v>1.7000000000000001E-2</v>
      </c>
      <c r="V70" s="332">
        <f t="shared" si="29"/>
        <v>1.2638203631663422E-2</v>
      </c>
      <c r="W70" s="330">
        <v>1.6500000000000001E-2</v>
      </c>
      <c r="X70" s="332">
        <f t="shared" si="30"/>
        <v>1.1189738164840438E-2</v>
      </c>
      <c r="Y70" s="332">
        <f t="shared" si="17"/>
        <v>1.1189738164840438E-2</v>
      </c>
      <c r="Z70" s="330"/>
      <c r="AK70" s="355"/>
      <c r="AL70" s="355"/>
      <c r="AM70" s="355"/>
      <c r="AN70" s="355"/>
      <c r="AO70" s="355"/>
    </row>
    <row r="71" spans="1:58" x14ac:dyDescent="0.25">
      <c r="A71" s="355" t="s">
        <v>563</v>
      </c>
      <c r="B71" s="355" t="s">
        <v>660</v>
      </c>
      <c r="C71" s="345">
        <f>'Historical Data'!B255</f>
        <v>1.8089868540344556E-2</v>
      </c>
      <c r="D71" s="401">
        <f>'Historical Data'!E88</f>
        <v>4.5</v>
      </c>
      <c r="E71" s="355">
        <v>0.25</v>
      </c>
      <c r="F71" s="401">
        <f t="shared" si="23"/>
        <v>-0.40000000000000036</v>
      </c>
      <c r="G71" s="401">
        <f>'Historical Data'!H120</f>
        <v>0.2</v>
      </c>
      <c r="H71" s="321">
        <v>5.1627808809999995E-2</v>
      </c>
      <c r="I71" s="401">
        <f t="shared" si="31"/>
        <v>0</v>
      </c>
      <c r="J71" s="401">
        <f t="shared" si="24"/>
        <v>0.43099999999999999</v>
      </c>
      <c r="K71" s="401">
        <f t="shared" si="25"/>
        <v>0.26300000000000001</v>
      </c>
      <c r="L71" s="401">
        <f t="shared" si="26"/>
        <v>0.35699999999999998</v>
      </c>
      <c r="M71" s="401">
        <f t="shared" si="27"/>
        <v>0.52600000000000002</v>
      </c>
      <c r="N71" s="401">
        <f t="shared" si="28"/>
        <v>0.14799999999999999</v>
      </c>
      <c r="O71" s="401">
        <f t="shared" si="32"/>
        <v>-0.21918390160100332</v>
      </c>
      <c r="P71" s="401">
        <f t="shared" si="33"/>
        <v>-0.76280055976461059</v>
      </c>
      <c r="Q71" s="401">
        <f t="shared" si="34"/>
        <v>-0.46473833487451771</v>
      </c>
      <c r="R71" s="401">
        <f t="shared" si="35"/>
        <v>0.10767891969391329</v>
      </c>
      <c r="S71" s="401">
        <f t="shared" si="36"/>
        <v>-0.43490921419350353</v>
      </c>
      <c r="T71" s="401">
        <f t="shared" si="37"/>
        <v>-0.13442714792155172</v>
      </c>
      <c r="U71" s="331">
        <v>1.7000000000000001E-2</v>
      </c>
      <c r="V71" s="332">
        <f t="shared" si="29"/>
        <v>1.1355976173003837E-2</v>
      </c>
      <c r="W71" s="330">
        <v>1.47E-2</v>
      </c>
      <c r="X71" s="332">
        <f t="shared" si="30"/>
        <v>1.1785992068737461E-2</v>
      </c>
      <c r="Y71" s="332">
        <f t="shared" si="17"/>
        <v>1.1785992068737461E-2</v>
      </c>
      <c r="Z71" s="330"/>
      <c r="AK71" s="355"/>
      <c r="AL71" s="355"/>
      <c r="AM71" s="355"/>
      <c r="AN71" s="355"/>
      <c r="AO71" s="355"/>
    </row>
    <row r="72" spans="1:58" x14ac:dyDescent="0.25">
      <c r="A72" s="355" t="s">
        <v>563</v>
      </c>
      <c r="B72" s="355" t="s">
        <v>661</v>
      </c>
      <c r="C72" s="345">
        <f>'Historical Data'!B256</f>
        <v>2.225809449537941E-2</v>
      </c>
      <c r="D72" s="401">
        <f>'Historical Data'!E89</f>
        <v>4.3</v>
      </c>
      <c r="E72" s="355">
        <v>0.25</v>
      </c>
      <c r="F72" s="401">
        <f t="shared" si="23"/>
        <v>-0.20000000000000018</v>
      </c>
      <c r="G72" s="401">
        <f>'Historical Data'!H121</f>
        <v>1.8</v>
      </c>
      <c r="H72" s="321">
        <v>3.644863433E-2</v>
      </c>
      <c r="I72" s="401">
        <f t="shared" si="31"/>
        <v>0</v>
      </c>
      <c r="J72" s="401">
        <f t="shared" si="24"/>
        <v>0.58899999999999997</v>
      </c>
      <c r="K72" s="401">
        <f t="shared" si="25"/>
        <v>0.2</v>
      </c>
      <c r="L72" s="401">
        <f t="shared" si="26"/>
        <v>0.63100000000000001</v>
      </c>
      <c r="M72" s="401">
        <f t="shared" si="27"/>
        <v>0.4</v>
      </c>
      <c r="N72" s="401">
        <f t="shared" si="28"/>
        <v>0.14799999999999999</v>
      </c>
      <c r="O72" s="401">
        <f t="shared" si="32"/>
        <v>0.32822880439418306</v>
      </c>
      <c r="P72" s="401">
        <f t="shared" si="33"/>
        <v>-0.97784823540234711</v>
      </c>
      <c r="Q72" s="401">
        <f t="shared" si="34"/>
        <v>0.46978327360643218</v>
      </c>
      <c r="R72" s="401">
        <f t="shared" si="35"/>
        <v>-0.32747188001444022</v>
      </c>
      <c r="S72" s="401">
        <f t="shared" si="36"/>
        <v>-0.43490921419350353</v>
      </c>
      <c r="T72" s="401">
        <f t="shared" si="37"/>
        <v>0.26546232411659343</v>
      </c>
      <c r="U72" s="331">
        <v>1.7000000000000001E-2</v>
      </c>
      <c r="V72" s="332">
        <f t="shared" si="29"/>
        <v>6.8391560670624102E-3</v>
      </c>
      <c r="W72" s="330">
        <v>1.4999999999999999E-2</v>
      </c>
      <c r="X72" s="332">
        <f t="shared" si="30"/>
        <v>1.027777862390989E-2</v>
      </c>
      <c r="Y72" s="332">
        <f t="shared" ref="Y72:Y79" si="38">AVERAGE(V70:V72)</f>
        <v>1.027777862390989E-2</v>
      </c>
      <c r="Z72" s="330"/>
      <c r="AK72" s="355"/>
      <c r="AL72" s="355"/>
      <c r="AM72" s="355"/>
      <c r="AN72" s="355"/>
      <c r="AO72" s="355"/>
    </row>
    <row r="73" spans="1:58" x14ac:dyDescent="0.25">
      <c r="A73" s="355" t="s">
        <v>563</v>
      </c>
      <c r="B73" s="355" t="s">
        <v>662</v>
      </c>
      <c r="C73" s="345">
        <f>'Historical Data'!B257</f>
        <v>1.9417475728155331E-2</v>
      </c>
      <c r="D73" s="401">
        <f>'Historical Data'!E90</f>
        <v>4.2</v>
      </c>
      <c r="E73" s="355">
        <v>0.25</v>
      </c>
      <c r="F73" s="401">
        <f t="shared" si="23"/>
        <v>-9.9999999999999645E-2</v>
      </c>
      <c r="G73" s="401">
        <f>'Historical Data'!H122</f>
        <v>2.6</v>
      </c>
      <c r="H73" s="321">
        <v>4.2026841670000002E-2</v>
      </c>
      <c r="I73" s="401">
        <f t="shared" si="31"/>
        <v>0</v>
      </c>
      <c r="J73" s="401">
        <f t="shared" si="24"/>
        <v>0.49399999999999999</v>
      </c>
      <c r="K73" s="401">
        <f t="shared" si="25"/>
        <v>0.16800000000000001</v>
      </c>
      <c r="L73" s="401">
        <f t="shared" si="26"/>
        <v>0.81</v>
      </c>
      <c r="M73" s="401">
        <f t="shared" si="27"/>
        <v>0.45200000000000001</v>
      </c>
      <c r="N73" s="401">
        <f t="shared" si="28"/>
        <v>0.14799999999999999</v>
      </c>
      <c r="O73" s="401">
        <f t="shared" si="32"/>
        <v>-9.1174667887200089E-4</v>
      </c>
      <c r="P73" s="401">
        <f t="shared" si="33"/>
        <v>-1.087078800805642</v>
      </c>
      <c r="Q73" s="401">
        <f t="shared" si="34"/>
        <v>1.0802919156432571</v>
      </c>
      <c r="R73" s="401">
        <f t="shared" si="35"/>
        <v>-0.14788583569035785</v>
      </c>
      <c r="S73" s="401">
        <f t="shared" si="36"/>
        <v>-0.43490921419350353</v>
      </c>
      <c r="T73" s="401">
        <f t="shared" si="37"/>
        <v>0.1579105186491806</v>
      </c>
      <c r="U73" s="331">
        <v>1.7000000000000001E-2</v>
      </c>
      <c r="V73" s="332">
        <f t="shared" si="29"/>
        <v>7.863027628513878E-3</v>
      </c>
      <c r="W73" s="330">
        <v>1.49E-2</v>
      </c>
      <c r="X73" s="332">
        <f t="shared" si="30"/>
        <v>8.686053289526709E-3</v>
      </c>
      <c r="Y73" s="332">
        <f t="shared" si="38"/>
        <v>8.686053289526709E-3</v>
      </c>
      <c r="Z73" s="330"/>
      <c r="AK73" s="355"/>
      <c r="AL73" s="355"/>
      <c r="AM73" s="355"/>
      <c r="AN73" s="355"/>
      <c r="AO73" s="355"/>
    </row>
    <row r="74" spans="1:58" x14ac:dyDescent="0.25">
      <c r="A74" s="355" t="s">
        <v>563</v>
      </c>
      <c r="B74" s="355" t="s">
        <v>663</v>
      </c>
      <c r="C74" s="345">
        <f>'Historical Data'!B258</f>
        <v>1.829800174457219E-2</v>
      </c>
      <c r="D74" s="401">
        <f>'Historical Data'!E91</f>
        <v>4.4000000000000004</v>
      </c>
      <c r="E74" s="355">
        <v>0.25</v>
      </c>
      <c r="F74" s="401">
        <f t="shared" si="23"/>
        <v>0.20000000000000018</v>
      </c>
      <c r="G74" s="401">
        <f>'Historical Data'!H123</f>
        <v>3</v>
      </c>
      <c r="H74" s="321">
        <v>4.6918165849999999E-2</v>
      </c>
      <c r="I74" s="401">
        <f t="shared" si="31"/>
        <v>0</v>
      </c>
      <c r="J74" s="401">
        <f t="shared" si="24"/>
        <v>0.45200000000000001</v>
      </c>
      <c r="K74" s="401">
        <f t="shared" si="25"/>
        <v>0.21</v>
      </c>
      <c r="L74" s="401">
        <f t="shared" si="26"/>
        <v>0.86299999999999999</v>
      </c>
      <c r="M74" s="401">
        <f t="shared" si="27"/>
        <v>0.51500000000000001</v>
      </c>
      <c r="N74" s="401">
        <f t="shared" si="28"/>
        <v>0.14799999999999999</v>
      </c>
      <c r="O74" s="401">
        <f t="shared" si="32"/>
        <v>-0.14642651662695946</v>
      </c>
      <c r="P74" s="401">
        <f t="shared" si="33"/>
        <v>-0.94371368371381747</v>
      </c>
      <c r="Q74" s="401">
        <f t="shared" si="34"/>
        <v>1.261057044291032</v>
      </c>
      <c r="R74" s="401">
        <f t="shared" si="35"/>
        <v>6.9689564163818898E-2</v>
      </c>
      <c r="S74" s="401">
        <f t="shared" si="36"/>
        <v>-0.43490921419350353</v>
      </c>
      <c r="T74" s="401">
        <f t="shared" si="37"/>
        <v>9.609919782134084E-2</v>
      </c>
      <c r="U74" s="331">
        <v>1.7000000000000001E-2</v>
      </c>
      <c r="V74" s="332">
        <f t="shared" si="29"/>
        <v>8.5105406554134132E-3</v>
      </c>
      <c r="W74" s="330">
        <v>1.35E-2</v>
      </c>
      <c r="X74" s="332">
        <f t="shared" si="30"/>
        <v>7.7375747836632329E-3</v>
      </c>
      <c r="Y74" s="332">
        <f t="shared" si="38"/>
        <v>7.7375747836632329E-3</v>
      </c>
      <c r="Z74" s="330"/>
      <c r="AK74" s="355"/>
      <c r="AL74" s="355"/>
      <c r="AM74" s="355"/>
      <c r="AN74" s="355"/>
      <c r="AO74" s="355"/>
    </row>
    <row r="75" spans="1:58" x14ac:dyDescent="0.25">
      <c r="A75" s="355" t="s">
        <v>563</v>
      </c>
      <c r="B75" s="355" t="s">
        <v>664</v>
      </c>
      <c r="C75" s="345">
        <f>'Historical Data'!B259</f>
        <v>1.5764794278478877E-2</v>
      </c>
      <c r="D75" s="401">
        <f>'Historical Data'!E92</f>
        <v>4.0999999999999996</v>
      </c>
      <c r="E75" s="355">
        <v>0.5</v>
      </c>
      <c r="F75" s="401">
        <f t="shared" si="23"/>
        <v>-0.30000000000000071</v>
      </c>
      <c r="G75" s="401">
        <f>'Historical Data'!H124</f>
        <v>3.3</v>
      </c>
      <c r="H75" s="321">
        <v>4.5615562970000002E-2</v>
      </c>
      <c r="I75" s="401">
        <f t="shared" si="31"/>
        <v>0.25</v>
      </c>
      <c r="J75" s="401">
        <f t="shared" si="24"/>
        <v>0.35699999999999998</v>
      </c>
      <c r="K75" s="401">
        <f t="shared" si="25"/>
        <v>0.13600000000000001</v>
      </c>
      <c r="L75" s="401">
        <f t="shared" si="26"/>
        <v>0.89400000000000002</v>
      </c>
      <c r="M75" s="401">
        <f t="shared" si="27"/>
        <v>0.47299999999999998</v>
      </c>
      <c r="N75" s="401">
        <f t="shared" si="28"/>
        <v>0.84</v>
      </c>
      <c r="O75" s="401">
        <f t="shared" si="32"/>
        <v>-0.47556706770001472</v>
      </c>
      <c r="P75" s="401">
        <f t="shared" si="33"/>
        <v>-1.1963093662089368</v>
      </c>
      <c r="Q75" s="401">
        <f t="shared" si="34"/>
        <v>1.3667875912359571</v>
      </c>
      <c r="R75" s="401">
        <f t="shared" si="35"/>
        <v>-7.536070240563239E-2</v>
      </c>
      <c r="S75" s="401">
        <f t="shared" si="36"/>
        <v>1.8494413563626613</v>
      </c>
      <c r="T75" s="401">
        <f t="shared" si="37"/>
        <v>0.14837752052018344</v>
      </c>
      <c r="U75" s="331">
        <v>1.7000000000000001E-2</v>
      </c>
      <c r="V75" s="332">
        <f t="shared" si="29"/>
        <v>7.9599754628605912E-3</v>
      </c>
      <c r="W75" s="330">
        <v>1.44E-2</v>
      </c>
      <c r="X75" s="332">
        <f t="shared" si="30"/>
        <v>8.1111812489292941E-3</v>
      </c>
      <c r="Y75" s="332">
        <f t="shared" si="38"/>
        <v>8.1111812489292941E-3</v>
      </c>
      <c r="Z75" s="330"/>
      <c r="AK75" s="355"/>
      <c r="AL75" s="355"/>
      <c r="AM75" s="355"/>
      <c r="AN75" s="355"/>
      <c r="AO75" s="355"/>
    </row>
    <row r="76" spans="1:58" x14ac:dyDescent="0.25">
      <c r="A76" s="355" t="s">
        <v>563</v>
      </c>
      <c r="B76" s="355" t="s">
        <v>665</v>
      </c>
      <c r="C76" s="345">
        <f>'Historical Data'!B260</f>
        <v>1.0543832500301331E-2</v>
      </c>
      <c r="D76" s="401">
        <f>'Historical Data'!E93</f>
        <v>4</v>
      </c>
      <c r="E76" s="355">
        <v>0.5</v>
      </c>
      <c r="F76" s="401">
        <f t="shared" si="23"/>
        <v>-9.9999999999999645E-2</v>
      </c>
      <c r="G76" s="401">
        <f>'Historical Data'!H125</f>
        <v>2.8</v>
      </c>
      <c r="H76" s="321">
        <v>3.9657937800000001E-2</v>
      </c>
      <c r="I76" s="401">
        <f t="shared" si="31"/>
        <v>0</v>
      </c>
      <c r="J76" s="401">
        <f t="shared" si="24"/>
        <v>0.17799999999999999</v>
      </c>
      <c r="K76" s="401">
        <f t="shared" si="25"/>
        <v>0.105</v>
      </c>
      <c r="L76" s="401">
        <f t="shared" si="26"/>
        <v>0.85199999999999998</v>
      </c>
      <c r="M76" s="401">
        <f t="shared" si="27"/>
        <v>0.442</v>
      </c>
      <c r="N76" s="401">
        <f t="shared" si="28"/>
        <v>0.14799999999999999</v>
      </c>
      <c r="O76" s="401">
        <f t="shared" si="32"/>
        <v>-1.0957371586692448</v>
      </c>
      <c r="P76" s="401">
        <f t="shared" si="33"/>
        <v>-1.3021264764433786</v>
      </c>
      <c r="Q76" s="401">
        <f t="shared" si="34"/>
        <v>1.2235397534396069</v>
      </c>
      <c r="R76" s="401">
        <f t="shared" si="35"/>
        <v>-0.18242161344498911</v>
      </c>
      <c r="S76" s="401">
        <f t="shared" si="36"/>
        <v>-0.43490921419350353</v>
      </c>
      <c r="T76" s="401">
        <f t="shared" si="37"/>
        <v>-0.46660875497709747</v>
      </c>
      <c r="U76" s="331">
        <v>1.7000000000000001E-2</v>
      </c>
      <c r="V76" s="332">
        <f t="shared" si="29"/>
        <v>1.6893214981544159E-2</v>
      </c>
      <c r="W76" s="330">
        <v>1.47E-2</v>
      </c>
      <c r="X76" s="332">
        <f t="shared" si="30"/>
        <v>1.1121243699939387E-2</v>
      </c>
      <c r="Y76" s="332">
        <f t="shared" si="38"/>
        <v>1.1121243699939387E-2</v>
      </c>
      <c r="Z76" s="330"/>
      <c r="AK76" s="355"/>
      <c r="AL76" s="355"/>
      <c r="AM76" s="355"/>
      <c r="AN76" s="355"/>
      <c r="AO76" s="355"/>
    </row>
    <row r="77" spans="1:58" x14ac:dyDescent="0.25">
      <c r="A77" s="355" t="s">
        <v>563</v>
      </c>
      <c r="B77" s="355" t="s">
        <v>666</v>
      </c>
      <c r="C77" s="345">
        <f>'Historical Data'!B261</f>
        <v>1.3318745009906152E-2</v>
      </c>
      <c r="D77" s="401">
        <f>'Historical Data'!E94</f>
        <v>3.8</v>
      </c>
      <c r="E77" s="355">
        <v>0.5</v>
      </c>
      <c r="F77" s="401">
        <f t="shared" si="23"/>
        <v>-0.20000000000000018</v>
      </c>
      <c r="G77" s="401">
        <f>'Historical Data'!H126</f>
        <v>2.6</v>
      </c>
      <c r="H77" s="321">
        <v>2.9399671949999998E-2</v>
      </c>
      <c r="I77" s="401">
        <f t="shared" si="31"/>
        <v>0</v>
      </c>
      <c r="J77" s="401">
        <f t="shared" si="24"/>
        <v>0.28399999999999997</v>
      </c>
      <c r="K77" s="401">
        <f t="shared" si="25"/>
        <v>4.2000000000000003E-2</v>
      </c>
      <c r="L77" s="401">
        <f t="shared" si="26"/>
        <v>0.81</v>
      </c>
      <c r="M77" s="401">
        <f t="shared" si="27"/>
        <v>0.36799999999999999</v>
      </c>
      <c r="N77" s="401">
        <f t="shared" si="28"/>
        <v>0.14799999999999999</v>
      </c>
      <c r="O77" s="401">
        <f t="shared" si="32"/>
        <v>-0.72848559641930977</v>
      </c>
      <c r="P77" s="401">
        <f t="shared" si="33"/>
        <v>-1.5171741520811153</v>
      </c>
      <c r="Q77" s="401">
        <f t="shared" si="34"/>
        <v>1.0802919156432571</v>
      </c>
      <c r="R77" s="401">
        <f t="shared" si="35"/>
        <v>-0.43798636882926023</v>
      </c>
      <c r="S77" s="401">
        <f t="shared" si="36"/>
        <v>-0.43490921419350353</v>
      </c>
      <c r="T77" s="401">
        <f t="shared" si="37"/>
        <v>-0.26463430938142496</v>
      </c>
      <c r="U77" s="331">
        <v>1.7000000000000001E-2</v>
      </c>
      <c r="V77" s="332">
        <f t="shared" si="29"/>
        <v>1.3303323386001271E-2</v>
      </c>
      <c r="W77" s="330">
        <v>1.46E-2</v>
      </c>
      <c r="X77" s="332">
        <f t="shared" si="30"/>
        <v>1.2718837943468675E-2</v>
      </c>
      <c r="Y77" s="332">
        <f t="shared" si="38"/>
        <v>1.2718837943468675E-2</v>
      </c>
      <c r="Z77" s="330"/>
      <c r="AK77" s="355"/>
      <c r="AL77" s="355"/>
      <c r="AM77" s="355"/>
      <c r="AN77" s="355"/>
      <c r="AO77" s="355"/>
    </row>
    <row r="78" spans="1:58" x14ac:dyDescent="0.25">
      <c r="A78" s="355" t="s">
        <v>563</v>
      </c>
      <c r="B78" s="355" t="s">
        <v>667</v>
      </c>
      <c r="C78" s="345">
        <f>'Historical Data'!B262</f>
        <v>1.5809989351293297E-2</v>
      </c>
      <c r="D78" s="401">
        <f>'Historical Data'!E95</f>
        <v>4.0999999999999996</v>
      </c>
      <c r="E78" s="355">
        <v>0.75</v>
      </c>
      <c r="F78" s="401">
        <f t="shared" si="23"/>
        <v>0.29999999999999982</v>
      </c>
      <c r="G78" s="401">
        <f>'Historical Data'!H127</f>
        <v>2.6</v>
      </c>
      <c r="H78" s="321">
        <v>2.9165743220000002E-2</v>
      </c>
      <c r="I78" s="401">
        <f t="shared" si="31"/>
        <v>0.25</v>
      </c>
      <c r="J78" s="401">
        <f t="shared" si="24"/>
        <v>0.36799999999999999</v>
      </c>
      <c r="K78" s="401">
        <f t="shared" si="25"/>
        <v>0.13600000000000001</v>
      </c>
      <c r="L78" s="401">
        <f t="shared" si="26"/>
        <v>0.81</v>
      </c>
      <c r="M78" s="401">
        <f t="shared" si="27"/>
        <v>0.35699999999999998</v>
      </c>
      <c r="N78" s="401">
        <f t="shared" si="28"/>
        <v>0.84</v>
      </c>
      <c r="O78" s="401">
        <f t="shared" si="32"/>
        <v>-0.43745605652313463</v>
      </c>
      <c r="P78" s="401">
        <f t="shared" si="33"/>
        <v>-1.1963093662089368</v>
      </c>
      <c r="Q78" s="401">
        <f t="shared" si="34"/>
        <v>1.0802919156432571</v>
      </c>
      <c r="R78" s="401">
        <f t="shared" si="35"/>
        <v>-0.47597572435935465</v>
      </c>
      <c r="S78" s="401">
        <f t="shared" si="36"/>
        <v>1.8494413563626613</v>
      </c>
      <c r="T78" s="401">
        <f t="shared" si="37"/>
        <v>0.1025330574716693</v>
      </c>
      <c r="U78" s="331">
        <v>1.7000000000000001E-2</v>
      </c>
      <c r="V78" s="332">
        <f t="shared" si="29"/>
        <v>8.4410270635247413E-3</v>
      </c>
      <c r="W78" s="330">
        <v>1.4800000000000001E-2</v>
      </c>
      <c r="X78" s="332">
        <f t="shared" si="30"/>
        <v>1.2879188477023391E-2</v>
      </c>
      <c r="Y78" s="332">
        <f t="shared" si="38"/>
        <v>1.2879188477023391E-2</v>
      </c>
      <c r="Z78" s="330"/>
    </row>
    <row r="79" spans="1:58" x14ac:dyDescent="0.25">
      <c r="A79" s="355" t="s">
        <v>563</v>
      </c>
      <c r="B79" s="355" t="s">
        <v>668</v>
      </c>
      <c r="C79" s="345">
        <f>'Historical Data'!B263</f>
        <v>1.3936995855299505E-2</v>
      </c>
      <c r="D79" s="401">
        <f>'Historical Data'!E96</f>
        <v>3.8</v>
      </c>
      <c r="E79" s="355">
        <v>0.75</v>
      </c>
      <c r="F79" s="401">
        <f t="shared" si="23"/>
        <v>-0.29999999999999982</v>
      </c>
      <c r="G79" s="401">
        <f>'Historical Data'!H128</f>
        <v>2.1</v>
      </c>
      <c r="H79" s="321">
        <v>1.95237295E-2</v>
      </c>
      <c r="I79" s="401">
        <f t="shared" si="31"/>
        <v>0</v>
      </c>
      <c r="J79" s="401">
        <f t="shared" si="24"/>
        <v>0.315</v>
      </c>
      <c r="K79" s="401">
        <f t="shared" si="25"/>
        <v>4.2000000000000003E-2</v>
      </c>
      <c r="L79" s="401">
        <f t="shared" si="26"/>
        <v>0.71499999999999997</v>
      </c>
      <c r="M79" s="401">
        <f t="shared" si="27"/>
        <v>0.30499999999999999</v>
      </c>
      <c r="N79" s="401">
        <f t="shared" si="28"/>
        <v>0.14799999999999999</v>
      </c>
      <c r="O79" s="401">
        <f t="shared" si="32"/>
        <v>-0.62108183764810221</v>
      </c>
      <c r="P79" s="401">
        <f t="shared" si="33"/>
        <v>-1.5171741520811153</v>
      </c>
      <c r="Q79" s="401">
        <f t="shared" si="34"/>
        <v>0.75627894919913197</v>
      </c>
      <c r="R79" s="401">
        <f t="shared" si="35"/>
        <v>-0.65556176868343696</v>
      </c>
      <c r="S79" s="401">
        <f t="shared" si="36"/>
        <v>-0.43490921419350353</v>
      </c>
      <c r="T79" s="401">
        <f t="shared" si="37"/>
        <v>-0.25435089074853057</v>
      </c>
      <c r="U79" s="331">
        <v>1.7000000000000001E-2</v>
      </c>
      <c r="V79" s="332">
        <f t="shared" si="29"/>
        <v>1.3139668946474677E-2</v>
      </c>
      <c r="W79" s="330">
        <v>1.72E-2</v>
      </c>
      <c r="X79" s="332">
        <f t="shared" si="30"/>
        <v>1.1628006465333565E-2</v>
      </c>
      <c r="Y79" s="332">
        <f t="shared" si="38"/>
        <v>1.1628006465333565E-2</v>
      </c>
    </row>
    <row r="80" spans="1:58" s="357" customFormat="1" x14ac:dyDescent="0.25">
      <c r="A80" s="355" t="s">
        <v>563</v>
      </c>
      <c r="B80" s="355" t="s">
        <v>669</v>
      </c>
      <c r="C80" s="345">
        <f>'Historical Data'!B264</f>
        <v>2.0003207397353506E-2</v>
      </c>
      <c r="D80" s="401">
        <f>'Historical Data'!E97</f>
        <v>3.6</v>
      </c>
      <c r="E80" s="355">
        <v>0.75</v>
      </c>
      <c r="F80" s="401">
        <f t="shared" si="23"/>
        <v>-0.19999999999999973</v>
      </c>
      <c r="G80" s="401">
        <f>'Historical Data'!H129</f>
        <v>1.3</v>
      </c>
      <c r="H80" s="321">
        <v>1.488917027E-2</v>
      </c>
      <c r="I80" s="401">
        <f t="shared" si="31"/>
        <v>0</v>
      </c>
      <c r="J80" s="401">
        <f t="shared" si="24"/>
        <v>0.52600000000000002</v>
      </c>
      <c r="K80" s="401">
        <f t="shared" si="25"/>
        <v>0</v>
      </c>
      <c r="L80" s="401">
        <f t="shared" si="26"/>
        <v>0.53600000000000003</v>
      </c>
      <c r="M80" s="401">
        <f t="shared" si="27"/>
        <v>0.26300000000000001</v>
      </c>
      <c r="N80" s="401">
        <f t="shared" si="28"/>
        <v>0.14799999999999999</v>
      </c>
      <c r="O80" s="401">
        <f t="shared" si="32"/>
        <v>0.10995664947205193</v>
      </c>
      <c r="P80" s="401">
        <f t="shared" si="33"/>
        <v>-1.6605392691729397</v>
      </c>
      <c r="Q80" s="401">
        <f t="shared" si="34"/>
        <v>0.14577030716230732</v>
      </c>
      <c r="R80" s="401">
        <f t="shared" si="35"/>
        <v>-0.80061203525288815</v>
      </c>
      <c r="S80" s="401">
        <f t="shared" si="36"/>
        <v>-0.43490921419350353</v>
      </c>
      <c r="T80" s="401">
        <f t="shared" si="37"/>
        <v>0.12305282237211669</v>
      </c>
      <c r="U80" s="331">
        <v>1.7000000000000001E-2</v>
      </c>
      <c r="V80" s="332">
        <f t="shared" si="29"/>
        <v>8.2226428344255136E-3</v>
      </c>
      <c r="W80" s="330"/>
      <c r="X80" s="332" t="e">
        <f>Y80*$AB$14+#REF!*$AB$15+#REF!*Baseline!$AB$16</f>
        <v>#REF!</v>
      </c>
      <c r="Y80" s="332">
        <f>V80</f>
        <v>8.2226428344255136E-3</v>
      </c>
      <c r="Z80" s="325"/>
      <c r="AA80" s="355"/>
      <c r="AB80" s="355"/>
      <c r="AC80" s="355"/>
      <c r="AD80" s="355"/>
      <c r="AE80" s="355"/>
      <c r="AF80" s="355"/>
      <c r="AG80" s="355"/>
      <c r="AH80" s="355"/>
      <c r="AI80" s="355"/>
      <c r="AJ80" s="355"/>
      <c r="AK80"/>
      <c r="AL80"/>
      <c r="AM80"/>
      <c r="AN80"/>
      <c r="AO80"/>
      <c r="AP80" s="355"/>
      <c r="AQ80" s="355"/>
      <c r="AR80" s="355"/>
      <c r="AS80" s="355"/>
      <c r="AT80" s="355"/>
      <c r="AU80" s="355"/>
      <c r="AV80" s="355"/>
      <c r="AW80" s="355"/>
      <c r="AX80" s="355"/>
      <c r="AY80" s="355"/>
      <c r="AZ80" s="355"/>
      <c r="BA80" s="355"/>
      <c r="BB80" s="355"/>
      <c r="BC80" s="355"/>
      <c r="BD80" s="355"/>
      <c r="BE80" s="355"/>
      <c r="BF80" s="355"/>
    </row>
    <row r="81" spans="1:58" x14ac:dyDescent="0.25">
      <c r="A81" s="355" t="s">
        <v>563</v>
      </c>
      <c r="B81" s="355" t="s">
        <v>670</v>
      </c>
      <c r="C81" s="345">
        <f>'Historical Data'!B265</f>
        <v>1.4085301676423301E-2</v>
      </c>
      <c r="D81" s="401">
        <f>'Historical Data'!E98</f>
        <v>3.6</v>
      </c>
      <c r="E81" s="355">
        <v>0.75</v>
      </c>
      <c r="F81" s="401">
        <f t="shared" si="23"/>
        <v>0</v>
      </c>
      <c r="G81" s="401">
        <f>'Historical Data'!H130</f>
        <v>1.5</v>
      </c>
      <c r="H81" s="321">
        <v>7.4268907299999999E-3</v>
      </c>
      <c r="I81" s="401">
        <f t="shared" si="31"/>
        <v>0</v>
      </c>
      <c r="J81" s="401">
        <f t="shared" si="24"/>
        <v>0.33600000000000002</v>
      </c>
      <c r="K81" s="401">
        <f t="shared" si="25"/>
        <v>0</v>
      </c>
      <c r="L81" s="401">
        <f t="shared" si="26"/>
        <v>0.55700000000000005</v>
      </c>
      <c r="M81" s="401">
        <f t="shared" si="27"/>
        <v>0.17799999999999999</v>
      </c>
      <c r="N81" s="401">
        <f t="shared" si="28"/>
        <v>0.14799999999999999</v>
      </c>
      <c r="O81" s="401">
        <f t="shared" si="32"/>
        <v>-0.54832445267405838</v>
      </c>
      <c r="P81" s="401">
        <f t="shared" si="33"/>
        <v>-1.6605392691729397</v>
      </c>
      <c r="Q81" s="401">
        <f t="shared" si="34"/>
        <v>0.21739422606048237</v>
      </c>
      <c r="R81" s="401">
        <f t="shared" si="35"/>
        <v>-1.0941661461672536</v>
      </c>
      <c r="S81" s="401">
        <f t="shared" si="36"/>
        <v>-0.43490921419350353</v>
      </c>
      <c r="T81" s="401">
        <f t="shared" si="37"/>
        <v>-0.29410885811716847</v>
      </c>
      <c r="U81" s="331">
        <v>1.7000000000000001E-2</v>
      </c>
      <c r="V81" s="332">
        <f t="shared" si="29"/>
        <v>1.3782183454844726E-2</v>
      </c>
      <c r="W81" s="330"/>
      <c r="X81" s="332" t="e">
        <f>Y81*$AB$14+#REF!*$AB$15+#REF!*Baseline!$AB$16</f>
        <v>#REF!</v>
      </c>
      <c r="Y81" s="332">
        <f>V81*0.5+V80*0.5</f>
        <v>1.1002413144635119E-2</v>
      </c>
      <c r="Z81" s="325"/>
    </row>
    <row r="82" spans="1:58" x14ac:dyDescent="0.25">
      <c r="A82" s="355" t="s">
        <v>563</v>
      </c>
      <c r="B82" s="355" t="s">
        <v>671</v>
      </c>
      <c r="C82" s="345">
        <f>'Historical Data'!B266</f>
        <v>1.3324204251599081E-2</v>
      </c>
      <c r="D82" s="401">
        <f>'Historical Data'!E99</f>
        <v>4</v>
      </c>
      <c r="E82" s="355">
        <v>0.75</v>
      </c>
      <c r="F82" s="401">
        <f t="shared" si="23"/>
        <v>0.39999999999999991</v>
      </c>
      <c r="G82" s="401">
        <f>'Historical Data'!H131</f>
        <v>1.3</v>
      </c>
      <c r="H82" s="321">
        <v>9.5154592400000012E-3</v>
      </c>
      <c r="I82" s="401">
        <f t="shared" si="31"/>
        <v>0</v>
      </c>
      <c r="J82" s="401">
        <f t="shared" si="24"/>
        <v>0.29399999999999998</v>
      </c>
      <c r="K82" s="401">
        <f t="shared" si="25"/>
        <v>0.105</v>
      </c>
      <c r="L82" s="401">
        <f t="shared" si="26"/>
        <v>0.53600000000000003</v>
      </c>
      <c r="M82" s="401">
        <f t="shared" si="27"/>
        <v>0.2</v>
      </c>
      <c r="N82" s="401">
        <f t="shared" si="28"/>
        <v>0.14799999999999999</v>
      </c>
      <c r="O82" s="401">
        <f t="shared" si="32"/>
        <v>-0.69383922262214603</v>
      </c>
      <c r="P82" s="401">
        <f t="shared" si="33"/>
        <v>-1.3021264764433786</v>
      </c>
      <c r="Q82" s="401">
        <f t="shared" si="34"/>
        <v>0.14577030716230732</v>
      </c>
      <c r="R82" s="401">
        <f t="shared" si="35"/>
        <v>-1.0181874351070648</v>
      </c>
      <c r="S82" s="401">
        <f t="shared" si="36"/>
        <v>-0.43490921419350353</v>
      </c>
      <c r="T82" s="401">
        <f t="shared" si="37"/>
        <v>-0.41682352014277579</v>
      </c>
      <c r="U82" s="331">
        <v>1.7000000000000001E-2</v>
      </c>
      <c r="V82" s="332">
        <f t="shared" si="29"/>
        <v>1.5939009480844753E-2</v>
      </c>
      <c r="W82" s="330"/>
      <c r="X82" s="332" t="e">
        <f>Y82*$AB$14+#REF!*$AB$15+#REF!*Baseline!$AB$16</f>
        <v>#REF!</v>
      </c>
      <c r="Y82" s="332">
        <f>V82*0.5+V81*0.25+V80*0.25</f>
        <v>1.3470711312739938E-2</v>
      </c>
      <c r="Z82" s="325"/>
    </row>
    <row r="83" spans="1:58" x14ac:dyDescent="0.25">
      <c r="A83" s="355" t="s">
        <v>563</v>
      </c>
      <c r="B83" s="355" t="s">
        <v>672</v>
      </c>
      <c r="C83" s="345">
        <f>'Historical Data'!B267</f>
        <v>1.1157302329890317E-2</v>
      </c>
      <c r="D83" s="401">
        <f>'Historical Data'!E100</f>
        <v>3.7</v>
      </c>
      <c r="E83" s="355">
        <v>0.75</v>
      </c>
      <c r="F83" s="401">
        <f t="shared" si="23"/>
        <v>-0.29999999999999982</v>
      </c>
      <c r="G83" s="401">
        <f>'Historical Data'!H132</f>
        <v>0.5</v>
      </c>
      <c r="H83" s="321">
        <v>9.2640405299999999E-3</v>
      </c>
      <c r="I83" s="401">
        <f t="shared" si="31"/>
        <v>0</v>
      </c>
      <c r="J83" s="401">
        <f t="shared" si="24"/>
        <v>0.21</v>
      </c>
      <c r="K83" s="401">
        <f t="shared" si="25"/>
        <v>2.1000000000000001E-2</v>
      </c>
      <c r="L83" s="401">
        <f t="shared" si="26"/>
        <v>0.41</v>
      </c>
      <c r="M83" s="401">
        <f t="shared" si="27"/>
        <v>0.189</v>
      </c>
      <c r="N83" s="401">
        <f t="shared" si="28"/>
        <v>0.14799999999999999</v>
      </c>
      <c r="O83" s="401">
        <f t="shared" si="32"/>
        <v>-0.98486876251832112</v>
      </c>
      <c r="P83" s="401">
        <f t="shared" si="33"/>
        <v>-1.5888567106270273</v>
      </c>
      <c r="Q83" s="401">
        <f t="shared" si="34"/>
        <v>-0.28397320622674277</v>
      </c>
      <c r="R83" s="401">
        <f t="shared" si="35"/>
        <v>-1.0561767906371593</v>
      </c>
      <c r="S83" s="401">
        <f t="shared" si="36"/>
        <v>-0.43490921419350353</v>
      </c>
      <c r="T83" s="401">
        <f t="shared" si="37"/>
        <v>-0.60954150755403047</v>
      </c>
      <c r="U83" s="331">
        <v>1.7000000000000001E-2</v>
      </c>
      <c r="V83" s="332">
        <f t="shared" si="29"/>
        <v>1.9908404804852124E-2</v>
      </c>
      <c r="W83" s="330"/>
      <c r="X83" s="332" t="e">
        <f>Y83*$AB$14+#REF!*$AB$15+#REF!*Baseline!$AB$16</f>
        <v>#REF!</v>
      </c>
      <c r="Y83" s="332">
        <f t="shared" ref="Y83:Y86" si="39">V83*0.5+V82*0.25+V81*0.25</f>
        <v>1.7384500636348429E-2</v>
      </c>
      <c r="Z83" s="325"/>
    </row>
    <row r="84" spans="1:58" s="357" customFormat="1" x14ac:dyDescent="0.25">
      <c r="A84" s="355" t="s">
        <v>563</v>
      </c>
      <c r="B84" s="355" t="s">
        <v>673</v>
      </c>
      <c r="C84" s="345">
        <f>'Historical Data'!B268</f>
        <v>-1.7425116864092538E-2</v>
      </c>
      <c r="D84" s="401">
        <f>'Historical Data'!E101</f>
        <v>3.8</v>
      </c>
      <c r="E84" s="339">
        <v>0.1</v>
      </c>
      <c r="F84" s="401">
        <f t="shared" si="23"/>
        <v>9.9999999999999645E-2</v>
      </c>
      <c r="G84" s="401">
        <f>'Historical Data'!H133</f>
        <v>0.9</v>
      </c>
      <c r="H84" s="321">
        <v>2.9113118430000001E-2</v>
      </c>
      <c r="I84" s="401">
        <f t="shared" si="31"/>
        <v>-0.65</v>
      </c>
      <c r="J84" s="401">
        <f t="shared" si="24"/>
        <v>5.1999999999999998E-2</v>
      </c>
      <c r="K84" s="401">
        <f t="shared" si="25"/>
        <v>4.2000000000000003E-2</v>
      </c>
      <c r="L84" s="401">
        <f t="shared" si="26"/>
        <v>0.442</v>
      </c>
      <c r="M84" s="401">
        <f t="shared" si="27"/>
        <v>0.34699999999999998</v>
      </c>
      <c r="N84" s="401">
        <f t="shared" si="28"/>
        <v>3.1E-2</v>
      </c>
      <c r="O84" s="401">
        <f t="shared" si="32"/>
        <v>-1.5322814685135075</v>
      </c>
      <c r="P84" s="401">
        <f t="shared" si="33"/>
        <v>-1.5171741520811153</v>
      </c>
      <c r="Q84" s="401">
        <f t="shared" si="34"/>
        <v>-0.1748319964771427</v>
      </c>
      <c r="R84" s="401">
        <f t="shared" si="35"/>
        <v>-0.51051150211398588</v>
      </c>
      <c r="S84" s="401">
        <f t="shared" si="36"/>
        <v>-0.821136117018751</v>
      </c>
      <c r="T84" s="401">
        <f t="shared" si="37"/>
        <v>-0.91829942746098092</v>
      </c>
      <c r="U84" s="331">
        <v>1.7000000000000001E-2</v>
      </c>
      <c r="V84" s="332">
        <f t="shared" si="29"/>
        <v>2.8003274043361823E-2</v>
      </c>
      <c r="W84" s="355"/>
      <c r="X84" s="332" t="e">
        <f>Y84*$AB$14+#REF!*$AB$15+#REF!*Baseline!$AB$16</f>
        <v>#REF!</v>
      </c>
      <c r="Y84" s="332">
        <f t="shared" si="39"/>
        <v>2.2963490593105131E-2</v>
      </c>
      <c r="Z84" s="325"/>
      <c r="AA84" s="355"/>
      <c r="AB84" s="355"/>
      <c r="AC84" s="355"/>
      <c r="AD84" s="355"/>
      <c r="AE84" s="355"/>
      <c r="AF84" s="355"/>
      <c r="AG84" s="355"/>
      <c r="AH84" s="355"/>
      <c r="AI84" s="355"/>
      <c r="AJ84" s="355"/>
      <c r="AK84"/>
      <c r="AL84"/>
      <c r="AM84"/>
      <c r="AN84"/>
      <c r="AO84"/>
      <c r="AP84" s="355"/>
      <c r="AQ84" s="355"/>
      <c r="AR84" s="355"/>
      <c r="AS84" s="355"/>
      <c r="AT84" s="355"/>
      <c r="AU84" s="355"/>
      <c r="AV84" s="355"/>
      <c r="AW84" s="355"/>
      <c r="AX84" s="355"/>
      <c r="AY84" s="355"/>
      <c r="AZ84" s="355"/>
      <c r="BA84" s="355"/>
      <c r="BB84" s="355"/>
      <c r="BC84" s="355"/>
      <c r="BD84" s="355"/>
      <c r="BE84" s="355"/>
      <c r="BF84" s="355"/>
    </row>
    <row r="85" spans="1:58" x14ac:dyDescent="0.25">
      <c r="A85" s="355" t="s">
        <v>563</v>
      </c>
      <c r="B85" s="355" t="s">
        <v>674</v>
      </c>
      <c r="C85" s="345">
        <f>'Historical Data'!B269</f>
        <v>-0.19500000000000001</v>
      </c>
      <c r="D85" s="401">
        <f>'Historical Data'!E102</f>
        <v>3.7</v>
      </c>
      <c r="E85" s="339">
        <v>0.1</v>
      </c>
      <c r="F85" s="401">
        <f t="shared" si="23"/>
        <v>-9.9999999999999645E-2</v>
      </c>
      <c r="G85" s="401">
        <f>'Historical Data'!H134</f>
        <v>-0.6</v>
      </c>
      <c r="H85" s="321">
        <v>2.8000000000000001E-2</v>
      </c>
      <c r="I85" s="401">
        <f t="shared" si="31"/>
        <v>0</v>
      </c>
      <c r="J85" s="401">
        <f t="shared" si="24"/>
        <v>0</v>
      </c>
      <c r="K85" s="401">
        <f t="shared" si="25"/>
        <v>2.1000000000000001E-2</v>
      </c>
      <c r="L85" s="401">
        <f t="shared" si="26"/>
        <v>0.189</v>
      </c>
      <c r="M85" s="401">
        <f t="shared" si="27"/>
        <v>0.33600000000000002</v>
      </c>
      <c r="N85" s="401">
        <f t="shared" si="28"/>
        <v>0.14799999999999999</v>
      </c>
      <c r="O85" s="401">
        <f t="shared" si="32"/>
        <v>-1.7124426122587586</v>
      </c>
      <c r="P85" s="401">
        <f t="shared" si="33"/>
        <v>-1.5888567106270273</v>
      </c>
      <c r="Q85" s="401">
        <f t="shared" si="34"/>
        <v>-1.0377296860599174</v>
      </c>
      <c r="R85" s="401">
        <f t="shared" si="35"/>
        <v>-0.54850085764408008</v>
      </c>
      <c r="S85" s="401">
        <f t="shared" si="36"/>
        <v>-0.43490921419350353</v>
      </c>
      <c r="T85" s="401">
        <f t="shared" si="37"/>
        <v>-1.0706938720823025</v>
      </c>
      <c r="U85" s="331">
        <v>1.7000000000000001E-2</v>
      </c>
      <c r="V85" s="332">
        <f t="shared" si="29"/>
        <v>3.2914619731628861E-2</v>
      </c>
      <c r="X85" s="332" t="e">
        <f>Y85*$AB$14+#REF!*$AB$15+#REF!*Baseline!$AB$16</f>
        <v>#REF!</v>
      </c>
      <c r="Y85" s="332">
        <f t="shared" si="39"/>
        <v>2.8435229577867916E-2</v>
      </c>
      <c r="Z85" s="325"/>
    </row>
    <row r="86" spans="1:58" ht="15.75" customHeight="1" x14ac:dyDescent="0.25">
      <c r="A86" s="355" t="s">
        <v>563</v>
      </c>
      <c r="B86" s="357" t="s">
        <v>675</v>
      </c>
      <c r="C86" s="345">
        <f>'Historical Data'!B270</f>
        <v>0.16899999999999998</v>
      </c>
      <c r="D86" s="401">
        <f>'Historical Data'!E103</f>
        <v>4.7</v>
      </c>
      <c r="E86" s="333">
        <v>0.1</v>
      </c>
      <c r="F86" s="401">
        <f t="shared" si="23"/>
        <v>1</v>
      </c>
      <c r="G86" s="401">
        <f>'Historical Data'!H135</f>
        <v>-0.2</v>
      </c>
      <c r="H86" s="323">
        <v>3.6999999999999998E-2</v>
      </c>
      <c r="I86" s="401">
        <f t="shared" si="31"/>
        <v>0</v>
      </c>
      <c r="J86" s="401">
        <f t="shared" si="24"/>
        <v>0.98899999999999999</v>
      </c>
      <c r="K86" s="401">
        <f t="shared" si="25"/>
        <v>0.33600000000000002</v>
      </c>
      <c r="L86" s="401">
        <f t="shared" si="26"/>
        <v>0.30499999999999999</v>
      </c>
      <c r="M86" s="401">
        <f t="shared" si="27"/>
        <v>0.41</v>
      </c>
      <c r="N86" s="401">
        <f t="shared" si="28"/>
        <v>0.14799999999999999</v>
      </c>
      <c r="O86" s="401">
        <f t="shared" si="32"/>
        <v>1.7140837562807312</v>
      </c>
      <c r="P86" s="401">
        <f t="shared" si="33"/>
        <v>-0.51361833243834432</v>
      </c>
      <c r="Q86" s="401">
        <f t="shared" si="34"/>
        <v>-0.64209280071761765</v>
      </c>
      <c r="R86" s="401">
        <f t="shared" si="35"/>
        <v>-0.29293610225980915</v>
      </c>
      <c r="S86" s="401">
        <f t="shared" si="36"/>
        <v>-0.43490921419350353</v>
      </c>
      <c r="T86" s="401">
        <f t="shared" si="37"/>
        <v>0.94281827529517992</v>
      </c>
      <c r="U86" s="331">
        <v>1.7000000000000001E-2</v>
      </c>
      <c r="V86" s="332">
        <f t="shared" si="29"/>
        <v>2.6932893370299671E-3</v>
      </c>
      <c r="X86" s="332" t="e">
        <f>Y86*$AB$14+#REF!*$AB$15+#REF!*$AB$16</f>
        <v>#REF!</v>
      </c>
      <c r="Y86" s="332">
        <f t="shared" si="39"/>
        <v>1.6576118112262655E-2</v>
      </c>
      <c r="Z86" s="325"/>
    </row>
    <row r="87" spans="1:58" ht="15.75" customHeight="1" x14ac:dyDescent="0.25">
      <c r="A87" s="355" t="s">
        <v>563</v>
      </c>
      <c r="B87" s="357" t="s">
        <v>676</v>
      </c>
      <c r="C87" s="345">
        <f>'Historical Data'!B271</f>
        <v>1.3000000000000001E-2</v>
      </c>
      <c r="D87" s="401">
        <f>'Historical Data'!E104</f>
        <v>4.8</v>
      </c>
      <c r="E87" s="333">
        <v>0.1</v>
      </c>
      <c r="F87" s="401">
        <f t="shared" si="23"/>
        <v>9.9999999999999645E-2</v>
      </c>
      <c r="G87" s="401">
        <f>'Historical Data'!H136</f>
        <v>-0.3</v>
      </c>
      <c r="H87" s="321">
        <v>0.03</v>
      </c>
      <c r="I87" s="401">
        <f t="shared" si="31"/>
        <v>0</v>
      </c>
      <c r="J87" s="401">
        <f t="shared" si="24"/>
        <v>0.27300000000000002</v>
      </c>
      <c r="K87" s="401">
        <f t="shared" si="25"/>
        <v>0.43099999999999999</v>
      </c>
      <c r="L87" s="401">
        <f t="shared" si="26"/>
        <v>0.252</v>
      </c>
      <c r="M87" s="401">
        <f t="shared" si="27"/>
        <v>0.378</v>
      </c>
      <c r="N87" s="401">
        <f t="shared" si="28"/>
        <v>0.14799999999999999</v>
      </c>
      <c r="O87" s="401">
        <f t="shared" si="32"/>
        <v>-0.76659660759618964</v>
      </c>
      <c r="P87" s="401">
        <f t="shared" si="33"/>
        <v>-0.18934009139731298</v>
      </c>
      <c r="Q87" s="401">
        <f t="shared" si="34"/>
        <v>-0.82285792936539259</v>
      </c>
      <c r="R87" s="401">
        <f t="shared" si="35"/>
        <v>-0.40345059107462899</v>
      </c>
      <c r="S87" s="401">
        <f t="shared" si="36"/>
        <v>-0.43490921419350353</v>
      </c>
      <c r="T87" s="401">
        <f t="shared" ref="T87:T91" si="40">O87*$AB$8-P87*$AB$9+Q87*$AB$10+S87*$AB$11+R87*$AB$12</f>
        <v>-0.607145728881335</v>
      </c>
      <c r="U87" s="331">
        <v>1.7000000000000001E-2</v>
      </c>
      <c r="V87" s="332">
        <f t="shared" ref="V87:V91" si="41">NORMSDIST((_xlfn.NORM.S.INV(U87)-(SQRT($AF$11)*T87))/SQRT(1-$AF$11))</f>
        <v>1.9854330410835449E-2</v>
      </c>
      <c r="X87" s="332"/>
      <c r="Y87" s="332"/>
      <c r="Z87" s="325"/>
    </row>
    <row r="88" spans="1:58" ht="15.75" customHeight="1" x14ac:dyDescent="0.25">
      <c r="A88" s="355" t="s">
        <v>563</v>
      </c>
      <c r="B88" s="355" t="s">
        <v>677</v>
      </c>
      <c r="C88" s="345">
        <f>'Historical Data'!B272</f>
        <v>-1.6E-2</v>
      </c>
      <c r="D88" s="401">
        <f>'Historical Data'!E105</f>
        <v>4.4000000000000004</v>
      </c>
      <c r="E88" s="333">
        <v>0.1</v>
      </c>
      <c r="F88" s="401">
        <f t="shared" si="23"/>
        <v>-0.39999999999999947</v>
      </c>
      <c r="G88" s="401">
        <f>'Historical Data'!H137</f>
        <v>-0.3</v>
      </c>
      <c r="H88" s="321">
        <v>1.0999999999999999E-2</v>
      </c>
      <c r="I88" s="401">
        <f t="shared" si="31"/>
        <v>0</v>
      </c>
      <c r="J88" s="401">
        <f t="shared" si="24"/>
        <v>7.2999999999999995E-2</v>
      </c>
      <c r="K88" s="401">
        <f t="shared" si="25"/>
        <v>0.21</v>
      </c>
      <c r="L88" s="401">
        <f t="shared" si="26"/>
        <v>0.252</v>
      </c>
      <c r="M88" s="401">
        <f t="shared" si="27"/>
        <v>0.221</v>
      </c>
      <c r="N88" s="401">
        <f t="shared" si="28"/>
        <v>0.14799999999999999</v>
      </c>
      <c r="O88" s="401">
        <f t="shared" si="32"/>
        <v>-1.4595240835394636</v>
      </c>
      <c r="P88" s="401">
        <f t="shared" si="33"/>
        <v>-0.94371368371381747</v>
      </c>
      <c r="Q88" s="401">
        <f t="shared" si="34"/>
        <v>-0.82285792936539259</v>
      </c>
      <c r="R88" s="401">
        <f t="shared" si="35"/>
        <v>-0.94566230182233924</v>
      </c>
      <c r="S88" s="401">
        <f t="shared" si="36"/>
        <v>-0.43490921419350353</v>
      </c>
      <c r="T88" s="401">
        <f t="shared" si="40"/>
        <v>-1.0016860262904199</v>
      </c>
      <c r="U88" s="331">
        <v>1.7000000000000001E-2</v>
      </c>
      <c r="V88" s="332">
        <f t="shared" si="41"/>
        <v>3.0609092348683371E-2</v>
      </c>
      <c r="X88" s="332"/>
      <c r="Y88" s="332"/>
      <c r="Z88" s="325"/>
    </row>
    <row r="89" spans="1:58" ht="15.75" customHeight="1" x14ac:dyDescent="0.25">
      <c r="A89" s="355" t="s">
        <v>563</v>
      </c>
      <c r="B89" s="355" t="s">
        <v>678</v>
      </c>
      <c r="C89" s="345">
        <f>'Historical Data'!B273</f>
        <v>4.8000000000000001E-2</v>
      </c>
      <c r="D89" s="401">
        <f>'Historical Data'!E106</f>
        <v>4.2</v>
      </c>
      <c r="E89" s="333">
        <v>0.1</v>
      </c>
      <c r="F89" s="401">
        <f t="shared" si="23"/>
        <v>-0.20000000000000018</v>
      </c>
      <c r="G89" s="401">
        <f>'Historical Data'!H138</f>
        <v>2.2000000000000002</v>
      </c>
      <c r="H89" s="321">
        <v>3.7999999999999999E-2</v>
      </c>
      <c r="I89" s="401">
        <f t="shared" si="31"/>
        <v>0</v>
      </c>
      <c r="J89" s="401">
        <f t="shared" si="24"/>
        <v>0.94699999999999995</v>
      </c>
      <c r="K89" s="401">
        <f t="shared" si="25"/>
        <v>0.16800000000000001</v>
      </c>
      <c r="L89" s="401">
        <f t="shared" si="26"/>
        <v>0.75700000000000001</v>
      </c>
      <c r="M89" s="401">
        <f t="shared" si="27"/>
        <v>0.43099999999999999</v>
      </c>
      <c r="N89" s="401">
        <f t="shared" si="28"/>
        <v>0.14799999999999999</v>
      </c>
      <c r="O89" s="401">
        <f t="shared" si="32"/>
        <v>1.5685689863326433</v>
      </c>
      <c r="P89" s="401">
        <f t="shared" si="33"/>
        <v>-1.087078800805642</v>
      </c>
      <c r="Q89" s="401">
        <f t="shared" si="34"/>
        <v>0.89952678699548205</v>
      </c>
      <c r="R89" s="401">
        <f t="shared" si="35"/>
        <v>-0.2204109689750835</v>
      </c>
      <c r="S89" s="401">
        <f t="shared" si="36"/>
        <v>-0.43490921419350353</v>
      </c>
      <c r="T89" s="401">
        <f t="shared" si="40"/>
        <v>1.0742699322628393</v>
      </c>
      <c r="U89" s="331">
        <v>1.7000000000000001E-2</v>
      </c>
      <c r="V89" s="332">
        <f t="shared" si="41"/>
        <v>2.223739218377175E-3</v>
      </c>
      <c r="X89" s="332"/>
      <c r="Y89" s="332"/>
      <c r="Z89" s="325"/>
    </row>
    <row r="90" spans="1:58" ht="15.75" customHeight="1" x14ac:dyDescent="0.25">
      <c r="A90" s="355" t="s">
        <v>563</v>
      </c>
      <c r="B90" s="355" t="s">
        <v>679</v>
      </c>
      <c r="C90" s="345">
        <f>'Historical Data'!B274</f>
        <v>1.2999999999999999E-2</v>
      </c>
      <c r="D90" s="401">
        <f>'Historical Data'!E107</f>
        <v>4.92</v>
      </c>
      <c r="E90" s="333">
        <v>0.1</v>
      </c>
      <c r="F90" s="401">
        <f t="shared" si="23"/>
        <v>0.71999999999999975</v>
      </c>
      <c r="G90" s="401">
        <f>'Historical Data'!H139</f>
        <v>2.7</v>
      </c>
      <c r="H90" s="321">
        <v>1.7000000000000001E-2</v>
      </c>
      <c r="I90" s="401">
        <f t="shared" si="31"/>
        <v>0</v>
      </c>
      <c r="J90" s="401">
        <f t="shared" si="24"/>
        <v>0.26300000000000001</v>
      </c>
      <c r="K90" s="401">
        <f t="shared" si="25"/>
        <v>0.55700000000000005</v>
      </c>
      <c r="L90" s="401">
        <f t="shared" si="26"/>
        <v>0.84199999999999997</v>
      </c>
      <c r="M90" s="401">
        <f t="shared" si="27"/>
        <v>0.29399999999999998</v>
      </c>
      <c r="N90" s="401">
        <f t="shared" si="28"/>
        <v>0.14799999999999999</v>
      </c>
      <c r="O90" s="401">
        <f t="shared" si="32"/>
        <v>-0.80124298139335337</v>
      </c>
      <c r="P90" s="401">
        <f t="shared" si="33"/>
        <v>0.24075525987816043</v>
      </c>
      <c r="Q90" s="401">
        <f t="shared" si="34"/>
        <v>1.1894331253928569</v>
      </c>
      <c r="R90" s="401">
        <f t="shared" si="35"/>
        <v>-0.69355112421353138</v>
      </c>
      <c r="S90" s="401">
        <f t="shared" si="36"/>
        <v>-0.43490921419350353</v>
      </c>
      <c r="T90" s="401">
        <f t="shared" si="40"/>
        <v>-0.49872403612524585</v>
      </c>
      <c r="U90" s="331">
        <v>1.7000000000000001E-2</v>
      </c>
      <c r="V90" s="332">
        <f t="shared" si="41"/>
        <v>1.7534330094171383E-2</v>
      </c>
      <c r="X90" s="332"/>
      <c r="Y90" s="332"/>
      <c r="Z90" s="325"/>
    </row>
    <row r="91" spans="1:58" ht="15.75" customHeight="1" x14ac:dyDescent="0.25">
      <c r="A91" s="355" t="s">
        <v>563</v>
      </c>
      <c r="B91" s="355" t="s">
        <v>680</v>
      </c>
      <c r="C91" s="345">
        <f>'Historical Data'!B275</f>
        <v>0.01</v>
      </c>
      <c r="D91" s="401">
        <f>'Historical Data'!E108</f>
        <v>3.8</v>
      </c>
      <c r="E91" s="333">
        <v>0.25</v>
      </c>
      <c r="F91" s="401">
        <f t="shared" si="23"/>
        <v>-1.1200000000000001</v>
      </c>
      <c r="G91" s="401">
        <f>'Historical Data'!H140</f>
        <v>6.1</v>
      </c>
      <c r="H91" s="321">
        <v>2.5000000000000001E-2</v>
      </c>
      <c r="I91" s="401">
        <f t="shared" si="31"/>
        <v>0.15</v>
      </c>
      <c r="J91" s="401">
        <f t="shared" si="24"/>
        <v>0.16800000000000001</v>
      </c>
      <c r="K91" s="401">
        <f t="shared" si="25"/>
        <v>4.2000000000000003E-2</v>
      </c>
      <c r="L91" s="401">
        <f t="shared" si="26"/>
        <v>1</v>
      </c>
      <c r="M91" s="401">
        <f t="shared" si="27"/>
        <v>0.32600000000000001</v>
      </c>
      <c r="N91" s="401">
        <f t="shared" si="28"/>
        <v>0.82899999999999996</v>
      </c>
      <c r="O91" s="401">
        <f t="shared" si="32"/>
        <v>-1.1303835324664084</v>
      </c>
      <c r="P91" s="401">
        <f t="shared" si="33"/>
        <v>-1.5171741520811153</v>
      </c>
      <c r="Q91" s="401">
        <f t="shared" si="34"/>
        <v>1.7283178485315069</v>
      </c>
      <c r="R91" s="401">
        <f t="shared" si="35"/>
        <v>-0.58303663539871131</v>
      </c>
      <c r="S91" s="401">
        <f t="shared" si="36"/>
        <v>1.8131294253278085</v>
      </c>
      <c r="T91" s="401">
        <f t="shared" si="40"/>
        <v>-0.23067164042567304</v>
      </c>
      <c r="U91" s="331">
        <v>1.7000000000000001E-2</v>
      </c>
      <c r="V91" s="332">
        <f t="shared" si="41"/>
        <v>1.2769429998438679E-2</v>
      </c>
      <c r="X91" s="332"/>
      <c r="Y91" s="332"/>
      <c r="Z91" s="325"/>
      <c r="AB91" s="328" t="s">
        <v>575</v>
      </c>
    </row>
    <row r="92" spans="1:58" ht="15.75" customHeight="1" x14ac:dyDescent="0.25">
      <c r="A92" s="355" t="s">
        <v>563</v>
      </c>
      <c r="B92" s="357" t="s">
        <v>681</v>
      </c>
      <c r="C92" s="345">
        <f>'Historical Data'!B276</f>
        <v>8.0000000000000487E-3</v>
      </c>
      <c r="D92" s="401">
        <f>'Historical Data'!E109</f>
        <v>3.9285590107467714</v>
      </c>
      <c r="E92" s="333">
        <v>0.45634920634920634</v>
      </c>
      <c r="F92" s="401">
        <f>D92-D91</f>
        <v>0.12855901074677156</v>
      </c>
      <c r="G92" s="401">
        <f>'Historical Data'!H141</f>
        <v>1.7147692412596001</v>
      </c>
      <c r="H92" s="321">
        <v>1.1999999999977636E-2</v>
      </c>
      <c r="I92" s="401">
        <f>E92-E86</f>
        <v>0.3563492063492063</v>
      </c>
      <c r="J92" s="401">
        <f t="shared" si="24"/>
        <v>0.14699999999999999</v>
      </c>
      <c r="K92" s="401">
        <f t="shared" si="25"/>
        <v>8.4000000000000005E-2</v>
      </c>
      <c r="L92" s="401">
        <f t="shared" si="26"/>
        <v>0.621</v>
      </c>
      <c r="M92" s="401">
        <f t="shared" si="27"/>
        <v>0.24199999999999999</v>
      </c>
      <c r="N92" s="401">
        <f t="shared" si="28"/>
        <v>0.96799999999999997</v>
      </c>
      <c r="O92" s="401">
        <f t="shared" ref="O92:O100" si="42">(J92-AB$4)/AB$5</f>
        <v>-1.2031409174404522</v>
      </c>
      <c r="P92" s="401">
        <f t="shared" ref="P92:P100" si="43">(K92-AC$4)/AC$5</f>
        <v>-1.3738090349892906</v>
      </c>
      <c r="Q92" s="401">
        <f t="shared" ref="Q92:Q100" si="44">(L92-AD$4)/AD$5</f>
        <v>0.43567664555968216</v>
      </c>
      <c r="R92" s="401">
        <f t="shared" ref="R92:R100" si="45">(M92-AF$4)/AF$5</f>
        <v>-0.87313716853761381</v>
      </c>
      <c r="S92" s="401">
        <f t="shared" ref="S92:S100" si="46">(N92-AE$4)/AE$5</f>
        <v>2.2719801902227608</v>
      </c>
      <c r="T92" s="401">
        <f t="shared" ref="T92:T99" si="47">O92*$AB$8-P92*$AB$9+Q92*$AB$10+S92*$AB$11+R92*$AB$12</f>
        <v>-0.4010516802408593</v>
      </c>
      <c r="U92" s="331">
        <v>1.7000000000000001E-2</v>
      </c>
      <c r="V92" s="332">
        <f t="shared" ref="V92:V99" si="48">NORMSDIST((_xlfn.NORM.S.INV(U92)-(SQRT($AF$11)*T92))/SQRT(1-$AF$11))</f>
        <v>1.5646522720286035E-2</v>
      </c>
      <c r="X92" s="332" t="e">
        <f>Y92*$AB$14+#REF!*$AB$15+#REF!*Baseline!$AB$16</f>
        <v>#REF!</v>
      </c>
      <c r="Y92" s="332">
        <f>V92*0.5+V86*0.25+V85*0.25</f>
        <v>1.6725238627307723E-2</v>
      </c>
      <c r="Z92" s="325"/>
      <c r="AB92" s="355" t="s">
        <v>547</v>
      </c>
      <c r="AC92" s="355" t="s">
        <v>715</v>
      </c>
      <c r="AD92" s="355" t="s">
        <v>714</v>
      </c>
      <c r="AE92" s="355" t="s">
        <v>550</v>
      </c>
      <c r="AF92" s="355" t="s">
        <v>577</v>
      </c>
      <c r="AK92" s="346"/>
      <c r="AL92" s="346"/>
      <c r="AM92" s="346"/>
      <c r="AN92" s="346"/>
      <c r="AO92" s="346"/>
    </row>
    <row r="93" spans="1:58" x14ac:dyDescent="0.25">
      <c r="A93" s="355" t="s">
        <v>956</v>
      </c>
      <c r="B93" s="357" t="s">
        <v>682</v>
      </c>
      <c r="C93" s="561">
        <f>AB93</f>
        <v>5.6831000000112696E-4</v>
      </c>
      <c r="D93" s="401">
        <f>AF93</f>
        <v>3.947763056247616</v>
      </c>
      <c r="E93" s="345">
        <f>AD93</f>
        <v>1.159</v>
      </c>
      <c r="F93" s="401">
        <f t="shared" ref="F93:F100" si="49">D93-D92</f>
        <v>1.9204045500844646E-2</v>
      </c>
      <c r="G93" s="344">
        <f>AE93</f>
        <v>2.1674152502024322</v>
      </c>
      <c r="H93" s="327">
        <f>AC93</f>
        <v>8.0000000000462915E-4</v>
      </c>
      <c r="I93" s="401">
        <f t="shared" ref="I93:I99" si="50">E93-E92</f>
        <v>0.70265079365079375</v>
      </c>
      <c r="J93" s="401">
        <f t="shared" si="24"/>
        <v>0.105</v>
      </c>
      <c r="K93" s="401">
        <f t="shared" si="25"/>
        <v>9.4E-2</v>
      </c>
      <c r="L93" s="401">
        <f t="shared" si="26"/>
        <v>0.747</v>
      </c>
      <c r="M93" s="401">
        <f t="shared" si="27"/>
        <v>0.105</v>
      </c>
      <c r="N93" s="401">
        <f t="shared" si="28"/>
        <v>1</v>
      </c>
      <c r="O93" s="401">
        <f t="shared" si="42"/>
        <v>-1.34865568738854</v>
      </c>
      <c r="P93" s="401">
        <f t="shared" si="43"/>
        <v>-1.339674483300761</v>
      </c>
      <c r="Q93" s="401">
        <f t="shared" si="44"/>
        <v>0.86542015894873203</v>
      </c>
      <c r="R93" s="401">
        <f t="shared" si="45"/>
        <v>-1.3462773237760617</v>
      </c>
      <c r="S93" s="401">
        <f t="shared" si="46"/>
        <v>2.3776148986877859</v>
      </c>
      <c r="T93" s="401">
        <f t="shared" si="47"/>
        <v>-0.48555019071700228</v>
      </c>
      <c r="U93" s="331">
        <v>1.7000000000000001E-2</v>
      </c>
      <c r="V93" s="332">
        <f t="shared" si="48"/>
        <v>1.7268871592869703E-2</v>
      </c>
      <c r="X93" s="332" t="e">
        <f>Y93*$AB$14+#REF!*$AB$15+#REF!*Baseline!$AB$16</f>
        <v>#REF!</v>
      </c>
      <c r="Y93" s="332">
        <f>V93*0.5+V92*0.25+V86*0.25</f>
        <v>1.3219388810763852E-2</v>
      </c>
      <c r="Z93" s="325"/>
      <c r="AA93" s="355" t="s">
        <v>682</v>
      </c>
      <c r="AB93" s="327">
        <f>MacroAssumptions!C6</f>
        <v>5.6831000000112696E-4</v>
      </c>
      <c r="AC93" s="345">
        <f>MacroAssumptions!D6</f>
        <v>8.0000000000462915E-4</v>
      </c>
      <c r="AD93" s="344">
        <f>MacroAssumptions!E6</f>
        <v>1.159</v>
      </c>
      <c r="AE93" s="344">
        <f>MacroAssumptions!F6</f>
        <v>2.1674152502024322</v>
      </c>
      <c r="AF93" s="344">
        <f>MacroAssumptions!G6</f>
        <v>3.947763056247616</v>
      </c>
    </row>
    <row r="94" spans="1:58" x14ac:dyDescent="0.25">
      <c r="A94" s="355" t="s">
        <v>956</v>
      </c>
      <c r="B94" s="357" t="s">
        <v>683</v>
      </c>
      <c r="C94" s="561">
        <f t="shared" ref="C94:C100" si="51">AB94</f>
        <v>-8.7559999999818497E-4</v>
      </c>
      <c r="D94" s="401">
        <f t="shared" ref="D94:D100" si="52">AF94</f>
        <v>4.0777406028440826</v>
      </c>
      <c r="E94" s="345">
        <f t="shared" ref="E94:E100" si="53">AD94</f>
        <v>1.4119999999999999</v>
      </c>
      <c r="F94" s="401">
        <f t="shared" si="49"/>
        <v>0.12997754659646654</v>
      </c>
      <c r="G94" s="344">
        <f t="shared" ref="G94:G100" si="54">AE94</f>
        <v>1.2280231802426653</v>
      </c>
      <c r="H94" s="327">
        <f t="shared" ref="H94:H100" si="55">AC94</f>
        <v>8.3667935156958952E-4</v>
      </c>
      <c r="I94" s="401">
        <f t="shared" si="50"/>
        <v>0.25299999999999989</v>
      </c>
      <c r="J94" s="401">
        <f t="shared" si="24"/>
        <v>9.4E-2</v>
      </c>
      <c r="K94" s="401">
        <f t="shared" si="25"/>
        <v>0.126</v>
      </c>
      <c r="L94" s="401">
        <f t="shared" si="26"/>
        <v>0.52600000000000002</v>
      </c>
      <c r="M94" s="401">
        <f t="shared" si="27"/>
        <v>0.115</v>
      </c>
      <c r="N94" s="401">
        <f t="shared" si="28"/>
        <v>0.94599999999999995</v>
      </c>
      <c r="O94" s="401">
        <f t="shared" si="42"/>
        <v>-1.3867666985654201</v>
      </c>
      <c r="P94" s="401">
        <f t="shared" si="43"/>
        <v>-1.2304439178974664</v>
      </c>
      <c r="Q94" s="401">
        <f t="shared" si="44"/>
        <v>0.1116636791155573</v>
      </c>
      <c r="R94" s="401">
        <f t="shared" si="45"/>
        <v>-1.3117415460214303</v>
      </c>
      <c r="S94" s="401">
        <f t="shared" si="46"/>
        <v>2.1993563281530562</v>
      </c>
      <c r="T94" s="401">
        <f t="shared" si="47"/>
        <v>-0.60908778122478724</v>
      </c>
      <c r="U94" s="331">
        <v>1.7000000000000001E-2</v>
      </c>
      <c r="V94" s="332">
        <f t="shared" si="48"/>
        <v>1.9898154303693603E-2</v>
      </c>
      <c r="X94" s="332" t="e">
        <f>Y94*$AB$14+#REF!*$AB$15+#REF!*Baseline!$AB$16</f>
        <v>#REF!</v>
      </c>
      <c r="Y94" s="332">
        <f t="shared" ref="Y94:Y99" si="56">V94*0.5+V93*0.25+V92*0.25</f>
        <v>1.8177925730135734E-2</v>
      </c>
      <c r="Z94" s="325"/>
      <c r="AA94" s="355" t="s">
        <v>683</v>
      </c>
      <c r="AB94" s="327">
        <f>MacroAssumptions!C7</f>
        <v>-8.7559999999818497E-4</v>
      </c>
      <c r="AC94" s="345">
        <f>MacroAssumptions!D7</f>
        <v>8.3667935156958952E-4</v>
      </c>
      <c r="AD94" s="344">
        <f>MacroAssumptions!E7</f>
        <v>1.4119999999999999</v>
      </c>
      <c r="AE94" s="344">
        <f>MacroAssumptions!F7</f>
        <v>1.2280231802426653</v>
      </c>
      <c r="AF94" s="344">
        <f>MacroAssumptions!G7</f>
        <v>4.0777406028440826</v>
      </c>
    </row>
    <row r="95" spans="1:58" x14ac:dyDescent="0.25">
      <c r="A95" s="355" t="s">
        <v>956</v>
      </c>
      <c r="B95" s="357" t="s">
        <v>2529</v>
      </c>
      <c r="C95" s="561">
        <f t="shared" si="51"/>
        <v>2.5000000000009463E-3</v>
      </c>
      <c r="D95" s="401">
        <f t="shared" si="52"/>
        <v>4.1535782816406392</v>
      </c>
      <c r="E95" s="345">
        <f t="shared" si="53"/>
        <v>1.5</v>
      </c>
      <c r="F95" s="401">
        <f t="shared" si="49"/>
        <v>7.5837678796556673E-2</v>
      </c>
      <c r="G95" s="344">
        <f t="shared" si="54"/>
        <v>1.0467204850000815</v>
      </c>
      <c r="H95" s="327">
        <f t="shared" si="55"/>
        <v>2.3753691648136085E-3</v>
      </c>
      <c r="I95" s="401">
        <f t="shared" si="50"/>
        <v>8.8000000000000078E-2</v>
      </c>
      <c r="J95" s="401">
        <f t="shared" si="24"/>
        <v>0.115</v>
      </c>
      <c r="K95" s="401">
        <f t="shared" si="25"/>
        <v>0.157</v>
      </c>
      <c r="L95" s="401">
        <f t="shared" si="26"/>
        <v>0.48399999999999999</v>
      </c>
      <c r="M95" s="401">
        <f t="shared" si="27"/>
        <v>0.13600000000000001</v>
      </c>
      <c r="N95" s="401">
        <f t="shared" si="28"/>
        <v>0.81899999999999995</v>
      </c>
      <c r="O95" s="401">
        <f t="shared" si="42"/>
        <v>-1.3140093135913762</v>
      </c>
      <c r="P95" s="401">
        <f t="shared" si="43"/>
        <v>-1.1246268076630246</v>
      </c>
      <c r="Q95" s="401">
        <f t="shared" si="44"/>
        <v>-3.1584158680792798E-2</v>
      </c>
      <c r="R95" s="401">
        <f t="shared" si="45"/>
        <v>-1.2392164127367047</v>
      </c>
      <c r="S95" s="401">
        <f t="shared" si="46"/>
        <v>1.7801185789324883</v>
      </c>
      <c r="T95" s="401">
        <f t="shared" si="47"/>
        <v>-0.62501110663702408</v>
      </c>
      <c r="U95" s="331">
        <v>1.7000000000000001E-2</v>
      </c>
      <c r="V95" s="332">
        <f t="shared" si="48"/>
        <v>2.0260581438873063E-2</v>
      </c>
      <c r="X95" s="332" t="e">
        <f>Y95*$AB$14+#REF!*$AB$15+#REF!*Baseline!$AB$16</f>
        <v>#REF!</v>
      </c>
      <c r="Y95" s="332">
        <f t="shared" si="56"/>
        <v>1.9422047193577357E-2</v>
      </c>
      <c r="Z95" s="325"/>
      <c r="AA95" s="355" t="s">
        <v>2529</v>
      </c>
      <c r="AB95" s="327">
        <f>MacroAssumptions!C8</f>
        <v>2.5000000000009463E-3</v>
      </c>
      <c r="AC95" s="345">
        <f>MacroAssumptions!D8</f>
        <v>2.3753691648136085E-3</v>
      </c>
      <c r="AD95" s="344">
        <f>MacroAssumptions!E8</f>
        <v>1.5</v>
      </c>
      <c r="AE95" s="344">
        <f>MacroAssumptions!F8</f>
        <v>1.0467204850000815</v>
      </c>
      <c r="AF95" s="344">
        <f>MacroAssumptions!G8</f>
        <v>4.1535782816406392</v>
      </c>
    </row>
    <row r="96" spans="1:58" x14ac:dyDescent="0.25">
      <c r="A96" s="355" t="s">
        <v>956</v>
      </c>
      <c r="B96" s="357" t="s">
        <v>2530</v>
      </c>
      <c r="C96" s="561">
        <f t="shared" si="51"/>
        <v>4.6551335764823659E-3</v>
      </c>
      <c r="D96" s="401">
        <f t="shared" si="52"/>
        <v>4.2369568972781879</v>
      </c>
      <c r="E96" s="345">
        <f t="shared" si="53"/>
        <v>1.5</v>
      </c>
      <c r="F96" s="401">
        <f t="shared" si="49"/>
        <v>8.337861563754867E-2</v>
      </c>
      <c r="G96" s="344">
        <f t="shared" si="54"/>
        <v>0.93404010758660283</v>
      </c>
      <c r="H96" s="327">
        <f t="shared" si="55"/>
        <v>5.4590470775422893E-3</v>
      </c>
      <c r="I96" s="401">
        <f t="shared" si="50"/>
        <v>0</v>
      </c>
      <c r="J96" s="401">
        <f t="shared" si="24"/>
        <v>0.126</v>
      </c>
      <c r="K96" s="401">
        <f t="shared" si="25"/>
        <v>0.189</v>
      </c>
      <c r="L96" s="401">
        <f t="shared" si="26"/>
        <v>0.45200000000000001</v>
      </c>
      <c r="M96" s="401">
        <f t="shared" si="27"/>
        <v>0.16800000000000001</v>
      </c>
      <c r="N96" s="401">
        <f t="shared" si="28"/>
        <v>0.14799999999999999</v>
      </c>
      <c r="O96" s="401">
        <f t="shared" si="42"/>
        <v>-1.2758983024144961</v>
      </c>
      <c r="P96" s="401">
        <f t="shared" si="43"/>
        <v>-1.0153962422597298</v>
      </c>
      <c r="Q96" s="401">
        <f t="shared" si="44"/>
        <v>-0.14072536843039268</v>
      </c>
      <c r="R96" s="401">
        <f t="shared" si="45"/>
        <v>-1.128701923921885</v>
      </c>
      <c r="S96" s="401">
        <f t="shared" si="46"/>
        <v>-0.43490921419350353</v>
      </c>
      <c r="T96" s="401">
        <f t="shared" si="47"/>
        <v>-0.83443300787730279</v>
      </c>
      <c r="U96" s="331">
        <v>1.7000000000000001E-2</v>
      </c>
      <c r="V96" s="332">
        <f t="shared" si="48"/>
        <v>2.5571502924850793E-2</v>
      </c>
      <c r="X96" s="332" t="e">
        <f>Y96*$AB$14+#REF!*$AB$15+#REF!*Baseline!$AB$16</f>
        <v>#REF!</v>
      </c>
      <c r="Y96" s="332">
        <f t="shared" si="56"/>
        <v>2.2825435398067064E-2</v>
      </c>
      <c r="Z96" s="325"/>
      <c r="AA96" s="355" t="s">
        <v>2530</v>
      </c>
      <c r="AB96" s="327">
        <f>MacroAssumptions!C9</f>
        <v>4.6551335764823659E-3</v>
      </c>
      <c r="AC96" s="345">
        <f>MacroAssumptions!D9</f>
        <v>5.4590470775422893E-3</v>
      </c>
      <c r="AD96" s="344">
        <f>MacroAssumptions!E9</f>
        <v>1.5</v>
      </c>
      <c r="AE96" s="344">
        <f>MacroAssumptions!F9</f>
        <v>0.93404010758660283</v>
      </c>
      <c r="AF96" s="344">
        <f>MacroAssumptions!G9</f>
        <v>4.2369568972781879</v>
      </c>
    </row>
    <row r="97" spans="1:32" x14ac:dyDescent="0.25">
      <c r="A97" s="355" t="s">
        <v>956</v>
      </c>
      <c r="B97" s="357" t="s">
        <v>2532</v>
      </c>
      <c r="C97" s="561">
        <f t="shared" si="51"/>
        <v>1.5939474670149716E-2</v>
      </c>
      <c r="D97" s="401">
        <f t="shared" si="52"/>
        <v>4.5590156818058452</v>
      </c>
      <c r="E97" s="345">
        <f t="shared" si="53"/>
        <v>2.1471193415637861</v>
      </c>
      <c r="F97" s="401">
        <f t="shared" si="49"/>
        <v>0.32205878452765724</v>
      </c>
      <c r="G97" s="344">
        <f t="shared" si="54"/>
        <v>2.1231051482299756</v>
      </c>
      <c r="H97" s="327">
        <f t="shared" si="55"/>
        <v>4.6906257527069201E-2</v>
      </c>
      <c r="I97" s="401">
        <f t="shared" si="50"/>
        <v>0.64711934156378614</v>
      </c>
      <c r="J97" s="401">
        <f t="shared" si="24"/>
        <v>0.378</v>
      </c>
      <c r="K97" s="401">
        <f t="shared" si="25"/>
        <v>0.30499999999999999</v>
      </c>
      <c r="L97" s="401">
        <f t="shared" si="26"/>
        <v>0.73599999999999999</v>
      </c>
      <c r="M97" s="401">
        <f t="shared" si="27"/>
        <v>0.505</v>
      </c>
      <c r="N97" s="401">
        <f t="shared" si="28"/>
        <v>0.98899999999999999</v>
      </c>
      <c r="O97" s="401">
        <f t="shared" si="42"/>
        <v>-0.4028096827259709</v>
      </c>
      <c r="P97" s="401">
        <f t="shared" si="43"/>
        <v>-0.61943544267278616</v>
      </c>
      <c r="Q97" s="401">
        <f t="shared" si="44"/>
        <v>0.82790286809730707</v>
      </c>
      <c r="R97" s="401">
        <f t="shared" si="45"/>
        <v>3.5153786409187641E-2</v>
      </c>
      <c r="S97" s="401">
        <f t="shared" si="46"/>
        <v>2.341302967652934</v>
      </c>
      <c r="T97" s="401">
        <f t="shared" si="47"/>
        <v>0.14069369684763899</v>
      </c>
      <c r="U97" s="331">
        <v>1.7000000000000001E-2</v>
      </c>
      <c r="V97" s="332">
        <f t="shared" si="48"/>
        <v>8.0388811739117595E-3</v>
      </c>
      <c r="X97" s="332" t="e">
        <f>Y97*$AB$14+#REF!*$AB$15+#REF!*Baseline!$AB$16</f>
        <v>#REF!</v>
      </c>
      <c r="Y97" s="332">
        <f t="shared" si="56"/>
        <v>1.5477461677886844E-2</v>
      </c>
      <c r="Z97" s="325"/>
      <c r="AA97" s="355" t="s">
        <v>2532</v>
      </c>
      <c r="AB97" s="327">
        <f>MacroAssumptions!C10</f>
        <v>1.5939474670149716E-2</v>
      </c>
      <c r="AC97" s="345">
        <f>MacroAssumptions!D10</f>
        <v>4.6906257527069201E-2</v>
      </c>
      <c r="AD97" s="344">
        <f>MacroAssumptions!E10</f>
        <v>2.1471193415637861</v>
      </c>
      <c r="AE97" s="344">
        <f>MacroAssumptions!F10</f>
        <v>2.1231051482299756</v>
      </c>
      <c r="AF97" s="344">
        <f>MacroAssumptions!G10</f>
        <v>4.5590156818058452</v>
      </c>
    </row>
    <row r="98" spans="1:32" x14ac:dyDescent="0.25">
      <c r="A98" s="355" t="s">
        <v>956</v>
      </c>
      <c r="B98" s="357" t="s">
        <v>2533</v>
      </c>
      <c r="C98" s="561">
        <f t="shared" si="51"/>
        <v>1.3884068458604916E-2</v>
      </c>
      <c r="D98" s="401">
        <f t="shared" si="52"/>
        <v>4.6896766727251871</v>
      </c>
      <c r="E98" s="345">
        <f t="shared" si="53"/>
        <v>2.4722222222222223</v>
      </c>
      <c r="F98" s="401">
        <f t="shared" si="49"/>
        <v>0.13066099091934191</v>
      </c>
      <c r="G98" s="344">
        <f t="shared" si="54"/>
        <v>2.0573129780050001</v>
      </c>
      <c r="H98" s="327">
        <f t="shared" si="55"/>
        <v>3.7081282069673024E-2</v>
      </c>
      <c r="I98" s="401">
        <f t="shared" si="50"/>
        <v>0.32510288065843618</v>
      </c>
      <c r="J98" s="401">
        <f t="shared" si="24"/>
        <v>0.30499999999999999</v>
      </c>
      <c r="K98" s="401">
        <f t="shared" si="25"/>
        <v>0.32600000000000001</v>
      </c>
      <c r="L98" s="401">
        <f t="shared" si="26"/>
        <v>0.70499999999999996</v>
      </c>
      <c r="M98" s="401">
        <f t="shared" si="27"/>
        <v>0.42099999999999999</v>
      </c>
      <c r="N98" s="401">
        <f t="shared" si="28"/>
        <v>0.95699999999999996</v>
      </c>
      <c r="O98" s="401">
        <f t="shared" si="42"/>
        <v>-0.65572821144526594</v>
      </c>
      <c r="P98" s="401">
        <f t="shared" si="43"/>
        <v>-0.54775288412687395</v>
      </c>
      <c r="Q98" s="401">
        <f t="shared" si="44"/>
        <v>0.72217232115238195</v>
      </c>
      <c r="R98" s="401">
        <f t="shared" si="45"/>
        <v>-0.25494674672971473</v>
      </c>
      <c r="S98" s="401">
        <f t="shared" si="46"/>
        <v>2.2356682591879089</v>
      </c>
      <c r="T98" s="401">
        <f t="shared" si="47"/>
        <v>-6.8372255093414519E-2</v>
      </c>
      <c r="U98" s="331">
        <v>1.7000000000000001E-2</v>
      </c>
      <c r="V98" s="332">
        <f t="shared" si="48"/>
        <v>1.0466418504111358E-2</v>
      </c>
      <c r="X98" s="332" t="e">
        <f>Y98*$AB$14+#REF!*$AB$15+#REF!*Baseline!$AB$16</f>
        <v>#REF!</v>
      </c>
      <c r="Y98" s="332">
        <f t="shared" si="56"/>
        <v>1.3635805276746318E-2</v>
      </c>
      <c r="Z98" s="325"/>
      <c r="AA98" s="355" t="s">
        <v>2533</v>
      </c>
      <c r="AB98" s="327">
        <f>MacroAssumptions!C11</f>
        <v>1.3884068458604916E-2</v>
      </c>
      <c r="AC98" s="345">
        <f>MacroAssumptions!D11</f>
        <v>3.7081282069673024E-2</v>
      </c>
      <c r="AD98" s="344">
        <f>MacroAssumptions!E11</f>
        <v>2.4722222222222223</v>
      </c>
      <c r="AE98" s="344">
        <f>MacroAssumptions!F11</f>
        <v>2.0573129780050001</v>
      </c>
      <c r="AF98" s="344">
        <f>MacroAssumptions!G11</f>
        <v>4.6896766727251871</v>
      </c>
    </row>
    <row r="99" spans="1:32" x14ac:dyDescent="0.25">
      <c r="A99" s="355" t="s">
        <v>956</v>
      </c>
      <c r="B99" s="357" t="s">
        <v>2534</v>
      </c>
      <c r="C99" s="561">
        <f t="shared" si="51"/>
        <v>9.7423042718366281E-3</v>
      </c>
      <c r="D99" s="401">
        <f t="shared" si="52"/>
        <v>4.7399335702979783</v>
      </c>
      <c r="E99" s="345">
        <f t="shared" si="53"/>
        <v>2.5</v>
      </c>
      <c r="F99" s="401">
        <f t="shared" si="49"/>
        <v>5.0256897572791281E-2</v>
      </c>
      <c r="G99" s="344">
        <f t="shared" si="54"/>
        <v>2.00489969000358</v>
      </c>
      <c r="H99" s="327">
        <f t="shared" si="55"/>
        <v>1.1504134928890871E-2</v>
      </c>
      <c r="I99" s="401">
        <f t="shared" si="50"/>
        <v>2.7777777777777679E-2</v>
      </c>
      <c r="J99" s="401">
        <f t="shared" si="24"/>
        <v>0.157</v>
      </c>
      <c r="K99" s="401">
        <f t="shared" si="25"/>
        <v>0.42099999999999999</v>
      </c>
      <c r="L99" s="401">
        <f t="shared" si="26"/>
        <v>0.69399999999999995</v>
      </c>
      <c r="M99" s="401">
        <f t="shared" si="27"/>
        <v>0.23100000000000001</v>
      </c>
      <c r="N99" s="401">
        <f t="shared" si="28"/>
        <v>0.80800000000000005</v>
      </c>
      <c r="O99" s="401">
        <f t="shared" si="42"/>
        <v>-1.1684945436432885</v>
      </c>
      <c r="P99" s="401">
        <f t="shared" si="43"/>
        <v>-0.22347464308584261</v>
      </c>
      <c r="Q99" s="401">
        <f t="shared" si="44"/>
        <v>0.68465503030095698</v>
      </c>
      <c r="R99" s="401">
        <f t="shared" si="45"/>
        <v>-0.911126524067708</v>
      </c>
      <c r="S99" s="401">
        <f t="shared" si="46"/>
        <v>1.7438066478976362</v>
      </c>
      <c r="T99" s="401">
        <f t="shared" si="47"/>
        <v>-0.52701574646430027</v>
      </c>
      <c r="U99" s="331">
        <v>1.7000000000000001E-2</v>
      </c>
      <c r="V99" s="332">
        <f t="shared" si="48"/>
        <v>1.8116212612997975E-2</v>
      </c>
      <c r="X99" s="332" t="e">
        <f>Y99*$AB$14+#REF!*$AB$15+#REF!*Baseline!$AB$16</f>
        <v>#REF!</v>
      </c>
      <c r="Y99" s="332">
        <f t="shared" si="56"/>
        <v>1.3684431226004767E-2</v>
      </c>
      <c r="Z99" s="325"/>
      <c r="AA99" s="355" t="s">
        <v>2534</v>
      </c>
      <c r="AB99" s="327">
        <f>MacroAssumptions!C12</f>
        <v>9.7423042718366281E-3</v>
      </c>
      <c r="AC99" s="345">
        <f>MacroAssumptions!D12</f>
        <v>1.1504134928890871E-2</v>
      </c>
      <c r="AD99" s="344">
        <f>MacroAssumptions!E12</f>
        <v>2.5</v>
      </c>
      <c r="AE99" s="344">
        <f>MacroAssumptions!F12</f>
        <v>2.00489969000358</v>
      </c>
      <c r="AF99" s="344">
        <f>MacroAssumptions!G12</f>
        <v>4.7399335702979783</v>
      </c>
    </row>
    <row r="100" spans="1:32" x14ac:dyDescent="0.25">
      <c r="A100" s="355" t="s">
        <v>956</v>
      </c>
      <c r="B100" s="357" t="s">
        <v>4584</v>
      </c>
      <c r="C100" s="561">
        <f t="shared" si="51"/>
        <v>1.1245971950586091E-2</v>
      </c>
      <c r="D100" s="401">
        <f t="shared" si="52"/>
        <v>4.7742246928015355</v>
      </c>
      <c r="E100" s="345">
        <f t="shared" si="53"/>
        <v>2.5</v>
      </c>
      <c r="F100" s="401">
        <f t="shared" si="49"/>
        <v>3.4291122503557148E-2</v>
      </c>
      <c r="G100" s="344">
        <f t="shared" si="54"/>
        <v>2.0048996900037981</v>
      </c>
      <c r="H100" s="327">
        <f t="shared" si="55"/>
        <v>1.2047232960902106E-2</v>
      </c>
      <c r="I100" s="401">
        <f t="shared" ref="I100" si="57">E100-E99</f>
        <v>0</v>
      </c>
      <c r="J100" s="401">
        <f t="shared" si="24"/>
        <v>0.21099999999999999</v>
      </c>
      <c r="K100" s="401">
        <f t="shared" si="25"/>
        <v>0.42699999999999999</v>
      </c>
      <c r="L100" s="401">
        <f t="shared" si="26"/>
        <v>0.69399999999999995</v>
      </c>
      <c r="M100" s="401">
        <f t="shared" si="27"/>
        <v>0.24199999999999999</v>
      </c>
      <c r="N100" s="401">
        <f t="shared" si="28"/>
        <v>0.14799999999999999</v>
      </c>
      <c r="O100" s="401">
        <f t="shared" si="42"/>
        <v>-0.98140412513860475</v>
      </c>
      <c r="P100" s="401">
        <f t="shared" si="43"/>
        <v>-0.20299391207272482</v>
      </c>
      <c r="Q100" s="401">
        <f t="shared" si="44"/>
        <v>0.68465503030095698</v>
      </c>
      <c r="R100" s="401">
        <f t="shared" si="45"/>
        <v>-0.87313716853761381</v>
      </c>
      <c r="S100" s="401">
        <f t="shared" si="46"/>
        <v>-0.43490921419350353</v>
      </c>
      <c r="T100" s="401">
        <f t="shared" ref="T100" si="58">O100*$AB$8-P100*$AB$9+Q100*$AB$10+S100*$AB$11+R100*$AB$12</f>
        <v>-0.6308822191189063</v>
      </c>
      <c r="U100" s="331">
        <v>1.7000000000000001E-2</v>
      </c>
      <c r="V100" s="332">
        <f t="shared" ref="V100" si="59">NORMSDIST((_xlfn.NORM.S.INV(U100)-(SQRT($AF$11)*T100))/SQRT(1-$AF$11))</f>
        <v>2.0395617297506528E-2</v>
      </c>
      <c r="X100" s="332" t="e">
        <f>Y100*$AB$14+#REF!*$AB$15+#REF!*Baseline!$AB$16</f>
        <v>#REF!</v>
      </c>
      <c r="Y100" s="332">
        <f t="shared" ref="Y100" si="60">V100*0.5+V99*0.25+V98*0.25</f>
        <v>1.7343466428030595E-2</v>
      </c>
      <c r="Z100" s="325"/>
      <c r="AA100" s="355" t="s">
        <v>4584</v>
      </c>
      <c r="AB100" s="327">
        <f>MacroAssumptions!C13</f>
        <v>1.1245971950586091E-2</v>
      </c>
      <c r="AC100" s="345">
        <f>MacroAssumptions!D13</f>
        <v>1.2047232960902106E-2</v>
      </c>
      <c r="AD100" s="344">
        <f>MacroAssumptions!E13</f>
        <v>2.5</v>
      </c>
      <c r="AE100" s="344">
        <f>MacroAssumptions!F13</f>
        <v>2.0048996900037981</v>
      </c>
      <c r="AF100" s="344">
        <f>MacroAssumptions!G13</f>
        <v>4.7742246928015355</v>
      </c>
    </row>
    <row r="102" spans="1:32" x14ac:dyDescent="0.25">
      <c r="C102" s="330"/>
      <c r="E102" s="339"/>
      <c r="G102" s="324"/>
      <c r="H102"/>
      <c r="U102" s="331"/>
      <c r="V102" s="330"/>
      <c r="X102" s="330"/>
      <c r="Y102" s="330"/>
      <c r="Z102" s="325"/>
    </row>
    <row r="103" spans="1:32" x14ac:dyDescent="0.25">
      <c r="C103" s="330"/>
      <c r="U103" s="331"/>
      <c r="V103" s="330"/>
      <c r="X103" s="330"/>
      <c r="Y103" s="330"/>
      <c r="Z103" s="325"/>
      <c r="AB103" s="326"/>
      <c r="AC103" s="331"/>
    </row>
    <row r="104" spans="1:32" x14ac:dyDescent="0.25">
      <c r="C104" s="330"/>
      <c r="U104" s="331"/>
      <c r="V104" s="330"/>
      <c r="X104" s="330"/>
      <c r="Y104" s="330"/>
      <c r="Z104" s="325"/>
      <c r="AB104" s="326"/>
      <c r="AC104" s="331"/>
    </row>
    <row r="105" spans="1:32" x14ac:dyDescent="0.25">
      <c r="C105" s="330"/>
      <c r="U105" s="331"/>
      <c r="V105" s="330"/>
      <c r="X105" s="330"/>
      <c r="Y105" s="330"/>
      <c r="Z105" s="325"/>
      <c r="AB105" s="326"/>
      <c r="AC105" s="331"/>
    </row>
    <row r="107" spans="1:32" x14ac:dyDescent="0.25">
      <c r="AB107" s="326"/>
      <c r="AC107" s="331"/>
    </row>
    <row r="108" spans="1:32" x14ac:dyDescent="0.25">
      <c r="AB108" s="326"/>
      <c r="AC108" s="331"/>
    </row>
    <row r="109" spans="1:32" x14ac:dyDescent="0.25">
      <c r="AB109" s="326"/>
      <c r="AC109" s="331"/>
    </row>
    <row r="110" spans="1:32" x14ac:dyDescent="0.25">
      <c r="AB110" s="326"/>
      <c r="AC110" s="331"/>
    </row>
    <row r="111" spans="1:32" x14ac:dyDescent="0.25">
      <c r="AB111" s="326"/>
      <c r="AC111" s="331"/>
    </row>
    <row r="112" spans="1:32" x14ac:dyDescent="0.25">
      <c r="AB112" s="326"/>
      <c r="AC112" s="331"/>
    </row>
    <row r="113" spans="28:29" x14ac:dyDescent="0.25">
      <c r="AB113" s="326"/>
      <c r="AC113" s="331"/>
    </row>
    <row r="114" spans="28:29" x14ac:dyDescent="0.25">
      <c r="AB114" s="326"/>
      <c r="AC114" s="331"/>
    </row>
  </sheetData>
  <dataValidations count="3">
    <dataValidation type="list" allowBlank="1" showInputMessage="1" showErrorMessage="1" sqref="AG8" xr:uid="{F71FDE94-AFF5-4025-B6E0-198A3130338C}">
      <formula1>$AB$78:$AK$78</formula1>
    </dataValidation>
    <dataValidation type="list" allowBlank="1" showInputMessage="1" showErrorMessage="1" sqref="AE8" xr:uid="{7DE1D04E-01C6-4BD4-B553-4B14E23D796C}">
      <formula1>#REF!</formula1>
    </dataValidation>
    <dataValidation type="list" allowBlank="1" showInputMessage="1" showErrorMessage="1" sqref="AB2" xr:uid="{A315DE0A-A25F-464A-B547-B48DE704814A}">
      <formula1>$AE$1:$AF$1</formula1>
    </dataValidation>
  </dataValidations>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2F757-6001-402D-A599-C8EE45AA72C8}">
  <sheetPr codeName="Sheet29"/>
  <dimension ref="A1:BF114"/>
  <sheetViews>
    <sheetView zoomScale="80" zoomScaleNormal="80" workbookViewId="0">
      <pane ySplit="1" topLeftCell="A2" activePane="bottomLeft" state="frozen"/>
      <selection pane="bottomLeft"/>
    </sheetView>
  </sheetViews>
  <sheetFormatPr defaultColWidth="8.7109375" defaultRowHeight="15" x14ac:dyDescent="0.25"/>
  <cols>
    <col min="1" max="1" width="14.140625" style="355" bestFit="1" customWidth="1"/>
    <col min="2" max="2" width="8.5703125" style="355" bestFit="1" customWidth="1"/>
    <col min="3" max="3" width="19.140625" style="355" bestFit="1" customWidth="1"/>
    <col min="4" max="4" width="18.5703125" style="355" bestFit="1" customWidth="1"/>
    <col min="5" max="5" width="8.85546875" style="355" bestFit="1" customWidth="1"/>
    <col min="6" max="6" width="13.7109375" style="355" bestFit="1" customWidth="1"/>
    <col min="7" max="7" width="4.7109375" style="355" bestFit="1" customWidth="1"/>
    <col min="8" max="8" width="7.28515625" style="355" bestFit="1" customWidth="1"/>
    <col min="9" max="9" width="15.5703125" style="355" bestFit="1" customWidth="1"/>
    <col min="10" max="10" width="6.42578125" style="355" bestFit="1" customWidth="1"/>
    <col min="11" max="11" width="8.85546875" style="355" bestFit="1" customWidth="1"/>
    <col min="12" max="13" width="6.140625" style="355" bestFit="1" customWidth="1"/>
    <col min="14" max="14" width="10.5703125" style="355" bestFit="1" customWidth="1"/>
    <col min="15" max="20" width="12.85546875" style="355" bestFit="1" customWidth="1"/>
    <col min="21" max="21" width="7" style="355" bestFit="1" customWidth="1"/>
    <col min="22" max="22" width="6.5703125" style="355" bestFit="1" customWidth="1"/>
    <col min="23" max="23" width="10.42578125" style="355" bestFit="1" customWidth="1"/>
    <col min="24" max="24" width="22.28515625" style="355" bestFit="1" customWidth="1"/>
    <col min="25" max="25" width="10.5703125" style="355" bestFit="1" customWidth="1"/>
    <col min="26" max="26" width="8.7109375" style="355"/>
    <col min="27" max="27" width="12.42578125" style="355" customWidth="1"/>
    <col min="28" max="28" width="8.7109375" style="355"/>
    <col min="29" max="29" width="16.28515625" style="355" bestFit="1" customWidth="1"/>
    <col min="30" max="34" width="8.7109375" style="355"/>
    <col min="35" max="35" width="11.28515625" style="355" bestFit="1" customWidth="1"/>
    <col min="36" max="36" width="15.85546875" style="355" customWidth="1"/>
    <col min="37" max="37" width="17.85546875" style="346" bestFit="1" customWidth="1"/>
    <col min="38" max="41" width="8.7109375" style="346"/>
    <col min="42" max="42" width="9.140625" style="355" customWidth="1"/>
    <col min="43" max="16384" width="8.7109375" style="355"/>
  </cols>
  <sheetData>
    <row r="1" spans="1:58" x14ac:dyDescent="0.25">
      <c r="A1" s="328" t="s">
        <v>545</v>
      </c>
      <c r="B1" s="328" t="s">
        <v>546</v>
      </c>
      <c r="C1" s="335" t="s">
        <v>547</v>
      </c>
      <c r="D1" s="335" t="s">
        <v>548</v>
      </c>
      <c r="E1" s="335" t="s">
        <v>709</v>
      </c>
      <c r="F1" s="328" t="s">
        <v>549</v>
      </c>
      <c r="G1" s="328" t="s">
        <v>550</v>
      </c>
      <c r="H1" s="328" t="s">
        <v>715</v>
      </c>
      <c r="I1" s="328" t="s">
        <v>710</v>
      </c>
      <c r="J1" s="328" t="s">
        <v>551</v>
      </c>
      <c r="K1" s="328" t="s">
        <v>552</v>
      </c>
      <c r="L1" s="328" t="s">
        <v>553</v>
      </c>
      <c r="M1" s="328" t="s">
        <v>717</v>
      </c>
      <c r="N1" s="328" t="s">
        <v>711</v>
      </c>
      <c r="O1" s="328" t="s">
        <v>554</v>
      </c>
      <c r="P1" s="328" t="s">
        <v>555</v>
      </c>
      <c r="Q1" s="328" t="s">
        <v>556</v>
      </c>
      <c r="R1" s="328" t="s">
        <v>718</v>
      </c>
      <c r="S1" s="328" t="s">
        <v>712</v>
      </c>
      <c r="T1" s="336" t="s">
        <v>557</v>
      </c>
      <c r="U1" s="328" t="s">
        <v>558</v>
      </c>
      <c r="V1" s="336" t="s">
        <v>559</v>
      </c>
      <c r="W1" s="334" t="s">
        <v>560</v>
      </c>
      <c r="X1" s="335" t="s">
        <v>561</v>
      </c>
      <c r="Y1" s="328" t="s">
        <v>562</v>
      </c>
      <c r="AE1" s="355">
        <v>2019</v>
      </c>
      <c r="AF1" s="355">
        <v>2020</v>
      </c>
      <c r="AK1" s="355"/>
      <c r="AL1" s="355"/>
      <c r="AM1" s="355"/>
      <c r="AN1" s="355"/>
      <c r="AO1" s="355"/>
    </row>
    <row r="2" spans="1:58" x14ac:dyDescent="0.25">
      <c r="C2" s="337"/>
      <c r="D2" s="337"/>
      <c r="E2" s="337"/>
      <c r="F2" s="328"/>
      <c r="G2" s="328"/>
      <c r="H2" s="328"/>
      <c r="I2" s="328"/>
      <c r="J2" s="328"/>
      <c r="K2" s="401"/>
      <c r="L2" s="328"/>
      <c r="M2" s="328"/>
      <c r="N2" s="328"/>
      <c r="O2" s="328"/>
      <c r="P2" s="328"/>
      <c r="Q2" s="328"/>
      <c r="R2" s="328"/>
      <c r="S2" s="328"/>
      <c r="T2" s="336"/>
      <c r="U2" s="328"/>
      <c r="V2" s="336"/>
      <c r="W2" s="334"/>
      <c r="X2" s="335"/>
      <c r="Y2" s="328"/>
      <c r="AA2" s="338" t="s">
        <v>707</v>
      </c>
      <c r="AB2" s="355">
        <v>2020</v>
      </c>
      <c r="AK2" s="355"/>
      <c r="AL2" s="355"/>
      <c r="AM2" s="355"/>
      <c r="AN2" s="355"/>
      <c r="AO2" s="355"/>
    </row>
    <row r="3" spans="1:58" x14ac:dyDescent="0.25">
      <c r="C3" s="337"/>
      <c r="D3" s="337"/>
      <c r="E3" s="337"/>
      <c r="F3" s="328"/>
      <c r="G3" s="328"/>
      <c r="H3" s="328"/>
      <c r="I3" s="328"/>
      <c r="J3" s="328"/>
      <c r="K3" s="401"/>
      <c r="L3" s="328"/>
      <c r="M3" s="328"/>
      <c r="N3" s="328"/>
      <c r="O3" s="328"/>
      <c r="P3" s="328"/>
      <c r="Q3" s="328"/>
      <c r="R3" s="328"/>
      <c r="S3" s="328"/>
      <c r="T3" s="336"/>
      <c r="U3" s="328"/>
      <c r="V3" s="336"/>
      <c r="W3" s="334"/>
      <c r="X3" s="335"/>
      <c r="Y3" s="328"/>
      <c r="AB3" s="355" t="s">
        <v>713</v>
      </c>
      <c r="AC3" s="355" t="s">
        <v>577</v>
      </c>
      <c r="AD3" s="355" t="s">
        <v>550</v>
      </c>
      <c r="AE3" s="355" t="s">
        <v>714</v>
      </c>
      <c r="AF3" s="355" t="s">
        <v>715</v>
      </c>
      <c r="AK3" s="355"/>
      <c r="AL3" s="355"/>
      <c r="AM3" s="355"/>
      <c r="AN3" s="355"/>
      <c r="AO3" s="355"/>
    </row>
    <row r="4" spans="1:58" s="357" customFormat="1" x14ac:dyDescent="0.25">
      <c r="A4" s="357" t="s">
        <v>563</v>
      </c>
      <c r="B4" s="357" t="s">
        <v>564</v>
      </c>
      <c r="C4" s="345">
        <f>'Historical Data'!B188</f>
        <v>0.2</v>
      </c>
      <c r="D4" s="401">
        <f>'Historical Data'!E21</f>
        <v>12</v>
      </c>
      <c r="E4" s="357">
        <v>5.75</v>
      </c>
      <c r="F4" s="355"/>
      <c r="G4" s="401">
        <f>'Historical Data'!H53</f>
        <v>-0.9</v>
      </c>
      <c r="H4" s="320">
        <v>0.16071428569999999</v>
      </c>
      <c r="I4" s="355"/>
      <c r="J4" s="355"/>
      <c r="K4" s="401">
        <f t="shared" ref="K4" si="0">PERCENTRANK($D$2:$D$91,D4)</f>
        <v>0.98799999999999999</v>
      </c>
      <c r="L4" s="401">
        <f>PERCENTRANK($G$4:$G$91,G4)</f>
        <v>0.13700000000000001</v>
      </c>
      <c r="M4" s="355"/>
      <c r="N4" s="355"/>
      <c r="O4" s="355"/>
      <c r="P4" s="355"/>
      <c r="Q4" s="355"/>
      <c r="R4" s="355"/>
      <c r="S4" s="355"/>
      <c r="T4" s="355"/>
      <c r="U4" s="331"/>
      <c r="V4" s="330"/>
      <c r="W4" s="330"/>
      <c r="X4" s="330"/>
      <c r="Y4" s="330"/>
      <c r="Z4" s="355"/>
      <c r="AA4" s="328" t="s">
        <v>565</v>
      </c>
      <c r="AB4" s="402">
        <f>AVERAGE(J4:J100)</f>
        <v>0.49435416666666648</v>
      </c>
      <c r="AC4" s="402">
        <f>AVERAGE(K4:K100)</f>
        <v>0.48675257731958738</v>
      </c>
      <c r="AD4" s="402">
        <f>AVERAGE(L4:L100)</f>
        <v>0.49355670103092752</v>
      </c>
      <c r="AE4" s="402">
        <f>AVERAGE(N4:N100)</f>
        <v>0.29141666666666632</v>
      </c>
      <c r="AF4" s="402">
        <f>AVERAGE(M4:M100)</f>
        <v>0.49491666666666623</v>
      </c>
      <c r="AG4" s="355"/>
      <c r="AH4" s="355"/>
      <c r="AI4" s="355"/>
      <c r="AV4" s="355"/>
      <c r="AW4" s="355"/>
      <c r="AX4" s="355"/>
      <c r="AY4" s="355"/>
      <c r="AZ4" s="355"/>
      <c r="BA4" s="355"/>
      <c r="BB4" s="355"/>
      <c r="BC4" s="355"/>
      <c r="BD4" s="355"/>
      <c r="BE4" s="355"/>
      <c r="BF4" s="355"/>
    </row>
    <row r="5" spans="1:58" x14ac:dyDescent="0.25">
      <c r="A5" s="355" t="s">
        <v>563</v>
      </c>
      <c r="B5" s="355" t="s">
        <v>566</v>
      </c>
      <c r="C5" s="345">
        <f>'Historical Data'!B189</f>
        <v>0.15</v>
      </c>
      <c r="D5" s="401">
        <f>'Historical Data'!E22</f>
        <v>15</v>
      </c>
      <c r="E5" s="355">
        <v>5.75</v>
      </c>
      <c r="F5" s="401">
        <f t="shared" ref="F5:F68" si="1">D5-D4</f>
        <v>3</v>
      </c>
      <c r="G5" s="401">
        <f>'Historical Data'!H54</f>
        <v>-0.9</v>
      </c>
      <c r="H5" s="321">
        <v>0.17416131329999998</v>
      </c>
      <c r="I5" s="401">
        <f>E5-E4</f>
        <v>0</v>
      </c>
      <c r="J5" s="401">
        <f t="shared" ref="J5:J36" si="2">PERCENTRANK($C$4:$C$100,C5)</f>
        <v>0.97899999999999998</v>
      </c>
      <c r="K5" s="401">
        <f t="shared" ref="K5:K36" si="3">PERCENTRANK($D$2:$D$100,D5)</f>
        <v>1</v>
      </c>
      <c r="L5" s="401">
        <f t="shared" ref="L5:L36" si="4">PERCENTRANK($G$4:$G$100,G5)</f>
        <v>0.125</v>
      </c>
      <c r="M5" s="401">
        <f t="shared" ref="M5:M36" si="5">PERCENTRANK($H$4:$H$100,H5)</f>
        <v>0.96799999999999997</v>
      </c>
      <c r="N5" s="401">
        <f t="shared" ref="N5:N36" si="6">PERCENTRANK($I$4:$I$100,I5)</f>
        <v>0.16800000000000001</v>
      </c>
      <c r="O5" s="401">
        <f t="shared" ref="O5:Q36" si="7">(J5-AB$4)/AB$5</f>
        <v>1.6791441184487292</v>
      </c>
      <c r="P5" s="401">
        <f t="shared" si="7"/>
        <v>1.7407721734211477</v>
      </c>
      <c r="Q5" s="401">
        <f t="shared" si="7"/>
        <v>-1.2575101071954402</v>
      </c>
      <c r="R5" s="401">
        <f>(M5-AF$4)/AF$5</f>
        <v>1.6339198760269027</v>
      </c>
      <c r="S5" s="401">
        <f>(N5-AE$4)/AE$5</f>
        <v>-0.41623114091289193</v>
      </c>
      <c r="T5" s="401">
        <f>O5*$AB$8-P5*$AB$9+Q5*$AB$10+S5*$AB$11+R5*$AB$12</f>
        <v>0.82942711651897971</v>
      </c>
      <c r="U5" s="331">
        <v>1.7000000000000001E-2</v>
      </c>
      <c r="V5" s="332">
        <f t="shared" ref="V5:V68" si="8">NORMSDIST((_xlfn.NORM.S.INV(U5)-(SQRT($AF$11)*T5))/SQRT(1-$AF$11))</f>
        <v>3.1683325369186235E-3</v>
      </c>
      <c r="W5" s="330">
        <v>1.35E-2</v>
      </c>
      <c r="X5" s="332">
        <f t="shared" ref="X5:X68" si="9">Y5</f>
        <v>9.2746368133088061E-4</v>
      </c>
      <c r="Y5" s="330">
        <v>9.2746368133088061E-4</v>
      </c>
      <c r="Z5" s="330"/>
      <c r="AA5" s="328" t="s">
        <v>567</v>
      </c>
      <c r="AB5" s="402">
        <f>_xlfn.STDEV.P(J4:J100)</f>
        <v>0.28862670452675121</v>
      </c>
      <c r="AC5" s="402">
        <f>_xlfn.STDEV.P(K4:K100)</f>
        <v>0.29483894016511369</v>
      </c>
      <c r="AD5" s="402">
        <f>_xlfn.STDEV.P(L4:L100)</f>
        <v>0.29308448411035082</v>
      </c>
      <c r="AE5" s="402">
        <f>_xlfn.STDEV.P(N4:N100)</f>
        <v>0.29650993050636432</v>
      </c>
      <c r="AF5" s="402">
        <f>_xlfn.STDEV.P(M4:M100)</f>
        <v>0.28953888148034523</v>
      </c>
      <c r="AK5" s="355"/>
      <c r="AL5" s="355"/>
      <c r="AM5" s="355"/>
      <c r="AN5" s="355"/>
      <c r="AO5" s="355"/>
    </row>
    <row r="6" spans="1:58" x14ac:dyDescent="0.25">
      <c r="A6" s="355" t="s">
        <v>563</v>
      </c>
      <c r="B6" s="355" t="s">
        <v>568</v>
      </c>
      <c r="C6" s="345">
        <f>'Historical Data'!B190</f>
        <v>0.1</v>
      </c>
      <c r="D6" s="401">
        <f>'Historical Data'!E23</f>
        <v>9</v>
      </c>
      <c r="E6" s="355">
        <v>5.75</v>
      </c>
      <c r="F6" s="401">
        <f t="shared" si="1"/>
        <v>-6</v>
      </c>
      <c r="G6" s="401">
        <f>'Historical Data'!H55</f>
        <v>-0.9</v>
      </c>
      <c r="H6" s="321">
        <v>0.13014160490000001</v>
      </c>
      <c r="I6" s="401">
        <f t="shared" ref="I6:I69" si="10">E6-E5</f>
        <v>0</v>
      </c>
      <c r="J6" s="401">
        <f t="shared" si="2"/>
        <v>0.96799999999999997</v>
      </c>
      <c r="K6" s="401">
        <f t="shared" si="3"/>
        <v>0.97899999999999998</v>
      </c>
      <c r="L6" s="401">
        <f t="shared" si="4"/>
        <v>0.125</v>
      </c>
      <c r="M6" s="401">
        <f t="shared" si="5"/>
        <v>0.89500000000000002</v>
      </c>
      <c r="N6" s="401">
        <f t="shared" si="6"/>
        <v>0.16800000000000001</v>
      </c>
      <c r="O6" s="401">
        <f t="shared" si="7"/>
        <v>1.6410326068405561</v>
      </c>
      <c r="P6" s="401">
        <f t="shared" si="7"/>
        <v>1.6695468461687848</v>
      </c>
      <c r="Q6" s="401">
        <f t="shared" si="7"/>
        <v>-1.2575101071954402</v>
      </c>
      <c r="R6" s="401">
        <f t="shared" ref="R6:R69" si="11">(M6-AF$4)/AF$5</f>
        <v>1.3817948431927358</v>
      </c>
      <c r="S6" s="401">
        <f t="shared" ref="S6:S69" si="12">(N6-AE$4)/AE$5</f>
        <v>-0.41623114091289193</v>
      </c>
      <c r="T6" s="401">
        <f t="shared" ref="T6:T69" si="13">O6*$AB$8-P6*$AB$9+Q6*$AB$10+S6*$AB$11+R6*$AB$12</f>
        <v>0.78847023899589563</v>
      </c>
      <c r="U6" s="331">
        <v>1.7000000000000001E-2</v>
      </c>
      <c r="V6" s="332">
        <f t="shared" si="8"/>
        <v>3.3576481876065175E-3</v>
      </c>
      <c r="W6" s="330">
        <v>1.52E-2</v>
      </c>
      <c r="X6" s="332">
        <f t="shared" si="9"/>
        <v>6.1861259455313327E-3</v>
      </c>
      <c r="Y6" s="330">
        <v>6.1861259455313327E-3</v>
      </c>
      <c r="Z6" s="330"/>
      <c r="AK6" s="355"/>
      <c r="AL6" s="355"/>
      <c r="AM6" s="355"/>
      <c r="AN6" s="355"/>
      <c r="AO6" s="355"/>
    </row>
    <row r="7" spans="1:58" x14ac:dyDescent="0.25">
      <c r="A7" s="355" t="s">
        <v>563</v>
      </c>
      <c r="B7" s="355" t="s">
        <v>569</v>
      </c>
      <c r="C7" s="345">
        <f>'Historical Data'!B191</f>
        <v>1.7626895578982671E-2</v>
      </c>
      <c r="D7" s="401">
        <f>'Historical Data'!E24</f>
        <v>4.8</v>
      </c>
      <c r="E7" s="355">
        <v>5.75</v>
      </c>
      <c r="F7" s="401">
        <f t="shared" si="1"/>
        <v>-4.2</v>
      </c>
      <c r="G7" s="401">
        <f>'Historical Data'!H56</f>
        <v>-0.7</v>
      </c>
      <c r="H7" s="321">
        <v>0.13477975019999999</v>
      </c>
      <c r="I7" s="401">
        <f t="shared" si="10"/>
        <v>0</v>
      </c>
      <c r="J7" s="401">
        <f t="shared" si="2"/>
        <v>0.41599999999999998</v>
      </c>
      <c r="K7" s="401">
        <f t="shared" si="3"/>
        <v>0.36399999999999999</v>
      </c>
      <c r="L7" s="401">
        <f t="shared" si="4"/>
        <v>0.17699999999999999</v>
      </c>
      <c r="M7" s="401">
        <f t="shared" si="5"/>
        <v>0.90600000000000003</v>
      </c>
      <c r="N7" s="401">
        <f t="shared" si="6"/>
        <v>0.16800000000000001</v>
      </c>
      <c r="O7" s="401">
        <f t="shared" si="7"/>
        <v>-0.27147233931503484</v>
      </c>
      <c r="P7" s="401">
        <f t="shared" si="7"/>
        <v>-0.41633773765040777</v>
      </c>
      <c r="Q7" s="401">
        <f t="shared" si="7"/>
        <v>-1.0800868629802287</v>
      </c>
      <c r="R7" s="401">
        <f t="shared" si="11"/>
        <v>1.4197862864965145</v>
      </c>
      <c r="S7" s="401">
        <f t="shared" si="12"/>
        <v>-0.41623114091289193</v>
      </c>
      <c r="T7" s="401">
        <f t="shared" si="13"/>
        <v>-0.12890280156364073</v>
      </c>
      <c r="U7" s="331">
        <v>1.7000000000000001E-2</v>
      </c>
      <c r="V7" s="332">
        <f t="shared" si="8"/>
        <v>1.1279141305918299E-2</v>
      </c>
      <c r="W7" s="330">
        <v>1.4800000000000001E-2</v>
      </c>
      <c r="X7" s="332">
        <f t="shared" si="9"/>
        <v>5.9350406768144794E-3</v>
      </c>
      <c r="Y7" s="332">
        <f>AVERAGE(V5:V7)</f>
        <v>5.9350406768144794E-3</v>
      </c>
      <c r="Z7" s="330"/>
      <c r="AA7" s="328" t="s">
        <v>570</v>
      </c>
      <c r="AC7" s="355" t="s">
        <v>706</v>
      </c>
      <c r="AE7" s="340" t="s">
        <v>571</v>
      </c>
      <c r="AG7" s="341" t="s">
        <v>704</v>
      </c>
      <c r="AK7" s="355"/>
      <c r="AL7" s="355"/>
      <c r="AM7" s="355"/>
      <c r="AN7" s="355"/>
      <c r="AO7" s="355"/>
    </row>
    <row r="8" spans="1:58" x14ac:dyDescent="0.25">
      <c r="A8" s="355" t="s">
        <v>563</v>
      </c>
      <c r="B8" s="355" t="s">
        <v>573</v>
      </c>
      <c r="C8" s="345">
        <f>'Historical Data'!B192</f>
        <v>2.4380255980643639E-2</v>
      </c>
      <c r="D8" s="401">
        <f>'Historical Data'!E25</f>
        <v>4.9000000000000004</v>
      </c>
      <c r="E8" s="355">
        <v>5.75</v>
      </c>
      <c r="F8" s="401">
        <f t="shared" si="1"/>
        <v>0.10000000000000053</v>
      </c>
      <c r="G8" s="401">
        <f>'Historical Data'!H57</f>
        <v>-0.9</v>
      </c>
      <c r="H8" s="321">
        <v>0.1006410256</v>
      </c>
      <c r="I8" s="401">
        <f t="shared" si="10"/>
        <v>0</v>
      </c>
      <c r="J8" s="401">
        <f t="shared" si="2"/>
        <v>0.67700000000000005</v>
      </c>
      <c r="K8" s="401">
        <f t="shared" si="3"/>
        <v>0.41599999999999998</v>
      </c>
      <c r="L8" s="401">
        <f t="shared" si="4"/>
        <v>0.125</v>
      </c>
      <c r="M8" s="401">
        <f t="shared" si="5"/>
        <v>0.81200000000000006</v>
      </c>
      <c r="N8" s="401">
        <f t="shared" si="6"/>
        <v>0.16800000000000001</v>
      </c>
      <c r="O8" s="401">
        <f t="shared" si="7"/>
        <v>0.63280989066070681</v>
      </c>
      <c r="P8" s="401">
        <f t="shared" si="7"/>
        <v>-0.2399702606445574</v>
      </c>
      <c r="Q8" s="401">
        <f t="shared" si="7"/>
        <v>-1.2575101071954402</v>
      </c>
      <c r="R8" s="401">
        <f t="shared" si="11"/>
        <v>1.0951321346278613</v>
      </c>
      <c r="S8" s="401">
        <f t="shared" si="12"/>
        <v>-0.41623114091289193</v>
      </c>
      <c r="T8" s="401">
        <f t="shared" si="13"/>
        <v>0.34582204911283276</v>
      </c>
      <c r="U8" s="331">
        <v>1.7000000000000001E-2</v>
      </c>
      <c r="V8" s="332">
        <f t="shared" si="8"/>
        <v>6.1528855785615245E-3</v>
      </c>
      <c r="W8" s="330">
        <v>1.52E-2</v>
      </c>
      <c r="X8" s="332">
        <f t="shared" si="9"/>
        <v>6.9298916906954467E-3</v>
      </c>
      <c r="Y8" s="332">
        <f t="shared" ref="Y8:Y71" si="14">AVERAGE(V6:V8)</f>
        <v>6.9298916906954467E-3</v>
      </c>
      <c r="Z8" s="330"/>
      <c r="AA8" s="334" t="s">
        <v>574</v>
      </c>
      <c r="AB8" s="403">
        <f>MacroAssumptions!C16</f>
        <v>0.6</v>
      </c>
      <c r="AC8" s="355">
        <v>0.6</v>
      </c>
      <c r="AE8" s="355" t="s">
        <v>684</v>
      </c>
      <c r="AG8" s="355" t="s">
        <v>575</v>
      </c>
      <c r="AK8" s="355"/>
      <c r="AL8" s="355"/>
      <c r="AM8" s="355"/>
      <c r="AN8" s="355"/>
      <c r="AO8" s="355"/>
    </row>
    <row r="9" spans="1:58" x14ac:dyDescent="0.25">
      <c r="A9" s="355" t="s">
        <v>563</v>
      </c>
      <c r="B9" s="355" t="s">
        <v>576</v>
      </c>
      <c r="C9" s="345">
        <f>'Historical Data'!B193</f>
        <v>2.7201613997918539E-2</v>
      </c>
      <c r="D9" s="401">
        <f>'Historical Data'!E26</f>
        <v>4.7</v>
      </c>
      <c r="E9" s="355">
        <v>5.25</v>
      </c>
      <c r="F9" s="401">
        <f t="shared" si="1"/>
        <v>-0.20000000000000018</v>
      </c>
      <c r="G9" s="401">
        <f>'Historical Data'!H58</f>
        <v>-0.5</v>
      </c>
      <c r="H9" s="321">
        <v>8.1458966569999999E-2</v>
      </c>
      <c r="I9" s="401">
        <f t="shared" si="10"/>
        <v>-0.5</v>
      </c>
      <c r="J9" s="401">
        <f t="shared" si="2"/>
        <v>0.79100000000000004</v>
      </c>
      <c r="K9" s="401">
        <f t="shared" si="3"/>
        <v>0.28100000000000003</v>
      </c>
      <c r="L9" s="401">
        <f t="shared" si="4"/>
        <v>0.218</v>
      </c>
      <c r="M9" s="401">
        <f t="shared" si="5"/>
        <v>0.70799999999999996</v>
      </c>
      <c r="N9" s="401">
        <f t="shared" si="6"/>
        <v>6.3E-2</v>
      </c>
      <c r="O9" s="401">
        <f t="shared" si="7"/>
        <v>1.027783738236318</v>
      </c>
      <c r="P9" s="401">
        <f t="shared" si="7"/>
        <v>-0.69784736440974582</v>
      </c>
      <c r="Q9" s="401">
        <f t="shared" si="7"/>
        <v>-0.94019545888746614</v>
      </c>
      <c r="R9" s="401">
        <f t="shared" si="11"/>
        <v>0.7359403070285</v>
      </c>
      <c r="S9" s="401">
        <f t="shared" si="12"/>
        <v>-0.77035081515343573</v>
      </c>
      <c r="T9" s="401">
        <f t="shared" si="13"/>
        <v>0.58899438268152515</v>
      </c>
      <c r="U9" s="331">
        <v>1.7000000000000001E-2</v>
      </c>
      <c r="V9" s="332">
        <f t="shared" si="8"/>
        <v>4.4329277391577495E-3</v>
      </c>
      <c r="W9" s="330">
        <v>1.9E-2</v>
      </c>
      <c r="X9" s="332">
        <f t="shared" si="9"/>
        <v>7.2883182078791907E-3</v>
      </c>
      <c r="Y9" s="332">
        <f t="shared" si="14"/>
        <v>7.2883182078791907E-3</v>
      </c>
      <c r="Z9" s="330"/>
      <c r="AA9" s="334" t="s">
        <v>577</v>
      </c>
      <c r="AB9" s="403">
        <f>MacroAssumptions!C20</f>
        <v>0.1</v>
      </c>
      <c r="AC9" s="355">
        <v>0.2</v>
      </c>
      <c r="AK9" s="355"/>
      <c r="AL9" s="355"/>
      <c r="AM9" s="355"/>
      <c r="AN9" s="355"/>
      <c r="AO9" s="355"/>
    </row>
    <row r="10" spans="1:58" x14ac:dyDescent="0.25">
      <c r="A10" s="355" t="s">
        <v>563</v>
      </c>
      <c r="B10" s="355" t="s">
        <v>578</v>
      </c>
      <c r="C10" s="345">
        <f>'Historical Data'!B194</f>
        <v>3.2563571694006477E-2</v>
      </c>
      <c r="D10" s="401">
        <f>'Historical Data'!E27</f>
        <v>5.2</v>
      </c>
      <c r="E10" s="355">
        <v>4.75</v>
      </c>
      <c r="F10" s="401">
        <f t="shared" si="1"/>
        <v>0.5</v>
      </c>
      <c r="G10" s="401">
        <f>'Historical Data'!H59</f>
        <v>-0.6</v>
      </c>
      <c r="H10" s="321">
        <v>9.9642004770000001E-2</v>
      </c>
      <c r="I10" s="401">
        <f t="shared" si="10"/>
        <v>-0.5</v>
      </c>
      <c r="J10" s="401">
        <f t="shared" si="2"/>
        <v>0.85399999999999998</v>
      </c>
      <c r="K10" s="401">
        <f t="shared" si="3"/>
        <v>0.57199999999999995</v>
      </c>
      <c r="L10" s="401">
        <f t="shared" si="4"/>
        <v>0.187</v>
      </c>
      <c r="M10" s="401">
        <f t="shared" si="5"/>
        <v>0.79100000000000004</v>
      </c>
      <c r="N10" s="401">
        <f t="shared" si="6"/>
        <v>6.3E-2</v>
      </c>
      <c r="O10" s="401">
        <f t="shared" si="7"/>
        <v>1.246058759264945</v>
      </c>
      <c r="P10" s="401">
        <f t="shared" si="7"/>
        <v>0.28913217037299382</v>
      </c>
      <c r="Q10" s="401">
        <f t="shared" si="7"/>
        <v>-1.0459670083234573</v>
      </c>
      <c r="R10" s="401">
        <f t="shared" si="11"/>
        <v>1.022603015593375</v>
      </c>
      <c r="S10" s="401">
        <f t="shared" si="12"/>
        <v>-0.77035081515343573</v>
      </c>
      <c r="T10" s="401">
        <f t="shared" si="13"/>
        <v>0.63935055773331584</v>
      </c>
      <c r="U10" s="331">
        <v>1.7000000000000001E-2</v>
      </c>
      <c r="V10" s="332">
        <f t="shared" si="8"/>
        <v>4.135808840601181E-3</v>
      </c>
      <c r="W10" s="330">
        <v>2.3300000000000001E-2</v>
      </c>
      <c r="X10" s="332">
        <f t="shared" si="9"/>
        <v>4.9072073861068178E-3</v>
      </c>
      <c r="Y10" s="332">
        <f t="shared" si="14"/>
        <v>4.9072073861068178E-3</v>
      </c>
      <c r="Z10" s="330"/>
      <c r="AA10" s="334" t="s">
        <v>579</v>
      </c>
      <c r="AB10" s="403">
        <f>MacroAssumptions!C19</f>
        <v>0.1</v>
      </c>
      <c r="AC10" s="355">
        <v>0.2</v>
      </c>
      <c r="AK10" s="355"/>
      <c r="AL10" s="355"/>
      <c r="AM10" s="355"/>
      <c r="AN10" s="355"/>
      <c r="AO10" s="355"/>
    </row>
    <row r="11" spans="1:58" x14ac:dyDescent="0.25">
      <c r="A11" s="355" t="s">
        <v>563</v>
      </c>
      <c r="B11" s="355" t="s">
        <v>580</v>
      </c>
      <c r="C11" s="345">
        <f>'Historical Data'!B195</f>
        <v>3.476769855803763E-2</v>
      </c>
      <c r="D11" s="401">
        <f>'Historical Data'!E28</f>
        <v>4.8</v>
      </c>
      <c r="E11" s="355">
        <v>4</v>
      </c>
      <c r="F11" s="401">
        <f t="shared" si="1"/>
        <v>-0.40000000000000036</v>
      </c>
      <c r="G11" s="401">
        <f>'Historical Data'!H60</f>
        <v>-1.1000000000000001</v>
      </c>
      <c r="H11" s="321">
        <v>4.6349942060000003E-2</v>
      </c>
      <c r="I11" s="401">
        <f t="shared" si="10"/>
        <v>-0.75</v>
      </c>
      <c r="J11" s="401">
        <f t="shared" si="2"/>
        <v>0.89500000000000002</v>
      </c>
      <c r="K11" s="401">
        <f t="shared" si="3"/>
        <v>0.36399999999999999</v>
      </c>
      <c r="L11" s="401">
        <f t="shared" si="4"/>
        <v>8.3000000000000004E-2</v>
      </c>
      <c r="M11" s="401">
        <f t="shared" si="5"/>
        <v>0.51</v>
      </c>
      <c r="N11" s="401">
        <f t="shared" si="6"/>
        <v>4.2000000000000003E-2</v>
      </c>
      <c r="O11" s="401">
        <f t="shared" si="7"/>
        <v>1.3881107570772264</v>
      </c>
      <c r="P11" s="401">
        <f t="shared" si="7"/>
        <v>-0.41633773765040777</v>
      </c>
      <c r="Q11" s="401">
        <f t="shared" si="7"/>
        <v>-1.4008134967538799</v>
      </c>
      <c r="R11" s="401">
        <f t="shared" si="11"/>
        <v>5.2094327560485806E-2</v>
      </c>
      <c r="S11" s="401">
        <f t="shared" si="12"/>
        <v>-0.8411747500015444</v>
      </c>
      <c r="T11" s="401">
        <f t="shared" si="13"/>
        <v>0.65551083609188276</v>
      </c>
      <c r="U11" s="331">
        <v>1.7000000000000001E-2</v>
      </c>
      <c r="V11" s="332">
        <f t="shared" si="8"/>
        <v>4.0443071025596201E-3</v>
      </c>
      <c r="W11" s="330">
        <v>2.6800000000000001E-2</v>
      </c>
      <c r="X11" s="332">
        <f t="shared" si="9"/>
        <v>4.204347894106183E-3</v>
      </c>
      <c r="Y11" s="332">
        <f t="shared" si="14"/>
        <v>4.204347894106183E-3</v>
      </c>
      <c r="Z11" s="330"/>
      <c r="AA11" s="334" t="s">
        <v>716</v>
      </c>
      <c r="AB11" s="403">
        <f>MacroAssumptions!C18</f>
        <v>0.1</v>
      </c>
      <c r="AE11" s="328" t="s">
        <v>581</v>
      </c>
      <c r="AF11" s="342">
        <v>0.18</v>
      </c>
      <c r="AG11" s="355" t="s">
        <v>582</v>
      </c>
      <c r="AK11" s="355"/>
      <c r="AL11" s="355"/>
      <c r="AM11" s="355"/>
      <c r="AN11" s="355"/>
      <c r="AO11" s="355"/>
    </row>
    <row r="12" spans="1:58" x14ac:dyDescent="0.25">
      <c r="A12" s="355" t="s">
        <v>563</v>
      </c>
      <c r="B12" s="355" t="s">
        <v>583</v>
      </c>
      <c r="C12" s="345">
        <f>'Historical Data'!B196</f>
        <v>2.4690970943038293E-2</v>
      </c>
      <c r="D12" s="401">
        <f>'Historical Data'!E29</f>
        <v>5</v>
      </c>
      <c r="E12" s="355">
        <v>4</v>
      </c>
      <c r="F12" s="401">
        <f t="shared" si="1"/>
        <v>0.20000000000000018</v>
      </c>
      <c r="G12" s="401">
        <f>'Historical Data'!H61</f>
        <v>-0.5</v>
      </c>
      <c r="H12" s="321">
        <v>0.12421374489999999</v>
      </c>
      <c r="I12" s="401">
        <f t="shared" si="10"/>
        <v>0</v>
      </c>
      <c r="J12" s="401">
        <f t="shared" si="2"/>
        <v>0.70799999999999996</v>
      </c>
      <c r="K12" s="401">
        <f t="shared" si="3"/>
        <v>0.5</v>
      </c>
      <c r="L12" s="401">
        <f t="shared" si="4"/>
        <v>0.218</v>
      </c>
      <c r="M12" s="401">
        <f t="shared" si="5"/>
        <v>0.88500000000000001</v>
      </c>
      <c r="N12" s="401">
        <f t="shared" si="6"/>
        <v>0.16800000000000001</v>
      </c>
      <c r="O12" s="401">
        <f t="shared" si="7"/>
        <v>0.74021505973828494</v>
      </c>
      <c r="P12" s="401">
        <f t="shared" si="7"/>
        <v>4.4931048364893367E-2</v>
      </c>
      <c r="Q12" s="401">
        <f t="shared" si="7"/>
        <v>-0.94019545888746614</v>
      </c>
      <c r="R12" s="401">
        <f t="shared" si="11"/>
        <v>1.3472571674620282</v>
      </c>
      <c r="S12" s="401">
        <f t="shared" si="12"/>
        <v>-0.41623114091289193</v>
      </c>
      <c r="T12" s="401">
        <f t="shared" si="13"/>
        <v>0.43871898777264862</v>
      </c>
      <c r="U12" s="331">
        <v>1.7000000000000001E-2</v>
      </c>
      <c r="V12" s="332">
        <f t="shared" si="8"/>
        <v>5.4361488856898522E-3</v>
      </c>
      <c r="W12" s="330">
        <v>2.4799999999999999E-2</v>
      </c>
      <c r="X12" s="332">
        <f t="shared" si="9"/>
        <v>4.5387549429502178E-3</v>
      </c>
      <c r="Y12" s="332">
        <f t="shared" si="14"/>
        <v>4.5387549429502178E-3</v>
      </c>
      <c r="Z12" s="330"/>
      <c r="AA12" s="334" t="s">
        <v>708</v>
      </c>
      <c r="AB12" s="403">
        <f>MacroAssumptions!C17</f>
        <v>0.1</v>
      </c>
      <c r="AK12" s="355"/>
      <c r="AL12" s="355"/>
      <c r="AM12" s="355"/>
      <c r="AN12" s="355"/>
      <c r="AO12" s="355"/>
    </row>
    <row r="13" spans="1:58" x14ac:dyDescent="0.25">
      <c r="A13" s="355" t="s">
        <v>563</v>
      </c>
      <c r="B13" s="355" t="s">
        <v>584</v>
      </c>
      <c r="C13" s="345">
        <f>'Historical Data'!B197</f>
        <v>2.1335309496726129E-2</v>
      </c>
      <c r="D13" s="401">
        <f>'Historical Data'!E30</f>
        <v>4.8</v>
      </c>
      <c r="E13" s="355">
        <v>4</v>
      </c>
      <c r="F13" s="401">
        <f t="shared" si="1"/>
        <v>-0.20000000000000018</v>
      </c>
      <c r="G13" s="401">
        <f>'Historical Data'!H62</f>
        <v>-1.6</v>
      </c>
      <c r="H13" s="321">
        <v>0.17414277680000001</v>
      </c>
      <c r="I13" s="401">
        <f t="shared" si="10"/>
        <v>0</v>
      </c>
      <c r="J13" s="401">
        <f t="shared" si="2"/>
        <v>0.56200000000000006</v>
      </c>
      <c r="K13" s="401">
        <f t="shared" si="3"/>
        <v>0.36399999999999999</v>
      </c>
      <c r="L13" s="401">
        <f t="shared" si="4"/>
        <v>5.1999999999999998E-2</v>
      </c>
      <c r="M13" s="401">
        <f t="shared" si="5"/>
        <v>0.95799999999999996</v>
      </c>
      <c r="N13" s="401">
        <f t="shared" si="6"/>
        <v>0.16800000000000001</v>
      </c>
      <c r="O13" s="401">
        <f t="shared" si="7"/>
        <v>0.23437136021162538</v>
      </c>
      <c r="P13" s="401">
        <f t="shared" si="7"/>
        <v>-0.41633773765040777</v>
      </c>
      <c r="Q13" s="401">
        <f t="shared" si="7"/>
        <v>-1.5065850461898715</v>
      </c>
      <c r="R13" s="401">
        <f t="shared" si="11"/>
        <v>1.5993822002961948</v>
      </c>
      <c r="S13" s="401">
        <f t="shared" si="12"/>
        <v>-0.41623114091289193</v>
      </c>
      <c r="T13" s="401">
        <f t="shared" si="13"/>
        <v>0.14991319121135913</v>
      </c>
      <c r="U13" s="331">
        <v>1.7000000000000001E-2</v>
      </c>
      <c r="V13" s="332">
        <f t="shared" si="8"/>
        <v>7.9442874650125957E-3</v>
      </c>
      <c r="W13" s="330">
        <v>2.41E-2</v>
      </c>
      <c r="X13" s="332">
        <f t="shared" si="9"/>
        <v>5.8082478177540224E-3</v>
      </c>
      <c r="Y13" s="332">
        <f t="shared" si="14"/>
        <v>5.8082478177540224E-3</v>
      </c>
      <c r="Z13" s="330"/>
      <c r="AC13" s="355">
        <v>2019</v>
      </c>
      <c r="AD13" s="355">
        <v>2020</v>
      </c>
      <c r="AK13" s="355"/>
      <c r="AL13" s="355"/>
      <c r="AM13" s="355"/>
      <c r="AN13" s="355"/>
      <c r="AO13" s="355"/>
    </row>
    <row r="14" spans="1:58" x14ac:dyDescent="0.25">
      <c r="A14" s="355" t="s">
        <v>563</v>
      </c>
      <c r="B14" s="355" t="s">
        <v>585</v>
      </c>
      <c r="C14" s="345">
        <f>'Historical Data'!B198</f>
        <v>2.0994426849833436E-2</v>
      </c>
      <c r="D14" s="401">
        <f>'Historical Data'!E31</f>
        <v>5.2</v>
      </c>
      <c r="E14" s="355">
        <v>4</v>
      </c>
      <c r="F14" s="401">
        <f t="shared" si="1"/>
        <v>0.40000000000000036</v>
      </c>
      <c r="G14" s="401">
        <f>'Historical Data'!H63</f>
        <v>-1.6</v>
      </c>
      <c r="H14" s="321">
        <v>0.19610960389999998</v>
      </c>
      <c r="I14" s="401">
        <f t="shared" si="10"/>
        <v>0</v>
      </c>
      <c r="J14" s="401">
        <f t="shared" si="2"/>
        <v>0.55200000000000005</v>
      </c>
      <c r="K14" s="401">
        <f t="shared" si="3"/>
        <v>0.57199999999999995</v>
      </c>
      <c r="L14" s="401">
        <f t="shared" si="4"/>
        <v>5.1999999999999998E-2</v>
      </c>
      <c r="M14" s="401">
        <f t="shared" si="5"/>
        <v>0.97899999999999998</v>
      </c>
      <c r="N14" s="401">
        <f t="shared" si="6"/>
        <v>0.16800000000000001</v>
      </c>
      <c r="O14" s="401">
        <f t="shared" si="7"/>
        <v>0.1997245314769226</v>
      </c>
      <c r="P14" s="401">
        <f t="shared" si="7"/>
        <v>0.28913217037299382</v>
      </c>
      <c r="Q14" s="401">
        <f t="shared" si="7"/>
        <v>-1.5065850461898715</v>
      </c>
      <c r="R14" s="401">
        <f t="shared" si="11"/>
        <v>1.6719113193306812</v>
      </c>
      <c r="S14" s="401">
        <f t="shared" si="12"/>
        <v>-0.41623114091289193</v>
      </c>
      <c r="T14" s="401">
        <f t="shared" si="13"/>
        <v>6.5831015071645932E-2</v>
      </c>
      <c r="U14" s="331">
        <v>1.7000000000000001E-2</v>
      </c>
      <c r="V14" s="332">
        <f t="shared" si="8"/>
        <v>8.8443515548724556E-3</v>
      </c>
      <c r="W14" s="330">
        <v>2.81E-2</v>
      </c>
      <c r="X14" s="332">
        <f t="shared" si="9"/>
        <v>7.4082626351916342E-3</v>
      </c>
      <c r="Y14" s="332">
        <f t="shared" si="14"/>
        <v>7.4082626351916342E-3</v>
      </c>
      <c r="Z14" s="330"/>
      <c r="AA14" s="334" t="s">
        <v>572</v>
      </c>
      <c r="AB14" s="403">
        <f>MacroAssumptions!F16</f>
        <v>0.6</v>
      </c>
      <c r="AC14" s="355">
        <v>0.6</v>
      </c>
      <c r="AD14" s="355">
        <v>0.4</v>
      </c>
      <c r="AK14" s="355"/>
      <c r="AL14" s="355"/>
      <c r="AM14" s="355"/>
      <c r="AN14" s="355"/>
      <c r="AO14" s="355"/>
    </row>
    <row r="15" spans="1:58" x14ac:dyDescent="0.25">
      <c r="A15" s="355" t="s">
        <v>563</v>
      </c>
      <c r="B15" s="355" t="s">
        <v>586</v>
      </c>
      <c r="C15" s="345">
        <f>'Historical Data'!B199</f>
        <v>2.5957095878622827E-2</v>
      </c>
      <c r="D15" s="401">
        <f>'Historical Data'!E32</f>
        <v>4.7</v>
      </c>
      <c r="E15" s="355">
        <v>4</v>
      </c>
      <c r="F15" s="401">
        <f t="shared" si="1"/>
        <v>-0.5</v>
      </c>
      <c r="G15" s="401">
        <f>'Historical Data'!H64</f>
        <v>-1.1000000000000001</v>
      </c>
      <c r="H15" s="321">
        <v>0.28360741969999997</v>
      </c>
      <c r="I15" s="401">
        <f t="shared" si="10"/>
        <v>0</v>
      </c>
      <c r="J15" s="401">
        <f t="shared" si="2"/>
        <v>0.73899999999999999</v>
      </c>
      <c r="K15" s="401">
        <f t="shared" si="3"/>
        <v>0.28100000000000003</v>
      </c>
      <c r="L15" s="401">
        <f t="shared" si="4"/>
        <v>8.3000000000000004E-2</v>
      </c>
      <c r="M15" s="401">
        <f t="shared" si="5"/>
        <v>1</v>
      </c>
      <c r="N15" s="401">
        <f t="shared" si="6"/>
        <v>0.16800000000000001</v>
      </c>
      <c r="O15" s="401">
        <f t="shared" si="7"/>
        <v>0.84762022881586352</v>
      </c>
      <c r="P15" s="401">
        <f t="shared" si="7"/>
        <v>-0.69784736440974582</v>
      </c>
      <c r="Q15" s="401">
        <f t="shared" si="7"/>
        <v>-1.4008134967538799</v>
      </c>
      <c r="R15" s="401">
        <f t="shared" si="11"/>
        <v>1.7444404383651677</v>
      </c>
      <c r="S15" s="401">
        <f t="shared" si="12"/>
        <v>-0.41623114091289193</v>
      </c>
      <c r="T15" s="401">
        <f t="shared" si="13"/>
        <v>0.57109645380033225</v>
      </c>
      <c r="U15" s="331">
        <v>1.7000000000000001E-2</v>
      </c>
      <c r="V15" s="332">
        <f t="shared" si="8"/>
        <v>4.5430381626690962E-3</v>
      </c>
      <c r="W15" s="330">
        <v>2.9499999999999998E-2</v>
      </c>
      <c r="X15" s="332">
        <f t="shared" si="9"/>
        <v>7.1105590608513828E-3</v>
      </c>
      <c r="Y15" s="332">
        <f t="shared" si="14"/>
        <v>7.1105590608513828E-3</v>
      </c>
      <c r="Z15" s="330"/>
      <c r="AA15" s="334" t="s">
        <v>587</v>
      </c>
      <c r="AB15" s="403">
        <f>MacroAssumptions!F18</f>
        <v>0.05</v>
      </c>
      <c r="AC15" s="355">
        <v>0.2</v>
      </c>
      <c r="AD15" s="355">
        <v>0.6</v>
      </c>
      <c r="AK15" s="355"/>
      <c r="AL15" s="355"/>
      <c r="AM15" s="355"/>
      <c r="AN15" s="355"/>
      <c r="AO15" s="355"/>
    </row>
    <row r="16" spans="1:58" x14ac:dyDescent="0.25">
      <c r="A16" s="355" t="s">
        <v>563</v>
      </c>
      <c r="B16" s="355" t="s">
        <v>588</v>
      </c>
      <c r="C16" s="345">
        <f>'Historical Data'!B200</f>
        <v>2.8214013427473539E-2</v>
      </c>
      <c r="D16" s="401">
        <f>'Historical Data'!E33</f>
        <v>4.9000000000000004</v>
      </c>
      <c r="E16" s="355">
        <v>3.75</v>
      </c>
      <c r="F16" s="401">
        <f t="shared" si="1"/>
        <v>0.20000000000000018</v>
      </c>
      <c r="G16" s="401">
        <f>'Historical Data'!H65</f>
        <v>-1</v>
      </c>
      <c r="H16" s="321">
        <v>0.20483091789999999</v>
      </c>
      <c r="I16" s="401">
        <f t="shared" si="10"/>
        <v>-0.25</v>
      </c>
      <c r="J16" s="401">
        <f t="shared" si="2"/>
        <v>0.82199999999999995</v>
      </c>
      <c r="K16" s="401">
        <f t="shared" si="3"/>
        <v>0.41599999999999998</v>
      </c>
      <c r="L16" s="401">
        <f t="shared" si="4"/>
        <v>0.114</v>
      </c>
      <c r="M16" s="401">
        <f t="shared" si="5"/>
        <v>0.98899999999999999</v>
      </c>
      <c r="N16" s="401">
        <f t="shared" si="6"/>
        <v>9.4E-2</v>
      </c>
      <c r="O16" s="401">
        <f t="shared" si="7"/>
        <v>1.1351889073138961</v>
      </c>
      <c r="P16" s="401">
        <f t="shared" si="7"/>
        <v>-0.2399702606445574</v>
      </c>
      <c r="Q16" s="401">
        <f t="shared" si="7"/>
        <v>-1.2950419473178887</v>
      </c>
      <c r="R16" s="401">
        <f t="shared" si="11"/>
        <v>1.706448995061389</v>
      </c>
      <c r="S16" s="401">
        <f t="shared" si="12"/>
        <v>-0.66580119704432283</v>
      </c>
      <c r="T16" s="401">
        <f t="shared" si="13"/>
        <v>0.67967095552271117</v>
      </c>
      <c r="U16" s="331">
        <v>1.7000000000000001E-2</v>
      </c>
      <c r="V16" s="332">
        <f t="shared" si="8"/>
        <v>3.91088748547229E-3</v>
      </c>
      <c r="W16" s="330">
        <v>2.6700000000000002E-2</v>
      </c>
      <c r="X16" s="332">
        <f t="shared" si="9"/>
        <v>5.7660924010046145E-3</v>
      </c>
      <c r="Y16" s="332">
        <f t="shared" si="14"/>
        <v>5.7660924010046145E-3</v>
      </c>
      <c r="Z16" s="330"/>
      <c r="AA16" s="322" t="s">
        <v>705</v>
      </c>
      <c r="AB16" s="403">
        <f>MacroAssumptions!F17</f>
        <v>0.35</v>
      </c>
      <c r="AC16" s="355">
        <v>0.2</v>
      </c>
      <c r="AD16" s="355">
        <v>0</v>
      </c>
      <c r="AK16" s="355"/>
      <c r="AL16" s="355"/>
      <c r="AM16" s="355"/>
      <c r="AN16" s="355"/>
      <c r="AO16" s="355"/>
    </row>
    <row r="17" spans="1:42" x14ac:dyDescent="0.25">
      <c r="A17" s="355" t="s">
        <v>563</v>
      </c>
      <c r="B17" s="355" t="s">
        <v>589</v>
      </c>
      <c r="C17" s="345">
        <f>'Historical Data'!B201</f>
        <v>3.2610543246897938E-2</v>
      </c>
      <c r="D17" s="401">
        <f>'Historical Data'!E34</f>
        <v>4.5</v>
      </c>
      <c r="E17" s="355">
        <v>3.75</v>
      </c>
      <c r="F17" s="401">
        <f t="shared" si="1"/>
        <v>-0.40000000000000036</v>
      </c>
      <c r="G17" s="401">
        <f>'Historical Data'!H66</f>
        <v>-0.8</v>
      </c>
      <c r="H17" s="321">
        <v>0.13482142859999999</v>
      </c>
      <c r="I17" s="401">
        <f t="shared" si="10"/>
        <v>0</v>
      </c>
      <c r="J17" s="401">
        <f t="shared" si="2"/>
        <v>0.86399999999999999</v>
      </c>
      <c r="K17" s="401">
        <f t="shared" si="3"/>
        <v>0.22900000000000001</v>
      </c>
      <c r="L17" s="401">
        <f t="shared" si="4"/>
        <v>0.16600000000000001</v>
      </c>
      <c r="M17" s="401">
        <f t="shared" si="5"/>
        <v>0.91600000000000004</v>
      </c>
      <c r="N17" s="401">
        <f t="shared" si="6"/>
        <v>0.16800000000000001</v>
      </c>
      <c r="O17" s="401">
        <f t="shared" si="7"/>
        <v>1.2807055879996478</v>
      </c>
      <c r="P17" s="401">
        <f t="shared" si="7"/>
        <v>-0.87421484141559624</v>
      </c>
      <c r="Q17" s="401">
        <f t="shared" si="7"/>
        <v>-1.1176187031026772</v>
      </c>
      <c r="R17" s="401">
        <f t="shared" si="11"/>
        <v>1.4543239622272224</v>
      </c>
      <c r="S17" s="401">
        <f t="shared" si="12"/>
        <v>-0.41623114091289193</v>
      </c>
      <c r="T17" s="401">
        <f t="shared" si="13"/>
        <v>0.84789224876251357</v>
      </c>
      <c r="U17" s="331">
        <v>1.7000000000000001E-2</v>
      </c>
      <c r="V17" s="332">
        <f t="shared" si="8"/>
        <v>3.0861667523166786E-3</v>
      </c>
      <c r="W17" s="330">
        <v>2.4299999999999999E-2</v>
      </c>
      <c r="X17" s="332">
        <f t="shared" si="9"/>
        <v>3.8466974668193549E-3</v>
      </c>
      <c r="Y17" s="332">
        <f t="shared" si="14"/>
        <v>3.8466974668193549E-3</v>
      </c>
      <c r="Z17" s="330"/>
      <c r="AK17" s="355"/>
      <c r="AL17" s="355"/>
      <c r="AM17" s="355"/>
      <c r="AN17" s="355"/>
      <c r="AO17" s="355"/>
    </row>
    <row r="18" spans="1:42" ht="15.75" x14ac:dyDescent="0.25">
      <c r="A18" s="355" t="s">
        <v>563</v>
      </c>
      <c r="B18" s="355" t="s">
        <v>590</v>
      </c>
      <c r="C18" s="345">
        <f>'Historical Data'!B202</f>
        <v>3.5349656952225139E-2</v>
      </c>
      <c r="D18" s="401">
        <f>'Historical Data'!E35</f>
        <v>5</v>
      </c>
      <c r="E18" s="355">
        <v>3.5</v>
      </c>
      <c r="F18" s="401">
        <f t="shared" si="1"/>
        <v>0.5</v>
      </c>
      <c r="G18" s="401">
        <f>'Historical Data'!H67</f>
        <v>-0.3</v>
      </c>
      <c r="H18" s="321">
        <v>0.1099830795</v>
      </c>
      <c r="I18" s="401">
        <f t="shared" si="10"/>
        <v>-0.25</v>
      </c>
      <c r="J18" s="401">
        <f t="shared" si="2"/>
        <v>0.91600000000000004</v>
      </c>
      <c r="K18" s="401">
        <f t="shared" si="3"/>
        <v>0.5</v>
      </c>
      <c r="L18" s="401">
        <f t="shared" si="4"/>
        <v>0.25</v>
      </c>
      <c r="M18" s="401">
        <f t="shared" si="5"/>
        <v>0.86399999999999999</v>
      </c>
      <c r="N18" s="401">
        <f t="shared" si="6"/>
        <v>9.4E-2</v>
      </c>
      <c r="O18" s="401">
        <f t="shared" si="7"/>
        <v>1.4608690974201022</v>
      </c>
      <c r="P18" s="401">
        <f t="shared" si="7"/>
        <v>4.4931048364893367E-2</v>
      </c>
      <c r="Q18" s="401">
        <f t="shared" si="7"/>
        <v>-0.83101192398579748</v>
      </c>
      <c r="R18" s="401">
        <f t="shared" si="11"/>
        <v>1.2747280484275416</v>
      </c>
      <c r="S18" s="401">
        <f t="shared" si="12"/>
        <v>-0.66580119704432283</v>
      </c>
      <c r="T18" s="401">
        <f t="shared" si="13"/>
        <v>0.84981984635531405</v>
      </c>
      <c r="U18" s="331">
        <v>1.7000000000000001E-2</v>
      </c>
      <c r="V18" s="332">
        <f t="shared" si="8"/>
        <v>3.0777009382704176E-3</v>
      </c>
      <c r="W18" s="330">
        <v>1.83E-2</v>
      </c>
      <c r="X18" s="332">
        <f t="shared" si="9"/>
        <v>3.3582517253531283E-3</v>
      </c>
      <c r="Y18" s="332">
        <f t="shared" si="14"/>
        <v>3.3582517253531283E-3</v>
      </c>
      <c r="Z18" s="330"/>
      <c r="AA18" s="343" t="s">
        <v>622</v>
      </c>
      <c r="AB18" s="357"/>
      <c r="AC18" s="357"/>
      <c r="AK18" s="355"/>
      <c r="AL18" s="355"/>
      <c r="AM18" s="355"/>
      <c r="AN18" s="355"/>
      <c r="AO18" s="355"/>
    </row>
    <row r="19" spans="1:42" x14ac:dyDescent="0.25">
      <c r="A19" s="355" t="s">
        <v>563</v>
      </c>
      <c r="B19" s="355" t="s">
        <v>591</v>
      </c>
      <c r="C19" s="345">
        <f>'Historical Data'!B203</f>
        <v>3.5198346426619009E-2</v>
      </c>
      <c r="D19" s="401">
        <f>'Historical Data'!E36</f>
        <v>4.5</v>
      </c>
      <c r="E19" s="355">
        <v>3.75</v>
      </c>
      <c r="F19" s="401">
        <f t="shared" si="1"/>
        <v>-0.5</v>
      </c>
      <c r="G19" s="401">
        <f>'Historical Data'!H68</f>
        <v>-0.2</v>
      </c>
      <c r="H19" s="321">
        <v>8.2864038619999997E-2</v>
      </c>
      <c r="I19" s="401">
        <f t="shared" si="10"/>
        <v>0.25</v>
      </c>
      <c r="J19" s="401">
        <f t="shared" si="2"/>
        <v>0.90600000000000003</v>
      </c>
      <c r="K19" s="401">
        <f t="shared" si="3"/>
        <v>0.22900000000000001</v>
      </c>
      <c r="L19" s="401">
        <f t="shared" si="4"/>
        <v>0.30199999999999999</v>
      </c>
      <c r="M19" s="401">
        <f t="shared" si="5"/>
        <v>0.72899999999999998</v>
      </c>
      <c r="N19" s="401">
        <f t="shared" si="6"/>
        <v>0.85199999999999998</v>
      </c>
      <c r="O19" s="401">
        <f t="shared" si="7"/>
        <v>1.4262222686853994</v>
      </c>
      <c r="P19" s="401">
        <f t="shared" si="7"/>
        <v>-0.87421484141559624</v>
      </c>
      <c r="Q19" s="401">
        <f t="shared" si="7"/>
        <v>-0.65358867977058621</v>
      </c>
      <c r="R19" s="401">
        <f t="shared" si="11"/>
        <v>0.80846942606298644</v>
      </c>
      <c r="S19" s="401">
        <f t="shared" si="12"/>
        <v>1.890605594139793</v>
      </c>
      <c r="T19" s="401">
        <f t="shared" si="13"/>
        <v>1.1477034793960184</v>
      </c>
      <c r="U19" s="331">
        <v>1.7000000000000001E-2</v>
      </c>
      <c r="V19" s="332">
        <f t="shared" si="8"/>
        <v>1.9950014197116809E-3</v>
      </c>
      <c r="W19" s="330">
        <v>1.43E-2</v>
      </c>
      <c r="X19" s="332">
        <f t="shared" si="9"/>
        <v>2.7196230367662589E-3</v>
      </c>
      <c r="Y19" s="332">
        <f t="shared" si="14"/>
        <v>2.7196230367662589E-3</v>
      </c>
      <c r="Z19" s="330"/>
      <c r="AK19" s="355"/>
      <c r="AL19" s="355"/>
      <c r="AM19" s="355"/>
      <c r="AN19" s="334" t="s">
        <v>592</v>
      </c>
      <c r="AO19" s="357"/>
    </row>
    <row r="20" spans="1:42" x14ac:dyDescent="0.25">
      <c r="A20" s="355" t="s">
        <v>563</v>
      </c>
      <c r="B20" s="355" t="s">
        <v>593</v>
      </c>
      <c r="C20" s="345">
        <f>'Historical Data'!B204</f>
        <v>3.3964379063896377E-2</v>
      </c>
      <c r="D20" s="401">
        <f>'Historical Data'!E37</f>
        <v>4.5999999999999996</v>
      </c>
      <c r="E20" s="355">
        <v>4</v>
      </c>
      <c r="F20" s="401">
        <f t="shared" si="1"/>
        <v>9.9999999999999645E-2</v>
      </c>
      <c r="G20" s="401">
        <f>'Historical Data'!H69</f>
        <v>-0.4</v>
      </c>
      <c r="H20" s="321">
        <v>7.7786688049999997E-2</v>
      </c>
      <c r="I20" s="401">
        <f t="shared" si="10"/>
        <v>0.25</v>
      </c>
      <c r="J20" s="401">
        <f t="shared" si="2"/>
        <v>0.88500000000000001</v>
      </c>
      <c r="K20" s="401">
        <f t="shared" si="3"/>
        <v>0.27</v>
      </c>
      <c r="L20" s="401">
        <f t="shared" si="4"/>
        <v>0.23899999999999999</v>
      </c>
      <c r="M20" s="401">
        <f t="shared" si="5"/>
        <v>0.69699999999999995</v>
      </c>
      <c r="N20" s="401">
        <f t="shared" si="6"/>
        <v>0.85199999999999998</v>
      </c>
      <c r="O20" s="401">
        <f t="shared" si="7"/>
        <v>1.3534639283425236</v>
      </c>
      <c r="P20" s="401">
        <f t="shared" si="7"/>
        <v>-0.73515586916098352</v>
      </c>
      <c r="Q20" s="401">
        <f t="shared" si="7"/>
        <v>-0.86854376410824607</v>
      </c>
      <c r="R20" s="401">
        <f t="shared" si="11"/>
        <v>0.69794886372472131</v>
      </c>
      <c r="S20" s="401">
        <f t="shared" si="12"/>
        <v>1.890605594139793</v>
      </c>
      <c r="T20" s="401">
        <f t="shared" si="13"/>
        <v>1.0575950132972394</v>
      </c>
      <c r="U20" s="331">
        <v>1.7000000000000001E-2</v>
      </c>
      <c r="V20" s="332">
        <f t="shared" si="8"/>
        <v>2.2788833381874548E-3</v>
      </c>
      <c r="W20" s="330">
        <v>1.23E-2</v>
      </c>
      <c r="X20" s="332">
        <f t="shared" si="9"/>
        <v>2.4505285653898513E-3</v>
      </c>
      <c r="Y20" s="332">
        <f t="shared" si="14"/>
        <v>2.4505285653898513E-3</v>
      </c>
      <c r="Z20" s="330"/>
      <c r="AK20" s="355"/>
      <c r="AL20" s="355"/>
      <c r="AM20" s="355"/>
      <c r="AN20" s="355"/>
      <c r="AO20" s="355"/>
    </row>
    <row r="21" spans="1:42" x14ac:dyDescent="0.25">
      <c r="A21" s="355" t="s">
        <v>563</v>
      </c>
      <c r="B21" s="355" t="s">
        <v>594</v>
      </c>
      <c r="C21" s="345">
        <f>'Historical Data'!B205</f>
        <v>2.8040322243815474E-2</v>
      </c>
      <c r="D21" s="401">
        <f>'Historical Data'!E38</f>
        <v>4.4000000000000004</v>
      </c>
      <c r="E21" s="355">
        <v>4.5</v>
      </c>
      <c r="F21" s="401">
        <f t="shared" si="1"/>
        <v>-0.19999999999999929</v>
      </c>
      <c r="G21" s="401">
        <f>'Historical Data'!H70</f>
        <v>-0.2</v>
      </c>
      <c r="H21" s="321">
        <v>0.13847364280000002</v>
      </c>
      <c r="I21" s="401">
        <f t="shared" si="10"/>
        <v>0.5</v>
      </c>
      <c r="J21" s="401">
        <f t="shared" si="2"/>
        <v>0.80200000000000005</v>
      </c>
      <c r="K21" s="401">
        <f t="shared" si="3"/>
        <v>0.17699999999999999</v>
      </c>
      <c r="L21" s="401">
        <f t="shared" si="4"/>
        <v>0.30199999999999999</v>
      </c>
      <c r="M21" s="401">
        <f t="shared" si="5"/>
        <v>0.93700000000000006</v>
      </c>
      <c r="N21" s="401">
        <f t="shared" si="6"/>
        <v>0.96799999999999997</v>
      </c>
      <c r="O21" s="401">
        <f t="shared" si="7"/>
        <v>1.0658952498444909</v>
      </c>
      <c r="P21" s="401">
        <f t="shared" si="7"/>
        <v>-1.0505823184214469</v>
      </c>
      <c r="Q21" s="401">
        <f t="shared" si="7"/>
        <v>-0.65358867977058621</v>
      </c>
      <c r="R21" s="401">
        <f t="shared" si="11"/>
        <v>1.5268530812617087</v>
      </c>
      <c r="S21" s="401">
        <f t="shared" si="12"/>
        <v>2.2818235199674413</v>
      </c>
      <c r="T21" s="401">
        <f t="shared" si="13"/>
        <v>1.0601041738946955</v>
      </c>
      <c r="U21" s="331">
        <v>1.7000000000000001E-2</v>
      </c>
      <c r="V21" s="332">
        <f t="shared" si="8"/>
        <v>2.270507122814304E-3</v>
      </c>
      <c r="W21" s="330">
        <v>1.12E-2</v>
      </c>
      <c r="X21" s="332">
        <f t="shared" si="9"/>
        <v>2.1814639602378131E-3</v>
      </c>
      <c r="Y21" s="332">
        <f t="shared" si="14"/>
        <v>2.1814639602378131E-3</v>
      </c>
      <c r="Z21" s="330"/>
      <c r="AK21" s="355"/>
      <c r="AL21" s="355"/>
      <c r="AM21" s="355"/>
      <c r="AN21" s="328" t="s">
        <v>595</v>
      </c>
      <c r="AO21" s="355"/>
      <c r="AP21" s="355" t="s">
        <v>596</v>
      </c>
    </row>
    <row r="22" spans="1:42" x14ac:dyDescent="0.25">
      <c r="A22" s="355" t="s">
        <v>563</v>
      </c>
      <c r="B22" s="355" t="s">
        <v>597</v>
      </c>
      <c r="C22" s="345">
        <f>'Historical Data'!B206</f>
        <v>1.924297508602546E-2</v>
      </c>
      <c r="D22" s="401">
        <f>'Historical Data'!E39</f>
        <v>4.7</v>
      </c>
      <c r="E22" s="355">
        <v>4.75</v>
      </c>
      <c r="F22" s="401">
        <f t="shared" si="1"/>
        <v>0.29999999999999982</v>
      </c>
      <c r="G22" s="401">
        <f>'Historical Data'!H71</f>
        <v>-0.6</v>
      </c>
      <c r="H22" s="321">
        <v>0.137195122</v>
      </c>
      <c r="I22" s="401">
        <f t="shared" si="10"/>
        <v>0.25</v>
      </c>
      <c r="J22" s="401">
        <f t="shared" si="2"/>
        <v>0.47899999999999998</v>
      </c>
      <c r="K22" s="401">
        <f t="shared" si="3"/>
        <v>0.28100000000000003</v>
      </c>
      <c r="L22" s="401">
        <f t="shared" si="4"/>
        <v>0.187</v>
      </c>
      <c r="M22" s="401">
        <f t="shared" si="5"/>
        <v>0.92700000000000005</v>
      </c>
      <c r="N22" s="401">
        <f t="shared" si="6"/>
        <v>0.85199999999999998</v>
      </c>
      <c r="O22" s="401">
        <f t="shared" si="7"/>
        <v>-5.3197318286407592E-2</v>
      </c>
      <c r="P22" s="401">
        <f t="shared" si="7"/>
        <v>-0.69784736440974582</v>
      </c>
      <c r="Q22" s="401">
        <f t="shared" si="7"/>
        <v>-1.0459670083234573</v>
      </c>
      <c r="R22" s="401">
        <f t="shared" si="11"/>
        <v>1.4923154055310011</v>
      </c>
      <c r="S22" s="401">
        <f t="shared" si="12"/>
        <v>1.890605594139793</v>
      </c>
      <c r="T22" s="401">
        <f t="shared" si="13"/>
        <v>0.27156174460386373</v>
      </c>
      <c r="U22" s="331">
        <v>1.7000000000000001E-2</v>
      </c>
      <c r="V22" s="332">
        <f t="shared" si="8"/>
        <v>6.7847912493209329E-3</v>
      </c>
      <c r="W22" s="330">
        <v>1.2500000000000001E-2</v>
      </c>
      <c r="X22" s="332">
        <f t="shared" si="9"/>
        <v>3.7780605701075638E-3</v>
      </c>
      <c r="Y22" s="332">
        <f t="shared" si="14"/>
        <v>3.7780605701075638E-3</v>
      </c>
      <c r="Z22" s="330"/>
      <c r="AK22" s="355"/>
      <c r="AL22" s="355"/>
      <c r="AM22" s="355"/>
      <c r="AN22" s="328" t="s">
        <v>598</v>
      </c>
      <c r="AO22" s="355"/>
      <c r="AP22" s="355" t="s">
        <v>599</v>
      </c>
    </row>
    <row r="23" spans="1:42" x14ac:dyDescent="0.25">
      <c r="A23" s="355" t="s">
        <v>563</v>
      </c>
      <c r="B23" s="355" t="s">
        <v>600</v>
      </c>
      <c r="C23" s="345">
        <f>'Historical Data'!B207</f>
        <v>1.4034681579118802E-2</v>
      </c>
      <c r="D23" s="401">
        <f>'Historical Data'!E40</f>
        <v>4.4000000000000004</v>
      </c>
      <c r="E23" s="355">
        <v>4.75</v>
      </c>
      <c r="F23" s="401">
        <f t="shared" si="1"/>
        <v>-0.29999999999999982</v>
      </c>
      <c r="G23" s="401">
        <f>'Historical Data'!H72</f>
        <v>-0.3</v>
      </c>
      <c r="H23" s="321">
        <v>0.106983655</v>
      </c>
      <c r="I23" s="401">
        <f t="shared" si="10"/>
        <v>0</v>
      </c>
      <c r="J23" s="401">
        <f t="shared" si="2"/>
        <v>0.32200000000000001</v>
      </c>
      <c r="K23" s="401">
        <f t="shared" si="3"/>
        <v>0.17699999999999999</v>
      </c>
      <c r="L23" s="401">
        <f t="shared" si="4"/>
        <v>0.25</v>
      </c>
      <c r="M23" s="401">
        <f t="shared" si="5"/>
        <v>0.84299999999999997</v>
      </c>
      <c r="N23" s="401">
        <f t="shared" si="6"/>
        <v>0.16800000000000001</v>
      </c>
      <c r="O23" s="401">
        <f t="shared" si="7"/>
        <v>-0.59715252942124042</v>
      </c>
      <c r="P23" s="401">
        <f t="shared" si="7"/>
        <v>-1.0505823184214469</v>
      </c>
      <c r="Q23" s="401">
        <f t="shared" si="7"/>
        <v>-0.83101192398579748</v>
      </c>
      <c r="R23" s="401">
        <f t="shared" si="11"/>
        <v>1.2021989293930553</v>
      </c>
      <c r="S23" s="401">
        <f t="shared" si="12"/>
        <v>-0.41623114091289193</v>
      </c>
      <c r="T23" s="401">
        <f t="shared" si="13"/>
        <v>-0.25773769936116303</v>
      </c>
      <c r="U23" s="331">
        <v>1.7000000000000001E-2</v>
      </c>
      <c r="V23" s="332">
        <f t="shared" si="8"/>
        <v>1.3193374782391151E-2</v>
      </c>
      <c r="W23" s="330">
        <v>1.1900000000000001E-2</v>
      </c>
      <c r="X23" s="332">
        <f t="shared" si="9"/>
        <v>7.4162243848421294E-3</v>
      </c>
      <c r="Y23" s="332">
        <f t="shared" si="14"/>
        <v>7.4162243848421294E-3</v>
      </c>
      <c r="Z23" s="330"/>
      <c r="AK23" s="355"/>
      <c r="AL23" s="355"/>
      <c r="AM23" s="355"/>
      <c r="AN23" s="328" t="s">
        <v>602</v>
      </c>
      <c r="AO23" s="355"/>
      <c r="AP23" s="355" t="s">
        <v>603</v>
      </c>
    </row>
    <row r="24" spans="1:42" x14ac:dyDescent="0.25">
      <c r="A24" s="357" t="s">
        <v>563</v>
      </c>
      <c r="B24" s="357" t="s">
        <v>604</v>
      </c>
      <c r="C24" s="345">
        <f>'Historical Data'!B208</f>
        <v>1.7026348988588236E-2</v>
      </c>
      <c r="D24" s="401">
        <f>'Historical Data'!E41</f>
        <v>4.5</v>
      </c>
      <c r="E24" s="357">
        <v>4.75</v>
      </c>
      <c r="F24" s="401">
        <f t="shared" si="1"/>
        <v>9.9999999999999645E-2</v>
      </c>
      <c r="G24" s="401">
        <f>'Historical Data'!H73</f>
        <v>-0.1</v>
      </c>
      <c r="H24" s="321">
        <v>0.11590247910000001</v>
      </c>
      <c r="I24" s="401">
        <f t="shared" si="10"/>
        <v>0</v>
      </c>
      <c r="J24" s="401">
        <f t="shared" si="2"/>
        <v>0.39500000000000002</v>
      </c>
      <c r="K24" s="401">
        <f t="shared" si="3"/>
        <v>0.22900000000000001</v>
      </c>
      <c r="L24" s="401">
        <f t="shared" si="4"/>
        <v>0.33300000000000002</v>
      </c>
      <c r="M24" s="401">
        <f t="shared" si="5"/>
        <v>0.875</v>
      </c>
      <c r="N24" s="401">
        <f t="shared" si="6"/>
        <v>0.16800000000000001</v>
      </c>
      <c r="O24" s="401">
        <f t="shared" si="7"/>
        <v>-0.34423067965791043</v>
      </c>
      <c r="P24" s="401">
        <f t="shared" si="7"/>
        <v>-0.87421484141559624</v>
      </c>
      <c r="Q24" s="401">
        <f t="shared" si="7"/>
        <v>-0.54781713033459467</v>
      </c>
      <c r="R24" s="401">
        <f t="shared" si="11"/>
        <v>1.3127194917313203</v>
      </c>
      <c r="S24" s="401">
        <f t="shared" si="12"/>
        <v>-0.41623114091289193</v>
      </c>
      <c r="T24" s="401">
        <f t="shared" si="13"/>
        <v>-8.4249801604803221E-2</v>
      </c>
      <c r="U24" s="331">
        <v>1.7000000000000001E-2</v>
      </c>
      <c r="V24" s="332">
        <f t="shared" si="8"/>
        <v>1.0674504887079632E-2</v>
      </c>
      <c r="W24" s="330">
        <v>1.04E-2</v>
      </c>
      <c r="X24" s="332">
        <f t="shared" si="9"/>
        <v>1.0217556972930572E-2</v>
      </c>
      <c r="Y24" s="332">
        <f t="shared" si="14"/>
        <v>1.0217556972930572E-2</v>
      </c>
      <c r="Z24" s="330"/>
      <c r="AK24" s="355"/>
      <c r="AL24" s="355"/>
      <c r="AM24" s="355"/>
      <c r="AN24" s="328" t="s">
        <v>605</v>
      </c>
      <c r="AO24" s="355"/>
      <c r="AP24" s="355" t="s">
        <v>596</v>
      </c>
    </row>
    <row r="25" spans="1:42" x14ac:dyDescent="0.25">
      <c r="A25" s="355" t="s">
        <v>563</v>
      </c>
      <c r="B25" s="355" t="s">
        <v>606</v>
      </c>
      <c r="C25" s="345">
        <f>'Historical Data'!B209</f>
        <v>2.5999321278863619E-2</v>
      </c>
      <c r="D25" s="401">
        <f>'Historical Data'!E42</f>
        <v>4.4000000000000004</v>
      </c>
      <c r="E25" s="355">
        <v>4.75</v>
      </c>
      <c r="F25" s="401">
        <f t="shared" si="1"/>
        <v>-9.9999999999999645E-2</v>
      </c>
      <c r="G25" s="401">
        <f>'Historical Data'!H74</f>
        <v>0.1</v>
      </c>
      <c r="H25" s="321">
        <v>7.0927939440000004E-2</v>
      </c>
      <c r="I25" s="401">
        <f t="shared" si="10"/>
        <v>0</v>
      </c>
      <c r="J25" s="401">
        <f t="shared" si="2"/>
        <v>0.75</v>
      </c>
      <c r="K25" s="401">
        <f t="shared" si="3"/>
        <v>0.17699999999999999</v>
      </c>
      <c r="L25" s="401">
        <f t="shared" si="4"/>
        <v>0.34300000000000003</v>
      </c>
      <c r="M25" s="401">
        <f t="shared" si="5"/>
        <v>0.65600000000000003</v>
      </c>
      <c r="N25" s="401">
        <f t="shared" si="6"/>
        <v>0.16800000000000001</v>
      </c>
      <c r="O25" s="401">
        <f t="shared" si="7"/>
        <v>0.88573174042403657</v>
      </c>
      <c r="P25" s="401">
        <f t="shared" si="7"/>
        <v>-1.0505823184214469</v>
      </c>
      <c r="Q25" s="401">
        <f t="shared" si="7"/>
        <v>-0.51369727567782331</v>
      </c>
      <c r="R25" s="401">
        <f t="shared" si="11"/>
        <v>0.55634439322881968</v>
      </c>
      <c r="S25" s="401">
        <f t="shared" si="12"/>
        <v>-0.41623114091289193</v>
      </c>
      <c r="T25" s="401">
        <f t="shared" si="13"/>
        <v>0.599138873760377</v>
      </c>
      <c r="U25" s="331">
        <v>1.7000000000000001E-2</v>
      </c>
      <c r="V25" s="332">
        <f t="shared" si="8"/>
        <v>4.371581674060732E-3</v>
      </c>
      <c r="W25" s="330">
        <v>1.11E-2</v>
      </c>
      <c r="X25" s="332">
        <f t="shared" si="9"/>
        <v>9.4131537811771721E-3</v>
      </c>
      <c r="Y25" s="332">
        <f t="shared" si="14"/>
        <v>9.4131537811771721E-3</v>
      </c>
      <c r="Z25" s="330"/>
      <c r="AK25" s="355"/>
      <c r="AL25" s="355"/>
      <c r="AM25" s="355"/>
      <c r="AN25" s="328" t="s">
        <v>607</v>
      </c>
      <c r="AO25" s="355"/>
      <c r="AP25" s="355" t="s">
        <v>608</v>
      </c>
    </row>
    <row r="26" spans="1:42" x14ac:dyDescent="0.25">
      <c r="A26" s="355" t="s">
        <v>563</v>
      </c>
      <c r="B26" s="355" t="s">
        <v>609</v>
      </c>
      <c r="C26" s="345">
        <f>'Historical Data'!B210</f>
        <v>3.5967532591475671E-2</v>
      </c>
      <c r="D26" s="401">
        <f>'Historical Data'!E43</f>
        <v>4.7</v>
      </c>
      <c r="E26" s="355">
        <v>4.5</v>
      </c>
      <c r="F26" s="401">
        <f t="shared" si="1"/>
        <v>0.29999999999999982</v>
      </c>
      <c r="G26" s="401">
        <f>'Historical Data'!H75</f>
        <v>0.6</v>
      </c>
      <c r="H26" s="321">
        <v>5.4634944489999997E-2</v>
      </c>
      <c r="I26" s="401">
        <f t="shared" si="10"/>
        <v>-0.25</v>
      </c>
      <c r="J26" s="401">
        <f t="shared" si="2"/>
        <v>0.92700000000000005</v>
      </c>
      <c r="K26" s="401">
        <f t="shared" si="3"/>
        <v>0.28100000000000003</v>
      </c>
      <c r="L26" s="401">
        <f t="shared" si="4"/>
        <v>0.45800000000000002</v>
      </c>
      <c r="M26" s="401">
        <f t="shared" si="5"/>
        <v>0.57199999999999995</v>
      </c>
      <c r="N26" s="401">
        <f t="shared" si="6"/>
        <v>9.4E-2</v>
      </c>
      <c r="O26" s="401">
        <f t="shared" si="7"/>
        <v>1.4989806090282751</v>
      </c>
      <c r="P26" s="401">
        <f t="shared" si="7"/>
        <v>-0.69784736440974582</v>
      </c>
      <c r="Q26" s="401">
        <f t="shared" si="7"/>
        <v>-0.12131894712495207</v>
      </c>
      <c r="R26" s="401">
        <f t="shared" si="11"/>
        <v>0.26622791709087396</v>
      </c>
      <c r="S26" s="401">
        <f t="shared" si="12"/>
        <v>-0.66580119704432283</v>
      </c>
      <c r="T26" s="401">
        <f t="shared" si="13"/>
        <v>0.91708387915009959</v>
      </c>
      <c r="U26" s="331">
        <v>1.7000000000000001E-2</v>
      </c>
      <c r="V26" s="332">
        <f t="shared" si="8"/>
        <v>2.7950723973078529E-3</v>
      </c>
      <c r="W26" s="330">
        <v>1.01E-2</v>
      </c>
      <c r="X26" s="332">
        <f t="shared" si="9"/>
        <v>5.9470529861494056E-3</v>
      </c>
      <c r="Y26" s="332">
        <f t="shared" si="14"/>
        <v>5.9470529861494056E-3</v>
      </c>
      <c r="Z26" s="330"/>
      <c r="AK26" s="355"/>
      <c r="AL26" s="355"/>
      <c r="AM26" s="355"/>
      <c r="AN26" s="328" t="s">
        <v>610</v>
      </c>
      <c r="AO26" s="355"/>
      <c r="AP26" s="355" t="s">
        <v>611</v>
      </c>
    </row>
    <row r="27" spans="1:42" x14ac:dyDescent="0.25">
      <c r="A27" s="355" t="s">
        <v>563</v>
      </c>
      <c r="B27" s="355" t="s">
        <v>612</v>
      </c>
      <c r="C27" s="345">
        <f>'Historical Data'!B211</f>
        <v>4.8058653006965324E-2</v>
      </c>
      <c r="D27" s="401">
        <f>'Historical Data'!E44</f>
        <v>4.7</v>
      </c>
      <c r="E27" s="355">
        <v>4.5</v>
      </c>
      <c r="F27" s="401">
        <f t="shared" si="1"/>
        <v>0</v>
      </c>
      <c r="G27" s="401">
        <f>'Historical Data'!H76</f>
        <v>0.4</v>
      </c>
      <c r="H27" s="321">
        <v>6.2856288310000008E-2</v>
      </c>
      <c r="I27" s="401">
        <f t="shared" si="10"/>
        <v>0</v>
      </c>
      <c r="J27" s="401">
        <f t="shared" si="2"/>
        <v>0.95799999999999996</v>
      </c>
      <c r="K27" s="401">
        <f t="shared" si="3"/>
        <v>0.28100000000000003</v>
      </c>
      <c r="L27" s="401">
        <f t="shared" si="4"/>
        <v>0.40600000000000003</v>
      </c>
      <c r="M27" s="401">
        <f t="shared" si="5"/>
        <v>0.59299999999999997</v>
      </c>
      <c r="N27" s="401">
        <f t="shared" si="6"/>
        <v>0.16800000000000001</v>
      </c>
      <c r="O27" s="401">
        <f t="shared" si="7"/>
        <v>1.6063857781058535</v>
      </c>
      <c r="P27" s="401">
        <f t="shared" si="7"/>
        <v>-0.69784736440974582</v>
      </c>
      <c r="Q27" s="401">
        <f t="shared" si="7"/>
        <v>-0.29874219134016339</v>
      </c>
      <c r="R27" s="401">
        <f t="shared" si="11"/>
        <v>0.33875703612536034</v>
      </c>
      <c r="S27" s="401">
        <f t="shared" si="12"/>
        <v>-0.41623114091289193</v>
      </c>
      <c r="T27" s="401">
        <f t="shared" si="13"/>
        <v>0.99599457369171707</v>
      </c>
      <c r="U27" s="331">
        <v>1.7000000000000001E-2</v>
      </c>
      <c r="V27" s="332">
        <f t="shared" si="8"/>
        <v>2.4935008353956538E-3</v>
      </c>
      <c r="W27" s="330">
        <v>1.04E-2</v>
      </c>
      <c r="X27" s="332">
        <f t="shared" si="9"/>
        <v>3.2200516355880789E-3</v>
      </c>
      <c r="Y27" s="332">
        <f t="shared" si="14"/>
        <v>3.2200516355880789E-3</v>
      </c>
      <c r="Z27" s="330"/>
      <c r="AK27" s="355"/>
      <c r="AL27" s="355"/>
      <c r="AM27" s="355"/>
      <c r="AN27" s="355"/>
      <c r="AO27" s="355"/>
    </row>
    <row r="28" spans="1:42" x14ac:dyDescent="0.25">
      <c r="A28" s="355" t="s">
        <v>563</v>
      </c>
      <c r="B28" s="355" t="s">
        <v>613</v>
      </c>
      <c r="C28" s="345">
        <f>'Historical Data'!B212</f>
        <v>4.347456967604546E-2</v>
      </c>
      <c r="D28" s="401">
        <f>'Historical Data'!E45</f>
        <v>4.9000000000000004</v>
      </c>
      <c r="E28" s="355">
        <v>4.5</v>
      </c>
      <c r="F28" s="401">
        <f t="shared" si="1"/>
        <v>0.20000000000000018</v>
      </c>
      <c r="G28" s="401">
        <f>'Historical Data'!H77</f>
        <v>0.4</v>
      </c>
      <c r="H28" s="321">
        <v>6.4641021110000002E-2</v>
      </c>
      <c r="I28" s="401">
        <f t="shared" si="10"/>
        <v>0</v>
      </c>
      <c r="J28" s="401">
        <f t="shared" si="2"/>
        <v>0.93700000000000006</v>
      </c>
      <c r="K28" s="401">
        <f t="shared" si="3"/>
        <v>0.41599999999999998</v>
      </c>
      <c r="L28" s="401">
        <f t="shared" si="4"/>
        <v>0.40600000000000003</v>
      </c>
      <c r="M28" s="401">
        <f t="shared" si="5"/>
        <v>0.61399999999999999</v>
      </c>
      <c r="N28" s="401">
        <f t="shared" si="6"/>
        <v>0.16800000000000001</v>
      </c>
      <c r="O28" s="401">
        <f t="shared" si="7"/>
        <v>1.5336274377629779</v>
      </c>
      <c r="P28" s="401">
        <f t="shared" si="7"/>
        <v>-0.2399702606445574</v>
      </c>
      <c r="Q28" s="401">
        <f t="shared" si="7"/>
        <v>-0.29874219134016339</v>
      </c>
      <c r="R28" s="401">
        <f t="shared" si="11"/>
        <v>0.41128615515984679</v>
      </c>
      <c r="S28" s="401">
        <f t="shared" si="12"/>
        <v>-0.41623114091289193</v>
      </c>
      <c r="T28" s="401">
        <f t="shared" si="13"/>
        <v>0.91380477101292168</v>
      </c>
      <c r="U28" s="331">
        <v>1.7000000000000001E-2</v>
      </c>
      <c r="V28" s="332">
        <f t="shared" si="8"/>
        <v>2.8082879929525657E-3</v>
      </c>
      <c r="W28" s="330">
        <v>1.09E-2</v>
      </c>
      <c r="X28" s="332">
        <f t="shared" si="9"/>
        <v>2.6989537418853574E-3</v>
      </c>
      <c r="Y28" s="332">
        <f t="shared" si="14"/>
        <v>2.6989537418853574E-3</v>
      </c>
      <c r="Z28" s="330"/>
      <c r="AK28" s="355"/>
      <c r="AL28" s="355"/>
      <c r="AM28" s="355"/>
      <c r="AN28" s="328" t="s">
        <v>614</v>
      </c>
      <c r="AO28" s="355"/>
    </row>
    <row r="29" spans="1:42" x14ac:dyDescent="0.25">
      <c r="A29" s="355" t="s">
        <v>563</v>
      </c>
      <c r="B29" s="355" t="s">
        <v>615</v>
      </c>
      <c r="C29" s="345">
        <f>'Historical Data'!B213</f>
        <v>3.3253127671419191E-2</v>
      </c>
      <c r="D29" s="401">
        <f>'Historical Data'!E46</f>
        <v>5.0999999999999996</v>
      </c>
      <c r="E29" s="355">
        <v>4.5</v>
      </c>
      <c r="F29" s="401">
        <f t="shared" si="1"/>
        <v>0.19999999999999929</v>
      </c>
      <c r="G29" s="401">
        <f>'Historical Data'!H78</f>
        <v>1.2</v>
      </c>
      <c r="H29" s="321">
        <v>7.2828290000000004E-2</v>
      </c>
      <c r="I29" s="401">
        <f t="shared" si="10"/>
        <v>0</v>
      </c>
      <c r="J29" s="401">
        <f t="shared" si="2"/>
        <v>0.875</v>
      </c>
      <c r="K29" s="401">
        <f t="shared" si="3"/>
        <v>0.54100000000000004</v>
      </c>
      <c r="L29" s="401">
        <f t="shared" si="4"/>
        <v>0.51</v>
      </c>
      <c r="M29" s="401">
        <f t="shared" si="5"/>
        <v>0.66600000000000004</v>
      </c>
      <c r="N29" s="401">
        <f t="shared" si="6"/>
        <v>0.16800000000000001</v>
      </c>
      <c r="O29" s="401">
        <f t="shared" si="7"/>
        <v>1.3188170996078208</v>
      </c>
      <c r="P29" s="401">
        <f t="shared" si="7"/>
        <v>0.18399002061950631</v>
      </c>
      <c r="Q29" s="401">
        <f t="shared" si="7"/>
        <v>5.6104297090259235E-2</v>
      </c>
      <c r="R29" s="401">
        <f t="shared" si="11"/>
        <v>0.59088206895952744</v>
      </c>
      <c r="S29" s="401">
        <f t="shared" si="12"/>
        <v>-0.41623114091289193</v>
      </c>
      <c r="T29" s="401">
        <f t="shared" si="13"/>
        <v>0.7959667802164313</v>
      </c>
      <c r="U29" s="331">
        <v>1.7000000000000001E-2</v>
      </c>
      <c r="V29" s="332">
        <f t="shared" si="8"/>
        <v>3.3222544639064677E-3</v>
      </c>
      <c r="W29" s="330">
        <v>1.04E-2</v>
      </c>
      <c r="X29" s="332">
        <f t="shared" si="9"/>
        <v>2.8746810974182289E-3</v>
      </c>
      <c r="Y29" s="332">
        <f t="shared" si="14"/>
        <v>2.8746810974182289E-3</v>
      </c>
      <c r="Z29" s="330"/>
      <c r="AK29" s="355"/>
      <c r="AL29" s="355"/>
      <c r="AM29" s="355"/>
      <c r="AN29" s="355"/>
      <c r="AO29" s="355"/>
    </row>
    <row r="30" spans="1:42" x14ac:dyDescent="0.25">
      <c r="A30" s="355" t="s">
        <v>563</v>
      </c>
      <c r="B30" s="355" t="s">
        <v>616</v>
      </c>
      <c r="C30" s="345">
        <f>'Historical Data'!B214</f>
        <v>2.2666817133921269E-2</v>
      </c>
      <c r="D30" s="401">
        <f>'Historical Data'!E47</f>
        <v>5.4</v>
      </c>
      <c r="E30" s="355">
        <v>4.75</v>
      </c>
      <c r="F30" s="401">
        <f t="shared" si="1"/>
        <v>0.30000000000000071</v>
      </c>
      <c r="G30" s="401">
        <f>'Historical Data'!H79</f>
        <v>1.9</v>
      </c>
      <c r="H30" s="321">
        <v>8.5152860699999999E-2</v>
      </c>
      <c r="I30" s="401">
        <f t="shared" si="10"/>
        <v>0.25</v>
      </c>
      <c r="J30" s="401">
        <f t="shared" si="2"/>
        <v>0.61399999999999999</v>
      </c>
      <c r="K30" s="401">
        <f t="shared" si="3"/>
        <v>0.63500000000000001</v>
      </c>
      <c r="L30" s="401">
        <f t="shared" si="4"/>
        <v>0.66600000000000004</v>
      </c>
      <c r="M30" s="401">
        <f t="shared" si="5"/>
        <v>0.76</v>
      </c>
      <c r="N30" s="401">
        <f t="shared" si="6"/>
        <v>0.85199999999999998</v>
      </c>
      <c r="O30" s="401">
        <f t="shared" si="7"/>
        <v>0.41453486963207936</v>
      </c>
      <c r="P30" s="401">
        <f t="shared" si="7"/>
        <v>0.50280815213008201</v>
      </c>
      <c r="Q30" s="401">
        <f t="shared" si="7"/>
        <v>0.58837402973589337</v>
      </c>
      <c r="R30" s="401">
        <f t="shared" si="11"/>
        <v>0.91553622082818065</v>
      </c>
      <c r="S30" s="401">
        <f t="shared" si="12"/>
        <v>1.890605594139793</v>
      </c>
      <c r="T30" s="401">
        <f t="shared" si="13"/>
        <v>0.53789169103662615</v>
      </c>
      <c r="U30" s="331">
        <v>1.7000000000000001E-2</v>
      </c>
      <c r="V30" s="332">
        <f t="shared" si="8"/>
        <v>4.7538028890142968E-3</v>
      </c>
      <c r="W30" s="330">
        <v>1.15E-2</v>
      </c>
      <c r="X30" s="332">
        <f t="shared" si="9"/>
        <v>3.6281151152911099E-3</v>
      </c>
      <c r="Y30" s="332">
        <f t="shared" si="14"/>
        <v>3.6281151152911099E-3</v>
      </c>
      <c r="Z30" s="330"/>
      <c r="AK30" s="355"/>
      <c r="AL30" s="355"/>
      <c r="AM30" s="355"/>
      <c r="AN30" s="355" t="s">
        <v>617</v>
      </c>
      <c r="AO30" s="355"/>
      <c r="AP30" s="355" t="s">
        <v>618</v>
      </c>
    </row>
    <row r="31" spans="1:42" x14ac:dyDescent="0.25">
      <c r="A31" s="355" t="s">
        <v>563</v>
      </c>
      <c r="B31" s="355" t="s">
        <v>619</v>
      </c>
      <c r="C31" s="345">
        <f>'Historical Data'!B215</f>
        <v>1.2788280888372583E-2</v>
      </c>
      <c r="D31" s="401">
        <f>'Historical Data'!E48</f>
        <v>5.0999999999999996</v>
      </c>
      <c r="E31" s="355">
        <v>5</v>
      </c>
      <c r="F31" s="401">
        <f t="shared" si="1"/>
        <v>-0.30000000000000071</v>
      </c>
      <c r="G31" s="401">
        <f>'Historical Data'!H80</f>
        <v>1.9</v>
      </c>
      <c r="H31" s="321">
        <v>0.1036774855</v>
      </c>
      <c r="I31" s="401">
        <f t="shared" si="10"/>
        <v>0.25</v>
      </c>
      <c r="J31" s="401">
        <f t="shared" si="2"/>
        <v>0.26</v>
      </c>
      <c r="K31" s="401">
        <f t="shared" si="3"/>
        <v>0.54100000000000004</v>
      </c>
      <c r="L31" s="401">
        <f t="shared" si="4"/>
        <v>0.66600000000000004</v>
      </c>
      <c r="M31" s="401">
        <f t="shared" si="5"/>
        <v>0.82199999999999995</v>
      </c>
      <c r="N31" s="401">
        <f t="shared" si="6"/>
        <v>0.85199999999999998</v>
      </c>
      <c r="O31" s="401">
        <f t="shared" si="7"/>
        <v>-0.81196286757639746</v>
      </c>
      <c r="P31" s="401">
        <f t="shared" si="7"/>
        <v>0.18399002061950631</v>
      </c>
      <c r="Q31" s="401">
        <f t="shared" si="7"/>
        <v>0.58837402973589337</v>
      </c>
      <c r="R31" s="401">
        <f t="shared" si="11"/>
        <v>1.1296698103585687</v>
      </c>
      <c r="S31" s="401">
        <f t="shared" si="12"/>
        <v>1.890605594139793</v>
      </c>
      <c r="T31" s="401">
        <f t="shared" si="13"/>
        <v>-0.14471177918436351</v>
      </c>
      <c r="U31" s="331">
        <v>1.7000000000000001E-2</v>
      </c>
      <c r="V31" s="332">
        <f t="shared" si="8"/>
        <v>1.1500231146352995E-2</v>
      </c>
      <c r="W31" s="330">
        <v>1.0999999999999999E-2</v>
      </c>
      <c r="X31" s="332">
        <f t="shared" si="9"/>
        <v>6.5254294997579192E-3</v>
      </c>
      <c r="Y31" s="332">
        <f t="shared" si="14"/>
        <v>6.5254294997579192E-3</v>
      </c>
      <c r="Z31" s="330"/>
      <c r="AK31" s="355"/>
      <c r="AL31" s="355"/>
      <c r="AM31" s="355"/>
      <c r="AN31" s="355"/>
      <c r="AO31" s="355"/>
    </row>
    <row r="32" spans="1:42" x14ac:dyDescent="0.25">
      <c r="A32" s="355" t="s">
        <v>563</v>
      </c>
      <c r="B32" s="355" t="s">
        <v>620</v>
      </c>
      <c r="C32" s="345">
        <f>'Historical Data'!B216</f>
        <v>1.8174997061987552E-2</v>
      </c>
      <c r="D32" s="401">
        <f>'Historical Data'!E49</f>
        <v>5.0999999999999996</v>
      </c>
      <c r="E32" s="355">
        <v>5.25</v>
      </c>
      <c r="F32" s="401">
        <f t="shared" si="1"/>
        <v>0</v>
      </c>
      <c r="G32" s="401">
        <f>'Historical Data'!H81</f>
        <v>2.2000000000000002</v>
      </c>
      <c r="H32" s="321">
        <v>0.1058985848</v>
      </c>
      <c r="I32" s="401">
        <f t="shared" si="10"/>
        <v>0.25</v>
      </c>
      <c r="J32" s="401">
        <f t="shared" si="2"/>
        <v>0.437</v>
      </c>
      <c r="K32" s="401">
        <f t="shared" si="3"/>
        <v>0.54100000000000004</v>
      </c>
      <c r="L32" s="401">
        <f t="shared" si="4"/>
        <v>0.73899999999999999</v>
      </c>
      <c r="M32" s="401">
        <f t="shared" si="5"/>
        <v>0.83299999999999996</v>
      </c>
      <c r="N32" s="401">
        <f t="shared" si="6"/>
        <v>0.85199999999999998</v>
      </c>
      <c r="O32" s="401">
        <f t="shared" si="7"/>
        <v>-0.19871399897215902</v>
      </c>
      <c r="P32" s="401">
        <f t="shared" si="7"/>
        <v>0.18399002061950631</v>
      </c>
      <c r="Q32" s="401">
        <f t="shared" si="7"/>
        <v>0.83744896873032448</v>
      </c>
      <c r="R32" s="401">
        <f t="shared" si="11"/>
        <v>1.1676612536623474</v>
      </c>
      <c r="S32" s="401">
        <f t="shared" si="12"/>
        <v>1.890605594139793</v>
      </c>
      <c r="T32" s="401">
        <f t="shared" si="13"/>
        <v>0.25194418020800047</v>
      </c>
      <c r="U32" s="331">
        <v>1.7000000000000001E-2</v>
      </c>
      <c r="V32" s="332">
        <f t="shared" si="8"/>
        <v>6.9610181505390554E-3</v>
      </c>
      <c r="W32" s="330">
        <v>1.0999999999999999E-2</v>
      </c>
      <c r="X32" s="332">
        <f t="shared" si="9"/>
        <v>7.7383507286354495E-3</v>
      </c>
      <c r="Y32" s="332">
        <f t="shared" si="14"/>
        <v>7.7383507286354495E-3</v>
      </c>
      <c r="Z32" s="330"/>
      <c r="AK32" s="355"/>
      <c r="AL32" s="355"/>
      <c r="AM32" s="355"/>
      <c r="AN32" s="355"/>
      <c r="AO32" s="355"/>
    </row>
    <row r="33" spans="1:52" ht="15.75" x14ac:dyDescent="0.25">
      <c r="A33" s="355" t="s">
        <v>563</v>
      </c>
      <c r="B33" s="355" t="s">
        <v>621</v>
      </c>
      <c r="C33" s="345">
        <f>'Historical Data'!B217</f>
        <v>2.191668413779424E-2</v>
      </c>
      <c r="D33" s="401">
        <f>'Historical Data'!E50</f>
        <v>4.9000000000000004</v>
      </c>
      <c r="E33" s="355">
        <v>5.5</v>
      </c>
      <c r="F33" s="401">
        <f t="shared" si="1"/>
        <v>-0.19999999999999929</v>
      </c>
      <c r="G33" s="401">
        <f>'Historical Data'!H82</f>
        <v>1.7</v>
      </c>
      <c r="H33" s="321">
        <v>0.10800060039999999</v>
      </c>
      <c r="I33" s="401">
        <f t="shared" si="10"/>
        <v>0.25</v>
      </c>
      <c r="J33" s="401">
        <f t="shared" si="2"/>
        <v>0.57199999999999995</v>
      </c>
      <c r="K33" s="401">
        <f t="shared" si="3"/>
        <v>0.41599999999999998</v>
      </c>
      <c r="L33" s="401">
        <f t="shared" si="4"/>
        <v>0.58299999999999996</v>
      </c>
      <c r="M33" s="401">
        <f t="shared" si="5"/>
        <v>0.85399999999999998</v>
      </c>
      <c r="N33" s="401">
        <f t="shared" si="6"/>
        <v>0.85199999999999998</v>
      </c>
      <c r="O33" s="401">
        <f t="shared" si="7"/>
        <v>0.26901818894632773</v>
      </c>
      <c r="P33" s="401">
        <f t="shared" si="7"/>
        <v>-0.2399702606445574</v>
      </c>
      <c r="Q33" s="401">
        <f t="shared" si="7"/>
        <v>0.30517923608469039</v>
      </c>
      <c r="R33" s="401">
        <f t="shared" si="11"/>
        <v>1.2401903726968337</v>
      </c>
      <c r="S33" s="401">
        <f t="shared" si="12"/>
        <v>1.890605594139793</v>
      </c>
      <c r="T33" s="401">
        <f t="shared" si="13"/>
        <v>0.52900545972438406</v>
      </c>
      <c r="U33" s="331">
        <v>1.7000000000000001E-2</v>
      </c>
      <c r="V33" s="332">
        <f t="shared" si="8"/>
        <v>4.8116669393806957E-3</v>
      </c>
      <c r="W33" s="330">
        <v>1.2E-2</v>
      </c>
      <c r="X33" s="332">
        <f t="shared" si="9"/>
        <v>7.75763874542425E-3</v>
      </c>
      <c r="Y33" s="332">
        <f t="shared" si="14"/>
        <v>7.75763874542425E-3</v>
      </c>
      <c r="Z33" s="330"/>
      <c r="AB33" s="343"/>
      <c r="AC33" s="343"/>
      <c r="AD33" s="343"/>
      <c r="AK33" s="355"/>
      <c r="AL33" s="355"/>
      <c r="AM33" s="355"/>
      <c r="AN33" s="334" t="s">
        <v>698</v>
      </c>
      <c r="AO33" s="357"/>
      <c r="AZ33" s="328" t="s">
        <v>703</v>
      </c>
    </row>
    <row r="34" spans="1:52" x14ac:dyDescent="0.25">
      <c r="A34" s="355" t="s">
        <v>563</v>
      </c>
      <c r="B34" s="355" t="s">
        <v>623</v>
      </c>
      <c r="C34" s="345">
        <f>'Historical Data'!B218</f>
        <v>2.8792126924072958E-2</v>
      </c>
      <c r="D34" s="401">
        <f>'Historical Data'!E51</f>
        <v>5.3</v>
      </c>
      <c r="E34" s="355">
        <v>5.75</v>
      </c>
      <c r="F34" s="401">
        <f t="shared" si="1"/>
        <v>0.39999999999999947</v>
      </c>
      <c r="G34" s="401">
        <f>'Historical Data'!H83</f>
        <v>0.3</v>
      </c>
      <c r="H34" s="321">
        <v>0.10011633310000001</v>
      </c>
      <c r="I34" s="401">
        <f t="shared" si="10"/>
        <v>0.25</v>
      </c>
      <c r="J34" s="401">
        <f t="shared" si="2"/>
        <v>0.84299999999999997</v>
      </c>
      <c r="K34" s="401">
        <f t="shared" si="3"/>
        <v>0.59299999999999997</v>
      </c>
      <c r="L34" s="401">
        <f t="shared" si="4"/>
        <v>0.375</v>
      </c>
      <c r="M34" s="401">
        <f t="shared" si="5"/>
        <v>0.80200000000000005</v>
      </c>
      <c r="N34" s="401">
        <f t="shared" si="6"/>
        <v>0.85199999999999998</v>
      </c>
      <c r="O34" s="401">
        <f t="shared" si="7"/>
        <v>1.2079472476567719</v>
      </c>
      <c r="P34" s="401">
        <f t="shared" si="7"/>
        <v>0.36035749762535652</v>
      </c>
      <c r="Q34" s="401">
        <f t="shared" si="7"/>
        <v>-0.40451374077615487</v>
      </c>
      <c r="R34" s="401">
        <f t="shared" si="11"/>
        <v>1.0605944588971534</v>
      </c>
      <c r="S34" s="401">
        <f t="shared" si="12"/>
        <v>1.890605594139793</v>
      </c>
      <c r="T34" s="401">
        <f t="shared" si="13"/>
        <v>0.94340123005760679</v>
      </c>
      <c r="U34" s="331">
        <v>1.7000000000000001E-2</v>
      </c>
      <c r="V34" s="332">
        <f t="shared" si="8"/>
        <v>2.6910229435492309E-3</v>
      </c>
      <c r="W34" s="330">
        <v>1.2500000000000001E-2</v>
      </c>
      <c r="X34" s="332">
        <f t="shared" si="9"/>
        <v>4.8212360111563272E-3</v>
      </c>
      <c r="Y34" s="332">
        <f t="shared" si="14"/>
        <v>4.8212360111563272E-3</v>
      </c>
      <c r="Z34" s="330"/>
      <c r="AK34" s="355"/>
      <c r="AL34" s="355"/>
      <c r="AM34" s="355"/>
      <c r="AN34" s="355"/>
      <c r="AO34" s="355"/>
    </row>
    <row r="35" spans="1:52" x14ac:dyDescent="0.25">
      <c r="A35" s="355" t="s">
        <v>563</v>
      </c>
      <c r="B35" s="355" t="s">
        <v>624</v>
      </c>
      <c r="C35" s="345">
        <f>'Historical Data'!B219</f>
        <v>2.8296053339068816E-2</v>
      </c>
      <c r="D35" s="401">
        <f>'Historical Data'!E52</f>
        <v>4.8</v>
      </c>
      <c r="E35" s="355">
        <v>5.5</v>
      </c>
      <c r="F35" s="401">
        <f t="shared" si="1"/>
        <v>-0.5</v>
      </c>
      <c r="G35" s="401">
        <f>'Historical Data'!H84</f>
        <v>1.1000000000000001</v>
      </c>
      <c r="H35" s="321">
        <v>6.9983724979999995E-2</v>
      </c>
      <c r="I35" s="401">
        <f t="shared" si="10"/>
        <v>-0.25</v>
      </c>
      <c r="J35" s="401">
        <f t="shared" si="2"/>
        <v>0.83299999999999996</v>
      </c>
      <c r="K35" s="401">
        <f t="shared" si="3"/>
        <v>0.36399999999999999</v>
      </c>
      <c r="L35" s="401">
        <f t="shared" si="4"/>
        <v>0.5</v>
      </c>
      <c r="M35" s="401">
        <f t="shared" si="5"/>
        <v>0.64500000000000002</v>
      </c>
      <c r="N35" s="401">
        <f t="shared" si="6"/>
        <v>9.4E-2</v>
      </c>
      <c r="O35" s="401">
        <f t="shared" si="7"/>
        <v>1.1733004189220693</v>
      </c>
      <c r="P35" s="401">
        <f t="shared" si="7"/>
        <v>-0.41633773765040777</v>
      </c>
      <c r="Q35" s="401">
        <f t="shared" si="7"/>
        <v>2.1984442433487791E-2</v>
      </c>
      <c r="R35" s="401">
        <f t="shared" si="11"/>
        <v>0.51835294992504111</v>
      </c>
      <c r="S35" s="401">
        <f t="shared" si="12"/>
        <v>-0.66580119704432283</v>
      </c>
      <c r="T35" s="401">
        <f t="shared" si="13"/>
        <v>0.73306764464970287</v>
      </c>
      <c r="U35" s="331">
        <v>1.7000000000000001E-2</v>
      </c>
      <c r="V35" s="332">
        <f t="shared" si="8"/>
        <v>3.6299062058377449E-3</v>
      </c>
      <c r="W35" s="330">
        <v>1.4500000000000001E-2</v>
      </c>
      <c r="X35" s="332">
        <f t="shared" si="9"/>
        <v>3.7108653629225573E-3</v>
      </c>
      <c r="Y35" s="332">
        <f t="shared" si="14"/>
        <v>3.7108653629225573E-3</v>
      </c>
      <c r="Z35" s="330"/>
      <c r="AK35" s="355"/>
      <c r="AL35" s="355"/>
      <c r="AM35" s="355"/>
      <c r="AN35" s="328" t="s">
        <v>699</v>
      </c>
      <c r="AO35" s="355"/>
      <c r="AP35" s="355" t="s">
        <v>702</v>
      </c>
    </row>
    <row r="36" spans="1:52" x14ac:dyDescent="0.25">
      <c r="A36" s="355" t="s">
        <v>563</v>
      </c>
      <c r="B36" s="355" t="s">
        <v>625</v>
      </c>
      <c r="C36" s="345">
        <f>'Historical Data'!B220</f>
        <v>2.4314233837493759E-2</v>
      </c>
      <c r="D36" s="401">
        <f>'Historical Data'!E53</f>
        <v>4.9000000000000004</v>
      </c>
      <c r="E36" s="355">
        <v>5.25</v>
      </c>
      <c r="F36" s="401">
        <f t="shared" si="1"/>
        <v>0.10000000000000053</v>
      </c>
      <c r="G36" s="401">
        <f>'Historical Data'!H85</f>
        <v>1.6</v>
      </c>
      <c r="H36" s="321">
        <v>2.3558061239999997E-2</v>
      </c>
      <c r="I36" s="401">
        <f t="shared" si="10"/>
        <v>-0.25</v>
      </c>
      <c r="J36" s="401">
        <f t="shared" si="2"/>
        <v>0.66600000000000004</v>
      </c>
      <c r="K36" s="401">
        <f t="shared" si="3"/>
        <v>0.41599999999999998</v>
      </c>
      <c r="L36" s="401">
        <f t="shared" si="4"/>
        <v>0.57199999999999995</v>
      </c>
      <c r="M36" s="401">
        <f t="shared" si="5"/>
        <v>0.312</v>
      </c>
      <c r="N36" s="401">
        <f t="shared" si="6"/>
        <v>9.4E-2</v>
      </c>
      <c r="O36" s="401">
        <f t="shared" si="7"/>
        <v>0.59469837905253375</v>
      </c>
      <c r="P36" s="401">
        <f t="shared" si="7"/>
        <v>-0.2399702606445574</v>
      </c>
      <c r="Q36" s="401">
        <f t="shared" si="7"/>
        <v>0.2676473959622418</v>
      </c>
      <c r="R36" s="401">
        <f t="shared" si="11"/>
        <v>-0.63175165190752858</v>
      </c>
      <c r="S36" s="401">
        <f t="shared" si="12"/>
        <v>-0.66580119704432283</v>
      </c>
      <c r="T36" s="401">
        <f t="shared" si="13"/>
        <v>0.27782550819701501</v>
      </c>
      <c r="U36" s="331">
        <v>1.7000000000000001E-2</v>
      </c>
      <c r="V36" s="332">
        <f t="shared" si="8"/>
        <v>6.7293593329022352E-3</v>
      </c>
      <c r="W36" s="330">
        <v>1.7899999999999999E-2</v>
      </c>
      <c r="X36" s="332">
        <f t="shared" si="9"/>
        <v>4.3500961607630707E-3</v>
      </c>
      <c r="Y36" s="332">
        <f t="shared" si="14"/>
        <v>4.3500961607630707E-3</v>
      </c>
      <c r="Z36" s="330"/>
      <c r="AK36" s="355"/>
      <c r="AL36" s="355"/>
      <c r="AM36" s="355"/>
      <c r="AN36" s="328" t="s">
        <v>700</v>
      </c>
      <c r="AO36" s="355"/>
      <c r="AP36" s="355" t="s">
        <v>701</v>
      </c>
    </row>
    <row r="37" spans="1:52" x14ac:dyDescent="0.25">
      <c r="A37" s="355" t="s">
        <v>563</v>
      </c>
      <c r="B37" s="355" t="s">
        <v>626</v>
      </c>
      <c r="C37" s="345">
        <f>'Historical Data'!B221</f>
        <v>1.2355755761497056E-2</v>
      </c>
      <c r="D37" s="401">
        <f>'Historical Data'!E54</f>
        <v>5</v>
      </c>
      <c r="E37" s="355">
        <v>5</v>
      </c>
      <c r="F37" s="401">
        <f t="shared" si="1"/>
        <v>9.9999999999999645E-2</v>
      </c>
      <c r="G37" s="401">
        <f>'Historical Data'!H86</f>
        <v>3</v>
      </c>
      <c r="H37" s="321">
        <v>-2.4242095919999998E-2</v>
      </c>
      <c r="I37" s="401">
        <f t="shared" si="10"/>
        <v>-0.25</v>
      </c>
      <c r="J37" s="401">
        <f t="shared" ref="J37:J68" si="15">PERCENTRANK($C$4:$C$100,C37)</f>
        <v>0.23899999999999999</v>
      </c>
      <c r="K37" s="401">
        <f t="shared" ref="K37:K68" si="16">PERCENTRANK($D$2:$D$100,D37)</f>
        <v>0.5</v>
      </c>
      <c r="L37" s="401">
        <f t="shared" ref="L37:L68" si="17">PERCENTRANK($G$4:$G$100,G37)</f>
        <v>0.85399999999999998</v>
      </c>
      <c r="M37" s="401">
        <f t="shared" ref="M37:M68" si="18">PERCENTRANK($H$4:$H$100,H37)</f>
        <v>9.2999999999999999E-2</v>
      </c>
      <c r="N37" s="401">
        <f t="shared" ref="N37:N68" si="19">PERCENTRANK($I$4:$I$100,I37)</f>
        <v>9.4E-2</v>
      </c>
      <c r="O37" s="401">
        <f t="shared" ref="O37:Q100" si="20">(J37-AB$4)/AB$5</f>
        <v>-0.88472120791927322</v>
      </c>
      <c r="P37" s="401">
        <f t="shared" si="20"/>
        <v>4.4931048364893367E-2</v>
      </c>
      <c r="Q37" s="401">
        <f t="shared" si="20"/>
        <v>1.2298272972831956</v>
      </c>
      <c r="R37" s="401">
        <f t="shared" si="11"/>
        <v>-1.3881267504100294</v>
      </c>
      <c r="S37" s="401">
        <f t="shared" si="12"/>
        <v>-0.66580119704432283</v>
      </c>
      <c r="T37" s="401">
        <f t="shared" si="13"/>
        <v>-0.61773589460516898</v>
      </c>
      <c r="U37" s="331">
        <v>1.7000000000000001E-2</v>
      </c>
      <c r="V37" s="332">
        <f t="shared" si="8"/>
        <v>2.0094303479007373E-2</v>
      </c>
      <c r="W37" s="330">
        <v>1.8200000000000001E-2</v>
      </c>
      <c r="X37" s="332">
        <f t="shared" si="9"/>
        <v>1.0151189672582451E-2</v>
      </c>
      <c r="Y37" s="332">
        <f t="shared" si="14"/>
        <v>1.0151189672582451E-2</v>
      </c>
      <c r="Z37" s="330"/>
      <c r="AK37" s="355"/>
      <c r="AL37" s="355"/>
      <c r="AM37" s="355"/>
      <c r="AN37" s="328"/>
      <c r="AO37" s="355"/>
    </row>
    <row r="38" spans="1:52" x14ac:dyDescent="0.25">
      <c r="A38" s="355" t="s">
        <v>563</v>
      </c>
      <c r="B38" s="355" t="s">
        <v>627</v>
      </c>
      <c r="C38" s="345">
        <f>'Historical Data'!B222</f>
        <v>-1.1150756298841991E-2</v>
      </c>
      <c r="D38" s="401">
        <f>'Historical Data'!E55</f>
        <v>5.9</v>
      </c>
      <c r="E38" s="355">
        <v>4.5</v>
      </c>
      <c r="F38" s="401">
        <f t="shared" si="1"/>
        <v>0.90000000000000036</v>
      </c>
      <c r="G38" s="401">
        <f>'Historical Data'!H87</f>
        <v>5.2</v>
      </c>
      <c r="H38" s="321">
        <v>-9.6680545440000001E-2</v>
      </c>
      <c r="I38" s="401">
        <f t="shared" si="10"/>
        <v>-0.5</v>
      </c>
      <c r="J38" s="401">
        <f t="shared" si="15"/>
        <v>0.104</v>
      </c>
      <c r="K38" s="401">
        <f t="shared" si="16"/>
        <v>0.66600000000000004</v>
      </c>
      <c r="L38" s="401">
        <f t="shared" si="17"/>
        <v>0.98899999999999999</v>
      </c>
      <c r="M38" s="401">
        <f t="shared" si="18"/>
        <v>3.1E-2</v>
      </c>
      <c r="N38" s="401">
        <f t="shared" si="19"/>
        <v>6.3E-2</v>
      </c>
      <c r="O38" s="401">
        <f t="shared" si="20"/>
        <v>-1.3524533958377603</v>
      </c>
      <c r="P38" s="401">
        <f t="shared" si="20"/>
        <v>0.60795030188356991</v>
      </c>
      <c r="Q38" s="401">
        <f t="shared" si="20"/>
        <v>1.6904453351496098</v>
      </c>
      <c r="R38" s="401">
        <f t="shared" si="11"/>
        <v>-1.6022603399404174</v>
      </c>
      <c r="S38" s="401">
        <f t="shared" si="12"/>
        <v>-0.77035081515343573</v>
      </c>
      <c r="T38" s="401">
        <f t="shared" si="13"/>
        <v>-0.94048364968543752</v>
      </c>
      <c r="U38" s="331">
        <v>1.7000000000000001E-2</v>
      </c>
      <c r="V38" s="332">
        <f t="shared" si="8"/>
        <v>2.8677808392931471E-2</v>
      </c>
      <c r="W38" s="330">
        <v>2.2200000000000001E-2</v>
      </c>
      <c r="X38" s="332">
        <f t="shared" si="9"/>
        <v>1.8500490401613692E-2</v>
      </c>
      <c r="Y38" s="332">
        <f t="shared" si="14"/>
        <v>1.8500490401613692E-2</v>
      </c>
      <c r="Z38" s="330"/>
      <c r="AK38" s="355"/>
      <c r="AL38" s="355"/>
      <c r="AM38" s="355"/>
      <c r="AN38" s="355"/>
      <c r="AO38" s="355"/>
    </row>
    <row r="39" spans="1:52" x14ac:dyDescent="0.25">
      <c r="A39" s="355" t="s">
        <v>563</v>
      </c>
      <c r="B39" s="355" t="s">
        <v>628</v>
      </c>
      <c r="C39" s="345">
        <f>'Historical Data'!B223</f>
        <v>-3.611470602332989E-2</v>
      </c>
      <c r="D39" s="401">
        <f>'Historical Data'!E56</f>
        <v>6</v>
      </c>
      <c r="E39" s="355">
        <v>2</v>
      </c>
      <c r="F39" s="401">
        <f t="shared" si="1"/>
        <v>9.9999999999999645E-2</v>
      </c>
      <c r="G39" s="401">
        <f>'Historical Data'!H88</f>
        <v>3.4</v>
      </c>
      <c r="H39" s="321">
        <v>-0.14926129129999999</v>
      </c>
      <c r="I39" s="401">
        <f t="shared" si="10"/>
        <v>-2.5</v>
      </c>
      <c r="J39" s="401">
        <f t="shared" si="15"/>
        <v>4.1000000000000002E-2</v>
      </c>
      <c r="K39" s="401">
        <f t="shared" si="16"/>
        <v>0.67700000000000005</v>
      </c>
      <c r="L39" s="401">
        <f t="shared" si="17"/>
        <v>0.89500000000000002</v>
      </c>
      <c r="M39" s="401">
        <f t="shared" si="18"/>
        <v>0.01</v>
      </c>
      <c r="N39" s="401">
        <f t="shared" si="19"/>
        <v>0</v>
      </c>
      <c r="O39" s="401">
        <f t="shared" si="20"/>
        <v>-1.5707284168663873</v>
      </c>
      <c r="P39" s="401">
        <f t="shared" si="20"/>
        <v>0.6452588066348075</v>
      </c>
      <c r="Q39" s="401">
        <f t="shared" si="20"/>
        <v>1.3697187013759586</v>
      </c>
      <c r="R39" s="401">
        <f t="shared" si="11"/>
        <v>-1.6747894589749039</v>
      </c>
      <c r="S39" s="401">
        <f t="shared" si="12"/>
        <v>-0.98282261969776197</v>
      </c>
      <c r="T39" s="401">
        <f t="shared" si="13"/>
        <v>-1.1357522685129839</v>
      </c>
      <c r="U39" s="331">
        <v>1.7000000000000001E-2</v>
      </c>
      <c r="V39" s="332">
        <f t="shared" si="8"/>
        <v>3.5217469882265443E-2</v>
      </c>
      <c r="W39" s="330">
        <v>2.8000000000000001E-2</v>
      </c>
      <c r="X39" s="332">
        <f t="shared" si="9"/>
        <v>2.7996527251401431E-2</v>
      </c>
      <c r="Y39" s="332">
        <f t="shared" si="14"/>
        <v>2.7996527251401431E-2</v>
      </c>
      <c r="Z39" s="330"/>
      <c r="AK39" s="355"/>
      <c r="AL39" s="355"/>
      <c r="AM39" s="355"/>
      <c r="AN39" s="355"/>
      <c r="AO39" s="355"/>
    </row>
    <row r="40" spans="1:52" x14ac:dyDescent="0.25">
      <c r="A40" s="355" t="s">
        <v>563</v>
      </c>
      <c r="B40" s="355" t="s">
        <v>629</v>
      </c>
      <c r="C40" s="345">
        <f>'Historical Data'!B224</f>
        <v>-5.8066361556064039E-2</v>
      </c>
      <c r="D40" s="401">
        <f>'Historical Data'!E57</f>
        <v>6.9</v>
      </c>
      <c r="E40" s="355">
        <v>0.5</v>
      </c>
      <c r="F40" s="401">
        <f t="shared" si="1"/>
        <v>0.90000000000000036</v>
      </c>
      <c r="G40" s="401">
        <f>'Historical Data'!H89</f>
        <v>2.1</v>
      </c>
      <c r="H40" s="321">
        <v>-0.15528132980000001</v>
      </c>
      <c r="I40" s="401">
        <f t="shared" si="10"/>
        <v>-1.5</v>
      </c>
      <c r="J40" s="401">
        <f t="shared" si="15"/>
        <v>0.01</v>
      </c>
      <c r="K40" s="401">
        <f t="shared" si="16"/>
        <v>0.73899999999999999</v>
      </c>
      <c r="L40" s="401">
        <f t="shared" si="17"/>
        <v>0.71799999999999997</v>
      </c>
      <c r="M40" s="401">
        <f t="shared" si="18"/>
        <v>0</v>
      </c>
      <c r="N40" s="401">
        <f t="shared" si="19"/>
        <v>0.01</v>
      </c>
      <c r="O40" s="401">
        <f t="shared" si="20"/>
        <v>-1.6781335859439659</v>
      </c>
      <c r="P40" s="401">
        <f t="shared" si="20"/>
        <v>0.85554310614178275</v>
      </c>
      <c r="Q40" s="401">
        <f t="shared" si="20"/>
        <v>0.76579727395110442</v>
      </c>
      <c r="R40" s="401">
        <f t="shared" si="11"/>
        <v>-1.7093271347056118</v>
      </c>
      <c r="S40" s="401">
        <f t="shared" si="12"/>
        <v>-0.94909693643675774</v>
      </c>
      <c r="T40" s="401">
        <f t="shared" si="13"/>
        <v>-1.2816971418996841</v>
      </c>
      <c r="U40" s="331">
        <v>1.7000000000000001E-2</v>
      </c>
      <c r="V40" s="332">
        <f t="shared" si="8"/>
        <v>4.0865885731882975E-2</v>
      </c>
      <c r="W40" s="330">
        <v>2.6599999999999999E-2</v>
      </c>
      <c r="X40" s="332">
        <f t="shared" si="9"/>
        <v>3.4920388002359963E-2</v>
      </c>
      <c r="Y40" s="332">
        <f t="shared" si="14"/>
        <v>3.4920388002359963E-2</v>
      </c>
      <c r="Z40" s="330"/>
      <c r="AK40" s="355"/>
      <c r="AL40" s="355"/>
      <c r="AM40" s="355"/>
      <c r="AN40" s="355"/>
      <c r="AO40" s="355"/>
    </row>
    <row r="41" spans="1:52" x14ac:dyDescent="0.25">
      <c r="A41" s="355" t="s">
        <v>563</v>
      </c>
      <c r="B41" s="355" t="s">
        <v>630</v>
      </c>
      <c r="C41" s="345">
        <f>'Historical Data'!B225</f>
        <v>-5.5117320967854377E-2</v>
      </c>
      <c r="D41" s="401">
        <f>'Historical Data'!E58</f>
        <v>7.5</v>
      </c>
      <c r="E41" s="355">
        <v>0.5</v>
      </c>
      <c r="F41" s="401">
        <f t="shared" si="1"/>
        <v>0.59999999999999964</v>
      </c>
      <c r="G41" s="401">
        <f>'Historical Data'!H90</f>
        <v>1</v>
      </c>
      <c r="H41" s="321">
        <v>-0.12247434459999999</v>
      </c>
      <c r="I41" s="401">
        <f t="shared" si="10"/>
        <v>0</v>
      </c>
      <c r="J41" s="401">
        <f t="shared" si="15"/>
        <v>0.02</v>
      </c>
      <c r="K41" s="401">
        <f t="shared" si="16"/>
        <v>0.81200000000000006</v>
      </c>
      <c r="L41" s="401">
        <f t="shared" si="17"/>
        <v>0.47899999999999998</v>
      </c>
      <c r="M41" s="401">
        <f t="shared" si="18"/>
        <v>0.02</v>
      </c>
      <c r="N41" s="401">
        <f t="shared" si="19"/>
        <v>0.16800000000000001</v>
      </c>
      <c r="O41" s="401">
        <f t="shared" si="20"/>
        <v>-1.6434867572092631</v>
      </c>
      <c r="P41" s="401">
        <f t="shared" si="20"/>
        <v>1.103135910399996</v>
      </c>
      <c r="Q41" s="401">
        <f t="shared" si="20"/>
        <v>-4.9667252345732237E-2</v>
      </c>
      <c r="R41" s="401">
        <f t="shared" si="11"/>
        <v>-1.6402517832441961</v>
      </c>
      <c r="S41" s="401">
        <f t="shared" si="12"/>
        <v>-0.41623114091289193</v>
      </c>
      <c r="T41" s="401">
        <f t="shared" si="13"/>
        <v>-1.3070206630158394</v>
      </c>
      <c r="U41" s="331">
        <v>1.7000000000000001E-2</v>
      </c>
      <c r="V41" s="332">
        <f t="shared" si="8"/>
        <v>4.1917030777905075E-2</v>
      </c>
      <c r="W41" s="330">
        <v>2.5499999999999998E-2</v>
      </c>
      <c r="X41" s="332">
        <f t="shared" si="9"/>
        <v>3.9333462130684498E-2</v>
      </c>
      <c r="Y41" s="332">
        <f t="shared" si="14"/>
        <v>3.9333462130684498E-2</v>
      </c>
      <c r="Z41" s="330"/>
      <c r="AK41" s="355"/>
      <c r="AL41" s="355"/>
      <c r="AM41" s="355"/>
      <c r="AN41" s="355"/>
      <c r="AO41" s="355"/>
    </row>
    <row r="42" spans="1:52" x14ac:dyDescent="0.25">
      <c r="A42" s="355" t="s">
        <v>563</v>
      </c>
      <c r="B42" s="355" t="s">
        <v>631</v>
      </c>
      <c r="C42" s="345">
        <f>'Historical Data'!B226</f>
        <v>-3.9425682256893357E-2</v>
      </c>
      <c r="D42" s="401">
        <f>'Historical Data'!E59</f>
        <v>7.8</v>
      </c>
      <c r="E42" s="355">
        <v>0.5</v>
      </c>
      <c r="F42" s="401">
        <f t="shared" si="1"/>
        <v>0.29999999999999982</v>
      </c>
      <c r="G42" s="401">
        <f>'Historical Data'!H91</f>
        <v>0.4</v>
      </c>
      <c r="H42" s="321">
        <v>-3.6967079539999996E-2</v>
      </c>
      <c r="I42" s="401">
        <f t="shared" si="10"/>
        <v>0</v>
      </c>
      <c r="J42" s="401">
        <f t="shared" si="15"/>
        <v>3.1E-2</v>
      </c>
      <c r="K42" s="401">
        <f t="shared" si="16"/>
        <v>0.89500000000000002</v>
      </c>
      <c r="L42" s="401">
        <f t="shared" si="17"/>
        <v>0.40600000000000003</v>
      </c>
      <c r="M42" s="401">
        <f t="shared" si="18"/>
        <v>5.1999999999999998E-2</v>
      </c>
      <c r="N42" s="401">
        <f t="shared" si="19"/>
        <v>0.16800000000000001</v>
      </c>
      <c r="O42" s="401">
        <f t="shared" si="20"/>
        <v>-1.6053752456010901</v>
      </c>
      <c r="P42" s="401">
        <f t="shared" si="20"/>
        <v>1.3846455371593342</v>
      </c>
      <c r="Q42" s="401">
        <f t="shared" si="20"/>
        <v>-0.29874219134016339</v>
      </c>
      <c r="R42" s="401">
        <f t="shared" si="11"/>
        <v>-1.5297312209059313</v>
      </c>
      <c r="S42" s="401">
        <f t="shared" si="12"/>
        <v>-0.41623114091289193</v>
      </c>
      <c r="T42" s="401">
        <f t="shared" si="13"/>
        <v>-1.3261601563924863</v>
      </c>
      <c r="U42" s="331">
        <v>1.7000000000000001E-2</v>
      </c>
      <c r="V42" s="332">
        <f t="shared" si="8"/>
        <v>4.2725923013384862E-2</v>
      </c>
      <c r="W42" s="330">
        <v>2.2499999999999999E-2</v>
      </c>
      <c r="X42" s="332">
        <f t="shared" si="9"/>
        <v>4.1836279841057644E-2</v>
      </c>
      <c r="Y42" s="332">
        <f t="shared" si="14"/>
        <v>4.1836279841057644E-2</v>
      </c>
      <c r="Z42" s="330"/>
      <c r="AK42" s="355"/>
      <c r="AL42" s="355"/>
      <c r="AM42" s="355"/>
      <c r="AN42" s="355"/>
      <c r="AO42" s="355"/>
    </row>
    <row r="43" spans="1:52" x14ac:dyDescent="0.25">
      <c r="A43" s="355" t="s">
        <v>563</v>
      </c>
      <c r="B43" s="355" t="s">
        <v>632</v>
      </c>
      <c r="C43" s="345">
        <f>'Historical Data'!B227</f>
        <v>-1.6224915575286047E-2</v>
      </c>
      <c r="D43" s="401">
        <f>'Historical Data'!E60</f>
        <v>7.4</v>
      </c>
      <c r="E43" s="355">
        <v>0.5</v>
      </c>
      <c r="F43" s="401">
        <f t="shared" si="1"/>
        <v>-0.39999999999999947</v>
      </c>
      <c r="G43" s="401">
        <f>'Historical Data'!H92</f>
        <v>1.8</v>
      </c>
      <c r="H43" s="321">
        <v>4.4282049029999999E-2</v>
      </c>
      <c r="I43" s="401">
        <f t="shared" si="10"/>
        <v>0</v>
      </c>
      <c r="J43" s="401">
        <f t="shared" si="15"/>
        <v>8.3000000000000004E-2</v>
      </c>
      <c r="K43" s="401">
        <f t="shared" si="16"/>
        <v>0.79100000000000004</v>
      </c>
      <c r="L43" s="401">
        <f t="shared" si="17"/>
        <v>0.64500000000000002</v>
      </c>
      <c r="M43" s="401">
        <f t="shared" si="18"/>
        <v>0.46800000000000003</v>
      </c>
      <c r="N43" s="401">
        <f t="shared" si="19"/>
        <v>0.16800000000000001</v>
      </c>
      <c r="O43" s="401">
        <f t="shared" si="20"/>
        <v>-1.4252117361806358</v>
      </c>
      <c r="P43" s="401">
        <f t="shared" si="20"/>
        <v>1.0319105831476334</v>
      </c>
      <c r="Q43" s="401">
        <f t="shared" si="20"/>
        <v>0.5167223349566733</v>
      </c>
      <c r="R43" s="401">
        <f t="shared" si="11"/>
        <v>-9.2963910508486874E-2</v>
      </c>
      <c r="S43" s="401">
        <f t="shared" si="12"/>
        <v>-0.41623114091289193</v>
      </c>
      <c r="T43" s="401">
        <f t="shared" si="13"/>
        <v>-0.95756537166961542</v>
      </c>
      <c r="U43" s="331">
        <v>1.7000000000000001E-2</v>
      </c>
      <c r="V43" s="332">
        <f t="shared" si="8"/>
        <v>2.9206356262454367E-2</v>
      </c>
      <c r="W43" s="330">
        <v>1.8499999999999999E-2</v>
      </c>
      <c r="X43" s="332">
        <f t="shared" si="9"/>
        <v>3.7949770017914768E-2</v>
      </c>
      <c r="Y43" s="332">
        <f t="shared" si="14"/>
        <v>3.7949770017914768E-2</v>
      </c>
      <c r="Z43" s="330"/>
      <c r="AK43" s="355"/>
      <c r="AL43" s="355"/>
      <c r="AM43" s="355"/>
      <c r="AN43" s="355"/>
      <c r="AO43" s="355"/>
    </row>
    <row r="44" spans="1:52" x14ac:dyDescent="0.25">
      <c r="A44" s="355" t="s">
        <v>563</v>
      </c>
      <c r="B44" s="355" t="s">
        <v>633</v>
      </c>
      <c r="C44" s="345">
        <f>'Historical Data'!B228</f>
        <v>7.6493756269038204E-3</v>
      </c>
      <c r="D44" s="401">
        <f>'Historical Data'!E61</f>
        <v>7.8</v>
      </c>
      <c r="E44" s="355">
        <v>0.5</v>
      </c>
      <c r="F44" s="401">
        <f t="shared" si="1"/>
        <v>0.39999999999999947</v>
      </c>
      <c r="G44" s="401">
        <f>'Historical Data'!H93</f>
        <v>3.4</v>
      </c>
      <c r="H44" s="321">
        <v>8.6923685749999993E-2</v>
      </c>
      <c r="I44" s="401">
        <f t="shared" si="10"/>
        <v>0</v>
      </c>
      <c r="J44" s="401">
        <f t="shared" si="15"/>
        <v>0.13500000000000001</v>
      </c>
      <c r="K44" s="401">
        <f t="shared" si="16"/>
        <v>0.89500000000000002</v>
      </c>
      <c r="L44" s="401">
        <f t="shared" si="17"/>
        <v>0.89500000000000002</v>
      </c>
      <c r="M44" s="401">
        <f t="shared" si="18"/>
        <v>0.77</v>
      </c>
      <c r="N44" s="401">
        <f t="shared" si="19"/>
        <v>0.16800000000000001</v>
      </c>
      <c r="O44" s="401">
        <f t="shared" si="20"/>
        <v>-1.2450482267601817</v>
      </c>
      <c r="P44" s="401">
        <f t="shared" si="20"/>
        <v>1.3846455371593342</v>
      </c>
      <c r="Q44" s="401">
        <f t="shared" si="20"/>
        <v>1.3697187013759586</v>
      </c>
      <c r="R44" s="401">
        <f t="shared" si="11"/>
        <v>0.95007389655888852</v>
      </c>
      <c r="S44" s="401">
        <f t="shared" si="12"/>
        <v>-0.41623114091289193</v>
      </c>
      <c r="T44" s="401">
        <f t="shared" si="13"/>
        <v>-0.69513734406984695</v>
      </c>
      <c r="U44" s="331">
        <v>1.7000000000000001E-2</v>
      </c>
      <c r="V44" s="332">
        <f t="shared" si="8"/>
        <v>2.1924003665044146E-2</v>
      </c>
      <c r="W44" s="330">
        <v>1.6400000000000001E-2</v>
      </c>
      <c r="X44" s="332">
        <f t="shared" si="9"/>
        <v>3.1285427646961121E-2</v>
      </c>
      <c r="Y44" s="332">
        <f t="shared" si="14"/>
        <v>3.1285427646961121E-2</v>
      </c>
      <c r="Z44" s="330"/>
      <c r="AK44" s="355"/>
      <c r="AL44" s="355"/>
      <c r="AM44" s="355"/>
      <c r="AN44" s="355"/>
      <c r="AO44" s="355"/>
    </row>
    <row r="45" spans="1:52" x14ac:dyDescent="0.25">
      <c r="A45" s="355" t="s">
        <v>563</v>
      </c>
      <c r="B45" s="355" t="s">
        <v>634</v>
      </c>
      <c r="C45" s="345">
        <f>'Historical Data'!B229</f>
        <v>2.0229787508821095E-2</v>
      </c>
      <c r="D45" s="401">
        <f>'Historical Data'!E62</f>
        <v>7.5</v>
      </c>
      <c r="E45" s="355">
        <v>0.5</v>
      </c>
      <c r="F45" s="401">
        <f t="shared" si="1"/>
        <v>-0.29999999999999982</v>
      </c>
      <c r="G45" s="401">
        <f>'Historical Data'!H94</f>
        <v>3.4</v>
      </c>
      <c r="H45" s="321">
        <v>7.6005238579999995E-2</v>
      </c>
      <c r="I45" s="401">
        <f t="shared" si="10"/>
        <v>0</v>
      </c>
      <c r="J45" s="401">
        <f t="shared" si="15"/>
        <v>0.53100000000000003</v>
      </c>
      <c r="K45" s="401">
        <f t="shared" si="16"/>
        <v>0.81200000000000006</v>
      </c>
      <c r="L45" s="401">
        <f t="shared" si="17"/>
        <v>0.89500000000000002</v>
      </c>
      <c r="M45" s="401">
        <f t="shared" si="18"/>
        <v>0.67700000000000005</v>
      </c>
      <c r="N45" s="401">
        <f t="shared" si="19"/>
        <v>0.16800000000000001</v>
      </c>
      <c r="O45" s="401">
        <f t="shared" si="20"/>
        <v>0.12696619113404681</v>
      </c>
      <c r="P45" s="401">
        <f t="shared" si="20"/>
        <v>1.103135910399996</v>
      </c>
      <c r="Q45" s="401">
        <f t="shared" si="20"/>
        <v>1.3697187013759586</v>
      </c>
      <c r="R45" s="401">
        <f t="shared" si="11"/>
        <v>0.62887351226330612</v>
      </c>
      <c r="S45" s="401">
        <f t="shared" si="12"/>
        <v>-0.41623114091289193</v>
      </c>
      <c r="T45" s="401">
        <f t="shared" si="13"/>
        <v>0.12410223091306577</v>
      </c>
      <c r="U45" s="331">
        <v>1.7000000000000001E-2</v>
      </c>
      <c r="V45" s="332">
        <f t="shared" si="8"/>
        <v>8.2116089996091303E-3</v>
      </c>
      <c r="W45" s="330">
        <v>1.54E-2</v>
      </c>
      <c r="X45" s="332">
        <f t="shared" si="9"/>
        <v>1.9780656309035877E-2</v>
      </c>
      <c r="Y45" s="332">
        <f t="shared" si="14"/>
        <v>1.9780656309035877E-2</v>
      </c>
      <c r="Z45" s="330"/>
      <c r="AK45" s="355"/>
      <c r="AL45" s="355"/>
      <c r="AM45" s="355"/>
      <c r="AN45" s="355"/>
      <c r="AO45" s="355"/>
    </row>
    <row r="46" spans="1:52" x14ac:dyDescent="0.25">
      <c r="A46" s="355" t="s">
        <v>563</v>
      </c>
      <c r="B46" s="355" t="s">
        <v>635</v>
      </c>
      <c r="C46" s="345">
        <f>'Historical Data'!B230</f>
        <v>2.6267151541967904E-2</v>
      </c>
      <c r="D46" s="401">
        <f>'Historical Data'!E63</f>
        <v>7.8</v>
      </c>
      <c r="E46" s="355">
        <v>0.5</v>
      </c>
      <c r="F46" s="401">
        <f t="shared" si="1"/>
        <v>0.29999999999999982</v>
      </c>
      <c r="G46" s="401">
        <f>'Historical Data'!H95</f>
        <v>2.5</v>
      </c>
      <c r="H46" s="321">
        <v>4.6325687999999997E-2</v>
      </c>
      <c r="I46" s="401">
        <f t="shared" si="10"/>
        <v>0</v>
      </c>
      <c r="J46" s="401">
        <f t="shared" si="15"/>
        <v>0.76</v>
      </c>
      <c r="K46" s="401">
        <f t="shared" si="16"/>
        <v>0.89500000000000002</v>
      </c>
      <c r="L46" s="401">
        <f t="shared" si="17"/>
        <v>0.78100000000000003</v>
      </c>
      <c r="M46" s="401">
        <f t="shared" si="18"/>
        <v>0.5</v>
      </c>
      <c r="N46" s="401">
        <f t="shared" si="19"/>
        <v>0.16800000000000001</v>
      </c>
      <c r="O46" s="401">
        <f t="shared" si="20"/>
        <v>0.92037856915873939</v>
      </c>
      <c r="P46" s="401">
        <f t="shared" si="20"/>
        <v>1.3846455371593342</v>
      </c>
      <c r="Q46" s="401">
        <f t="shared" si="20"/>
        <v>0.9807523582887645</v>
      </c>
      <c r="R46" s="401">
        <f t="shared" si="11"/>
        <v>1.7556651829777978E-2</v>
      </c>
      <c r="S46" s="401">
        <f t="shared" si="12"/>
        <v>-0.41623114091289193</v>
      </c>
      <c r="T46" s="401">
        <f t="shared" si="13"/>
        <v>0.47197037469987524</v>
      </c>
      <c r="U46" s="331">
        <v>1.7000000000000001E-2</v>
      </c>
      <c r="V46" s="332">
        <f t="shared" si="8"/>
        <v>5.198239199195433E-3</v>
      </c>
      <c r="W46" s="330">
        <v>1.4500000000000001E-2</v>
      </c>
      <c r="X46" s="332">
        <f t="shared" si="9"/>
        <v>1.1777950621282902E-2</v>
      </c>
      <c r="Y46" s="332">
        <f t="shared" si="14"/>
        <v>1.1777950621282902E-2</v>
      </c>
      <c r="Z46" s="330"/>
      <c r="AK46" s="355"/>
      <c r="AL46" s="355"/>
      <c r="AM46" s="355"/>
      <c r="AN46" s="355"/>
      <c r="AO46" s="355"/>
    </row>
    <row r="47" spans="1:52" x14ac:dyDescent="0.25">
      <c r="A47" s="355" t="s">
        <v>563</v>
      </c>
      <c r="B47" s="355" t="s">
        <v>636</v>
      </c>
      <c r="C47" s="345">
        <f>'Historical Data'!B231</f>
        <v>2.3844973209444342E-2</v>
      </c>
      <c r="D47" s="401">
        <f>'Historical Data'!E64</f>
        <v>7.6</v>
      </c>
      <c r="E47" s="355">
        <v>0.5</v>
      </c>
      <c r="F47" s="401">
        <f t="shared" si="1"/>
        <v>-0.20000000000000018</v>
      </c>
      <c r="G47" s="401">
        <f>'Historical Data'!H96</f>
        <v>3</v>
      </c>
      <c r="H47" s="321">
        <v>3.6953019700000003E-3</v>
      </c>
      <c r="I47" s="401">
        <f t="shared" si="10"/>
        <v>0</v>
      </c>
      <c r="J47" s="401">
        <f t="shared" si="15"/>
        <v>0.64500000000000002</v>
      </c>
      <c r="K47" s="401">
        <f t="shared" si="16"/>
        <v>0.85399999999999998</v>
      </c>
      <c r="L47" s="401">
        <f t="shared" si="17"/>
        <v>0.85399999999999998</v>
      </c>
      <c r="M47" s="401">
        <f t="shared" si="18"/>
        <v>0.16600000000000001</v>
      </c>
      <c r="N47" s="401">
        <f t="shared" si="19"/>
        <v>0.16800000000000001</v>
      </c>
      <c r="O47" s="401">
        <f t="shared" si="20"/>
        <v>0.52194003870965799</v>
      </c>
      <c r="P47" s="401">
        <f t="shared" si="20"/>
        <v>1.2455865649047213</v>
      </c>
      <c r="Q47" s="401">
        <f t="shared" si="20"/>
        <v>1.2298272972831956</v>
      </c>
      <c r="R47" s="401">
        <f t="shared" si="11"/>
        <v>-1.1360017175758623</v>
      </c>
      <c r="S47" s="401">
        <f t="shared" si="12"/>
        <v>-0.41623114091289193</v>
      </c>
      <c r="T47" s="401">
        <f t="shared" si="13"/>
        <v>0.15636481061476676</v>
      </c>
      <c r="U47" s="331">
        <v>1.7000000000000001E-2</v>
      </c>
      <c r="V47" s="332">
        <f t="shared" si="8"/>
        <v>7.8786761315520967E-3</v>
      </c>
      <c r="W47" s="330">
        <v>1.3599999999999999E-2</v>
      </c>
      <c r="X47" s="332">
        <f t="shared" si="9"/>
        <v>7.0961747767855536E-3</v>
      </c>
      <c r="Y47" s="332">
        <f t="shared" si="14"/>
        <v>7.0961747767855536E-3</v>
      </c>
      <c r="Z47" s="330"/>
      <c r="AK47" s="355"/>
      <c r="AL47" s="355"/>
      <c r="AM47" s="355"/>
      <c r="AN47" s="355"/>
      <c r="AO47" s="355"/>
    </row>
    <row r="48" spans="1:52" x14ac:dyDescent="0.25">
      <c r="A48" s="355" t="s">
        <v>563</v>
      </c>
      <c r="B48" s="355" t="s">
        <v>637</v>
      </c>
      <c r="C48" s="345">
        <f>'Historical Data'!B232</f>
        <v>2.3767069024956511E-2</v>
      </c>
      <c r="D48" s="401">
        <f>'Historical Data'!E65</f>
        <v>7.6</v>
      </c>
      <c r="E48" s="355">
        <v>0.5</v>
      </c>
      <c r="F48" s="401">
        <f t="shared" si="1"/>
        <v>0</v>
      </c>
      <c r="G48" s="401">
        <f>'Historical Data'!H97</f>
        <v>4.0999999999999996</v>
      </c>
      <c r="H48" s="321">
        <v>-1.327996217E-2</v>
      </c>
      <c r="I48" s="401">
        <f t="shared" si="10"/>
        <v>0</v>
      </c>
      <c r="J48" s="401">
        <f t="shared" si="15"/>
        <v>0.63500000000000001</v>
      </c>
      <c r="K48" s="401">
        <f t="shared" si="16"/>
        <v>0.85399999999999998</v>
      </c>
      <c r="L48" s="401">
        <f t="shared" si="17"/>
        <v>0.94699999999999995</v>
      </c>
      <c r="M48" s="401">
        <f t="shared" si="18"/>
        <v>0.13500000000000001</v>
      </c>
      <c r="N48" s="401">
        <f t="shared" si="19"/>
        <v>0.16800000000000001</v>
      </c>
      <c r="O48" s="401">
        <f t="shared" si="20"/>
        <v>0.48729320997495518</v>
      </c>
      <c r="P48" s="401">
        <f t="shared" si="20"/>
        <v>1.2455865649047213</v>
      </c>
      <c r="Q48" s="401">
        <f t="shared" si="20"/>
        <v>1.5471419455911697</v>
      </c>
      <c r="R48" s="401">
        <f t="shared" si="11"/>
        <v>-1.2430685123410565</v>
      </c>
      <c r="S48" s="401">
        <f t="shared" si="12"/>
        <v>-0.41623114091289193</v>
      </c>
      <c r="T48" s="401">
        <f t="shared" si="13"/>
        <v>0.15660149872822299</v>
      </c>
      <c r="U48" s="331">
        <v>1.7000000000000001E-2</v>
      </c>
      <c r="V48" s="332">
        <f t="shared" si="8"/>
        <v>7.8762781639013981E-3</v>
      </c>
      <c r="W48" s="330">
        <v>1.09E-2</v>
      </c>
      <c r="X48" s="332">
        <f t="shared" si="9"/>
        <v>6.9843978315496423E-3</v>
      </c>
      <c r="Y48" s="332">
        <f t="shared" si="14"/>
        <v>6.9843978315496423E-3</v>
      </c>
      <c r="Z48" s="330"/>
      <c r="AK48" s="355"/>
      <c r="AL48" s="355"/>
      <c r="AM48" s="355"/>
      <c r="AN48" s="355"/>
      <c r="AO48" s="355"/>
    </row>
    <row r="49" spans="1:26" s="355" customFormat="1" x14ac:dyDescent="0.25">
      <c r="A49" s="355" t="s">
        <v>563</v>
      </c>
      <c r="B49" s="355" t="s">
        <v>638</v>
      </c>
      <c r="C49" s="345">
        <f>'Historical Data'!B233</f>
        <v>1.4618323198987371E-2</v>
      </c>
      <c r="D49" s="401">
        <f>'Historical Data'!E66</f>
        <v>7.7</v>
      </c>
      <c r="E49" s="355">
        <v>0.5</v>
      </c>
      <c r="F49" s="401">
        <f t="shared" si="1"/>
        <v>0.10000000000000053</v>
      </c>
      <c r="G49" s="401">
        <f>'Historical Data'!H98</f>
        <v>4.2</v>
      </c>
      <c r="H49" s="321">
        <v>-2.2923066209999999E-2</v>
      </c>
      <c r="I49" s="401">
        <f t="shared" si="10"/>
        <v>0</v>
      </c>
      <c r="J49" s="401">
        <f t="shared" si="15"/>
        <v>0.34300000000000003</v>
      </c>
      <c r="K49" s="401">
        <f t="shared" si="16"/>
        <v>0.88500000000000001</v>
      </c>
      <c r="L49" s="401">
        <f t="shared" si="17"/>
        <v>0.95799999999999996</v>
      </c>
      <c r="M49" s="401">
        <f t="shared" si="18"/>
        <v>0.104</v>
      </c>
      <c r="N49" s="401">
        <f t="shared" si="19"/>
        <v>0.16800000000000001</v>
      </c>
      <c r="O49" s="401">
        <f t="shared" si="20"/>
        <v>-0.52439418907836466</v>
      </c>
      <c r="P49" s="401">
        <f t="shared" si="20"/>
        <v>1.350728714658209</v>
      </c>
      <c r="Q49" s="401">
        <f t="shared" si="20"/>
        <v>1.5846737857136184</v>
      </c>
      <c r="R49" s="401">
        <f t="shared" si="11"/>
        <v>-1.3501353071062507</v>
      </c>
      <c r="S49" s="401">
        <f t="shared" si="12"/>
        <v>-0.41623114091289193</v>
      </c>
      <c r="T49" s="401">
        <f t="shared" si="13"/>
        <v>-0.46787865114339211</v>
      </c>
      <c r="U49" s="331">
        <v>1.7000000000000001E-2</v>
      </c>
      <c r="V49" s="332">
        <f t="shared" si="8"/>
        <v>1.691817986174355E-2</v>
      </c>
      <c r="W49" s="330">
        <v>1.09E-2</v>
      </c>
      <c r="X49" s="332">
        <f t="shared" si="9"/>
        <v>1.0891044719065683E-2</v>
      </c>
      <c r="Y49" s="332">
        <f t="shared" si="14"/>
        <v>1.0891044719065683E-2</v>
      </c>
      <c r="Z49" s="330"/>
    </row>
    <row r="50" spans="1:26" s="355" customFormat="1" x14ac:dyDescent="0.25">
      <c r="A50" s="355" t="s">
        <v>563</v>
      </c>
      <c r="B50" s="355" t="s">
        <v>639</v>
      </c>
      <c r="C50" s="345">
        <f>'Historical Data'!B234</f>
        <v>1.10593635195948E-2</v>
      </c>
      <c r="D50" s="401">
        <f>'Historical Data'!E67</f>
        <v>8.4</v>
      </c>
      <c r="E50" s="355">
        <v>0.5</v>
      </c>
      <c r="F50" s="401">
        <f t="shared" si="1"/>
        <v>0.70000000000000018</v>
      </c>
      <c r="G50" s="401">
        <f>'Historical Data'!H99</f>
        <v>5</v>
      </c>
      <c r="H50" s="321">
        <v>-1.9820953830000002E-2</v>
      </c>
      <c r="I50" s="401">
        <f t="shared" si="10"/>
        <v>0</v>
      </c>
      <c r="J50" s="401">
        <f t="shared" si="15"/>
        <v>0.20799999999999999</v>
      </c>
      <c r="K50" s="401">
        <f t="shared" si="16"/>
        <v>0.96799999999999997</v>
      </c>
      <c r="L50" s="401">
        <f t="shared" si="17"/>
        <v>0.97899999999999998</v>
      </c>
      <c r="M50" s="401">
        <f t="shared" si="18"/>
        <v>0.114</v>
      </c>
      <c r="N50" s="401">
        <f t="shared" si="19"/>
        <v>0.16800000000000001</v>
      </c>
      <c r="O50" s="401">
        <f t="shared" si="20"/>
        <v>-0.99212637699685158</v>
      </c>
      <c r="P50" s="401">
        <f t="shared" si="20"/>
        <v>1.6322383414175472</v>
      </c>
      <c r="Q50" s="401">
        <f t="shared" si="20"/>
        <v>1.6563254804928382</v>
      </c>
      <c r="R50" s="401">
        <f t="shared" si="11"/>
        <v>-1.3155976313755429</v>
      </c>
      <c r="S50" s="401">
        <f t="shared" si="12"/>
        <v>-0.41623114091289193</v>
      </c>
      <c r="T50" s="401">
        <f t="shared" si="13"/>
        <v>-0.76604998951942527</v>
      </c>
      <c r="U50" s="331">
        <v>1.7000000000000001E-2</v>
      </c>
      <c r="V50" s="332">
        <f t="shared" si="8"/>
        <v>2.3721897735079617E-2</v>
      </c>
      <c r="W50" s="330">
        <v>1.1599999999999999E-2</v>
      </c>
      <c r="X50" s="332">
        <f t="shared" si="9"/>
        <v>1.6172118586908188E-2</v>
      </c>
      <c r="Y50" s="332">
        <f t="shared" si="14"/>
        <v>1.6172118586908188E-2</v>
      </c>
      <c r="Z50" s="330"/>
    </row>
    <row r="51" spans="1:26" s="355" customFormat="1" x14ac:dyDescent="0.25">
      <c r="A51" s="355" t="s">
        <v>563</v>
      </c>
      <c r="B51" s="355" t="s">
        <v>640</v>
      </c>
      <c r="C51" s="345">
        <f>'Historical Data'!B235</f>
        <v>1.2297859544081469E-2</v>
      </c>
      <c r="D51" s="401">
        <f>'Historical Data'!E68</f>
        <v>8</v>
      </c>
      <c r="E51" s="355">
        <v>0.5</v>
      </c>
      <c r="F51" s="401">
        <f t="shared" si="1"/>
        <v>-0.40000000000000036</v>
      </c>
      <c r="G51" s="401">
        <f>'Historical Data'!H100</f>
        <v>4.9000000000000004</v>
      </c>
      <c r="H51" s="321">
        <v>-9.8098642800000004E-3</v>
      </c>
      <c r="I51" s="401">
        <f t="shared" si="10"/>
        <v>0</v>
      </c>
      <c r="J51" s="401">
        <f t="shared" si="15"/>
        <v>0.22900000000000001</v>
      </c>
      <c r="K51" s="401">
        <f t="shared" si="16"/>
        <v>0.95799999999999996</v>
      </c>
      <c r="L51" s="401">
        <f t="shared" si="17"/>
        <v>0.96799999999999997</v>
      </c>
      <c r="M51" s="401">
        <f t="shared" si="18"/>
        <v>0.14499999999999999</v>
      </c>
      <c r="N51" s="401">
        <f t="shared" si="19"/>
        <v>0.16800000000000001</v>
      </c>
      <c r="O51" s="401">
        <f t="shared" si="20"/>
        <v>-0.91936803665397582</v>
      </c>
      <c r="P51" s="401">
        <f t="shared" si="20"/>
        <v>1.5983215189164219</v>
      </c>
      <c r="Q51" s="401">
        <f t="shared" si="20"/>
        <v>1.6187936403703898</v>
      </c>
      <c r="R51" s="401">
        <f t="shared" si="11"/>
        <v>-1.2085308366103487</v>
      </c>
      <c r="S51" s="401">
        <f t="shared" si="12"/>
        <v>-0.41623114091289193</v>
      </c>
      <c r="T51" s="401">
        <f t="shared" si="13"/>
        <v>-0.7120498075993128</v>
      </c>
      <c r="U51" s="331">
        <v>1.7000000000000001E-2</v>
      </c>
      <c r="V51" s="332">
        <f t="shared" si="8"/>
        <v>2.2342001755288551E-2</v>
      </c>
      <c r="W51" s="330">
        <v>1.29E-2</v>
      </c>
      <c r="X51" s="332">
        <f t="shared" si="9"/>
        <v>2.0994026450703907E-2</v>
      </c>
      <c r="Y51" s="332">
        <f t="shared" si="14"/>
        <v>2.0994026450703907E-2</v>
      </c>
      <c r="Z51" s="330"/>
    </row>
    <row r="52" spans="1:26" s="355" customFormat="1" x14ac:dyDescent="0.25">
      <c r="A52" s="355" t="s">
        <v>563</v>
      </c>
      <c r="B52" s="355" t="s">
        <v>641</v>
      </c>
      <c r="C52" s="345">
        <f>'Historical Data'!B236</f>
        <v>1.2439480744227849E-2</v>
      </c>
      <c r="D52" s="401">
        <f>'Historical Data'!E69</f>
        <v>7.9</v>
      </c>
      <c r="E52" s="355">
        <v>0.5</v>
      </c>
      <c r="F52" s="401">
        <f t="shared" si="1"/>
        <v>-9.9999999999999645E-2</v>
      </c>
      <c r="G52" s="401">
        <f>'Historical Data'!H101</f>
        <v>3.5</v>
      </c>
      <c r="H52" s="321">
        <v>1.80375592E-3</v>
      </c>
      <c r="I52" s="401">
        <f t="shared" si="10"/>
        <v>0</v>
      </c>
      <c r="J52" s="401">
        <f t="shared" si="15"/>
        <v>0.25</v>
      </c>
      <c r="K52" s="401">
        <f t="shared" si="16"/>
        <v>0.93700000000000006</v>
      </c>
      <c r="L52" s="401">
        <f t="shared" si="17"/>
        <v>0.92700000000000005</v>
      </c>
      <c r="M52" s="401">
        <f t="shared" si="18"/>
        <v>0.156</v>
      </c>
      <c r="N52" s="401">
        <f t="shared" si="19"/>
        <v>0.16800000000000001</v>
      </c>
      <c r="O52" s="401">
        <f t="shared" si="20"/>
        <v>-0.84660969631110017</v>
      </c>
      <c r="P52" s="401">
        <f t="shared" si="20"/>
        <v>1.5270961916640597</v>
      </c>
      <c r="Q52" s="401">
        <f t="shared" si="20"/>
        <v>1.4789022362776272</v>
      </c>
      <c r="R52" s="401">
        <f t="shared" si="11"/>
        <v>-1.17053939330657</v>
      </c>
      <c r="S52" s="401">
        <f t="shared" si="12"/>
        <v>-0.41623114091289193</v>
      </c>
      <c r="T52" s="401">
        <f t="shared" si="13"/>
        <v>-0.67146226674724951</v>
      </c>
      <c r="U52" s="331">
        <v>1.7000000000000001E-2</v>
      </c>
      <c r="V52" s="332">
        <f t="shared" si="8"/>
        <v>2.1349971544266762E-2</v>
      </c>
      <c r="W52" s="330">
        <v>1.26E-2</v>
      </c>
      <c r="X52" s="332">
        <f t="shared" si="9"/>
        <v>2.2471290344878311E-2</v>
      </c>
      <c r="Y52" s="332">
        <f t="shared" si="14"/>
        <v>2.2471290344878311E-2</v>
      </c>
      <c r="Z52" s="330"/>
    </row>
    <row r="53" spans="1:26" s="355" customFormat="1" x14ac:dyDescent="0.25">
      <c r="A53" s="355" t="s">
        <v>563</v>
      </c>
      <c r="B53" s="355" t="s">
        <v>642</v>
      </c>
      <c r="C53" s="345">
        <f>'Historical Data'!B237</f>
        <v>1.0635904085265491E-2</v>
      </c>
      <c r="D53" s="401">
        <f>'Historical Data'!E70</f>
        <v>7.8</v>
      </c>
      <c r="E53" s="355">
        <v>0.5</v>
      </c>
      <c r="F53" s="401">
        <f t="shared" si="1"/>
        <v>-0.10000000000000053</v>
      </c>
      <c r="G53" s="401">
        <f>'Historical Data'!H102</f>
        <v>2.4</v>
      </c>
      <c r="H53" s="321">
        <v>1.368831278E-2</v>
      </c>
      <c r="I53" s="401">
        <f t="shared" si="10"/>
        <v>0</v>
      </c>
      <c r="J53" s="401">
        <f t="shared" si="15"/>
        <v>0.19700000000000001</v>
      </c>
      <c r="K53" s="401">
        <f t="shared" si="16"/>
        <v>0.89500000000000002</v>
      </c>
      <c r="L53" s="401">
        <f t="shared" si="17"/>
        <v>0.77</v>
      </c>
      <c r="M53" s="401">
        <f t="shared" si="18"/>
        <v>0.25</v>
      </c>
      <c r="N53" s="401">
        <f t="shared" si="19"/>
        <v>0.16800000000000001</v>
      </c>
      <c r="O53" s="401">
        <f t="shared" si="20"/>
        <v>-1.0302378886050247</v>
      </c>
      <c r="P53" s="401">
        <f t="shared" si="20"/>
        <v>1.3846455371593342</v>
      </c>
      <c r="Q53" s="401">
        <f t="shared" si="20"/>
        <v>0.94322051816631591</v>
      </c>
      <c r="R53" s="401">
        <f t="shared" si="11"/>
        <v>-0.84588524143791688</v>
      </c>
      <c r="S53" s="401">
        <f t="shared" si="12"/>
        <v>-0.41623114091289193</v>
      </c>
      <c r="T53" s="401">
        <f t="shared" si="13"/>
        <v>-0.78849687329739759</v>
      </c>
      <c r="U53" s="331">
        <v>1.7000000000000001E-2</v>
      </c>
      <c r="V53" s="332">
        <f t="shared" si="8"/>
        <v>2.4316223917487313E-2</v>
      </c>
      <c r="W53" s="330">
        <v>1.26E-2</v>
      </c>
      <c r="X53" s="332">
        <f t="shared" si="9"/>
        <v>2.2669399072347541E-2</v>
      </c>
      <c r="Y53" s="332">
        <f t="shared" si="14"/>
        <v>2.2669399072347541E-2</v>
      </c>
      <c r="Z53" s="330"/>
    </row>
    <row r="54" spans="1:26" s="355" customFormat="1" x14ac:dyDescent="0.25">
      <c r="A54" s="355" t="s">
        <v>563</v>
      </c>
      <c r="B54" s="355" t="s">
        <v>643</v>
      </c>
      <c r="C54" s="345">
        <f>'Historical Data'!B238</f>
        <v>1.9757956153150902E-2</v>
      </c>
      <c r="D54" s="401">
        <f>'Historical Data'!E71</f>
        <v>7.9</v>
      </c>
      <c r="E54" s="355">
        <v>0.5</v>
      </c>
      <c r="F54" s="401">
        <f t="shared" si="1"/>
        <v>0.10000000000000053</v>
      </c>
      <c r="G54" s="401">
        <f>'Historical Data'!H103</f>
        <v>1.7</v>
      </c>
      <c r="H54" s="321">
        <v>4.4328183500000002E-3</v>
      </c>
      <c r="I54" s="401">
        <f t="shared" si="10"/>
        <v>0</v>
      </c>
      <c r="J54" s="401">
        <f t="shared" si="15"/>
        <v>0.5</v>
      </c>
      <c r="K54" s="401">
        <f t="shared" si="16"/>
        <v>0.93700000000000006</v>
      </c>
      <c r="L54" s="401">
        <f t="shared" si="17"/>
        <v>0.58299999999999996</v>
      </c>
      <c r="M54" s="401">
        <f t="shared" si="18"/>
        <v>0.17699999999999999</v>
      </c>
      <c r="N54" s="401">
        <f t="shared" si="19"/>
        <v>0.16800000000000001</v>
      </c>
      <c r="O54" s="401">
        <f t="shared" si="20"/>
        <v>1.956102205646822E-2</v>
      </c>
      <c r="P54" s="401">
        <f t="shared" si="20"/>
        <v>1.5270961916640597</v>
      </c>
      <c r="Q54" s="401">
        <f t="shared" si="20"/>
        <v>0.30517923608469039</v>
      </c>
      <c r="R54" s="401">
        <f t="shared" si="11"/>
        <v>-1.0980102742720839</v>
      </c>
      <c r="S54" s="401">
        <f t="shared" si="12"/>
        <v>-0.41623114091289193</v>
      </c>
      <c r="T54" s="401">
        <f t="shared" si="13"/>
        <v>-0.26187922384255363</v>
      </c>
      <c r="U54" s="331">
        <v>1.7000000000000001E-2</v>
      </c>
      <c r="V54" s="332">
        <f t="shared" si="8"/>
        <v>1.3259306103603643E-2</v>
      </c>
      <c r="W54" s="330">
        <v>1.3100000000000001E-2</v>
      </c>
      <c r="X54" s="332">
        <f t="shared" si="9"/>
        <v>1.964183385511924E-2</v>
      </c>
      <c r="Y54" s="332">
        <f t="shared" si="14"/>
        <v>1.964183385511924E-2</v>
      </c>
      <c r="Z54" s="330"/>
    </row>
    <row r="55" spans="1:26" s="355" customFormat="1" x14ac:dyDescent="0.25">
      <c r="A55" s="355" t="s">
        <v>563</v>
      </c>
      <c r="B55" s="355" t="s">
        <v>644</v>
      </c>
      <c r="C55" s="345">
        <f>'Historical Data'!B239</f>
        <v>1.6300661071281253E-2</v>
      </c>
      <c r="D55" s="401">
        <f>'Historical Data'!E72</f>
        <v>7.4</v>
      </c>
      <c r="E55" s="355">
        <v>0.5</v>
      </c>
      <c r="F55" s="401">
        <f t="shared" si="1"/>
        <v>-0.5</v>
      </c>
      <c r="G55" s="401">
        <f>'Historical Data'!H104</f>
        <v>1.7</v>
      </c>
      <c r="H55" s="321">
        <v>1.0745865269999998E-2</v>
      </c>
      <c r="I55" s="401">
        <f t="shared" si="10"/>
        <v>0</v>
      </c>
      <c r="J55" s="401">
        <f t="shared" si="15"/>
        <v>0.375</v>
      </c>
      <c r="K55" s="401">
        <f t="shared" si="16"/>
        <v>0.79100000000000004</v>
      </c>
      <c r="L55" s="401">
        <f t="shared" si="17"/>
        <v>0.58299999999999996</v>
      </c>
      <c r="M55" s="401">
        <f t="shared" si="18"/>
        <v>0.218</v>
      </c>
      <c r="N55" s="401">
        <f t="shared" si="19"/>
        <v>0.16800000000000001</v>
      </c>
      <c r="O55" s="401">
        <f t="shared" si="20"/>
        <v>-0.41352433712731596</v>
      </c>
      <c r="P55" s="401">
        <f t="shared" si="20"/>
        <v>1.0319105831476334</v>
      </c>
      <c r="Q55" s="401">
        <f t="shared" si="20"/>
        <v>0.30517923608469039</v>
      </c>
      <c r="R55" s="401">
        <f t="shared" si="11"/>
        <v>-0.9564058037761819</v>
      </c>
      <c r="S55" s="401">
        <f t="shared" si="12"/>
        <v>-0.41623114091289193</v>
      </c>
      <c r="T55" s="401">
        <f t="shared" si="13"/>
        <v>-0.45805143145159127</v>
      </c>
      <c r="U55" s="331">
        <v>1.7000000000000001E-2</v>
      </c>
      <c r="V55" s="332">
        <f t="shared" si="8"/>
        <v>1.672580660704831E-2</v>
      </c>
      <c r="W55" s="330">
        <v>1.3299999999999999E-2</v>
      </c>
      <c r="X55" s="332">
        <f t="shared" si="9"/>
        <v>1.8100445542713089E-2</v>
      </c>
      <c r="Y55" s="332">
        <f t="shared" si="14"/>
        <v>1.8100445542713089E-2</v>
      </c>
      <c r="Z55" s="330"/>
    </row>
    <row r="56" spans="1:26" s="355" customFormat="1" x14ac:dyDescent="0.25">
      <c r="A56" s="355" t="s">
        <v>563</v>
      </c>
      <c r="B56" s="355" t="s">
        <v>645</v>
      </c>
      <c r="C56" s="345">
        <f>'Historical Data'!B240</f>
        <v>1.6310967886887129E-2</v>
      </c>
      <c r="D56" s="401">
        <f>'Historical Data'!E73</f>
        <v>7.5</v>
      </c>
      <c r="E56" s="355">
        <v>0.5</v>
      </c>
      <c r="F56" s="401">
        <f t="shared" si="1"/>
        <v>9.9999999999999645E-2</v>
      </c>
      <c r="G56" s="401">
        <f>'Historical Data'!H105</f>
        <v>1.9</v>
      </c>
      <c r="H56" s="321">
        <v>1.6475956359999998E-2</v>
      </c>
      <c r="I56" s="401">
        <f t="shared" si="10"/>
        <v>0</v>
      </c>
      <c r="J56" s="401">
        <f t="shared" si="15"/>
        <v>0.38500000000000001</v>
      </c>
      <c r="K56" s="401">
        <f t="shared" si="16"/>
        <v>0.81200000000000006</v>
      </c>
      <c r="L56" s="401">
        <f t="shared" si="17"/>
        <v>0.66600000000000004</v>
      </c>
      <c r="M56" s="401">
        <f t="shared" si="18"/>
        <v>0.28100000000000003</v>
      </c>
      <c r="N56" s="401">
        <f t="shared" si="19"/>
        <v>0.16800000000000001</v>
      </c>
      <c r="O56" s="401">
        <f t="shared" si="20"/>
        <v>-0.37887750839261319</v>
      </c>
      <c r="P56" s="401">
        <f t="shared" si="20"/>
        <v>1.103135910399996</v>
      </c>
      <c r="Q56" s="401">
        <f t="shared" si="20"/>
        <v>0.58837402973589337</v>
      </c>
      <c r="R56" s="401">
        <f t="shared" si="11"/>
        <v>-0.73881844667272267</v>
      </c>
      <c r="S56" s="401">
        <f t="shared" si="12"/>
        <v>-0.41623114091289193</v>
      </c>
      <c r="T56" s="401">
        <f t="shared" si="13"/>
        <v>-0.39430765186053962</v>
      </c>
      <c r="U56" s="331">
        <v>1.7000000000000001E-2</v>
      </c>
      <c r="V56" s="332">
        <f t="shared" si="8"/>
        <v>1.5522868178296824E-2</v>
      </c>
      <c r="W56" s="330">
        <v>1.2200000000000001E-2</v>
      </c>
      <c r="X56" s="332">
        <f t="shared" si="9"/>
        <v>1.5169326962982926E-2</v>
      </c>
      <c r="Y56" s="332">
        <f t="shared" si="14"/>
        <v>1.5169326962982926E-2</v>
      </c>
      <c r="Z56" s="330"/>
    </row>
    <row r="57" spans="1:26" s="355" customFormat="1" x14ac:dyDescent="0.25">
      <c r="A57" s="355" t="s">
        <v>563</v>
      </c>
      <c r="B57" s="355" t="s">
        <v>646</v>
      </c>
      <c r="C57" s="345">
        <f>'Historical Data'!B241</f>
        <v>2.2564595453132608E-2</v>
      </c>
      <c r="D57" s="401">
        <f>'Historical Data'!E74</f>
        <v>7.5</v>
      </c>
      <c r="E57" s="355">
        <v>0.5</v>
      </c>
      <c r="F57" s="401">
        <f t="shared" si="1"/>
        <v>0</v>
      </c>
      <c r="G57" s="401">
        <f>'Historical Data'!H106</f>
        <v>2</v>
      </c>
      <c r="H57" s="321">
        <v>1.532113951E-2</v>
      </c>
      <c r="I57" s="401">
        <f t="shared" si="10"/>
        <v>0</v>
      </c>
      <c r="J57" s="401">
        <f t="shared" si="15"/>
        <v>0.60399999999999998</v>
      </c>
      <c r="K57" s="401">
        <f t="shared" si="16"/>
        <v>0.81200000000000006</v>
      </c>
      <c r="L57" s="401">
        <f t="shared" si="17"/>
        <v>0.70799999999999996</v>
      </c>
      <c r="M57" s="401">
        <f t="shared" si="18"/>
        <v>0.27</v>
      </c>
      <c r="N57" s="401">
        <f t="shared" si="19"/>
        <v>0.16800000000000001</v>
      </c>
      <c r="O57" s="401">
        <f t="shared" si="20"/>
        <v>0.3798880408973766</v>
      </c>
      <c r="P57" s="401">
        <f t="shared" si="20"/>
        <v>1.103135910399996</v>
      </c>
      <c r="Q57" s="401">
        <f t="shared" si="20"/>
        <v>0.73167741929433305</v>
      </c>
      <c r="R57" s="401">
        <f t="shared" si="11"/>
        <v>-0.77680988997650124</v>
      </c>
      <c r="S57" s="401">
        <f t="shared" si="12"/>
        <v>-0.41623114091289193</v>
      </c>
      <c r="T57" s="401">
        <f t="shared" si="13"/>
        <v>7.1482872338920339E-2</v>
      </c>
      <c r="U57" s="331">
        <v>1.7000000000000001E-2</v>
      </c>
      <c r="V57" s="332">
        <f t="shared" si="8"/>
        <v>8.7811627453238707E-3</v>
      </c>
      <c r="W57" s="330">
        <v>1.11E-2</v>
      </c>
      <c r="X57" s="332">
        <f t="shared" si="9"/>
        <v>1.3676612510223002E-2</v>
      </c>
      <c r="Y57" s="332">
        <f t="shared" si="14"/>
        <v>1.3676612510223002E-2</v>
      </c>
      <c r="Z57" s="330"/>
    </row>
    <row r="58" spans="1:26" s="355" customFormat="1" x14ac:dyDescent="0.25">
      <c r="A58" s="355" t="s">
        <v>563</v>
      </c>
      <c r="B58" s="355" t="s">
        <v>647</v>
      </c>
      <c r="C58" s="345">
        <f>'Historical Data'!B242</f>
        <v>1.983904866654318E-2</v>
      </c>
      <c r="D58" s="401">
        <f>'Historical Data'!E75</f>
        <v>7.6</v>
      </c>
      <c r="E58" s="355">
        <v>0.5</v>
      </c>
      <c r="F58" s="401">
        <f t="shared" si="1"/>
        <v>9.9999999999999645E-2</v>
      </c>
      <c r="G58" s="401">
        <f>'Historical Data'!H107</f>
        <v>2.2999999999999998</v>
      </c>
      <c r="H58" s="321">
        <v>3.407436405E-2</v>
      </c>
      <c r="I58" s="401">
        <f t="shared" si="10"/>
        <v>0</v>
      </c>
      <c r="J58" s="401">
        <f t="shared" si="15"/>
        <v>0.51</v>
      </c>
      <c r="K58" s="401">
        <f t="shared" si="16"/>
        <v>0.85399999999999998</v>
      </c>
      <c r="L58" s="401">
        <f t="shared" si="17"/>
        <v>0.76</v>
      </c>
      <c r="M58" s="401">
        <f t="shared" si="18"/>
        <v>0.39500000000000002</v>
      </c>
      <c r="N58" s="401">
        <f t="shared" si="19"/>
        <v>0.16800000000000001</v>
      </c>
      <c r="O58" s="401">
        <f t="shared" si="20"/>
        <v>5.4207850791170985E-2</v>
      </c>
      <c r="P58" s="401">
        <f t="shared" si="20"/>
        <v>1.2455865649047213</v>
      </c>
      <c r="Q58" s="401">
        <f t="shared" si="20"/>
        <v>0.90910066350954455</v>
      </c>
      <c r="R58" s="401">
        <f t="shared" si="11"/>
        <v>-0.34508894334265378</v>
      </c>
      <c r="S58" s="401">
        <f t="shared" si="12"/>
        <v>-0.41623114091289193</v>
      </c>
      <c r="T58" s="401">
        <f t="shared" si="13"/>
        <v>-7.7255888090369679E-2</v>
      </c>
      <c r="U58" s="331">
        <v>1.7000000000000001E-2</v>
      </c>
      <c r="V58" s="332">
        <f t="shared" si="8"/>
        <v>1.0582404851725243E-2</v>
      </c>
      <c r="W58" s="330">
        <v>1.0999999999999999E-2</v>
      </c>
      <c r="X58" s="332">
        <f t="shared" si="9"/>
        <v>1.1628811925115312E-2</v>
      </c>
      <c r="Y58" s="332">
        <f t="shared" si="14"/>
        <v>1.1628811925115312E-2</v>
      </c>
      <c r="Z58" s="330"/>
    </row>
    <row r="59" spans="1:26" s="355" customFormat="1" x14ac:dyDescent="0.25">
      <c r="A59" s="355" t="s">
        <v>563</v>
      </c>
      <c r="B59" s="355" t="s">
        <v>648</v>
      </c>
      <c r="C59" s="345">
        <f>'Historical Data'!B243</f>
        <v>2.6832359376056658E-2</v>
      </c>
      <c r="D59" s="401">
        <f>'Historical Data'!E76</f>
        <v>6.9</v>
      </c>
      <c r="E59" s="355">
        <v>0.5</v>
      </c>
      <c r="F59" s="401">
        <f t="shared" si="1"/>
        <v>-0.69999999999999929</v>
      </c>
      <c r="G59" s="401">
        <f>'Historical Data'!H108</f>
        <v>1.7</v>
      </c>
      <c r="H59" s="321">
        <v>5.4060855339999998E-2</v>
      </c>
      <c r="I59" s="401">
        <f t="shared" si="10"/>
        <v>0</v>
      </c>
      <c r="J59" s="401">
        <f t="shared" si="15"/>
        <v>0.77</v>
      </c>
      <c r="K59" s="401">
        <f t="shared" si="16"/>
        <v>0.73899999999999999</v>
      </c>
      <c r="L59" s="401">
        <f t="shared" si="17"/>
        <v>0.58299999999999996</v>
      </c>
      <c r="M59" s="401">
        <f t="shared" si="18"/>
        <v>0.56200000000000006</v>
      </c>
      <c r="N59" s="401">
        <f t="shared" si="19"/>
        <v>0.16800000000000001</v>
      </c>
      <c r="O59" s="401">
        <f t="shared" si="20"/>
        <v>0.9550253978934421</v>
      </c>
      <c r="P59" s="401">
        <f t="shared" si="20"/>
        <v>0.85554310614178275</v>
      </c>
      <c r="Q59" s="401">
        <f t="shared" si="20"/>
        <v>0.30517923608469039</v>
      </c>
      <c r="R59" s="401">
        <f t="shared" si="11"/>
        <v>0.2316902413601665</v>
      </c>
      <c r="S59" s="401">
        <f t="shared" si="12"/>
        <v>-0.41623114091289193</v>
      </c>
      <c r="T59" s="401">
        <f t="shared" si="13"/>
        <v>0.49952476177508343</v>
      </c>
      <c r="U59" s="331">
        <v>1.7000000000000001E-2</v>
      </c>
      <c r="V59" s="332">
        <f t="shared" si="8"/>
        <v>5.0081583118625136E-3</v>
      </c>
      <c r="W59" s="330">
        <v>1.09E-2</v>
      </c>
      <c r="X59" s="332">
        <f t="shared" si="9"/>
        <v>8.123908636303875E-3</v>
      </c>
      <c r="Y59" s="332">
        <f t="shared" si="14"/>
        <v>8.123908636303875E-3</v>
      </c>
      <c r="Z59" s="330"/>
    </row>
    <row r="60" spans="1:26" s="355" customFormat="1" x14ac:dyDescent="0.25">
      <c r="A60" s="355" t="s">
        <v>563</v>
      </c>
      <c r="B60" s="355" t="s">
        <v>649</v>
      </c>
      <c r="C60" s="345">
        <f>'Historical Data'!B244</f>
        <v>2.6979111128449862E-2</v>
      </c>
      <c r="D60" s="401">
        <f>'Historical Data'!E77</f>
        <v>6.5</v>
      </c>
      <c r="E60" s="355">
        <v>0.5</v>
      </c>
      <c r="F60" s="401">
        <f t="shared" si="1"/>
        <v>-0.40000000000000036</v>
      </c>
      <c r="G60" s="401">
        <f>'Historical Data'!H109</f>
        <v>1.2</v>
      </c>
      <c r="H60" s="321">
        <v>6.4354311309999995E-2</v>
      </c>
      <c r="I60" s="401">
        <f t="shared" si="10"/>
        <v>0</v>
      </c>
      <c r="J60" s="401">
        <f t="shared" si="15"/>
        <v>0.78100000000000003</v>
      </c>
      <c r="K60" s="401">
        <f t="shared" si="16"/>
        <v>0.72899999999999998</v>
      </c>
      <c r="L60" s="401">
        <f t="shared" si="17"/>
        <v>0.51</v>
      </c>
      <c r="M60" s="401">
        <f t="shared" si="18"/>
        <v>0.60399999999999998</v>
      </c>
      <c r="N60" s="401">
        <f t="shared" si="19"/>
        <v>0.16800000000000001</v>
      </c>
      <c r="O60" s="401">
        <f t="shared" si="20"/>
        <v>0.99313690950161515</v>
      </c>
      <c r="P60" s="401">
        <f t="shared" si="20"/>
        <v>0.82162628364065771</v>
      </c>
      <c r="Q60" s="401">
        <f t="shared" si="20"/>
        <v>5.6104297090259235E-2</v>
      </c>
      <c r="R60" s="401">
        <f t="shared" si="11"/>
        <v>0.37674847942913897</v>
      </c>
      <c r="S60" s="401">
        <f t="shared" si="12"/>
        <v>-0.41623114091289193</v>
      </c>
      <c r="T60" s="401">
        <f t="shared" si="13"/>
        <v>0.51538168089755398</v>
      </c>
      <c r="U60" s="331">
        <v>1.7000000000000001E-2</v>
      </c>
      <c r="V60" s="332">
        <f t="shared" si="8"/>
        <v>4.9015999731817847E-3</v>
      </c>
      <c r="W60" s="330">
        <v>1.0200000000000001E-2</v>
      </c>
      <c r="X60" s="332">
        <f t="shared" si="9"/>
        <v>6.8307210455898467E-3</v>
      </c>
      <c r="Y60" s="332">
        <f t="shared" si="14"/>
        <v>6.8307210455898467E-3</v>
      </c>
      <c r="Z60" s="330"/>
    </row>
    <row r="61" spans="1:26" s="355" customFormat="1" x14ac:dyDescent="0.25">
      <c r="A61" s="355" t="s">
        <v>563</v>
      </c>
      <c r="B61" s="355" t="s">
        <v>650</v>
      </c>
      <c r="C61" s="345">
        <f>'Historical Data'!B245</f>
        <v>2.8202049294302034E-2</v>
      </c>
      <c r="D61" s="401">
        <f>'Historical Data'!E78</f>
        <v>6</v>
      </c>
      <c r="E61" s="355">
        <v>0.5</v>
      </c>
      <c r="F61" s="401">
        <f t="shared" si="1"/>
        <v>-0.5</v>
      </c>
      <c r="G61" s="401">
        <f>'Historical Data'!H110</f>
        <v>1</v>
      </c>
      <c r="H61" s="321">
        <v>8.3536590339999994E-2</v>
      </c>
      <c r="I61" s="401">
        <f t="shared" si="10"/>
        <v>0</v>
      </c>
      <c r="J61" s="401">
        <f t="shared" si="15"/>
        <v>0.81200000000000006</v>
      </c>
      <c r="K61" s="401">
        <f t="shared" si="16"/>
        <v>0.67700000000000005</v>
      </c>
      <c r="L61" s="401">
        <f t="shared" si="17"/>
        <v>0.47899999999999998</v>
      </c>
      <c r="M61" s="401">
        <f t="shared" si="18"/>
        <v>0.73899999999999999</v>
      </c>
      <c r="N61" s="401">
        <f t="shared" si="19"/>
        <v>0.16800000000000001</v>
      </c>
      <c r="O61" s="401">
        <f t="shared" si="20"/>
        <v>1.1005420785791937</v>
      </c>
      <c r="P61" s="401">
        <f t="shared" si="20"/>
        <v>0.6452588066348075</v>
      </c>
      <c r="Q61" s="401">
        <f t="shared" si="20"/>
        <v>-4.9667252345732237E-2</v>
      </c>
      <c r="R61" s="401">
        <f t="shared" si="11"/>
        <v>0.8430071017936942</v>
      </c>
      <c r="S61" s="401">
        <f t="shared" si="12"/>
        <v>-0.41623114091289193</v>
      </c>
      <c r="T61" s="401">
        <f t="shared" si="13"/>
        <v>0.63351023733754253</v>
      </c>
      <c r="U61" s="331">
        <v>1.7000000000000001E-2</v>
      </c>
      <c r="V61" s="332">
        <f t="shared" si="8"/>
        <v>4.1693304857378074E-3</v>
      </c>
      <c r="W61" s="330">
        <v>8.9999999999999993E-3</v>
      </c>
      <c r="X61" s="332">
        <f t="shared" si="9"/>
        <v>4.6930295902607019E-3</v>
      </c>
      <c r="Y61" s="332">
        <f t="shared" si="14"/>
        <v>4.6930295902607019E-3</v>
      </c>
      <c r="Z61" s="330"/>
    </row>
    <row r="62" spans="1:26" s="355" customFormat="1" x14ac:dyDescent="0.25">
      <c r="A62" s="355" t="s">
        <v>563</v>
      </c>
      <c r="B62" s="355" t="s">
        <v>651</v>
      </c>
      <c r="C62" s="345">
        <f>'Historical Data'!B246</f>
        <v>2.4435455970477582E-2</v>
      </c>
      <c r="D62" s="401">
        <f>'Historical Data'!E79</f>
        <v>6.1</v>
      </c>
      <c r="E62" s="355">
        <v>0.5</v>
      </c>
      <c r="F62" s="401">
        <f t="shared" si="1"/>
        <v>9.9999999999999645E-2</v>
      </c>
      <c r="G62" s="401">
        <f>'Historical Data'!H111</f>
        <v>0.5</v>
      </c>
      <c r="H62" s="321">
        <v>9.1087032380000002E-2</v>
      </c>
      <c r="I62" s="401">
        <f t="shared" si="10"/>
        <v>0</v>
      </c>
      <c r="J62" s="401">
        <f t="shared" si="15"/>
        <v>0.69699999999999995</v>
      </c>
      <c r="K62" s="401">
        <f t="shared" si="16"/>
        <v>0.69699999999999995</v>
      </c>
      <c r="L62" s="401">
        <f t="shared" si="17"/>
        <v>0.437</v>
      </c>
      <c r="M62" s="401">
        <f t="shared" si="18"/>
        <v>0.78100000000000003</v>
      </c>
      <c r="N62" s="401">
        <f t="shared" si="19"/>
        <v>0.16800000000000001</v>
      </c>
      <c r="O62" s="401">
        <f t="shared" si="20"/>
        <v>0.702103548130112</v>
      </c>
      <c r="P62" s="401">
        <f t="shared" si="20"/>
        <v>0.71309245163705737</v>
      </c>
      <c r="Q62" s="401">
        <f t="shared" si="20"/>
        <v>-0.1929706419041721</v>
      </c>
      <c r="R62" s="401">
        <f t="shared" si="11"/>
        <v>0.98806533986266709</v>
      </c>
      <c r="S62" s="401">
        <f t="shared" si="12"/>
        <v>-0.41623114091289193</v>
      </c>
      <c r="T62" s="401">
        <f t="shared" si="13"/>
        <v>0.38783923941892173</v>
      </c>
      <c r="U62" s="331">
        <v>1.7000000000000001E-2</v>
      </c>
      <c r="V62" s="332">
        <f t="shared" si="8"/>
        <v>5.8189382778226235E-3</v>
      </c>
      <c r="W62" s="330">
        <v>9.7000000000000003E-3</v>
      </c>
      <c r="X62" s="332">
        <f t="shared" si="9"/>
        <v>4.9632895789140713E-3</v>
      </c>
      <c r="Y62" s="332">
        <f t="shared" si="14"/>
        <v>4.9632895789140713E-3</v>
      </c>
      <c r="Z62" s="330"/>
    </row>
    <row r="63" spans="1:26" s="355" customFormat="1" x14ac:dyDescent="0.25">
      <c r="A63" s="355" t="s">
        <v>563</v>
      </c>
      <c r="B63" s="355" t="s">
        <v>652</v>
      </c>
      <c r="C63" s="345">
        <f>'Historical Data'!B247</f>
        <v>2.4724901219356665E-2</v>
      </c>
      <c r="D63" s="401">
        <f>'Historical Data'!E80</f>
        <v>5.4</v>
      </c>
      <c r="E63" s="355">
        <v>0.5</v>
      </c>
      <c r="F63" s="401">
        <f t="shared" si="1"/>
        <v>-0.69999999999999929</v>
      </c>
      <c r="G63" s="401">
        <f>'Historical Data'!H112</f>
        <v>-0.3</v>
      </c>
      <c r="H63" s="321">
        <v>7.6971567719999995E-2</v>
      </c>
      <c r="I63" s="401">
        <f t="shared" si="10"/>
        <v>0</v>
      </c>
      <c r="J63" s="401">
        <f t="shared" si="15"/>
        <v>0.71799999999999997</v>
      </c>
      <c r="K63" s="401">
        <f t="shared" si="16"/>
        <v>0.63500000000000001</v>
      </c>
      <c r="L63" s="401">
        <f t="shared" si="17"/>
        <v>0.25</v>
      </c>
      <c r="M63" s="401">
        <f t="shared" si="18"/>
        <v>0.68700000000000006</v>
      </c>
      <c r="N63" s="401">
        <f t="shared" si="19"/>
        <v>0.16800000000000001</v>
      </c>
      <c r="O63" s="401">
        <f t="shared" si="20"/>
        <v>0.77486188847298776</v>
      </c>
      <c r="P63" s="401">
        <f t="shared" si="20"/>
        <v>0.50280815213008201</v>
      </c>
      <c r="Q63" s="401">
        <f t="shared" si="20"/>
        <v>-0.83101192398579748</v>
      </c>
      <c r="R63" s="401">
        <f t="shared" si="11"/>
        <v>0.66341118799401388</v>
      </c>
      <c r="S63" s="401">
        <f t="shared" si="12"/>
        <v>-0.41623114091289193</v>
      </c>
      <c r="T63" s="401">
        <f t="shared" si="13"/>
        <v>0.35625313018031685</v>
      </c>
      <c r="U63" s="331">
        <v>1.7000000000000001E-2</v>
      </c>
      <c r="V63" s="332">
        <f t="shared" si="8"/>
        <v>6.0684337170605453E-3</v>
      </c>
      <c r="W63" s="330">
        <v>1.11E-2</v>
      </c>
      <c r="X63" s="332">
        <f t="shared" si="9"/>
        <v>5.3522341602069918E-3</v>
      </c>
      <c r="Y63" s="332">
        <f t="shared" si="14"/>
        <v>5.3522341602069918E-3</v>
      </c>
      <c r="Z63" s="330"/>
    </row>
    <row r="64" spans="1:26" s="355" customFormat="1" x14ac:dyDescent="0.25">
      <c r="A64" s="355" t="s">
        <v>563</v>
      </c>
      <c r="B64" s="355" t="s">
        <v>653</v>
      </c>
      <c r="C64" s="345">
        <f>'Historical Data'!B248</f>
        <v>2.3379101050561069E-2</v>
      </c>
      <c r="D64" s="401">
        <f>'Historical Data'!E81</f>
        <v>5.3</v>
      </c>
      <c r="E64" s="355">
        <v>0.5</v>
      </c>
      <c r="F64" s="401">
        <f t="shared" si="1"/>
        <v>-0.10000000000000053</v>
      </c>
      <c r="G64" s="401">
        <f>'Historical Data'!H113</f>
        <v>-1.8</v>
      </c>
      <c r="H64" s="321">
        <v>6.6840959829999991E-2</v>
      </c>
      <c r="I64" s="401">
        <f t="shared" si="10"/>
        <v>0</v>
      </c>
      <c r="J64" s="401">
        <f t="shared" si="15"/>
        <v>0.625</v>
      </c>
      <c r="K64" s="401">
        <f t="shared" si="16"/>
        <v>0.59299999999999997</v>
      </c>
      <c r="L64" s="401">
        <f t="shared" si="17"/>
        <v>3.1E-2</v>
      </c>
      <c r="M64" s="401">
        <f t="shared" si="18"/>
        <v>0.625</v>
      </c>
      <c r="N64" s="401">
        <f t="shared" si="19"/>
        <v>0.16800000000000001</v>
      </c>
      <c r="O64" s="401">
        <f t="shared" si="20"/>
        <v>0.45264638124025242</v>
      </c>
      <c r="P64" s="401">
        <f t="shared" si="20"/>
        <v>0.36035749762535652</v>
      </c>
      <c r="Q64" s="401">
        <f t="shared" si="20"/>
        <v>-1.5782367409690914</v>
      </c>
      <c r="R64" s="401">
        <f t="shared" si="11"/>
        <v>0.44927759846362542</v>
      </c>
      <c r="S64" s="401">
        <f t="shared" si="12"/>
        <v>-0.41623114091289193</v>
      </c>
      <c r="T64" s="401">
        <f t="shared" si="13"/>
        <v>8.1033050639780002E-2</v>
      </c>
      <c r="U64" s="331">
        <v>1.7000000000000001E-2</v>
      </c>
      <c r="V64" s="332">
        <f t="shared" si="8"/>
        <v>8.6752890538249021E-3</v>
      </c>
      <c r="W64" s="330">
        <v>1.0999999999999999E-2</v>
      </c>
      <c r="X64" s="332">
        <f t="shared" si="9"/>
        <v>6.8542203495693572E-3</v>
      </c>
      <c r="Y64" s="332">
        <f t="shared" si="14"/>
        <v>6.8542203495693572E-3</v>
      </c>
      <c r="Z64" s="330"/>
    </row>
    <row r="65" spans="1:58" x14ac:dyDescent="0.25">
      <c r="A65" s="355" t="s">
        <v>563</v>
      </c>
      <c r="B65" s="355" t="s">
        <v>654</v>
      </c>
      <c r="C65" s="345">
        <f>'Historical Data'!B249</f>
        <v>2.3962729767752933E-2</v>
      </c>
      <c r="D65" s="401">
        <f>'Historical Data'!E82</f>
        <v>5.3</v>
      </c>
      <c r="E65" s="355">
        <v>0.5</v>
      </c>
      <c r="F65" s="401">
        <f t="shared" si="1"/>
        <v>0</v>
      </c>
      <c r="G65" s="401">
        <f>'Historical Data'!H114</f>
        <v>-1.9</v>
      </c>
      <c r="H65" s="321">
        <v>5.1983691959999995E-2</v>
      </c>
      <c r="I65" s="401">
        <f t="shared" si="10"/>
        <v>0</v>
      </c>
      <c r="J65" s="401">
        <f t="shared" si="15"/>
        <v>0.65600000000000003</v>
      </c>
      <c r="K65" s="401">
        <f t="shared" si="16"/>
        <v>0.59299999999999997</v>
      </c>
      <c r="L65" s="401">
        <f t="shared" si="17"/>
        <v>0.02</v>
      </c>
      <c r="M65" s="401">
        <f t="shared" si="18"/>
        <v>0.54100000000000004</v>
      </c>
      <c r="N65" s="401">
        <f t="shared" si="19"/>
        <v>0.16800000000000001</v>
      </c>
      <c r="O65" s="401">
        <f t="shared" si="20"/>
        <v>0.56005155031783105</v>
      </c>
      <c r="P65" s="401">
        <f t="shared" si="20"/>
        <v>0.36035749762535652</v>
      </c>
      <c r="Q65" s="401">
        <f t="shared" si="20"/>
        <v>-1.6157685810915399</v>
      </c>
      <c r="R65" s="401">
        <f t="shared" si="11"/>
        <v>0.15916112232568005</v>
      </c>
      <c r="S65" s="401">
        <f t="shared" si="12"/>
        <v>-0.41623114091289193</v>
      </c>
      <c r="T65" s="401">
        <f t="shared" si="13"/>
        <v>0.11271132046028778</v>
      </c>
      <c r="U65" s="331">
        <v>1.7000000000000001E-2</v>
      </c>
      <c r="V65" s="332">
        <f t="shared" si="8"/>
        <v>8.3320753217260637E-3</v>
      </c>
      <c r="W65" s="330">
        <v>1.1900000000000001E-2</v>
      </c>
      <c r="X65" s="332">
        <f t="shared" si="9"/>
        <v>7.6919326975371698E-3</v>
      </c>
      <c r="Y65" s="332">
        <f t="shared" si="14"/>
        <v>7.6919326975371698E-3</v>
      </c>
      <c r="Z65" s="330"/>
      <c r="AK65" s="355"/>
      <c r="AL65" s="355"/>
      <c r="AM65" s="355"/>
      <c r="AN65" s="355"/>
      <c r="AO65" s="355"/>
    </row>
    <row r="66" spans="1:58" x14ac:dyDescent="0.25">
      <c r="A66" s="355" t="s">
        <v>563</v>
      </c>
      <c r="B66" s="355" t="s">
        <v>655</v>
      </c>
      <c r="C66" s="345">
        <f>'Historical Data'!B250</f>
        <v>2.2476735265668291E-2</v>
      </c>
      <c r="D66" s="401">
        <f>'Historical Data'!E83</f>
        <v>5.3</v>
      </c>
      <c r="E66" s="355">
        <v>0.5</v>
      </c>
      <c r="F66" s="401">
        <f t="shared" si="1"/>
        <v>0</v>
      </c>
      <c r="G66" s="401">
        <f>'Historical Data'!H115</f>
        <v>-2.1</v>
      </c>
      <c r="H66" s="321">
        <v>5.3350561240000004E-2</v>
      </c>
      <c r="I66" s="401">
        <f t="shared" si="10"/>
        <v>0</v>
      </c>
      <c r="J66" s="401">
        <f t="shared" si="15"/>
        <v>0.59299999999999997</v>
      </c>
      <c r="K66" s="401">
        <f t="shared" si="16"/>
        <v>0.59299999999999997</v>
      </c>
      <c r="L66" s="401">
        <f t="shared" si="17"/>
        <v>0</v>
      </c>
      <c r="M66" s="401">
        <f t="shared" si="18"/>
        <v>0.55200000000000005</v>
      </c>
      <c r="N66" s="401">
        <f t="shared" si="19"/>
        <v>0.16800000000000001</v>
      </c>
      <c r="O66" s="401">
        <f t="shared" si="20"/>
        <v>0.34177652928920355</v>
      </c>
      <c r="P66" s="401">
        <f t="shared" si="20"/>
        <v>0.36035749762535652</v>
      </c>
      <c r="Q66" s="401">
        <f t="shared" si="20"/>
        <v>-1.6840082904050828</v>
      </c>
      <c r="R66" s="401">
        <f t="shared" si="11"/>
        <v>0.19715256562945868</v>
      </c>
      <c r="S66" s="401">
        <f t="shared" si="12"/>
        <v>-0.41623114091289193</v>
      </c>
      <c r="T66" s="401">
        <f t="shared" si="13"/>
        <v>-2.1278518757865135E-2</v>
      </c>
      <c r="U66" s="331">
        <v>1.7000000000000001E-2</v>
      </c>
      <c r="V66" s="332">
        <f t="shared" si="8"/>
        <v>9.8698775658305673E-3</v>
      </c>
      <c r="W66" s="330">
        <v>1.2699999999999999E-2</v>
      </c>
      <c r="X66" s="332">
        <f t="shared" si="9"/>
        <v>8.9590806471271777E-3</v>
      </c>
      <c r="Y66" s="332">
        <f t="shared" si="14"/>
        <v>8.9590806471271777E-3</v>
      </c>
      <c r="Z66" s="330"/>
      <c r="AK66" s="355"/>
      <c r="AL66" s="355"/>
      <c r="AM66" s="355"/>
      <c r="AN66" s="355"/>
      <c r="AO66" s="355"/>
    </row>
    <row r="67" spans="1:58" x14ac:dyDescent="0.25">
      <c r="A67" s="355" t="s">
        <v>563</v>
      </c>
      <c r="B67" s="355" t="s">
        <v>656</v>
      </c>
      <c r="C67" s="345">
        <f>'Historical Data'!B251</f>
        <v>2.438953602872429E-2</v>
      </c>
      <c r="D67" s="401">
        <f>'Historical Data'!E84</f>
        <v>4.7</v>
      </c>
      <c r="E67" s="355">
        <v>0.5</v>
      </c>
      <c r="F67" s="401">
        <f t="shared" si="1"/>
        <v>-0.59999999999999964</v>
      </c>
      <c r="G67" s="401">
        <f>'Historical Data'!H116</f>
        <v>-2.1</v>
      </c>
      <c r="H67" s="321">
        <v>6.9134372730000004E-2</v>
      </c>
      <c r="I67" s="401">
        <f t="shared" si="10"/>
        <v>0</v>
      </c>
      <c r="J67" s="401">
        <f t="shared" si="15"/>
        <v>0.68700000000000006</v>
      </c>
      <c r="K67" s="401">
        <f t="shared" si="16"/>
        <v>0.28100000000000003</v>
      </c>
      <c r="L67" s="401">
        <f t="shared" si="17"/>
        <v>0</v>
      </c>
      <c r="M67" s="401">
        <f t="shared" si="18"/>
        <v>0.63500000000000001</v>
      </c>
      <c r="N67" s="401">
        <f t="shared" si="19"/>
        <v>0.16800000000000001</v>
      </c>
      <c r="O67" s="401">
        <f t="shared" si="20"/>
        <v>0.66745671939540963</v>
      </c>
      <c r="P67" s="401">
        <f t="shared" si="20"/>
        <v>-0.69784736440974582</v>
      </c>
      <c r="Q67" s="401">
        <f t="shared" si="20"/>
        <v>-1.6840082904050828</v>
      </c>
      <c r="R67" s="401">
        <f t="shared" si="11"/>
        <v>0.48381527419433323</v>
      </c>
      <c r="S67" s="401">
        <f t="shared" si="12"/>
        <v>-0.41623114091289193</v>
      </c>
      <c r="T67" s="401">
        <f t="shared" si="13"/>
        <v>0.30861635236585616</v>
      </c>
      <c r="U67" s="331">
        <v>1.7000000000000001E-2</v>
      </c>
      <c r="V67" s="332">
        <f t="shared" si="8"/>
        <v>6.462650714366424E-3</v>
      </c>
      <c r="W67" s="330">
        <v>1.32E-2</v>
      </c>
      <c r="X67" s="332">
        <f t="shared" si="9"/>
        <v>8.2215345339743517E-3</v>
      </c>
      <c r="Y67" s="332">
        <f t="shared" si="14"/>
        <v>8.2215345339743517E-3</v>
      </c>
      <c r="Z67" s="330"/>
      <c r="AK67" s="355"/>
      <c r="AL67" s="355"/>
      <c r="AM67" s="355"/>
      <c r="AN67" s="355"/>
      <c r="AO67" s="355"/>
    </row>
    <row r="68" spans="1:58" x14ac:dyDescent="0.25">
      <c r="A68" s="355" t="s">
        <v>563</v>
      </c>
      <c r="B68" s="355" t="s">
        <v>657</v>
      </c>
      <c r="C68" s="345">
        <f>'Historical Data'!B252</f>
        <v>2.0716819269157805E-2</v>
      </c>
      <c r="D68" s="401">
        <f>'Historical Data'!E85</f>
        <v>4.9000000000000004</v>
      </c>
      <c r="E68" s="355">
        <v>0.5</v>
      </c>
      <c r="F68" s="401">
        <f t="shared" si="1"/>
        <v>0.20000000000000018</v>
      </c>
      <c r="G68" s="401">
        <f>'Historical Data'!H117</f>
        <v>-1.6</v>
      </c>
      <c r="H68" s="321">
        <v>8.4212869080000002E-2</v>
      </c>
      <c r="I68" s="401">
        <f t="shared" si="10"/>
        <v>0</v>
      </c>
      <c r="J68" s="401">
        <f t="shared" si="15"/>
        <v>0.54100000000000004</v>
      </c>
      <c r="K68" s="401">
        <f t="shared" si="16"/>
        <v>0.41599999999999998</v>
      </c>
      <c r="L68" s="401">
        <f t="shared" si="17"/>
        <v>5.1999999999999998E-2</v>
      </c>
      <c r="M68" s="401">
        <f t="shared" si="18"/>
        <v>0.75</v>
      </c>
      <c r="N68" s="401">
        <f t="shared" si="19"/>
        <v>0.16800000000000001</v>
      </c>
      <c r="O68" s="401">
        <f t="shared" si="20"/>
        <v>0.16161301986874957</v>
      </c>
      <c r="P68" s="401">
        <f t="shared" si="20"/>
        <v>-0.2399702606445574</v>
      </c>
      <c r="Q68" s="401">
        <f t="shared" si="20"/>
        <v>-1.5065850461898715</v>
      </c>
      <c r="R68" s="401">
        <f t="shared" si="11"/>
        <v>0.88099854509747288</v>
      </c>
      <c r="S68" s="401">
        <f t="shared" si="12"/>
        <v>-0.41623114091289193</v>
      </c>
      <c r="T68" s="401">
        <f t="shared" si="13"/>
        <v>1.6783073785176419E-2</v>
      </c>
      <c r="U68" s="331">
        <v>1.7000000000000001E-2</v>
      </c>
      <c r="V68" s="332">
        <f t="shared" si="8"/>
        <v>9.4096597591690045E-3</v>
      </c>
      <c r="W68" s="330">
        <v>1.6299999999999999E-2</v>
      </c>
      <c r="X68" s="332">
        <f t="shared" si="9"/>
        <v>8.5807293464553319E-3</v>
      </c>
      <c r="Y68" s="332">
        <f t="shared" si="14"/>
        <v>8.5807293464553319E-3</v>
      </c>
      <c r="Z68" s="330"/>
      <c r="AK68" s="355"/>
      <c r="AL68" s="355"/>
      <c r="AM68" s="355"/>
      <c r="AN68" s="355"/>
      <c r="AO68" s="355"/>
    </row>
    <row r="69" spans="1:58" x14ac:dyDescent="0.25">
      <c r="A69" s="355" t="s">
        <v>563</v>
      </c>
      <c r="B69" s="355" t="s">
        <v>658</v>
      </c>
      <c r="C69" s="345">
        <f>'Historical Data'!B253</f>
        <v>1.8868581303826071E-2</v>
      </c>
      <c r="D69" s="401">
        <f>'Historical Data'!E86</f>
        <v>4.7</v>
      </c>
      <c r="E69" s="355">
        <v>0.5</v>
      </c>
      <c r="F69" s="401">
        <f t="shared" ref="F69:F100" si="21">D69-D68</f>
        <v>-0.20000000000000018</v>
      </c>
      <c r="G69" s="401">
        <f>'Historical Data'!H118</f>
        <v>-1.7</v>
      </c>
      <c r="H69" s="321">
        <v>8.1726987870000004E-2</v>
      </c>
      <c r="I69" s="401">
        <f t="shared" si="10"/>
        <v>0</v>
      </c>
      <c r="J69" s="401">
        <f t="shared" ref="J69:J91" si="22">PERCENTRANK($C$4:$C$100,C69)</f>
        <v>0.45800000000000002</v>
      </c>
      <c r="K69" s="401">
        <f t="shared" ref="K69:K91" si="23">PERCENTRANK($D$2:$D$100,D69)</f>
        <v>0.28100000000000003</v>
      </c>
      <c r="L69" s="401">
        <f t="shared" ref="L69:L91" si="24">PERCENTRANK($G$4:$G$100,G69)</f>
        <v>4.1000000000000002E-2</v>
      </c>
      <c r="M69" s="401">
        <f t="shared" ref="M69:M91" si="25">PERCENTRANK($H$4:$H$100,H69)</f>
        <v>0.71799999999999997</v>
      </c>
      <c r="N69" s="401">
        <f t="shared" ref="N69:N91" si="26">PERCENTRANK($I$4:$I$100,I69)</f>
        <v>0.16800000000000001</v>
      </c>
      <c r="O69" s="401">
        <f t="shared" si="20"/>
        <v>-0.12595565862928321</v>
      </c>
      <c r="P69" s="401">
        <f t="shared" si="20"/>
        <v>-0.69784736440974582</v>
      </c>
      <c r="Q69" s="401">
        <f t="shared" si="20"/>
        <v>-1.54411688631232</v>
      </c>
      <c r="R69" s="401">
        <f t="shared" si="11"/>
        <v>0.77047798275920776</v>
      </c>
      <c r="S69" s="401">
        <f t="shared" si="12"/>
        <v>-0.41623114091289193</v>
      </c>
      <c r="T69" s="401">
        <f t="shared" si="13"/>
        <v>-0.12477566318319575</v>
      </c>
      <c r="U69" s="331">
        <v>1.7000000000000001E-2</v>
      </c>
      <c r="V69" s="332">
        <f t="shared" ref="V69:V100" si="27">NORMSDIST((_xlfn.NORM.S.INV(U69)-(SQRT($AF$11)*T69))/SQRT(1-$AF$11))</f>
        <v>1.1222034639749147E-2</v>
      </c>
      <c r="W69" s="330">
        <v>1.77E-2</v>
      </c>
      <c r="X69" s="332">
        <f t="shared" ref="X69:X79" si="28">Y69</f>
        <v>9.0314483710948589E-3</v>
      </c>
      <c r="Y69" s="332">
        <f t="shared" si="14"/>
        <v>9.0314483710948589E-3</v>
      </c>
      <c r="Z69" s="330"/>
      <c r="AK69" s="355"/>
      <c r="AL69" s="355"/>
      <c r="AM69" s="355"/>
      <c r="AN69" s="355"/>
      <c r="AO69" s="355"/>
    </row>
    <row r="70" spans="1:58" x14ac:dyDescent="0.25">
      <c r="A70" s="355" t="s">
        <v>563</v>
      </c>
      <c r="B70" s="355" t="s">
        <v>659</v>
      </c>
      <c r="C70" s="345">
        <f>'Historical Data'!B254</f>
        <v>1.9079347085903864E-2</v>
      </c>
      <c r="D70" s="401">
        <f>'Historical Data'!E87</f>
        <v>4.9000000000000004</v>
      </c>
      <c r="E70" s="355">
        <v>0.25</v>
      </c>
      <c r="F70" s="401">
        <f t="shared" si="21"/>
        <v>0.20000000000000018</v>
      </c>
      <c r="G70" s="401">
        <f>'Historical Data'!H119</f>
        <v>-1.1000000000000001</v>
      </c>
      <c r="H70" s="321">
        <v>6.1404145200000003E-2</v>
      </c>
      <c r="I70" s="401">
        <f t="shared" ref="I70:I100" si="29">E70-E69</f>
        <v>-0.25</v>
      </c>
      <c r="J70" s="401">
        <f t="shared" si="22"/>
        <v>0.46800000000000003</v>
      </c>
      <c r="K70" s="401">
        <f t="shared" si="23"/>
        <v>0.41599999999999998</v>
      </c>
      <c r="L70" s="401">
        <f t="shared" si="24"/>
        <v>8.3000000000000004E-2</v>
      </c>
      <c r="M70" s="401">
        <f t="shared" si="25"/>
        <v>0.58299999999999996</v>
      </c>
      <c r="N70" s="401">
        <f t="shared" si="26"/>
        <v>9.4E-2</v>
      </c>
      <c r="O70" s="401">
        <f t="shared" si="20"/>
        <v>-9.1308829894580446E-2</v>
      </c>
      <c r="P70" s="401">
        <f t="shared" si="20"/>
        <v>-0.2399702606445574</v>
      </c>
      <c r="Q70" s="401">
        <f t="shared" si="20"/>
        <v>-1.4008134967538799</v>
      </c>
      <c r="R70" s="401">
        <f t="shared" ref="R70:R100" si="30">(M70-AF$4)/AF$5</f>
        <v>0.30421936039465253</v>
      </c>
      <c r="S70" s="401">
        <f t="shared" ref="S70:S100" si="31">(N70-AE$4)/AE$5</f>
        <v>-0.66580119704432283</v>
      </c>
      <c r="T70" s="401">
        <f t="shared" ref="T70:T100" si="32">O70*$AB$8-P70*$AB$9+Q70*$AB$10+S70*$AB$11+R70*$AB$12</f>
        <v>-0.20702780521264755</v>
      </c>
      <c r="U70" s="331">
        <v>1.7000000000000001E-2</v>
      </c>
      <c r="V70" s="332">
        <f t="shared" si="27"/>
        <v>1.2408784487381164E-2</v>
      </c>
      <c r="W70" s="330">
        <v>1.6500000000000001E-2</v>
      </c>
      <c r="X70" s="332">
        <f t="shared" si="28"/>
        <v>1.1013492962099773E-2</v>
      </c>
      <c r="Y70" s="332">
        <f t="shared" si="14"/>
        <v>1.1013492962099773E-2</v>
      </c>
      <c r="Z70" s="330"/>
      <c r="AK70" s="355"/>
      <c r="AL70" s="355"/>
      <c r="AM70" s="355"/>
      <c r="AN70" s="355"/>
      <c r="AO70" s="355"/>
    </row>
    <row r="71" spans="1:58" x14ac:dyDescent="0.25">
      <c r="A71" s="355" t="s">
        <v>563</v>
      </c>
      <c r="B71" s="355" t="s">
        <v>660</v>
      </c>
      <c r="C71" s="345">
        <f>'Historical Data'!B255</f>
        <v>1.8089868540344556E-2</v>
      </c>
      <c r="D71" s="401">
        <f>'Historical Data'!E88</f>
        <v>4.5</v>
      </c>
      <c r="E71" s="355">
        <v>0.25</v>
      </c>
      <c r="F71" s="401">
        <f t="shared" si="21"/>
        <v>-0.40000000000000036</v>
      </c>
      <c r="G71" s="401">
        <f>'Historical Data'!H120</f>
        <v>0.2</v>
      </c>
      <c r="H71" s="321">
        <v>5.1627808809999995E-2</v>
      </c>
      <c r="I71" s="401">
        <f t="shared" si="29"/>
        <v>0</v>
      </c>
      <c r="J71" s="401">
        <f t="shared" si="22"/>
        <v>0.42699999999999999</v>
      </c>
      <c r="K71" s="401">
        <f t="shared" si="23"/>
        <v>0.22900000000000001</v>
      </c>
      <c r="L71" s="401">
        <f t="shared" si="24"/>
        <v>0.36399999999999999</v>
      </c>
      <c r="M71" s="401">
        <f t="shared" si="25"/>
        <v>0.53100000000000003</v>
      </c>
      <c r="N71" s="401">
        <f t="shared" si="26"/>
        <v>0.16800000000000001</v>
      </c>
      <c r="O71" s="401">
        <f t="shared" si="20"/>
        <v>-0.23336082770686178</v>
      </c>
      <c r="P71" s="401">
        <f t="shared" si="20"/>
        <v>-0.87421484141559624</v>
      </c>
      <c r="Q71" s="401">
        <f t="shared" si="20"/>
        <v>-0.44204558089860341</v>
      </c>
      <c r="R71" s="401">
        <f t="shared" si="30"/>
        <v>0.12462344659497224</v>
      </c>
      <c r="S71" s="401">
        <f t="shared" si="31"/>
        <v>-0.41623114091289193</v>
      </c>
      <c r="T71" s="401">
        <f t="shared" si="32"/>
        <v>-0.12596034000420975</v>
      </c>
      <c r="U71" s="331">
        <v>1.7000000000000001E-2</v>
      </c>
      <c r="V71" s="332">
        <f t="shared" si="27"/>
        <v>1.1238401079743093E-2</v>
      </c>
      <c r="W71" s="330">
        <v>1.47E-2</v>
      </c>
      <c r="X71" s="332">
        <f t="shared" si="28"/>
        <v>1.1623073402291134E-2</v>
      </c>
      <c r="Y71" s="332">
        <f t="shared" si="14"/>
        <v>1.1623073402291134E-2</v>
      </c>
      <c r="Z71" s="330"/>
      <c r="AK71" s="355"/>
      <c r="AL71" s="355"/>
      <c r="AM71" s="355"/>
      <c r="AN71" s="355"/>
      <c r="AO71" s="355"/>
    </row>
    <row r="72" spans="1:58" x14ac:dyDescent="0.25">
      <c r="A72" s="355" t="s">
        <v>563</v>
      </c>
      <c r="B72" s="355" t="s">
        <v>661</v>
      </c>
      <c r="C72" s="345">
        <f>'Historical Data'!B256</f>
        <v>2.225809449537941E-2</v>
      </c>
      <c r="D72" s="401">
        <f>'Historical Data'!E89</f>
        <v>4.3</v>
      </c>
      <c r="E72" s="355">
        <v>0.25</v>
      </c>
      <c r="F72" s="401">
        <f t="shared" si="21"/>
        <v>-0.20000000000000018</v>
      </c>
      <c r="G72" s="401">
        <f>'Historical Data'!H121</f>
        <v>1.8</v>
      </c>
      <c r="H72" s="321">
        <v>3.644863433E-2</v>
      </c>
      <c r="I72" s="401">
        <f t="shared" si="29"/>
        <v>0</v>
      </c>
      <c r="J72" s="401">
        <f t="shared" si="22"/>
        <v>0.58299999999999996</v>
      </c>
      <c r="K72" s="401">
        <f t="shared" si="23"/>
        <v>0.16600000000000001</v>
      </c>
      <c r="L72" s="401">
        <f t="shared" si="24"/>
        <v>0.64500000000000002</v>
      </c>
      <c r="M72" s="401">
        <f t="shared" si="25"/>
        <v>0.40600000000000003</v>
      </c>
      <c r="N72" s="401">
        <f t="shared" si="26"/>
        <v>0.16800000000000001</v>
      </c>
      <c r="O72" s="401">
        <f t="shared" si="20"/>
        <v>0.30712970055450078</v>
      </c>
      <c r="P72" s="401">
        <f t="shared" si="20"/>
        <v>-1.0878908231726845</v>
      </c>
      <c r="Q72" s="401">
        <f t="shared" si="20"/>
        <v>0.5167223349566733</v>
      </c>
      <c r="R72" s="401">
        <f t="shared" si="30"/>
        <v>-0.3070975000388752</v>
      </c>
      <c r="S72" s="401">
        <f t="shared" si="31"/>
        <v>-0.41623114091289193</v>
      </c>
      <c r="T72" s="401">
        <f t="shared" si="32"/>
        <v>0.27240627205045953</v>
      </c>
      <c r="U72" s="331">
        <v>1.7000000000000001E-2</v>
      </c>
      <c r="V72" s="332">
        <f t="shared" si="27"/>
        <v>6.7772940518514282E-3</v>
      </c>
      <c r="W72" s="330">
        <v>1.4999999999999999E-2</v>
      </c>
      <c r="X72" s="332">
        <f t="shared" si="28"/>
        <v>1.0141493206325229E-2</v>
      </c>
      <c r="Y72" s="332">
        <f t="shared" ref="Y72:Y79" si="33">AVERAGE(V70:V72)</f>
        <v>1.0141493206325229E-2</v>
      </c>
      <c r="Z72" s="330"/>
      <c r="AK72" s="355"/>
      <c r="AL72" s="355"/>
      <c r="AM72" s="355"/>
      <c r="AN72" s="355"/>
      <c r="AO72" s="355"/>
    </row>
    <row r="73" spans="1:58" x14ac:dyDescent="0.25">
      <c r="A73" s="355" t="s">
        <v>563</v>
      </c>
      <c r="B73" s="355" t="s">
        <v>662</v>
      </c>
      <c r="C73" s="345">
        <f>'Historical Data'!B257</f>
        <v>1.9417475728155331E-2</v>
      </c>
      <c r="D73" s="401">
        <f>'Historical Data'!E90</f>
        <v>4.2</v>
      </c>
      <c r="E73" s="355">
        <v>0.25</v>
      </c>
      <c r="F73" s="401">
        <f t="shared" si="21"/>
        <v>-9.9999999999999645E-2</v>
      </c>
      <c r="G73" s="401">
        <f>'Historical Data'!H122</f>
        <v>2.6</v>
      </c>
      <c r="H73" s="321">
        <v>4.2026841670000002E-2</v>
      </c>
      <c r="I73" s="401">
        <f t="shared" si="29"/>
        <v>0</v>
      </c>
      <c r="J73" s="401">
        <f t="shared" si="22"/>
        <v>0.48899999999999999</v>
      </c>
      <c r="K73" s="401">
        <f t="shared" si="23"/>
        <v>0.13500000000000001</v>
      </c>
      <c r="L73" s="401">
        <f t="shared" si="24"/>
        <v>0.79100000000000004</v>
      </c>
      <c r="M73" s="401">
        <f t="shared" si="25"/>
        <v>0.45800000000000002</v>
      </c>
      <c r="N73" s="401">
        <f t="shared" si="26"/>
        <v>0.16800000000000001</v>
      </c>
      <c r="O73" s="401">
        <f t="shared" si="20"/>
        <v>-1.8550489551704824E-2</v>
      </c>
      <c r="P73" s="401">
        <f t="shared" si="20"/>
        <v>-1.1930329729261722</v>
      </c>
      <c r="Q73" s="401">
        <f t="shared" si="20"/>
        <v>1.0148722129455361</v>
      </c>
      <c r="R73" s="401">
        <f t="shared" si="30"/>
        <v>-0.12750158623919469</v>
      </c>
      <c r="S73" s="401">
        <f t="shared" si="31"/>
        <v>-0.41623114091289193</v>
      </c>
      <c r="T73" s="401">
        <f t="shared" si="32"/>
        <v>0.15528695214093929</v>
      </c>
      <c r="U73" s="331">
        <v>1.7000000000000001E-2</v>
      </c>
      <c r="V73" s="332">
        <f t="shared" si="27"/>
        <v>7.8896044044785528E-3</v>
      </c>
      <c r="W73" s="330">
        <v>1.49E-2</v>
      </c>
      <c r="X73" s="332">
        <f t="shared" si="28"/>
        <v>8.6350998453576921E-3</v>
      </c>
      <c r="Y73" s="332">
        <f t="shared" si="33"/>
        <v>8.6350998453576921E-3</v>
      </c>
      <c r="Z73" s="330"/>
      <c r="AK73" s="355"/>
      <c r="AL73" s="355"/>
      <c r="AM73" s="355"/>
      <c r="AN73" s="355"/>
      <c r="AO73" s="355"/>
    </row>
    <row r="74" spans="1:58" x14ac:dyDescent="0.25">
      <c r="A74" s="355" t="s">
        <v>563</v>
      </c>
      <c r="B74" s="355" t="s">
        <v>663</v>
      </c>
      <c r="C74" s="345">
        <f>'Historical Data'!B258</f>
        <v>1.829800174457219E-2</v>
      </c>
      <c r="D74" s="401">
        <f>'Historical Data'!E91</f>
        <v>4.4000000000000004</v>
      </c>
      <c r="E74" s="355">
        <v>0.25</v>
      </c>
      <c r="F74" s="401">
        <f t="shared" si="21"/>
        <v>0.20000000000000018</v>
      </c>
      <c r="G74" s="401">
        <f>'Historical Data'!H123</f>
        <v>3</v>
      </c>
      <c r="H74" s="321">
        <v>4.6918165849999999E-2</v>
      </c>
      <c r="I74" s="401">
        <f t="shared" si="29"/>
        <v>0</v>
      </c>
      <c r="J74" s="401">
        <f t="shared" si="22"/>
        <v>0.44700000000000001</v>
      </c>
      <c r="K74" s="401">
        <f t="shared" si="23"/>
        <v>0.17699999999999999</v>
      </c>
      <c r="L74" s="401">
        <f t="shared" si="24"/>
        <v>0.85399999999999998</v>
      </c>
      <c r="M74" s="401">
        <f t="shared" si="25"/>
        <v>0.52</v>
      </c>
      <c r="N74" s="401">
        <f t="shared" si="26"/>
        <v>0.16800000000000001</v>
      </c>
      <c r="O74" s="401">
        <f t="shared" si="20"/>
        <v>-0.16406717023745626</v>
      </c>
      <c r="P74" s="401">
        <f t="shared" si="20"/>
        <v>-1.0505823184214469</v>
      </c>
      <c r="Q74" s="401">
        <f t="shared" si="20"/>
        <v>1.2298272972831956</v>
      </c>
      <c r="R74" s="401">
        <f t="shared" si="30"/>
        <v>8.6632003291193624E-2</v>
      </c>
      <c r="S74" s="401">
        <f t="shared" si="31"/>
        <v>-0.41623114091289193</v>
      </c>
      <c r="T74" s="401">
        <f t="shared" si="32"/>
        <v>9.664074566582069E-2</v>
      </c>
      <c r="U74" s="331">
        <v>1.7000000000000001E-2</v>
      </c>
      <c r="V74" s="332">
        <f t="shared" si="27"/>
        <v>8.5046702892178101E-3</v>
      </c>
      <c r="W74" s="330">
        <v>1.35E-2</v>
      </c>
      <c r="X74" s="332">
        <f t="shared" si="28"/>
        <v>7.7238562485159312E-3</v>
      </c>
      <c r="Y74" s="332">
        <f t="shared" si="33"/>
        <v>7.7238562485159312E-3</v>
      </c>
      <c r="Z74" s="330"/>
      <c r="AK74" s="355"/>
      <c r="AL74" s="355"/>
      <c r="AM74" s="355"/>
      <c r="AN74" s="355"/>
      <c r="AO74" s="355"/>
    </row>
    <row r="75" spans="1:58" x14ac:dyDescent="0.25">
      <c r="A75" s="355" t="s">
        <v>563</v>
      </c>
      <c r="B75" s="355" t="s">
        <v>664</v>
      </c>
      <c r="C75" s="345">
        <f>'Historical Data'!B259</f>
        <v>1.5764794278478877E-2</v>
      </c>
      <c r="D75" s="401">
        <f>'Historical Data'!E92</f>
        <v>4.0999999999999996</v>
      </c>
      <c r="E75" s="355">
        <v>0.5</v>
      </c>
      <c r="F75" s="401">
        <f t="shared" si="21"/>
        <v>-0.30000000000000071</v>
      </c>
      <c r="G75" s="401">
        <f>'Historical Data'!H124</f>
        <v>3.3</v>
      </c>
      <c r="H75" s="321">
        <v>4.5615562970000002E-2</v>
      </c>
      <c r="I75" s="401">
        <f t="shared" si="29"/>
        <v>0.25</v>
      </c>
      <c r="J75" s="401">
        <f t="shared" si="22"/>
        <v>0.35399999999999998</v>
      </c>
      <c r="K75" s="401">
        <f t="shared" si="23"/>
        <v>0.114</v>
      </c>
      <c r="L75" s="401">
        <f t="shared" si="24"/>
        <v>0.88500000000000001</v>
      </c>
      <c r="M75" s="401">
        <f t="shared" si="25"/>
        <v>0.48899999999999999</v>
      </c>
      <c r="N75" s="401">
        <f t="shared" si="26"/>
        <v>0.85199999999999998</v>
      </c>
      <c r="O75" s="401">
        <f t="shared" si="20"/>
        <v>-0.48628267747019177</v>
      </c>
      <c r="P75" s="401">
        <f t="shared" si="20"/>
        <v>-1.2642583001785348</v>
      </c>
      <c r="Q75" s="401">
        <f t="shared" si="20"/>
        <v>1.335598846719187</v>
      </c>
      <c r="R75" s="401">
        <f t="shared" si="30"/>
        <v>-2.0434791474000628E-2</v>
      </c>
      <c r="S75" s="401">
        <f t="shared" si="31"/>
        <v>1.890605594139793</v>
      </c>
      <c r="T75" s="401">
        <f t="shared" si="32"/>
        <v>0.15523318847423642</v>
      </c>
      <c r="U75" s="331">
        <v>1.7000000000000001E-2</v>
      </c>
      <c r="V75" s="332">
        <f t="shared" si="27"/>
        <v>7.8901498565352394E-3</v>
      </c>
      <c r="W75" s="330">
        <v>1.44E-2</v>
      </c>
      <c r="X75" s="332">
        <f t="shared" si="28"/>
        <v>8.0948081834105335E-3</v>
      </c>
      <c r="Y75" s="332">
        <f t="shared" si="33"/>
        <v>8.0948081834105335E-3</v>
      </c>
      <c r="Z75" s="330"/>
      <c r="AK75" s="355"/>
      <c r="AL75" s="355"/>
      <c r="AM75" s="355"/>
      <c r="AN75" s="355"/>
      <c r="AO75" s="355"/>
    </row>
    <row r="76" spans="1:58" x14ac:dyDescent="0.25">
      <c r="A76" s="355" t="s">
        <v>563</v>
      </c>
      <c r="B76" s="355" t="s">
        <v>665</v>
      </c>
      <c r="C76" s="345">
        <f>'Historical Data'!B260</f>
        <v>1.0543832500301331E-2</v>
      </c>
      <c r="D76" s="401">
        <f>'Historical Data'!E93</f>
        <v>4</v>
      </c>
      <c r="E76" s="355">
        <v>0.5</v>
      </c>
      <c r="F76" s="401">
        <f t="shared" si="21"/>
        <v>-9.9999999999999645E-2</v>
      </c>
      <c r="G76" s="401">
        <f>'Historical Data'!H125</f>
        <v>2.8</v>
      </c>
      <c r="H76" s="321">
        <v>3.9657937800000001E-2</v>
      </c>
      <c r="I76" s="401">
        <f t="shared" si="29"/>
        <v>0</v>
      </c>
      <c r="J76" s="401">
        <f t="shared" si="22"/>
        <v>0.187</v>
      </c>
      <c r="K76" s="401">
        <f t="shared" si="23"/>
        <v>9.2999999999999999E-2</v>
      </c>
      <c r="L76" s="401">
        <f t="shared" si="24"/>
        <v>0.84299999999999997</v>
      </c>
      <c r="M76" s="401">
        <f t="shared" si="25"/>
        <v>0.44700000000000001</v>
      </c>
      <c r="N76" s="401">
        <f t="shared" si="26"/>
        <v>0.16800000000000001</v>
      </c>
      <c r="O76" s="401">
        <f t="shared" si="20"/>
        <v>-1.0648847173397273</v>
      </c>
      <c r="P76" s="401">
        <f t="shared" si="20"/>
        <v>-1.3354836274308974</v>
      </c>
      <c r="Q76" s="401">
        <f t="shared" si="20"/>
        <v>1.1922954571607471</v>
      </c>
      <c r="R76" s="401">
        <f t="shared" si="30"/>
        <v>-0.16549302954297329</v>
      </c>
      <c r="S76" s="401">
        <f t="shared" si="31"/>
        <v>-0.41623114091289193</v>
      </c>
      <c r="T76" s="401">
        <f t="shared" si="32"/>
        <v>-0.44432533899025844</v>
      </c>
      <c r="U76" s="331">
        <v>1.7000000000000001E-2</v>
      </c>
      <c r="V76" s="332">
        <f t="shared" si="27"/>
        <v>1.6460245056054406E-2</v>
      </c>
      <c r="W76" s="330">
        <v>1.47E-2</v>
      </c>
      <c r="X76" s="332">
        <f t="shared" si="28"/>
        <v>1.0951688400602485E-2</v>
      </c>
      <c r="Y76" s="332">
        <f t="shared" si="33"/>
        <v>1.0951688400602485E-2</v>
      </c>
      <c r="Z76" s="330"/>
      <c r="AK76" s="355"/>
      <c r="AL76" s="355"/>
      <c r="AM76" s="355"/>
      <c r="AN76" s="355"/>
      <c r="AO76" s="355"/>
    </row>
    <row r="77" spans="1:58" x14ac:dyDescent="0.25">
      <c r="A77" s="355" t="s">
        <v>563</v>
      </c>
      <c r="B77" s="355" t="s">
        <v>666</v>
      </c>
      <c r="C77" s="345">
        <f>'Historical Data'!B261</f>
        <v>1.3318745009906152E-2</v>
      </c>
      <c r="D77" s="401">
        <f>'Historical Data'!E94</f>
        <v>3.8</v>
      </c>
      <c r="E77" s="355">
        <v>0.5</v>
      </c>
      <c r="F77" s="401">
        <f t="shared" si="21"/>
        <v>-0.20000000000000018</v>
      </c>
      <c r="G77" s="401">
        <f>'Historical Data'!H126</f>
        <v>2.6</v>
      </c>
      <c r="H77" s="321">
        <v>2.9399671949999998E-2</v>
      </c>
      <c r="I77" s="401">
        <f t="shared" si="29"/>
        <v>0</v>
      </c>
      <c r="J77" s="401">
        <f t="shared" si="22"/>
        <v>0.29099999999999998</v>
      </c>
      <c r="K77" s="401">
        <f t="shared" si="23"/>
        <v>4.1000000000000002E-2</v>
      </c>
      <c r="L77" s="401">
        <f t="shared" si="24"/>
        <v>0.79100000000000004</v>
      </c>
      <c r="M77" s="401">
        <f t="shared" si="25"/>
        <v>0.36399999999999999</v>
      </c>
      <c r="N77" s="401">
        <f t="shared" si="26"/>
        <v>0.16800000000000001</v>
      </c>
      <c r="O77" s="401">
        <f t="shared" si="20"/>
        <v>-0.704557698498819</v>
      </c>
      <c r="P77" s="401">
        <f t="shared" si="20"/>
        <v>-1.511851104436748</v>
      </c>
      <c r="Q77" s="401">
        <f t="shared" si="20"/>
        <v>1.0148722129455361</v>
      </c>
      <c r="R77" s="401">
        <f t="shared" si="30"/>
        <v>-0.45215573810784804</v>
      </c>
      <c r="S77" s="401">
        <f t="shared" si="31"/>
        <v>-0.41623114091289193</v>
      </c>
      <c r="T77" s="401">
        <f t="shared" si="32"/>
        <v>-0.25690097526313693</v>
      </c>
      <c r="U77" s="331">
        <v>1.7000000000000001E-2</v>
      </c>
      <c r="V77" s="332">
        <f t="shared" si="27"/>
        <v>1.3180088938561953E-2</v>
      </c>
      <c r="W77" s="330">
        <v>1.46E-2</v>
      </c>
      <c r="X77" s="332">
        <f t="shared" si="28"/>
        <v>1.25101612837172E-2</v>
      </c>
      <c r="Y77" s="332">
        <f t="shared" si="33"/>
        <v>1.25101612837172E-2</v>
      </c>
      <c r="Z77" s="330"/>
      <c r="AK77" s="355"/>
      <c r="AL77" s="355"/>
      <c r="AM77" s="355"/>
      <c r="AN77" s="355"/>
      <c r="AO77" s="355"/>
    </row>
    <row r="78" spans="1:58" x14ac:dyDescent="0.25">
      <c r="A78" s="355" t="s">
        <v>563</v>
      </c>
      <c r="B78" s="355" t="s">
        <v>667</v>
      </c>
      <c r="C78" s="345">
        <f>'Historical Data'!B262</f>
        <v>1.5809989351293297E-2</v>
      </c>
      <c r="D78" s="401">
        <f>'Historical Data'!E95</f>
        <v>4.0999999999999996</v>
      </c>
      <c r="E78" s="355">
        <v>0.75</v>
      </c>
      <c r="F78" s="401">
        <f t="shared" si="21"/>
        <v>0.29999999999999982</v>
      </c>
      <c r="G78" s="401">
        <f>'Historical Data'!H127</f>
        <v>2.6</v>
      </c>
      <c r="H78" s="321">
        <v>2.9165743220000002E-2</v>
      </c>
      <c r="I78" s="401">
        <f t="shared" si="29"/>
        <v>0.25</v>
      </c>
      <c r="J78" s="401">
        <f t="shared" si="22"/>
        <v>0.36399999999999999</v>
      </c>
      <c r="K78" s="401">
        <f t="shared" si="23"/>
        <v>0.114</v>
      </c>
      <c r="L78" s="401">
        <f t="shared" si="24"/>
        <v>0.79100000000000004</v>
      </c>
      <c r="M78" s="401">
        <f t="shared" si="25"/>
        <v>0.35399999999999998</v>
      </c>
      <c r="N78" s="401">
        <f t="shared" si="26"/>
        <v>0.85199999999999998</v>
      </c>
      <c r="O78" s="401">
        <f t="shared" si="20"/>
        <v>-0.45163584873548901</v>
      </c>
      <c r="P78" s="401">
        <f t="shared" si="20"/>
        <v>-1.2642583001785348</v>
      </c>
      <c r="Q78" s="401">
        <f t="shared" si="20"/>
        <v>1.0148722129455361</v>
      </c>
      <c r="R78" s="401">
        <f t="shared" si="30"/>
        <v>-0.48669341383855586</v>
      </c>
      <c r="S78" s="401">
        <f t="shared" si="31"/>
        <v>1.890605594139793</v>
      </c>
      <c r="T78" s="401">
        <f t="shared" si="32"/>
        <v>9.7322760101237443E-2</v>
      </c>
      <c r="U78" s="331">
        <v>1.7000000000000001E-2</v>
      </c>
      <c r="V78" s="332">
        <f t="shared" si="27"/>
        <v>8.4972823238502384E-3</v>
      </c>
      <c r="W78" s="330">
        <v>1.4800000000000001E-2</v>
      </c>
      <c r="X78" s="332">
        <f t="shared" si="28"/>
        <v>1.2712538772822199E-2</v>
      </c>
      <c r="Y78" s="332">
        <f t="shared" si="33"/>
        <v>1.2712538772822199E-2</v>
      </c>
      <c r="Z78" s="330"/>
    </row>
    <row r="79" spans="1:58" x14ac:dyDescent="0.25">
      <c r="A79" s="355" t="s">
        <v>563</v>
      </c>
      <c r="B79" s="355" t="s">
        <v>668</v>
      </c>
      <c r="C79" s="345">
        <f>'Historical Data'!B263</f>
        <v>1.3936995855299505E-2</v>
      </c>
      <c r="D79" s="401">
        <f>'Historical Data'!E96</f>
        <v>3.8</v>
      </c>
      <c r="E79" s="355">
        <v>0.75</v>
      </c>
      <c r="F79" s="401">
        <f t="shared" si="21"/>
        <v>-0.29999999999999982</v>
      </c>
      <c r="G79" s="401">
        <f>'Historical Data'!H128</f>
        <v>2.1</v>
      </c>
      <c r="H79" s="321">
        <v>1.95237295E-2</v>
      </c>
      <c r="I79" s="401">
        <f t="shared" si="29"/>
        <v>0</v>
      </c>
      <c r="J79" s="401">
        <f t="shared" si="22"/>
        <v>0.312</v>
      </c>
      <c r="K79" s="401">
        <f t="shared" si="23"/>
        <v>4.1000000000000002E-2</v>
      </c>
      <c r="L79" s="401">
        <f t="shared" si="24"/>
        <v>0.71799999999999997</v>
      </c>
      <c r="M79" s="401">
        <f t="shared" si="25"/>
        <v>0.30199999999999999</v>
      </c>
      <c r="N79" s="401">
        <f t="shared" si="26"/>
        <v>0.16800000000000001</v>
      </c>
      <c r="O79" s="401">
        <f t="shared" si="20"/>
        <v>-0.63179935815594324</v>
      </c>
      <c r="P79" s="401">
        <f t="shared" si="20"/>
        <v>-1.511851104436748</v>
      </c>
      <c r="Q79" s="401">
        <f t="shared" si="20"/>
        <v>0.76579727395110442</v>
      </c>
      <c r="R79" s="401">
        <f t="shared" si="30"/>
        <v>-0.66628932763823634</v>
      </c>
      <c r="S79" s="401">
        <f t="shared" si="31"/>
        <v>-0.41623114091289193</v>
      </c>
      <c r="T79" s="401">
        <f t="shared" si="32"/>
        <v>-0.2595668239098935</v>
      </c>
      <c r="U79" s="331">
        <v>1.7000000000000001E-2</v>
      </c>
      <c r="V79" s="332">
        <f t="shared" si="27"/>
        <v>1.3222458665274214E-2</v>
      </c>
      <c r="W79" s="330">
        <v>1.72E-2</v>
      </c>
      <c r="X79" s="332">
        <f t="shared" si="28"/>
        <v>1.1633276642562135E-2</v>
      </c>
      <c r="Y79" s="332">
        <f t="shared" si="33"/>
        <v>1.1633276642562135E-2</v>
      </c>
    </row>
    <row r="80" spans="1:58" s="357" customFormat="1" x14ac:dyDescent="0.25">
      <c r="A80" s="355" t="s">
        <v>563</v>
      </c>
      <c r="B80" s="355" t="s">
        <v>669</v>
      </c>
      <c r="C80" s="345">
        <f>'Historical Data'!B264</f>
        <v>2.0003207397353506E-2</v>
      </c>
      <c r="D80" s="401">
        <f>'Historical Data'!E97</f>
        <v>3.6</v>
      </c>
      <c r="E80" s="355">
        <v>0.75</v>
      </c>
      <c r="F80" s="401">
        <f t="shared" si="21"/>
        <v>-0.19999999999999973</v>
      </c>
      <c r="G80" s="401">
        <f>'Historical Data'!H129</f>
        <v>1.3</v>
      </c>
      <c r="H80" s="321">
        <v>1.488917027E-2</v>
      </c>
      <c r="I80" s="401">
        <f t="shared" si="29"/>
        <v>0</v>
      </c>
      <c r="J80" s="401">
        <f t="shared" si="22"/>
        <v>0.52</v>
      </c>
      <c r="K80" s="401">
        <f t="shared" si="23"/>
        <v>0</v>
      </c>
      <c r="L80" s="401">
        <f t="shared" si="24"/>
        <v>0.53100000000000003</v>
      </c>
      <c r="M80" s="401">
        <f t="shared" si="25"/>
        <v>0.26</v>
      </c>
      <c r="N80" s="401">
        <f t="shared" si="26"/>
        <v>0.16800000000000001</v>
      </c>
      <c r="O80" s="401">
        <f t="shared" si="20"/>
        <v>8.8854679525873753E-2</v>
      </c>
      <c r="P80" s="401">
        <f t="shared" si="20"/>
        <v>-1.6509100766913607</v>
      </c>
      <c r="Q80" s="401">
        <f t="shared" si="20"/>
        <v>0.12775599186947925</v>
      </c>
      <c r="R80" s="401">
        <f t="shared" si="30"/>
        <v>-0.81134756570720901</v>
      </c>
      <c r="S80" s="401">
        <f t="shared" si="31"/>
        <v>-0.41623114091289193</v>
      </c>
      <c r="T80" s="401">
        <f t="shared" si="32"/>
        <v>0.10842154390959817</v>
      </c>
      <c r="U80" s="331">
        <v>1.7000000000000001E-2</v>
      </c>
      <c r="V80" s="332">
        <f t="shared" si="27"/>
        <v>8.3778431570381909E-3</v>
      </c>
      <c r="W80" s="330"/>
      <c r="X80" s="332" t="e">
        <f>Y80*$AB$14+#REF!*$AB$15+#REF!*Adv!$AB$16</f>
        <v>#REF!</v>
      </c>
      <c r="Y80" s="332">
        <f>V80</f>
        <v>8.3778431570381909E-3</v>
      </c>
      <c r="Z80" s="325"/>
      <c r="AA80" s="355"/>
      <c r="AB80" s="355"/>
      <c r="AC80" s="355"/>
      <c r="AD80" s="355"/>
      <c r="AE80" s="355"/>
      <c r="AF80" s="355"/>
      <c r="AG80" s="355"/>
      <c r="AH80" s="355"/>
      <c r="AI80" s="355"/>
      <c r="AJ80" s="355"/>
      <c r="AK80" s="346"/>
      <c r="AL80" s="346"/>
      <c r="AM80" s="346"/>
      <c r="AN80" s="346"/>
      <c r="AO80" s="346"/>
      <c r="AP80" s="355"/>
      <c r="AQ80" s="355"/>
      <c r="AR80" s="355"/>
      <c r="AS80" s="355"/>
      <c r="AT80" s="355"/>
      <c r="AU80" s="355"/>
      <c r="AV80" s="355"/>
      <c r="AW80" s="355"/>
      <c r="AX80" s="355"/>
      <c r="AY80" s="355"/>
      <c r="AZ80" s="355"/>
      <c r="BA80" s="355"/>
      <c r="BB80" s="355"/>
      <c r="BC80" s="355"/>
      <c r="BD80" s="355"/>
      <c r="BE80" s="355"/>
      <c r="BF80" s="355"/>
    </row>
    <row r="81" spans="1:58" x14ac:dyDescent="0.25">
      <c r="A81" s="355" t="s">
        <v>563</v>
      </c>
      <c r="B81" s="355" t="s">
        <v>670</v>
      </c>
      <c r="C81" s="345">
        <f>'Historical Data'!B265</f>
        <v>1.4085301676423301E-2</v>
      </c>
      <c r="D81" s="401">
        <f>'Historical Data'!E98</f>
        <v>3.6</v>
      </c>
      <c r="E81" s="355">
        <v>0.75</v>
      </c>
      <c r="F81" s="401">
        <f t="shared" si="21"/>
        <v>0</v>
      </c>
      <c r="G81" s="401">
        <f>'Historical Data'!H130</f>
        <v>1.5</v>
      </c>
      <c r="H81" s="321">
        <v>7.4268907299999999E-3</v>
      </c>
      <c r="I81" s="401">
        <f t="shared" si="29"/>
        <v>0</v>
      </c>
      <c r="J81" s="401">
        <f t="shared" si="22"/>
        <v>0.33300000000000002</v>
      </c>
      <c r="K81" s="401">
        <f t="shared" si="23"/>
        <v>0</v>
      </c>
      <c r="L81" s="401">
        <f t="shared" si="24"/>
        <v>0.55200000000000005</v>
      </c>
      <c r="M81" s="401">
        <f t="shared" si="25"/>
        <v>0.187</v>
      </c>
      <c r="N81" s="401">
        <f t="shared" si="26"/>
        <v>0.16800000000000001</v>
      </c>
      <c r="O81" s="401">
        <f t="shared" si="20"/>
        <v>-0.55904101781306736</v>
      </c>
      <c r="P81" s="401">
        <f t="shared" si="20"/>
        <v>-1.6509100766913607</v>
      </c>
      <c r="Q81" s="401">
        <f t="shared" si="20"/>
        <v>0.19940768664869929</v>
      </c>
      <c r="R81" s="401">
        <f t="shared" si="30"/>
        <v>-1.063472598541376</v>
      </c>
      <c r="S81" s="401">
        <f t="shared" si="31"/>
        <v>-0.41623114091289193</v>
      </c>
      <c r="T81" s="401">
        <f t="shared" si="32"/>
        <v>-0.29836320829926116</v>
      </c>
      <c r="U81" s="331">
        <v>1.7000000000000001E-2</v>
      </c>
      <c r="V81" s="332">
        <f t="shared" si="27"/>
        <v>1.3852515428474627E-2</v>
      </c>
      <c r="W81" s="330"/>
      <c r="X81" s="332" t="e">
        <f>Y81*$AB$14+#REF!*$AB$15+#REF!*Adv!$AB$16</f>
        <v>#REF!</v>
      </c>
      <c r="Y81" s="332">
        <f>V81*0.5+V80*0.5</f>
        <v>1.1115179292756409E-2</v>
      </c>
      <c r="Z81" s="325"/>
    </row>
    <row r="82" spans="1:58" x14ac:dyDescent="0.25">
      <c r="A82" s="355" t="s">
        <v>563</v>
      </c>
      <c r="B82" s="355" t="s">
        <v>671</v>
      </c>
      <c r="C82" s="345">
        <f>'Historical Data'!B266</f>
        <v>1.3324204251599081E-2</v>
      </c>
      <c r="D82" s="401">
        <f>'Historical Data'!E99</f>
        <v>4</v>
      </c>
      <c r="E82" s="355">
        <v>0.75</v>
      </c>
      <c r="F82" s="401">
        <f t="shared" si="21"/>
        <v>0.39999999999999991</v>
      </c>
      <c r="G82" s="401">
        <f>'Historical Data'!H131</f>
        <v>1.3</v>
      </c>
      <c r="H82" s="321">
        <v>9.5154592400000012E-3</v>
      </c>
      <c r="I82" s="401">
        <f t="shared" si="29"/>
        <v>0</v>
      </c>
      <c r="J82" s="401">
        <f t="shared" si="22"/>
        <v>0.30199999999999999</v>
      </c>
      <c r="K82" s="401">
        <f t="shared" si="23"/>
        <v>9.2999999999999999E-2</v>
      </c>
      <c r="L82" s="401">
        <f t="shared" si="24"/>
        <v>0.53100000000000003</v>
      </c>
      <c r="M82" s="401">
        <f t="shared" si="25"/>
        <v>0.20799999999999999</v>
      </c>
      <c r="N82" s="401">
        <f t="shared" si="26"/>
        <v>0.16800000000000001</v>
      </c>
      <c r="O82" s="401">
        <f t="shared" si="20"/>
        <v>-0.66644618689064594</v>
      </c>
      <c r="P82" s="401">
        <f t="shared" si="20"/>
        <v>-1.3354836274308974</v>
      </c>
      <c r="Q82" s="401">
        <f t="shared" si="20"/>
        <v>0.12775599186947925</v>
      </c>
      <c r="R82" s="401">
        <f t="shared" si="30"/>
        <v>-0.99094347950688977</v>
      </c>
      <c r="S82" s="401">
        <f t="shared" si="31"/>
        <v>-0.41623114091289193</v>
      </c>
      <c r="T82" s="401">
        <f t="shared" si="32"/>
        <v>-0.39426121224632804</v>
      </c>
      <c r="U82" s="331">
        <v>1.7000000000000001E-2</v>
      </c>
      <c r="V82" s="332">
        <f t="shared" si="27"/>
        <v>1.5522019604994355E-2</v>
      </c>
      <c r="W82" s="330"/>
      <c r="X82" s="332" t="e">
        <f>Y82*$AB$14+#REF!*$AB$15+#REF!*Adv!$AB$16</f>
        <v>#REF!</v>
      </c>
      <c r="Y82" s="332">
        <f>V82*0.5+V81*0.25+V80*0.25</f>
        <v>1.3318599448875382E-2</v>
      </c>
      <c r="Z82" s="325"/>
    </row>
    <row r="83" spans="1:58" x14ac:dyDescent="0.25">
      <c r="A83" s="355" t="s">
        <v>563</v>
      </c>
      <c r="B83" s="355" t="s">
        <v>672</v>
      </c>
      <c r="C83" s="345">
        <f>'Historical Data'!B267</f>
        <v>1.1157302329890317E-2</v>
      </c>
      <c r="D83" s="401">
        <f>'Historical Data'!E100</f>
        <v>3.7</v>
      </c>
      <c r="E83" s="355">
        <v>0.75</v>
      </c>
      <c r="F83" s="401">
        <f t="shared" si="21"/>
        <v>-0.29999999999999982</v>
      </c>
      <c r="G83" s="401">
        <f>'Historical Data'!H132</f>
        <v>0.5</v>
      </c>
      <c r="H83" s="321">
        <v>9.2640405299999999E-3</v>
      </c>
      <c r="I83" s="401">
        <f t="shared" si="29"/>
        <v>0</v>
      </c>
      <c r="J83" s="401">
        <f t="shared" si="22"/>
        <v>0.218</v>
      </c>
      <c r="K83" s="401">
        <f t="shared" si="23"/>
        <v>0.02</v>
      </c>
      <c r="L83" s="401">
        <f t="shared" si="24"/>
        <v>0.437</v>
      </c>
      <c r="M83" s="401">
        <f t="shared" si="25"/>
        <v>0.19700000000000001</v>
      </c>
      <c r="N83" s="401">
        <f t="shared" si="26"/>
        <v>0.16800000000000001</v>
      </c>
      <c r="O83" s="401">
        <f t="shared" si="20"/>
        <v>-0.95747954826214887</v>
      </c>
      <c r="P83" s="401">
        <f t="shared" si="20"/>
        <v>-1.5830764316891106</v>
      </c>
      <c r="Q83" s="401">
        <f t="shared" si="20"/>
        <v>-0.1929706419041721</v>
      </c>
      <c r="R83" s="401">
        <f t="shared" si="30"/>
        <v>-1.0289349228106681</v>
      </c>
      <c r="S83" s="401">
        <f t="shared" si="31"/>
        <v>-0.41623114091289193</v>
      </c>
      <c r="T83" s="401">
        <f t="shared" si="32"/>
        <v>-0.57999375635115147</v>
      </c>
      <c r="U83" s="331">
        <v>1.7000000000000001E-2</v>
      </c>
      <c r="V83" s="332">
        <f t="shared" si="27"/>
        <v>1.925015341533912E-2</v>
      </c>
      <c r="W83" s="330"/>
      <c r="X83" s="332" t="e">
        <f>Y83*$AB$14+#REF!*$AB$15+#REF!*Adv!$AB$16</f>
        <v>#REF!</v>
      </c>
      <c r="Y83" s="332">
        <f t="shared" ref="Y83:Y100" si="34">V83*0.5+V82*0.25+V81*0.25</f>
        <v>1.6968710466036804E-2</v>
      </c>
      <c r="Z83" s="325"/>
    </row>
    <row r="84" spans="1:58" s="357" customFormat="1" x14ac:dyDescent="0.25">
      <c r="A84" s="355" t="s">
        <v>563</v>
      </c>
      <c r="B84" s="355" t="s">
        <v>673</v>
      </c>
      <c r="C84" s="345">
        <f>'Historical Data'!B268</f>
        <v>-1.7425116864092538E-2</v>
      </c>
      <c r="D84" s="401">
        <f>'Historical Data'!E101</f>
        <v>3.8</v>
      </c>
      <c r="E84" s="339">
        <v>0.1</v>
      </c>
      <c r="F84" s="401">
        <f t="shared" si="21"/>
        <v>9.9999999999999645E-2</v>
      </c>
      <c r="G84" s="401">
        <f>'Historical Data'!H133</f>
        <v>0.9</v>
      </c>
      <c r="H84" s="321">
        <v>2.9113118430000001E-2</v>
      </c>
      <c r="I84" s="401">
        <f t="shared" si="29"/>
        <v>-0.65</v>
      </c>
      <c r="J84" s="401">
        <f t="shared" si="22"/>
        <v>6.2E-2</v>
      </c>
      <c r="K84" s="401">
        <f t="shared" si="23"/>
        <v>4.1000000000000002E-2</v>
      </c>
      <c r="L84" s="401">
        <f t="shared" si="24"/>
        <v>0.46800000000000003</v>
      </c>
      <c r="M84" s="401">
        <f t="shared" si="25"/>
        <v>0.34300000000000003</v>
      </c>
      <c r="N84" s="401">
        <f t="shared" si="26"/>
        <v>5.1999999999999998E-2</v>
      </c>
      <c r="O84" s="401">
        <f t="shared" si="20"/>
        <v>-1.4979700765235116</v>
      </c>
      <c r="P84" s="401">
        <f t="shared" si="20"/>
        <v>-1.511851104436748</v>
      </c>
      <c r="Q84" s="401">
        <f t="shared" si="20"/>
        <v>-8.7199092468180625E-2</v>
      </c>
      <c r="R84" s="401">
        <f t="shared" si="30"/>
        <v>-0.52468485714233426</v>
      </c>
      <c r="S84" s="401">
        <f t="shared" si="31"/>
        <v>-0.80744906674054029</v>
      </c>
      <c r="T84" s="401">
        <f t="shared" si="32"/>
        <v>-0.8895302371055378</v>
      </c>
      <c r="U84" s="331">
        <v>1.7000000000000001E-2</v>
      </c>
      <c r="V84" s="332">
        <f t="shared" si="27"/>
        <v>2.7148245127518671E-2</v>
      </c>
      <c r="W84" s="355"/>
      <c r="X84" s="332" t="e">
        <f>Y84*$AB$14+#REF!*$AB$15+#REF!*Adv!$AB$16</f>
        <v>#REF!</v>
      </c>
      <c r="Y84" s="332">
        <f t="shared" si="34"/>
        <v>2.2267165818842704E-2</v>
      </c>
      <c r="Z84" s="325"/>
      <c r="AA84" s="355"/>
      <c r="AB84" s="355"/>
      <c r="AC84" s="355"/>
      <c r="AD84" s="355"/>
      <c r="AE84" s="355"/>
      <c r="AF84" s="355"/>
      <c r="AG84" s="355"/>
      <c r="AH84" s="355"/>
      <c r="AI84" s="355"/>
      <c r="AJ84" s="355"/>
      <c r="AK84" s="346"/>
      <c r="AL84" s="346"/>
      <c r="AM84" s="346"/>
      <c r="AN84" s="346"/>
      <c r="AO84" s="346"/>
      <c r="AP84" s="355"/>
      <c r="AQ84" s="355"/>
      <c r="AR84" s="355"/>
      <c r="AS84" s="355"/>
      <c r="AT84" s="355"/>
      <c r="AU84" s="355"/>
      <c r="AV84" s="355"/>
      <c r="AW84" s="355"/>
      <c r="AX84" s="355"/>
      <c r="AY84" s="355"/>
      <c r="AZ84" s="355"/>
      <c r="BA84" s="355"/>
      <c r="BB84" s="355"/>
      <c r="BC84" s="355"/>
      <c r="BD84" s="355"/>
      <c r="BE84" s="355"/>
      <c r="BF84" s="355"/>
    </row>
    <row r="85" spans="1:58" x14ac:dyDescent="0.25">
      <c r="A85" s="355" t="s">
        <v>563</v>
      </c>
      <c r="B85" s="355" t="s">
        <v>674</v>
      </c>
      <c r="C85" s="345">
        <f>'Historical Data'!B269</f>
        <v>-0.19500000000000001</v>
      </c>
      <c r="D85" s="401">
        <f>'Historical Data'!E102</f>
        <v>3.7</v>
      </c>
      <c r="E85" s="339">
        <v>0.1</v>
      </c>
      <c r="F85" s="401">
        <f t="shared" si="21"/>
        <v>-9.9999999999999645E-2</v>
      </c>
      <c r="G85" s="401">
        <f>'Historical Data'!H134</f>
        <v>-0.6</v>
      </c>
      <c r="H85" s="321">
        <v>2.8000000000000001E-2</v>
      </c>
      <c r="I85" s="401">
        <f t="shared" si="29"/>
        <v>0</v>
      </c>
      <c r="J85" s="401">
        <f t="shared" si="22"/>
        <v>0</v>
      </c>
      <c r="K85" s="401">
        <f t="shared" si="23"/>
        <v>0.02</v>
      </c>
      <c r="L85" s="401">
        <f t="shared" si="24"/>
        <v>0.187</v>
      </c>
      <c r="M85" s="401">
        <f t="shared" si="25"/>
        <v>0.33300000000000002</v>
      </c>
      <c r="N85" s="401">
        <f t="shared" si="26"/>
        <v>0.16800000000000001</v>
      </c>
      <c r="O85" s="401">
        <f t="shared" si="20"/>
        <v>-1.7127804146786685</v>
      </c>
      <c r="P85" s="401">
        <f t="shared" si="20"/>
        <v>-1.5830764316891106</v>
      </c>
      <c r="Q85" s="401">
        <f t="shared" si="20"/>
        <v>-1.0459670083234573</v>
      </c>
      <c r="R85" s="401">
        <f t="shared" si="30"/>
        <v>-0.55922253287304213</v>
      </c>
      <c r="S85" s="401">
        <f t="shared" si="31"/>
        <v>-0.41623114091289193</v>
      </c>
      <c r="T85" s="401">
        <f t="shared" si="32"/>
        <v>-1.0715026738492293</v>
      </c>
      <c r="U85" s="331">
        <v>1.7000000000000001E-2</v>
      </c>
      <c r="V85" s="332">
        <f t="shared" si="27"/>
        <v>3.2942467540101092E-2</v>
      </c>
      <c r="X85" s="332" t="e">
        <f>Y85*$AB$14+#REF!*$AB$15+#REF!*Adv!$AB$16</f>
        <v>#REF!</v>
      </c>
      <c r="Y85" s="332">
        <f t="shared" si="34"/>
        <v>2.8070833405764994E-2</v>
      </c>
      <c r="Z85" s="325"/>
    </row>
    <row r="86" spans="1:58" ht="15.75" customHeight="1" x14ac:dyDescent="0.25">
      <c r="A86" s="355" t="s">
        <v>563</v>
      </c>
      <c r="B86" s="357" t="s">
        <v>675</v>
      </c>
      <c r="C86" s="345">
        <f>'Historical Data'!B270</f>
        <v>0.16899999999999998</v>
      </c>
      <c r="D86" s="401">
        <f>'Historical Data'!E103</f>
        <v>4.7</v>
      </c>
      <c r="E86" s="333">
        <v>0.1</v>
      </c>
      <c r="F86" s="401">
        <f t="shared" si="21"/>
        <v>1</v>
      </c>
      <c r="G86" s="401">
        <f>'Historical Data'!H135</f>
        <v>-0.2</v>
      </c>
      <c r="H86" s="323">
        <v>3.6999999999999998E-2</v>
      </c>
      <c r="I86" s="401">
        <f t="shared" si="29"/>
        <v>0</v>
      </c>
      <c r="J86" s="401">
        <f t="shared" si="22"/>
        <v>0.98899999999999999</v>
      </c>
      <c r="K86" s="401">
        <f t="shared" si="23"/>
        <v>0.28100000000000003</v>
      </c>
      <c r="L86" s="401">
        <f t="shared" si="24"/>
        <v>0.30199999999999999</v>
      </c>
      <c r="M86" s="401">
        <f t="shared" si="25"/>
        <v>0.41599999999999998</v>
      </c>
      <c r="N86" s="401">
        <f t="shared" si="26"/>
        <v>0.16800000000000001</v>
      </c>
      <c r="O86" s="401">
        <f t="shared" si="20"/>
        <v>1.7137909471834321</v>
      </c>
      <c r="P86" s="401">
        <f t="shared" si="20"/>
        <v>-0.69784736440974582</v>
      </c>
      <c r="Q86" s="401">
        <f t="shared" si="20"/>
        <v>-0.65358867977058621</v>
      </c>
      <c r="R86" s="401">
        <f t="shared" si="30"/>
        <v>-0.27255982430816755</v>
      </c>
      <c r="S86" s="401">
        <f t="shared" si="31"/>
        <v>-0.41623114091289193</v>
      </c>
      <c r="T86" s="401">
        <f t="shared" si="32"/>
        <v>0.96382134025186905</v>
      </c>
      <c r="U86" s="331">
        <v>1.7000000000000001E-2</v>
      </c>
      <c r="V86" s="332">
        <f t="shared" si="27"/>
        <v>2.6127128862681913E-3</v>
      </c>
      <c r="X86" s="332" t="e">
        <f>Y86*$AB$14+#REF!*$AB$15+#REF!*Adv!$AB$16</f>
        <v>#REF!</v>
      </c>
      <c r="Y86" s="332">
        <f t="shared" si="34"/>
        <v>1.6329034610039036E-2</v>
      </c>
      <c r="Z86" s="325"/>
    </row>
    <row r="87" spans="1:58" ht="15.75" customHeight="1" x14ac:dyDescent="0.25">
      <c r="A87" s="355" t="s">
        <v>563</v>
      </c>
      <c r="B87" s="357" t="s">
        <v>676</v>
      </c>
      <c r="C87" s="345">
        <f>'Historical Data'!B271</f>
        <v>1.3000000000000001E-2</v>
      </c>
      <c r="D87" s="401">
        <f>'Historical Data'!E104</f>
        <v>4.8</v>
      </c>
      <c r="E87" s="333">
        <v>0.1</v>
      </c>
      <c r="F87" s="401">
        <f t="shared" si="21"/>
        <v>9.9999999999999645E-2</v>
      </c>
      <c r="G87" s="401">
        <f>'Historical Data'!H136</f>
        <v>-0.3</v>
      </c>
      <c r="H87" s="321">
        <v>0.03</v>
      </c>
      <c r="I87" s="401">
        <f t="shared" si="29"/>
        <v>0</v>
      </c>
      <c r="J87" s="401">
        <f t="shared" si="22"/>
        <v>0.28100000000000003</v>
      </c>
      <c r="K87" s="401">
        <f t="shared" si="23"/>
        <v>0.36399999999999999</v>
      </c>
      <c r="L87" s="401">
        <f t="shared" si="24"/>
        <v>0.25</v>
      </c>
      <c r="M87" s="401">
        <f t="shared" si="25"/>
        <v>0.38500000000000001</v>
      </c>
      <c r="N87" s="401">
        <f t="shared" si="26"/>
        <v>0.16800000000000001</v>
      </c>
      <c r="O87" s="401">
        <f t="shared" si="20"/>
        <v>-0.73920452723352159</v>
      </c>
      <c r="P87" s="401">
        <f t="shared" si="20"/>
        <v>-0.41633773765040777</v>
      </c>
      <c r="Q87" s="401">
        <f t="shared" si="20"/>
        <v>-0.83101192398579748</v>
      </c>
      <c r="R87" s="401">
        <f t="shared" si="30"/>
        <v>-0.37962661907336165</v>
      </c>
      <c r="S87" s="401">
        <f t="shared" si="31"/>
        <v>-0.41623114091289193</v>
      </c>
      <c r="T87" s="401">
        <f t="shared" si="32"/>
        <v>-0.56457591097227733</v>
      </c>
      <c r="U87" s="331">
        <v>1.7000000000000001E-2</v>
      </c>
      <c r="V87" s="332">
        <f t="shared" si="27"/>
        <v>1.8914088543141749E-2</v>
      </c>
      <c r="X87" s="332"/>
      <c r="Y87" s="332"/>
      <c r="Z87" s="325"/>
    </row>
    <row r="88" spans="1:58" ht="15.75" customHeight="1" x14ac:dyDescent="0.25">
      <c r="A88" s="355" t="s">
        <v>563</v>
      </c>
      <c r="B88" s="355" t="s">
        <v>677</v>
      </c>
      <c r="C88" s="345">
        <f>'Historical Data'!B272</f>
        <v>-1.6E-2</v>
      </c>
      <c r="D88" s="401">
        <f>'Historical Data'!E105</f>
        <v>4.4000000000000004</v>
      </c>
      <c r="E88" s="333">
        <v>0.1</v>
      </c>
      <c r="F88" s="401">
        <f t="shared" si="21"/>
        <v>-0.39999999999999947</v>
      </c>
      <c r="G88" s="401">
        <f>'Historical Data'!H137</f>
        <v>-0.3</v>
      </c>
      <c r="H88" s="321">
        <v>1.0999999999999999E-2</v>
      </c>
      <c r="I88" s="401">
        <f t="shared" si="29"/>
        <v>0</v>
      </c>
      <c r="J88" s="401">
        <f t="shared" si="22"/>
        <v>9.2999999999999999E-2</v>
      </c>
      <c r="K88" s="401">
        <f t="shared" si="23"/>
        <v>0.17699999999999999</v>
      </c>
      <c r="L88" s="401">
        <f t="shared" si="24"/>
        <v>0.25</v>
      </c>
      <c r="M88" s="401">
        <f t="shared" si="25"/>
        <v>0.22900000000000001</v>
      </c>
      <c r="N88" s="401">
        <f t="shared" si="26"/>
        <v>0.16800000000000001</v>
      </c>
      <c r="O88" s="401">
        <f t="shared" si="20"/>
        <v>-1.390564907445933</v>
      </c>
      <c r="P88" s="401">
        <f t="shared" si="20"/>
        <v>-1.0505823184214469</v>
      </c>
      <c r="Q88" s="401">
        <f t="shared" si="20"/>
        <v>-0.83101192398579748</v>
      </c>
      <c r="R88" s="401">
        <f t="shared" si="30"/>
        <v>-0.91841436047240332</v>
      </c>
      <c r="S88" s="401">
        <f t="shared" si="31"/>
        <v>-0.41623114091289193</v>
      </c>
      <c r="T88" s="401">
        <f t="shared" si="32"/>
        <v>-0.9458464551625243</v>
      </c>
      <c r="U88" s="331">
        <v>1.7000000000000001E-2</v>
      </c>
      <c r="V88" s="332">
        <f t="shared" si="27"/>
        <v>2.8842882571448385E-2</v>
      </c>
      <c r="X88" s="332"/>
      <c r="Y88" s="332"/>
      <c r="Z88" s="325"/>
    </row>
    <row r="89" spans="1:58" ht="15.75" customHeight="1" x14ac:dyDescent="0.25">
      <c r="A89" s="355" t="s">
        <v>563</v>
      </c>
      <c r="B89" s="355" t="s">
        <v>678</v>
      </c>
      <c r="C89" s="345">
        <f>'Historical Data'!B273</f>
        <v>4.8000000000000001E-2</v>
      </c>
      <c r="D89" s="401">
        <f>'Historical Data'!E106</f>
        <v>4.2</v>
      </c>
      <c r="E89" s="333">
        <v>0.1</v>
      </c>
      <c r="F89" s="401">
        <f t="shared" si="21"/>
        <v>-0.20000000000000018</v>
      </c>
      <c r="G89" s="401">
        <f>'Historical Data'!H138</f>
        <v>2.2000000000000002</v>
      </c>
      <c r="H89" s="321">
        <v>3.7999999999999999E-2</v>
      </c>
      <c r="I89" s="401">
        <f t="shared" si="29"/>
        <v>0</v>
      </c>
      <c r="J89" s="401">
        <f t="shared" si="22"/>
        <v>0.94699999999999995</v>
      </c>
      <c r="K89" s="401">
        <f t="shared" si="23"/>
        <v>0.13500000000000001</v>
      </c>
      <c r="L89" s="401">
        <f t="shared" si="24"/>
        <v>0.73899999999999999</v>
      </c>
      <c r="M89" s="401">
        <f t="shared" si="25"/>
        <v>0.42699999999999999</v>
      </c>
      <c r="N89" s="401">
        <f t="shared" si="26"/>
        <v>0.16800000000000001</v>
      </c>
      <c r="O89" s="401">
        <f t="shared" si="20"/>
        <v>1.5682742664976803</v>
      </c>
      <c r="P89" s="401">
        <f t="shared" si="20"/>
        <v>-1.1930329729261722</v>
      </c>
      <c r="Q89" s="401">
        <f t="shared" si="20"/>
        <v>0.83744896873032448</v>
      </c>
      <c r="R89" s="401">
        <f t="shared" si="30"/>
        <v>-0.23456838100438895</v>
      </c>
      <c r="S89" s="401">
        <f t="shared" si="31"/>
        <v>-0.41623114091289193</v>
      </c>
      <c r="T89" s="401">
        <f t="shared" si="32"/>
        <v>1.0789328018725297</v>
      </c>
      <c r="U89" s="331">
        <v>1.7000000000000001E-2</v>
      </c>
      <c r="V89" s="332">
        <f t="shared" si="27"/>
        <v>2.2085369120471094E-3</v>
      </c>
      <c r="X89" s="332"/>
      <c r="Y89" s="332"/>
      <c r="Z89" s="325"/>
    </row>
    <row r="90" spans="1:58" ht="15.75" customHeight="1" x14ac:dyDescent="0.25">
      <c r="A90" s="355" t="s">
        <v>563</v>
      </c>
      <c r="B90" s="355" t="s">
        <v>679</v>
      </c>
      <c r="C90" s="345">
        <f>'Historical Data'!B274</f>
        <v>1.2999999999999999E-2</v>
      </c>
      <c r="D90" s="401">
        <f>'Historical Data'!E107</f>
        <v>4.92</v>
      </c>
      <c r="E90" s="333">
        <v>0.1</v>
      </c>
      <c r="F90" s="401">
        <f t="shared" si="21"/>
        <v>0.71999999999999975</v>
      </c>
      <c r="G90" s="401">
        <f>'Historical Data'!H139</f>
        <v>2.7</v>
      </c>
      <c r="H90" s="321">
        <v>1.7000000000000001E-2</v>
      </c>
      <c r="I90" s="401">
        <f t="shared" si="29"/>
        <v>0</v>
      </c>
      <c r="J90" s="401">
        <f t="shared" si="22"/>
        <v>0.27</v>
      </c>
      <c r="K90" s="401">
        <f t="shared" si="23"/>
        <v>0.48899999999999999</v>
      </c>
      <c r="L90" s="401">
        <f t="shared" si="24"/>
        <v>0.82199999999999995</v>
      </c>
      <c r="M90" s="401">
        <f t="shared" si="25"/>
        <v>0.29099999999999998</v>
      </c>
      <c r="N90" s="401">
        <f t="shared" si="26"/>
        <v>0.16800000000000001</v>
      </c>
      <c r="O90" s="401">
        <f t="shared" si="20"/>
        <v>-0.77731603884169465</v>
      </c>
      <c r="P90" s="401">
        <f t="shared" si="20"/>
        <v>7.6225436136557398E-3</v>
      </c>
      <c r="Q90" s="401">
        <f t="shared" si="20"/>
        <v>1.1206437623815271</v>
      </c>
      <c r="R90" s="401">
        <f t="shared" si="30"/>
        <v>-0.70428077094201502</v>
      </c>
      <c r="S90" s="401">
        <f t="shared" si="31"/>
        <v>-0.41623114091289193</v>
      </c>
      <c r="T90" s="401">
        <f t="shared" si="32"/>
        <v>-0.46713869261372037</v>
      </c>
      <c r="U90" s="331">
        <v>1.7000000000000001E-2</v>
      </c>
      <c r="V90" s="332">
        <f t="shared" si="27"/>
        <v>1.6903629189406962E-2</v>
      </c>
      <c r="X90" s="332"/>
      <c r="Y90" s="332"/>
      <c r="Z90" s="325"/>
    </row>
    <row r="91" spans="1:58" ht="15.75" customHeight="1" x14ac:dyDescent="0.25">
      <c r="A91" s="355" t="s">
        <v>563</v>
      </c>
      <c r="B91" s="355" t="s">
        <v>680</v>
      </c>
      <c r="C91" s="345">
        <f>'Historical Data'!B275</f>
        <v>0.01</v>
      </c>
      <c r="D91" s="401">
        <f>'Historical Data'!E108</f>
        <v>3.8</v>
      </c>
      <c r="E91" s="333">
        <v>0.25</v>
      </c>
      <c r="F91" s="401">
        <f t="shared" si="21"/>
        <v>-1.1200000000000001</v>
      </c>
      <c r="G91" s="401">
        <f>'Historical Data'!H140</f>
        <v>6.1</v>
      </c>
      <c r="H91" s="321">
        <v>2.5000000000000001E-2</v>
      </c>
      <c r="I91" s="401">
        <f t="shared" si="29"/>
        <v>0.15</v>
      </c>
      <c r="J91" s="401">
        <f t="shared" si="22"/>
        <v>0.16600000000000001</v>
      </c>
      <c r="K91" s="401">
        <f t="shared" si="23"/>
        <v>4.1000000000000002E-2</v>
      </c>
      <c r="L91" s="401">
        <f t="shared" si="24"/>
        <v>1</v>
      </c>
      <c r="M91" s="401">
        <f t="shared" si="25"/>
        <v>0.32200000000000001</v>
      </c>
      <c r="N91" s="401">
        <f t="shared" si="26"/>
        <v>0.83099999999999996</v>
      </c>
      <c r="O91" s="401">
        <f t="shared" si="20"/>
        <v>-1.1376430576826033</v>
      </c>
      <c r="P91" s="401">
        <f t="shared" si="20"/>
        <v>-1.511851104436748</v>
      </c>
      <c r="Q91" s="401">
        <f t="shared" si="20"/>
        <v>1.7279771752720583</v>
      </c>
      <c r="R91" s="401">
        <f t="shared" si="30"/>
        <v>-0.5972139761768207</v>
      </c>
      <c r="S91" s="401">
        <f t="shared" si="31"/>
        <v>1.8197816592916842</v>
      </c>
      <c r="T91" s="401">
        <f t="shared" si="32"/>
        <v>-0.23634623832719504</v>
      </c>
      <c r="U91" s="331">
        <v>1.7000000000000001E-2</v>
      </c>
      <c r="V91" s="332">
        <f t="shared" si="27"/>
        <v>1.2857323472724161E-2</v>
      </c>
      <c r="X91" s="332"/>
      <c r="Y91" s="332"/>
      <c r="Z91" s="325"/>
      <c r="AB91" s="328" t="s">
        <v>575</v>
      </c>
    </row>
    <row r="92" spans="1:58" ht="15.75" customHeight="1" x14ac:dyDescent="0.25">
      <c r="A92" s="355" t="s">
        <v>563</v>
      </c>
      <c r="B92" s="357" t="s">
        <v>681</v>
      </c>
      <c r="C92" s="345">
        <f>'Historical Data'!B276</f>
        <v>8.0000000000000487E-3</v>
      </c>
      <c r="D92" s="401">
        <f>'Historical Data'!E109</f>
        <v>3.9285590107467714</v>
      </c>
      <c r="E92" s="333">
        <v>0.45634920634920634</v>
      </c>
      <c r="F92" s="401">
        <f t="shared" si="21"/>
        <v>0.12855901074677156</v>
      </c>
      <c r="G92" s="401">
        <f>'Historical Data'!H141</f>
        <v>1.7147692412596001</v>
      </c>
      <c r="H92" s="321">
        <v>1.1999999999977636E-2</v>
      </c>
      <c r="I92" s="401">
        <f t="shared" si="29"/>
        <v>0.20634920634920634</v>
      </c>
      <c r="J92" s="401">
        <f t="shared" ref="J92" si="35">PERCENTRANK($C$4:$C$99,C92)</f>
        <v>0.14699999999999999</v>
      </c>
      <c r="K92" s="401">
        <f t="shared" ref="K92" si="36">PERCENTRANK($D$2:$D$99,D92)</f>
        <v>8.4000000000000005E-2</v>
      </c>
      <c r="L92" s="401">
        <f t="shared" ref="L92" si="37">PERCENTRANK($G$4:$G$99,G92)</f>
        <v>0.63100000000000001</v>
      </c>
      <c r="M92" s="401">
        <f t="shared" ref="M92" si="38">PERCENTRANK($H$4:$H$99,H92)</f>
        <v>0.24199999999999999</v>
      </c>
      <c r="N92" s="401">
        <f t="shared" ref="N92" si="39">PERCENTRANK($I$4:$I$99,I92)</f>
        <v>0.85099999999999998</v>
      </c>
      <c r="O92" s="401">
        <f t="shared" si="20"/>
        <v>-1.2034720322785384</v>
      </c>
      <c r="P92" s="401">
        <f t="shared" si="20"/>
        <v>-1.3660087676819099</v>
      </c>
      <c r="Q92" s="401">
        <f t="shared" si="20"/>
        <v>0.46895453843719331</v>
      </c>
      <c r="R92" s="401">
        <f t="shared" si="30"/>
        <v>-0.87351538202248313</v>
      </c>
      <c r="S92" s="401">
        <f t="shared" si="31"/>
        <v>1.8872330258136927</v>
      </c>
      <c r="T92" s="401">
        <f t="shared" si="32"/>
        <v>-0.43721512437609183</v>
      </c>
      <c r="U92" s="331">
        <v>1.7000000000000001E-2</v>
      </c>
      <c r="V92" s="332">
        <f t="shared" si="27"/>
        <v>1.6324107184984449E-2</v>
      </c>
      <c r="X92" s="332" t="e">
        <f>Y92*$AB$14+#REF!*$AB$15+#REF!*Baseline!$AB$16</f>
        <v>#REF!</v>
      </c>
      <c r="Y92" s="332">
        <f>V92*0.5+V86*0.25+V85*0.25</f>
        <v>1.7050848699084548E-2</v>
      </c>
      <c r="Z92" s="325"/>
      <c r="AB92" s="355" t="s">
        <v>547</v>
      </c>
      <c r="AC92" s="355" t="s">
        <v>715</v>
      </c>
      <c r="AD92" s="355" t="s">
        <v>714</v>
      </c>
      <c r="AE92" s="355" t="s">
        <v>550</v>
      </c>
      <c r="AF92" s="355" t="s">
        <v>577</v>
      </c>
    </row>
    <row r="93" spans="1:58" x14ac:dyDescent="0.25">
      <c r="A93" s="355" t="s">
        <v>956</v>
      </c>
      <c r="B93" s="357" t="s">
        <v>682</v>
      </c>
      <c r="C93" s="402">
        <f>AB93</f>
        <v>-1.0077646732842813E-2</v>
      </c>
      <c r="D93" s="401">
        <f>AF93</f>
        <v>4.2075419090457586</v>
      </c>
      <c r="E93" s="345">
        <f>AD93</f>
        <v>1.5456000000000001</v>
      </c>
      <c r="F93" s="401">
        <f t="shared" si="21"/>
        <v>0.27898289829898726</v>
      </c>
      <c r="G93" s="344">
        <f>AE93</f>
        <v>3.7249337880594533</v>
      </c>
      <c r="H93" s="327">
        <f>AC93</f>
        <v>-1.471239992520521E-2</v>
      </c>
      <c r="I93" s="401">
        <f t="shared" si="29"/>
        <v>1.0892507936507938</v>
      </c>
      <c r="J93" s="401">
        <f t="shared" ref="J93:J100" si="40">PERCENTRANK($C$4:$C$100,C93)</f>
        <v>0.114</v>
      </c>
      <c r="K93" s="401">
        <f t="shared" ref="K93:K100" si="41">PERCENTRANK($D$2:$D$100,D93)</f>
        <v>0.156</v>
      </c>
      <c r="L93" s="401">
        <f t="shared" ref="L93:L100" si="42">PERCENTRANK($G$4:$G$100,G93)</f>
        <v>0.93700000000000006</v>
      </c>
      <c r="M93" s="401">
        <f t="shared" ref="M93:M100" si="43">PERCENTRANK($H$4:$H$100,H93)</f>
        <v>0.125</v>
      </c>
      <c r="N93" s="401">
        <f t="shared" ref="N93:N100" si="44">PERCENTRANK($I$4:$I$100,I93)</f>
        <v>1</v>
      </c>
      <c r="O93" s="401">
        <f t="shared" si="20"/>
        <v>-1.3178065671030574</v>
      </c>
      <c r="P93" s="401">
        <f t="shared" si="20"/>
        <v>-1.1218076456738095</v>
      </c>
      <c r="Q93" s="401">
        <f t="shared" si="20"/>
        <v>1.5130220909343985</v>
      </c>
      <c r="R93" s="401">
        <f t="shared" si="30"/>
        <v>-1.2776061880717644</v>
      </c>
      <c r="S93" s="401">
        <f t="shared" si="31"/>
        <v>2.3897457064026546</v>
      </c>
      <c r="T93" s="401">
        <f t="shared" si="32"/>
        <v>-0.41598701476792466</v>
      </c>
      <c r="U93" s="331">
        <v>1.7000000000000001E-2</v>
      </c>
      <c r="V93" s="332">
        <f t="shared" si="27"/>
        <v>1.5923379706364097E-2</v>
      </c>
      <c r="X93" s="332" t="e">
        <f>Y93*$AB$14+#REF!*$AB$15+#REF!*Adv!$AB$16</f>
        <v>#REF!</v>
      </c>
      <c r="Y93" s="332">
        <f>V93*0.5+V86*0.25+V85*0.25</f>
        <v>1.685048495977437E-2</v>
      </c>
      <c r="Z93" s="325"/>
      <c r="AA93" s="355" t="s">
        <v>681</v>
      </c>
      <c r="AB93" s="327">
        <f>MacroAssumptions!M6</f>
        <v>-1.0077646732842813E-2</v>
      </c>
      <c r="AC93" s="345">
        <f>MacroAssumptions!N6</f>
        <v>-1.471239992520521E-2</v>
      </c>
      <c r="AD93" s="344">
        <f>MacroAssumptions!O6</f>
        <v>1.5456000000000001</v>
      </c>
      <c r="AE93" s="344">
        <f>MacroAssumptions!P6</f>
        <v>3.7249337880594533</v>
      </c>
      <c r="AF93" s="344">
        <f>MacroAssumptions!Q6</f>
        <v>4.2075419090457586</v>
      </c>
    </row>
    <row r="94" spans="1:58" x14ac:dyDescent="0.25">
      <c r="A94" s="355" t="s">
        <v>956</v>
      </c>
      <c r="B94" s="357" t="s">
        <v>683</v>
      </c>
      <c r="C94" s="402">
        <f t="shared" ref="C94:C100" si="45">AB94</f>
        <v>-2.1191485540414071E-2</v>
      </c>
      <c r="D94" s="401">
        <f t="shared" ref="D94:D100" si="46">AF94</f>
        <v>5.0028351276576064</v>
      </c>
      <c r="E94" s="345">
        <f t="shared" ref="E94:E100" si="47">AD94</f>
        <v>2.0175999999999998</v>
      </c>
      <c r="F94" s="401">
        <f t="shared" si="21"/>
        <v>0.79529321861184776</v>
      </c>
      <c r="G94" s="344">
        <f t="shared" ref="G94:G100" si="48">AE94</f>
        <v>2.7908247354986666</v>
      </c>
      <c r="H94" s="327">
        <f t="shared" ref="H94:H100" si="49">AC94</f>
        <v>-2.9762796783902142E-2</v>
      </c>
      <c r="I94" s="401">
        <f t="shared" si="29"/>
        <v>0.47199999999999975</v>
      </c>
      <c r="J94" s="401">
        <f t="shared" si="40"/>
        <v>5.1999999999999998E-2</v>
      </c>
      <c r="K94" s="401">
        <f t="shared" si="41"/>
        <v>0.53100000000000003</v>
      </c>
      <c r="L94" s="401">
        <f t="shared" si="42"/>
        <v>0.83299999999999996</v>
      </c>
      <c r="M94" s="401">
        <f t="shared" si="43"/>
        <v>7.1999999999999995E-2</v>
      </c>
      <c r="N94" s="401">
        <f t="shared" si="44"/>
        <v>0.95699999999999996</v>
      </c>
      <c r="O94" s="401">
        <f t="shared" si="20"/>
        <v>-1.5326169052582144</v>
      </c>
      <c r="P94" s="401">
        <f t="shared" si="20"/>
        <v>0.15007319811838121</v>
      </c>
      <c r="Q94" s="401">
        <f t="shared" si="20"/>
        <v>1.1581756025039756</v>
      </c>
      <c r="R94" s="401">
        <f t="shared" si="30"/>
        <v>-1.4606558694445155</v>
      </c>
      <c r="S94" s="401">
        <f t="shared" si="31"/>
        <v>2.2447252683803369</v>
      </c>
      <c r="T94" s="401">
        <f t="shared" si="32"/>
        <v>-0.74035296282278695</v>
      </c>
      <c r="U94" s="331">
        <v>1.7000000000000001E-2</v>
      </c>
      <c r="V94" s="332">
        <f t="shared" si="27"/>
        <v>2.3056559909431781E-2</v>
      </c>
      <c r="X94" s="332" t="e">
        <f>Y94*$AB$14+#REF!*$AB$15+#REF!*Adv!$AB$16</f>
        <v>#REF!</v>
      </c>
      <c r="Y94" s="332">
        <f>V94*0.5+V93*0.25+V86*0.25</f>
        <v>1.6162303102873962E-2</v>
      </c>
      <c r="Z94" s="325"/>
      <c r="AA94" s="355" t="s">
        <v>682</v>
      </c>
      <c r="AB94" s="327">
        <f>MacroAssumptions!M7</f>
        <v>-2.1191485540414071E-2</v>
      </c>
      <c r="AC94" s="345">
        <f>MacroAssumptions!N7</f>
        <v>-2.9762796783902142E-2</v>
      </c>
      <c r="AD94" s="344">
        <f>MacroAssumptions!O7</f>
        <v>2.0175999999999998</v>
      </c>
      <c r="AE94" s="344">
        <f>MacroAssumptions!P7</f>
        <v>2.7908247354986666</v>
      </c>
      <c r="AF94" s="344">
        <f>MacroAssumptions!Q7</f>
        <v>5.0028351276576064</v>
      </c>
    </row>
    <row r="95" spans="1:58" x14ac:dyDescent="0.25">
      <c r="A95" s="355" t="s">
        <v>956</v>
      </c>
      <c r="B95" s="357" t="s">
        <v>2529</v>
      </c>
      <c r="C95" s="402">
        <f t="shared" si="45"/>
        <v>-1.7264223832748688E-2</v>
      </c>
      <c r="D95" s="401">
        <f t="shared" si="46"/>
        <v>5.5970714641503694</v>
      </c>
      <c r="E95" s="345">
        <f t="shared" si="47"/>
        <v>2.0455000000000001</v>
      </c>
      <c r="F95" s="401">
        <f t="shared" si="21"/>
        <v>0.59423633649276297</v>
      </c>
      <c r="G95" s="344">
        <f t="shared" si="48"/>
        <v>0.3778540088076861</v>
      </c>
      <c r="H95" s="327">
        <f t="shared" si="49"/>
        <v>-3.1023139451837965E-2</v>
      </c>
      <c r="I95" s="401">
        <f t="shared" si="29"/>
        <v>2.7900000000000258E-2</v>
      </c>
      <c r="J95" s="401">
        <f t="shared" si="40"/>
        <v>7.1999999999999995E-2</v>
      </c>
      <c r="K95" s="401">
        <f t="shared" si="41"/>
        <v>0.65600000000000003</v>
      </c>
      <c r="L95" s="401">
        <f t="shared" si="42"/>
        <v>0.39500000000000002</v>
      </c>
      <c r="M95" s="401">
        <f t="shared" si="43"/>
        <v>6.2E-2</v>
      </c>
      <c r="N95" s="401">
        <f t="shared" si="44"/>
        <v>0.81</v>
      </c>
      <c r="O95" s="401">
        <f t="shared" si="20"/>
        <v>-1.4633232477888087</v>
      </c>
      <c r="P95" s="401">
        <f t="shared" si="20"/>
        <v>0.57403347938244476</v>
      </c>
      <c r="Q95" s="401">
        <f t="shared" si="20"/>
        <v>-0.33627403146261198</v>
      </c>
      <c r="R95" s="401">
        <f t="shared" si="30"/>
        <v>-1.4951935451752234</v>
      </c>
      <c r="S95" s="401">
        <f t="shared" si="31"/>
        <v>1.7489577244435759</v>
      </c>
      <c r="T95" s="401">
        <f t="shared" si="32"/>
        <v>-0.9436482818309555</v>
      </c>
      <c r="U95" s="331">
        <v>1.7000000000000001E-2</v>
      </c>
      <c r="V95" s="332">
        <f t="shared" si="27"/>
        <v>2.8775124632901317E-2</v>
      </c>
      <c r="X95" s="332" t="e">
        <f>Y95*$AB$14+#REF!*$AB$15+#REF!*Adv!$AB$16</f>
        <v>#REF!</v>
      </c>
      <c r="Y95" s="332">
        <f t="shared" si="34"/>
        <v>2.4132547220399626E-2</v>
      </c>
      <c r="Z95" s="325"/>
      <c r="AA95" s="355" t="s">
        <v>683</v>
      </c>
      <c r="AB95" s="327">
        <f>MacroAssumptions!M8</f>
        <v>-1.7264223832748688E-2</v>
      </c>
      <c r="AC95" s="345">
        <f>MacroAssumptions!N8</f>
        <v>-3.1023139451837965E-2</v>
      </c>
      <c r="AD95" s="344">
        <f>MacroAssumptions!O8</f>
        <v>2.0455000000000001</v>
      </c>
      <c r="AE95" s="344">
        <f>MacroAssumptions!P8</f>
        <v>0.3778540088076861</v>
      </c>
      <c r="AF95" s="344">
        <f>MacroAssumptions!Q8</f>
        <v>5.5970714641503694</v>
      </c>
    </row>
    <row r="96" spans="1:58" x14ac:dyDescent="0.25">
      <c r="A96" s="355" t="s">
        <v>956</v>
      </c>
      <c r="B96" s="357" t="s">
        <v>2530</v>
      </c>
      <c r="C96" s="402">
        <f t="shared" si="45"/>
        <v>-7.3280660060510705E-3</v>
      </c>
      <c r="D96" s="401">
        <f t="shared" si="46"/>
        <v>6.1430582269537721</v>
      </c>
      <c r="E96" s="345">
        <f t="shared" si="47"/>
        <v>1.1334</v>
      </c>
      <c r="F96" s="401">
        <f t="shared" si="21"/>
        <v>0.54598676280340275</v>
      </c>
      <c r="G96" s="344">
        <f t="shared" si="48"/>
        <v>0.11411617509887195</v>
      </c>
      <c r="H96" s="327">
        <f t="shared" si="49"/>
        <v>-2.4510738209636587E-2</v>
      </c>
      <c r="I96" s="401">
        <f t="shared" si="29"/>
        <v>-0.91210000000000013</v>
      </c>
      <c r="J96" s="401">
        <f t="shared" si="40"/>
        <v>0.125</v>
      </c>
      <c r="K96" s="401">
        <f t="shared" si="41"/>
        <v>0.70799999999999996</v>
      </c>
      <c r="L96" s="401">
        <f t="shared" si="42"/>
        <v>0.35399999999999998</v>
      </c>
      <c r="M96" s="401">
        <f t="shared" si="43"/>
        <v>8.3000000000000004E-2</v>
      </c>
      <c r="N96" s="401">
        <f t="shared" si="44"/>
        <v>3.1E-2</v>
      </c>
      <c r="O96" s="401">
        <f t="shared" si="20"/>
        <v>-1.2796950554948843</v>
      </c>
      <c r="P96" s="401">
        <f t="shared" si="20"/>
        <v>0.75040095638829496</v>
      </c>
      <c r="Q96" s="401">
        <f t="shared" si="20"/>
        <v>-0.47616543555537488</v>
      </c>
      <c r="R96" s="401">
        <f t="shared" si="30"/>
        <v>-1.4226644261407371</v>
      </c>
      <c r="S96" s="401">
        <f t="shared" si="31"/>
        <v>-0.87827300158864896</v>
      </c>
      <c r="T96" s="401">
        <f t="shared" si="32"/>
        <v>-1.120567415264236</v>
      </c>
      <c r="U96" s="331">
        <v>1.7000000000000001E-2</v>
      </c>
      <c r="V96" s="332">
        <f t="shared" si="27"/>
        <v>3.4668481658018856E-2</v>
      </c>
      <c r="X96" s="332" t="e">
        <f>Y96*$AB$14+#REF!*$AB$15+#REF!*Adv!$AB$16</f>
        <v>#REF!</v>
      </c>
      <c r="Y96" s="332">
        <f t="shared" si="34"/>
        <v>3.0292161964592702E-2</v>
      </c>
      <c r="Z96" s="325"/>
      <c r="AA96" s="355" t="s">
        <v>2529</v>
      </c>
      <c r="AB96" s="327">
        <f>MacroAssumptions!M9</f>
        <v>-7.3280660060510705E-3</v>
      </c>
      <c r="AC96" s="345">
        <f>MacroAssumptions!N9</f>
        <v>-2.4510738209636587E-2</v>
      </c>
      <c r="AD96" s="344">
        <f>MacroAssumptions!O9</f>
        <v>1.1334</v>
      </c>
      <c r="AE96" s="344">
        <f>MacroAssumptions!P9</f>
        <v>0.11411617509887195</v>
      </c>
      <c r="AF96" s="344">
        <f>MacroAssumptions!Q9</f>
        <v>6.1430582269537721</v>
      </c>
    </row>
    <row r="97" spans="1:32" x14ac:dyDescent="0.25">
      <c r="A97" s="355" t="s">
        <v>956</v>
      </c>
      <c r="B97" s="357" t="s">
        <v>2532</v>
      </c>
      <c r="C97" s="402">
        <f t="shared" si="45"/>
        <v>1.757745765297411E-2</v>
      </c>
      <c r="D97" s="401">
        <f t="shared" si="46"/>
        <v>7.2532885632423696</v>
      </c>
      <c r="E97" s="345">
        <f t="shared" si="47"/>
        <v>0.1</v>
      </c>
      <c r="F97" s="401">
        <f t="shared" si="21"/>
        <v>1.1102303362885975</v>
      </c>
      <c r="G97" s="344">
        <f t="shared" si="48"/>
        <v>0.31823955368001661</v>
      </c>
      <c r="H97" s="327">
        <f t="shared" si="49"/>
        <v>-4.3503588837868562E-2</v>
      </c>
      <c r="I97" s="401">
        <f t="shared" si="29"/>
        <v>-1.0333999999999999</v>
      </c>
      <c r="J97" s="401">
        <f t="shared" si="40"/>
        <v>0.40600000000000003</v>
      </c>
      <c r="K97" s="401">
        <f t="shared" si="41"/>
        <v>0.77</v>
      </c>
      <c r="L97" s="401">
        <f t="shared" si="42"/>
        <v>0.38500000000000001</v>
      </c>
      <c r="M97" s="401">
        <f t="shared" si="43"/>
        <v>4.1000000000000002E-2</v>
      </c>
      <c r="N97" s="401">
        <f t="shared" si="44"/>
        <v>2.1000000000000001E-2</v>
      </c>
      <c r="O97" s="401">
        <f t="shared" si="20"/>
        <v>-0.30611916804973738</v>
      </c>
      <c r="P97" s="401">
        <f t="shared" si="20"/>
        <v>0.96068525589527065</v>
      </c>
      <c r="Q97" s="401">
        <f t="shared" si="20"/>
        <v>-0.3703938861193834</v>
      </c>
      <c r="R97" s="401">
        <f t="shared" si="30"/>
        <v>-1.5677226642097097</v>
      </c>
      <c r="S97" s="401">
        <f t="shared" si="31"/>
        <v>-0.91199868484965319</v>
      </c>
      <c r="T97" s="401">
        <f t="shared" si="32"/>
        <v>-0.56475154993724419</v>
      </c>
      <c r="U97" s="331">
        <v>1.7000000000000001E-2</v>
      </c>
      <c r="V97" s="332">
        <f t="shared" si="27"/>
        <v>1.8917888683497763E-2</v>
      </c>
      <c r="X97" s="332" t="e">
        <f>Y97*$AB$14+#REF!*$AB$15+#REF!*Adv!$AB$16</f>
        <v>#REF!</v>
      </c>
      <c r="Y97" s="332">
        <f>V97*0.5+V96*0.25+V95*0.25</f>
        <v>2.5319845914478924E-2</v>
      </c>
      <c r="Z97" s="325"/>
      <c r="AA97" s="355" t="s">
        <v>2530</v>
      </c>
      <c r="AB97" s="327">
        <f>MacroAssumptions!M10</f>
        <v>1.757745765297411E-2</v>
      </c>
      <c r="AC97" s="345">
        <f>MacroAssumptions!N10</f>
        <v>-4.3503588837868562E-2</v>
      </c>
      <c r="AD97" s="344">
        <f>MacroAssumptions!O10</f>
        <v>0.1</v>
      </c>
      <c r="AE97" s="344">
        <f>MacroAssumptions!P10</f>
        <v>0.31823955368001661</v>
      </c>
      <c r="AF97" s="344">
        <f>MacroAssumptions!Q10</f>
        <v>7.2532885632423696</v>
      </c>
    </row>
    <row r="98" spans="1:32" x14ac:dyDescent="0.25">
      <c r="A98" s="355" t="s">
        <v>956</v>
      </c>
      <c r="B98" s="357" t="s">
        <v>2533</v>
      </c>
      <c r="C98" s="402">
        <f t="shared" si="45"/>
        <v>2.47620474217537E-2</v>
      </c>
      <c r="D98" s="401">
        <f t="shared" si="46"/>
        <v>7.3544192275306264</v>
      </c>
      <c r="E98" s="345">
        <f t="shared" si="47"/>
        <v>0.20622499999999999</v>
      </c>
      <c r="F98" s="401">
        <f t="shared" si="21"/>
        <v>0.10113066428825679</v>
      </c>
      <c r="G98" s="344">
        <f t="shared" si="48"/>
        <v>1.5336034654299728</v>
      </c>
      <c r="H98" s="327">
        <f t="shared" si="49"/>
        <v>2.9852909312626821E-2</v>
      </c>
      <c r="I98" s="401">
        <f t="shared" si="29"/>
        <v>0.10622499999999999</v>
      </c>
      <c r="J98" s="401">
        <f t="shared" si="40"/>
        <v>0.72899999999999998</v>
      </c>
      <c r="K98" s="401">
        <f t="shared" si="41"/>
        <v>0.78100000000000003</v>
      </c>
      <c r="L98" s="401">
        <f t="shared" si="42"/>
        <v>0.56200000000000006</v>
      </c>
      <c r="M98" s="401">
        <f t="shared" si="43"/>
        <v>0.375</v>
      </c>
      <c r="N98" s="401">
        <f t="shared" si="44"/>
        <v>0.82099999999999995</v>
      </c>
      <c r="O98" s="401">
        <f t="shared" si="20"/>
        <v>0.81297340008116081</v>
      </c>
      <c r="P98" s="401">
        <f t="shared" si="20"/>
        <v>0.99799376064650824</v>
      </c>
      <c r="Q98" s="401">
        <f t="shared" si="20"/>
        <v>0.23352754130547074</v>
      </c>
      <c r="R98" s="401">
        <f t="shared" si="30"/>
        <v>-0.41416429480406947</v>
      </c>
      <c r="S98" s="401">
        <f t="shared" si="31"/>
        <v>1.78605597603068</v>
      </c>
      <c r="T98" s="401">
        <f t="shared" si="32"/>
        <v>0.54852658623725381</v>
      </c>
      <c r="U98" s="331">
        <v>1.7000000000000001E-2</v>
      </c>
      <c r="V98" s="332">
        <f t="shared" si="27"/>
        <v>4.6853684797986562E-3</v>
      </c>
      <c r="X98" s="332" t="e">
        <f>Y98*$AB$14+#REF!*$AB$15+#REF!*Adv!$AB$16</f>
        <v>#REF!</v>
      </c>
      <c r="Y98" s="332">
        <f>V98*0.5+V97*0.25+V96*0.25</f>
        <v>1.5739276825278481E-2</v>
      </c>
      <c r="Z98" s="325"/>
      <c r="AA98" s="355" t="s">
        <v>2532</v>
      </c>
      <c r="AB98" s="327">
        <f>MacroAssumptions!M11</f>
        <v>2.47620474217537E-2</v>
      </c>
      <c r="AC98" s="345">
        <f>MacroAssumptions!N11</f>
        <v>2.9852909312626821E-2</v>
      </c>
      <c r="AD98" s="344">
        <f>MacroAssumptions!O11</f>
        <v>0.20622499999999999</v>
      </c>
      <c r="AE98" s="344">
        <f>MacroAssumptions!P11</f>
        <v>1.5336034654299728</v>
      </c>
      <c r="AF98" s="344">
        <f>MacroAssumptions!Q11</f>
        <v>7.3544192275306264</v>
      </c>
    </row>
    <row r="99" spans="1:32" x14ac:dyDescent="0.25">
      <c r="A99" s="355" t="s">
        <v>956</v>
      </c>
      <c r="B99" s="357" t="s">
        <v>2534</v>
      </c>
      <c r="C99" s="402">
        <f t="shared" si="45"/>
        <v>9.7883986003664183E-3</v>
      </c>
      <c r="D99" s="401">
        <f t="shared" si="46"/>
        <v>6.9548503895390725</v>
      </c>
      <c r="E99" s="345">
        <f t="shared" si="47"/>
        <v>1.2229000000000001</v>
      </c>
      <c r="F99" s="401">
        <f t="shared" si="21"/>
        <v>-0.39956883799155385</v>
      </c>
      <c r="G99" s="344">
        <f t="shared" si="48"/>
        <v>1.7584891762926733</v>
      </c>
      <c r="H99" s="327">
        <f t="shared" si="49"/>
        <v>3.8906044562521808E-2</v>
      </c>
      <c r="I99" s="401">
        <f t="shared" si="29"/>
        <v>1.0166750000000002</v>
      </c>
      <c r="J99" s="401">
        <f t="shared" si="40"/>
        <v>0.156</v>
      </c>
      <c r="K99" s="401">
        <f t="shared" si="41"/>
        <v>0.76</v>
      </c>
      <c r="L99" s="401">
        <f t="shared" si="42"/>
        <v>0.63500000000000001</v>
      </c>
      <c r="M99" s="401">
        <f t="shared" si="43"/>
        <v>0.437</v>
      </c>
      <c r="N99" s="401">
        <f t="shared" si="44"/>
        <v>0.98899999999999999</v>
      </c>
      <c r="O99" s="401">
        <f t="shared" si="20"/>
        <v>-1.1722898864173059</v>
      </c>
      <c r="P99" s="401">
        <f t="shared" si="20"/>
        <v>0.9267684333941455</v>
      </c>
      <c r="Q99" s="401">
        <f t="shared" si="20"/>
        <v>0.48260248029990188</v>
      </c>
      <c r="R99" s="401">
        <f t="shared" si="30"/>
        <v>-0.20003070527368114</v>
      </c>
      <c r="S99" s="401">
        <f t="shared" si="31"/>
        <v>2.3526474548155503</v>
      </c>
      <c r="T99" s="401">
        <f t="shared" si="32"/>
        <v>-0.53252885220562096</v>
      </c>
      <c r="U99" s="331">
        <v>1.7000000000000001E-2</v>
      </c>
      <c r="V99" s="332">
        <f t="shared" si="27"/>
        <v>1.8231497927293928E-2</v>
      </c>
      <c r="X99" s="332" t="e">
        <f>Y99*$AB$14+#REF!*$AB$15+#REF!*Adv!$AB$16</f>
        <v>#REF!</v>
      </c>
      <c r="Y99" s="332">
        <f t="shared" si="34"/>
        <v>1.5016563254471069E-2</v>
      </c>
      <c r="Z99" s="325"/>
      <c r="AA99" s="355" t="s">
        <v>2533</v>
      </c>
      <c r="AB99" s="327">
        <f>MacroAssumptions!M12</f>
        <v>9.7883986003664183E-3</v>
      </c>
      <c r="AC99" s="345">
        <f>MacroAssumptions!N12</f>
        <v>3.8906044562521808E-2</v>
      </c>
      <c r="AD99" s="344">
        <f>MacroAssumptions!O12</f>
        <v>1.2229000000000001</v>
      </c>
      <c r="AE99" s="344">
        <f>MacroAssumptions!P12</f>
        <v>1.7584891762926733</v>
      </c>
      <c r="AF99" s="344">
        <f>MacroAssumptions!Q12</f>
        <v>6.9548503895390725</v>
      </c>
    </row>
    <row r="100" spans="1:32" x14ac:dyDescent="0.25">
      <c r="A100" s="355" t="s">
        <v>956</v>
      </c>
      <c r="B100" s="357" t="s">
        <v>4584</v>
      </c>
      <c r="C100" s="402">
        <f t="shared" si="45"/>
        <v>1.0350312445631933E-2</v>
      </c>
      <c r="D100" s="401">
        <f t="shared" si="46"/>
        <v>6.2863065276386019</v>
      </c>
      <c r="E100" s="345">
        <f t="shared" si="47"/>
        <v>2.164384375</v>
      </c>
      <c r="F100" s="401">
        <f t="shared" si="21"/>
        <v>-0.66854386190047066</v>
      </c>
      <c r="G100" s="344">
        <f t="shared" si="48"/>
        <v>1.9045992743004565</v>
      </c>
      <c r="H100" s="327">
        <f t="shared" si="49"/>
        <v>4.4686089725776368E-2</v>
      </c>
      <c r="I100" s="401">
        <f t="shared" si="29"/>
        <v>0.94148437499999993</v>
      </c>
      <c r="J100" s="401">
        <f t="shared" si="40"/>
        <v>0.17699999999999999</v>
      </c>
      <c r="K100" s="401">
        <f t="shared" si="41"/>
        <v>0.71799999999999997</v>
      </c>
      <c r="L100" s="401">
        <f t="shared" si="42"/>
        <v>0.69699999999999995</v>
      </c>
      <c r="M100" s="401">
        <f t="shared" si="43"/>
        <v>0.47899999999999998</v>
      </c>
      <c r="N100" s="401">
        <f t="shared" si="44"/>
        <v>0.97799999999999998</v>
      </c>
      <c r="O100" s="401">
        <f t="shared" si="20"/>
        <v>-1.0995315460744302</v>
      </c>
      <c r="P100" s="401">
        <f t="shared" si="20"/>
        <v>0.78431777888942011</v>
      </c>
      <c r="Q100" s="401">
        <f t="shared" si="20"/>
        <v>0.69414557917188446</v>
      </c>
      <c r="R100" s="401">
        <f t="shared" si="30"/>
        <v>-5.4972467204708456E-2</v>
      </c>
      <c r="S100" s="401">
        <f t="shared" si="31"/>
        <v>2.3155492032284455</v>
      </c>
      <c r="T100" s="401">
        <f t="shared" si="32"/>
        <v>-0.44267847401403798</v>
      </c>
      <c r="U100" s="331">
        <v>1.7000000000000001E-2</v>
      </c>
      <c r="V100" s="332">
        <f t="shared" si="27"/>
        <v>1.6428626666297446E-2</v>
      </c>
      <c r="X100" s="332" t="e">
        <f>Y100*$AB$14+#REF!*$AB$15+#REF!*Adv!$AB$16</f>
        <v>#REF!</v>
      </c>
      <c r="Y100" s="332">
        <f t="shared" si="34"/>
        <v>1.3943529934921869E-2</v>
      </c>
      <c r="Z100" s="325"/>
      <c r="AA100" s="355" t="s">
        <v>2534</v>
      </c>
      <c r="AB100" s="327">
        <f>MacroAssumptions!M13</f>
        <v>1.0350312445631933E-2</v>
      </c>
      <c r="AC100" s="345">
        <f>MacroAssumptions!N13</f>
        <v>4.4686089725776368E-2</v>
      </c>
      <c r="AD100" s="344">
        <f>MacroAssumptions!O13</f>
        <v>2.164384375</v>
      </c>
      <c r="AE100" s="344">
        <f>MacroAssumptions!P13</f>
        <v>1.9045992743004565</v>
      </c>
      <c r="AF100" s="344">
        <f>MacroAssumptions!Q13</f>
        <v>6.2863065276386019</v>
      </c>
    </row>
    <row r="101" spans="1:32" x14ac:dyDescent="0.25">
      <c r="C101" s="330"/>
      <c r="E101" s="339"/>
      <c r="G101" s="324"/>
      <c r="H101" s="329"/>
      <c r="U101" s="331"/>
      <c r="V101" s="330"/>
      <c r="X101" s="330"/>
      <c r="Y101" s="330"/>
      <c r="Z101" s="325"/>
      <c r="AB101" s="326"/>
      <c r="AC101" s="331"/>
    </row>
    <row r="102" spans="1:32" x14ac:dyDescent="0.25">
      <c r="C102" s="330"/>
      <c r="E102" s="339"/>
      <c r="G102" s="324"/>
      <c r="H102" s="346"/>
      <c r="U102" s="331"/>
      <c r="V102" s="330"/>
      <c r="X102" s="330"/>
      <c r="Y102" s="330"/>
      <c r="Z102" s="325"/>
    </row>
    <row r="103" spans="1:32" x14ac:dyDescent="0.25">
      <c r="C103" s="330"/>
      <c r="U103" s="331"/>
      <c r="V103" s="330"/>
      <c r="X103" s="330"/>
      <c r="Y103" s="330"/>
      <c r="Z103" s="325"/>
      <c r="AB103" s="326"/>
      <c r="AC103" s="331"/>
    </row>
    <row r="104" spans="1:32" x14ac:dyDescent="0.25">
      <c r="C104" s="330"/>
      <c r="U104" s="331"/>
      <c r="V104" s="330"/>
      <c r="X104" s="330"/>
      <c r="Y104" s="330"/>
      <c r="Z104" s="325"/>
      <c r="AB104" s="326"/>
      <c r="AC104" s="331"/>
    </row>
    <row r="105" spans="1:32" x14ac:dyDescent="0.25">
      <c r="C105" s="330"/>
      <c r="U105" s="331"/>
      <c r="V105" s="330"/>
      <c r="X105" s="330"/>
      <c r="Y105" s="330"/>
      <c r="Z105" s="325"/>
      <c r="AB105" s="326"/>
      <c r="AC105" s="331"/>
    </row>
    <row r="107" spans="1:32" x14ac:dyDescent="0.25">
      <c r="AB107" s="326"/>
      <c r="AC107" s="331"/>
    </row>
    <row r="108" spans="1:32" x14ac:dyDescent="0.25">
      <c r="AB108" s="326"/>
      <c r="AC108" s="331"/>
    </row>
    <row r="109" spans="1:32" x14ac:dyDescent="0.25">
      <c r="AB109" s="326"/>
      <c r="AC109" s="331"/>
    </row>
    <row r="110" spans="1:32" x14ac:dyDescent="0.25">
      <c r="AB110" s="326"/>
      <c r="AC110" s="331"/>
    </row>
    <row r="111" spans="1:32" x14ac:dyDescent="0.25">
      <c r="AB111" s="326"/>
      <c r="AC111" s="331"/>
    </row>
    <row r="112" spans="1:32" x14ac:dyDescent="0.25">
      <c r="AB112" s="326"/>
      <c r="AC112" s="331"/>
    </row>
    <row r="113" spans="28:29" x14ac:dyDescent="0.25">
      <c r="AB113" s="326"/>
      <c r="AC113" s="331"/>
    </row>
    <row r="114" spans="28:29" x14ac:dyDescent="0.25">
      <c r="AB114" s="326"/>
      <c r="AC114" s="331"/>
    </row>
  </sheetData>
  <dataValidations count="3">
    <dataValidation type="list" allowBlank="1" showInputMessage="1" showErrorMessage="1" sqref="AG8" xr:uid="{3BB7CEFB-26B0-4FD1-B0A2-17792150BADA}">
      <formula1>$AB$78:$AK$78</formula1>
    </dataValidation>
    <dataValidation type="list" allowBlank="1" showInputMessage="1" showErrorMessage="1" sqref="AE8" xr:uid="{2C6918ED-80DC-4ADD-94A8-424143188CEA}">
      <formula1>#REF!</formula1>
    </dataValidation>
    <dataValidation type="list" allowBlank="1" showInputMessage="1" showErrorMessage="1" sqref="AB2" xr:uid="{FFDB0E12-3E1B-4F4D-BCDD-6C8DB80F53B2}">
      <formula1>$AE$1:$AF$1</formula1>
    </dataValidation>
  </dataValidations>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A191B9-97D6-4B06-A4E9-742142E98702}">
  <sheetPr codeName="Sheet30"/>
  <dimension ref="A1:BF114"/>
  <sheetViews>
    <sheetView zoomScale="80" zoomScaleNormal="80" workbookViewId="0">
      <pane ySplit="1" topLeftCell="A2" activePane="bottomLeft" state="frozen"/>
      <selection pane="bottomLeft"/>
    </sheetView>
  </sheetViews>
  <sheetFormatPr defaultColWidth="8.7109375" defaultRowHeight="15" x14ac:dyDescent="0.25"/>
  <cols>
    <col min="1" max="1" width="14.140625" style="355" bestFit="1" customWidth="1"/>
    <col min="2" max="2" width="8.5703125" style="355" bestFit="1" customWidth="1"/>
    <col min="3" max="3" width="19.140625" style="355" bestFit="1" customWidth="1"/>
    <col min="4" max="4" width="18.5703125" style="355" bestFit="1" customWidth="1"/>
    <col min="5" max="5" width="8.85546875" style="355" bestFit="1" customWidth="1"/>
    <col min="6" max="6" width="13.7109375" style="355" bestFit="1" customWidth="1"/>
    <col min="7" max="7" width="4.7109375" style="355" bestFit="1" customWidth="1"/>
    <col min="8" max="8" width="7.28515625" style="355" bestFit="1" customWidth="1"/>
    <col min="9" max="9" width="15.5703125" style="355" bestFit="1" customWidth="1"/>
    <col min="10" max="10" width="6.42578125" style="355" bestFit="1" customWidth="1"/>
    <col min="11" max="11" width="8.85546875" style="355" bestFit="1" customWidth="1"/>
    <col min="12" max="13" width="6.140625" style="355" bestFit="1" customWidth="1"/>
    <col min="14" max="14" width="10.5703125" style="355" bestFit="1" customWidth="1"/>
    <col min="15" max="20" width="12.85546875" style="355" bestFit="1" customWidth="1"/>
    <col min="21" max="21" width="7" style="355" bestFit="1" customWidth="1"/>
    <col min="22" max="22" width="6.5703125" style="355" bestFit="1" customWidth="1"/>
    <col min="23" max="23" width="10.42578125" style="355" bestFit="1" customWidth="1"/>
    <col min="24" max="24" width="22.28515625" style="355" bestFit="1" customWidth="1"/>
    <col min="25" max="25" width="10.5703125" style="355" bestFit="1" customWidth="1"/>
    <col min="26" max="26" width="8.7109375" style="355"/>
    <col min="27" max="27" width="12.42578125" style="355" customWidth="1"/>
    <col min="28" max="28" width="8.7109375" style="355"/>
    <col min="29" max="29" width="16.28515625" style="355" bestFit="1" customWidth="1"/>
    <col min="30" max="34" width="8.7109375" style="355"/>
    <col min="35" max="35" width="11.28515625" style="355" bestFit="1" customWidth="1"/>
    <col min="36" max="36" width="15.85546875" style="355" customWidth="1"/>
    <col min="37" max="37" width="17.85546875" style="346" bestFit="1" customWidth="1"/>
    <col min="38" max="41" width="8.7109375" style="346"/>
    <col min="42" max="42" width="9.140625" style="355" customWidth="1"/>
    <col min="43" max="16384" width="8.7109375" style="355"/>
  </cols>
  <sheetData>
    <row r="1" spans="1:58" x14ac:dyDescent="0.25">
      <c r="A1" s="328" t="s">
        <v>545</v>
      </c>
      <c r="B1" s="328" t="s">
        <v>546</v>
      </c>
      <c r="C1" s="335" t="s">
        <v>547</v>
      </c>
      <c r="D1" s="335" t="s">
        <v>548</v>
      </c>
      <c r="E1" s="335" t="s">
        <v>709</v>
      </c>
      <c r="F1" s="328" t="s">
        <v>549</v>
      </c>
      <c r="G1" s="328" t="s">
        <v>550</v>
      </c>
      <c r="H1" s="328" t="s">
        <v>715</v>
      </c>
      <c r="I1" s="328" t="s">
        <v>710</v>
      </c>
      <c r="J1" s="328" t="s">
        <v>551</v>
      </c>
      <c r="K1" s="328" t="s">
        <v>552</v>
      </c>
      <c r="L1" s="328" t="s">
        <v>553</v>
      </c>
      <c r="M1" s="328" t="s">
        <v>717</v>
      </c>
      <c r="N1" s="328" t="s">
        <v>711</v>
      </c>
      <c r="O1" s="328" t="s">
        <v>554</v>
      </c>
      <c r="P1" s="328" t="s">
        <v>555</v>
      </c>
      <c r="Q1" s="328" t="s">
        <v>556</v>
      </c>
      <c r="R1" s="328" t="s">
        <v>718</v>
      </c>
      <c r="S1" s="328" t="s">
        <v>712</v>
      </c>
      <c r="T1" s="336" t="s">
        <v>557</v>
      </c>
      <c r="U1" s="328" t="s">
        <v>558</v>
      </c>
      <c r="V1" s="336" t="s">
        <v>559</v>
      </c>
      <c r="W1" s="334" t="s">
        <v>560</v>
      </c>
      <c r="X1" s="335" t="s">
        <v>561</v>
      </c>
      <c r="Y1" s="328" t="s">
        <v>562</v>
      </c>
      <c r="AE1" s="355">
        <v>2019</v>
      </c>
      <c r="AF1" s="355">
        <v>2020</v>
      </c>
      <c r="AK1" s="355"/>
      <c r="AL1" s="355"/>
      <c r="AM1" s="355"/>
      <c r="AN1" s="355"/>
      <c r="AO1" s="355"/>
    </row>
    <row r="2" spans="1:58" x14ac:dyDescent="0.25">
      <c r="C2" s="337"/>
      <c r="D2" s="337"/>
      <c r="E2" s="337"/>
      <c r="F2" s="328"/>
      <c r="G2" s="328"/>
      <c r="H2" s="328"/>
      <c r="I2" s="328"/>
      <c r="J2" s="328"/>
      <c r="K2" s="401"/>
      <c r="L2" s="328"/>
      <c r="M2" s="328"/>
      <c r="N2" s="328"/>
      <c r="O2" s="328"/>
      <c r="P2" s="328"/>
      <c r="Q2" s="328"/>
      <c r="R2" s="328"/>
      <c r="S2" s="328"/>
      <c r="T2" s="336"/>
      <c r="U2" s="328"/>
      <c r="V2" s="336"/>
      <c r="W2" s="334"/>
      <c r="X2" s="335"/>
      <c r="Y2" s="328"/>
      <c r="AA2" s="338" t="s">
        <v>707</v>
      </c>
      <c r="AB2" s="355">
        <v>2020</v>
      </c>
      <c r="AK2" s="355"/>
      <c r="AL2" s="355"/>
      <c r="AM2" s="355"/>
      <c r="AN2" s="355"/>
      <c r="AO2" s="355"/>
    </row>
    <row r="3" spans="1:58" x14ac:dyDescent="0.25">
      <c r="C3" s="337"/>
      <c r="D3" s="337"/>
      <c r="E3" s="337"/>
      <c r="F3" s="328"/>
      <c r="G3" s="328"/>
      <c r="H3" s="328"/>
      <c r="I3" s="328"/>
      <c r="J3" s="328"/>
      <c r="K3" s="401"/>
      <c r="L3" s="328"/>
      <c r="M3" s="328"/>
      <c r="N3" s="328"/>
      <c r="O3" s="328"/>
      <c r="P3" s="328"/>
      <c r="Q3" s="328"/>
      <c r="R3" s="328"/>
      <c r="S3" s="328"/>
      <c r="T3" s="336"/>
      <c r="U3" s="328"/>
      <c r="V3" s="336"/>
      <c r="W3" s="334"/>
      <c r="X3" s="335"/>
      <c r="Y3" s="328"/>
      <c r="AB3" s="355" t="s">
        <v>713</v>
      </c>
      <c r="AC3" s="355" t="s">
        <v>577</v>
      </c>
      <c r="AD3" s="355" t="s">
        <v>550</v>
      </c>
      <c r="AE3" s="355" t="s">
        <v>714</v>
      </c>
      <c r="AF3" s="355" t="s">
        <v>715</v>
      </c>
      <c r="AK3" s="355"/>
      <c r="AL3" s="355"/>
      <c r="AM3" s="355"/>
      <c r="AN3" s="355"/>
      <c r="AO3" s="355"/>
    </row>
    <row r="4" spans="1:58" s="357" customFormat="1" x14ac:dyDescent="0.25">
      <c r="A4" s="357" t="s">
        <v>563</v>
      </c>
      <c r="B4" s="357" t="s">
        <v>564</v>
      </c>
      <c r="C4" s="345">
        <f>'Historical Data'!B188</f>
        <v>0.2</v>
      </c>
      <c r="D4" s="401">
        <f>'Historical Data'!E21</f>
        <v>12</v>
      </c>
      <c r="E4" s="357">
        <v>5.75</v>
      </c>
      <c r="F4" s="355"/>
      <c r="G4" s="401">
        <f>'Historical Data'!H53</f>
        <v>-0.9</v>
      </c>
      <c r="H4" s="320">
        <v>0.16071428569999999</v>
      </c>
      <c r="I4" s="355"/>
      <c r="J4" s="355"/>
      <c r="K4" s="401">
        <f t="shared" ref="K4" si="0">PERCENTRANK($D$2:$D$91,D4)</f>
        <v>0.98799999999999999</v>
      </c>
      <c r="L4" s="401">
        <f>PERCENTRANK($G$4:$G$91,G4)</f>
        <v>0.13700000000000001</v>
      </c>
      <c r="M4" s="355"/>
      <c r="N4" s="355"/>
      <c r="O4" s="355"/>
      <c r="P4" s="355"/>
      <c r="Q4" s="355"/>
      <c r="R4" s="355"/>
      <c r="S4" s="355"/>
      <c r="T4" s="355"/>
      <c r="U4" s="331"/>
      <c r="V4" s="330"/>
      <c r="W4" s="330"/>
      <c r="X4" s="330"/>
      <c r="Y4" s="330"/>
      <c r="Z4" s="355"/>
      <c r="AA4" s="328" t="s">
        <v>565</v>
      </c>
      <c r="AB4" s="402">
        <f>AVERAGE(J4:J100)</f>
        <v>0.4943437499999998</v>
      </c>
      <c r="AC4" s="402">
        <f>AVERAGE(K4:K100)</f>
        <v>0.48674226804123671</v>
      </c>
      <c r="AD4" s="402">
        <f>AVERAGE(L4:L100)</f>
        <v>0.49338144329896905</v>
      </c>
      <c r="AE4" s="402">
        <f>AVERAGE(N4:N100)</f>
        <v>0.28478124999999965</v>
      </c>
      <c r="AF4" s="402">
        <f>AVERAGE(M4:M100)</f>
        <v>0.49491666666666623</v>
      </c>
      <c r="AG4" s="355"/>
      <c r="AH4" s="355"/>
      <c r="AI4" s="355"/>
      <c r="AV4" s="355"/>
      <c r="AW4" s="355"/>
      <c r="AX4" s="355"/>
      <c r="AY4" s="355"/>
      <c r="AZ4" s="355"/>
      <c r="BA4" s="355"/>
      <c r="BB4" s="355"/>
      <c r="BC4" s="355"/>
      <c r="BD4" s="355"/>
      <c r="BE4" s="355"/>
      <c r="BF4" s="355"/>
    </row>
    <row r="5" spans="1:58" x14ac:dyDescent="0.25">
      <c r="A5" s="355" t="s">
        <v>563</v>
      </c>
      <c r="B5" s="355" t="s">
        <v>566</v>
      </c>
      <c r="C5" s="345">
        <f>'Historical Data'!B189</f>
        <v>0.15</v>
      </c>
      <c r="D5" s="401">
        <f>'Historical Data'!E22</f>
        <v>15</v>
      </c>
      <c r="E5" s="355">
        <v>5.75</v>
      </c>
      <c r="F5" s="401">
        <f t="shared" ref="F5:F68" si="1">D5-D4</f>
        <v>3</v>
      </c>
      <c r="G5" s="401">
        <f>'Historical Data'!H54</f>
        <v>-0.9</v>
      </c>
      <c r="H5" s="321">
        <v>0.17416131329999998</v>
      </c>
      <c r="I5" s="401">
        <f>E5-E4</f>
        <v>0</v>
      </c>
      <c r="J5" s="401">
        <f t="shared" ref="J5:J36" si="2">PERCENTRANK($C$4:$C$100,C5)</f>
        <v>0.97899999999999998</v>
      </c>
      <c r="K5" s="401">
        <f t="shared" ref="K5:K36" si="3">PERCENTRANK($D$2:$D$100,D5)</f>
        <v>1</v>
      </c>
      <c r="L5" s="401">
        <f t="shared" ref="L5:L36" si="4">PERCENTRANK($G$4:$G$100,G5)</f>
        <v>0.13500000000000001</v>
      </c>
      <c r="M5" s="401">
        <f t="shared" ref="M5:M36" si="5">PERCENTRANK($H$4:$H$100,H5)</f>
        <v>0.96799999999999997</v>
      </c>
      <c r="N5" s="401">
        <f t="shared" ref="N5:N36" si="6">PERCENTRANK($I$4:$I$100,I5)</f>
        <v>0.16800000000000001</v>
      </c>
      <c r="O5" s="401">
        <f t="shared" ref="O5:Q36" si="7">(J5-AB$4)/AB$5</f>
        <v>1.6791048671784552</v>
      </c>
      <c r="P5" s="401">
        <f t="shared" si="7"/>
        <v>1.7390283842579908</v>
      </c>
      <c r="Q5" s="401">
        <f t="shared" si="7"/>
        <v>-1.2227568394997117</v>
      </c>
      <c r="R5" s="401">
        <f>(M5-AF$4)/AF$5</f>
        <v>1.6339198760269027</v>
      </c>
      <c r="S5" s="401">
        <f>(N5-AE$4)/AE$5</f>
        <v>-0.40011071347193389</v>
      </c>
      <c r="T5" s="401">
        <f>O5*$AB$8-P5*$AB$9+Q5*$AB$10+S5*$AB$11+R5*$AB$12</f>
        <v>0.83466531418679968</v>
      </c>
      <c r="U5" s="331">
        <v>1.7000000000000001E-2</v>
      </c>
      <c r="V5" s="332">
        <f t="shared" ref="V5:V68" si="8">NORMSDIST((_xlfn.NORM.S.INV(U5)-(SQRT($AF$11)*T5))/SQRT(1-$AF$11))</f>
        <v>3.1448259472729679E-3</v>
      </c>
      <c r="W5" s="330">
        <v>1.35E-2</v>
      </c>
      <c r="X5" s="332">
        <f t="shared" ref="X5:X68" si="9">Y5</f>
        <v>9.2746368133088061E-4</v>
      </c>
      <c r="Y5" s="330">
        <v>9.2746368133088061E-4</v>
      </c>
      <c r="Z5" s="330"/>
      <c r="AA5" s="328" t="s">
        <v>567</v>
      </c>
      <c r="AB5" s="402">
        <f>_xlfn.STDEV.P(J4:J100)</f>
        <v>0.28863965525536822</v>
      </c>
      <c r="AC5" s="402">
        <f>_xlfn.STDEV.P(K4:K100)</f>
        <v>0.29514051444178135</v>
      </c>
      <c r="AD5" s="402">
        <f>_xlfn.STDEV.P(L4:L100)</f>
        <v>0.29309297786925487</v>
      </c>
      <c r="AE5" s="402">
        <f>_xlfn.STDEV.P(N4:N100)</f>
        <v>0.29187233949983038</v>
      </c>
      <c r="AF5" s="402">
        <f>_xlfn.STDEV.P(M4:M100)</f>
        <v>0.28953888148034523</v>
      </c>
      <c r="AK5" s="355"/>
      <c r="AL5" s="355"/>
      <c r="AM5" s="355"/>
      <c r="AN5" s="355"/>
      <c r="AO5" s="355"/>
    </row>
    <row r="6" spans="1:58" x14ac:dyDescent="0.25">
      <c r="A6" s="355" t="s">
        <v>563</v>
      </c>
      <c r="B6" s="355" t="s">
        <v>568</v>
      </c>
      <c r="C6" s="345">
        <f>'Historical Data'!B190</f>
        <v>0.1</v>
      </c>
      <c r="D6" s="401">
        <f>'Historical Data'!E23</f>
        <v>9</v>
      </c>
      <c r="E6" s="355">
        <v>5.75</v>
      </c>
      <c r="F6" s="401">
        <f t="shared" si="1"/>
        <v>-6</v>
      </c>
      <c r="G6" s="401">
        <f>'Historical Data'!H55</f>
        <v>-0.9</v>
      </c>
      <c r="H6" s="321">
        <v>0.13014160490000001</v>
      </c>
      <c r="I6" s="401">
        <f t="shared" ref="I6:I69" si="10">E6-E5</f>
        <v>0</v>
      </c>
      <c r="J6" s="401">
        <f t="shared" si="2"/>
        <v>0.96799999999999997</v>
      </c>
      <c r="K6" s="401">
        <f t="shared" si="3"/>
        <v>0.97899999999999998</v>
      </c>
      <c r="L6" s="401">
        <f t="shared" si="4"/>
        <v>0.13500000000000001</v>
      </c>
      <c r="M6" s="401">
        <f t="shared" si="5"/>
        <v>0.89500000000000002</v>
      </c>
      <c r="N6" s="401">
        <f t="shared" si="6"/>
        <v>0.16800000000000001</v>
      </c>
      <c r="O6" s="401">
        <f t="shared" si="7"/>
        <v>1.6409950655634693</v>
      </c>
      <c r="P6" s="401">
        <f t="shared" si="7"/>
        <v>1.6678758349723779</v>
      </c>
      <c r="Q6" s="401">
        <f t="shared" si="7"/>
        <v>-1.2227568394997117</v>
      </c>
      <c r="R6" s="401">
        <f t="shared" ref="R6:R69" si="11">(M6-AF$4)/AF$5</f>
        <v>1.3817948431927358</v>
      </c>
      <c r="S6" s="401">
        <f t="shared" ref="S6:S69" si="12">(N6-AE$4)/AE$5</f>
        <v>-0.40011071347193389</v>
      </c>
      <c r="T6" s="401">
        <f t="shared" ref="T6:T69" si="13">O6*$AB$8-P6*$AB$9+Q6*$AB$10+S6*$AB$11+R6*$AB$12</f>
        <v>0.79370218486295274</v>
      </c>
      <c r="U6" s="331">
        <v>1.7000000000000001E-2</v>
      </c>
      <c r="V6" s="332">
        <f t="shared" si="8"/>
        <v>3.3329108645756759E-3</v>
      </c>
      <c r="W6" s="330">
        <v>1.52E-2</v>
      </c>
      <c r="X6" s="332">
        <f t="shared" si="9"/>
        <v>6.1861259455313327E-3</v>
      </c>
      <c r="Y6" s="330">
        <v>6.1861259455313327E-3</v>
      </c>
      <c r="Z6" s="330"/>
      <c r="AK6" s="355"/>
      <c r="AL6" s="355"/>
      <c r="AM6" s="355"/>
      <c r="AN6" s="355"/>
      <c r="AO6" s="355"/>
    </row>
    <row r="7" spans="1:58" x14ac:dyDescent="0.25">
      <c r="A7" s="355" t="s">
        <v>563</v>
      </c>
      <c r="B7" s="355" t="s">
        <v>569</v>
      </c>
      <c r="C7" s="345">
        <f>'Historical Data'!B191</f>
        <v>1.7626895578982671E-2</v>
      </c>
      <c r="D7" s="401">
        <f>'Historical Data'!E24</f>
        <v>4.8</v>
      </c>
      <c r="E7" s="355">
        <v>5.75</v>
      </c>
      <c r="F7" s="401">
        <f t="shared" si="1"/>
        <v>-4.2</v>
      </c>
      <c r="G7" s="401">
        <f>'Historical Data'!H56</f>
        <v>-0.7</v>
      </c>
      <c r="H7" s="321">
        <v>0.13477975019999999</v>
      </c>
      <c r="I7" s="401">
        <f t="shared" si="10"/>
        <v>0</v>
      </c>
      <c r="J7" s="401">
        <f t="shared" si="2"/>
        <v>0.40600000000000003</v>
      </c>
      <c r="K7" s="401">
        <f t="shared" si="3"/>
        <v>0.36399999999999999</v>
      </c>
      <c r="L7" s="401">
        <f t="shared" si="4"/>
        <v>0.19700000000000001</v>
      </c>
      <c r="M7" s="401">
        <f t="shared" si="5"/>
        <v>0.90600000000000003</v>
      </c>
      <c r="N7" s="401">
        <f t="shared" si="6"/>
        <v>0.16800000000000001</v>
      </c>
      <c r="O7" s="401">
        <f t="shared" si="7"/>
        <v>-0.30606934422035459</v>
      </c>
      <c r="P7" s="401">
        <f t="shared" si="7"/>
        <v>-0.4158773941062861</v>
      </c>
      <c r="Q7" s="401">
        <f t="shared" si="7"/>
        <v>-1.0112198710921732</v>
      </c>
      <c r="R7" s="401">
        <f t="shared" si="11"/>
        <v>1.4197862864965145</v>
      </c>
      <c r="S7" s="401">
        <f t="shared" si="12"/>
        <v>-0.40011071347193389</v>
      </c>
      <c r="T7" s="401">
        <f t="shared" si="13"/>
        <v>-0.14120829692834339</v>
      </c>
      <c r="U7" s="331">
        <v>1.7000000000000001E-2</v>
      </c>
      <c r="V7" s="332">
        <f t="shared" si="8"/>
        <v>1.1450912631118654E-2</v>
      </c>
      <c r="W7" s="330">
        <v>1.4800000000000001E-2</v>
      </c>
      <c r="X7" s="332">
        <f t="shared" si="9"/>
        <v>5.9762164809890996E-3</v>
      </c>
      <c r="Y7" s="332">
        <f>AVERAGE(V5:V7)</f>
        <v>5.9762164809890996E-3</v>
      </c>
      <c r="Z7" s="330"/>
      <c r="AA7" s="328" t="s">
        <v>570</v>
      </c>
      <c r="AC7" s="355" t="s">
        <v>706</v>
      </c>
      <c r="AE7" s="340" t="s">
        <v>571</v>
      </c>
      <c r="AG7" s="341" t="s">
        <v>704</v>
      </c>
      <c r="AK7" s="355"/>
      <c r="AL7" s="355"/>
      <c r="AM7" s="355"/>
      <c r="AN7" s="355"/>
      <c r="AO7" s="355"/>
    </row>
    <row r="8" spans="1:58" x14ac:dyDescent="0.25">
      <c r="A8" s="355" t="s">
        <v>563</v>
      </c>
      <c r="B8" s="355" t="s">
        <v>573</v>
      </c>
      <c r="C8" s="345">
        <f>'Historical Data'!B192</f>
        <v>2.4380255980643639E-2</v>
      </c>
      <c r="D8" s="401">
        <f>'Historical Data'!E25</f>
        <v>4.9000000000000004</v>
      </c>
      <c r="E8" s="355">
        <v>5.75</v>
      </c>
      <c r="F8" s="401">
        <f t="shared" si="1"/>
        <v>0.10000000000000053</v>
      </c>
      <c r="G8" s="401">
        <f>'Historical Data'!H57</f>
        <v>-0.9</v>
      </c>
      <c r="H8" s="321">
        <v>0.1006410256</v>
      </c>
      <c r="I8" s="401">
        <f t="shared" si="10"/>
        <v>0</v>
      </c>
      <c r="J8" s="401">
        <f t="shared" si="2"/>
        <v>0.67700000000000005</v>
      </c>
      <c r="K8" s="401">
        <f t="shared" si="3"/>
        <v>0.41599999999999998</v>
      </c>
      <c r="L8" s="401">
        <f t="shared" si="4"/>
        <v>0.13500000000000001</v>
      </c>
      <c r="M8" s="401">
        <f t="shared" si="5"/>
        <v>0.81200000000000006</v>
      </c>
      <c r="N8" s="401">
        <f t="shared" si="6"/>
        <v>0.16800000000000001</v>
      </c>
      <c r="O8" s="401">
        <f t="shared" si="7"/>
        <v>0.63281758647611586</v>
      </c>
      <c r="P8" s="401">
        <f t="shared" si="7"/>
        <v>-0.23969012920857793</v>
      </c>
      <c r="Q8" s="401">
        <f t="shared" si="7"/>
        <v>-1.2227568394997117</v>
      </c>
      <c r="R8" s="401">
        <f t="shared" si="11"/>
        <v>1.0951321346278613</v>
      </c>
      <c r="S8" s="401">
        <f t="shared" si="12"/>
        <v>-0.40011071347193389</v>
      </c>
      <c r="T8" s="401">
        <f t="shared" si="13"/>
        <v>0.35088602297214888</v>
      </c>
      <c r="U8" s="331">
        <v>1.7000000000000001E-2</v>
      </c>
      <c r="V8" s="332">
        <f t="shared" si="8"/>
        <v>6.1117575888448789E-3</v>
      </c>
      <c r="W8" s="330">
        <v>1.52E-2</v>
      </c>
      <c r="X8" s="332">
        <f t="shared" si="9"/>
        <v>6.9651936948464032E-3</v>
      </c>
      <c r="Y8" s="332">
        <f t="shared" ref="Y8:Y71" si="14">AVERAGE(V6:V8)</f>
        <v>6.9651936948464032E-3</v>
      </c>
      <c r="Z8" s="330"/>
      <c r="AA8" s="334" t="s">
        <v>574</v>
      </c>
      <c r="AB8" s="403">
        <f>MacroAssumptions!C16</f>
        <v>0.6</v>
      </c>
      <c r="AC8" s="355">
        <v>0.6</v>
      </c>
      <c r="AE8" s="355" t="s">
        <v>684</v>
      </c>
      <c r="AG8" s="355" t="s">
        <v>575</v>
      </c>
      <c r="AK8" s="355"/>
      <c r="AL8" s="355"/>
      <c r="AM8" s="355"/>
      <c r="AN8" s="355"/>
      <c r="AO8" s="355"/>
    </row>
    <row r="9" spans="1:58" x14ac:dyDescent="0.25">
      <c r="A9" s="355" t="s">
        <v>563</v>
      </c>
      <c r="B9" s="355" t="s">
        <v>576</v>
      </c>
      <c r="C9" s="345">
        <f>'Historical Data'!B193</f>
        <v>2.7201613997918539E-2</v>
      </c>
      <c r="D9" s="401">
        <f>'Historical Data'!E26</f>
        <v>4.7</v>
      </c>
      <c r="E9" s="355">
        <v>5.25</v>
      </c>
      <c r="F9" s="401">
        <f t="shared" si="1"/>
        <v>-0.20000000000000018</v>
      </c>
      <c r="G9" s="401">
        <f>'Historical Data'!H58</f>
        <v>-0.5</v>
      </c>
      <c r="H9" s="321">
        <v>8.1458966569999999E-2</v>
      </c>
      <c r="I9" s="401">
        <f t="shared" si="10"/>
        <v>-0.5</v>
      </c>
      <c r="J9" s="401">
        <f t="shared" si="2"/>
        <v>0.78100000000000003</v>
      </c>
      <c r="K9" s="401">
        <f t="shared" si="3"/>
        <v>0.28100000000000003</v>
      </c>
      <c r="L9" s="401">
        <f t="shared" si="4"/>
        <v>0.23899999999999999</v>
      </c>
      <c r="M9" s="401">
        <f t="shared" si="5"/>
        <v>0.70799999999999996</v>
      </c>
      <c r="N9" s="401">
        <f t="shared" si="6"/>
        <v>6.3E-2</v>
      </c>
      <c r="O9" s="401">
        <f t="shared" si="7"/>
        <v>0.99312843810870954</v>
      </c>
      <c r="P9" s="401">
        <f t="shared" si="7"/>
        <v>-0.6970993746160894</v>
      </c>
      <c r="Q9" s="401">
        <f t="shared" si="7"/>
        <v>-0.8679206344290018</v>
      </c>
      <c r="R9" s="401">
        <f t="shared" si="11"/>
        <v>0.7359403070285</v>
      </c>
      <c r="S9" s="401">
        <f t="shared" si="12"/>
        <v>-0.75985703331825505</v>
      </c>
      <c r="T9" s="401">
        <f t="shared" si="13"/>
        <v>0.57640326425495891</v>
      </c>
      <c r="U9" s="331">
        <v>1.7000000000000001E-2</v>
      </c>
      <c r="V9" s="332">
        <f t="shared" si="8"/>
        <v>4.5101380178801205E-3</v>
      </c>
      <c r="W9" s="330">
        <v>1.9E-2</v>
      </c>
      <c r="X9" s="332">
        <f t="shared" si="9"/>
        <v>7.3576027459478846E-3</v>
      </c>
      <c r="Y9" s="332">
        <f t="shared" si="14"/>
        <v>7.3576027459478846E-3</v>
      </c>
      <c r="Z9" s="330"/>
      <c r="AA9" s="334" t="s">
        <v>577</v>
      </c>
      <c r="AB9" s="403">
        <f>MacroAssumptions!C20</f>
        <v>0.1</v>
      </c>
      <c r="AC9" s="355">
        <v>0.2</v>
      </c>
      <c r="AK9" s="355"/>
      <c r="AL9" s="355"/>
      <c r="AM9" s="355"/>
      <c r="AN9" s="355"/>
      <c r="AO9" s="355"/>
    </row>
    <row r="10" spans="1:58" x14ac:dyDescent="0.25">
      <c r="A10" s="355" t="s">
        <v>563</v>
      </c>
      <c r="B10" s="355" t="s">
        <v>578</v>
      </c>
      <c r="C10" s="345">
        <f>'Historical Data'!B194</f>
        <v>3.2563571694006477E-2</v>
      </c>
      <c r="D10" s="401">
        <f>'Historical Data'!E27</f>
        <v>5.2</v>
      </c>
      <c r="E10" s="355">
        <v>4.75</v>
      </c>
      <c r="F10" s="401">
        <f t="shared" si="1"/>
        <v>0.5</v>
      </c>
      <c r="G10" s="401">
        <f>'Historical Data'!H59</f>
        <v>-0.6</v>
      </c>
      <c r="H10" s="321">
        <v>9.9642004770000001E-2</v>
      </c>
      <c r="I10" s="401">
        <f t="shared" si="10"/>
        <v>-0.5</v>
      </c>
      <c r="J10" s="401">
        <f t="shared" si="2"/>
        <v>0.84299999999999997</v>
      </c>
      <c r="K10" s="401">
        <f t="shared" si="3"/>
        <v>0.56200000000000006</v>
      </c>
      <c r="L10" s="401">
        <f t="shared" si="4"/>
        <v>0.20799999999999999</v>
      </c>
      <c r="M10" s="401">
        <f t="shared" si="5"/>
        <v>0.79100000000000004</v>
      </c>
      <c r="N10" s="401">
        <f t="shared" si="6"/>
        <v>6.3E-2</v>
      </c>
      <c r="O10" s="401">
        <f t="shared" si="7"/>
        <v>1.207929138120448</v>
      </c>
      <c r="P10" s="401">
        <f t="shared" si="7"/>
        <v>0.25498949915806451</v>
      </c>
      <c r="Q10" s="401">
        <f t="shared" si="7"/>
        <v>-0.97368911863277119</v>
      </c>
      <c r="R10" s="401">
        <f t="shared" si="11"/>
        <v>1.022603015593375</v>
      </c>
      <c r="S10" s="401">
        <f t="shared" si="12"/>
        <v>-0.75985703331825505</v>
      </c>
      <c r="T10" s="401">
        <f t="shared" si="13"/>
        <v>0.62816421932069721</v>
      </c>
      <c r="U10" s="331">
        <v>1.7000000000000001E-2</v>
      </c>
      <c r="V10" s="332">
        <f t="shared" si="8"/>
        <v>4.2002278402330376E-3</v>
      </c>
      <c r="W10" s="330">
        <v>2.3300000000000001E-2</v>
      </c>
      <c r="X10" s="332">
        <f t="shared" si="9"/>
        <v>4.940707815652679E-3</v>
      </c>
      <c r="Y10" s="332">
        <f t="shared" si="14"/>
        <v>4.940707815652679E-3</v>
      </c>
      <c r="Z10" s="330"/>
      <c r="AA10" s="334" t="s">
        <v>579</v>
      </c>
      <c r="AB10" s="403">
        <f>MacroAssumptions!C19</f>
        <v>0.1</v>
      </c>
      <c r="AC10" s="355">
        <v>0.2</v>
      </c>
      <c r="AK10" s="355"/>
      <c r="AL10" s="355"/>
      <c r="AM10" s="355"/>
      <c r="AN10" s="355"/>
      <c r="AO10" s="355"/>
    </row>
    <row r="11" spans="1:58" x14ac:dyDescent="0.25">
      <c r="A11" s="355" t="s">
        <v>563</v>
      </c>
      <c r="B11" s="355" t="s">
        <v>580</v>
      </c>
      <c r="C11" s="345">
        <f>'Historical Data'!B195</f>
        <v>3.476769855803763E-2</v>
      </c>
      <c r="D11" s="401">
        <f>'Historical Data'!E28</f>
        <v>4.8</v>
      </c>
      <c r="E11" s="355">
        <v>4</v>
      </c>
      <c r="F11" s="401">
        <f t="shared" si="1"/>
        <v>-0.40000000000000036</v>
      </c>
      <c r="G11" s="401">
        <f>'Historical Data'!H60</f>
        <v>-1.1000000000000001</v>
      </c>
      <c r="H11" s="321">
        <v>4.6349942060000003E-2</v>
      </c>
      <c r="I11" s="401">
        <f t="shared" si="10"/>
        <v>-0.75</v>
      </c>
      <c r="J11" s="401">
        <f t="shared" si="2"/>
        <v>0.88500000000000001</v>
      </c>
      <c r="K11" s="401">
        <f t="shared" si="3"/>
        <v>0.36399999999999999</v>
      </c>
      <c r="L11" s="401">
        <f t="shared" si="4"/>
        <v>8.3000000000000004E-2</v>
      </c>
      <c r="M11" s="401">
        <f t="shared" si="5"/>
        <v>0.51</v>
      </c>
      <c r="N11" s="401">
        <f t="shared" si="6"/>
        <v>4.2000000000000003E-2</v>
      </c>
      <c r="O11" s="401">
        <f t="shared" si="7"/>
        <v>1.3534392897413032</v>
      </c>
      <c r="P11" s="401">
        <f t="shared" si="7"/>
        <v>-0.4158773941062861</v>
      </c>
      <c r="Q11" s="401">
        <f t="shared" si="7"/>
        <v>-1.4001749420350666</v>
      </c>
      <c r="R11" s="401">
        <f t="shared" si="11"/>
        <v>5.2094327560485806E-2</v>
      </c>
      <c r="S11" s="401">
        <f t="shared" si="12"/>
        <v>-0.8318062972875192</v>
      </c>
      <c r="T11" s="401">
        <f t="shared" si="13"/>
        <v>0.63566262207920043</v>
      </c>
      <c r="U11" s="331">
        <v>1.7000000000000001E-2</v>
      </c>
      <c r="V11" s="332">
        <f t="shared" si="8"/>
        <v>4.1569482801386524E-3</v>
      </c>
      <c r="W11" s="330">
        <v>2.6800000000000001E-2</v>
      </c>
      <c r="X11" s="332">
        <f t="shared" si="9"/>
        <v>4.2891047127506035E-3</v>
      </c>
      <c r="Y11" s="332">
        <f t="shared" si="14"/>
        <v>4.2891047127506035E-3</v>
      </c>
      <c r="Z11" s="330"/>
      <c r="AA11" s="334" t="s">
        <v>716</v>
      </c>
      <c r="AB11" s="403">
        <f>MacroAssumptions!C18</f>
        <v>0.1</v>
      </c>
      <c r="AE11" s="328" t="s">
        <v>581</v>
      </c>
      <c r="AF11" s="342">
        <v>0.18</v>
      </c>
      <c r="AG11" s="355" t="s">
        <v>582</v>
      </c>
      <c r="AK11" s="355"/>
      <c r="AL11" s="355"/>
      <c r="AM11" s="355"/>
      <c r="AN11" s="355"/>
      <c r="AO11" s="355"/>
    </row>
    <row r="12" spans="1:58" x14ac:dyDescent="0.25">
      <c r="A12" s="355" t="s">
        <v>563</v>
      </c>
      <c r="B12" s="355" t="s">
        <v>583</v>
      </c>
      <c r="C12" s="345">
        <f>'Historical Data'!B196</f>
        <v>2.4690970943038293E-2</v>
      </c>
      <c r="D12" s="401">
        <f>'Historical Data'!E29</f>
        <v>5</v>
      </c>
      <c r="E12" s="355">
        <v>4</v>
      </c>
      <c r="F12" s="401">
        <f t="shared" si="1"/>
        <v>0.20000000000000018</v>
      </c>
      <c r="G12" s="401">
        <f>'Historical Data'!H61</f>
        <v>-0.5</v>
      </c>
      <c r="H12" s="321">
        <v>0.12421374489999999</v>
      </c>
      <c r="I12" s="401">
        <f t="shared" si="10"/>
        <v>0</v>
      </c>
      <c r="J12" s="401">
        <f t="shared" si="2"/>
        <v>0.70799999999999996</v>
      </c>
      <c r="K12" s="401">
        <f t="shared" si="3"/>
        <v>0.5</v>
      </c>
      <c r="L12" s="401">
        <f t="shared" si="4"/>
        <v>0.23899999999999999</v>
      </c>
      <c r="M12" s="401">
        <f t="shared" si="5"/>
        <v>0.88500000000000001</v>
      </c>
      <c r="N12" s="401">
        <f t="shared" si="6"/>
        <v>0.16800000000000001</v>
      </c>
      <c r="O12" s="401">
        <f t="shared" si="7"/>
        <v>0.74021793648198486</v>
      </c>
      <c r="P12" s="401">
        <f t="shared" si="7"/>
        <v>4.492006793387382E-2</v>
      </c>
      <c r="Q12" s="401">
        <f t="shared" si="7"/>
        <v>-0.8679206344290018</v>
      </c>
      <c r="R12" s="401">
        <f t="shared" si="11"/>
        <v>1.3472571674620282</v>
      </c>
      <c r="S12" s="401">
        <f t="shared" si="12"/>
        <v>-0.40011071347193389</v>
      </c>
      <c r="T12" s="401">
        <f t="shared" si="13"/>
        <v>0.44756133705191276</v>
      </c>
      <c r="U12" s="331">
        <v>1.7000000000000001E-2</v>
      </c>
      <c r="V12" s="332">
        <f t="shared" si="8"/>
        <v>5.3719563998611318E-3</v>
      </c>
      <c r="W12" s="330">
        <v>2.4799999999999999E-2</v>
      </c>
      <c r="X12" s="332">
        <f t="shared" si="9"/>
        <v>4.5763775067442737E-3</v>
      </c>
      <c r="Y12" s="332">
        <f t="shared" si="14"/>
        <v>4.5763775067442737E-3</v>
      </c>
      <c r="Z12" s="330"/>
      <c r="AA12" s="334" t="s">
        <v>708</v>
      </c>
      <c r="AB12" s="403">
        <f>MacroAssumptions!C17</f>
        <v>0.1</v>
      </c>
      <c r="AK12" s="355"/>
      <c r="AL12" s="355"/>
      <c r="AM12" s="355"/>
      <c r="AN12" s="355"/>
      <c r="AO12" s="355"/>
    </row>
    <row r="13" spans="1:58" x14ac:dyDescent="0.25">
      <c r="A13" s="355" t="s">
        <v>563</v>
      </c>
      <c r="B13" s="355" t="s">
        <v>584</v>
      </c>
      <c r="C13" s="345">
        <f>'Historical Data'!B197</f>
        <v>2.1335309496726129E-2</v>
      </c>
      <c r="D13" s="401">
        <f>'Historical Data'!E30</f>
        <v>4.8</v>
      </c>
      <c r="E13" s="355">
        <v>4</v>
      </c>
      <c r="F13" s="401">
        <f t="shared" si="1"/>
        <v>-0.20000000000000018</v>
      </c>
      <c r="G13" s="401">
        <f>'Historical Data'!H62</f>
        <v>-1.6</v>
      </c>
      <c r="H13" s="321">
        <v>0.17414277680000001</v>
      </c>
      <c r="I13" s="401">
        <f t="shared" si="10"/>
        <v>0</v>
      </c>
      <c r="J13" s="401">
        <f t="shared" si="2"/>
        <v>0.56200000000000006</v>
      </c>
      <c r="K13" s="401">
        <f t="shared" si="3"/>
        <v>0.36399999999999999</v>
      </c>
      <c r="L13" s="401">
        <f t="shared" si="4"/>
        <v>5.1999999999999998E-2</v>
      </c>
      <c r="M13" s="401">
        <f t="shared" si="5"/>
        <v>0.95799999999999996</v>
      </c>
      <c r="N13" s="401">
        <f t="shared" si="6"/>
        <v>0.16800000000000001</v>
      </c>
      <c r="O13" s="401">
        <f t="shared" si="7"/>
        <v>0.23439693322853619</v>
      </c>
      <c r="P13" s="401">
        <f t="shared" si="7"/>
        <v>-0.4158773941062861</v>
      </c>
      <c r="Q13" s="401">
        <f t="shared" si="7"/>
        <v>-1.5059434262388363</v>
      </c>
      <c r="R13" s="401">
        <f t="shared" si="11"/>
        <v>1.5993822002961948</v>
      </c>
      <c r="S13" s="401">
        <f t="shared" si="12"/>
        <v>-0.40011071347193389</v>
      </c>
      <c r="T13" s="401">
        <f t="shared" si="13"/>
        <v>0.15155870540629277</v>
      </c>
      <c r="U13" s="331">
        <v>1.7000000000000001E-2</v>
      </c>
      <c r="V13" s="332">
        <f t="shared" si="8"/>
        <v>7.9275075175838979E-3</v>
      </c>
      <c r="W13" s="330">
        <v>2.41E-2</v>
      </c>
      <c r="X13" s="332">
        <f t="shared" si="9"/>
        <v>5.8188040658612274E-3</v>
      </c>
      <c r="Y13" s="332">
        <f t="shared" si="14"/>
        <v>5.8188040658612274E-3</v>
      </c>
      <c r="Z13" s="330"/>
      <c r="AC13" s="355">
        <v>2019</v>
      </c>
      <c r="AD13" s="355">
        <v>2020</v>
      </c>
      <c r="AK13" s="355"/>
      <c r="AL13" s="355"/>
      <c r="AM13" s="355"/>
      <c r="AN13" s="355"/>
      <c r="AO13" s="355"/>
    </row>
    <row r="14" spans="1:58" x14ac:dyDescent="0.25">
      <c r="A14" s="355" t="s">
        <v>563</v>
      </c>
      <c r="B14" s="355" t="s">
        <v>585</v>
      </c>
      <c r="C14" s="345">
        <f>'Historical Data'!B198</f>
        <v>2.0994426849833436E-2</v>
      </c>
      <c r="D14" s="401">
        <f>'Historical Data'!E31</f>
        <v>5.2</v>
      </c>
      <c r="E14" s="355">
        <v>4</v>
      </c>
      <c r="F14" s="401">
        <f t="shared" si="1"/>
        <v>0.40000000000000036</v>
      </c>
      <c r="G14" s="401">
        <f>'Historical Data'!H63</f>
        <v>-1.6</v>
      </c>
      <c r="H14" s="321">
        <v>0.19610960389999998</v>
      </c>
      <c r="I14" s="401">
        <f t="shared" si="10"/>
        <v>0</v>
      </c>
      <c r="J14" s="401">
        <f t="shared" si="2"/>
        <v>0.55200000000000005</v>
      </c>
      <c r="K14" s="401">
        <f t="shared" si="3"/>
        <v>0.56200000000000006</v>
      </c>
      <c r="L14" s="401">
        <f t="shared" si="4"/>
        <v>5.1999999999999998E-2</v>
      </c>
      <c r="M14" s="401">
        <f t="shared" si="5"/>
        <v>0.97899999999999998</v>
      </c>
      <c r="N14" s="401">
        <f t="shared" si="6"/>
        <v>0.16800000000000001</v>
      </c>
      <c r="O14" s="401">
        <f t="shared" si="7"/>
        <v>0.19975165903309444</v>
      </c>
      <c r="P14" s="401">
        <f t="shared" si="7"/>
        <v>0.25498949915806451</v>
      </c>
      <c r="Q14" s="401">
        <f t="shared" si="7"/>
        <v>-1.5059434262388363</v>
      </c>
      <c r="R14" s="401">
        <f t="shared" si="11"/>
        <v>1.6719113193306812</v>
      </c>
      <c r="S14" s="401">
        <f t="shared" si="12"/>
        <v>-0.40011071347193389</v>
      </c>
      <c r="T14" s="401">
        <f t="shared" si="13"/>
        <v>7.0937763466041304E-2</v>
      </c>
      <c r="U14" s="331">
        <v>1.7000000000000001E-2</v>
      </c>
      <c r="V14" s="332">
        <f t="shared" si="8"/>
        <v>8.7872398714037118E-3</v>
      </c>
      <c r="W14" s="330">
        <v>2.81E-2</v>
      </c>
      <c r="X14" s="332">
        <f t="shared" si="9"/>
        <v>7.3622345962829142E-3</v>
      </c>
      <c r="Y14" s="332">
        <f t="shared" si="14"/>
        <v>7.3622345962829142E-3</v>
      </c>
      <c r="Z14" s="330"/>
      <c r="AA14" s="334" t="s">
        <v>572</v>
      </c>
      <c r="AB14" s="403">
        <f>MacroAssumptions!F16</f>
        <v>0.6</v>
      </c>
      <c r="AC14" s="355">
        <v>0.6</v>
      </c>
      <c r="AD14" s="355">
        <v>0.4</v>
      </c>
      <c r="AK14" s="355"/>
      <c r="AL14" s="355"/>
      <c r="AM14" s="355"/>
      <c r="AN14" s="355"/>
      <c r="AO14" s="355"/>
    </row>
    <row r="15" spans="1:58" x14ac:dyDescent="0.25">
      <c r="A15" s="355" t="s">
        <v>563</v>
      </c>
      <c r="B15" s="355" t="s">
        <v>586</v>
      </c>
      <c r="C15" s="345">
        <f>'Historical Data'!B199</f>
        <v>2.5957095878622827E-2</v>
      </c>
      <c r="D15" s="401">
        <f>'Historical Data'!E32</f>
        <v>4.7</v>
      </c>
      <c r="E15" s="355">
        <v>4</v>
      </c>
      <c r="F15" s="401">
        <f t="shared" si="1"/>
        <v>-0.5</v>
      </c>
      <c r="G15" s="401">
        <f>'Historical Data'!H64</f>
        <v>-1.1000000000000001</v>
      </c>
      <c r="H15" s="321">
        <v>0.28360741969999997</v>
      </c>
      <c r="I15" s="401">
        <f t="shared" si="10"/>
        <v>0</v>
      </c>
      <c r="J15" s="401">
        <f t="shared" si="2"/>
        <v>0.72899999999999998</v>
      </c>
      <c r="K15" s="401">
        <f t="shared" si="3"/>
        <v>0.28100000000000003</v>
      </c>
      <c r="L15" s="401">
        <f t="shared" si="4"/>
        <v>8.3000000000000004E-2</v>
      </c>
      <c r="M15" s="401">
        <f t="shared" si="5"/>
        <v>1</v>
      </c>
      <c r="N15" s="401">
        <f t="shared" si="6"/>
        <v>0.16800000000000001</v>
      </c>
      <c r="O15" s="401">
        <f t="shared" si="7"/>
        <v>0.81297301229241248</v>
      </c>
      <c r="P15" s="401">
        <f t="shared" si="7"/>
        <v>-0.6970993746160894</v>
      </c>
      <c r="Q15" s="401">
        <f t="shared" si="7"/>
        <v>-1.4001749420350666</v>
      </c>
      <c r="R15" s="401">
        <f t="shared" si="11"/>
        <v>1.7444404383651677</v>
      </c>
      <c r="S15" s="401">
        <f t="shared" si="12"/>
        <v>-0.40011071347193389</v>
      </c>
      <c r="T15" s="401">
        <f t="shared" si="13"/>
        <v>0.55190922312287305</v>
      </c>
      <c r="U15" s="331">
        <v>1.7000000000000001E-2</v>
      </c>
      <c r="V15" s="332">
        <f t="shared" si="8"/>
        <v>4.6637865531744442E-3</v>
      </c>
      <c r="W15" s="330">
        <v>2.9499999999999998E-2</v>
      </c>
      <c r="X15" s="332">
        <f t="shared" si="9"/>
        <v>7.1261779807206835E-3</v>
      </c>
      <c r="Y15" s="332">
        <f t="shared" si="14"/>
        <v>7.1261779807206835E-3</v>
      </c>
      <c r="Z15" s="330"/>
      <c r="AA15" s="334" t="s">
        <v>587</v>
      </c>
      <c r="AB15" s="403">
        <f>MacroAssumptions!F18</f>
        <v>0.05</v>
      </c>
      <c r="AC15" s="355">
        <v>0.2</v>
      </c>
      <c r="AD15" s="355">
        <v>0.6</v>
      </c>
      <c r="AK15" s="355"/>
      <c r="AL15" s="355"/>
      <c r="AM15" s="355"/>
      <c r="AN15" s="355"/>
      <c r="AO15" s="355"/>
    </row>
    <row r="16" spans="1:58" x14ac:dyDescent="0.25">
      <c r="A16" s="355" t="s">
        <v>563</v>
      </c>
      <c r="B16" s="355" t="s">
        <v>588</v>
      </c>
      <c r="C16" s="345">
        <f>'Historical Data'!B200</f>
        <v>2.8214013427473539E-2</v>
      </c>
      <c r="D16" s="401">
        <f>'Historical Data'!E33</f>
        <v>4.9000000000000004</v>
      </c>
      <c r="E16" s="355">
        <v>3.75</v>
      </c>
      <c r="F16" s="401">
        <f t="shared" si="1"/>
        <v>0.20000000000000018</v>
      </c>
      <c r="G16" s="401">
        <f>'Historical Data'!H65</f>
        <v>-1</v>
      </c>
      <c r="H16" s="321">
        <v>0.20483091789999999</v>
      </c>
      <c r="I16" s="401">
        <f t="shared" si="10"/>
        <v>-0.25</v>
      </c>
      <c r="J16" s="401">
        <f t="shared" si="2"/>
        <v>0.81200000000000006</v>
      </c>
      <c r="K16" s="401">
        <f t="shared" si="3"/>
        <v>0.41599999999999998</v>
      </c>
      <c r="L16" s="401">
        <f t="shared" si="4"/>
        <v>0.125</v>
      </c>
      <c r="M16" s="401">
        <f t="shared" si="5"/>
        <v>0.98899999999999999</v>
      </c>
      <c r="N16" s="401">
        <f t="shared" si="6"/>
        <v>9.4E-2</v>
      </c>
      <c r="O16" s="401">
        <f t="shared" si="7"/>
        <v>1.1005287881145789</v>
      </c>
      <c r="P16" s="401">
        <f t="shared" si="7"/>
        <v>-0.23969012920857793</v>
      </c>
      <c r="Q16" s="401">
        <f t="shared" si="7"/>
        <v>-1.2568757053718955</v>
      </c>
      <c r="R16" s="401">
        <f t="shared" si="11"/>
        <v>1.706448995061389</v>
      </c>
      <c r="S16" s="401">
        <f t="shared" si="12"/>
        <v>-0.65364621507791254</v>
      </c>
      <c r="T16" s="401">
        <f t="shared" si="13"/>
        <v>0.66387899325076316</v>
      </c>
      <c r="U16" s="331">
        <v>1.7000000000000001E-2</v>
      </c>
      <c r="V16" s="332">
        <f t="shared" si="8"/>
        <v>3.9976412527713565E-3</v>
      </c>
      <c r="W16" s="330">
        <v>2.6700000000000002E-2</v>
      </c>
      <c r="X16" s="332">
        <f t="shared" si="9"/>
        <v>5.8162225591165033E-3</v>
      </c>
      <c r="Y16" s="332">
        <f t="shared" si="14"/>
        <v>5.8162225591165033E-3</v>
      </c>
      <c r="Z16" s="330"/>
      <c r="AA16" s="322" t="s">
        <v>705</v>
      </c>
      <c r="AB16" s="403">
        <f>MacroAssumptions!F17</f>
        <v>0.35</v>
      </c>
      <c r="AC16" s="355">
        <v>0.2</v>
      </c>
      <c r="AD16" s="355">
        <v>0</v>
      </c>
      <c r="AK16" s="355"/>
      <c r="AL16" s="355"/>
      <c r="AM16" s="355"/>
      <c r="AN16" s="355"/>
      <c r="AO16" s="355"/>
    </row>
    <row r="17" spans="1:42" x14ac:dyDescent="0.25">
      <c r="A17" s="355" t="s">
        <v>563</v>
      </c>
      <c r="B17" s="355" t="s">
        <v>589</v>
      </c>
      <c r="C17" s="345">
        <f>'Historical Data'!B201</f>
        <v>3.2610543246897938E-2</v>
      </c>
      <c r="D17" s="401">
        <f>'Historical Data'!E34</f>
        <v>4.5</v>
      </c>
      <c r="E17" s="355">
        <v>3.75</v>
      </c>
      <c r="F17" s="401">
        <f t="shared" si="1"/>
        <v>-0.40000000000000036</v>
      </c>
      <c r="G17" s="401">
        <f>'Historical Data'!H66</f>
        <v>-0.8</v>
      </c>
      <c r="H17" s="321">
        <v>0.13482142859999999</v>
      </c>
      <c r="I17" s="401">
        <f t="shared" si="10"/>
        <v>0</v>
      </c>
      <c r="J17" s="401">
        <f t="shared" si="2"/>
        <v>0.85399999999999998</v>
      </c>
      <c r="K17" s="401">
        <f t="shared" si="3"/>
        <v>0.22900000000000001</v>
      </c>
      <c r="L17" s="401">
        <f t="shared" si="4"/>
        <v>0.17699999999999999</v>
      </c>
      <c r="M17" s="401">
        <f t="shared" si="5"/>
        <v>0.91600000000000004</v>
      </c>
      <c r="N17" s="401">
        <f t="shared" si="6"/>
        <v>0.16800000000000001</v>
      </c>
      <c r="O17" s="401">
        <f t="shared" si="7"/>
        <v>1.2460389397354339</v>
      </c>
      <c r="P17" s="401">
        <f t="shared" si="7"/>
        <v>-0.87328663951379759</v>
      </c>
      <c r="Q17" s="401">
        <f t="shared" si="7"/>
        <v>-1.0794576028365404</v>
      </c>
      <c r="R17" s="401">
        <f t="shared" si="11"/>
        <v>1.4543239622272224</v>
      </c>
      <c r="S17" s="401">
        <f t="shared" si="12"/>
        <v>-0.40011071347193389</v>
      </c>
      <c r="T17" s="401">
        <f t="shared" si="13"/>
        <v>0.8324275923845148</v>
      </c>
      <c r="U17" s="331">
        <v>1.7000000000000001E-2</v>
      </c>
      <c r="V17" s="332">
        <f t="shared" si="8"/>
        <v>3.1548485256959469E-3</v>
      </c>
      <c r="W17" s="330">
        <v>2.4299999999999999E-2</v>
      </c>
      <c r="X17" s="332">
        <f t="shared" si="9"/>
        <v>3.9387587772139162E-3</v>
      </c>
      <c r="Y17" s="332">
        <f t="shared" si="14"/>
        <v>3.9387587772139162E-3</v>
      </c>
      <c r="Z17" s="330"/>
      <c r="AK17" s="355"/>
      <c r="AL17" s="355"/>
      <c r="AM17" s="355"/>
      <c r="AN17" s="355"/>
      <c r="AO17" s="355"/>
    </row>
    <row r="18" spans="1:42" ht="15.75" x14ac:dyDescent="0.25">
      <c r="A18" s="355" t="s">
        <v>563</v>
      </c>
      <c r="B18" s="355" t="s">
        <v>590</v>
      </c>
      <c r="C18" s="345">
        <f>'Historical Data'!B202</f>
        <v>3.5349656952225139E-2</v>
      </c>
      <c r="D18" s="401">
        <f>'Historical Data'!E35</f>
        <v>5</v>
      </c>
      <c r="E18" s="355">
        <v>3.5</v>
      </c>
      <c r="F18" s="401">
        <f t="shared" si="1"/>
        <v>0.5</v>
      </c>
      <c r="G18" s="401">
        <f>'Historical Data'!H67</f>
        <v>-0.3</v>
      </c>
      <c r="H18" s="321">
        <v>0.1099830795</v>
      </c>
      <c r="I18" s="401">
        <f t="shared" si="10"/>
        <v>-0.25</v>
      </c>
      <c r="J18" s="401">
        <f t="shared" si="2"/>
        <v>0.91600000000000004</v>
      </c>
      <c r="K18" s="401">
        <f t="shared" si="3"/>
        <v>0.5</v>
      </c>
      <c r="L18" s="401">
        <f t="shared" si="4"/>
        <v>0.27</v>
      </c>
      <c r="M18" s="401">
        <f t="shared" si="5"/>
        <v>0.86399999999999999</v>
      </c>
      <c r="N18" s="401">
        <f t="shared" si="6"/>
        <v>9.4E-2</v>
      </c>
      <c r="O18" s="401">
        <f t="shared" si="7"/>
        <v>1.4608396397471728</v>
      </c>
      <c r="P18" s="401">
        <f t="shared" si="7"/>
        <v>4.492006793387382E-2</v>
      </c>
      <c r="Q18" s="401">
        <f t="shared" si="7"/>
        <v>-0.76215215022523231</v>
      </c>
      <c r="R18" s="401">
        <f t="shared" si="11"/>
        <v>1.2747280484275416</v>
      </c>
      <c r="S18" s="401">
        <f t="shared" si="12"/>
        <v>-0.65364621507791254</v>
      </c>
      <c r="T18" s="401">
        <f t="shared" si="13"/>
        <v>0.85790474536735595</v>
      </c>
      <c r="U18" s="331">
        <v>1.7000000000000001E-2</v>
      </c>
      <c r="V18" s="332">
        <f t="shared" si="8"/>
        <v>3.0424202273650436E-3</v>
      </c>
      <c r="W18" s="330">
        <v>1.83E-2</v>
      </c>
      <c r="X18" s="332">
        <f t="shared" si="9"/>
        <v>3.3983033352774487E-3</v>
      </c>
      <c r="Y18" s="332">
        <f t="shared" si="14"/>
        <v>3.3983033352774487E-3</v>
      </c>
      <c r="Z18" s="330"/>
      <c r="AA18" s="343" t="s">
        <v>622</v>
      </c>
      <c r="AB18" s="357"/>
      <c r="AC18" s="357"/>
      <c r="AK18" s="355"/>
      <c r="AL18" s="355"/>
      <c r="AM18" s="355"/>
      <c r="AN18" s="355"/>
      <c r="AO18" s="355"/>
    </row>
    <row r="19" spans="1:42" x14ac:dyDescent="0.25">
      <c r="A19" s="355" t="s">
        <v>563</v>
      </c>
      <c r="B19" s="355" t="s">
        <v>591</v>
      </c>
      <c r="C19" s="345">
        <f>'Historical Data'!B203</f>
        <v>3.5198346426619009E-2</v>
      </c>
      <c r="D19" s="401">
        <f>'Historical Data'!E36</f>
        <v>4.5</v>
      </c>
      <c r="E19" s="355">
        <v>3.75</v>
      </c>
      <c r="F19" s="401">
        <f t="shared" si="1"/>
        <v>-0.5</v>
      </c>
      <c r="G19" s="401">
        <f>'Historical Data'!H68</f>
        <v>-0.2</v>
      </c>
      <c r="H19" s="321">
        <v>8.2864038619999997E-2</v>
      </c>
      <c r="I19" s="401">
        <f t="shared" si="10"/>
        <v>0.25</v>
      </c>
      <c r="J19" s="401">
        <f t="shared" si="2"/>
        <v>0.90600000000000003</v>
      </c>
      <c r="K19" s="401">
        <f t="shared" si="3"/>
        <v>0.22900000000000001</v>
      </c>
      <c r="L19" s="401">
        <f t="shared" si="4"/>
        <v>0.33300000000000002</v>
      </c>
      <c r="M19" s="401">
        <f t="shared" si="5"/>
        <v>0.72899999999999998</v>
      </c>
      <c r="N19" s="401">
        <f t="shared" si="6"/>
        <v>0.86299999999999999</v>
      </c>
      <c r="O19" s="401">
        <f t="shared" si="7"/>
        <v>1.4261943655517308</v>
      </c>
      <c r="P19" s="401">
        <f t="shared" si="7"/>
        <v>-0.87328663951379759</v>
      </c>
      <c r="Q19" s="401">
        <f t="shared" si="7"/>
        <v>-0.54720329523047528</v>
      </c>
      <c r="R19" s="401">
        <f t="shared" si="11"/>
        <v>0.80846942606298644</v>
      </c>
      <c r="S19" s="401">
        <f t="shared" si="12"/>
        <v>1.981067308368001</v>
      </c>
      <c r="T19" s="401">
        <f t="shared" si="13"/>
        <v>1.1672786272024696</v>
      </c>
      <c r="U19" s="331">
        <v>1.7000000000000001E-2</v>
      </c>
      <c r="V19" s="332">
        <f t="shared" si="8"/>
        <v>1.9377451340299109E-3</v>
      </c>
      <c r="W19" s="330">
        <v>1.43E-2</v>
      </c>
      <c r="X19" s="332">
        <f t="shared" si="9"/>
        <v>2.7116712956969675E-3</v>
      </c>
      <c r="Y19" s="332">
        <f t="shared" si="14"/>
        <v>2.7116712956969675E-3</v>
      </c>
      <c r="Z19" s="330"/>
      <c r="AK19" s="355"/>
      <c r="AL19" s="355"/>
      <c r="AM19" s="355"/>
      <c r="AN19" s="334" t="s">
        <v>592</v>
      </c>
      <c r="AO19" s="357"/>
    </row>
    <row r="20" spans="1:42" x14ac:dyDescent="0.25">
      <c r="A20" s="355" t="s">
        <v>563</v>
      </c>
      <c r="B20" s="355" t="s">
        <v>593</v>
      </c>
      <c r="C20" s="345">
        <f>'Historical Data'!B204</f>
        <v>3.3964379063896377E-2</v>
      </c>
      <c r="D20" s="401">
        <f>'Historical Data'!E37</f>
        <v>4.5999999999999996</v>
      </c>
      <c r="E20" s="355">
        <v>4</v>
      </c>
      <c r="F20" s="401">
        <f t="shared" si="1"/>
        <v>9.9999999999999645E-2</v>
      </c>
      <c r="G20" s="401">
        <f>'Historical Data'!H69</f>
        <v>-0.4</v>
      </c>
      <c r="H20" s="321">
        <v>7.7786688049999997E-2</v>
      </c>
      <c r="I20" s="401">
        <f t="shared" si="10"/>
        <v>0.25</v>
      </c>
      <c r="J20" s="401">
        <f t="shared" si="2"/>
        <v>0.875</v>
      </c>
      <c r="K20" s="401">
        <f t="shared" si="3"/>
        <v>0.27</v>
      </c>
      <c r="L20" s="401">
        <f t="shared" si="4"/>
        <v>0.26</v>
      </c>
      <c r="M20" s="401">
        <f t="shared" si="5"/>
        <v>0.69699999999999995</v>
      </c>
      <c r="N20" s="401">
        <f t="shared" si="6"/>
        <v>0.86299999999999999</v>
      </c>
      <c r="O20" s="401">
        <f t="shared" si="7"/>
        <v>1.3187940155458615</v>
      </c>
      <c r="P20" s="401">
        <f t="shared" si="7"/>
        <v>-0.73436975757522005</v>
      </c>
      <c r="Q20" s="401">
        <f t="shared" si="7"/>
        <v>-0.79627101609741602</v>
      </c>
      <c r="R20" s="401">
        <f t="shared" si="11"/>
        <v>0.69794886372472131</v>
      </c>
      <c r="S20" s="401">
        <f t="shared" si="12"/>
        <v>1.981067308368001</v>
      </c>
      <c r="T20" s="401">
        <f t="shared" si="13"/>
        <v>1.0529879006845695</v>
      </c>
      <c r="U20" s="331">
        <v>1.7000000000000001E-2</v>
      </c>
      <c r="V20" s="332">
        <f t="shared" si="8"/>
        <v>2.2943359618546187E-3</v>
      </c>
      <c r="W20" s="330">
        <v>1.23E-2</v>
      </c>
      <c r="X20" s="332">
        <f t="shared" si="9"/>
        <v>2.4248337744165248E-3</v>
      </c>
      <c r="Y20" s="332">
        <f t="shared" si="14"/>
        <v>2.4248337744165248E-3</v>
      </c>
      <c r="Z20" s="330"/>
      <c r="AK20" s="355"/>
      <c r="AL20" s="355"/>
      <c r="AM20" s="355"/>
      <c r="AN20" s="355"/>
      <c r="AO20" s="355"/>
    </row>
    <row r="21" spans="1:42" x14ac:dyDescent="0.25">
      <c r="A21" s="355" t="s">
        <v>563</v>
      </c>
      <c r="B21" s="355" t="s">
        <v>594</v>
      </c>
      <c r="C21" s="345">
        <f>'Historical Data'!B205</f>
        <v>2.8040322243815474E-2</v>
      </c>
      <c r="D21" s="401">
        <f>'Historical Data'!E38</f>
        <v>4.4000000000000004</v>
      </c>
      <c r="E21" s="355">
        <v>4.5</v>
      </c>
      <c r="F21" s="401">
        <f t="shared" si="1"/>
        <v>-0.19999999999999929</v>
      </c>
      <c r="G21" s="401">
        <f>'Historical Data'!H70</f>
        <v>-0.2</v>
      </c>
      <c r="H21" s="321">
        <v>0.13847364280000002</v>
      </c>
      <c r="I21" s="401">
        <f t="shared" si="10"/>
        <v>0.5</v>
      </c>
      <c r="J21" s="401">
        <f t="shared" si="2"/>
        <v>0.79100000000000004</v>
      </c>
      <c r="K21" s="401">
        <f t="shared" si="3"/>
        <v>0.16600000000000001</v>
      </c>
      <c r="L21" s="401">
        <f t="shared" si="4"/>
        <v>0.33300000000000002</v>
      </c>
      <c r="M21" s="401">
        <f t="shared" si="5"/>
        <v>0.93700000000000006</v>
      </c>
      <c r="N21" s="401">
        <f t="shared" si="6"/>
        <v>0.96799999999999997</v>
      </c>
      <c r="O21" s="401">
        <f t="shared" si="7"/>
        <v>1.0277737123041513</v>
      </c>
      <c r="P21" s="401">
        <f t="shared" si="7"/>
        <v>-1.0867442873706366</v>
      </c>
      <c r="Q21" s="401">
        <f t="shared" si="7"/>
        <v>-0.54720329523047528</v>
      </c>
      <c r="R21" s="401">
        <f t="shared" si="11"/>
        <v>1.5268530812617087</v>
      </c>
      <c r="S21" s="401">
        <f t="shared" si="12"/>
        <v>2.3408136282143222</v>
      </c>
      <c r="T21" s="401">
        <f t="shared" si="13"/>
        <v>1.0573849975441099</v>
      </c>
      <c r="U21" s="331">
        <v>1.7000000000000001E-2</v>
      </c>
      <c r="V21" s="332">
        <f t="shared" si="8"/>
        <v>2.279585691949363E-3</v>
      </c>
      <c r="W21" s="330">
        <v>1.12E-2</v>
      </c>
      <c r="X21" s="332">
        <f t="shared" si="9"/>
        <v>2.1705555959446311E-3</v>
      </c>
      <c r="Y21" s="332">
        <f t="shared" si="14"/>
        <v>2.1705555959446311E-3</v>
      </c>
      <c r="Z21" s="330"/>
      <c r="AK21" s="355"/>
      <c r="AL21" s="355"/>
      <c r="AM21" s="355"/>
      <c r="AN21" s="328" t="s">
        <v>595</v>
      </c>
      <c r="AO21" s="355"/>
      <c r="AP21" s="355" t="s">
        <v>596</v>
      </c>
    </row>
    <row r="22" spans="1:42" x14ac:dyDescent="0.25">
      <c r="A22" s="355" t="s">
        <v>563</v>
      </c>
      <c r="B22" s="355" t="s">
        <v>597</v>
      </c>
      <c r="C22" s="345">
        <f>'Historical Data'!B206</f>
        <v>1.924297508602546E-2</v>
      </c>
      <c r="D22" s="401">
        <f>'Historical Data'!E39</f>
        <v>4.7</v>
      </c>
      <c r="E22" s="355">
        <v>4.75</v>
      </c>
      <c r="F22" s="401">
        <f t="shared" si="1"/>
        <v>0.29999999999999982</v>
      </c>
      <c r="G22" s="401">
        <f>'Historical Data'!H71</f>
        <v>-0.6</v>
      </c>
      <c r="H22" s="321">
        <v>0.137195122</v>
      </c>
      <c r="I22" s="401">
        <f t="shared" si="10"/>
        <v>0.25</v>
      </c>
      <c r="J22" s="401">
        <f t="shared" si="2"/>
        <v>0.47899999999999998</v>
      </c>
      <c r="K22" s="401">
        <f t="shared" si="3"/>
        <v>0.28100000000000003</v>
      </c>
      <c r="L22" s="401">
        <f t="shared" si="4"/>
        <v>0.20799999999999999</v>
      </c>
      <c r="M22" s="401">
        <f t="shared" si="5"/>
        <v>0.92700000000000005</v>
      </c>
      <c r="N22" s="401">
        <f t="shared" si="6"/>
        <v>0.86299999999999999</v>
      </c>
      <c r="O22" s="401">
        <f t="shared" si="7"/>
        <v>-5.3158842593630261E-2</v>
      </c>
      <c r="P22" s="401">
        <f t="shared" si="7"/>
        <v>-0.6970993746160894</v>
      </c>
      <c r="Q22" s="401">
        <f t="shared" si="7"/>
        <v>-0.97368911863277119</v>
      </c>
      <c r="R22" s="401">
        <f t="shared" si="11"/>
        <v>1.4923154055310011</v>
      </c>
      <c r="S22" s="401">
        <f t="shared" si="12"/>
        <v>1.981067308368001</v>
      </c>
      <c r="T22" s="401">
        <f t="shared" si="13"/>
        <v>0.28778399143205391</v>
      </c>
      <c r="U22" s="331">
        <v>1.7000000000000001E-2</v>
      </c>
      <c r="V22" s="332">
        <f t="shared" si="8"/>
        <v>6.6420542762421521E-3</v>
      </c>
      <c r="W22" s="330">
        <v>1.2500000000000001E-2</v>
      </c>
      <c r="X22" s="332">
        <f t="shared" si="9"/>
        <v>3.7386586433487113E-3</v>
      </c>
      <c r="Y22" s="332">
        <f t="shared" si="14"/>
        <v>3.7386586433487113E-3</v>
      </c>
      <c r="Z22" s="330"/>
      <c r="AK22" s="355"/>
      <c r="AL22" s="355"/>
      <c r="AM22" s="355"/>
      <c r="AN22" s="328" t="s">
        <v>598</v>
      </c>
      <c r="AO22" s="355"/>
      <c r="AP22" s="355" t="s">
        <v>599</v>
      </c>
    </row>
    <row r="23" spans="1:42" x14ac:dyDescent="0.25">
      <c r="A23" s="355" t="s">
        <v>563</v>
      </c>
      <c r="B23" s="355" t="s">
        <v>600</v>
      </c>
      <c r="C23" s="345">
        <f>'Historical Data'!B207</f>
        <v>1.4034681579118802E-2</v>
      </c>
      <c r="D23" s="401">
        <f>'Historical Data'!E40</f>
        <v>4.4000000000000004</v>
      </c>
      <c r="E23" s="355">
        <v>4.75</v>
      </c>
      <c r="F23" s="401">
        <f t="shared" si="1"/>
        <v>-0.29999999999999982</v>
      </c>
      <c r="G23" s="401">
        <f>'Historical Data'!H72</f>
        <v>-0.3</v>
      </c>
      <c r="H23" s="321">
        <v>0.106983655</v>
      </c>
      <c r="I23" s="401">
        <f t="shared" si="10"/>
        <v>0</v>
      </c>
      <c r="J23" s="401">
        <f t="shared" si="2"/>
        <v>0.32200000000000001</v>
      </c>
      <c r="K23" s="401">
        <f t="shared" si="3"/>
        <v>0.16600000000000001</v>
      </c>
      <c r="L23" s="401">
        <f t="shared" si="4"/>
        <v>0.27</v>
      </c>
      <c r="M23" s="401">
        <f t="shared" si="5"/>
        <v>0.84299999999999997</v>
      </c>
      <c r="N23" s="401">
        <f t="shared" si="6"/>
        <v>0.16800000000000001</v>
      </c>
      <c r="O23" s="401">
        <f t="shared" si="7"/>
        <v>-0.59708964746206505</v>
      </c>
      <c r="P23" s="401">
        <f t="shared" si="7"/>
        <v>-1.0867442873706366</v>
      </c>
      <c r="Q23" s="401">
        <f t="shared" si="7"/>
        <v>-0.76215215022523231</v>
      </c>
      <c r="R23" s="401">
        <f t="shared" si="11"/>
        <v>1.2021989293930553</v>
      </c>
      <c r="S23" s="401">
        <f t="shared" si="12"/>
        <v>-0.40011071347193389</v>
      </c>
      <c r="T23" s="401">
        <f t="shared" si="13"/>
        <v>-0.24558575317058645</v>
      </c>
      <c r="U23" s="331">
        <v>1.7000000000000001E-2</v>
      </c>
      <c r="V23" s="332">
        <f t="shared" si="8"/>
        <v>1.3001553375869355E-2</v>
      </c>
      <c r="W23" s="330">
        <v>1.1900000000000001E-2</v>
      </c>
      <c r="X23" s="332">
        <f t="shared" si="9"/>
        <v>7.3077311146869566E-3</v>
      </c>
      <c r="Y23" s="332">
        <f t="shared" si="14"/>
        <v>7.3077311146869566E-3</v>
      </c>
      <c r="Z23" s="330"/>
      <c r="AK23" s="355"/>
      <c r="AL23" s="355"/>
      <c r="AM23" s="355"/>
      <c r="AN23" s="328" t="s">
        <v>602</v>
      </c>
      <c r="AO23" s="355"/>
      <c r="AP23" s="355" t="s">
        <v>603</v>
      </c>
    </row>
    <row r="24" spans="1:42" x14ac:dyDescent="0.25">
      <c r="A24" s="357" t="s">
        <v>563</v>
      </c>
      <c r="B24" s="357" t="s">
        <v>604</v>
      </c>
      <c r="C24" s="345">
        <f>'Historical Data'!B208</f>
        <v>1.7026348988588236E-2</v>
      </c>
      <c r="D24" s="401">
        <f>'Historical Data'!E41</f>
        <v>4.5</v>
      </c>
      <c r="E24" s="357">
        <v>4.75</v>
      </c>
      <c r="F24" s="401">
        <f t="shared" si="1"/>
        <v>9.9999999999999645E-2</v>
      </c>
      <c r="G24" s="401">
        <f>'Historical Data'!H73</f>
        <v>-0.1</v>
      </c>
      <c r="H24" s="321">
        <v>0.11590247910000001</v>
      </c>
      <c r="I24" s="401">
        <f t="shared" si="10"/>
        <v>0</v>
      </c>
      <c r="J24" s="401">
        <f t="shared" si="2"/>
        <v>0.39500000000000002</v>
      </c>
      <c r="K24" s="401">
        <f t="shared" si="3"/>
        <v>0.22900000000000001</v>
      </c>
      <c r="L24" s="401">
        <f t="shared" si="4"/>
        <v>0.36399999999999999</v>
      </c>
      <c r="M24" s="401">
        <f t="shared" si="5"/>
        <v>0.875</v>
      </c>
      <c r="N24" s="401">
        <f t="shared" si="6"/>
        <v>0.16800000000000001</v>
      </c>
      <c r="O24" s="401">
        <f t="shared" si="7"/>
        <v>-0.34417914583534048</v>
      </c>
      <c r="P24" s="401">
        <f t="shared" si="7"/>
        <v>-0.87328663951379759</v>
      </c>
      <c r="Q24" s="401">
        <f t="shared" si="7"/>
        <v>-0.44143481102670601</v>
      </c>
      <c r="R24" s="401">
        <f t="shared" si="11"/>
        <v>1.3127194917313203</v>
      </c>
      <c r="S24" s="401">
        <f t="shared" si="12"/>
        <v>-0.40011071347193389</v>
      </c>
      <c r="T24" s="401">
        <f t="shared" si="13"/>
        <v>-7.2061426826556502E-2</v>
      </c>
      <c r="U24" s="331">
        <v>1.7000000000000001E-2</v>
      </c>
      <c r="V24" s="332">
        <f t="shared" si="8"/>
        <v>1.0514449815413572E-2</v>
      </c>
      <c r="W24" s="330">
        <v>1.04E-2</v>
      </c>
      <c r="X24" s="332">
        <f t="shared" si="9"/>
        <v>1.005268582250836E-2</v>
      </c>
      <c r="Y24" s="332">
        <f t="shared" si="14"/>
        <v>1.005268582250836E-2</v>
      </c>
      <c r="Z24" s="330"/>
      <c r="AK24" s="355"/>
      <c r="AL24" s="355"/>
      <c r="AM24" s="355"/>
      <c r="AN24" s="328" t="s">
        <v>605</v>
      </c>
      <c r="AO24" s="355"/>
      <c r="AP24" s="355" t="s">
        <v>596</v>
      </c>
    </row>
    <row r="25" spans="1:42" x14ac:dyDescent="0.25">
      <c r="A25" s="355" t="s">
        <v>563</v>
      </c>
      <c r="B25" s="355" t="s">
        <v>606</v>
      </c>
      <c r="C25" s="345">
        <f>'Historical Data'!B209</f>
        <v>2.5999321278863619E-2</v>
      </c>
      <c r="D25" s="401">
        <f>'Historical Data'!E42</f>
        <v>4.4000000000000004</v>
      </c>
      <c r="E25" s="355">
        <v>4.75</v>
      </c>
      <c r="F25" s="401">
        <f t="shared" si="1"/>
        <v>-9.9999999999999645E-2</v>
      </c>
      <c r="G25" s="401">
        <f>'Historical Data'!H74</f>
        <v>0.1</v>
      </c>
      <c r="H25" s="321">
        <v>7.0927939440000004E-2</v>
      </c>
      <c r="I25" s="401">
        <f t="shared" si="10"/>
        <v>0</v>
      </c>
      <c r="J25" s="401">
        <f t="shared" si="2"/>
        <v>0.73899999999999999</v>
      </c>
      <c r="K25" s="401">
        <f t="shared" si="3"/>
        <v>0.16600000000000001</v>
      </c>
      <c r="L25" s="401">
        <f t="shared" si="4"/>
        <v>0.375</v>
      </c>
      <c r="M25" s="401">
        <f t="shared" si="5"/>
        <v>0.65600000000000003</v>
      </c>
      <c r="N25" s="401">
        <f t="shared" si="6"/>
        <v>0.16800000000000001</v>
      </c>
      <c r="O25" s="401">
        <f t="shared" si="7"/>
        <v>0.8476182864878542</v>
      </c>
      <c r="P25" s="401">
        <f t="shared" si="7"/>
        <v>-1.0867442873706366</v>
      </c>
      <c r="Q25" s="401">
        <f t="shared" si="7"/>
        <v>-0.40390405856730399</v>
      </c>
      <c r="R25" s="401">
        <f t="shared" si="11"/>
        <v>0.55634439322881968</v>
      </c>
      <c r="S25" s="401">
        <f t="shared" si="12"/>
        <v>-0.40011071347193389</v>
      </c>
      <c r="T25" s="401">
        <f t="shared" si="13"/>
        <v>0.59247836274873433</v>
      </c>
      <c r="U25" s="331">
        <v>1.7000000000000001E-2</v>
      </c>
      <c r="V25" s="332">
        <f t="shared" si="8"/>
        <v>4.4117731520950535E-3</v>
      </c>
      <c r="W25" s="330">
        <v>1.11E-2</v>
      </c>
      <c r="X25" s="332">
        <f t="shared" si="9"/>
        <v>9.3092587811259928E-3</v>
      </c>
      <c r="Y25" s="332">
        <f t="shared" si="14"/>
        <v>9.3092587811259928E-3</v>
      </c>
      <c r="Z25" s="330"/>
      <c r="AK25" s="355"/>
      <c r="AL25" s="355"/>
      <c r="AM25" s="355"/>
      <c r="AN25" s="328" t="s">
        <v>607</v>
      </c>
      <c r="AO25" s="355"/>
      <c r="AP25" s="355" t="s">
        <v>608</v>
      </c>
    </row>
    <row r="26" spans="1:42" x14ac:dyDescent="0.25">
      <c r="A26" s="355" t="s">
        <v>563</v>
      </c>
      <c r="B26" s="355" t="s">
        <v>609</v>
      </c>
      <c r="C26" s="345">
        <f>'Historical Data'!B210</f>
        <v>3.5967532591475671E-2</v>
      </c>
      <c r="D26" s="401">
        <f>'Historical Data'!E43</f>
        <v>4.7</v>
      </c>
      <c r="E26" s="355">
        <v>4.5</v>
      </c>
      <c r="F26" s="401">
        <f t="shared" si="1"/>
        <v>0.29999999999999982</v>
      </c>
      <c r="G26" s="401">
        <f>'Historical Data'!H75</f>
        <v>0.6</v>
      </c>
      <c r="H26" s="321">
        <v>5.4634944489999997E-2</v>
      </c>
      <c r="I26" s="401">
        <f t="shared" si="10"/>
        <v>-0.25</v>
      </c>
      <c r="J26" s="401">
        <f t="shared" si="2"/>
        <v>0.92700000000000005</v>
      </c>
      <c r="K26" s="401">
        <f t="shared" si="3"/>
        <v>0.28100000000000003</v>
      </c>
      <c r="L26" s="401">
        <f t="shared" si="4"/>
        <v>0.45800000000000002</v>
      </c>
      <c r="M26" s="401">
        <f t="shared" si="5"/>
        <v>0.57199999999999995</v>
      </c>
      <c r="N26" s="401">
        <f t="shared" si="6"/>
        <v>9.4E-2</v>
      </c>
      <c r="O26" s="401">
        <f t="shared" si="7"/>
        <v>1.4989494413621587</v>
      </c>
      <c r="P26" s="401">
        <f t="shared" si="7"/>
        <v>-0.6970993746160894</v>
      </c>
      <c r="Q26" s="401">
        <f t="shared" si="7"/>
        <v>-0.12071747182817956</v>
      </c>
      <c r="R26" s="401">
        <f t="shared" si="11"/>
        <v>0.26622791709087396</v>
      </c>
      <c r="S26" s="401">
        <f t="shared" si="12"/>
        <v>-0.65364621507791254</v>
      </c>
      <c r="T26" s="401">
        <f t="shared" si="13"/>
        <v>0.91826602529738233</v>
      </c>
      <c r="U26" s="331">
        <v>1.7000000000000001E-2</v>
      </c>
      <c r="V26" s="332">
        <f t="shared" si="8"/>
        <v>2.7903218419562744E-3</v>
      </c>
      <c r="W26" s="330">
        <v>1.01E-2</v>
      </c>
      <c r="X26" s="332">
        <f t="shared" si="9"/>
        <v>5.9055149364882998E-3</v>
      </c>
      <c r="Y26" s="332">
        <f t="shared" si="14"/>
        <v>5.9055149364882998E-3</v>
      </c>
      <c r="Z26" s="330"/>
      <c r="AK26" s="355"/>
      <c r="AL26" s="355"/>
      <c r="AM26" s="355"/>
      <c r="AN26" s="328" t="s">
        <v>610</v>
      </c>
      <c r="AO26" s="355"/>
      <c r="AP26" s="355" t="s">
        <v>611</v>
      </c>
    </row>
    <row r="27" spans="1:42" x14ac:dyDescent="0.25">
      <c r="A27" s="355" t="s">
        <v>563</v>
      </c>
      <c r="B27" s="355" t="s">
        <v>612</v>
      </c>
      <c r="C27" s="345">
        <f>'Historical Data'!B211</f>
        <v>4.8058653006965324E-2</v>
      </c>
      <c r="D27" s="401">
        <f>'Historical Data'!E44</f>
        <v>4.7</v>
      </c>
      <c r="E27" s="355">
        <v>4.5</v>
      </c>
      <c r="F27" s="401">
        <f t="shared" si="1"/>
        <v>0</v>
      </c>
      <c r="G27" s="401">
        <f>'Historical Data'!H76</f>
        <v>0.4</v>
      </c>
      <c r="H27" s="321">
        <v>6.2856288310000008E-2</v>
      </c>
      <c r="I27" s="401">
        <f t="shared" si="10"/>
        <v>0</v>
      </c>
      <c r="J27" s="401">
        <f t="shared" si="2"/>
        <v>0.95799999999999996</v>
      </c>
      <c r="K27" s="401">
        <f t="shared" si="3"/>
        <v>0.28100000000000003</v>
      </c>
      <c r="L27" s="401">
        <f t="shared" si="4"/>
        <v>0.40600000000000003</v>
      </c>
      <c r="M27" s="401">
        <f t="shared" si="5"/>
        <v>0.59299999999999997</v>
      </c>
      <c r="N27" s="401">
        <f t="shared" si="6"/>
        <v>0.16800000000000001</v>
      </c>
      <c r="O27" s="401">
        <f t="shared" si="7"/>
        <v>1.6063497913680276</v>
      </c>
      <c r="P27" s="401">
        <f t="shared" si="7"/>
        <v>-0.6970993746160894</v>
      </c>
      <c r="Q27" s="401">
        <f t="shared" si="7"/>
        <v>-0.29813557436353455</v>
      </c>
      <c r="R27" s="401">
        <f t="shared" si="11"/>
        <v>0.33875703612536034</v>
      </c>
      <c r="S27" s="401">
        <f t="shared" si="12"/>
        <v>-0.40011071347193389</v>
      </c>
      <c r="T27" s="401">
        <f t="shared" si="13"/>
        <v>0.99757088711141462</v>
      </c>
      <c r="U27" s="331">
        <v>1.7000000000000001E-2</v>
      </c>
      <c r="V27" s="332">
        <f t="shared" si="8"/>
        <v>2.4877885340135191E-3</v>
      </c>
      <c r="W27" s="330">
        <v>1.04E-2</v>
      </c>
      <c r="X27" s="332">
        <f t="shared" si="9"/>
        <v>3.2299611760216156E-3</v>
      </c>
      <c r="Y27" s="332">
        <f t="shared" si="14"/>
        <v>3.2299611760216156E-3</v>
      </c>
      <c r="Z27" s="330"/>
      <c r="AK27" s="355"/>
      <c r="AL27" s="355"/>
      <c r="AM27" s="355"/>
      <c r="AN27" s="355"/>
      <c r="AO27" s="355"/>
    </row>
    <row r="28" spans="1:42" x14ac:dyDescent="0.25">
      <c r="A28" s="355" t="s">
        <v>563</v>
      </c>
      <c r="B28" s="355" t="s">
        <v>613</v>
      </c>
      <c r="C28" s="345">
        <f>'Historical Data'!B212</f>
        <v>4.347456967604546E-2</v>
      </c>
      <c r="D28" s="401">
        <f>'Historical Data'!E45</f>
        <v>4.9000000000000004</v>
      </c>
      <c r="E28" s="355">
        <v>4.5</v>
      </c>
      <c r="F28" s="401">
        <f t="shared" si="1"/>
        <v>0.20000000000000018</v>
      </c>
      <c r="G28" s="401">
        <f>'Historical Data'!H77</f>
        <v>0.4</v>
      </c>
      <c r="H28" s="321">
        <v>6.4641021110000002E-2</v>
      </c>
      <c r="I28" s="401">
        <f t="shared" si="10"/>
        <v>0</v>
      </c>
      <c r="J28" s="401">
        <f t="shared" si="2"/>
        <v>0.93700000000000006</v>
      </c>
      <c r="K28" s="401">
        <f t="shared" si="3"/>
        <v>0.41599999999999998</v>
      </c>
      <c r="L28" s="401">
        <f t="shared" si="4"/>
        <v>0.40600000000000003</v>
      </c>
      <c r="M28" s="401">
        <f t="shared" si="5"/>
        <v>0.61399999999999999</v>
      </c>
      <c r="N28" s="401">
        <f t="shared" si="6"/>
        <v>0.16800000000000001</v>
      </c>
      <c r="O28" s="401">
        <f t="shared" si="7"/>
        <v>1.5335947155576004</v>
      </c>
      <c r="P28" s="401">
        <f t="shared" si="7"/>
        <v>-0.23969012920857793</v>
      </c>
      <c r="Q28" s="401">
        <f t="shared" si="7"/>
        <v>-0.29813557436353455</v>
      </c>
      <c r="R28" s="401">
        <f t="shared" si="11"/>
        <v>0.41128615515984679</v>
      </c>
      <c r="S28" s="401">
        <f t="shared" si="12"/>
        <v>-0.40011071347193389</v>
      </c>
      <c r="T28" s="401">
        <f t="shared" si="13"/>
        <v>0.91542982898785585</v>
      </c>
      <c r="U28" s="331">
        <v>1.7000000000000001E-2</v>
      </c>
      <c r="V28" s="332">
        <f t="shared" si="8"/>
        <v>2.8017315879554877E-3</v>
      </c>
      <c r="W28" s="330">
        <v>1.09E-2</v>
      </c>
      <c r="X28" s="332">
        <f t="shared" si="9"/>
        <v>2.6932806546417602E-3</v>
      </c>
      <c r="Y28" s="332">
        <f t="shared" si="14"/>
        <v>2.6932806546417602E-3</v>
      </c>
      <c r="Z28" s="330"/>
      <c r="AK28" s="355"/>
      <c r="AL28" s="355"/>
      <c r="AM28" s="355"/>
      <c r="AN28" s="328" t="s">
        <v>614</v>
      </c>
      <c r="AO28" s="355"/>
    </row>
    <row r="29" spans="1:42" x14ac:dyDescent="0.25">
      <c r="A29" s="355" t="s">
        <v>563</v>
      </c>
      <c r="B29" s="355" t="s">
        <v>615</v>
      </c>
      <c r="C29" s="345">
        <f>'Historical Data'!B213</f>
        <v>3.3253127671419191E-2</v>
      </c>
      <c r="D29" s="401">
        <f>'Historical Data'!E46</f>
        <v>5.0999999999999996</v>
      </c>
      <c r="E29" s="355">
        <v>4.5</v>
      </c>
      <c r="F29" s="401">
        <f t="shared" si="1"/>
        <v>0.19999999999999929</v>
      </c>
      <c r="G29" s="401">
        <f>'Historical Data'!H78</f>
        <v>1.2</v>
      </c>
      <c r="H29" s="321">
        <v>7.2828290000000004E-2</v>
      </c>
      <c r="I29" s="401">
        <f t="shared" si="10"/>
        <v>0</v>
      </c>
      <c r="J29" s="401">
        <f t="shared" si="2"/>
        <v>0.86399999999999999</v>
      </c>
      <c r="K29" s="401">
        <f t="shared" si="3"/>
        <v>0.53100000000000003</v>
      </c>
      <c r="L29" s="401">
        <f t="shared" si="4"/>
        <v>0.52</v>
      </c>
      <c r="M29" s="401">
        <f t="shared" si="5"/>
        <v>0.66600000000000004</v>
      </c>
      <c r="N29" s="401">
        <f t="shared" si="6"/>
        <v>0.16800000000000001</v>
      </c>
      <c r="O29" s="401">
        <f t="shared" si="7"/>
        <v>1.2806842139308756</v>
      </c>
      <c r="P29" s="401">
        <f t="shared" si="7"/>
        <v>0.14995478354596917</v>
      </c>
      <c r="Q29" s="401">
        <f t="shared" si="7"/>
        <v>9.0819496579359116E-2</v>
      </c>
      <c r="R29" s="401">
        <f t="shared" si="11"/>
        <v>0.59088206895952744</v>
      </c>
      <c r="S29" s="401">
        <f t="shared" si="12"/>
        <v>-0.40011071347193389</v>
      </c>
      <c r="T29" s="401">
        <f t="shared" si="13"/>
        <v>0.78157413521062369</v>
      </c>
      <c r="U29" s="331">
        <v>1.7000000000000001E-2</v>
      </c>
      <c r="V29" s="332">
        <f t="shared" si="8"/>
        <v>3.3905059612961749E-3</v>
      </c>
      <c r="W29" s="330">
        <v>1.04E-2</v>
      </c>
      <c r="X29" s="332">
        <f t="shared" si="9"/>
        <v>2.8933420277550605E-3</v>
      </c>
      <c r="Y29" s="332">
        <f t="shared" si="14"/>
        <v>2.8933420277550605E-3</v>
      </c>
      <c r="Z29" s="330"/>
      <c r="AK29" s="355"/>
      <c r="AL29" s="355"/>
      <c r="AM29" s="355"/>
      <c r="AN29" s="355"/>
      <c r="AO29" s="355"/>
    </row>
    <row r="30" spans="1:42" x14ac:dyDescent="0.25">
      <c r="A30" s="355" t="s">
        <v>563</v>
      </c>
      <c r="B30" s="355" t="s">
        <v>616</v>
      </c>
      <c r="C30" s="345">
        <f>'Historical Data'!B214</f>
        <v>2.2666817133921269E-2</v>
      </c>
      <c r="D30" s="401">
        <f>'Historical Data'!E47</f>
        <v>5.4</v>
      </c>
      <c r="E30" s="355">
        <v>4.75</v>
      </c>
      <c r="F30" s="401">
        <f t="shared" si="1"/>
        <v>0.30000000000000071</v>
      </c>
      <c r="G30" s="401">
        <f>'Historical Data'!H79</f>
        <v>1.9</v>
      </c>
      <c r="H30" s="321">
        <v>8.5152860699999999E-2</v>
      </c>
      <c r="I30" s="401">
        <f t="shared" si="10"/>
        <v>0.25</v>
      </c>
      <c r="J30" s="401">
        <f t="shared" si="2"/>
        <v>0.61399999999999999</v>
      </c>
      <c r="K30" s="401">
        <f t="shared" si="3"/>
        <v>0.63500000000000001</v>
      </c>
      <c r="L30" s="401">
        <f t="shared" si="4"/>
        <v>0.67700000000000005</v>
      </c>
      <c r="M30" s="401">
        <f t="shared" si="5"/>
        <v>0.76</v>
      </c>
      <c r="N30" s="401">
        <f t="shared" si="6"/>
        <v>0.86299999999999999</v>
      </c>
      <c r="O30" s="401">
        <f t="shared" si="7"/>
        <v>0.41455235904483284</v>
      </c>
      <c r="P30" s="401">
        <f t="shared" si="7"/>
        <v>0.50232931334138553</v>
      </c>
      <c r="Q30" s="401">
        <f t="shared" si="7"/>
        <v>0.6264856907726426</v>
      </c>
      <c r="R30" s="401">
        <f t="shared" si="11"/>
        <v>0.91553622082818065</v>
      </c>
      <c r="S30" s="401">
        <f t="shared" si="12"/>
        <v>1.981067308368001</v>
      </c>
      <c r="T30" s="401">
        <f t="shared" si="13"/>
        <v>0.55080740608964351</v>
      </c>
      <c r="U30" s="331">
        <v>1.7000000000000001E-2</v>
      </c>
      <c r="V30" s="332">
        <f t="shared" si="8"/>
        <v>4.6708066148136284E-3</v>
      </c>
      <c r="W30" s="330">
        <v>1.15E-2</v>
      </c>
      <c r="X30" s="332">
        <f t="shared" si="9"/>
        <v>3.6210147213550973E-3</v>
      </c>
      <c r="Y30" s="332">
        <f t="shared" si="14"/>
        <v>3.6210147213550973E-3</v>
      </c>
      <c r="Z30" s="330"/>
      <c r="AK30" s="355"/>
      <c r="AL30" s="355"/>
      <c r="AM30" s="355"/>
      <c r="AN30" s="355" t="s">
        <v>617</v>
      </c>
      <c r="AO30" s="355"/>
      <c r="AP30" s="355" t="s">
        <v>618</v>
      </c>
    </row>
    <row r="31" spans="1:42" x14ac:dyDescent="0.25">
      <c r="A31" s="355" t="s">
        <v>563</v>
      </c>
      <c r="B31" s="355" t="s">
        <v>619</v>
      </c>
      <c r="C31" s="345">
        <f>'Historical Data'!B215</f>
        <v>1.2788280888372583E-2</v>
      </c>
      <c r="D31" s="401">
        <f>'Historical Data'!E48</f>
        <v>5.0999999999999996</v>
      </c>
      <c r="E31" s="355">
        <v>5</v>
      </c>
      <c r="F31" s="401">
        <f t="shared" si="1"/>
        <v>-0.30000000000000071</v>
      </c>
      <c r="G31" s="401">
        <f>'Historical Data'!H80</f>
        <v>1.9</v>
      </c>
      <c r="H31" s="321">
        <v>0.1036774855</v>
      </c>
      <c r="I31" s="401">
        <f t="shared" si="10"/>
        <v>0.25</v>
      </c>
      <c r="J31" s="401">
        <f t="shared" si="2"/>
        <v>0.26</v>
      </c>
      <c r="K31" s="401">
        <f t="shared" si="3"/>
        <v>0.53100000000000003</v>
      </c>
      <c r="L31" s="401">
        <f t="shared" si="4"/>
        <v>0.67700000000000005</v>
      </c>
      <c r="M31" s="401">
        <f t="shared" si="5"/>
        <v>0.82199999999999995</v>
      </c>
      <c r="N31" s="401">
        <f t="shared" si="6"/>
        <v>0.86299999999999999</v>
      </c>
      <c r="O31" s="401">
        <f t="shared" si="7"/>
        <v>-0.81189034747380362</v>
      </c>
      <c r="P31" s="401">
        <f t="shared" si="7"/>
        <v>0.14995478354596917</v>
      </c>
      <c r="Q31" s="401">
        <f t="shared" si="7"/>
        <v>0.6264856907726426</v>
      </c>
      <c r="R31" s="401">
        <f t="shared" si="11"/>
        <v>1.1296698103585687</v>
      </c>
      <c r="S31" s="401">
        <f t="shared" si="12"/>
        <v>1.981067308368001</v>
      </c>
      <c r="T31" s="401">
        <f t="shared" si="13"/>
        <v>-0.12840740588895783</v>
      </c>
      <c r="U31" s="331">
        <v>1.7000000000000001E-2</v>
      </c>
      <c r="V31" s="332">
        <f t="shared" si="8"/>
        <v>1.1272273268636094E-2</v>
      </c>
      <c r="W31" s="330">
        <v>1.0999999999999999E-2</v>
      </c>
      <c r="X31" s="332">
        <f t="shared" si="9"/>
        <v>6.4445286149152998E-3</v>
      </c>
      <c r="Y31" s="332">
        <f t="shared" si="14"/>
        <v>6.4445286149152998E-3</v>
      </c>
      <c r="Z31" s="330"/>
      <c r="AK31" s="355"/>
      <c r="AL31" s="355"/>
      <c r="AM31" s="355"/>
      <c r="AN31" s="355"/>
      <c r="AO31" s="355"/>
    </row>
    <row r="32" spans="1:42" x14ac:dyDescent="0.25">
      <c r="A32" s="355" t="s">
        <v>563</v>
      </c>
      <c r="B32" s="355" t="s">
        <v>620</v>
      </c>
      <c r="C32" s="345">
        <f>'Historical Data'!B216</f>
        <v>1.8174997061987552E-2</v>
      </c>
      <c r="D32" s="401">
        <f>'Historical Data'!E49</f>
        <v>5.0999999999999996</v>
      </c>
      <c r="E32" s="355">
        <v>5.25</v>
      </c>
      <c r="F32" s="401">
        <f t="shared" si="1"/>
        <v>0</v>
      </c>
      <c r="G32" s="401">
        <f>'Historical Data'!H81</f>
        <v>2.2000000000000002</v>
      </c>
      <c r="H32" s="321">
        <v>0.1058985848</v>
      </c>
      <c r="I32" s="401">
        <f t="shared" si="10"/>
        <v>0.25</v>
      </c>
      <c r="J32" s="401">
        <f t="shared" si="2"/>
        <v>0.42699999999999999</v>
      </c>
      <c r="K32" s="401">
        <f t="shared" si="3"/>
        <v>0.53100000000000003</v>
      </c>
      <c r="L32" s="401">
        <f t="shared" si="4"/>
        <v>0.73899999999999999</v>
      </c>
      <c r="M32" s="401">
        <f t="shared" si="5"/>
        <v>0.83299999999999996</v>
      </c>
      <c r="N32" s="401">
        <f t="shared" si="6"/>
        <v>0.86299999999999999</v>
      </c>
      <c r="O32" s="401">
        <f t="shared" si="7"/>
        <v>-0.23331426840992711</v>
      </c>
      <c r="P32" s="401">
        <f t="shared" si="7"/>
        <v>0.14995478354596917</v>
      </c>
      <c r="Q32" s="401">
        <f t="shared" si="7"/>
        <v>0.83802265918018115</v>
      </c>
      <c r="R32" s="401">
        <f t="shared" si="11"/>
        <v>1.1676612536623474</v>
      </c>
      <c r="S32" s="401">
        <f t="shared" si="12"/>
        <v>1.981067308368001</v>
      </c>
      <c r="T32" s="401">
        <f t="shared" si="13"/>
        <v>0.24369108272049983</v>
      </c>
      <c r="U32" s="331">
        <v>1.7000000000000001E-2</v>
      </c>
      <c r="V32" s="332">
        <f t="shared" si="8"/>
        <v>7.0363562666359908E-3</v>
      </c>
      <c r="W32" s="330">
        <v>1.0999999999999999E-2</v>
      </c>
      <c r="X32" s="332">
        <f t="shared" si="9"/>
        <v>7.6598120500285709E-3</v>
      </c>
      <c r="Y32" s="332">
        <f t="shared" si="14"/>
        <v>7.6598120500285709E-3</v>
      </c>
      <c r="Z32" s="330"/>
      <c r="AK32" s="355"/>
      <c r="AL32" s="355"/>
      <c r="AM32" s="355"/>
      <c r="AN32" s="355"/>
      <c r="AO32" s="355"/>
    </row>
    <row r="33" spans="1:52" ht="15.75" x14ac:dyDescent="0.25">
      <c r="A33" s="355" t="s">
        <v>563</v>
      </c>
      <c r="B33" s="355" t="s">
        <v>621</v>
      </c>
      <c r="C33" s="345">
        <f>'Historical Data'!B217</f>
        <v>2.191668413779424E-2</v>
      </c>
      <c r="D33" s="401">
        <f>'Historical Data'!E50</f>
        <v>4.9000000000000004</v>
      </c>
      <c r="E33" s="355">
        <v>5.5</v>
      </c>
      <c r="F33" s="401">
        <f t="shared" si="1"/>
        <v>-0.19999999999999929</v>
      </c>
      <c r="G33" s="401">
        <f>'Historical Data'!H82</f>
        <v>1.7</v>
      </c>
      <c r="H33" s="321">
        <v>0.10800060039999999</v>
      </c>
      <c r="I33" s="401">
        <f t="shared" si="10"/>
        <v>0.25</v>
      </c>
      <c r="J33" s="401">
        <f t="shared" si="2"/>
        <v>0.57199999999999995</v>
      </c>
      <c r="K33" s="401">
        <f t="shared" si="3"/>
        <v>0.41599999999999998</v>
      </c>
      <c r="L33" s="401">
        <f t="shared" si="4"/>
        <v>0.59299999999999997</v>
      </c>
      <c r="M33" s="401">
        <f t="shared" si="5"/>
        <v>0.85399999999999998</v>
      </c>
      <c r="N33" s="401">
        <f t="shared" si="6"/>
        <v>0.86299999999999999</v>
      </c>
      <c r="O33" s="401">
        <f t="shared" si="7"/>
        <v>0.26904220742397755</v>
      </c>
      <c r="P33" s="401">
        <f t="shared" si="7"/>
        <v>-0.23969012920857793</v>
      </c>
      <c r="Q33" s="401">
        <f t="shared" si="7"/>
        <v>0.33988721744629968</v>
      </c>
      <c r="R33" s="401">
        <f t="shared" si="11"/>
        <v>1.2401903726968337</v>
      </c>
      <c r="S33" s="401">
        <f t="shared" si="12"/>
        <v>1.981067308368001</v>
      </c>
      <c r="T33" s="401">
        <f t="shared" si="13"/>
        <v>0.54150882722635774</v>
      </c>
      <c r="U33" s="331">
        <v>1.7000000000000001E-2</v>
      </c>
      <c r="V33" s="332">
        <f t="shared" si="8"/>
        <v>4.7304276217045088E-3</v>
      </c>
      <c r="W33" s="330">
        <v>1.2E-2</v>
      </c>
      <c r="X33" s="332">
        <f t="shared" si="9"/>
        <v>7.6796857189921977E-3</v>
      </c>
      <c r="Y33" s="332">
        <f t="shared" si="14"/>
        <v>7.6796857189921977E-3</v>
      </c>
      <c r="Z33" s="330"/>
      <c r="AB33" s="343"/>
      <c r="AC33" s="343"/>
      <c r="AD33" s="343"/>
      <c r="AK33" s="355"/>
      <c r="AL33" s="355"/>
      <c r="AM33" s="355"/>
      <c r="AN33" s="334" t="s">
        <v>698</v>
      </c>
      <c r="AO33" s="357"/>
      <c r="AZ33" s="328" t="s">
        <v>703</v>
      </c>
    </row>
    <row r="34" spans="1:52" x14ac:dyDescent="0.25">
      <c r="A34" s="355" t="s">
        <v>563</v>
      </c>
      <c r="B34" s="355" t="s">
        <v>623</v>
      </c>
      <c r="C34" s="345">
        <f>'Historical Data'!B218</f>
        <v>2.8792126924072958E-2</v>
      </c>
      <c r="D34" s="401">
        <f>'Historical Data'!E51</f>
        <v>5.3</v>
      </c>
      <c r="E34" s="355">
        <v>5.75</v>
      </c>
      <c r="F34" s="401">
        <f t="shared" si="1"/>
        <v>0.39999999999999947</v>
      </c>
      <c r="G34" s="401">
        <f>'Historical Data'!H83</f>
        <v>0.3</v>
      </c>
      <c r="H34" s="321">
        <v>0.10011633310000001</v>
      </c>
      <c r="I34" s="401">
        <f t="shared" si="10"/>
        <v>0.25</v>
      </c>
      <c r="J34" s="401">
        <f t="shared" si="2"/>
        <v>0.83299999999999996</v>
      </c>
      <c r="K34" s="401">
        <f t="shared" si="3"/>
        <v>0.59299999999999997</v>
      </c>
      <c r="L34" s="401">
        <f t="shared" si="4"/>
        <v>0.39500000000000002</v>
      </c>
      <c r="M34" s="401">
        <f t="shared" si="5"/>
        <v>0.80200000000000005</v>
      </c>
      <c r="N34" s="401">
        <f t="shared" si="6"/>
        <v>0.86299999999999999</v>
      </c>
      <c r="O34" s="401">
        <f t="shared" si="7"/>
        <v>1.1732838639250063</v>
      </c>
      <c r="P34" s="401">
        <f t="shared" si="7"/>
        <v>0.3600242147701595</v>
      </c>
      <c r="Q34" s="401">
        <f t="shared" si="7"/>
        <v>-0.33566632682293662</v>
      </c>
      <c r="R34" s="401">
        <f t="shared" si="11"/>
        <v>1.0605944588971534</v>
      </c>
      <c r="S34" s="401">
        <f t="shared" si="12"/>
        <v>1.981067308368001</v>
      </c>
      <c r="T34" s="401">
        <f t="shared" si="13"/>
        <v>0.93856744092220967</v>
      </c>
      <c r="U34" s="331">
        <v>1.7000000000000001E-2</v>
      </c>
      <c r="V34" s="332">
        <f t="shared" si="8"/>
        <v>2.7098677712060829E-3</v>
      </c>
      <c r="W34" s="330">
        <v>1.2500000000000001E-2</v>
      </c>
      <c r="X34" s="332">
        <f t="shared" si="9"/>
        <v>4.8255505531821941E-3</v>
      </c>
      <c r="Y34" s="332">
        <f t="shared" si="14"/>
        <v>4.8255505531821941E-3</v>
      </c>
      <c r="Z34" s="330"/>
      <c r="AK34" s="355"/>
      <c r="AL34" s="355"/>
      <c r="AM34" s="355"/>
      <c r="AN34" s="355"/>
      <c r="AO34" s="355"/>
    </row>
    <row r="35" spans="1:52" x14ac:dyDescent="0.25">
      <c r="A35" s="355" t="s">
        <v>563</v>
      </c>
      <c r="B35" s="355" t="s">
        <v>624</v>
      </c>
      <c r="C35" s="345">
        <f>'Historical Data'!B219</f>
        <v>2.8296053339068816E-2</v>
      </c>
      <c r="D35" s="401">
        <f>'Historical Data'!E52</f>
        <v>4.8</v>
      </c>
      <c r="E35" s="355">
        <v>5.5</v>
      </c>
      <c r="F35" s="401">
        <f t="shared" si="1"/>
        <v>-0.5</v>
      </c>
      <c r="G35" s="401">
        <f>'Historical Data'!H84</f>
        <v>1.1000000000000001</v>
      </c>
      <c r="H35" s="321">
        <v>6.9983724979999995E-2</v>
      </c>
      <c r="I35" s="401">
        <f t="shared" si="10"/>
        <v>-0.25</v>
      </c>
      <c r="J35" s="401">
        <f t="shared" si="2"/>
        <v>0.82199999999999995</v>
      </c>
      <c r="K35" s="401">
        <f t="shared" si="3"/>
        <v>0.36399999999999999</v>
      </c>
      <c r="L35" s="401">
        <f t="shared" si="4"/>
        <v>0.51</v>
      </c>
      <c r="M35" s="401">
        <f t="shared" si="5"/>
        <v>0.64500000000000002</v>
      </c>
      <c r="N35" s="401">
        <f t="shared" si="6"/>
        <v>9.4E-2</v>
      </c>
      <c r="O35" s="401">
        <f t="shared" si="7"/>
        <v>1.1351740623100204</v>
      </c>
      <c r="P35" s="401">
        <f t="shared" si="7"/>
        <v>-0.4158773941062861</v>
      </c>
      <c r="Q35" s="401">
        <f t="shared" si="7"/>
        <v>5.6700630707175431E-2</v>
      </c>
      <c r="R35" s="401">
        <f t="shared" si="11"/>
        <v>0.51835294992504111</v>
      </c>
      <c r="S35" s="401">
        <f t="shared" si="12"/>
        <v>-0.65364621507791254</v>
      </c>
      <c r="T35" s="401">
        <f t="shared" si="13"/>
        <v>0.71483291335207122</v>
      </c>
      <c r="U35" s="331">
        <v>1.7000000000000001E-2</v>
      </c>
      <c r="V35" s="332">
        <f t="shared" si="8"/>
        <v>3.7237546577302476E-3</v>
      </c>
      <c r="W35" s="330">
        <v>1.4500000000000001E-2</v>
      </c>
      <c r="X35" s="332">
        <f t="shared" si="9"/>
        <v>3.7213500168802797E-3</v>
      </c>
      <c r="Y35" s="332">
        <f t="shared" si="14"/>
        <v>3.7213500168802797E-3</v>
      </c>
      <c r="Z35" s="330"/>
      <c r="AK35" s="355"/>
      <c r="AL35" s="355"/>
      <c r="AM35" s="355"/>
      <c r="AN35" s="328" t="s">
        <v>699</v>
      </c>
      <c r="AO35" s="355"/>
      <c r="AP35" s="355" t="s">
        <v>702</v>
      </c>
    </row>
    <row r="36" spans="1:52" x14ac:dyDescent="0.25">
      <c r="A36" s="355" t="s">
        <v>563</v>
      </c>
      <c r="B36" s="355" t="s">
        <v>625</v>
      </c>
      <c r="C36" s="345">
        <f>'Historical Data'!B220</f>
        <v>2.4314233837493759E-2</v>
      </c>
      <c r="D36" s="401">
        <f>'Historical Data'!E53</f>
        <v>4.9000000000000004</v>
      </c>
      <c r="E36" s="355">
        <v>5.25</v>
      </c>
      <c r="F36" s="401">
        <f t="shared" si="1"/>
        <v>0.10000000000000053</v>
      </c>
      <c r="G36" s="401">
        <f>'Historical Data'!H85</f>
        <v>1.6</v>
      </c>
      <c r="H36" s="321">
        <v>2.3558061239999997E-2</v>
      </c>
      <c r="I36" s="401">
        <f t="shared" si="10"/>
        <v>-0.25</v>
      </c>
      <c r="J36" s="401">
        <f t="shared" si="2"/>
        <v>0.66600000000000004</v>
      </c>
      <c r="K36" s="401">
        <f t="shared" si="3"/>
        <v>0.41599999999999998</v>
      </c>
      <c r="L36" s="401">
        <f t="shared" si="4"/>
        <v>0.58299999999999996</v>
      </c>
      <c r="M36" s="401">
        <f t="shared" si="5"/>
        <v>0.312</v>
      </c>
      <c r="N36" s="401">
        <f t="shared" si="6"/>
        <v>9.4E-2</v>
      </c>
      <c r="O36" s="401">
        <f t="shared" si="7"/>
        <v>0.59470778486112996</v>
      </c>
      <c r="P36" s="401">
        <f t="shared" si="7"/>
        <v>-0.23969012920857793</v>
      </c>
      <c r="Q36" s="401">
        <f t="shared" si="7"/>
        <v>0.30576835157411597</v>
      </c>
      <c r="R36" s="401">
        <f t="shared" si="11"/>
        <v>-0.63175165190752858</v>
      </c>
      <c r="S36" s="401">
        <f t="shared" si="12"/>
        <v>-0.65364621507791254</v>
      </c>
      <c r="T36" s="401">
        <f t="shared" si="13"/>
        <v>0.28283073229640321</v>
      </c>
      <c r="U36" s="331">
        <v>1.7000000000000001E-2</v>
      </c>
      <c r="V36" s="332">
        <f t="shared" si="8"/>
        <v>6.6853530661341951E-3</v>
      </c>
      <c r="W36" s="330">
        <v>1.7899999999999999E-2</v>
      </c>
      <c r="X36" s="332">
        <f t="shared" si="9"/>
        <v>4.3729918316901756E-3</v>
      </c>
      <c r="Y36" s="332">
        <f t="shared" si="14"/>
        <v>4.3729918316901756E-3</v>
      </c>
      <c r="Z36" s="330"/>
      <c r="AK36" s="355"/>
      <c r="AL36" s="355"/>
      <c r="AM36" s="355"/>
      <c r="AN36" s="328" t="s">
        <v>700</v>
      </c>
      <c r="AO36" s="355"/>
      <c r="AP36" s="355" t="s">
        <v>701</v>
      </c>
    </row>
    <row r="37" spans="1:52" x14ac:dyDescent="0.25">
      <c r="A37" s="355" t="s">
        <v>563</v>
      </c>
      <c r="B37" s="355" t="s">
        <v>626</v>
      </c>
      <c r="C37" s="345">
        <f>'Historical Data'!B221</f>
        <v>1.2355755761497056E-2</v>
      </c>
      <c r="D37" s="401">
        <f>'Historical Data'!E54</f>
        <v>5</v>
      </c>
      <c r="E37" s="355">
        <v>5</v>
      </c>
      <c r="F37" s="401">
        <f t="shared" si="1"/>
        <v>9.9999999999999645E-2</v>
      </c>
      <c r="G37" s="401">
        <f>'Historical Data'!H86</f>
        <v>3</v>
      </c>
      <c r="H37" s="321">
        <v>-2.4242095919999998E-2</v>
      </c>
      <c r="I37" s="401">
        <f t="shared" si="10"/>
        <v>-0.25</v>
      </c>
      <c r="J37" s="401">
        <f t="shared" ref="J37:J68" si="15">PERCENTRANK($C$4:$C$100,C37)</f>
        <v>0.23899999999999999</v>
      </c>
      <c r="K37" s="401">
        <f t="shared" ref="K37:K68" si="16">PERCENTRANK($D$2:$D$100,D37)</f>
        <v>0.5</v>
      </c>
      <c r="L37" s="401">
        <f t="shared" ref="L37:L68" si="17">PERCENTRANK($G$4:$G$100,G37)</f>
        <v>0.84299999999999997</v>
      </c>
      <c r="M37" s="401">
        <f t="shared" ref="M37:M68" si="18">PERCENTRANK($H$4:$H$100,H37)</f>
        <v>9.2999999999999999E-2</v>
      </c>
      <c r="N37" s="401">
        <f t="shared" ref="N37:N68" si="19">PERCENTRANK($I$4:$I$100,I37)</f>
        <v>9.4E-2</v>
      </c>
      <c r="O37" s="401">
        <f t="shared" ref="O37:Q100" si="20">(J37-AB$4)/AB$5</f>
        <v>-0.88464542328423124</v>
      </c>
      <c r="P37" s="401">
        <f t="shared" si="20"/>
        <v>4.492006793387382E-2</v>
      </c>
      <c r="Q37" s="401">
        <f t="shared" si="20"/>
        <v>1.192858864250891</v>
      </c>
      <c r="R37" s="401">
        <f t="shared" si="11"/>
        <v>-1.3881267504100294</v>
      </c>
      <c r="S37" s="401">
        <f t="shared" si="12"/>
        <v>-0.65364621507791254</v>
      </c>
      <c r="T37" s="401">
        <f t="shared" si="13"/>
        <v>-0.62017067088763123</v>
      </c>
      <c r="U37" s="331">
        <v>1.7000000000000001E-2</v>
      </c>
      <c r="V37" s="332">
        <f t="shared" si="8"/>
        <v>2.0149821967233698E-2</v>
      </c>
      <c r="W37" s="330">
        <v>1.8200000000000001E-2</v>
      </c>
      <c r="X37" s="332">
        <f t="shared" si="9"/>
        <v>1.0186309897032715E-2</v>
      </c>
      <c r="Y37" s="332">
        <f t="shared" si="14"/>
        <v>1.0186309897032715E-2</v>
      </c>
      <c r="Z37" s="330"/>
      <c r="AK37" s="355"/>
      <c r="AL37" s="355"/>
      <c r="AM37" s="355"/>
      <c r="AN37" s="328"/>
      <c r="AO37" s="355"/>
    </row>
    <row r="38" spans="1:52" x14ac:dyDescent="0.25">
      <c r="A38" s="355" t="s">
        <v>563</v>
      </c>
      <c r="B38" s="355" t="s">
        <v>627</v>
      </c>
      <c r="C38" s="345">
        <f>'Historical Data'!B222</f>
        <v>-1.1150756298841991E-2</v>
      </c>
      <c r="D38" s="401">
        <f>'Historical Data'!E55</f>
        <v>5.9</v>
      </c>
      <c r="E38" s="355">
        <v>4.5</v>
      </c>
      <c r="F38" s="401">
        <f t="shared" si="1"/>
        <v>0.90000000000000036</v>
      </c>
      <c r="G38" s="401">
        <f>'Historical Data'!H87</f>
        <v>5.2</v>
      </c>
      <c r="H38" s="321">
        <v>-9.6680545440000001E-2</v>
      </c>
      <c r="I38" s="401">
        <f t="shared" si="10"/>
        <v>-0.5</v>
      </c>
      <c r="J38" s="401">
        <f t="shared" si="15"/>
        <v>0.125</v>
      </c>
      <c r="K38" s="401">
        <f t="shared" si="16"/>
        <v>0.65600000000000003</v>
      </c>
      <c r="L38" s="401">
        <f t="shared" si="17"/>
        <v>0.98899999999999999</v>
      </c>
      <c r="M38" s="401">
        <f t="shared" si="18"/>
        <v>3.1E-2</v>
      </c>
      <c r="N38" s="401">
        <f t="shared" si="19"/>
        <v>6.3E-2</v>
      </c>
      <c r="O38" s="401">
        <f t="shared" si="20"/>
        <v>-1.2796015491122668</v>
      </c>
      <c r="P38" s="401">
        <f t="shared" si="20"/>
        <v>0.57348186262699852</v>
      </c>
      <c r="Q38" s="401">
        <f t="shared" si="20"/>
        <v>1.6909943059847725</v>
      </c>
      <c r="R38" s="401">
        <f t="shared" si="11"/>
        <v>-1.6022603399404174</v>
      </c>
      <c r="S38" s="401">
        <f t="shared" si="12"/>
        <v>-0.75985703331825505</v>
      </c>
      <c r="T38" s="401">
        <f t="shared" si="13"/>
        <v>-0.89222142245744995</v>
      </c>
      <c r="U38" s="331">
        <v>1.7000000000000001E-2</v>
      </c>
      <c r="V38" s="332">
        <f t="shared" si="8"/>
        <v>2.7227293326183028E-2</v>
      </c>
      <c r="W38" s="330">
        <v>2.2200000000000001E-2</v>
      </c>
      <c r="X38" s="332">
        <f t="shared" si="9"/>
        <v>1.8020822786516972E-2</v>
      </c>
      <c r="Y38" s="332">
        <f t="shared" si="14"/>
        <v>1.8020822786516972E-2</v>
      </c>
      <c r="Z38" s="330"/>
      <c r="AK38" s="355"/>
      <c r="AL38" s="355"/>
      <c r="AM38" s="355"/>
      <c r="AN38" s="355"/>
      <c r="AO38" s="355"/>
    </row>
    <row r="39" spans="1:52" x14ac:dyDescent="0.25">
      <c r="A39" s="355" t="s">
        <v>563</v>
      </c>
      <c r="B39" s="355" t="s">
        <v>628</v>
      </c>
      <c r="C39" s="345">
        <f>'Historical Data'!B223</f>
        <v>-3.611470602332989E-2</v>
      </c>
      <c r="D39" s="401">
        <f>'Historical Data'!E56</f>
        <v>6</v>
      </c>
      <c r="E39" s="355">
        <v>2</v>
      </c>
      <c r="F39" s="401">
        <f t="shared" si="1"/>
        <v>9.9999999999999645E-2</v>
      </c>
      <c r="G39" s="401">
        <f>'Historical Data'!H88</f>
        <v>3.4</v>
      </c>
      <c r="H39" s="321">
        <v>-0.14926129129999999</v>
      </c>
      <c r="I39" s="401">
        <f t="shared" si="10"/>
        <v>-2.5</v>
      </c>
      <c r="J39" s="401">
        <f t="shared" si="15"/>
        <v>4.1000000000000002E-2</v>
      </c>
      <c r="K39" s="401">
        <f t="shared" si="16"/>
        <v>0.66600000000000004</v>
      </c>
      <c r="L39" s="401">
        <f t="shared" si="17"/>
        <v>0.88500000000000001</v>
      </c>
      <c r="M39" s="401">
        <f t="shared" si="18"/>
        <v>0.01</v>
      </c>
      <c r="N39" s="401">
        <f t="shared" si="19"/>
        <v>0</v>
      </c>
      <c r="O39" s="401">
        <f t="shared" si="20"/>
        <v>-1.5706218523539772</v>
      </c>
      <c r="P39" s="401">
        <f t="shared" si="20"/>
        <v>0.60736402895348085</v>
      </c>
      <c r="Q39" s="401">
        <f t="shared" si="20"/>
        <v>1.3361581009140626</v>
      </c>
      <c r="R39" s="401">
        <f t="shared" si="11"/>
        <v>-1.6747894589749039</v>
      </c>
      <c r="S39" s="401">
        <f t="shared" si="12"/>
        <v>-0.97570482522604762</v>
      </c>
      <c r="T39" s="401">
        <f t="shared" si="13"/>
        <v>-1.1345431326364235</v>
      </c>
      <c r="U39" s="331">
        <v>1.7000000000000001E-2</v>
      </c>
      <c r="V39" s="332">
        <f t="shared" si="8"/>
        <v>3.5173495425367865E-2</v>
      </c>
      <c r="W39" s="330">
        <v>2.8000000000000001E-2</v>
      </c>
      <c r="X39" s="332">
        <f t="shared" si="9"/>
        <v>2.751687023959486E-2</v>
      </c>
      <c r="Y39" s="332">
        <f t="shared" si="14"/>
        <v>2.751687023959486E-2</v>
      </c>
      <c r="Z39" s="330"/>
      <c r="AK39" s="355"/>
      <c r="AL39" s="355"/>
      <c r="AM39" s="355"/>
      <c r="AN39" s="355"/>
      <c r="AO39" s="355"/>
    </row>
    <row r="40" spans="1:52" x14ac:dyDescent="0.25">
      <c r="A40" s="355" t="s">
        <v>563</v>
      </c>
      <c r="B40" s="355" t="s">
        <v>629</v>
      </c>
      <c r="C40" s="345">
        <f>'Historical Data'!B224</f>
        <v>-5.8066361556064039E-2</v>
      </c>
      <c r="D40" s="401">
        <f>'Historical Data'!E57</f>
        <v>6.9</v>
      </c>
      <c r="E40" s="355">
        <v>0.5</v>
      </c>
      <c r="F40" s="401">
        <f t="shared" si="1"/>
        <v>0.90000000000000036</v>
      </c>
      <c r="G40" s="401">
        <f>'Historical Data'!H89</f>
        <v>2.1</v>
      </c>
      <c r="H40" s="321">
        <v>-0.15528132980000001</v>
      </c>
      <c r="I40" s="401">
        <f t="shared" si="10"/>
        <v>-1.5</v>
      </c>
      <c r="J40" s="401">
        <f t="shared" si="15"/>
        <v>0.01</v>
      </c>
      <c r="K40" s="401">
        <f t="shared" si="16"/>
        <v>0.71799999999999997</v>
      </c>
      <c r="L40" s="401">
        <f t="shared" si="17"/>
        <v>0.71799999999999997</v>
      </c>
      <c r="M40" s="401">
        <f t="shared" si="18"/>
        <v>0</v>
      </c>
      <c r="N40" s="401">
        <f t="shared" si="19"/>
        <v>0.01</v>
      </c>
      <c r="O40" s="401">
        <f t="shared" si="20"/>
        <v>-1.6780222023598463</v>
      </c>
      <c r="P40" s="401">
        <f t="shared" si="20"/>
        <v>0.78355129385118882</v>
      </c>
      <c r="Q40" s="401">
        <f t="shared" si="20"/>
        <v>0.76637304084859537</v>
      </c>
      <c r="R40" s="401">
        <f t="shared" si="11"/>
        <v>-1.7093271347056118</v>
      </c>
      <c r="S40" s="401">
        <f t="shared" si="12"/>
        <v>-0.94144327095496949</v>
      </c>
      <c r="T40" s="401">
        <f t="shared" si="13"/>
        <v>-1.2736081872822251</v>
      </c>
      <c r="U40" s="331">
        <v>1.7000000000000001E-2</v>
      </c>
      <c r="V40" s="332">
        <f t="shared" si="8"/>
        <v>4.0534666197595888E-2</v>
      </c>
      <c r="W40" s="330">
        <v>2.6599999999999999E-2</v>
      </c>
      <c r="X40" s="332">
        <f t="shared" si="9"/>
        <v>3.4311818316382255E-2</v>
      </c>
      <c r="Y40" s="332">
        <f t="shared" si="14"/>
        <v>3.4311818316382255E-2</v>
      </c>
      <c r="Z40" s="330"/>
      <c r="AK40" s="355"/>
      <c r="AL40" s="355"/>
      <c r="AM40" s="355"/>
      <c r="AN40" s="355"/>
      <c r="AO40" s="355"/>
    </row>
    <row r="41" spans="1:52" x14ac:dyDescent="0.25">
      <c r="A41" s="355" t="s">
        <v>563</v>
      </c>
      <c r="B41" s="355" t="s">
        <v>630</v>
      </c>
      <c r="C41" s="345">
        <f>'Historical Data'!B225</f>
        <v>-5.5117320967854377E-2</v>
      </c>
      <c r="D41" s="401">
        <f>'Historical Data'!E58</f>
        <v>7.5</v>
      </c>
      <c r="E41" s="355">
        <v>0.5</v>
      </c>
      <c r="F41" s="401">
        <f t="shared" si="1"/>
        <v>0.59999999999999964</v>
      </c>
      <c r="G41" s="401">
        <f>'Historical Data'!H90</f>
        <v>1</v>
      </c>
      <c r="H41" s="321">
        <v>-0.12247434459999999</v>
      </c>
      <c r="I41" s="401">
        <f t="shared" si="10"/>
        <v>0</v>
      </c>
      <c r="J41" s="401">
        <f t="shared" si="15"/>
        <v>0.02</v>
      </c>
      <c r="K41" s="401">
        <f t="shared" si="16"/>
        <v>0.78100000000000003</v>
      </c>
      <c r="L41" s="401">
        <f t="shared" si="17"/>
        <v>0.47899999999999998</v>
      </c>
      <c r="M41" s="401">
        <f t="shared" si="18"/>
        <v>0.02</v>
      </c>
      <c r="N41" s="401">
        <f t="shared" si="19"/>
        <v>0.16800000000000001</v>
      </c>
      <c r="O41" s="401">
        <f t="shared" si="20"/>
        <v>-1.6433769281644046</v>
      </c>
      <c r="P41" s="401">
        <f t="shared" si="20"/>
        <v>0.99700894170802778</v>
      </c>
      <c r="Q41" s="401">
        <f t="shared" si="20"/>
        <v>-4.9067853496594004E-2</v>
      </c>
      <c r="R41" s="401">
        <f t="shared" si="11"/>
        <v>-1.6402517832441961</v>
      </c>
      <c r="S41" s="401">
        <f t="shared" si="12"/>
        <v>-0.40011071347193389</v>
      </c>
      <c r="T41" s="401">
        <f t="shared" si="13"/>
        <v>-1.2946700860907179</v>
      </c>
      <c r="U41" s="331">
        <v>1.7000000000000001E-2</v>
      </c>
      <c r="V41" s="332">
        <f t="shared" si="8"/>
        <v>4.1401672161705191E-2</v>
      </c>
      <c r="W41" s="330">
        <v>2.5499999999999998E-2</v>
      </c>
      <c r="X41" s="332">
        <f t="shared" si="9"/>
        <v>3.9036611261556317E-2</v>
      </c>
      <c r="Y41" s="332">
        <f t="shared" si="14"/>
        <v>3.9036611261556317E-2</v>
      </c>
      <c r="Z41" s="330"/>
      <c r="AK41" s="355"/>
      <c r="AL41" s="355"/>
      <c r="AM41" s="355"/>
      <c r="AN41" s="355"/>
      <c r="AO41" s="355"/>
    </row>
    <row r="42" spans="1:52" x14ac:dyDescent="0.25">
      <c r="A42" s="355" t="s">
        <v>563</v>
      </c>
      <c r="B42" s="355" t="s">
        <v>631</v>
      </c>
      <c r="C42" s="345">
        <f>'Historical Data'!B226</f>
        <v>-3.9425682256893357E-2</v>
      </c>
      <c r="D42" s="401">
        <f>'Historical Data'!E59</f>
        <v>7.8</v>
      </c>
      <c r="E42" s="355">
        <v>0.5</v>
      </c>
      <c r="F42" s="401">
        <f t="shared" si="1"/>
        <v>0.29999999999999982</v>
      </c>
      <c r="G42" s="401">
        <f>'Historical Data'!H91</f>
        <v>0.4</v>
      </c>
      <c r="H42" s="321">
        <v>-3.6967079539999996E-2</v>
      </c>
      <c r="I42" s="401">
        <f t="shared" si="10"/>
        <v>0</v>
      </c>
      <c r="J42" s="401">
        <f t="shared" si="15"/>
        <v>3.1E-2</v>
      </c>
      <c r="K42" s="401">
        <f t="shared" si="16"/>
        <v>0.86399999999999999</v>
      </c>
      <c r="L42" s="401">
        <f t="shared" si="17"/>
        <v>0.40600000000000003</v>
      </c>
      <c r="M42" s="401">
        <f t="shared" si="18"/>
        <v>8.3000000000000004E-2</v>
      </c>
      <c r="N42" s="401">
        <f t="shared" si="19"/>
        <v>0.16800000000000001</v>
      </c>
      <c r="O42" s="401">
        <f t="shared" si="20"/>
        <v>-1.6052671265494189</v>
      </c>
      <c r="P42" s="401">
        <f t="shared" si="20"/>
        <v>1.2782309222178312</v>
      </c>
      <c r="Q42" s="401">
        <f t="shared" si="20"/>
        <v>-0.29813557436353455</v>
      </c>
      <c r="R42" s="401">
        <f t="shared" si="11"/>
        <v>-1.4226644261407371</v>
      </c>
      <c r="S42" s="401">
        <f t="shared" si="12"/>
        <v>-0.40011071347193389</v>
      </c>
      <c r="T42" s="401">
        <f t="shared" si="13"/>
        <v>-1.303074439549055</v>
      </c>
      <c r="U42" s="331">
        <v>1.7000000000000001E-2</v>
      </c>
      <c r="V42" s="332">
        <f t="shared" si="8"/>
        <v>4.175180311290784E-2</v>
      </c>
      <c r="W42" s="330">
        <v>2.2499999999999999E-2</v>
      </c>
      <c r="X42" s="332">
        <f t="shared" si="9"/>
        <v>4.1229380490736309E-2</v>
      </c>
      <c r="Y42" s="332">
        <f t="shared" si="14"/>
        <v>4.1229380490736309E-2</v>
      </c>
      <c r="Z42" s="330"/>
      <c r="AK42" s="355"/>
      <c r="AL42" s="355"/>
      <c r="AM42" s="355"/>
      <c r="AN42" s="355"/>
      <c r="AO42" s="355"/>
    </row>
    <row r="43" spans="1:52" x14ac:dyDescent="0.25">
      <c r="A43" s="355" t="s">
        <v>563</v>
      </c>
      <c r="B43" s="355" t="s">
        <v>632</v>
      </c>
      <c r="C43" s="345">
        <f>'Historical Data'!B227</f>
        <v>-1.6224915575286047E-2</v>
      </c>
      <c r="D43" s="401">
        <f>'Historical Data'!E60</f>
        <v>7.4</v>
      </c>
      <c r="E43" s="355">
        <v>0.5</v>
      </c>
      <c r="F43" s="401">
        <f t="shared" si="1"/>
        <v>-0.39999999999999947</v>
      </c>
      <c r="G43" s="401">
        <f>'Historical Data'!H92</f>
        <v>1.8</v>
      </c>
      <c r="H43" s="321">
        <v>4.4282049029999999E-2</v>
      </c>
      <c r="I43" s="401">
        <f t="shared" si="10"/>
        <v>0</v>
      </c>
      <c r="J43" s="401">
        <f t="shared" si="15"/>
        <v>8.3000000000000004E-2</v>
      </c>
      <c r="K43" s="401">
        <f t="shared" si="16"/>
        <v>0.76</v>
      </c>
      <c r="L43" s="401">
        <f t="shared" si="17"/>
        <v>0.64500000000000002</v>
      </c>
      <c r="M43" s="401">
        <f t="shared" si="18"/>
        <v>0.47899999999999998</v>
      </c>
      <c r="N43" s="401">
        <f t="shared" si="19"/>
        <v>0.16800000000000001</v>
      </c>
      <c r="O43" s="401">
        <f t="shared" si="20"/>
        <v>-1.4251117007331218</v>
      </c>
      <c r="P43" s="401">
        <f t="shared" si="20"/>
        <v>0.9258563924224148</v>
      </c>
      <c r="Q43" s="401">
        <f t="shared" si="20"/>
        <v>0.51730531998165485</v>
      </c>
      <c r="R43" s="401">
        <f t="shared" si="11"/>
        <v>-5.4972467204708456E-2</v>
      </c>
      <c r="S43" s="401">
        <f t="shared" si="12"/>
        <v>-0.40011071347193389</v>
      </c>
      <c r="T43" s="401">
        <f t="shared" si="13"/>
        <v>-0.94143044575161328</v>
      </c>
      <c r="U43" s="331">
        <v>1.7000000000000001E-2</v>
      </c>
      <c r="V43" s="332">
        <f t="shared" si="8"/>
        <v>2.8706894774562754E-2</v>
      </c>
      <c r="W43" s="330">
        <v>1.8499999999999999E-2</v>
      </c>
      <c r="X43" s="332">
        <f t="shared" si="9"/>
        <v>3.728679001639193E-2</v>
      </c>
      <c r="Y43" s="332">
        <f t="shared" si="14"/>
        <v>3.728679001639193E-2</v>
      </c>
      <c r="Z43" s="330"/>
      <c r="AK43" s="355"/>
      <c r="AL43" s="355"/>
      <c r="AM43" s="355"/>
      <c r="AN43" s="355"/>
      <c r="AO43" s="355"/>
    </row>
    <row r="44" spans="1:52" x14ac:dyDescent="0.25">
      <c r="A44" s="355" t="s">
        <v>563</v>
      </c>
      <c r="B44" s="355" t="s">
        <v>633</v>
      </c>
      <c r="C44" s="345">
        <f>'Historical Data'!B228</f>
        <v>7.6493756269038204E-3</v>
      </c>
      <c r="D44" s="401">
        <f>'Historical Data'!E61</f>
        <v>7.8</v>
      </c>
      <c r="E44" s="355">
        <v>0.5</v>
      </c>
      <c r="F44" s="401">
        <f t="shared" si="1"/>
        <v>0.39999999999999947</v>
      </c>
      <c r="G44" s="401">
        <f>'Historical Data'!H93</f>
        <v>3.4</v>
      </c>
      <c r="H44" s="321">
        <v>8.6923685749999993E-2</v>
      </c>
      <c r="I44" s="401">
        <f t="shared" si="10"/>
        <v>0</v>
      </c>
      <c r="J44" s="401">
        <f t="shared" si="15"/>
        <v>0.14499999999999999</v>
      </c>
      <c r="K44" s="401">
        <f t="shared" si="16"/>
        <v>0.86399999999999999</v>
      </c>
      <c r="L44" s="401">
        <f t="shared" si="17"/>
        <v>0.88500000000000001</v>
      </c>
      <c r="M44" s="401">
        <f t="shared" si="18"/>
        <v>0.77</v>
      </c>
      <c r="N44" s="401">
        <f t="shared" si="19"/>
        <v>0.16800000000000001</v>
      </c>
      <c r="O44" s="401">
        <f t="shared" si="20"/>
        <v>-1.2103110007213835</v>
      </c>
      <c r="P44" s="401">
        <f t="shared" si="20"/>
        <v>1.2782309222178312</v>
      </c>
      <c r="Q44" s="401">
        <f t="shared" si="20"/>
        <v>1.3361581009140626</v>
      </c>
      <c r="R44" s="401">
        <f t="shared" si="11"/>
        <v>0.95007389655888852</v>
      </c>
      <c r="S44" s="401">
        <f t="shared" si="12"/>
        <v>-0.40011071347193389</v>
      </c>
      <c r="T44" s="401">
        <f t="shared" si="13"/>
        <v>-0.66539756425451158</v>
      </c>
      <c r="U44" s="331">
        <v>1.7000000000000001E-2</v>
      </c>
      <c r="V44" s="332">
        <f t="shared" si="8"/>
        <v>2.120498683675549E-2</v>
      </c>
      <c r="W44" s="330">
        <v>1.6400000000000001E-2</v>
      </c>
      <c r="X44" s="332">
        <f t="shared" si="9"/>
        <v>3.0554561574742029E-2</v>
      </c>
      <c r="Y44" s="332">
        <f t="shared" si="14"/>
        <v>3.0554561574742029E-2</v>
      </c>
      <c r="Z44" s="330"/>
      <c r="AK44" s="355"/>
      <c r="AL44" s="355"/>
      <c r="AM44" s="355"/>
      <c r="AN44" s="355"/>
      <c r="AO44" s="355"/>
    </row>
    <row r="45" spans="1:52" x14ac:dyDescent="0.25">
      <c r="A45" s="355" t="s">
        <v>563</v>
      </c>
      <c r="B45" s="355" t="s">
        <v>634</v>
      </c>
      <c r="C45" s="345">
        <f>'Historical Data'!B229</f>
        <v>2.0229787508821095E-2</v>
      </c>
      <c r="D45" s="401">
        <f>'Historical Data'!E62</f>
        <v>7.5</v>
      </c>
      <c r="E45" s="355">
        <v>0.5</v>
      </c>
      <c r="F45" s="401">
        <f t="shared" si="1"/>
        <v>-0.29999999999999982</v>
      </c>
      <c r="G45" s="401">
        <f>'Historical Data'!H94</f>
        <v>3.4</v>
      </c>
      <c r="H45" s="321">
        <v>7.6005238579999995E-2</v>
      </c>
      <c r="I45" s="401">
        <f t="shared" si="10"/>
        <v>0</v>
      </c>
      <c r="J45" s="401">
        <f t="shared" si="15"/>
        <v>0.53100000000000003</v>
      </c>
      <c r="K45" s="401">
        <f t="shared" si="16"/>
        <v>0.78100000000000003</v>
      </c>
      <c r="L45" s="401">
        <f t="shared" si="17"/>
        <v>0.88500000000000001</v>
      </c>
      <c r="M45" s="401">
        <f t="shared" si="18"/>
        <v>0.67700000000000005</v>
      </c>
      <c r="N45" s="401">
        <f t="shared" si="19"/>
        <v>0.16800000000000001</v>
      </c>
      <c r="O45" s="401">
        <f t="shared" si="20"/>
        <v>0.1269965832226668</v>
      </c>
      <c r="P45" s="401">
        <f t="shared" si="20"/>
        <v>0.99700894170802778</v>
      </c>
      <c r="Q45" s="401">
        <f t="shared" si="20"/>
        <v>1.3361581009140626</v>
      </c>
      <c r="R45" s="401">
        <f t="shared" si="11"/>
        <v>0.62887351226330612</v>
      </c>
      <c r="S45" s="401">
        <f t="shared" si="12"/>
        <v>-0.40011071347193389</v>
      </c>
      <c r="T45" s="401">
        <f t="shared" si="13"/>
        <v>0.13298914573334078</v>
      </c>
      <c r="U45" s="331">
        <v>1.7000000000000001E-2</v>
      </c>
      <c r="V45" s="332">
        <f t="shared" si="8"/>
        <v>8.1186892745778224E-3</v>
      </c>
      <c r="W45" s="330">
        <v>1.54E-2</v>
      </c>
      <c r="X45" s="332">
        <f t="shared" si="9"/>
        <v>1.9343523628632023E-2</v>
      </c>
      <c r="Y45" s="332">
        <f t="shared" si="14"/>
        <v>1.9343523628632023E-2</v>
      </c>
      <c r="Z45" s="330"/>
      <c r="AK45" s="355"/>
      <c r="AL45" s="355"/>
      <c r="AM45" s="355"/>
      <c r="AN45" s="355"/>
      <c r="AO45" s="355"/>
    </row>
    <row r="46" spans="1:52" x14ac:dyDescent="0.25">
      <c r="A46" s="355" t="s">
        <v>563</v>
      </c>
      <c r="B46" s="355" t="s">
        <v>635</v>
      </c>
      <c r="C46" s="345">
        <f>'Historical Data'!B230</f>
        <v>2.6267151541967904E-2</v>
      </c>
      <c r="D46" s="401">
        <f>'Historical Data'!E63</f>
        <v>7.8</v>
      </c>
      <c r="E46" s="355">
        <v>0.5</v>
      </c>
      <c r="F46" s="401">
        <f t="shared" si="1"/>
        <v>0.29999999999999982</v>
      </c>
      <c r="G46" s="401">
        <f>'Historical Data'!H95</f>
        <v>2.5</v>
      </c>
      <c r="H46" s="321">
        <v>4.6325687999999997E-2</v>
      </c>
      <c r="I46" s="401">
        <f t="shared" si="10"/>
        <v>0</v>
      </c>
      <c r="J46" s="401">
        <f t="shared" si="15"/>
        <v>0.75</v>
      </c>
      <c r="K46" s="401">
        <f t="shared" si="16"/>
        <v>0.86399999999999999</v>
      </c>
      <c r="L46" s="401">
        <f t="shared" si="17"/>
        <v>0.78100000000000003</v>
      </c>
      <c r="M46" s="401">
        <f t="shared" si="18"/>
        <v>0.5</v>
      </c>
      <c r="N46" s="401">
        <f t="shared" si="19"/>
        <v>0.16800000000000001</v>
      </c>
      <c r="O46" s="401">
        <f t="shared" si="20"/>
        <v>0.88572808810284021</v>
      </c>
      <c r="P46" s="401">
        <f t="shared" si="20"/>
        <v>1.2782309222178312</v>
      </c>
      <c r="Q46" s="401">
        <f t="shared" si="20"/>
        <v>0.98132189584335261</v>
      </c>
      <c r="R46" s="401">
        <f t="shared" si="11"/>
        <v>1.7556651829777978E-2</v>
      </c>
      <c r="S46" s="401">
        <f t="shared" si="12"/>
        <v>-0.40011071347193389</v>
      </c>
      <c r="T46" s="401">
        <f t="shared" si="13"/>
        <v>0.46349054406004059</v>
      </c>
      <c r="U46" s="331">
        <v>1.7000000000000001E-2</v>
      </c>
      <c r="V46" s="332">
        <f t="shared" si="8"/>
        <v>5.2580144626159153E-3</v>
      </c>
      <c r="W46" s="330">
        <v>1.4500000000000001E-2</v>
      </c>
      <c r="X46" s="332">
        <f t="shared" si="9"/>
        <v>1.1527230191316408E-2</v>
      </c>
      <c r="Y46" s="332">
        <f t="shared" si="14"/>
        <v>1.1527230191316408E-2</v>
      </c>
      <c r="Z46" s="330"/>
      <c r="AK46" s="355"/>
      <c r="AL46" s="355"/>
      <c r="AM46" s="355"/>
      <c r="AN46" s="355"/>
      <c r="AO46" s="355"/>
    </row>
    <row r="47" spans="1:52" x14ac:dyDescent="0.25">
      <c r="A47" s="355" t="s">
        <v>563</v>
      </c>
      <c r="B47" s="355" t="s">
        <v>636</v>
      </c>
      <c r="C47" s="345">
        <f>'Historical Data'!B231</f>
        <v>2.3844973209444342E-2</v>
      </c>
      <c r="D47" s="401">
        <f>'Historical Data'!E64</f>
        <v>7.6</v>
      </c>
      <c r="E47" s="355">
        <v>0.5</v>
      </c>
      <c r="F47" s="401">
        <f t="shared" si="1"/>
        <v>-0.20000000000000018</v>
      </c>
      <c r="G47" s="401">
        <f>'Historical Data'!H96</f>
        <v>3</v>
      </c>
      <c r="H47" s="321">
        <v>3.6953019700000003E-3</v>
      </c>
      <c r="I47" s="401">
        <f t="shared" si="10"/>
        <v>0</v>
      </c>
      <c r="J47" s="401">
        <f t="shared" si="15"/>
        <v>0.64500000000000002</v>
      </c>
      <c r="K47" s="401">
        <f t="shared" si="16"/>
        <v>0.82199999999999995</v>
      </c>
      <c r="L47" s="401">
        <f t="shared" si="17"/>
        <v>0.84299999999999997</v>
      </c>
      <c r="M47" s="401">
        <f t="shared" si="18"/>
        <v>0.16600000000000001</v>
      </c>
      <c r="N47" s="401">
        <f t="shared" si="19"/>
        <v>0.16800000000000001</v>
      </c>
      <c r="O47" s="401">
        <f t="shared" si="20"/>
        <v>0.52195270905070223</v>
      </c>
      <c r="P47" s="401">
        <f t="shared" si="20"/>
        <v>1.1359258236466052</v>
      </c>
      <c r="Q47" s="401">
        <f t="shared" si="20"/>
        <v>1.192858864250891</v>
      </c>
      <c r="R47" s="401">
        <f t="shared" si="11"/>
        <v>-1.1360017175758623</v>
      </c>
      <c r="S47" s="401">
        <f t="shared" si="12"/>
        <v>-0.40011071347193389</v>
      </c>
      <c r="T47" s="401">
        <f t="shared" si="13"/>
        <v>0.16525368638607024</v>
      </c>
      <c r="U47" s="331">
        <v>1.7000000000000001E-2</v>
      </c>
      <c r="V47" s="332">
        <f t="shared" si="8"/>
        <v>7.789059438192204E-3</v>
      </c>
      <c r="W47" s="330">
        <v>1.3599999999999999E-2</v>
      </c>
      <c r="X47" s="332">
        <f t="shared" si="9"/>
        <v>7.0552543917953127E-3</v>
      </c>
      <c r="Y47" s="332">
        <f t="shared" si="14"/>
        <v>7.0552543917953127E-3</v>
      </c>
      <c r="Z47" s="330"/>
      <c r="AK47" s="355"/>
      <c r="AL47" s="355"/>
      <c r="AM47" s="355"/>
      <c r="AN47" s="355"/>
      <c r="AO47" s="355"/>
    </row>
    <row r="48" spans="1:52" x14ac:dyDescent="0.25">
      <c r="A48" s="355" t="s">
        <v>563</v>
      </c>
      <c r="B48" s="355" t="s">
        <v>637</v>
      </c>
      <c r="C48" s="345">
        <f>'Historical Data'!B232</f>
        <v>2.3767069024956511E-2</v>
      </c>
      <c r="D48" s="401">
        <f>'Historical Data'!E65</f>
        <v>7.6</v>
      </c>
      <c r="E48" s="355">
        <v>0.5</v>
      </c>
      <c r="F48" s="401">
        <f t="shared" si="1"/>
        <v>0</v>
      </c>
      <c r="G48" s="401">
        <f>'Historical Data'!H97</f>
        <v>4.0999999999999996</v>
      </c>
      <c r="H48" s="321">
        <v>-1.327996217E-2</v>
      </c>
      <c r="I48" s="401">
        <f t="shared" si="10"/>
        <v>0</v>
      </c>
      <c r="J48" s="401">
        <f t="shared" si="15"/>
        <v>0.63500000000000001</v>
      </c>
      <c r="K48" s="401">
        <f t="shared" si="16"/>
        <v>0.82199999999999995</v>
      </c>
      <c r="L48" s="401">
        <f t="shared" si="17"/>
        <v>0.92700000000000005</v>
      </c>
      <c r="M48" s="401">
        <f t="shared" si="18"/>
        <v>0.13500000000000001</v>
      </c>
      <c r="N48" s="401">
        <f t="shared" si="19"/>
        <v>0.16800000000000001</v>
      </c>
      <c r="O48" s="401">
        <f t="shared" si="20"/>
        <v>0.48730743485526051</v>
      </c>
      <c r="P48" s="401">
        <f t="shared" si="20"/>
        <v>1.1359258236466052</v>
      </c>
      <c r="Q48" s="401">
        <f t="shared" si="20"/>
        <v>1.4794573375772342</v>
      </c>
      <c r="R48" s="401">
        <f t="shared" si="11"/>
        <v>-1.2430685123410565</v>
      </c>
      <c r="S48" s="401">
        <f t="shared" si="12"/>
        <v>-0.40011071347193389</v>
      </c>
      <c r="T48" s="401">
        <f t="shared" si="13"/>
        <v>0.16241968972492016</v>
      </c>
      <c r="U48" s="331">
        <v>1.7000000000000001E-2</v>
      </c>
      <c r="V48" s="332">
        <f t="shared" si="8"/>
        <v>7.8175336017826478E-3</v>
      </c>
      <c r="W48" s="330">
        <v>1.09E-2</v>
      </c>
      <c r="X48" s="332">
        <f t="shared" si="9"/>
        <v>6.954869167530256E-3</v>
      </c>
      <c r="Y48" s="332">
        <f t="shared" si="14"/>
        <v>6.954869167530256E-3</v>
      </c>
      <c r="Z48" s="330"/>
      <c r="AK48" s="355"/>
      <c r="AL48" s="355"/>
      <c r="AM48" s="355"/>
      <c r="AN48" s="355"/>
      <c r="AO48" s="355"/>
    </row>
    <row r="49" spans="1:26" s="355" customFormat="1" x14ac:dyDescent="0.25">
      <c r="A49" s="355" t="s">
        <v>563</v>
      </c>
      <c r="B49" s="355" t="s">
        <v>638</v>
      </c>
      <c r="C49" s="345">
        <f>'Historical Data'!B233</f>
        <v>1.4618323198987371E-2</v>
      </c>
      <c r="D49" s="401">
        <f>'Historical Data'!E66</f>
        <v>7.7</v>
      </c>
      <c r="E49" s="355">
        <v>0.5</v>
      </c>
      <c r="F49" s="401">
        <f t="shared" si="1"/>
        <v>0.10000000000000053</v>
      </c>
      <c r="G49" s="401">
        <f>'Historical Data'!H98</f>
        <v>4.2</v>
      </c>
      <c r="H49" s="321">
        <v>-2.2923066209999999E-2</v>
      </c>
      <c r="I49" s="401">
        <f t="shared" si="10"/>
        <v>0</v>
      </c>
      <c r="J49" s="401">
        <f t="shared" si="15"/>
        <v>0.34300000000000003</v>
      </c>
      <c r="K49" s="401">
        <f t="shared" si="16"/>
        <v>0.85399999999999998</v>
      </c>
      <c r="L49" s="401">
        <f t="shared" si="17"/>
        <v>0.93700000000000006</v>
      </c>
      <c r="M49" s="401">
        <f t="shared" si="18"/>
        <v>0.104</v>
      </c>
      <c r="N49" s="401">
        <f t="shared" si="19"/>
        <v>0.16800000000000001</v>
      </c>
      <c r="O49" s="401">
        <f t="shared" si="20"/>
        <v>-0.52433457165163733</v>
      </c>
      <c r="P49" s="401">
        <f t="shared" si="20"/>
        <v>1.2443487558913486</v>
      </c>
      <c r="Q49" s="401">
        <f t="shared" si="20"/>
        <v>1.5135762034494178</v>
      </c>
      <c r="R49" s="401">
        <f t="shared" si="11"/>
        <v>-1.3501353071062507</v>
      </c>
      <c r="S49" s="401">
        <f t="shared" si="12"/>
        <v>-0.40011071347193389</v>
      </c>
      <c r="T49" s="401">
        <f t="shared" si="13"/>
        <v>-0.46270260029299393</v>
      </c>
      <c r="U49" s="331">
        <v>1.7000000000000001E-2</v>
      </c>
      <c r="V49" s="332">
        <f t="shared" si="8"/>
        <v>1.6816621295781434E-2</v>
      </c>
      <c r="W49" s="330">
        <v>1.09E-2</v>
      </c>
      <c r="X49" s="332">
        <f t="shared" si="9"/>
        <v>1.0807738111918763E-2</v>
      </c>
      <c r="Y49" s="332">
        <f t="shared" si="14"/>
        <v>1.0807738111918763E-2</v>
      </c>
      <c r="Z49" s="330"/>
    </row>
    <row r="50" spans="1:26" s="355" customFormat="1" x14ac:dyDescent="0.25">
      <c r="A50" s="355" t="s">
        <v>563</v>
      </c>
      <c r="B50" s="355" t="s">
        <v>639</v>
      </c>
      <c r="C50" s="345">
        <f>'Historical Data'!B234</f>
        <v>1.10593635195948E-2</v>
      </c>
      <c r="D50" s="401">
        <f>'Historical Data'!E67</f>
        <v>8.4</v>
      </c>
      <c r="E50" s="355">
        <v>0.5</v>
      </c>
      <c r="F50" s="401">
        <f t="shared" si="1"/>
        <v>0.70000000000000018</v>
      </c>
      <c r="G50" s="401">
        <f>'Historical Data'!H99</f>
        <v>5</v>
      </c>
      <c r="H50" s="321">
        <v>-1.9820953830000002E-2</v>
      </c>
      <c r="I50" s="401">
        <f t="shared" si="10"/>
        <v>0</v>
      </c>
      <c r="J50" s="401">
        <f t="shared" si="15"/>
        <v>0.20799999999999999</v>
      </c>
      <c r="K50" s="401">
        <f t="shared" si="16"/>
        <v>0.96799999999999997</v>
      </c>
      <c r="L50" s="401">
        <f t="shared" si="17"/>
        <v>0.97899999999999998</v>
      </c>
      <c r="M50" s="401">
        <f t="shared" si="18"/>
        <v>0.125</v>
      </c>
      <c r="N50" s="401">
        <f t="shared" si="19"/>
        <v>0.16800000000000001</v>
      </c>
      <c r="O50" s="401">
        <f t="shared" si="20"/>
        <v>-0.99204577329010046</v>
      </c>
      <c r="P50" s="401">
        <f t="shared" si="20"/>
        <v>1.6306054520132474</v>
      </c>
      <c r="Q50" s="401">
        <f t="shared" si="20"/>
        <v>1.6568754401125889</v>
      </c>
      <c r="R50" s="401">
        <f t="shared" si="11"/>
        <v>-1.2776061880717644</v>
      </c>
      <c r="S50" s="401">
        <f t="shared" si="12"/>
        <v>-0.40011071347193389</v>
      </c>
      <c r="T50" s="401">
        <f t="shared" si="13"/>
        <v>-0.760372155318496</v>
      </c>
      <c r="U50" s="331">
        <v>1.7000000000000001E-2</v>
      </c>
      <c r="V50" s="332">
        <f t="shared" si="8"/>
        <v>2.3573516298017086E-2</v>
      </c>
      <c r="W50" s="330">
        <v>1.1599999999999999E-2</v>
      </c>
      <c r="X50" s="332">
        <f t="shared" si="9"/>
        <v>1.6069223731860389E-2</v>
      </c>
      <c r="Y50" s="332">
        <f t="shared" si="14"/>
        <v>1.6069223731860389E-2</v>
      </c>
      <c r="Z50" s="330"/>
    </row>
    <row r="51" spans="1:26" s="355" customFormat="1" x14ac:dyDescent="0.25">
      <c r="A51" s="355" t="s">
        <v>563</v>
      </c>
      <c r="B51" s="355" t="s">
        <v>640</v>
      </c>
      <c r="C51" s="345">
        <f>'Historical Data'!B235</f>
        <v>1.2297859544081469E-2</v>
      </c>
      <c r="D51" s="401">
        <f>'Historical Data'!E68</f>
        <v>8</v>
      </c>
      <c r="E51" s="355">
        <v>0.5</v>
      </c>
      <c r="F51" s="401">
        <f t="shared" si="1"/>
        <v>-0.40000000000000036</v>
      </c>
      <c r="G51" s="401">
        <f>'Historical Data'!H100</f>
        <v>4.9000000000000004</v>
      </c>
      <c r="H51" s="321">
        <v>-9.8098642800000004E-3</v>
      </c>
      <c r="I51" s="401">
        <f t="shared" si="10"/>
        <v>0</v>
      </c>
      <c r="J51" s="401">
        <f t="shared" si="15"/>
        <v>0.22900000000000001</v>
      </c>
      <c r="K51" s="401">
        <f t="shared" si="16"/>
        <v>0.92700000000000005</v>
      </c>
      <c r="L51" s="401">
        <f t="shared" si="17"/>
        <v>0.95799999999999996</v>
      </c>
      <c r="M51" s="401">
        <f t="shared" si="18"/>
        <v>0.14499999999999999</v>
      </c>
      <c r="N51" s="401">
        <f t="shared" si="19"/>
        <v>0.16800000000000001</v>
      </c>
      <c r="O51" s="401">
        <f t="shared" si="20"/>
        <v>-0.91929069747967285</v>
      </c>
      <c r="P51" s="401">
        <f t="shared" si="20"/>
        <v>1.49168857007467</v>
      </c>
      <c r="Q51" s="401">
        <f t="shared" si="20"/>
        <v>1.5852258217810031</v>
      </c>
      <c r="R51" s="401">
        <f t="shared" si="11"/>
        <v>-1.2085308366103487</v>
      </c>
      <c r="S51" s="401">
        <f t="shared" si="12"/>
        <v>-0.40011071347193389</v>
      </c>
      <c r="T51" s="401">
        <f t="shared" si="13"/>
        <v>-0.70308484832539864</v>
      </c>
      <c r="U51" s="331">
        <v>1.7000000000000001E-2</v>
      </c>
      <c r="V51" s="332">
        <f t="shared" si="8"/>
        <v>2.2119599599800237E-2</v>
      </c>
      <c r="W51" s="330">
        <v>1.29E-2</v>
      </c>
      <c r="X51" s="332">
        <f t="shared" si="9"/>
        <v>2.0836579064532918E-2</v>
      </c>
      <c r="Y51" s="332">
        <f t="shared" si="14"/>
        <v>2.0836579064532918E-2</v>
      </c>
      <c r="Z51" s="330"/>
    </row>
    <row r="52" spans="1:26" s="355" customFormat="1" x14ac:dyDescent="0.25">
      <c r="A52" s="355" t="s">
        <v>563</v>
      </c>
      <c r="B52" s="355" t="s">
        <v>641</v>
      </c>
      <c r="C52" s="345">
        <f>'Historical Data'!B236</f>
        <v>1.2439480744227849E-2</v>
      </c>
      <c r="D52" s="401">
        <f>'Historical Data'!E69</f>
        <v>7.9</v>
      </c>
      <c r="E52" s="355">
        <v>0.5</v>
      </c>
      <c r="F52" s="401">
        <f t="shared" si="1"/>
        <v>-9.9999999999999645E-2</v>
      </c>
      <c r="G52" s="401">
        <f>'Historical Data'!H101</f>
        <v>3.5</v>
      </c>
      <c r="H52" s="321">
        <v>1.80375592E-3</v>
      </c>
      <c r="I52" s="401">
        <f t="shared" si="10"/>
        <v>0</v>
      </c>
      <c r="J52" s="401">
        <f t="shared" si="15"/>
        <v>0.25</v>
      </c>
      <c r="K52" s="401">
        <f t="shared" si="16"/>
        <v>0.90600000000000003</v>
      </c>
      <c r="L52" s="401">
        <f t="shared" si="17"/>
        <v>0.91600000000000004</v>
      </c>
      <c r="M52" s="401">
        <f t="shared" si="18"/>
        <v>0.156</v>
      </c>
      <c r="N52" s="401">
        <f t="shared" si="19"/>
        <v>0.16800000000000001</v>
      </c>
      <c r="O52" s="401">
        <f t="shared" si="20"/>
        <v>-0.84653562166924534</v>
      </c>
      <c r="P52" s="401">
        <f t="shared" si="20"/>
        <v>1.4205360207890572</v>
      </c>
      <c r="Q52" s="401">
        <f t="shared" si="20"/>
        <v>1.441926585117832</v>
      </c>
      <c r="R52" s="401">
        <f t="shared" si="11"/>
        <v>-1.17053939330657</v>
      </c>
      <c r="S52" s="401">
        <f t="shared" si="12"/>
        <v>-0.40011071347193389</v>
      </c>
      <c r="T52" s="401">
        <f t="shared" si="13"/>
        <v>-0.66284732724652007</v>
      </c>
      <c r="U52" s="331">
        <v>1.7000000000000001E-2</v>
      </c>
      <c r="V52" s="332">
        <f t="shared" si="8"/>
        <v>2.1144269256265974E-2</v>
      </c>
      <c r="W52" s="330">
        <v>1.26E-2</v>
      </c>
      <c r="X52" s="332">
        <f t="shared" si="9"/>
        <v>2.2279128384694435E-2</v>
      </c>
      <c r="Y52" s="332">
        <f t="shared" si="14"/>
        <v>2.2279128384694435E-2</v>
      </c>
      <c r="Z52" s="330"/>
    </row>
    <row r="53" spans="1:26" s="355" customFormat="1" x14ac:dyDescent="0.25">
      <c r="A53" s="355" t="s">
        <v>563</v>
      </c>
      <c r="B53" s="355" t="s">
        <v>642</v>
      </c>
      <c r="C53" s="345">
        <f>'Historical Data'!B237</f>
        <v>1.0635904085265491E-2</v>
      </c>
      <c r="D53" s="401">
        <f>'Historical Data'!E70</f>
        <v>7.8</v>
      </c>
      <c r="E53" s="355">
        <v>0.5</v>
      </c>
      <c r="F53" s="401">
        <f t="shared" si="1"/>
        <v>-0.10000000000000053</v>
      </c>
      <c r="G53" s="401">
        <f>'Historical Data'!H102</f>
        <v>2.4</v>
      </c>
      <c r="H53" s="321">
        <v>1.368831278E-2</v>
      </c>
      <c r="I53" s="401">
        <f t="shared" si="10"/>
        <v>0</v>
      </c>
      <c r="J53" s="401">
        <f t="shared" si="15"/>
        <v>0.187</v>
      </c>
      <c r="K53" s="401">
        <f t="shared" si="16"/>
        <v>0.86399999999999999</v>
      </c>
      <c r="L53" s="401">
        <f t="shared" si="17"/>
        <v>0.77</v>
      </c>
      <c r="M53" s="401">
        <f t="shared" si="18"/>
        <v>0.25</v>
      </c>
      <c r="N53" s="401">
        <f t="shared" si="19"/>
        <v>0.16800000000000001</v>
      </c>
      <c r="O53" s="401">
        <f t="shared" si="20"/>
        <v>-1.0648008491005281</v>
      </c>
      <c r="P53" s="401">
        <f t="shared" si="20"/>
        <v>1.2782309222178312</v>
      </c>
      <c r="Q53" s="401">
        <f t="shared" si="20"/>
        <v>0.94379114338395054</v>
      </c>
      <c r="R53" s="401">
        <f t="shared" si="11"/>
        <v>-0.84588524143791688</v>
      </c>
      <c r="S53" s="401">
        <f t="shared" si="12"/>
        <v>-0.40011071347193389</v>
      </c>
      <c r="T53" s="401">
        <f t="shared" si="13"/>
        <v>-0.79692408283468996</v>
      </c>
      <c r="U53" s="331">
        <v>1.7000000000000001E-2</v>
      </c>
      <c r="V53" s="332">
        <f t="shared" si="8"/>
        <v>2.4542556100138186E-2</v>
      </c>
      <c r="W53" s="330">
        <v>1.26E-2</v>
      </c>
      <c r="X53" s="332">
        <f t="shared" si="9"/>
        <v>2.2602141652068131E-2</v>
      </c>
      <c r="Y53" s="332">
        <f t="shared" si="14"/>
        <v>2.2602141652068131E-2</v>
      </c>
      <c r="Z53" s="330"/>
    </row>
    <row r="54" spans="1:26" s="355" customFormat="1" x14ac:dyDescent="0.25">
      <c r="A54" s="355" t="s">
        <v>563</v>
      </c>
      <c r="B54" s="355" t="s">
        <v>643</v>
      </c>
      <c r="C54" s="345">
        <f>'Historical Data'!B238</f>
        <v>1.9757956153150902E-2</v>
      </c>
      <c r="D54" s="401">
        <f>'Historical Data'!E71</f>
        <v>7.9</v>
      </c>
      <c r="E54" s="355">
        <v>0.5</v>
      </c>
      <c r="F54" s="401">
        <f t="shared" si="1"/>
        <v>0.10000000000000053</v>
      </c>
      <c r="G54" s="401">
        <f>'Historical Data'!H103</f>
        <v>1.7</v>
      </c>
      <c r="H54" s="321">
        <v>4.4328183500000002E-3</v>
      </c>
      <c r="I54" s="401">
        <f t="shared" si="10"/>
        <v>0</v>
      </c>
      <c r="J54" s="401">
        <f t="shared" si="15"/>
        <v>0.5</v>
      </c>
      <c r="K54" s="401">
        <f t="shared" si="16"/>
        <v>0.90600000000000003</v>
      </c>
      <c r="L54" s="401">
        <f t="shared" si="17"/>
        <v>0.59299999999999997</v>
      </c>
      <c r="M54" s="401">
        <f t="shared" si="18"/>
        <v>0.17699999999999999</v>
      </c>
      <c r="N54" s="401">
        <f t="shared" si="19"/>
        <v>0.16800000000000001</v>
      </c>
      <c r="O54" s="401">
        <f t="shared" si="20"/>
        <v>1.9596233216797397E-2</v>
      </c>
      <c r="P54" s="401">
        <f t="shared" si="20"/>
        <v>1.4205360207890572</v>
      </c>
      <c r="Q54" s="401">
        <f t="shared" si="20"/>
        <v>0.33988721744629968</v>
      </c>
      <c r="R54" s="401">
        <f t="shared" si="11"/>
        <v>-1.0980102742720839</v>
      </c>
      <c r="S54" s="401">
        <f t="shared" si="12"/>
        <v>-0.40011071347193389</v>
      </c>
      <c r="T54" s="401">
        <f t="shared" si="13"/>
        <v>-0.24611923917859907</v>
      </c>
      <c r="U54" s="331">
        <v>1.7000000000000001E-2</v>
      </c>
      <c r="V54" s="332">
        <f t="shared" si="8"/>
        <v>1.3009923700424779E-2</v>
      </c>
      <c r="W54" s="330">
        <v>1.3100000000000001E-2</v>
      </c>
      <c r="X54" s="332">
        <f t="shared" si="9"/>
        <v>1.956558301894298E-2</v>
      </c>
      <c r="Y54" s="332">
        <f t="shared" si="14"/>
        <v>1.956558301894298E-2</v>
      </c>
      <c r="Z54" s="330"/>
    </row>
    <row r="55" spans="1:26" s="355" customFormat="1" x14ac:dyDescent="0.25">
      <c r="A55" s="355" t="s">
        <v>563</v>
      </c>
      <c r="B55" s="355" t="s">
        <v>644</v>
      </c>
      <c r="C55" s="345">
        <f>'Historical Data'!B239</f>
        <v>1.6300661071281253E-2</v>
      </c>
      <c r="D55" s="401">
        <f>'Historical Data'!E72</f>
        <v>7.4</v>
      </c>
      <c r="E55" s="355">
        <v>0.5</v>
      </c>
      <c r="F55" s="401">
        <f t="shared" si="1"/>
        <v>-0.5</v>
      </c>
      <c r="G55" s="401">
        <f>'Historical Data'!H104</f>
        <v>1.7</v>
      </c>
      <c r="H55" s="321">
        <v>1.0745865269999998E-2</v>
      </c>
      <c r="I55" s="401">
        <f t="shared" si="10"/>
        <v>0</v>
      </c>
      <c r="J55" s="401">
        <f t="shared" si="15"/>
        <v>0.375</v>
      </c>
      <c r="K55" s="401">
        <f t="shared" si="16"/>
        <v>0.76</v>
      </c>
      <c r="L55" s="401">
        <f t="shared" si="17"/>
        <v>0.59299999999999997</v>
      </c>
      <c r="M55" s="401">
        <f t="shared" si="18"/>
        <v>0.218</v>
      </c>
      <c r="N55" s="401">
        <f t="shared" si="19"/>
        <v>0.16800000000000001</v>
      </c>
      <c r="O55" s="401">
        <f t="shared" si="20"/>
        <v>-0.41346969422622398</v>
      </c>
      <c r="P55" s="401">
        <f t="shared" si="20"/>
        <v>0.9258563924224148</v>
      </c>
      <c r="Q55" s="401">
        <f t="shared" si="20"/>
        <v>0.33988721744629968</v>
      </c>
      <c r="R55" s="401">
        <f t="shared" si="11"/>
        <v>-0.9564058037761819</v>
      </c>
      <c r="S55" s="401">
        <f t="shared" si="12"/>
        <v>-0.40011071347193389</v>
      </c>
      <c r="T55" s="401">
        <f t="shared" si="13"/>
        <v>-0.44233038575815747</v>
      </c>
      <c r="U55" s="331">
        <v>1.7000000000000001E-2</v>
      </c>
      <c r="V55" s="332">
        <f t="shared" si="8"/>
        <v>1.6421950332627808E-2</v>
      </c>
      <c r="W55" s="330">
        <v>1.3299999999999999E-2</v>
      </c>
      <c r="X55" s="332">
        <f t="shared" si="9"/>
        <v>1.7991476711063589E-2</v>
      </c>
      <c r="Y55" s="332">
        <f t="shared" si="14"/>
        <v>1.7991476711063589E-2</v>
      </c>
      <c r="Z55" s="330"/>
    </row>
    <row r="56" spans="1:26" s="355" customFormat="1" x14ac:dyDescent="0.25">
      <c r="A56" s="355" t="s">
        <v>563</v>
      </c>
      <c r="B56" s="355" t="s">
        <v>645</v>
      </c>
      <c r="C56" s="345">
        <f>'Historical Data'!B240</f>
        <v>1.6310967886887129E-2</v>
      </c>
      <c r="D56" s="401">
        <f>'Historical Data'!E73</f>
        <v>7.5</v>
      </c>
      <c r="E56" s="355">
        <v>0.5</v>
      </c>
      <c r="F56" s="401">
        <f t="shared" si="1"/>
        <v>9.9999999999999645E-2</v>
      </c>
      <c r="G56" s="401">
        <f>'Historical Data'!H105</f>
        <v>1.9</v>
      </c>
      <c r="H56" s="321">
        <v>1.6475956359999998E-2</v>
      </c>
      <c r="I56" s="401">
        <f t="shared" si="10"/>
        <v>0</v>
      </c>
      <c r="J56" s="401">
        <f t="shared" si="15"/>
        <v>0.38500000000000001</v>
      </c>
      <c r="K56" s="401">
        <f t="shared" si="16"/>
        <v>0.78100000000000003</v>
      </c>
      <c r="L56" s="401">
        <f t="shared" si="17"/>
        <v>0.67700000000000005</v>
      </c>
      <c r="M56" s="401">
        <f t="shared" si="18"/>
        <v>0.28100000000000003</v>
      </c>
      <c r="N56" s="401">
        <f t="shared" si="19"/>
        <v>0.16800000000000001</v>
      </c>
      <c r="O56" s="401">
        <f t="shared" si="20"/>
        <v>-0.37882442003078226</v>
      </c>
      <c r="P56" s="401">
        <f t="shared" si="20"/>
        <v>0.99700894170802778</v>
      </c>
      <c r="Q56" s="401">
        <f t="shared" si="20"/>
        <v>0.6264856907726426</v>
      </c>
      <c r="R56" s="401">
        <f t="shared" si="11"/>
        <v>-0.73881844667272267</v>
      </c>
      <c r="S56" s="401">
        <f t="shared" si="12"/>
        <v>-0.40011071347193389</v>
      </c>
      <c r="T56" s="401">
        <f t="shared" si="13"/>
        <v>-0.37823989312647349</v>
      </c>
      <c r="U56" s="331">
        <v>1.7000000000000001E-2</v>
      </c>
      <c r="V56" s="332">
        <f t="shared" si="8"/>
        <v>1.5231634416275021E-2</v>
      </c>
      <c r="W56" s="330">
        <v>1.2200000000000001E-2</v>
      </c>
      <c r="X56" s="332">
        <f t="shared" si="9"/>
        <v>1.4887836149775869E-2</v>
      </c>
      <c r="Y56" s="332">
        <f t="shared" si="14"/>
        <v>1.4887836149775869E-2</v>
      </c>
      <c r="Z56" s="330"/>
    </row>
    <row r="57" spans="1:26" s="355" customFormat="1" x14ac:dyDescent="0.25">
      <c r="A57" s="355" t="s">
        <v>563</v>
      </c>
      <c r="B57" s="355" t="s">
        <v>646</v>
      </c>
      <c r="C57" s="345">
        <f>'Historical Data'!B241</f>
        <v>2.2564595453132608E-2</v>
      </c>
      <c r="D57" s="401">
        <f>'Historical Data'!E74</f>
        <v>7.5</v>
      </c>
      <c r="E57" s="355">
        <v>0.5</v>
      </c>
      <c r="F57" s="401">
        <f t="shared" si="1"/>
        <v>0</v>
      </c>
      <c r="G57" s="401">
        <f>'Historical Data'!H106</f>
        <v>2</v>
      </c>
      <c r="H57" s="321">
        <v>1.532113951E-2</v>
      </c>
      <c r="I57" s="401">
        <f t="shared" si="10"/>
        <v>0</v>
      </c>
      <c r="J57" s="401">
        <f t="shared" si="15"/>
        <v>0.60399999999999998</v>
      </c>
      <c r="K57" s="401">
        <f t="shared" si="16"/>
        <v>0.78100000000000003</v>
      </c>
      <c r="L57" s="401">
        <f t="shared" si="17"/>
        <v>0.70799999999999996</v>
      </c>
      <c r="M57" s="401">
        <f t="shared" si="18"/>
        <v>0.27</v>
      </c>
      <c r="N57" s="401">
        <f t="shared" si="19"/>
        <v>0.16800000000000001</v>
      </c>
      <c r="O57" s="401">
        <f t="shared" si="20"/>
        <v>0.37990708484939112</v>
      </c>
      <c r="P57" s="401">
        <f t="shared" si="20"/>
        <v>0.99700894170802778</v>
      </c>
      <c r="Q57" s="401">
        <f t="shared" si="20"/>
        <v>0.73225417497641165</v>
      </c>
      <c r="R57" s="401">
        <f t="shared" si="11"/>
        <v>-0.77680988997650124</v>
      </c>
      <c r="S57" s="401">
        <f t="shared" si="12"/>
        <v>-0.40011071347193389</v>
      </c>
      <c r="T57" s="401">
        <f t="shared" si="13"/>
        <v>8.3776713891629495E-2</v>
      </c>
      <c r="U57" s="331">
        <v>1.7000000000000001E-2</v>
      </c>
      <c r="V57" s="332">
        <f t="shared" si="8"/>
        <v>8.64508042218942E-3</v>
      </c>
      <c r="W57" s="330">
        <v>1.11E-2</v>
      </c>
      <c r="X57" s="332">
        <f t="shared" si="9"/>
        <v>1.3432888390364084E-2</v>
      </c>
      <c r="Y57" s="332">
        <f t="shared" si="14"/>
        <v>1.3432888390364084E-2</v>
      </c>
      <c r="Z57" s="330"/>
    </row>
    <row r="58" spans="1:26" s="355" customFormat="1" x14ac:dyDescent="0.25">
      <c r="A58" s="355" t="s">
        <v>563</v>
      </c>
      <c r="B58" s="355" t="s">
        <v>647</v>
      </c>
      <c r="C58" s="345">
        <f>'Historical Data'!B242</f>
        <v>1.983904866654318E-2</v>
      </c>
      <c r="D58" s="401">
        <f>'Historical Data'!E75</f>
        <v>7.6</v>
      </c>
      <c r="E58" s="355">
        <v>0.5</v>
      </c>
      <c r="F58" s="401">
        <f t="shared" si="1"/>
        <v>9.9999999999999645E-2</v>
      </c>
      <c r="G58" s="401">
        <f>'Historical Data'!H107</f>
        <v>2.2999999999999998</v>
      </c>
      <c r="H58" s="321">
        <v>3.407436405E-2</v>
      </c>
      <c r="I58" s="401">
        <f t="shared" si="10"/>
        <v>0</v>
      </c>
      <c r="J58" s="401">
        <f t="shared" si="15"/>
        <v>0.51</v>
      </c>
      <c r="K58" s="401">
        <f t="shared" si="16"/>
        <v>0.82199999999999995</v>
      </c>
      <c r="L58" s="401">
        <f t="shared" si="17"/>
        <v>0.76</v>
      </c>
      <c r="M58" s="401">
        <f t="shared" si="18"/>
        <v>0.40600000000000003</v>
      </c>
      <c r="N58" s="401">
        <f t="shared" si="19"/>
        <v>0.16800000000000001</v>
      </c>
      <c r="O58" s="401">
        <f t="shared" si="20"/>
        <v>5.424150741223914E-2</v>
      </c>
      <c r="P58" s="401">
        <f t="shared" si="20"/>
        <v>1.1359258236466052</v>
      </c>
      <c r="Q58" s="401">
        <f t="shared" si="20"/>
        <v>0.90967227751176682</v>
      </c>
      <c r="R58" s="401">
        <f t="shared" si="11"/>
        <v>-0.3070975000388752</v>
      </c>
      <c r="S58" s="401">
        <f t="shared" si="12"/>
        <v>-0.40011071347193389</v>
      </c>
      <c r="T58" s="401">
        <f t="shared" si="13"/>
        <v>-6.080127151722127E-2</v>
      </c>
      <c r="U58" s="331">
        <v>1.7000000000000001E-2</v>
      </c>
      <c r="V58" s="332">
        <f t="shared" si="8"/>
        <v>1.0368446334277632E-2</v>
      </c>
      <c r="W58" s="330">
        <v>1.0999999999999999E-2</v>
      </c>
      <c r="X58" s="332">
        <f t="shared" si="9"/>
        <v>1.1415053724247358E-2</v>
      </c>
      <c r="Y58" s="332">
        <f t="shared" si="14"/>
        <v>1.1415053724247358E-2</v>
      </c>
      <c r="Z58" s="330"/>
    </row>
    <row r="59" spans="1:26" s="355" customFormat="1" x14ac:dyDescent="0.25">
      <c r="A59" s="355" t="s">
        <v>563</v>
      </c>
      <c r="B59" s="355" t="s">
        <v>648</v>
      </c>
      <c r="C59" s="345">
        <f>'Historical Data'!B243</f>
        <v>2.6832359376056658E-2</v>
      </c>
      <c r="D59" s="401">
        <f>'Historical Data'!E76</f>
        <v>6.9</v>
      </c>
      <c r="E59" s="355">
        <v>0.5</v>
      </c>
      <c r="F59" s="401">
        <f t="shared" si="1"/>
        <v>-0.69999999999999929</v>
      </c>
      <c r="G59" s="401">
        <f>'Historical Data'!H108</f>
        <v>1.7</v>
      </c>
      <c r="H59" s="321">
        <v>5.4060855339999998E-2</v>
      </c>
      <c r="I59" s="401">
        <f t="shared" si="10"/>
        <v>0</v>
      </c>
      <c r="J59" s="401">
        <f t="shared" si="15"/>
        <v>0.76</v>
      </c>
      <c r="K59" s="401">
        <f t="shared" si="16"/>
        <v>0.71799999999999997</v>
      </c>
      <c r="L59" s="401">
        <f t="shared" si="17"/>
        <v>0.59299999999999997</v>
      </c>
      <c r="M59" s="401">
        <f t="shared" si="18"/>
        <v>0.56200000000000006</v>
      </c>
      <c r="N59" s="401">
        <f t="shared" si="19"/>
        <v>0.16800000000000001</v>
      </c>
      <c r="O59" s="401">
        <f t="shared" si="20"/>
        <v>0.92037336229828193</v>
      </c>
      <c r="P59" s="401">
        <f t="shared" si="20"/>
        <v>0.78355129385118882</v>
      </c>
      <c r="Q59" s="401">
        <f t="shared" si="20"/>
        <v>0.33988721744629968</v>
      </c>
      <c r="R59" s="401">
        <f t="shared" si="11"/>
        <v>0.2316902413601665</v>
      </c>
      <c r="S59" s="401">
        <f t="shared" si="12"/>
        <v>-0.40011071347193389</v>
      </c>
      <c r="T59" s="401">
        <f t="shared" si="13"/>
        <v>0.49101556252730338</v>
      </c>
      <c r="U59" s="331">
        <v>1.7000000000000001E-2</v>
      </c>
      <c r="V59" s="332">
        <f t="shared" si="8"/>
        <v>5.0661865542091745E-3</v>
      </c>
      <c r="W59" s="330">
        <v>1.09E-2</v>
      </c>
      <c r="X59" s="332">
        <f t="shared" si="9"/>
        <v>8.0265711035587429E-3</v>
      </c>
      <c r="Y59" s="332">
        <f t="shared" si="14"/>
        <v>8.0265711035587429E-3</v>
      </c>
      <c r="Z59" s="330"/>
    </row>
    <row r="60" spans="1:26" s="355" customFormat="1" x14ac:dyDescent="0.25">
      <c r="A60" s="355" t="s">
        <v>563</v>
      </c>
      <c r="B60" s="355" t="s">
        <v>649</v>
      </c>
      <c r="C60" s="345">
        <f>'Historical Data'!B244</f>
        <v>2.6979111128449862E-2</v>
      </c>
      <c r="D60" s="401">
        <f>'Historical Data'!E77</f>
        <v>6.5</v>
      </c>
      <c r="E60" s="355">
        <v>0.5</v>
      </c>
      <c r="F60" s="401">
        <f t="shared" si="1"/>
        <v>-0.40000000000000036</v>
      </c>
      <c r="G60" s="401">
        <f>'Historical Data'!H109</f>
        <v>1.2</v>
      </c>
      <c r="H60" s="321">
        <v>6.4354311309999995E-2</v>
      </c>
      <c r="I60" s="401">
        <f t="shared" si="10"/>
        <v>0</v>
      </c>
      <c r="J60" s="401">
        <f t="shared" si="15"/>
        <v>0.77</v>
      </c>
      <c r="K60" s="401">
        <f t="shared" si="16"/>
        <v>0.69699999999999995</v>
      </c>
      <c r="L60" s="401">
        <f t="shared" si="17"/>
        <v>0.52</v>
      </c>
      <c r="M60" s="401">
        <f t="shared" si="18"/>
        <v>0.60399999999999998</v>
      </c>
      <c r="N60" s="401">
        <f t="shared" si="19"/>
        <v>0.16800000000000001</v>
      </c>
      <c r="O60" s="401">
        <f t="shared" si="20"/>
        <v>0.95501863649372365</v>
      </c>
      <c r="P60" s="401">
        <f t="shared" si="20"/>
        <v>0.71239874456557584</v>
      </c>
      <c r="Q60" s="401">
        <f t="shared" si="20"/>
        <v>9.0819496579359116E-2</v>
      </c>
      <c r="R60" s="401">
        <f t="shared" si="11"/>
        <v>0.37674847942913897</v>
      </c>
      <c r="S60" s="401">
        <f t="shared" si="12"/>
        <v>-0.40011071347193389</v>
      </c>
      <c r="T60" s="401">
        <f t="shared" si="13"/>
        <v>0.50851703369333301</v>
      </c>
      <c r="U60" s="331">
        <v>1.7000000000000001E-2</v>
      </c>
      <c r="V60" s="332">
        <f t="shared" si="8"/>
        <v>4.9474798144804018E-3</v>
      </c>
      <c r="W60" s="330">
        <v>1.0200000000000001E-2</v>
      </c>
      <c r="X60" s="332">
        <f t="shared" si="9"/>
        <v>6.7940375676557351E-3</v>
      </c>
      <c r="Y60" s="332">
        <f t="shared" si="14"/>
        <v>6.7940375676557351E-3</v>
      </c>
      <c r="Z60" s="330"/>
    </row>
    <row r="61" spans="1:26" s="355" customFormat="1" x14ac:dyDescent="0.25">
      <c r="A61" s="355" t="s">
        <v>563</v>
      </c>
      <c r="B61" s="355" t="s">
        <v>650</v>
      </c>
      <c r="C61" s="345">
        <f>'Historical Data'!B245</f>
        <v>2.8202049294302034E-2</v>
      </c>
      <c r="D61" s="401">
        <f>'Historical Data'!E78</f>
        <v>6</v>
      </c>
      <c r="E61" s="355">
        <v>0.5</v>
      </c>
      <c r="F61" s="401">
        <f t="shared" si="1"/>
        <v>-0.5</v>
      </c>
      <c r="G61" s="401">
        <f>'Historical Data'!H110</f>
        <v>1</v>
      </c>
      <c r="H61" s="321">
        <v>8.3536590339999994E-2</v>
      </c>
      <c r="I61" s="401">
        <f t="shared" si="10"/>
        <v>0</v>
      </c>
      <c r="J61" s="401">
        <f t="shared" si="15"/>
        <v>0.80200000000000005</v>
      </c>
      <c r="K61" s="401">
        <f t="shared" si="16"/>
        <v>0.66600000000000004</v>
      </c>
      <c r="L61" s="401">
        <f t="shared" si="17"/>
        <v>0.47899999999999998</v>
      </c>
      <c r="M61" s="401">
        <f t="shared" si="18"/>
        <v>0.73899999999999999</v>
      </c>
      <c r="N61" s="401">
        <f t="shared" si="19"/>
        <v>0.16800000000000001</v>
      </c>
      <c r="O61" s="401">
        <f t="shared" si="20"/>
        <v>1.0658835139191372</v>
      </c>
      <c r="P61" s="401">
        <f t="shared" si="20"/>
        <v>0.60736402895348085</v>
      </c>
      <c r="Q61" s="401">
        <f t="shared" si="20"/>
        <v>-4.9067853496594004E-2</v>
      </c>
      <c r="R61" s="401">
        <f t="shared" si="11"/>
        <v>0.8430071017936942</v>
      </c>
      <c r="S61" s="401">
        <f t="shared" si="12"/>
        <v>-0.40011071347193389</v>
      </c>
      <c r="T61" s="401">
        <f t="shared" si="13"/>
        <v>0.61817655893865087</v>
      </c>
      <c r="U61" s="331">
        <v>1.7000000000000001E-2</v>
      </c>
      <c r="V61" s="332">
        <f t="shared" si="8"/>
        <v>4.2585007840390716E-3</v>
      </c>
      <c r="W61" s="330">
        <v>8.9999999999999993E-3</v>
      </c>
      <c r="X61" s="332">
        <f t="shared" si="9"/>
        <v>4.757389050909549E-3</v>
      </c>
      <c r="Y61" s="332">
        <f t="shared" si="14"/>
        <v>4.757389050909549E-3</v>
      </c>
      <c r="Z61" s="330"/>
    </row>
    <row r="62" spans="1:26" s="355" customFormat="1" x14ac:dyDescent="0.25">
      <c r="A62" s="355" t="s">
        <v>563</v>
      </c>
      <c r="B62" s="355" t="s">
        <v>651</v>
      </c>
      <c r="C62" s="345">
        <f>'Historical Data'!B246</f>
        <v>2.4435455970477582E-2</v>
      </c>
      <c r="D62" s="401">
        <f>'Historical Data'!E79</f>
        <v>6.1</v>
      </c>
      <c r="E62" s="355">
        <v>0.5</v>
      </c>
      <c r="F62" s="401">
        <f t="shared" si="1"/>
        <v>9.9999999999999645E-2</v>
      </c>
      <c r="G62" s="401">
        <f>'Historical Data'!H111</f>
        <v>0.5</v>
      </c>
      <c r="H62" s="321">
        <v>9.1087032380000002E-2</v>
      </c>
      <c r="I62" s="401">
        <f t="shared" si="10"/>
        <v>0</v>
      </c>
      <c r="J62" s="401">
        <f t="shared" si="15"/>
        <v>0.69699999999999995</v>
      </c>
      <c r="K62" s="401">
        <f t="shared" si="16"/>
        <v>0.68700000000000006</v>
      </c>
      <c r="L62" s="401">
        <f t="shared" si="17"/>
        <v>0.437</v>
      </c>
      <c r="M62" s="401">
        <f t="shared" si="18"/>
        <v>0.78100000000000003</v>
      </c>
      <c r="N62" s="401">
        <f t="shared" si="19"/>
        <v>0.16800000000000001</v>
      </c>
      <c r="O62" s="401">
        <f t="shared" si="20"/>
        <v>0.70210813486699897</v>
      </c>
      <c r="P62" s="401">
        <f t="shared" si="20"/>
        <v>0.67851657823909384</v>
      </c>
      <c r="Q62" s="401">
        <f t="shared" si="20"/>
        <v>-0.1923670901597653</v>
      </c>
      <c r="R62" s="401">
        <f t="shared" si="11"/>
        <v>0.98806533986266709</v>
      </c>
      <c r="S62" s="401">
        <f t="shared" si="12"/>
        <v>-0.40011071347193389</v>
      </c>
      <c r="T62" s="401">
        <f t="shared" si="13"/>
        <v>0.39297197671938677</v>
      </c>
      <c r="U62" s="331">
        <v>1.7000000000000001E-2</v>
      </c>
      <c r="V62" s="332">
        <f t="shared" si="8"/>
        <v>5.7792665073781351E-3</v>
      </c>
      <c r="W62" s="330">
        <v>9.7000000000000003E-3</v>
      </c>
      <c r="X62" s="332">
        <f t="shared" si="9"/>
        <v>4.9950823686325356E-3</v>
      </c>
      <c r="Y62" s="332">
        <f t="shared" si="14"/>
        <v>4.9950823686325356E-3</v>
      </c>
      <c r="Z62" s="330"/>
    </row>
    <row r="63" spans="1:26" s="355" customFormat="1" x14ac:dyDescent="0.25">
      <c r="A63" s="355" t="s">
        <v>563</v>
      </c>
      <c r="B63" s="355" t="s">
        <v>652</v>
      </c>
      <c r="C63" s="345">
        <f>'Historical Data'!B247</f>
        <v>2.4724901219356665E-2</v>
      </c>
      <c r="D63" s="401">
        <f>'Historical Data'!E80</f>
        <v>5.4</v>
      </c>
      <c r="E63" s="355">
        <v>0.5</v>
      </c>
      <c r="F63" s="401">
        <f t="shared" si="1"/>
        <v>-0.69999999999999929</v>
      </c>
      <c r="G63" s="401">
        <f>'Historical Data'!H112</f>
        <v>-0.3</v>
      </c>
      <c r="H63" s="321">
        <v>7.6971567719999995E-2</v>
      </c>
      <c r="I63" s="401">
        <f t="shared" si="10"/>
        <v>0</v>
      </c>
      <c r="J63" s="401">
        <f t="shared" si="15"/>
        <v>0.71799999999999997</v>
      </c>
      <c r="K63" s="401">
        <f t="shared" si="16"/>
        <v>0.63500000000000001</v>
      </c>
      <c r="L63" s="401">
        <f t="shared" si="17"/>
        <v>0.27</v>
      </c>
      <c r="M63" s="401">
        <f t="shared" si="18"/>
        <v>0.68700000000000006</v>
      </c>
      <c r="N63" s="401">
        <f t="shared" si="19"/>
        <v>0.16800000000000001</v>
      </c>
      <c r="O63" s="401">
        <f t="shared" si="20"/>
        <v>0.77486321067742658</v>
      </c>
      <c r="P63" s="401">
        <f t="shared" si="20"/>
        <v>0.50232931334138553</v>
      </c>
      <c r="Q63" s="401">
        <f t="shared" si="20"/>
        <v>-0.76215215022523231</v>
      </c>
      <c r="R63" s="401">
        <f t="shared" si="11"/>
        <v>0.66341118799401388</v>
      </c>
      <c r="S63" s="401">
        <f t="shared" si="12"/>
        <v>-0.40011071347193389</v>
      </c>
      <c r="T63" s="401">
        <f t="shared" si="13"/>
        <v>0.36479982750200213</v>
      </c>
      <c r="U63" s="331">
        <v>1.7000000000000001E-2</v>
      </c>
      <c r="V63" s="332">
        <f t="shared" si="8"/>
        <v>6.0000054898127538E-3</v>
      </c>
      <c r="W63" s="330">
        <v>1.11E-2</v>
      </c>
      <c r="X63" s="332">
        <f t="shared" si="9"/>
        <v>5.3459242604099871E-3</v>
      </c>
      <c r="Y63" s="332">
        <f t="shared" si="14"/>
        <v>5.3459242604099871E-3</v>
      </c>
      <c r="Z63" s="330"/>
    </row>
    <row r="64" spans="1:26" s="355" customFormat="1" x14ac:dyDescent="0.25">
      <c r="A64" s="355" t="s">
        <v>563</v>
      </c>
      <c r="B64" s="355" t="s">
        <v>653</v>
      </c>
      <c r="C64" s="345">
        <f>'Historical Data'!B248</f>
        <v>2.3379101050561069E-2</v>
      </c>
      <c r="D64" s="401">
        <f>'Historical Data'!E81</f>
        <v>5.3</v>
      </c>
      <c r="E64" s="355">
        <v>0.5</v>
      </c>
      <c r="F64" s="401">
        <f t="shared" si="1"/>
        <v>-0.10000000000000053</v>
      </c>
      <c r="G64" s="401">
        <f>'Historical Data'!H113</f>
        <v>-1.8</v>
      </c>
      <c r="H64" s="321">
        <v>6.6840959829999991E-2</v>
      </c>
      <c r="I64" s="401">
        <f t="shared" si="10"/>
        <v>0</v>
      </c>
      <c r="J64" s="401">
        <f t="shared" si="15"/>
        <v>0.625</v>
      </c>
      <c r="K64" s="401">
        <f t="shared" si="16"/>
        <v>0.59299999999999997</v>
      </c>
      <c r="L64" s="401">
        <f t="shared" si="17"/>
        <v>3.1E-2</v>
      </c>
      <c r="M64" s="401">
        <f t="shared" si="18"/>
        <v>0.625</v>
      </c>
      <c r="N64" s="401">
        <f t="shared" si="19"/>
        <v>0.16800000000000001</v>
      </c>
      <c r="O64" s="401">
        <f t="shared" si="20"/>
        <v>0.45266216065981879</v>
      </c>
      <c r="P64" s="401">
        <f t="shared" si="20"/>
        <v>0.3600242147701595</v>
      </c>
      <c r="Q64" s="401">
        <f t="shared" si="20"/>
        <v>-1.5775930445704218</v>
      </c>
      <c r="R64" s="401">
        <f t="shared" si="11"/>
        <v>0.44927759846362542</v>
      </c>
      <c r="S64" s="401">
        <f t="shared" si="12"/>
        <v>-0.40011071347193389</v>
      </c>
      <c r="T64" s="401">
        <f t="shared" si="13"/>
        <v>8.2752258961002245E-2</v>
      </c>
      <c r="U64" s="331">
        <v>1.7000000000000001E-2</v>
      </c>
      <c r="V64" s="332">
        <f t="shared" si="8"/>
        <v>8.6563491968392157E-3</v>
      </c>
      <c r="W64" s="330">
        <v>1.0999999999999999E-2</v>
      </c>
      <c r="X64" s="332">
        <f t="shared" si="9"/>
        <v>6.8118737313433682E-3</v>
      </c>
      <c r="Y64" s="332">
        <f t="shared" si="14"/>
        <v>6.8118737313433682E-3</v>
      </c>
      <c r="Z64" s="330"/>
    </row>
    <row r="65" spans="1:58" x14ac:dyDescent="0.25">
      <c r="A65" s="355" t="s">
        <v>563</v>
      </c>
      <c r="B65" s="355" t="s">
        <v>654</v>
      </c>
      <c r="C65" s="345">
        <f>'Historical Data'!B249</f>
        <v>2.3962729767752933E-2</v>
      </c>
      <c r="D65" s="401">
        <f>'Historical Data'!E82</f>
        <v>5.3</v>
      </c>
      <c r="E65" s="355">
        <v>0.5</v>
      </c>
      <c r="F65" s="401">
        <f t="shared" si="1"/>
        <v>0</v>
      </c>
      <c r="G65" s="401">
        <f>'Historical Data'!H114</f>
        <v>-1.9</v>
      </c>
      <c r="H65" s="321">
        <v>5.1983691959999995E-2</v>
      </c>
      <c r="I65" s="401">
        <f t="shared" si="10"/>
        <v>0</v>
      </c>
      <c r="J65" s="401">
        <f t="shared" si="15"/>
        <v>0.65600000000000003</v>
      </c>
      <c r="K65" s="401">
        <f t="shared" si="16"/>
        <v>0.59299999999999997</v>
      </c>
      <c r="L65" s="401">
        <f t="shared" si="17"/>
        <v>0.02</v>
      </c>
      <c r="M65" s="401">
        <f t="shared" si="18"/>
        <v>0.54100000000000004</v>
      </c>
      <c r="N65" s="401">
        <f t="shared" si="19"/>
        <v>0.16800000000000001</v>
      </c>
      <c r="O65" s="401">
        <f t="shared" si="20"/>
        <v>0.56006251066568813</v>
      </c>
      <c r="P65" s="401">
        <f t="shared" si="20"/>
        <v>0.3600242147701595</v>
      </c>
      <c r="Q65" s="401">
        <f t="shared" si="20"/>
        <v>-1.6151237970298238</v>
      </c>
      <c r="R65" s="401">
        <f t="shared" si="11"/>
        <v>0.15916112232568005</v>
      </c>
      <c r="S65" s="401">
        <f t="shared" si="12"/>
        <v>-0.40011071347193389</v>
      </c>
      <c r="T65" s="401">
        <f t="shared" si="13"/>
        <v>0.11442774610478917</v>
      </c>
      <c r="U65" s="331">
        <v>1.7000000000000001E-2</v>
      </c>
      <c r="V65" s="332">
        <f t="shared" si="8"/>
        <v>8.313824278591498E-3</v>
      </c>
      <c r="W65" s="330">
        <v>1.1900000000000001E-2</v>
      </c>
      <c r="X65" s="332">
        <f t="shared" si="9"/>
        <v>7.6567263217478228E-3</v>
      </c>
      <c r="Y65" s="332">
        <f t="shared" si="14"/>
        <v>7.6567263217478228E-3</v>
      </c>
      <c r="Z65" s="330"/>
      <c r="AK65" s="355"/>
      <c r="AL65" s="355"/>
      <c r="AM65" s="355"/>
      <c r="AN65" s="355"/>
      <c r="AO65" s="355"/>
    </row>
    <row r="66" spans="1:58" x14ac:dyDescent="0.25">
      <c r="A66" s="355" t="s">
        <v>563</v>
      </c>
      <c r="B66" s="355" t="s">
        <v>655</v>
      </c>
      <c r="C66" s="345">
        <f>'Historical Data'!B250</f>
        <v>2.2476735265668291E-2</v>
      </c>
      <c r="D66" s="401">
        <f>'Historical Data'!E83</f>
        <v>5.3</v>
      </c>
      <c r="E66" s="355">
        <v>0.5</v>
      </c>
      <c r="F66" s="401">
        <f t="shared" si="1"/>
        <v>0</v>
      </c>
      <c r="G66" s="401">
        <f>'Historical Data'!H115</f>
        <v>-2.1</v>
      </c>
      <c r="H66" s="321">
        <v>5.3350561240000004E-2</v>
      </c>
      <c r="I66" s="401">
        <f t="shared" si="10"/>
        <v>0</v>
      </c>
      <c r="J66" s="401">
        <f t="shared" si="15"/>
        <v>0.59299999999999997</v>
      </c>
      <c r="K66" s="401">
        <f t="shared" si="16"/>
        <v>0.59299999999999997</v>
      </c>
      <c r="L66" s="401">
        <f t="shared" si="17"/>
        <v>0</v>
      </c>
      <c r="M66" s="401">
        <f t="shared" si="18"/>
        <v>0.55200000000000005</v>
      </c>
      <c r="N66" s="401">
        <f t="shared" si="19"/>
        <v>0.16800000000000001</v>
      </c>
      <c r="O66" s="401">
        <f t="shared" si="20"/>
        <v>0.34179728323440522</v>
      </c>
      <c r="P66" s="401">
        <f t="shared" si="20"/>
        <v>0.3600242147701595</v>
      </c>
      <c r="Q66" s="401">
        <f t="shared" si="20"/>
        <v>-1.6833615287741912</v>
      </c>
      <c r="R66" s="401">
        <f t="shared" si="11"/>
        <v>0.19715256562945868</v>
      </c>
      <c r="S66" s="401">
        <f t="shared" si="12"/>
        <v>-0.40011071347193389</v>
      </c>
      <c r="T66" s="401">
        <f t="shared" si="13"/>
        <v>-1.9556019198039482E-2</v>
      </c>
      <c r="U66" s="331">
        <v>1.7000000000000001E-2</v>
      </c>
      <c r="V66" s="332">
        <f t="shared" si="8"/>
        <v>9.8486330944477125E-3</v>
      </c>
      <c r="W66" s="330">
        <v>1.2699999999999999E-2</v>
      </c>
      <c r="X66" s="332">
        <f t="shared" si="9"/>
        <v>8.9396021899594749E-3</v>
      </c>
      <c r="Y66" s="332">
        <f t="shared" si="14"/>
        <v>8.9396021899594749E-3</v>
      </c>
      <c r="Z66" s="330"/>
      <c r="AK66" s="355"/>
      <c r="AL66" s="355"/>
      <c r="AM66" s="355"/>
      <c r="AN66" s="355"/>
      <c r="AO66" s="355"/>
    </row>
    <row r="67" spans="1:58" x14ac:dyDescent="0.25">
      <c r="A67" s="355" t="s">
        <v>563</v>
      </c>
      <c r="B67" s="355" t="s">
        <v>656</v>
      </c>
      <c r="C67" s="345">
        <f>'Historical Data'!B251</f>
        <v>2.438953602872429E-2</v>
      </c>
      <c r="D67" s="401">
        <f>'Historical Data'!E84</f>
        <v>4.7</v>
      </c>
      <c r="E67" s="355">
        <v>0.5</v>
      </c>
      <c r="F67" s="401">
        <f t="shared" si="1"/>
        <v>-0.59999999999999964</v>
      </c>
      <c r="G67" s="401">
        <f>'Historical Data'!H116</f>
        <v>-2.1</v>
      </c>
      <c r="H67" s="321">
        <v>6.9134372730000004E-2</v>
      </c>
      <c r="I67" s="401">
        <f t="shared" si="10"/>
        <v>0</v>
      </c>
      <c r="J67" s="401">
        <f t="shared" si="15"/>
        <v>0.68700000000000006</v>
      </c>
      <c r="K67" s="401">
        <f t="shared" si="16"/>
        <v>0.28100000000000003</v>
      </c>
      <c r="L67" s="401">
        <f t="shared" si="17"/>
        <v>0</v>
      </c>
      <c r="M67" s="401">
        <f t="shared" si="18"/>
        <v>0.63500000000000001</v>
      </c>
      <c r="N67" s="401">
        <f t="shared" si="19"/>
        <v>0.16800000000000001</v>
      </c>
      <c r="O67" s="401">
        <f t="shared" si="20"/>
        <v>0.66746286067155758</v>
      </c>
      <c r="P67" s="401">
        <f t="shared" si="20"/>
        <v>-0.6970993746160894</v>
      </c>
      <c r="Q67" s="401">
        <f t="shared" si="20"/>
        <v>-1.6833615287741912</v>
      </c>
      <c r="R67" s="401">
        <f t="shared" si="11"/>
        <v>0.48381527419433323</v>
      </c>
      <c r="S67" s="401">
        <f t="shared" si="12"/>
        <v>-0.40011071347193389</v>
      </c>
      <c r="T67" s="401">
        <f t="shared" si="13"/>
        <v>0.31022195705936439</v>
      </c>
      <c r="U67" s="331">
        <v>1.7000000000000001E-2</v>
      </c>
      <c r="V67" s="332">
        <f t="shared" si="8"/>
        <v>6.4490032212443397E-3</v>
      </c>
      <c r="W67" s="330">
        <v>1.32E-2</v>
      </c>
      <c r="X67" s="332">
        <f t="shared" si="9"/>
        <v>8.203820198094517E-3</v>
      </c>
      <c r="Y67" s="332">
        <f t="shared" si="14"/>
        <v>8.203820198094517E-3</v>
      </c>
      <c r="Z67" s="330"/>
      <c r="AK67" s="355"/>
      <c r="AL67" s="355"/>
      <c r="AM67" s="355"/>
      <c r="AN67" s="355"/>
      <c r="AO67" s="355"/>
    </row>
    <row r="68" spans="1:58" x14ac:dyDescent="0.25">
      <c r="A68" s="355" t="s">
        <v>563</v>
      </c>
      <c r="B68" s="355" t="s">
        <v>657</v>
      </c>
      <c r="C68" s="345">
        <f>'Historical Data'!B252</f>
        <v>2.0716819269157805E-2</v>
      </c>
      <c r="D68" s="401">
        <f>'Historical Data'!E85</f>
        <v>4.9000000000000004</v>
      </c>
      <c r="E68" s="355">
        <v>0.5</v>
      </c>
      <c r="F68" s="401">
        <f t="shared" si="1"/>
        <v>0.20000000000000018</v>
      </c>
      <c r="G68" s="401">
        <f>'Historical Data'!H117</f>
        <v>-1.6</v>
      </c>
      <c r="H68" s="321">
        <v>8.4212869080000002E-2</v>
      </c>
      <c r="I68" s="401">
        <f t="shared" si="10"/>
        <v>0</v>
      </c>
      <c r="J68" s="401">
        <f t="shared" si="15"/>
        <v>0.54100000000000004</v>
      </c>
      <c r="K68" s="401">
        <f t="shared" si="16"/>
        <v>0.41599999999999998</v>
      </c>
      <c r="L68" s="401">
        <f t="shared" si="17"/>
        <v>5.1999999999999998E-2</v>
      </c>
      <c r="M68" s="401">
        <f t="shared" si="18"/>
        <v>0.75</v>
      </c>
      <c r="N68" s="401">
        <f t="shared" si="19"/>
        <v>0.16800000000000001</v>
      </c>
      <c r="O68" s="401">
        <f t="shared" si="20"/>
        <v>0.16164185741810855</v>
      </c>
      <c r="P68" s="401">
        <f t="shared" si="20"/>
        <v>-0.23969012920857793</v>
      </c>
      <c r="Q68" s="401">
        <f t="shared" si="20"/>
        <v>-1.5059434262388363</v>
      </c>
      <c r="R68" s="401">
        <f t="shared" si="11"/>
        <v>0.88099854509747288</v>
      </c>
      <c r="S68" s="401">
        <f t="shared" si="12"/>
        <v>-0.40011071347193389</v>
      </c>
      <c r="T68" s="401">
        <f t="shared" si="13"/>
        <v>1.8448567910393177E-2</v>
      </c>
      <c r="U68" s="331">
        <v>1.7000000000000001E-2</v>
      </c>
      <c r="V68" s="332">
        <f t="shared" si="8"/>
        <v>9.3899574725941799E-3</v>
      </c>
      <c r="W68" s="330">
        <v>1.6299999999999999E-2</v>
      </c>
      <c r="X68" s="332">
        <f t="shared" si="9"/>
        <v>8.5625312627620777E-3</v>
      </c>
      <c r="Y68" s="332">
        <f t="shared" si="14"/>
        <v>8.5625312627620777E-3</v>
      </c>
      <c r="Z68" s="330"/>
      <c r="AK68" s="355"/>
      <c r="AL68" s="355"/>
      <c r="AM68" s="355"/>
      <c r="AN68" s="355"/>
      <c r="AO68" s="355"/>
    </row>
    <row r="69" spans="1:58" x14ac:dyDescent="0.25">
      <c r="A69" s="355" t="s">
        <v>563</v>
      </c>
      <c r="B69" s="355" t="s">
        <v>658</v>
      </c>
      <c r="C69" s="345">
        <f>'Historical Data'!B253</f>
        <v>1.8868581303826071E-2</v>
      </c>
      <c r="D69" s="401">
        <f>'Historical Data'!E86</f>
        <v>4.7</v>
      </c>
      <c r="E69" s="355">
        <v>0.5</v>
      </c>
      <c r="F69" s="401">
        <f t="shared" ref="F69:F100" si="21">D69-D68</f>
        <v>-0.20000000000000018</v>
      </c>
      <c r="G69" s="401">
        <f>'Historical Data'!H118</f>
        <v>-1.7</v>
      </c>
      <c r="H69" s="321">
        <v>8.1726987870000004E-2</v>
      </c>
      <c r="I69" s="401">
        <f t="shared" si="10"/>
        <v>0</v>
      </c>
      <c r="J69" s="401">
        <f t="shared" ref="J69:J91" si="22">PERCENTRANK($C$4:$C$100,C69)</f>
        <v>0.45800000000000002</v>
      </c>
      <c r="K69" s="401">
        <f t="shared" ref="K69:K91" si="23">PERCENTRANK($D$2:$D$100,D69)</f>
        <v>0.28100000000000003</v>
      </c>
      <c r="L69" s="401">
        <f t="shared" ref="L69:L91" si="24">PERCENTRANK($G$4:$G$100,G69)</f>
        <v>4.1000000000000002E-2</v>
      </c>
      <c r="M69" s="401">
        <f t="shared" ref="M69:M91" si="25">PERCENTRANK($H$4:$H$100,H69)</f>
        <v>0.71799999999999997</v>
      </c>
      <c r="N69" s="401">
        <f t="shared" ref="N69:N91" si="26">PERCENTRANK($I$4:$I$100,I69)</f>
        <v>0.16800000000000001</v>
      </c>
      <c r="O69" s="401">
        <f t="shared" si="20"/>
        <v>-0.12591391840405772</v>
      </c>
      <c r="P69" s="401">
        <f t="shared" si="20"/>
        <v>-0.6970993746160894</v>
      </c>
      <c r="Q69" s="401">
        <f t="shared" si="20"/>
        <v>-1.5434741786982382</v>
      </c>
      <c r="R69" s="401">
        <f t="shared" si="11"/>
        <v>0.77047798275920776</v>
      </c>
      <c r="S69" s="401">
        <f t="shared" si="12"/>
        <v>-0.40011071347193389</v>
      </c>
      <c r="T69" s="401">
        <f t="shared" si="13"/>
        <v>-0.12314910452192213</v>
      </c>
      <c r="U69" s="331">
        <v>1.7000000000000001E-2</v>
      </c>
      <c r="V69" s="332">
        <f t="shared" ref="V69:V100" si="27">NORMSDIST((_xlfn.NORM.S.INV(U69)-(SQRT($AF$11)*T69))/SQRT(1-$AF$11))</f>
        <v>1.1199597309821325E-2</v>
      </c>
      <c r="W69" s="330">
        <v>1.77E-2</v>
      </c>
      <c r="X69" s="332">
        <f t="shared" ref="X69:X79" si="28">Y69</f>
        <v>9.0128526678866158E-3</v>
      </c>
      <c r="Y69" s="332">
        <f t="shared" si="14"/>
        <v>9.0128526678866158E-3</v>
      </c>
      <c r="Z69" s="330"/>
      <c r="AK69" s="355"/>
      <c r="AL69" s="355"/>
      <c r="AM69" s="355"/>
      <c r="AN69" s="355"/>
      <c r="AO69" s="355"/>
    </row>
    <row r="70" spans="1:58" x14ac:dyDescent="0.25">
      <c r="A70" s="355" t="s">
        <v>563</v>
      </c>
      <c r="B70" s="355" t="s">
        <v>659</v>
      </c>
      <c r="C70" s="345">
        <f>'Historical Data'!B254</f>
        <v>1.9079347085903864E-2</v>
      </c>
      <c r="D70" s="401">
        <f>'Historical Data'!E87</f>
        <v>4.9000000000000004</v>
      </c>
      <c r="E70" s="355">
        <v>0.25</v>
      </c>
      <c r="F70" s="401">
        <f t="shared" si="21"/>
        <v>0.20000000000000018</v>
      </c>
      <c r="G70" s="401">
        <f>'Historical Data'!H119</f>
        <v>-1.1000000000000001</v>
      </c>
      <c r="H70" s="321">
        <v>6.1404145200000003E-2</v>
      </c>
      <c r="I70" s="401">
        <f t="shared" ref="I70:I100" si="29">E70-E69</f>
        <v>-0.25</v>
      </c>
      <c r="J70" s="401">
        <f t="shared" si="22"/>
        <v>0.46800000000000003</v>
      </c>
      <c r="K70" s="401">
        <f t="shared" si="23"/>
        <v>0.41599999999999998</v>
      </c>
      <c r="L70" s="401">
        <f t="shared" si="24"/>
        <v>8.3000000000000004E-2</v>
      </c>
      <c r="M70" s="401">
        <f t="shared" si="25"/>
        <v>0.58299999999999996</v>
      </c>
      <c r="N70" s="401">
        <f t="shared" si="26"/>
        <v>9.4E-2</v>
      </c>
      <c r="O70" s="401">
        <f t="shared" si="20"/>
        <v>-9.1268644208615982E-2</v>
      </c>
      <c r="P70" s="401">
        <f t="shared" si="20"/>
        <v>-0.23969012920857793</v>
      </c>
      <c r="Q70" s="401">
        <f t="shared" si="20"/>
        <v>-1.4001749420350666</v>
      </c>
      <c r="R70" s="401">
        <f t="shared" ref="R70:R100" si="30">(M70-AF$4)/AF$5</f>
        <v>0.30421936039465253</v>
      </c>
      <c r="S70" s="401">
        <f t="shared" ref="S70:S100" si="31">(N70-AE$4)/AE$5</f>
        <v>-0.65364621507791254</v>
      </c>
      <c r="T70" s="401">
        <f t="shared" ref="T70:T100" si="32">O70*$AB$8-P70*$AB$9+Q70*$AB$10+S70*$AB$11+R70*$AB$12</f>
        <v>-0.2057523532761445</v>
      </c>
      <c r="U70" s="331">
        <v>1.7000000000000001E-2</v>
      </c>
      <c r="V70" s="332">
        <f t="shared" si="27"/>
        <v>1.2389583003182785E-2</v>
      </c>
      <c r="W70" s="330">
        <v>1.6500000000000001E-2</v>
      </c>
      <c r="X70" s="332">
        <f t="shared" si="28"/>
        <v>1.0993045928532763E-2</v>
      </c>
      <c r="Y70" s="332">
        <f t="shared" si="14"/>
        <v>1.0993045928532763E-2</v>
      </c>
      <c r="Z70" s="330"/>
      <c r="AK70" s="355"/>
      <c r="AL70" s="355"/>
      <c r="AM70" s="355"/>
      <c r="AN70" s="355"/>
      <c r="AO70" s="355"/>
    </row>
    <row r="71" spans="1:58" x14ac:dyDescent="0.25">
      <c r="A71" s="355" t="s">
        <v>563</v>
      </c>
      <c r="B71" s="355" t="s">
        <v>660</v>
      </c>
      <c r="C71" s="345">
        <f>'Historical Data'!B255</f>
        <v>1.8089868540344556E-2</v>
      </c>
      <c r="D71" s="401">
        <f>'Historical Data'!E88</f>
        <v>4.5</v>
      </c>
      <c r="E71" s="355">
        <v>0.25</v>
      </c>
      <c r="F71" s="401">
        <f t="shared" si="21"/>
        <v>-0.40000000000000036</v>
      </c>
      <c r="G71" s="401">
        <f>'Historical Data'!H120</f>
        <v>0.2</v>
      </c>
      <c r="H71" s="321">
        <v>5.1627808809999995E-2</v>
      </c>
      <c r="I71" s="401">
        <f t="shared" si="29"/>
        <v>0</v>
      </c>
      <c r="J71" s="401">
        <f t="shared" si="22"/>
        <v>0.41599999999999998</v>
      </c>
      <c r="K71" s="401">
        <f t="shared" si="23"/>
        <v>0.22900000000000001</v>
      </c>
      <c r="L71" s="401">
        <f t="shared" si="24"/>
        <v>0.38500000000000001</v>
      </c>
      <c r="M71" s="401">
        <f t="shared" si="25"/>
        <v>0.53100000000000003</v>
      </c>
      <c r="N71" s="401">
        <f t="shared" si="26"/>
        <v>0.16800000000000001</v>
      </c>
      <c r="O71" s="401">
        <f t="shared" si="20"/>
        <v>-0.27142407002491303</v>
      </c>
      <c r="P71" s="401">
        <f t="shared" si="20"/>
        <v>-0.87328663951379759</v>
      </c>
      <c r="Q71" s="401">
        <f t="shared" si="20"/>
        <v>-0.36978519269512028</v>
      </c>
      <c r="R71" s="401">
        <f t="shared" si="30"/>
        <v>0.12462344659497224</v>
      </c>
      <c r="S71" s="401">
        <f t="shared" si="31"/>
        <v>-0.40011071347193389</v>
      </c>
      <c r="T71" s="401">
        <f t="shared" si="32"/>
        <v>-0.14005302402077624</v>
      </c>
      <c r="U71" s="331">
        <v>1.7000000000000001E-2</v>
      </c>
      <c r="V71" s="332">
        <f t="shared" si="27"/>
        <v>1.1434690186949833E-2</v>
      </c>
      <c r="W71" s="330">
        <v>1.47E-2</v>
      </c>
      <c r="X71" s="332">
        <f t="shared" si="28"/>
        <v>1.1674623499984648E-2</v>
      </c>
      <c r="Y71" s="332">
        <f t="shared" si="14"/>
        <v>1.1674623499984648E-2</v>
      </c>
      <c r="Z71" s="330"/>
      <c r="AK71" s="355"/>
      <c r="AL71" s="355"/>
      <c r="AM71" s="355"/>
      <c r="AN71" s="355"/>
      <c r="AO71" s="355"/>
    </row>
    <row r="72" spans="1:58" x14ac:dyDescent="0.25">
      <c r="A72" s="355" t="s">
        <v>563</v>
      </c>
      <c r="B72" s="355" t="s">
        <v>661</v>
      </c>
      <c r="C72" s="345">
        <f>'Historical Data'!B256</f>
        <v>2.225809449537941E-2</v>
      </c>
      <c r="D72" s="401">
        <f>'Historical Data'!E89</f>
        <v>4.3</v>
      </c>
      <c r="E72" s="355">
        <v>0.25</v>
      </c>
      <c r="F72" s="401">
        <f t="shared" si="21"/>
        <v>-0.20000000000000018</v>
      </c>
      <c r="G72" s="401">
        <f>'Historical Data'!H121</f>
        <v>1.8</v>
      </c>
      <c r="H72" s="321">
        <v>3.644863433E-2</v>
      </c>
      <c r="I72" s="401">
        <f t="shared" si="29"/>
        <v>0</v>
      </c>
      <c r="J72" s="401">
        <f t="shared" si="22"/>
        <v>0.58299999999999996</v>
      </c>
      <c r="K72" s="401">
        <f t="shared" si="23"/>
        <v>0.156</v>
      </c>
      <c r="L72" s="401">
        <f t="shared" si="24"/>
        <v>0.64500000000000002</v>
      </c>
      <c r="M72" s="401">
        <f t="shared" si="25"/>
        <v>0.41599999999999998</v>
      </c>
      <c r="N72" s="401">
        <f t="shared" si="26"/>
        <v>0.16800000000000001</v>
      </c>
      <c r="O72" s="401">
        <f t="shared" si="20"/>
        <v>0.30715200903896345</v>
      </c>
      <c r="P72" s="401">
        <f t="shared" si="20"/>
        <v>-1.1206264536971189</v>
      </c>
      <c r="Q72" s="401">
        <f t="shared" si="20"/>
        <v>0.51730531998165485</v>
      </c>
      <c r="R72" s="401">
        <f t="shared" si="30"/>
        <v>-0.27255982430816755</v>
      </c>
      <c r="S72" s="401">
        <f t="shared" si="31"/>
        <v>-0.40011071347193389</v>
      </c>
      <c r="T72" s="401">
        <f t="shared" si="32"/>
        <v>0.2808173290132453</v>
      </c>
      <c r="U72" s="331">
        <v>1.7000000000000001E-2</v>
      </c>
      <c r="V72" s="332">
        <f t="shared" si="27"/>
        <v>6.7030243715984717E-3</v>
      </c>
      <c r="W72" s="330">
        <v>1.4999999999999999E-2</v>
      </c>
      <c r="X72" s="332">
        <f t="shared" si="28"/>
        <v>1.0175765853910364E-2</v>
      </c>
      <c r="Y72" s="332">
        <f t="shared" ref="Y72:Y79" si="33">AVERAGE(V70:V72)</f>
        <v>1.0175765853910364E-2</v>
      </c>
      <c r="Z72" s="330"/>
      <c r="AK72" s="355"/>
      <c r="AL72" s="355"/>
      <c r="AM72" s="355"/>
      <c r="AN72" s="355"/>
      <c r="AO72" s="355"/>
    </row>
    <row r="73" spans="1:58" x14ac:dyDescent="0.25">
      <c r="A73" s="355" t="s">
        <v>563</v>
      </c>
      <c r="B73" s="355" t="s">
        <v>662</v>
      </c>
      <c r="C73" s="345">
        <f>'Historical Data'!B257</f>
        <v>1.9417475728155331E-2</v>
      </c>
      <c r="D73" s="401">
        <f>'Historical Data'!E90</f>
        <v>4.2</v>
      </c>
      <c r="E73" s="355">
        <v>0.25</v>
      </c>
      <c r="F73" s="401">
        <f t="shared" si="21"/>
        <v>-9.9999999999999645E-2</v>
      </c>
      <c r="G73" s="401">
        <f>'Historical Data'!H122</f>
        <v>2.6</v>
      </c>
      <c r="H73" s="321">
        <v>4.2026841670000002E-2</v>
      </c>
      <c r="I73" s="401">
        <f t="shared" si="29"/>
        <v>0</v>
      </c>
      <c r="J73" s="401">
        <f t="shared" si="22"/>
        <v>0.48899999999999999</v>
      </c>
      <c r="K73" s="401">
        <f t="shared" si="23"/>
        <v>0.13500000000000001</v>
      </c>
      <c r="L73" s="401">
        <f t="shared" si="24"/>
        <v>0.79100000000000004</v>
      </c>
      <c r="M73" s="401">
        <f t="shared" si="25"/>
        <v>0.46800000000000003</v>
      </c>
      <c r="N73" s="401">
        <f t="shared" si="26"/>
        <v>0.16800000000000001</v>
      </c>
      <c r="O73" s="401">
        <f t="shared" si="20"/>
        <v>-1.8513568398188518E-2</v>
      </c>
      <c r="P73" s="401">
        <f t="shared" si="20"/>
        <v>-1.1917790029827318</v>
      </c>
      <c r="Q73" s="401">
        <f t="shared" si="20"/>
        <v>1.0154407617155363</v>
      </c>
      <c r="R73" s="401">
        <f t="shared" si="30"/>
        <v>-9.2963910508486874E-2</v>
      </c>
      <c r="S73" s="401">
        <f t="shared" si="31"/>
        <v>-0.40011071347193389</v>
      </c>
      <c r="T73" s="401">
        <f t="shared" si="32"/>
        <v>0.16030637303287165</v>
      </c>
      <c r="U73" s="331">
        <v>1.7000000000000001E-2</v>
      </c>
      <c r="V73" s="332">
        <f t="shared" si="27"/>
        <v>7.8388264084738972E-3</v>
      </c>
      <c r="W73" s="330">
        <v>1.49E-2</v>
      </c>
      <c r="X73" s="332">
        <f t="shared" si="28"/>
        <v>8.6588469890073998E-3</v>
      </c>
      <c r="Y73" s="332">
        <f t="shared" si="33"/>
        <v>8.6588469890073998E-3</v>
      </c>
      <c r="Z73" s="330"/>
      <c r="AK73" s="355"/>
      <c r="AL73" s="355"/>
      <c r="AM73" s="355"/>
      <c r="AN73" s="355"/>
      <c r="AO73" s="355"/>
    </row>
    <row r="74" spans="1:58" x14ac:dyDescent="0.25">
      <c r="A74" s="355" t="s">
        <v>563</v>
      </c>
      <c r="B74" s="355" t="s">
        <v>663</v>
      </c>
      <c r="C74" s="345">
        <f>'Historical Data'!B258</f>
        <v>1.829800174457219E-2</v>
      </c>
      <c r="D74" s="401">
        <f>'Historical Data'!E91</f>
        <v>4.4000000000000004</v>
      </c>
      <c r="E74" s="355">
        <v>0.25</v>
      </c>
      <c r="F74" s="401">
        <f t="shared" si="21"/>
        <v>0.20000000000000018</v>
      </c>
      <c r="G74" s="401">
        <f>'Historical Data'!H123</f>
        <v>3</v>
      </c>
      <c r="H74" s="321">
        <v>4.6918165849999999E-2</v>
      </c>
      <c r="I74" s="401">
        <f t="shared" si="29"/>
        <v>0</v>
      </c>
      <c r="J74" s="401">
        <f t="shared" si="22"/>
        <v>0.437</v>
      </c>
      <c r="K74" s="401">
        <f t="shared" si="23"/>
        <v>0.16600000000000001</v>
      </c>
      <c r="L74" s="401">
        <f t="shared" si="24"/>
        <v>0.84299999999999997</v>
      </c>
      <c r="M74" s="401">
        <f t="shared" si="25"/>
        <v>0.52</v>
      </c>
      <c r="N74" s="401">
        <f t="shared" si="26"/>
        <v>0.16800000000000001</v>
      </c>
      <c r="O74" s="401">
        <f t="shared" si="20"/>
        <v>-0.19866899421448539</v>
      </c>
      <c r="P74" s="401">
        <f t="shared" si="20"/>
        <v>-1.0867442873706366</v>
      </c>
      <c r="Q74" s="401">
        <f t="shared" si="20"/>
        <v>1.192858864250891</v>
      </c>
      <c r="R74" s="401">
        <f t="shared" si="30"/>
        <v>8.6632003291193624E-2</v>
      </c>
      <c r="S74" s="401">
        <f t="shared" si="31"/>
        <v>-0.40011071347193389</v>
      </c>
      <c r="T74" s="401">
        <f t="shared" si="32"/>
        <v>7.7411047615387515E-2</v>
      </c>
      <c r="U74" s="331">
        <v>1.7000000000000001E-2</v>
      </c>
      <c r="V74" s="332">
        <f t="shared" si="27"/>
        <v>8.7153102376628586E-3</v>
      </c>
      <c r="W74" s="330">
        <v>1.35E-2</v>
      </c>
      <c r="X74" s="332">
        <f t="shared" si="28"/>
        <v>7.7523870059117428E-3</v>
      </c>
      <c r="Y74" s="332">
        <f t="shared" si="33"/>
        <v>7.7523870059117428E-3</v>
      </c>
      <c r="Z74" s="330"/>
      <c r="AK74" s="355"/>
      <c r="AL74" s="355"/>
      <c r="AM74" s="355"/>
      <c r="AN74" s="355"/>
      <c r="AO74" s="355"/>
    </row>
    <row r="75" spans="1:58" x14ac:dyDescent="0.25">
      <c r="A75" s="355" t="s">
        <v>563</v>
      </c>
      <c r="B75" s="355" t="s">
        <v>664</v>
      </c>
      <c r="C75" s="345">
        <f>'Historical Data'!B259</f>
        <v>1.5764794278478877E-2</v>
      </c>
      <c r="D75" s="401">
        <f>'Historical Data'!E92</f>
        <v>4.0999999999999996</v>
      </c>
      <c r="E75" s="355">
        <v>0.5</v>
      </c>
      <c r="F75" s="401">
        <f t="shared" si="21"/>
        <v>-0.30000000000000071</v>
      </c>
      <c r="G75" s="401">
        <f>'Historical Data'!H124</f>
        <v>3.3</v>
      </c>
      <c r="H75" s="321">
        <v>4.5615562970000002E-2</v>
      </c>
      <c r="I75" s="401">
        <f t="shared" si="29"/>
        <v>0.25</v>
      </c>
      <c r="J75" s="401">
        <f t="shared" si="22"/>
        <v>0.35399999999999998</v>
      </c>
      <c r="K75" s="401">
        <f t="shared" si="23"/>
        <v>0.114</v>
      </c>
      <c r="L75" s="401">
        <f t="shared" si="24"/>
        <v>0.875</v>
      </c>
      <c r="M75" s="401">
        <f t="shared" si="25"/>
        <v>0.48899999999999999</v>
      </c>
      <c r="N75" s="401">
        <f t="shared" si="26"/>
        <v>0.86299999999999999</v>
      </c>
      <c r="O75" s="401">
        <f t="shared" si="20"/>
        <v>-0.48622477003665165</v>
      </c>
      <c r="P75" s="401">
        <f t="shared" si="20"/>
        <v>-1.2629315522683446</v>
      </c>
      <c r="Q75" s="401">
        <f t="shared" si="20"/>
        <v>1.302039235041879</v>
      </c>
      <c r="R75" s="401">
        <f t="shared" si="30"/>
        <v>-2.0434791474000628E-2</v>
      </c>
      <c r="S75" s="401">
        <f t="shared" si="31"/>
        <v>1.981067308368001</v>
      </c>
      <c r="T75" s="401">
        <f t="shared" si="32"/>
        <v>0.16082546839843143</v>
      </c>
      <c r="U75" s="331">
        <v>1.7000000000000001E-2</v>
      </c>
      <c r="V75" s="332">
        <f t="shared" si="27"/>
        <v>7.8335915208703252E-3</v>
      </c>
      <c r="W75" s="330">
        <v>1.44E-2</v>
      </c>
      <c r="X75" s="332">
        <f t="shared" si="28"/>
        <v>8.1292427223356931E-3</v>
      </c>
      <c r="Y75" s="332">
        <f t="shared" si="33"/>
        <v>8.1292427223356931E-3</v>
      </c>
      <c r="Z75" s="330"/>
      <c r="AK75" s="355"/>
      <c r="AL75" s="355"/>
      <c r="AM75" s="355"/>
      <c r="AN75" s="355"/>
      <c r="AO75" s="355"/>
    </row>
    <row r="76" spans="1:58" x14ac:dyDescent="0.25">
      <c r="A76" s="355" t="s">
        <v>563</v>
      </c>
      <c r="B76" s="355" t="s">
        <v>665</v>
      </c>
      <c r="C76" s="345">
        <f>'Historical Data'!B260</f>
        <v>1.0543832500301331E-2</v>
      </c>
      <c r="D76" s="401">
        <f>'Historical Data'!E93</f>
        <v>4</v>
      </c>
      <c r="E76" s="355">
        <v>0.5</v>
      </c>
      <c r="F76" s="401">
        <f t="shared" si="21"/>
        <v>-9.9999999999999645E-2</v>
      </c>
      <c r="G76" s="401">
        <f>'Historical Data'!H125</f>
        <v>2.8</v>
      </c>
      <c r="H76" s="321">
        <v>3.9657937800000001E-2</v>
      </c>
      <c r="I76" s="401">
        <f t="shared" si="29"/>
        <v>0</v>
      </c>
      <c r="J76" s="401">
        <f t="shared" si="22"/>
        <v>0.17699999999999999</v>
      </c>
      <c r="K76" s="401">
        <f t="shared" si="23"/>
        <v>9.2999999999999999E-2</v>
      </c>
      <c r="L76" s="401">
        <f t="shared" si="24"/>
        <v>0.83299999999999996</v>
      </c>
      <c r="M76" s="401">
        <f t="shared" si="25"/>
        <v>0.45800000000000002</v>
      </c>
      <c r="N76" s="401">
        <f t="shared" si="26"/>
        <v>0.16800000000000001</v>
      </c>
      <c r="O76" s="401">
        <f t="shared" si="20"/>
        <v>-1.0994461232959698</v>
      </c>
      <c r="P76" s="401">
        <f t="shared" si="20"/>
        <v>-1.3340841015539575</v>
      </c>
      <c r="Q76" s="401">
        <f t="shared" si="20"/>
        <v>1.1587399983787074</v>
      </c>
      <c r="R76" s="401">
        <f t="shared" si="30"/>
        <v>-0.12750158623919469</v>
      </c>
      <c r="S76" s="401">
        <f t="shared" si="31"/>
        <v>-0.40011071347193389</v>
      </c>
      <c r="T76" s="401">
        <f t="shared" si="32"/>
        <v>-0.46314649395542828</v>
      </c>
      <c r="U76" s="331">
        <v>1.7000000000000001E-2</v>
      </c>
      <c r="V76" s="332">
        <f t="shared" si="27"/>
        <v>1.6825310382346033E-2</v>
      </c>
      <c r="W76" s="330">
        <v>1.47E-2</v>
      </c>
      <c r="X76" s="332">
        <f t="shared" si="28"/>
        <v>1.1124737380293072E-2</v>
      </c>
      <c r="Y76" s="332">
        <f t="shared" si="33"/>
        <v>1.1124737380293072E-2</v>
      </c>
      <c r="Z76" s="330"/>
      <c r="AK76" s="355"/>
      <c r="AL76" s="355"/>
      <c r="AM76" s="355"/>
      <c r="AN76" s="355"/>
      <c r="AO76" s="355"/>
    </row>
    <row r="77" spans="1:58" x14ac:dyDescent="0.25">
      <c r="A77" s="355" t="s">
        <v>563</v>
      </c>
      <c r="B77" s="355" t="s">
        <v>666</v>
      </c>
      <c r="C77" s="345">
        <f>'Historical Data'!B261</f>
        <v>1.3318745009906152E-2</v>
      </c>
      <c r="D77" s="401">
        <f>'Historical Data'!E94</f>
        <v>3.8</v>
      </c>
      <c r="E77" s="355">
        <v>0.5</v>
      </c>
      <c r="F77" s="401">
        <f t="shared" si="21"/>
        <v>-0.20000000000000018</v>
      </c>
      <c r="G77" s="401">
        <f>'Historical Data'!H126</f>
        <v>2.6</v>
      </c>
      <c r="H77" s="321">
        <v>2.9399671949999998E-2</v>
      </c>
      <c r="I77" s="401">
        <f t="shared" si="29"/>
        <v>0</v>
      </c>
      <c r="J77" s="401">
        <f t="shared" si="22"/>
        <v>0.29099999999999998</v>
      </c>
      <c r="K77" s="401">
        <f t="shared" si="23"/>
        <v>4.1000000000000002E-2</v>
      </c>
      <c r="L77" s="401">
        <f t="shared" si="24"/>
        <v>0.79100000000000004</v>
      </c>
      <c r="M77" s="401">
        <f t="shared" si="25"/>
        <v>0.375</v>
      </c>
      <c r="N77" s="401">
        <f t="shared" si="26"/>
        <v>0.16800000000000001</v>
      </c>
      <c r="O77" s="401">
        <f t="shared" si="20"/>
        <v>-0.70448999746793439</v>
      </c>
      <c r="P77" s="401">
        <f t="shared" si="20"/>
        <v>-1.5102713664516658</v>
      </c>
      <c r="Q77" s="401">
        <f t="shared" si="20"/>
        <v>1.0154407617155363</v>
      </c>
      <c r="R77" s="401">
        <f t="shared" si="30"/>
        <v>-0.41416429480406947</v>
      </c>
      <c r="S77" s="401">
        <f t="shared" si="31"/>
        <v>-0.40011071347193389</v>
      </c>
      <c r="T77" s="401">
        <f t="shared" si="32"/>
        <v>-0.25155028649164074</v>
      </c>
      <c r="U77" s="331">
        <v>1.7000000000000001E-2</v>
      </c>
      <c r="V77" s="332">
        <f t="shared" si="27"/>
        <v>1.3095401570399665E-2</v>
      </c>
      <c r="W77" s="330">
        <v>1.46E-2</v>
      </c>
      <c r="X77" s="332">
        <f t="shared" si="28"/>
        <v>1.2584767824538675E-2</v>
      </c>
      <c r="Y77" s="332">
        <f t="shared" si="33"/>
        <v>1.2584767824538675E-2</v>
      </c>
      <c r="Z77" s="330"/>
      <c r="AK77" s="355"/>
      <c r="AL77" s="355"/>
      <c r="AM77" s="355"/>
      <c r="AN77" s="355"/>
      <c r="AO77" s="355"/>
    </row>
    <row r="78" spans="1:58" x14ac:dyDescent="0.25">
      <c r="A78" s="355" t="s">
        <v>563</v>
      </c>
      <c r="B78" s="355" t="s">
        <v>667</v>
      </c>
      <c r="C78" s="345">
        <f>'Historical Data'!B262</f>
        <v>1.5809989351293297E-2</v>
      </c>
      <c r="D78" s="401">
        <f>'Historical Data'!E95</f>
        <v>4.0999999999999996</v>
      </c>
      <c r="E78" s="355">
        <v>0.75</v>
      </c>
      <c r="F78" s="401">
        <f t="shared" si="21"/>
        <v>0.29999999999999982</v>
      </c>
      <c r="G78" s="401">
        <f>'Historical Data'!H127</f>
        <v>2.6</v>
      </c>
      <c r="H78" s="321">
        <v>2.9165743220000002E-2</v>
      </c>
      <c r="I78" s="401">
        <f t="shared" si="29"/>
        <v>0.25</v>
      </c>
      <c r="J78" s="401">
        <f t="shared" si="22"/>
        <v>0.36399999999999999</v>
      </c>
      <c r="K78" s="401">
        <f t="shared" si="23"/>
        <v>0.114</v>
      </c>
      <c r="L78" s="401">
        <f t="shared" si="24"/>
        <v>0.79100000000000004</v>
      </c>
      <c r="M78" s="401">
        <f t="shared" si="25"/>
        <v>0.36399999999999999</v>
      </c>
      <c r="N78" s="401">
        <f t="shared" si="26"/>
        <v>0.86299999999999999</v>
      </c>
      <c r="O78" s="401">
        <f t="shared" si="20"/>
        <v>-0.45157949584120988</v>
      </c>
      <c r="P78" s="401">
        <f t="shared" si="20"/>
        <v>-1.2629315522683446</v>
      </c>
      <c r="Q78" s="401">
        <f t="shared" si="20"/>
        <v>1.0154407617155363</v>
      </c>
      <c r="R78" s="401">
        <f t="shared" si="30"/>
        <v>-0.45215573810784804</v>
      </c>
      <c r="S78" s="401">
        <f t="shared" si="31"/>
        <v>1.981067308368001</v>
      </c>
      <c r="T78" s="401">
        <f t="shared" si="32"/>
        <v>0.10978069091967749</v>
      </c>
      <c r="U78" s="331">
        <v>1.7000000000000001E-2</v>
      </c>
      <c r="V78" s="332">
        <f t="shared" si="27"/>
        <v>8.3633185222888387E-3</v>
      </c>
      <c r="W78" s="330">
        <v>1.4800000000000001E-2</v>
      </c>
      <c r="X78" s="332">
        <f t="shared" si="28"/>
        <v>1.2761343491678179E-2</v>
      </c>
      <c r="Y78" s="332">
        <f t="shared" si="33"/>
        <v>1.2761343491678179E-2</v>
      </c>
      <c r="Z78" s="330"/>
    </row>
    <row r="79" spans="1:58" x14ac:dyDescent="0.25">
      <c r="A79" s="355" t="s">
        <v>563</v>
      </c>
      <c r="B79" s="355" t="s">
        <v>668</v>
      </c>
      <c r="C79" s="345">
        <f>'Historical Data'!B263</f>
        <v>1.3936995855299505E-2</v>
      </c>
      <c r="D79" s="401">
        <f>'Historical Data'!E96</f>
        <v>3.8</v>
      </c>
      <c r="E79" s="355">
        <v>0.75</v>
      </c>
      <c r="F79" s="401">
        <f t="shared" si="21"/>
        <v>-0.29999999999999982</v>
      </c>
      <c r="G79" s="401">
        <f>'Historical Data'!H128</f>
        <v>2.1</v>
      </c>
      <c r="H79" s="321">
        <v>1.95237295E-2</v>
      </c>
      <c r="I79" s="401">
        <f t="shared" si="29"/>
        <v>0</v>
      </c>
      <c r="J79" s="401">
        <f t="shared" si="22"/>
        <v>0.312</v>
      </c>
      <c r="K79" s="401">
        <f t="shared" si="23"/>
        <v>4.1000000000000002E-2</v>
      </c>
      <c r="L79" s="401">
        <f t="shared" si="24"/>
        <v>0.71799999999999997</v>
      </c>
      <c r="M79" s="401">
        <f t="shared" si="25"/>
        <v>0.30199999999999999</v>
      </c>
      <c r="N79" s="401">
        <f t="shared" si="26"/>
        <v>0.16800000000000001</v>
      </c>
      <c r="O79" s="401">
        <f t="shared" si="20"/>
        <v>-0.63173492165750678</v>
      </c>
      <c r="P79" s="401">
        <f t="shared" si="20"/>
        <v>-1.5102713664516658</v>
      </c>
      <c r="Q79" s="401">
        <f t="shared" si="20"/>
        <v>0.76637304084859537</v>
      </c>
      <c r="R79" s="401">
        <f t="shared" si="30"/>
        <v>-0.66628932763823634</v>
      </c>
      <c r="S79" s="401">
        <f t="shared" si="31"/>
        <v>-0.40011071347193389</v>
      </c>
      <c r="T79" s="401">
        <f t="shared" si="32"/>
        <v>-0.258016516375495</v>
      </c>
      <c r="U79" s="331">
        <v>1.7000000000000001E-2</v>
      </c>
      <c r="V79" s="332">
        <f t="shared" si="27"/>
        <v>1.3197804521450845E-2</v>
      </c>
      <c r="W79" s="330">
        <v>1.72E-2</v>
      </c>
      <c r="X79" s="332">
        <f t="shared" si="28"/>
        <v>1.1552174871379781E-2</v>
      </c>
      <c r="Y79" s="332">
        <f t="shared" si="33"/>
        <v>1.1552174871379781E-2</v>
      </c>
    </row>
    <row r="80" spans="1:58" s="357" customFormat="1" x14ac:dyDescent="0.25">
      <c r="A80" s="355" t="s">
        <v>563</v>
      </c>
      <c r="B80" s="355" t="s">
        <v>669</v>
      </c>
      <c r="C80" s="345">
        <f>'Historical Data'!B264</f>
        <v>2.0003207397353506E-2</v>
      </c>
      <c r="D80" s="401">
        <f>'Historical Data'!E97</f>
        <v>3.6</v>
      </c>
      <c r="E80" s="355">
        <v>0.75</v>
      </c>
      <c r="F80" s="401">
        <f t="shared" si="21"/>
        <v>-0.19999999999999973</v>
      </c>
      <c r="G80" s="401">
        <f>'Historical Data'!H129</f>
        <v>1.3</v>
      </c>
      <c r="H80" s="321">
        <v>1.488917027E-2</v>
      </c>
      <c r="I80" s="401">
        <f t="shared" si="29"/>
        <v>0</v>
      </c>
      <c r="J80" s="401">
        <f t="shared" si="22"/>
        <v>0.52</v>
      </c>
      <c r="K80" s="401">
        <f t="shared" si="23"/>
        <v>0</v>
      </c>
      <c r="L80" s="401">
        <f t="shared" si="24"/>
        <v>0.54100000000000004</v>
      </c>
      <c r="M80" s="401">
        <f t="shared" si="25"/>
        <v>0.26</v>
      </c>
      <c r="N80" s="401">
        <f t="shared" si="26"/>
        <v>0.16800000000000001</v>
      </c>
      <c r="O80" s="401">
        <f t="shared" si="20"/>
        <v>8.8886781607680876E-2</v>
      </c>
      <c r="P80" s="401">
        <f t="shared" si="20"/>
        <v>-1.6491882483902434</v>
      </c>
      <c r="Q80" s="401">
        <f t="shared" si="20"/>
        <v>0.16246911491094487</v>
      </c>
      <c r="R80" s="401">
        <f t="shared" si="30"/>
        <v>-0.81134756570720901</v>
      </c>
      <c r="S80" s="401">
        <f t="shared" si="31"/>
        <v>-0.40011071347193389</v>
      </c>
      <c r="T80" s="401">
        <f t="shared" si="32"/>
        <v>0.11335197737681306</v>
      </c>
      <c r="U80" s="331">
        <v>1.7000000000000001E-2</v>
      </c>
      <c r="V80" s="332">
        <f t="shared" si="27"/>
        <v>8.3252589978471819E-3</v>
      </c>
      <c r="W80" s="330"/>
      <c r="X80" s="332" t="e">
        <f>Y80*$AB$14+#REF!*$AB$15+#REF!*SevAdv!$AB$16</f>
        <v>#REF!</v>
      </c>
      <c r="Y80" s="332">
        <f>V80</f>
        <v>8.3252589978471819E-3</v>
      </c>
      <c r="Z80" s="325"/>
      <c r="AA80" s="355"/>
      <c r="AB80" s="355"/>
      <c r="AC80" s="355"/>
      <c r="AD80" s="355"/>
      <c r="AE80" s="355"/>
      <c r="AF80" s="355"/>
      <c r="AG80" s="355"/>
      <c r="AH80" s="355"/>
      <c r="AI80" s="355"/>
      <c r="AJ80" s="355"/>
      <c r="AK80" s="346"/>
      <c r="AL80" s="346"/>
      <c r="AM80" s="346"/>
      <c r="AN80" s="346"/>
      <c r="AO80" s="346"/>
      <c r="AP80" s="355"/>
      <c r="AQ80" s="355"/>
      <c r="AR80" s="355"/>
      <c r="AS80" s="355"/>
      <c r="AT80" s="355"/>
      <c r="AU80" s="355"/>
      <c r="AV80" s="355"/>
      <c r="AW80" s="355"/>
      <c r="AX80" s="355"/>
      <c r="AY80" s="355"/>
      <c r="AZ80" s="355"/>
      <c r="BA80" s="355"/>
      <c r="BB80" s="355"/>
      <c r="BC80" s="355"/>
      <c r="BD80" s="355"/>
      <c r="BE80" s="355"/>
      <c r="BF80" s="355"/>
    </row>
    <row r="81" spans="1:58" x14ac:dyDescent="0.25">
      <c r="A81" s="355" t="s">
        <v>563</v>
      </c>
      <c r="B81" s="355" t="s">
        <v>670</v>
      </c>
      <c r="C81" s="345">
        <f>'Historical Data'!B265</f>
        <v>1.4085301676423301E-2</v>
      </c>
      <c r="D81" s="401">
        <f>'Historical Data'!E98</f>
        <v>3.6</v>
      </c>
      <c r="E81" s="355">
        <v>0.75</v>
      </c>
      <c r="F81" s="401">
        <f t="shared" si="21"/>
        <v>0</v>
      </c>
      <c r="G81" s="401">
        <f>'Historical Data'!H130</f>
        <v>1.5</v>
      </c>
      <c r="H81" s="321">
        <v>7.4268907299999999E-3</v>
      </c>
      <c r="I81" s="401">
        <f t="shared" si="29"/>
        <v>0</v>
      </c>
      <c r="J81" s="401">
        <f t="shared" si="22"/>
        <v>0.33300000000000002</v>
      </c>
      <c r="K81" s="401">
        <f t="shared" si="23"/>
        <v>0</v>
      </c>
      <c r="L81" s="401">
        <f t="shared" si="24"/>
        <v>0.56200000000000006</v>
      </c>
      <c r="M81" s="401">
        <f t="shared" si="25"/>
        <v>0.187</v>
      </c>
      <c r="N81" s="401">
        <f t="shared" si="26"/>
        <v>0.16800000000000001</v>
      </c>
      <c r="O81" s="401">
        <f t="shared" si="20"/>
        <v>-0.55897984584707916</v>
      </c>
      <c r="P81" s="401">
        <f t="shared" si="20"/>
        <v>-1.6491882483902434</v>
      </c>
      <c r="Q81" s="401">
        <f t="shared" si="20"/>
        <v>0.2341187332425306</v>
      </c>
      <c r="R81" s="401">
        <f t="shared" si="30"/>
        <v>-1.063472598541376</v>
      </c>
      <c r="S81" s="401">
        <f t="shared" si="31"/>
        <v>-0.40011071347193389</v>
      </c>
      <c r="T81" s="401">
        <f t="shared" si="32"/>
        <v>-0.29341554054630109</v>
      </c>
      <c r="U81" s="331">
        <v>1.7000000000000001E-2</v>
      </c>
      <c r="V81" s="332">
        <f t="shared" si="27"/>
        <v>1.3770750918671306E-2</v>
      </c>
      <c r="W81" s="330"/>
      <c r="X81" s="332" t="e">
        <f>Y81*$AB$14+#REF!*$AB$15+#REF!*SevAdv!$AB$16</f>
        <v>#REF!</v>
      </c>
      <c r="Y81" s="332">
        <f>V81*0.5+V80*0.5</f>
        <v>1.1048004958259243E-2</v>
      </c>
      <c r="Z81" s="325"/>
    </row>
    <row r="82" spans="1:58" x14ac:dyDescent="0.25">
      <c r="A82" s="355" t="s">
        <v>563</v>
      </c>
      <c r="B82" s="355" t="s">
        <v>671</v>
      </c>
      <c r="C82" s="345">
        <f>'Historical Data'!B266</f>
        <v>1.3324204251599081E-2</v>
      </c>
      <c r="D82" s="401">
        <f>'Historical Data'!E99</f>
        <v>4</v>
      </c>
      <c r="E82" s="355">
        <v>0.75</v>
      </c>
      <c r="F82" s="401">
        <f t="shared" si="21"/>
        <v>0.39999999999999991</v>
      </c>
      <c r="G82" s="401">
        <f>'Historical Data'!H131</f>
        <v>1.3</v>
      </c>
      <c r="H82" s="321">
        <v>9.5154592400000012E-3</v>
      </c>
      <c r="I82" s="401">
        <f t="shared" si="29"/>
        <v>0</v>
      </c>
      <c r="J82" s="401">
        <f t="shared" si="22"/>
        <v>0.30199999999999999</v>
      </c>
      <c r="K82" s="401">
        <f t="shared" si="23"/>
        <v>9.2999999999999999E-2</v>
      </c>
      <c r="L82" s="401">
        <f t="shared" si="24"/>
        <v>0.54100000000000004</v>
      </c>
      <c r="M82" s="401">
        <f t="shared" si="25"/>
        <v>0.20799999999999999</v>
      </c>
      <c r="N82" s="401">
        <f t="shared" si="26"/>
        <v>0.16800000000000001</v>
      </c>
      <c r="O82" s="401">
        <f t="shared" si="20"/>
        <v>-0.6663801958529485</v>
      </c>
      <c r="P82" s="401">
        <f t="shared" si="20"/>
        <v>-1.3340841015539575</v>
      </c>
      <c r="Q82" s="401">
        <f t="shared" si="20"/>
        <v>0.16246911491094487</v>
      </c>
      <c r="R82" s="401">
        <f t="shared" si="30"/>
        <v>-0.99094347950688977</v>
      </c>
      <c r="S82" s="401">
        <f t="shared" si="31"/>
        <v>-0.40011071347193389</v>
      </c>
      <c r="T82" s="401">
        <f t="shared" si="32"/>
        <v>-0.38927821516316125</v>
      </c>
      <c r="U82" s="331">
        <v>1.7000000000000001E-2</v>
      </c>
      <c r="V82" s="332">
        <f t="shared" si="27"/>
        <v>1.5431198244160395E-2</v>
      </c>
      <c r="W82" s="330"/>
      <c r="X82" s="332" t="e">
        <f>Y82*$AB$14+#REF!*$AB$15+#REF!*SevAdv!$AB$16</f>
        <v>#REF!</v>
      </c>
      <c r="Y82" s="332">
        <f>V82*0.5+V81*0.25+V80*0.25</f>
        <v>1.323960160120982E-2</v>
      </c>
      <c r="Z82" s="325"/>
    </row>
    <row r="83" spans="1:58" x14ac:dyDescent="0.25">
      <c r="A83" s="355" t="s">
        <v>563</v>
      </c>
      <c r="B83" s="355" t="s">
        <v>672</v>
      </c>
      <c r="C83" s="345">
        <f>'Historical Data'!B267</f>
        <v>1.1157302329890317E-2</v>
      </c>
      <c r="D83" s="401">
        <f>'Historical Data'!E100</f>
        <v>3.7</v>
      </c>
      <c r="E83" s="355">
        <v>0.75</v>
      </c>
      <c r="F83" s="401">
        <f t="shared" si="21"/>
        <v>-0.29999999999999982</v>
      </c>
      <c r="G83" s="401">
        <f>'Historical Data'!H132</f>
        <v>0.5</v>
      </c>
      <c r="H83" s="321">
        <v>9.2640405299999999E-3</v>
      </c>
      <c r="I83" s="401">
        <f t="shared" si="29"/>
        <v>0</v>
      </c>
      <c r="J83" s="401">
        <f t="shared" si="22"/>
        <v>0.218</v>
      </c>
      <c r="K83" s="401">
        <f t="shared" si="23"/>
        <v>0.02</v>
      </c>
      <c r="L83" s="401">
        <f t="shared" si="24"/>
        <v>0.437</v>
      </c>
      <c r="M83" s="401">
        <f t="shared" si="25"/>
        <v>0.19700000000000001</v>
      </c>
      <c r="N83" s="401">
        <f t="shared" si="26"/>
        <v>0.16800000000000001</v>
      </c>
      <c r="O83" s="401">
        <f t="shared" si="20"/>
        <v>-0.95740049909465874</v>
      </c>
      <c r="P83" s="401">
        <f t="shared" si="20"/>
        <v>-1.5814239157372787</v>
      </c>
      <c r="Q83" s="401">
        <f t="shared" si="20"/>
        <v>-0.1923670901597653</v>
      </c>
      <c r="R83" s="401">
        <f t="shared" si="30"/>
        <v>-1.0289349228106681</v>
      </c>
      <c r="S83" s="401">
        <f t="shared" si="31"/>
        <v>-0.40011071347193389</v>
      </c>
      <c r="T83" s="401">
        <f t="shared" si="32"/>
        <v>-0.57843918052730403</v>
      </c>
      <c r="U83" s="331">
        <v>1.7000000000000001E-2</v>
      </c>
      <c r="V83" s="332">
        <f t="shared" si="27"/>
        <v>1.9216039629582633E-2</v>
      </c>
      <c r="W83" s="330"/>
      <c r="X83" s="332" t="e">
        <f>Y83*$AB$14+#REF!*$AB$15+#REF!*SevAdv!$AB$16</f>
        <v>#REF!</v>
      </c>
      <c r="Y83" s="332">
        <f t="shared" ref="Y83:Y100" si="34">V83*0.5+V82*0.25+V81*0.25</f>
        <v>1.6908507105499241E-2</v>
      </c>
      <c r="Z83" s="325"/>
    </row>
    <row r="84" spans="1:58" s="357" customFormat="1" x14ac:dyDescent="0.25">
      <c r="A84" s="355" t="s">
        <v>563</v>
      </c>
      <c r="B84" s="355" t="s">
        <v>673</v>
      </c>
      <c r="C84" s="345">
        <f>'Historical Data'!B268</f>
        <v>-1.7425116864092538E-2</v>
      </c>
      <c r="D84" s="401">
        <f>'Historical Data'!E101</f>
        <v>3.8</v>
      </c>
      <c r="E84" s="339">
        <v>0.1</v>
      </c>
      <c r="F84" s="401">
        <f t="shared" si="21"/>
        <v>9.9999999999999645E-2</v>
      </c>
      <c r="G84" s="401">
        <f>'Historical Data'!H133</f>
        <v>0.9</v>
      </c>
      <c r="H84" s="321">
        <v>2.9113118430000001E-2</v>
      </c>
      <c r="I84" s="401">
        <f t="shared" si="29"/>
        <v>-0.65</v>
      </c>
      <c r="J84" s="401">
        <f t="shared" si="22"/>
        <v>7.1999999999999995E-2</v>
      </c>
      <c r="K84" s="401">
        <f t="shared" si="23"/>
        <v>4.1000000000000002E-2</v>
      </c>
      <c r="L84" s="401">
        <f t="shared" si="24"/>
        <v>0.46800000000000003</v>
      </c>
      <c r="M84" s="401">
        <f t="shared" si="25"/>
        <v>0.35399999999999998</v>
      </c>
      <c r="N84" s="401">
        <f t="shared" si="26"/>
        <v>5.1999999999999998E-2</v>
      </c>
      <c r="O84" s="401">
        <f t="shared" si="20"/>
        <v>-1.4632215023481079</v>
      </c>
      <c r="P84" s="401">
        <f t="shared" si="20"/>
        <v>-1.5102713664516658</v>
      </c>
      <c r="Q84" s="401">
        <f t="shared" si="20"/>
        <v>-8.6598605955995875E-2</v>
      </c>
      <c r="R84" s="401">
        <f t="shared" si="30"/>
        <v>-0.48669341383855586</v>
      </c>
      <c r="S84" s="401">
        <f t="shared" si="31"/>
        <v>-0.79754474301644107</v>
      </c>
      <c r="T84" s="401">
        <f t="shared" si="32"/>
        <v>-0.86398944104479736</v>
      </c>
      <c r="U84" s="331">
        <v>1.7000000000000001E-2</v>
      </c>
      <c r="V84" s="332">
        <f t="shared" si="27"/>
        <v>2.6407524360146251E-2</v>
      </c>
      <c r="W84" s="355"/>
      <c r="X84" s="332" t="e">
        <f>Y84*$AB$14+#REF!*$AB$15+#REF!*SevAdv!$AB$16</f>
        <v>#REF!</v>
      </c>
      <c r="Y84" s="332">
        <f t="shared" si="34"/>
        <v>2.1865571648508882E-2</v>
      </c>
      <c r="Z84" s="325"/>
      <c r="AA84" s="355"/>
      <c r="AB84" s="355"/>
      <c r="AC84" s="355"/>
      <c r="AD84" s="355"/>
      <c r="AE84" s="355"/>
      <c r="AF84" s="355"/>
      <c r="AG84" s="355"/>
      <c r="AH84" s="355"/>
      <c r="AI84" s="355"/>
      <c r="AJ84" s="355"/>
      <c r="AK84" s="346"/>
      <c r="AL84" s="346"/>
      <c r="AM84" s="346"/>
      <c r="AN84" s="346"/>
      <c r="AO84" s="346"/>
      <c r="AP84" s="355"/>
      <c r="AQ84" s="355"/>
      <c r="AR84" s="355"/>
      <c r="AS84" s="355"/>
      <c r="AT84" s="355"/>
      <c r="AU84" s="355"/>
      <c r="AV84" s="355"/>
      <c r="AW84" s="355"/>
      <c r="AX84" s="355"/>
      <c r="AY84" s="355"/>
      <c r="AZ84" s="355"/>
      <c r="BA84" s="355"/>
      <c r="BB84" s="355"/>
      <c r="BC84" s="355"/>
      <c r="BD84" s="355"/>
      <c r="BE84" s="355"/>
      <c r="BF84" s="355"/>
    </row>
    <row r="85" spans="1:58" x14ac:dyDescent="0.25">
      <c r="A85" s="355" t="s">
        <v>563</v>
      </c>
      <c r="B85" s="355" t="s">
        <v>674</v>
      </c>
      <c r="C85" s="345">
        <f>'Historical Data'!B269</f>
        <v>-0.19500000000000001</v>
      </c>
      <c r="D85" s="401">
        <f>'Historical Data'!E102</f>
        <v>3.7</v>
      </c>
      <c r="E85" s="339">
        <v>0.1</v>
      </c>
      <c r="F85" s="401">
        <f t="shared" si="21"/>
        <v>-9.9999999999999645E-2</v>
      </c>
      <c r="G85" s="401">
        <f>'Historical Data'!H134</f>
        <v>-0.6</v>
      </c>
      <c r="H85" s="321">
        <v>2.8000000000000001E-2</v>
      </c>
      <c r="I85" s="401">
        <f t="shared" si="29"/>
        <v>0</v>
      </c>
      <c r="J85" s="401">
        <f t="shared" si="22"/>
        <v>0</v>
      </c>
      <c r="K85" s="401">
        <f t="shared" si="23"/>
        <v>0.02</v>
      </c>
      <c r="L85" s="401">
        <f t="shared" si="24"/>
        <v>0.20799999999999999</v>
      </c>
      <c r="M85" s="401">
        <f t="shared" si="25"/>
        <v>0.34300000000000003</v>
      </c>
      <c r="N85" s="401">
        <f t="shared" si="26"/>
        <v>0.16800000000000001</v>
      </c>
      <c r="O85" s="401">
        <f t="shared" si="20"/>
        <v>-1.7126674765552881</v>
      </c>
      <c r="P85" s="401">
        <f t="shared" si="20"/>
        <v>-1.5814239157372787</v>
      </c>
      <c r="Q85" s="401">
        <f t="shared" si="20"/>
        <v>-0.97368911863277119</v>
      </c>
      <c r="R85" s="401">
        <f t="shared" si="30"/>
        <v>-0.52468485714233426</v>
      </c>
      <c r="S85" s="401">
        <f t="shared" si="31"/>
        <v>-0.40011071347193389</v>
      </c>
      <c r="T85" s="401">
        <f t="shared" si="32"/>
        <v>-1.059306563284149</v>
      </c>
      <c r="U85" s="331">
        <v>1.7000000000000001E-2</v>
      </c>
      <c r="V85" s="332">
        <f t="shared" si="27"/>
        <v>3.2524599491100377E-2</v>
      </c>
      <c r="X85" s="332" t="e">
        <f>Y85*$AB$14+#REF!*$AB$15+#REF!*SevAdv!$AB$16</f>
        <v>#REF!</v>
      </c>
      <c r="Y85" s="332">
        <f t="shared" si="34"/>
        <v>2.7668190742982407E-2</v>
      </c>
      <c r="Z85" s="325"/>
    </row>
    <row r="86" spans="1:58" ht="15.75" customHeight="1" x14ac:dyDescent="0.25">
      <c r="A86" s="355" t="s">
        <v>563</v>
      </c>
      <c r="B86" s="357" t="s">
        <v>675</v>
      </c>
      <c r="C86" s="345">
        <f>'Historical Data'!B270</f>
        <v>0.16899999999999998</v>
      </c>
      <c r="D86" s="401">
        <f>'Historical Data'!E103</f>
        <v>4.7</v>
      </c>
      <c r="E86" s="333">
        <v>0.1</v>
      </c>
      <c r="F86" s="401">
        <f t="shared" si="21"/>
        <v>1</v>
      </c>
      <c r="G86" s="401">
        <f>'Historical Data'!H135</f>
        <v>-0.2</v>
      </c>
      <c r="H86" s="323">
        <v>3.6999999999999998E-2</v>
      </c>
      <c r="I86" s="401">
        <f t="shared" si="29"/>
        <v>0</v>
      </c>
      <c r="J86" s="401">
        <f t="shared" si="22"/>
        <v>0.98899999999999999</v>
      </c>
      <c r="K86" s="401">
        <f t="shared" si="23"/>
        <v>0.28100000000000003</v>
      </c>
      <c r="L86" s="401">
        <f t="shared" si="24"/>
        <v>0.33300000000000002</v>
      </c>
      <c r="M86" s="401">
        <f t="shared" si="25"/>
        <v>0.42699999999999999</v>
      </c>
      <c r="N86" s="401">
        <f t="shared" si="26"/>
        <v>0.16800000000000001</v>
      </c>
      <c r="O86" s="401">
        <f t="shared" si="20"/>
        <v>1.7137501413738969</v>
      </c>
      <c r="P86" s="401">
        <f t="shared" si="20"/>
        <v>-0.6970993746160894</v>
      </c>
      <c r="Q86" s="401">
        <f t="shared" si="20"/>
        <v>-0.54720329523047528</v>
      </c>
      <c r="R86" s="401">
        <f t="shared" si="30"/>
        <v>-0.23456838100438895</v>
      </c>
      <c r="S86" s="401">
        <f t="shared" si="31"/>
        <v>-0.40011071347193389</v>
      </c>
      <c r="T86" s="401">
        <f t="shared" si="32"/>
        <v>0.97977178331526715</v>
      </c>
      <c r="U86" s="331">
        <v>1.7000000000000001E-2</v>
      </c>
      <c r="V86" s="332">
        <f t="shared" si="27"/>
        <v>2.5529824465217658E-3</v>
      </c>
      <c r="X86" s="332" t="e">
        <f>Y86*$AB$14+#REF!*$AB$15+#REF!*SevAdv!$AB$16</f>
        <v>#REF!</v>
      </c>
      <c r="Y86" s="332">
        <f t="shared" si="34"/>
        <v>1.6009522186072541E-2</v>
      </c>
      <c r="Z86" s="325"/>
    </row>
    <row r="87" spans="1:58" ht="15.75" customHeight="1" x14ac:dyDescent="0.25">
      <c r="A87" s="355" t="s">
        <v>563</v>
      </c>
      <c r="B87" s="357" t="s">
        <v>676</v>
      </c>
      <c r="C87" s="345">
        <f>'Historical Data'!B271</f>
        <v>1.3000000000000001E-2</v>
      </c>
      <c r="D87" s="401">
        <f>'Historical Data'!E104</f>
        <v>4.8</v>
      </c>
      <c r="E87" s="333">
        <v>0.1</v>
      </c>
      <c r="F87" s="401">
        <f t="shared" si="21"/>
        <v>9.9999999999999645E-2</v>
      </c>
      <c r="G87" s="401">
        <f>'Historical Data'!H136</f>
        <v>-0.3</v>
      </c>
      <c r="H87" s="321">
        <v>0.03</v>
      </c>
      <c r="I87" s="401">
        <f t="shared" si="29"/>
        <v>0</v>
      </c>
      <c r="J87" s="401">
        <f t="shared" si="22"/>
        <v>0.28100000000000003</v>
      </c>
      <c r="K87" s="401">
        <f t="shared" si="23"/>
        <v>0.36399999999999999</v>
      </c>
      <c r="L87" s="401">
        <f t="shared" si="24"/>
        <v>0.27</v>
      </c>
      <c r="M87" s="401">
        <f t="shared" si="25"/>
        <v>0.38500000000000001</v>
      </c>
      <c r="N87" s="401">
        <f t="shared" si="26"/>
        <v>0.16800000000000001</v>
      </c>
      <c r="O87" s="401">
        <f t="shared" si="20"/>
        <v>-0.739135271663376</v>
      </c>
      <c r="P87" s="401">
        <f t="shared" si="20"/>
        <v>-0.4158773941062861</v>
      </c>
      <c r="Q87" s="401">
        <f t="shared" si="20"/>
        <v>-0.76215215022523231</v>
      </c>
      <c r="R87" s="401">
        <f t="shared" si="30"/>
        <v>-0.37962661907336165</v>
      </c>
      <c r="S87" s="401">
        <f t="shared" si="31"/>
        <v>-0.40011071347193389</v>
      </c>
      <c r="T87" s="401">
        <f t="shared" si="32"/>
        <v>-0.55608237186444986</v>
      </c>
      <c r="U87" s="331">
        <v>1.7000000000000001E-2</v>
      </c>
      <c r="V87" s="332">
        <f t="shared" si="27"/>
        <v>1.8731094934804043E-2</v>
      </c>
      <c r="X87" s="332"/>
      <c r="Y87" s="332"/>
      <c r="Z87" s="325"/>
    </row>
    <row r="88" spans="1:58" ht="15.75" customHeight="1" x14ac:dyDescent="0.25">
      <c r="A88" s="355" t="s">
        <v>563</v>
      </c>
      <c r="B88" s="355" t="s">
        <v>677</v>
      </c>
      <c r="C88" s="345">
        <f>'Historical Data'!B272</f>
        <v>-1.6E-2</v>
      </c>
      <c r="D88" s="401">
        <f>'Historical Data'!E105</f>
        <v>4.4000000000000004</v>
      </c>
      <c r="E88" s="333">
        <v>0.1</v>
      </c>
      <c r="F88" s="401">
        <f t="shared" si="21"/>
        <v>-0.39999999999999947</v>
      </c>
      <c r="G88" s="401">
        <f>'Historical Data'!H137</f>
        <v>-0.3</v>
      </c>
      <c r="H88" s="321">
        <v>1.0999999999999999E-2</v>
      </c>
      <c r="I88" s="401">
        <f t="shared" si="29"/>
        <v>0</v>
      </c>
      <c r="J88" s="401">
        <f t="shared" si="22"/>
        <v>9.2999999999999999E-2</v>
      </c>
      <c r="K88" s="401">
        <f t="shared" si="23"/>
        <v>0.16600000000000001</v>
      </c>
      <c r="L88" s="401">
        <f t="shared" si="24"/>
        <v>0.27</v>
      </c>
      <c r="M88" s="401">
        <f t="shared" si="25"/>
        <v>0.22900000000000001</v>
      </c>
      <c r="N88" s="401">
        <f t="shared" si="26"/>
        <v>0.16800000000000001</v>
      </c>
      <c r="O88" s="401">
        <f t="shared" si="20"/>
        <v>-1.39046642653768</v>
      </c>
      <c r="P88" s="401">
        <f t="shared" si="20"/>
        <v>-1.0867442873706366</v>
      </c>
      <c r="Q88" s="401">
        <f t="shared" si="20"/>
        <v>-0.76215215022523231</v>
      </c>
      <c r="R88" s="401">
        <f t="shared" si="30"/>
        <v>-0.91841436047240332</v>
      </c>
      <c r="S88" s="401">
        <f t="shared" si="31"/>
        <v>-0.40011071347193389</v>
      </c>
      <c r="T88" s="401">
        <f t="shared" si="32"/>
        <v>-0.93367314960250136</v>
      </c>
      <c r="U88" s="331">
        <v>1.7000000000000001E-2</v>
      </c>
      <c r="V88" s="332">
        <f t="shared" si="27"/>
        <v>2.8469305436900103E-2</v>
      </c>
      <c r="X88" s="332"/>
      <c r="Y88" s="332"/>
      <c r="Z88" s="325"/>
    </row>
    <row r="89" spans="1:58" ht="15.75" customHeight="1" x14ac:dyDescent="0.25">
      <c r="A89" s="355" t="s">
        <v>563</v>
      </c>
      <c r="B89" s="355" t="s">
        <v>678</v>
      </c>
      <c r="C89" s="345">
        <f>'Historical Data'!B273</f>
        <v>4.8000000000000001E-2</v>
      </c>
      <c r="D89" s="401">
        <f>'Historical Data'!E106</f>
        <v>4.2</v>
      </c>
      <c r="E89" s="333">
        <v>0.1</v>
      </c>
      <c r="F89" s="401">
        <f t="shared" si="21"/>
        <v>-0.20000000000000018</v>
      </c>
      <c r="G89" s="401">
        <f>'Historical Data'!H138</f>
        <v>2.2000000000000002</v>
      </c>
      <c r="H89" s="321">
        <v>3.7999999999999999E-2</v>
      </c>
      <c r="I89" s="401">
        <f t="shared" si="29"/>
        <v>0</v>
      </c>
      <c r="J89" s="401">
        <f t="shared" si="22"/>
        <v>0.94699999999999995</v>
      </c>
      <c r="K89" s="401">
        <f t="shared" si="23"/>
        <v>0.13500000000000001</v>
      </c>
      <c r="L89" s="401">
        <f t="shared" si="24"/>
        <v>0.73899999999999999</v>
      </c>
      <c r="M89" s="401">
        <f t="shared" si="25"/>
        <v>0.44700000000000001</v>
      </c>
      <c r="N89" s="401">
        <f t="shared" si="26"/>
        <v>0.16800000000000001</v>
      </c>
      <c r="O89" s="401">
        <f t="shared" si="20"/>
        <v>1.5682399897530417</v>
      </c>
      <c r="P89" s="401">
        <f t="shared" si="20"/>
        <v>-1.1917790029827318</v>
      </c>
      <c r="Q89" s="401">
        <f t="shared" si="20"/>
        <v>0.83802265918018115</v>
      </c>
      <c r="R89" s="401">
        <f t="shared" si="30"/>
        <v>-0.16549302954297329</v>
      </c>
      <c r="S89" s="401">
        <f t="shared" si="31"/>
        <v>-0.40011071347193389</v>
      </c>
      <c r="T89" s="401">
        <f t="shared" si="32"/>
        <v>1.0873637857666256</v>
      </c>
      <c r="U89" s="331">
        <v>1.7000000000000001E-2</v>
      </c>
      <c r="V89" s="332">
        <f t="shared" si="27"/>
        <v>2.1812883855987235E-3</v>
      </c>
      <c r="X89" s="332"/>
      <c r="Y89" s="332"/>
      <c r="Z89" s="325"/>
    </row>
    <row r="90" spans="1:58" ht="15.75" customHeight="1" x14ac:dyDescent="0.25">
      <c r="A90" s="355" t="s">
        <v>563</v>
      </c>
      <c r="B90" s="355" t="s">
        <v>679</v>
      </c>
      <c r="C90" s="345">
        <f>'Historical Data'!B274</f>
        <v>1.2999999999999999E-2</v>
      </c>
      <c r="D90" s="401">
        <f>'Historical Data'!E107</f>
        <v>4.92</v>
      </c>
      <c r="E90" s="333">
        <v>0.1</v>
      </c>
      <c r="F90" s="401">
        <f t="shared" si="21"/>
        <v>0.71999999999999975</v>
      </c>
      <c r="G90" s="401">
        <f>'Historical Data'!H139</f>
        <v>2.7</v>
      </c>
      <c r="H90" s="321">
        <v>1.7000000000000001E-2</v>
      </c>
      <c r="I90" s="401">
        <f t="shared" si="29"/>
        <v>0</v>
      </c>
      <c r="J90" s="401">
        <f t="shared" si="22"/>
        <v>0.27</v>
      </c>
      <c r="K90" s="401">
        <f t="shared" si="23"/>
        <v>0.48899999999999999</v>
      </c>
      <c r="L90" s="401">
        <f t="shared" si="24"/>
        <v>0.82199999999999995</v>
      </c>
      <c r="M90" s="401">
        <f t="shared" si="25"/>
        <v>0.29099999999999998</v>
      </c>
      <c r="N90" s="401">
        <f t="shared" si="26"/>
        <v>0.16800000000000001</v>
      </c>
      <c r="O90" s="401">
        <f t="shared" si="20"/>
        <v>-0.7772450732783619</v>
      </c>
      <c r="P90" s="401">
        <f t="shared" si="20"/>
        <v>7.6496849747432092E-3</v>
      </c>
      <c r="Q90" s="401">
        <f t="shared" si="20"/>
        <v>1.1212092459193053</v>
      </c>
      <c r="R90" s="401">
        <f t="shared" si="30"/>
        <v>-0.70428077094201502</v>
      </c>
      <c r="S90" s="401">
        <f t="shared" si="31"/>
        <v>-0.40011071347193389</v>
      </c>
      <c r="T90" s="401">
        <f t="shared" si="32"/>
        <v>-0.4654302363139558</v>
      </c>
      <c r="U90" s="331">
        <v>1.7000000000000001E-2</v>
      </c>
      <c r="V90" s="332">
        <f t="shared" si="27"/>
        <v>1.6870074680643277E-2</v>
      </c>
      <c r="X90" s="332"/>
      <c r="Y90" s="332"/>
      <c r="Z90" s="325"/>
    </row>
    <row r="91" spans="1:58" ht="15.75" customHeight="1" x14ac:dyDescent="0.25">
      <c r="A91" s="355" t="s">
        <v>563</v>
      </c>
      <c r="B91" s="355" t="s">
        <v>680</v>
      </c>
      <c r="C91" s="345">
        <f>'Historical Data'!B275</f>
        <v>0.01</v>
      </c>
      <c r="D91" s="401">
        <f>'Historical Data'!E108</f>
        <v>3.8</v>
      </c>
      <c r="E91" s="333">
        <v>0.25</v>
      </c>
      <c r="F91" s="401">
        <f t="shared" si="21"/>
        <v>-1.1200000000000001</v>
      </c>
      <c r="G91" s="401">
        <f>'Historical Data'!H140</f>
        <v>6.1</v>
      </c>
      <c r="H91" s="321">
        <v>2.5000000000000001E-2</v>
      </c>
      <c r="I91" s="401">
        <f t="shared" si="29"/>
        <v>0.15</v>
      </c>
      <c r="J91" s="401">
        <f t="shared" si="22"/>
        <v>0.16600000000000001</v>
      </c>
      <c r="K91" s="401">
        <f t="shared" si="23"/>
        <v>4.1000000000000002E-2</v>
      </c>
      <c r="L91" s="401">
        <f t="shared" si="24"/>
        <v>1</v>
      </c>
      <c r="M91" s="401">
        <f t="shared" si="25"/>
        <v>0.32200000000000001</v>
      </c>
      <c r="N91" s="401">
        <f t="shared" si="26"/>
        <v>0.84199999999999997</v>
      </c>
      <c r="O91" s="401">
        <f t="shared" si="20"/>
        <v>-1.1375559249109557</v>
      </c>
      <c r="P91" s="401">
        <f t="shared" si="20"/>
        <v>-1.5102713664516658</v>
      </c>
      <c r="Q91" s="401">
        <f t="shared" si="20"/>
        <v>1.7285250584441747</v>
      </c>
      <c r="R91" s="401">
        <f t="shared" si="30"/>
        <v>-0.5972139761768207</v>
      </c>
      <c r="S91" s="401">
        <f t="shared" si="31"/>
        <v>1.9091180443987368</v>
      </c>
      <c r="T91" s="401">
        <f t="shared" si="32"/>
        <v>-0.22746350563479781</v>
      </c>
      <c r="U91" s="331">
        <v>1.7000000000000001E-2</v>
      </c>
      <c r="V91" s="332">
        <f t="shared" si="27"/>
        <v>1.2719969791089861E-2</v>
      </c>
      <c r="X91" s="332"/>
      <c r="Y91" s="332"/>
      <c r="Z91" s="325"/>
      <c r="AB91" s="328" t="s">
        <v>575</v>
      </c>
    </row>
    <row r="92" spans="1:58" ht="15.75" customHeight="1" x14ac:dyDescent="0.25">
      <c r="A92" s="355" t="s">
        <v>563</v>
      </c>
      <c r="B92" s="357" t="s">
        <v>681</v>
      </c>
      <c r="C92" s="345">
        <f>'Historical Data'!B276</f>
        <v>8.0000000000000487E-3</v>
      </c>
      <c r="D92" s="401">
        <f>'Historical Data'!E109</f>
        <v>3.9285590107467714</v>
      </c>
      <c r="E92" s="333">
        <v>0.45634920634920634</v>
      </c>
      <c r="F92" s="401">
        <f t="shared" si="21"/>
        <v>0.12855901074677156</v>
      </c>
      <c r="G92" s="401">
        <f>'Historical Data'!H141</f>
        <v>1.7147692412596001</v>
      </c>
      <c r="H92" s="321">
        <v>1.1999999999977636E-2</v>
      </c>
      <c r="I92" s="401">
        <f t="shared" si="29"/>
        <v>0.20634920634920634</v>
      </c>
      <c r="J92" s="401">
        <f t="shared" ref="J92" si="35">PERCENTRANK($C$4:$C$99,C92)</f>
        <v>0.157</v>
      </c>
      <c r="K92" s="401">
        <f t="shared" ref="K92" si="36">PERCENTRANK($D$2:$D$99,D92)</f>
        <v>8.4000000000000005E-2</v>
      </c>
      <c r="L92" s="401">
        <f t="shared" ref="L92" si="37">PERCENTRANK($G$4:$G$99,G92)</f>
        <v>0.64200000000000002</v>
      </c>
      <c r="M92" s="401">
        <f t="shared" ref="M92" si="38">PERCENTRANK($H$4:$H$99,H92)</f>
        <v>0.24199999999999999</v>
      </c>
      <c r="N92" s="401">
        <f t="shared" ref="N92" si="39">PERCENTRANK($I$4:$I$99,I92)</f>
        <v>0.86099999999999999</v>
      </c>
      <c r="O92" s="401">
        <f t="shared" si="20"/>
        <v>-1.1687366716868535</v>
      </c>
      <c r="P92" s="401">
        <f t="shared" si="20"/>
        <v>-1.3645780512477916</v>
      </c>
      <c r="Q92" s="401">
        <f t="shared" si="20"/>
        <v>0.50706966021999977</v>
      </c>
      <c r="R92" s="401">
        <f t="shared" si="30"/>
        <v>-0.87351538202248313</v>
      </c>
      <c r="S92" s="401">
        <f t="shared" si="31"/>
        <v>1.9742149975137853</v>
      </c>
      <c r="T92" s="401">
        <f t="shared" si="32"/>
        <v>-0.4040072703162027</v>
      </c>
      <c r="U92" s="331">
        <v>1.7000000000000001E-2</v>
      </c>
      <c r="V92" s="332">
        <f t="shared" si="27"/>
        <v>1.5700980475615502E-2</v>
      </c>
      <c r="X92" s="332" t="e">
        <f>Y92*$AB$14+#REF!*$AB$15+#REF!*Baseline!$AB$16</f>
        <v>#REF!</v>
      </c>
      <c r="Y92" s="332">
        <f>V92*0.5+V86*0.25+V85*0.25</f>
        <v>1.6619885722213287E-2</v>
      </c>
      <c r="Z92" s="325"/>
      <c r="AB92" s="355" t="s">
        <v>547</v>
      </c>
      <c r="AC92" s="355" t="s">
        <v>715</v>
      </c>
      <c r="AD92" s="355" t="s">
        <v>714</v>
      </c>
      <c r="AE92" s="355" t="s">
        <v>550</v>
      </c>
      <c r="AF92" s="355" t="s">
        <v>577</v>
      </c>
    </row>
    <row r="93" spans="1:58" x14ac:dyDescent="0.25">
      <c r="A93" s="355" t="s">
        <v>956</v>
      </c>
      <c r="B93" s="357" t="s">
        <v>682</v>
      </c>
      <c r="C93" s="402">
        <f>AB93</f>
        <v>-1.2812203854276187E-2</v>
      </c>
      <c r="D93" s="401">
        <f>AF93</f>
        <v>4.4363849918629414</v>
      </c>
      <c r="E93" s="345">
        <f t="shared" ref="E93:E100" si="40">AD93</f>
        <v>1.6456</v>
      </c>
      <c r="F93" s="401">
        <f>D93-D91</f>
        <v>0.63638499186294162</v>
      </c>
      <c r="G93" s="344">
        <f>AE93</f>
        <v>4.9097264293357252</v>
      </c>
      <c r="H93" s="327">
        <f>AC93</f>
        <v>-2.2418560041516652E-2</v>
      </c>
      <c r="I93" s="401">
        <f t="shared" si="29"/>
        <v>1.1892507936507937</v>
      </c>
      <c r="J93" s="401">
        <f t="shared" ref="J93:J100" si="41">PERCENTRANK($C$4:$C$100,C93)</f>
        <v>0.104</v>
      </c>
      <c r="K93" s="401">
        <f t="shared" ref="K93:K100" si="42">PERCENTRANK($D$2:$D$100,D93)</f>
        <v>0.218</v>
      </c>
      <c r="L93" s="401">
        <f t="shared" ref="L93:L100" si="43">PERCENTRANK($G$4:$G$100,G93)</f>
        <v>0.96799999999999997</v>
      </c>
      <c r="M93" s="401">
        <f t="shared" ref="M93:M100" si="44">PERCENTRANK($H$4:$H$100,H93)</f>
        <v>0.114</v>
      </c>
      <c r="N93" s="401">
        <f t="shared" ref="N93:N100" si="45">PERCENTRANK($I$4:$I$100,I93)</f>
        <v>1</v>
      </c>
      <c r="O93" s="401">
        <f t="shared" si="20"/>
        <v>-1.3523566249226944</v>
      </c>
      <c r="P93" s="401">
        <f t="shared" si="20"/>
        <v>-0.91055702247292813</v>
      </c>
      <c r="Q93" s="401">
        <f t="shared" si="20"/>
        <v>1.6193446876531867</v>
      </c>
      <c r="R93" s="401">
        <f t="shared" si="30"/>
        <v>-1.3155976313755429</v>
      </c>
      <c r="S93" s="401">
        <f t="shared" si="31"/>
        <v>2.4504506018817724</v>
      </c>
      <c r="T93" s="401">
        <f t="shared" si="32"/>
        <v>-0.44493850689038211</v>
      </c>
      <c r="U93" s="331">
        <v>1.7000000000000001E-2</v>
      </c>
      <c r="V93" s="332">
        <f t="shared" si="27"/>
        <v>1.647203065387241E-2</v>
      </c>
      <c r="X93" s="332" t="e">
        <f>Y93*$AB$14+#REF!*$AB$15+#REF!*SevAdv!$AB$16</f>
        <v>#REF!</v>
      </c>
      <c r="Y93" s="332">
        <f>V93*0.5+V86*0.25+V85*0.25</f>
        <v>1.7005410811341742E-2</v>
      </c>
      <c r="Z93" s="325"/>
      <c r="AA93" s="355" t="s">
        <v>681</v>
      </c>
      <c r="AB93" s="327">
        <f>MacroAssumptions!H6</f>
        <v>-1.2812203854276187E-2</v>
      </c>
      <c r="AC93" s="345">
        <f>MacroAssumptions!I6</f>
        <v>-2.2418560041516652E-2</v>
      </c>
      <c r="AD93" s="344">
        <f>MacroAssumptions!J6</f>
        <v>1.6456</v>
      </c>
      <c r="AE93" s="344">
        <f>MacroAssumptions!K6</f>
        <v>4.9097264293357252</v>
      </c>
      <c r="AF93" s="344">
        <f>MacroAssumptions!L6</f>
        <v>4.4363849918629414</v>
      </c>
    </row>
    <row r="94" spans="1:58" x14ac:dyDescent="0.25">
      <c r="A94" s="355" t="s">
        <v>956</v>
      </c>
      <c r="B94" s="357" t="s">
        <v>683</v>
      </c>
      <c r="C94" s="402">
        <f t="shared" ref="C94:C100" si="46">AB94</f>
        <v>-2.4645512484968782E-2</v>
      </c>
      <c r="D94" s="401">
        <f t="shared" ref="D94:D100" si="47">AF94</f>
        <v>5.2323952338893376</v>
      </c>
      <c r="E94" s="345">
        <f t="shared" si="40"/>
        <v>2.1676000000000002</v>
      </c>
      <c r="F94" s="401">
        <f t="shared" si="21"/>
        <v>0.79601024202639614</v>
      </c>
      <c r="G94" s="344">
        <f t="shared" ref="G94:G100" si="48">AE94</f>
        <v>4.2055041231347641</v>
      </c>
      <c r="H94" s="327">
        <f t="shared" ref="H94:H100" si="49">AC94</f>
        <v>-4.0659927219477525E-2</v>
      </c>
      <c r="I94" s="401">
        <f t="shared" si="29"/>
        <v>0.52200000000000024</v>
      </c>
      <c r="J94" s="401">
        <f t="shared" si="41"/>
        <v>5.1999999999999998E-2</v>
      </c>
      <c r="K94" s="401">
        <f t="shared" si="42"/>
        <v>0.58299999999999996</v>
      </c>
      <c r="L94" s="401">
        <f t="shared" si="43"/>
        <v>0.94699999999999995</v>
      </c>
      <c r="M94" s="401">
        <f t="shared" si="44"/>
        <v>7.1999999999999995E-2</v>
      </c>
      <c r="N94" s="401">
        <f t="shared" si="45"/>
        <v>0.97799999999999998</v>
      </c>
      <c r="O94" s="401">
        <f t="shared" si="20"/>
        <v>-1.5325120507389913</v>
      </c>
      <c r="P94" s="401">
        <f t="shared" si="20"/>
        <v>0.32614204844367717</v>
      </c>
      <c r="Q94" s="401">
        <f t="shared" si="20"/>
        <v>1.5476950693216012</v>
      </c>
      <c r="R94" s="401">
        <f t="shared" si="30"/>
        <v>-1.4606558694445155</v>
      </c>
      <c r="S94" s="401">
        <f t="shared" si="31"/>
        <v>2.3750751824854004</v>
      </c>
      <c r="T94" s="401">
        <f t="shared" si="32"/>
        <v>-0.70590999705151392</v>
      </c>
      <c r="U94" s="331">
        <v>1.7000000000000001E-2</v>
      </c>
      <c r="V94" s="332">
        <f t="shared" si="27"/>
        <v>2.2189483202909612E-2</v>
      </c>
      <c r="X94" s="332" t="e">
        <f>Y94*$AB$14+#REF!*$AB$15+#REF!*SevAdv!$AB$16</f>
        <v>#REF!</v>
      </c>
      <c r="Y94" s="332">
        <f>V94*0.5+V93*0.25+V86*0.25</f>
        <v>1.5850994876553347E-2</v>
      </c>
      <c r="Z94" s="325"/>
      <c r="AA94" s="355" t="s">
        <v>682</v>
      </c>
      <c r="AB94" s="327">
        <f>MacroAssumptions!H7</f>
        <v>-2.4645512484968782E-2</v>
      </c>
      <c r="AC94" s="345">
        <f>MacroAssumptions!I7</f>
        <v>-4.0659927219477525E-2</v>
      </c>
      <c r="AD94" s="344">
        <f>MacroAssumptions!J7</f>
        <v>2.1676000000000002</v>
      </c>
      <c r="AE94" s="344">
        <f>MacroAssumptions!K7</f>
        <v>4.2055041231347641</v>
      </c>
      <c r="AF94" s="344">
        <f>MacroAssumptions!L7</f>
        <v>5.2323952338893376</v>
      </c>
    </row>
    <row r="95" spans="1:58" x14ac:dyDescent="0.25">
      <c r="A95" s="355" t="s">
        <v>956</v>
      </c>
      <c r="B95" s="357" t="s">
        <v>2529</v>
      </c>
      <c r="C95" s="402">
        <f t="shared" si="46"/>
        <v>-2.1297153889820848E-2</v>
      </c>
      <c r="D95" s="401">
        <f t="shared" si="47"/>
        <v>6.5213167556615579</v>
      </c>
      <c r="E95" s="345">
        <f t="shared" si="40"/>
        <v>2.2454999999999998</v>
      </c>
      <c r="F95" s="401">
        <f t="shared" si="21"/>
        <v>1.2889215217722203</v>
      </c>
      <c r="G95" s="344">
        <f t="shared" si="48"/>
        <v>-0.23613656537591157</v>
      </c>
      <c r="H95" s="327">
        <f t="shared" si="49"/>
        <v>-5.2866080267459273E-2</v>
      </c>
      <c r="I95" s="401">
        <f t="shared" si="29"/>
        <v>7.7899999999999636E-2</v>
      </c>
      <c r="J95" s="401">
        <f t="shared" si="41"/>
        <v>6.2E-2</v>
      </c>
      <c r="K95" s="401">
        <f t="shared" si="42"/>
        <v>0.70799999999999996</v>
      </c>
      <c r="L95" s="401">
        <f t="shared" si="43"/>
        <v>0.32200000000000001</v>
      </c>
      <c r="M95" s="401">
        <f t="shared" si="44"/>
        <v>5.1999999999999998E-2</v>
      </c>
      <c r="N95" s="401">
        <f t="shared" si="45"/>
        <v>0.83099999999999996</v>
      </c>
      <c r="O95" s="401">
        <f t="shared" si="20"/>
        <v>-1.4978667765435496</v>
      </c>
      <c r="P95" s="401">
        <f t="shared" si="20"/>
        <v>0.74966912752470649</v>
      </c>
      <c r="Q95" s="401">
        <f t="shared" si="20"/>
        <v>-0.58473404768987736</v>
      </c>
      <c r="R95" s="401">
        <f t="shared" si="30"/>
        <v>-1.5297312209059313</v>
      </c>
      <c r="S95" s="401">
        <f t="shared" si="31"/>
        <v>1.8714303347005505</v>
      </c>
      <c r="T95" s="401">
        <f t="shared" si="32"/>
        <v>-0.99799047206812619</v>
      </c>
      <c r="U95" s="331">
        <v>1.7000000000000001E-2</v>
      </c>
      <c r="V95" s="332">
        <f t="shared" si="27"/>
        <v>3.0489496562922158E-2</v>
      </c>
      <c r="X95" s="332" t="e">
        <f>Y95*$AB$14+#REF!*$AB$15+#REF!*SevAdv!$AB$16</f>
        <v>#REF!</v>
      </c>
      <c r="Y95" s="332">
        <f t="shared" si="34"/>
        <v>2.4910126745656586E-2</v>
      </c>
      <c r="Z95" s="325"/>
      <c r="AA95" s="355" t="s">
        <v>683</v>
      </c>
      <c r="AB95" s="327">
        <f>MacroAssumptions!H8</f>
        <v>-2.1297153889820848E-2</v>
      </c>
      <c r="AC95" s="345">
        <f>MacroAssumptions!I8</f>
        <v>-5.2866080267459273E-2</v>
      </c>
      <c r="AD95" s="344">
        <f>MacroAssumptions!J8</f>
        <v>2.2454999999999998</v>
      </c>
      <c r="AE95" s="344">
        <f>MacroAssumptions!K8</f>
        <v>-0.23613656537591157</v>
      </c>
      <c r="AF95" s="344">
        <f>MacroAssumptions!L8</f>
        <v>6.5213167556615579</v>
      </c>
    </row>
    <row r="96" spans="1:58" x14ac:dyDescent="0.25">
      <c r="A96" s="355" t="s">
        <v>956</v>
      </c>
      <c r="B96" s="357" t="s">
        <v>2530</v>
      </c>
      <c r="C96" s="402">
        <f t="shared" si="46"/>
        <v>-1.2756549656557647E-2</v>
      </c>
      <c r="D96" s="401">
        <f t="shared" si="47"/>
        <v>7.3732752819154825</v>
      </c>
      <c r="E96" s="345">
        <f t="shared" si="40"/>
        <v>1.2334000000000001</v>
      </c>
      <c r="F96" s="401">
        <f t="shared" si="21"/>
        <v>0.85195852625392465</v>
      </c>
      <c r="G96" s="344">
        <f t="shared" si="48"/>
        <v>-0.7246663621978976</v>
      </c>
      <c r="H96" s="327">
        <f t="shared" si="49"/>
        <v>-4.7956320001683685E-2</v>
      </c>
      <c r="I96" s="401">
        <f t="shared" si="29"/>
        <v>-1.0120999999999998</v>
      </c>
      <c r="J96" s="401">
        <f t="shared" si="41"/>
        <v>0.114</v>
      </c>
      <c r="K96" s="401">
        <f t="shared" si="42"/>
        <v>0.75</v>
      </c>
      <c r="L96" s="401">
        <f t="shared" si="43"/>
        <v>0.187</v>
      </c>
      <c r="M96" s="401">
        <f t="shared" si="44"/>
        <v>6.2E-2</v>
      </c>
      <c r="N96" s="401">
        <f t="shared" si="45"/>
        <v>3.1E-2</v>
      </c>
      <c r="O96" s="401">
        <f t="shared" si="20"/>
        <v>-1.3177113507272527</v>
      </c>
      <c r="P96" s="401">
        <f t="shared" si="20"/>
        <v>0.89197422609593235</v>
      </c>
      <c r="Q96" s="401">
        <f t="shared" si="20"/>
        <v>-1.0453387369643568</v>
      </c>
      <c r="R96" s="401">
        <f t="shared" si="30"/>
        <v>-1.4951935451752234</v>
      </c>
      <c r="S96" s="401">
        <f t="shared" si="31"/>
        <v>-0.86949400698570511</v>
      </c>
      <c r="T96" s="401">
        <f t="shared" si="32"/>
        <v>-1.2208268619584732</v>
      </c>
      <c r="U96" s="331">
        <v>1.7000000000000001E-2</v>
      </c>
      <c r="V96" s="332">
        <f t="shared" si="27"/>
        <v>3.8426569650525384E-2</v>
      </c>
      <c r="X96" s="332" t="e">
        <f>Y96*$AB$14+#REF!*$AB$15+#REF!*SevAdv!$AB$16</f>
        <v>#REF!</v>
      </c>
      <c r="Y96" s="332">
        <f t="shared" si="34"/>
        <v>3.2383029766720632E-2</v>
      </c>
      <c r="Z96" s="325"/>
      <c r="AA96" s="355" t="s">
        <v>2529</v>
      </c>
      <c r="AB96" s="327">
        <f>MacroAssumptions!H9</f>
        <v>-1.2756549656557647E-2</v>
      </c>
      <c r="AC96" s="345">
        <f>MacroAssumptions!I9</f>
        <v>-4.7956320001683685E-2</v>
      </c>
      <c r="AD96" s="344">
        <f>MacroAssumptions!J9</f>
        <v>1.2334000000000001</v>
      </c>
      <c r="AE96" s="344">
        <f>MacroAssumptions!K9</f>
        <v>-0.7246663621978976</v>
      </c>
      <c r="AF96" s="344">
        <f>MacroAssumptions!L9</f>
        <v>7.3732752819154825</v>
      </c>
    </row>
    <row r="97" spans="1:32" x14ac:dyDescent="0.25">
      <c r="A97" s="355" t="s">
        <v>956</v>
      </c>
      <c r="B97" s="357" t="s">
        <v>2532</v>
      </c>
      <c r="C97" s="402">
        <f t="shared" si="46"/>
        <v>8.9349136362056644E-4</v>
      </c>
      <c r="D97" s="401">
        <f t="shared" si="47"/>
        <v>8.3792653849341914</v>
      </c>
      <c r="E97" s="345">
        <f t="shared" si="40"/>
        <v>9.8900000000000002E-2</v>
      </c>
      <c r="F97" s="401">
        <f>D97-D96</f>
        <v>1.0059901030187088</v>
      </c>
      <c r="G97" s="344">
        <f t="shared" si="48"/>
        <v>-1.0316428515757903</v>
      </c>
      <c r="H97" s="327">
        <f t="shared" si="49"/>
        <v>-8.1441925186192546E-2</v>
      </c>
      <c r="I97" s="401">
        <f t="shared" si="29"/>
        <v>-1.1345000000000001</v>
      </c>
      <c r="J97" s="401">
        <f t="shared" si="41"/>
        <v>0.13500000000000001</v>
      </c>
      <c r="K97" s="401">
        <f t="shared" si="42"/>
        <v>0.95799999999999996</v>
      </c>
      <c r="L97" s="401">
        <f t="shared" si="43"/>
        <v>0.114</v>
      </c>
      <c r="M97" s="401">
        <f t="shared" si="44"/>
        <v>4.1000000000000002E-2</v>
      </c>
      <c r="N97" s="401">
        <f t="shared" si="45"/>
        <v>2.1000000000000001E-2</v>
      </c>
      <c r="O97" s="401">
        <f t="shared" si="20"/>
        <v>-1.244956274916825</v>
      </c>
      <c r="P97" s="401">
        <f t="shared" si="20"/>
        <v>1.596723285686765</v>
      </c>
      <c r="Q97" s="401">
        <f t="shared" si="20"/>
        <v>-1.2944064578312975</v>
      </c>
      <c r="R97" s="401">
        <f t="shared" si="30"/>
        <v>-1.5677226642097097</v>
      </c>
      <c r="S97" s="401">
        <f t="shared" si="31"/>
        <v>-0.90375556125678336</v>
      </c>
      <c r="T97" s="401">
        <f t="shared" si="32"/>
        <v>-1.2832345618485506</v>
      </c>
      <c r="U97" s="331">
        <v>1.7000000000000001E-2</v>
      </c>
      <c r="V97" s="332">
        <f t="shared" si="27"/>
        <v>4.0929086318445891E-2</v>
      </c>
      <c r="X97" s="332" t="e">
        <f>Y97*$AB$14+#REF!*$AB$15+#REF!*SevAdv!$AB$16</f>
        <v>#REF!</v>
      </c>
      <c r="Y97" s="332">
        <f>V97*0.5+V96*0.25+V95*0.25</f>
        <v>3.7693559712584833E-2</v>
      </c>
      <c r="Z97" s="325"/>
      <c r="AA97" s="355" t="s">
        <v>2530</v>
      </c>
      <c r="AB97" s="327">
        <f>MacroAssumptions!H10</f>
        <v>8.9349136362056644E-4</v>
      </c>
      <c r="AC97" s="345">
        <f>MacroAssumptions!I10</f>
        <v>-8.1441925186192546E-2</v>
      </c>
      <c r="AD97" s="344">
        <f>MacroAssumptions!J10</f>
        <v>9.8900000000000002E-2</v>
      </c>
      <c r="AE97" s="344">
        <f>MacroAssumptions!K10</f>
        <v>-1.0316428515757903</v>
      </c>
      <c r="AF97" s="344">
        <f>MacroAssumptions!L10</f>
        <v>8.3792653849341914</v>
      </c>
    </row>
    <row r="98" spans="1:32" x14ac:dyDescent="0.25">
      <c r="A98" s="355" t="s">
        <v>956</v>
      </c>
      <c r="B98" s="357" t="s">
        <v>2533</v>
      </c>
      <c r="C98" s="402">
        <f t="shared" si="46"/>
        <v>3.510071753587813E-2</v>
      </c>
      <c r="D98" s="401">
        <f t="shared" si="47"/>
        <v>8.148169756449807</v>
      </c>
      <c r="E98" s="345">
        <f t="shared" si="40"/>
        <v>9.8900000000000002E-2</v>
      </c>
      <c r="F98" s="401">
        <f t="shared" si="21"/>
        <v>-0.23109562848438436</v>
      </c>
      <c r="G98" s="344">
        <f t="shared" si="48"/>
        <v>1.0184536112092242</v>
      </c>
      <c r="H98" s="327">
        <f t="shared" si="49"/>
        <v>3.3977093038400019E-2</v>
      </c>
      <c r="I98" s="401">
        <f t="shared" si="29"/>
        <v>0</v>
      </c>
      <c r="J98" s="401">
        <f t="shared" si="41"/>
        <v>0.89500000000000002</v>
      </c>
      <c r="K98" s="401">
        <f t="shared" si="42"/>
        <v>0.94699999999999995</v>
      </c>
      <c r="L98" s="401">
        <f t="shared" si="43"/>
        <v>0.5</v>
      </c>
      <c r="M98" s="401">
        <f t="shared" si="44"/>
        <v>0.39500000000000002</v>
      </c>
      <c r="N98" s="401">
        <f t="shared" si="45"/>
        <v>0.16800000000000001</v>
      </c>
      <c r="O98" s="401">
        <f t="shared" si="20"/>
        <v>1.388084563936745</v>
      </c>
      <c r="P98" s="401">
        <f t="shared" si="20"/>
        <v>1.5594529027276345</v>
      </c>
      <c r="Q98" s="401">
        <f t="shared" si="20"/>
        <v>2.2581764834991743E-2</v>
      </c>
      <c r="R98" s="401">
        <f t="shared" si="30"/>
        <v>-0.34508894334265378</v>
      </c>
      <c r="S98" s="401">
        <f t="shared" si="31"/>
        <v>-0.40011071347193389</v>
      </c>
      <c r="T98" s="401">
        <f t="shared" si="32"/>
        <v>0.60464365889132377</v>
      </c>
      <c r="U98" s="331">
        <v>1.7000000000000001E-2</v>
      </c>
      <c r="V98" s="332">
        <f t="shared" si="27"/>
        <v>4.3386114774539557E-3</v>
      </c>
      <c r="X98" s="332" t="e">
        <f>Y98*$AB$14+#REF!*$AB$15+#REF!*SevAdv!$AB$16</f>
        <v>#REF!</v>
      </c>
      <c r="Y98" s="332">
        <f>V98*0.5+V97*0.25+V96*0.25</f>
        <v>2.2008219730969794E-2</v>
      </c>
      <c r="Z98" s="325"/>
      <c r="AA98" s="355" t="s">
        <v>2532</v>
      </c>
      <c r="AB98" s="327">
        <f>MacroAssumptions!H11</f>
        <v>3.510071753587813E-2</v>
      </c>
      <c r="AC98" s="345">
        <f>MacroAssumptions!I11</f>
        <v>3.3977093038400019E-2</v>
      </c>
      <c r="AD98" s="344">
        <f>MacroAssumptions!J11</f>
        <v>9.8900000000000002E-2</v>
      </c>
      <c r="AE98" s="344">
        <f>MacroAssumptions!K11</f>
        <v>1.0184536112092242</v>
      </c>
      <c r="AF98" s="344">
        <f>MacroAssumptions!L11</f>
        <v>8.148169756449807</v>
      </c>
    </row>
    <row r="99" spans="1:32" x14ac:dyDescent="0.25">
      <c r="A99" s="355" t="s">
        <v>956</v>
      </c>
      <c r="B99" s="357" t="s">
        <v>2534</v>
      </c>
      <c r="C99" s="402">
        <f t="shared" si="46"/>
        <v>1.8617740485544598E-2</v>
      </c>
      <c r="D99" s="401">
        <f t="shared" si="47"/>
        <v>8.0580393563556534</v>
      </c>
      <c r="E99" s="345">
        <f t="shared" si="40"/>
        <v>0.16619999999999999</v>
      </c>
      <c r="F99" s="401">
        <f t="shared" si="21"/>
        <v>-9.0130400094153629E-2</v>
      </c>
      <c r="G99" s="344">
        <f t="shared" si="48"/>
        <v>1.5094416972398297</v>
      </c>
      <c r="H99" s="327">
        <f t="shared" si="49"/>
        <v>2.5859543086572692E-2</v>
      </c>
      <c r="I99" s="401">
        <f t="shared" si="29"/>
        <v>6.7299999999999985E-2</v>
      </c>
      <c r="J99" s="401">
        <f t="shared" si="41"/>
        <v>0.44700000000000001</v>
      </c>
      <c r="K99" s="401">
        <f t="shared" si="42"/>
        <v>0.93700000000000006</v>
      </c>
      <c r="L99" s="401">
        <f t="shared" si="43"/>
        <v>0.57199999999999995</v>
      </c>
      <c r="M99" s="401">
        <f t="shared" si="44"/>
        <v>0.33300000000000002</v>
      </c>
      <c r="N99" s="401">
        <f t="shared" si="45"/>
        <v>0.82099999999999995</v>
      </c>
      <c r="O99" s="401">
        <f t="shared" si="20"/>
        <v>-0.16402372001904364</v>
      </c>
      <c r="P99" s="401">
        <f t="shared" si="20"/>
        <v>1.5255707364011524</v>
      </c>
      <c r="Q99" s="401">
        <f t="shared" si="20"/>
        <v>0.2682375991147139</v>
      </c>
      <c r="R99" s="401">
        <f t="shared" si="30"/>
        <v>-0.55922253287304213</v>
      </c>
      <c r="S99" s="401">
        <f t="shared" si="31"/>
        <v>1.8371687804294723</v>
      </c>
      <c r="T99" s="401">
        <f t="shared" si="32"/>
        <v>-9.6352920984427048E-2</v>
      </c>
      <c r="U99" s="331">
        <v>1.7000000000000001E-2</v>
      </c>
      <c r="V99" s="332">
        <f t="shared" si="27"/>
        <v>1.083553586122277E-2</v>
      </c>
      <c r="X99" s="332" t="e">
        <f>Y99*$AB$14+#REF!*$AB$15+#REF!*SevAdv!$AB$16</f>
        <v>#REF!</v>
      </c>
      <c r="Y99" s="332">
        <f t="shared" si="34"/>
        <v>1.6734692379586347E-2</v>
      </c>
      <c r="Z99" s="325"/>
      <c r="AA99" s="355" t="s">
        <v>2533</v>
      </c>
      <c r="AB99" s="327">
        <f>MacroAssumptions!H12</f>
        <v>1.8617740485544598E-2</v>
      </c>
      <c r="AC99" s="345">
        <f>MacroAssumptions!I12</f>
        <v>2.5859543086572692E-2</v>
      </c>
      <c r="AD99" s="344">
        <f>MacroAssumptions!J12</f>
        <v>0.16619999999999999</v>
      </c>
      <c r="AE99" s="344">
        <f>MacroAssumptions!K12</f>
        <v>1.5094416972398297</v>
      </c>
      <c r="AF99" s="344">
        <f>MacroAssumptions!L12</f>
        <v>8.0580393563556534</v>
      </c>
    </row>
    <row r="100" spans="1:32" x14ac:dyDescent="0.25">
      <c r="A100" s="355" t="s">
        <v>956</v>
      </c>
      <c r="B100" s="357" t="s">
        <v>4584</v>
      </c>
      <c r="C100" s="402">
        <f t="shared" si="46"/>
        <v>1.0999725721133767E-2</v>
      </c>
      <c r="D100" s="401">
        <f t="shared" si="47"/>
        <v>7.3430445570976035</v>
      </c>
      <c r="E100" s="345">
        <f t="shared" si="40"/>
        <v>0.92390000000000005</v>
      </c>
      <c r="F100" s="401">
        <f t="shared" si="21"/>
        <v>-0.71499479925804987</v>
      </c>
      <c r="G100" s="344">
        <f t="shared" si="48"/>
        <v>1.8863808941517586</v>
      </c>
      <c r="H100" s="327">
        <f t="shared" si="49"/>
        <v>3.7511822893124179E-2</v>
      </c>
      <c r="I100" s="401">
        <f t="shared" si="29"/>
        <v>0.75770000000000004</v>
      </c>
      <c r="J100" s="401">
        <f t="shared" si="41"/>
        <v>0.19700000000000001</v>
      </c>
      <c r="K100" s="401">
        <f t="shared" si="42"/>
        <v>0.73899999999999999</v>
      </c>
      <c r="L100" s="401">
        <f t="shared" si="43"/>
        <v>0.66600000000000004</v>
      </c>
      <c r="M100" s="401">
        <f t="shared" si="44"/>
        <v>0.437</v>
      </c>
      <c r="N100" s="401">
        <f t="shared" si="45"/>
        <v>0.98899999999999999</v>
      </c>
      <c r="O100" s="401">
        <f t="shared" si="20"/>
        <v>-1.0301555749050864</v>
      </c>
      <c r="P100" s="401">
        <f t="shared" si="20"/>
        <v>0.85470384313680181</v>
      </c>
      <c r="Q100" s="401">
        <f t="shared" si="20"/>
        <v>0.58895493831324064</v>
      </c>
      <c r="R100" s="401">
        <f t="shared" si="30"/>
        <v>-0.20003070527368114</v>
      </c>
      <c r="S100" s="401">
        <f t="shared" si="31"/>
        <v>2.4127628921835864</v>
      </c>
      <c r="T100" s="401">
        <f t="shared" si="32"/>
        <v>-0.42339501673441732</v>
      </c>
      <c r="U100" s="331">
        <v>1.7000000000000001E-2</v>
      </c>
      <c r="V100" s="332">
        <f t="shared" si="27"/>
        <v>1.6062253458084114E-2</v>
      </c>
      <c r="X100" s="332" t="e">
        <f>Y100*$AB$14+#REF!*$AB$15+#REF!*SevAdv!$AB$16</f>
        <v>#REF!</v>
      </c>
      <c r="Y100" s="332">
        <f t="shared" si="34"/>
        <v>1.182466356371124E-2</v>
      </c>
      <c r="Z100" s="325"/>
      <c r="AA100" s="355" t="s">
        <v>2534</v>
      </c>
      <c r="AB100" s="327">
        <f>MacroAssumptions!H13</f>
        <v>1.0999725721133767E-2</v>
      </c>
      <c r="AC100" s="345">
        <f>MacroAssumptions!I13</f>
        <v>3.7511822893124179E-2</v>
      </c>
      <c r="AD100" s="344">
        <f>MacroAssumptions!J13</f>
        <v>0.92390000000000005</v>
      </c>
      <c r="AE100" s="344">
        <f>MacroAssumptions!K13</f>
        <v>1.8863808941517586</v>
      </c>
      <c r="AF100" s="344">
        <f>MacroAssumptions!L13</f>
        <v>7.3430445570976035</v>
      </c>
    </row>
    <row r="101" spans="1:32" x14ac:dyDescent="0.25">
      <c r="C101" s="330"/>
      <c r="E101" s="339"/>
      <c r="G101" s="324"/>
      <c r="H101" s="329"/>
      <c r="U101" s="331"/>
      <c r="V101" s="330"/>
      <c r="X101" s="330"/>
      <c r="Y101" s="330"/>
      <c r="Z101" s="325"/>
      <c r="AB101" s="326"/>
      <c r="AC101" s="331"/>
    </row>
    <row r="102" spans="1:32" x14ac:dyDescent="0.25">
      <c r="C102" s="330"/>
      <c r="E102" s="339"/>
      <c r="G102" s="324"/>
      <c r="H102" s="346"/>
      <c r="U102" s="331"/>
      <c r="V102" s="330"/>
      <c r="X102" s="330"/>
      <c r="Y102" s="330"/>
      <c r="Z102" s="325"/>
    </row>
    <row r="103" spans="1:32" x14ac:dyDescent="0.25">
      <c r="C103" s="330"/>
      <c r="U103" s="331"/>
      <c r="V103" s="330"/>
      <c r="X103" s="330"/>
      <c r="Y103" s="330"/>
      <c r="Z103" s="325"/>
      <c r="AB103" s="326"/>
      <c r="AC103" s="331"/>
    </row>
    <row r="104" spans="1:32" x14ac:dyDescent="0.25">
      <c r="C104" s="330"/>
      <c r="U104" s="331"/>
      <c r="V104" s="330"/>
      <c r="X104" s="330"/>
      <c r="Y104" s="330"/>
      <c r="Z104" s="325"/>
      <c r="AB104" s="326"/>
      <c r="AC104" s="331"/>
    </row>
    <row r="105" spans="1:32" x14ac:dyDescent="0.25">
      <c r="C105" s="330"/>
      <c r="U105" s="331"/>
      <c r="V105" s="330"/>
      <c r="X105" s="330"/>
      <c r="Y105" s="330"/>
      <c r="Z105" s="325"/>
      <c r="AB105" s="326"/>
      <c r="AC105" s="331"/>
    </row>
    <row r="107" spans="1:32" x14ac:dyDescent="0.25">
      <c r="AB107" s="326"/>
      <c r="AC107" s="331"/>
    </row>
    <row r="108" spans="1:32" x14ac:dyDescent="0.25">
      <c r="AB108" s="326"/>
      <c r="AC108" s="331"/>
    </row>
    <row r="109" spans="1:32" x14ac:dyDescent="0.25">
      <c r="AB109" s="326"/>
      <c r="AC109" s="331"/>
    </row>
    <row r="110" spans="1:32" x14ac:dyDescent="0.25">
      <c r="AB110" s="326"/>
      <c r="AC110" s="331"/>
    </row>
    <row r="111" spans="1:32" x14ac:dyDescent="0.25">
      <c r="AB111" s="326"/>
      <c r="AC111" s="331"/>
    </row>
    <row r="112" spans="1:32" x14ac:dyDescent="0.25">
      <c r="AB112" s="326"/>
      <c r="AC112" s="331"/>
    </row>
    <row r="113" spans="28:29" x14ac:dyDescent="0.25">
      <c r="AB113" s="326"/>
      <c r="AC113" s="331"/>
    </row>
    <row r="114" spans="28:29" x14ac:dyDescent="0.25">
      <c r="AB114" s="326"/>
      <c r="AC114" s="331"/>
    </row>
  </sheetData>
  <dataValidations count="3">
    <dataValidation type="list" allowBlank="1" showInputMessage="1" showErrorMessage="1" sqref="AB2" xr:uid="{821E204D-E963-4801-957C-A84D70042642}">
      <formula1>$AE$1:$AF$1</formula1>
    </dataValidation>
    <dataValidation type="list" allowBlank="1" showInputMessage="1" showErrorMessage="1" sqref="AE8" xr:uid="{0F74DC7E-2B3F-4E4A-B035-F61E4CDFB62E}">
      <formula1>#REF!</formula1>
    </dataValidation>
    <dataValidation type="list" allowBlank="1" showInputMessage="1" showErrorMessage="1" sqref="AG8" xr:uid="{8CECA76D-C621-44C8-BEB3-27E432C8C9D3}">
      <formula1>$AB$78:$AK$78</formula1>
    </dataValidation>
  </dataValidations>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ACB2D-2D9D-4ACD-B800-4202E1056A5D}">
  <sheetPr codeName="Sheet31"/>
  <dimension ref="A1:H276"/>
  <sheetViews>
    <sheetView zoomScale="90" zoomScaleNormal="90" workbookViewId="0"/>
  </sheetViews>
  <sheetFormatPr defaultRowHeight="15" x14ac:dyDescent="0.25"/>
  <cols>
    <col min="1" max="1" width="16.42578125" bestFit="1" customWidth="1"/>
    <col min="2" max="2" width="57.85546875" bestFit="1" customWidth="1"/>
    <col min="4" max="4" width="16.42578125" bestFit="1" customWidth="1"/>
    <col min="5" max="5" width="53" bestFit="1" customWidth="1"/>
    <col min="7" max="7" width="16.42578125" bestFit="1" customWidth="1"/>
    <col min="8" max="8" width="32.42578125" bestFit="1" customWidth="1"/>
  </cols>
  <sheetData>
    <row r="1" spans="1:8" x14ac:dyDescent="0.25">
      <c r="A1" s="346" t="s">
        <v>758</v>
      </c>
      <c r="B1" s="346" t="s">
        <v>759</v>
      </c>
      <c r="C1" s="346"/>
      <c r="D1" s="346" t="s">
        <v>758</v>
      </c>
      <c r="E1" s="346" t="s">
        <v>949</v>
      </c>
      <c r="F1" s="346"/>
      <c r="G1" s="346" t="s">
        <v>758</v>
      </c>
      <c r="H1" s="346" t="s">
        <v>952</v>
      </c>
    </row>
    <row r="2" spans="1:8" x14ac:dyDescent="0.25">
      <c r="A2" s="346" t="s">
        <v>760</v>
      </c>
      <c r="B2" s="346" t="s">
        <v>761</v>
      </c>
      <c r="C2" s="346"/>
      <c r="D2" s="346" t="s">
        <v>760</v>
      </c>
      <c r="E2" s="346" t="s">
        <v>950</v>
      </c>
      <c r="F2" s="346"/>
      <c r="G2" s="346" t="s">
        <v>760</v>
      </c>
      <c r="H2" s="346" t="s">
        <v>953</v>
      </c>
    </row>
    <row r="3" spans="1:8" x14ac:dyDescent="0.25">
      <c r="A3" s="346" t="s">
        <v>762</v>
      </c>
      <c r="B3" s="346" t="s">
        <v>763</v>
      </c>
      <c r="C3" s="346"/>
      <c r="D3" s="346" t="s">
        <v>762</v>
      </c>
      <c r="E3" s="346" t="s">
        <v>951</v>
      </c>
      <c r="F3" s="346"/>
      <c r="G3" s="346" t="s">
        <v>762</v>
      </c>
      <c r="H3" s="346" t="s">
        <v>954</v>
      </c>
    </row>
    <row r="4" spans="1:8" x14ac:dyDescent="0.25">
      <c r="A4" s="346" t="s">
        <v>764</v>
      </c>
      <c r="B4" s="346"/>
      <c r="C4" s="346"/>
      <c r="D4" s="346" t="s">
        <v>764</v>
      </c>
      <c r="E4" s="346"/>
      <c r="F4" s="346"/>
      <c r="G4" s="346" t="s">
        <v>764</v>
      </c>
      <c r="H4" s="346"/>
    </row>
    <row r="5" spans="1:8" x14ac:dyDescent="0.25">
      <c r="A5" s="346" t="s">
        <v>765</v>
      </c>
      <c r="B5" s="346" t="s">
        <v>766</v>
      </c>
      <c r="C5" s="346"/>
      <c r="D5" s="346" t="s">
        <v>765</v>
      </c>
      <c r="E5" s="346"/>
      <c r="F5" s="346"/>
      <c r="G5" s="346" t="s">
        <v>765</v>
      </c>
      <c r="H5" s="346" t="s">
        <v>766</v>
      </c>
    </row>
    <row r="6" spans="1:8" x14ac:dyDescent="0.25">
      <c r="A6" s="346" t="s">
        <v>767</v>
      </c>
      <c r="B6" s="350">
        <v>44173</v>
      </c>
      <c r="C6" s="346"/>
      <c r="D6" s="346" t="s">
        <v>767</v>
      </c>
      <c r="E6" s="350">
        <v>44143</v>
      </c>
      <c r="F6" s="346"/>
      <c r="G6" s="346" t="s">
        <v>767</v>
      </c>
      <c r="H6" s="346" t="s">
        <v>955</v>
      </c>
    </row>
    <row r="7" spans="1:8" x14ac:dyDescent="0.25">
      <c r="A7" s="346" t="s">
        <v>768</v>
      </c>
      <c r="B7" s="353">
        <v>44104</v>
      </c>
      <c r="C7" s="346"/>
      <c r="D7" s="346" t="s">
        <v>768</v>
      </c>
      <c r="E7" s="353">
        <v>44089</v>
      </c>
      <c r="F7" s="346"/>
      <c r="G7" s="346" t="s">
        <v>768</v>
      </c>
      <c r="H7" s="353">
        <v>44090</v>
      </c>
    </row>
    <row r="8" spans="1:8" x14ac:dyDescent="0.25">
      <c r="A8" s="346" t="s">
        <v>769</v>
      </c>
      <c r="B8" s="346"/>
      <c r="C8" s="346"/>
      <c r="D8" s="346" t="s">
        <v>769</v>
      </c>
      <c r="E8" s="346"/>
      <c r="F8" s="346"/>
      <c r="G8" s="346" t="s">
        <v>769</v>
      </c>
      <c r="H8" s="346"/>
    </row>
    <row r="9" spans="1:8" x14ac:dyDescent="0.25">
      <c r="A9" s="346" t="s">
        <v>770</v>
      </c>
      <c r="B9" s="346">
        <v>0.1</v>
      </c>
      <c r="C9" s="346"/>
      <c r="D9" s="346" t="s">
        <v>937</v>
      </c>
      <c r="E9" s="346">
        <v>9</v>
      </c>
      <c r="F9" s="346"/>
      <c r="G9" s="346" t="s">
        <v>905</v>
      </c>
      <c r="H9" s="346">
        <v>4.2</v>
      </c>
    </row>
    <row r="10" spans="1:8" x14ac:dyDescent="0.25">
      <c r="A10" s="346" t="s">
        <v>771</v>
      </c>
      <c r="B10" s="346">
        <v>2</v>
      </c>
      <c r="C10" s="346"/>
      <c r="D10" s="346" t="s">
        <v>938</v>
      </c>
      <c r="E10" s="346">
        <v>12</v>
      </c>
      <c r="F10" s="346"/>
      <c r="G10" s="346" t="s">
        <v>906</v>
      </c>
      <c r="H10" s="346">
        <v>4.8</v>
      </c>
    </row>
    <row r="11" spans="1:8" x14ac:dyDescent="0.25">
      <c r="A11" s="346" t="s">
        <v>772</v>
      </c>
      <c r="B11" s="346">
        <v>-0.5</v>
      </c>
      <c r="C11" s="346"/>
      <c r="D11" s="346" t="s">
        <v>939</v>
      </c>
      <c r="E11" s="346">
        <v>15</v>
      </c>
      <c r="F11" s="346"/>
      <c r="G11" s="346" t="s">
        <v>907</v>
      </c>
      <c r="H11" s="346">
        <v>4.5</v>
      </c>
    </row>
    <row r="12" spans="1:8" x14ac:dyDescent="0.25">
      <c r="A12" s="346" t="s">
        <v>773</v>
      </c>
      <c r="B12" s="346">
        <v>1.2</v>
      </c>
      <c r="C12" s="346"/>
      <c r="D12" s="346" t="s">
        <v>940</v>
      </c>
      <c r="E12" s="346">
        <v>6.1</v>
      </c>
      <c r="F12" s="346"/>
      <c r="G12" s="346" t="s">
        <v>908</v>
      </c>
      <c r="H12" s="346">
        <v>4.9000000000000004</v>
      </c>
    </row>
    <row r="13" spans="1:8" x14ac:dyDescent="0.25">
      <c r="A13" s="346" t="s">
        <v>774</v>
      </c>
      <c r="B13" s="346">
        <v>-0.2</v>
      </c>
      <c r="C13" s="346"/>
      <c r="D13" s="346" t="s">
        <v>941</v>
      </c>
      <c r="E13" s="346">
        <v>6.2</v>
      </c>
      <c r="F13" s="346"/>
      <c r="G13" s="346" t="s">
        <v>909</v>
      </c>
      <c r="H13" s="346">
        <v>5.3</v>
      </c>
    </row>
    <row r="14" spans="1:8" x14ac:dyDescent="0.25">
      <c r="A14" s="346" t="s">
        <v>775</v>
      </c>
      <c r="B14" s="346">
        <v>-0.1</v>
      </c>
      <c r="C14" s="346"/>
      <c r="D14" s="346" t="s">
        <v>942</v>
      </c>
      <c r="E14" s="346">
        <v>6</v>
      </c>
      <c r="F14" s="346"/>
      <c r="G14" s="346" t="s">
        <v>910</v>
      </c>
      <c r="H14" s="346">
        <v>5.9</v>
      </c>
    </row>
    <row r="15" spans="1:8" x14ac:dyDescent="0.25">
      <c r="A15" s="346" t="s">
        <v>776</v>
      </c>
      <c r="B15" s="346">
        <v>0.5</v>
      </c>
      <c r="C15" s="346"/>
      <c r="D15" s="346" t="s">
        <v>943</v>
      </c>
      <c r="E15" s="346">
        <v>6.2</v>
      </c>
      <c r="F15" s="346"/>
      <c r="G15" s="346" t="s">
        <v>911</v>
      </c>
      <c r="H15" s="346">
        <v>6.7</v>
      </c>
    </row>
    <row r="16" spans="1:8" x14ac:dyDescent="0.25">
      <c r="A16" s="346" t="s">
        <v>777</v>
      </c>
      <c r="B16" s="346">
        <v>2</v>
      </c>
      <c r="C16" s="346"/>
      <c r="D16" s="346" t="s">
        <v>944</v>
      </c>
      <c r="E16" s="346">
        <v>5.8</v>
      </c>
      <c r="F16" s="346"/>
      <c r="G16" s="346" t="s">
        <v>912</v>
      </c>
      <c r="H16" s="346">
        <v>6.9</v>
      </c>
    </row>
    <row r="17" spans="1:8" x14ac:dyDescent="0.25">
      <c r="A17" s="346" t="s">
        <v>778</v>
      </c>
      <c r="B17" s="346">
        <v>0</v>
      </c>
      <c r="C17" s="346"/>
      <c r="D17" s="346" t="s">
        <v>945</v>
      </c>
      <c r="E17" s="346">
        <v>6</v>
      </c>
      <c r="F17" s="346"/>
      <c r="G17" s="346" t="s">
        <v>913</v>
      </c>
      <c r="H17" s="346">
        <v>5.7</v>
      </c>
    </row>
    <row r="18" spans="1:8" x14ac:dyDescent="0.25">
      <c r="A18" s="346" t="s">
        <v>779</v>
      </c>
      <c r="B18" s="346">
        <v>-0.6</v>
      </c>
      <c r="C18" s="346"/>
      <c r="D18" s="346" t="s">
        <v>946</v>
      </c>
      <c r="E18" s="346">
        <v>5.7</v>
      </c>
      <c r="F18" s="346"/>
      <c r="G18" s="346" t="s">
        <v>914</v>
      </c>
      <c r="H18" s="346">
        <v>6.9</v>
      </c>
    </row>
    <row r="19" spans="1:8" x14ac:dyDescent="0.25">
      <c r="A19" s="346" t="s">
        <v>780</v>
      </c>
      <c r="B19" s="346">
        <v>0.2</v>
      </c>
      <c r="C19" s="346"/>
      <c r="D19" s="346" t="s">
        <v>947</v>
      </c>
      <c r="E19" s="346">
        <v>5.9</v>
      </c>
      <c r="F19" s="346"/>
      <c r="G19" s="346" t="s">
        <v>915</v>
      </c>
      <c r="H19" s="346">
        <v>6.3</v>
      </c>
    </row>
    <row r="20" spans="1:8" x14ac:dyDescent="0.25">
      <c r="A20" s="346" t="s">
        <v>781</v>
      </c>
      <c r="B20" s="346">
        <v>2.2000000000000002</v>
      </c>
      <c r="C20" s="346"/>
      <c r="D20" s="346" t="s">
        <v>948</v>
      </c>
      <c r="E20" s="346">
        <v>5.4</v>
      </c>
      <c r="F20" s="346"/>
      <c r="G20" s="346" t="s">
        <v>916</v>
      </c>
      <c r="H20" s="346">
        <v>5.6</v>
      </c>
    </row>
    <row r="21" spans="1:8" x14ac:dyDescent="0.25">
      <c r="A21" s="346" t="s">
        <v>782</v>
      </c>
      <c r="B21" s="346">
        <v>-2.4</v>
      </c>
      <c r="C21" s="346"/>
      <c r="D21" s="348" t="s">
        <v>564</v>
      </c>
      <c r="E21" s="348">
        <v>12</v>
      </c>
      <c r="F21" s="346"/>
      <c r="G21" s="346" t="s">
        <v>917</v>
      </c>
      <c r="H21" s="346">
        <v>5.8</v>
      </c>
    </row>
    <row r="22" spans="1:8" x14ac:dyDescent="0.25">
      <c r="A22" s="346" t="s">
        <v>783</v>
      </c>
      <c r="B22" s="346">
        <v>2.2000000000000002</v>
      </c>
      <c r="C22" s="346"/>
      <c r="D22" s="346" t="s">
        <v>566</v>
      </c>
      <c r="E22" s="346">
        <v>15</v>
      </c>
      <c r="F22" s="346"/>
      <c r="G22" s="346" t="s">
        <v>918</v>
      </c>
      <c r="H22" s="346">
        <v>3.3</v>
      </c>
    </row>
    <row r="23" spans="1:8" x14ac:dyDescent="0.25">
      <c r="A23" s="346" t="s">
        <v>784</v>
      </c>
      <c r="B23" s="346">
        <v>0.1</v>
      </c>
      <c r="C23" s="346"/>
      <c r="D23" s="346" t="s">
        <v>568</v>
      </c>
      <c r="E23" s="346">
        <v>9</v>
      </c>
      <c r="F23" s="346"/>
      <c r="G23" s="346" t="s">
        <v>919</v>
      </c>
      <c r="H23" s="346">
        <v>2</v>
      </c>
    </row>
    <row r="24" spans="1:8" x14ac:dyDescent="0.25">
      <c r="A24" s="346" t="s">
        <v>785</v>
      </c>
      <c r="B24" s="346">
        <v>0.6</v>
      </c>
      <c r="C24" s="346"/>
      <c r="D24" s="346" t="s">
        <v>569</v>
      </c>
      <c r="E24" s="346">
        <v>4.8</v>
      </c>
      <c r="F24" s="346"/>
      <c r="G24" s="346" t="s">
        <v>920</v>
      </c>
      <c r="H24" s="346">
        <v>1.5</v>
      </c>
    </row>
    <row r="25" spans="1:8" x14ac:dyDescent="0.25">
      <c r="A25" s="346" t="s">
        <v>786</v>
      </c>
      <c r="B25" s="346">
        <v>1.6</v>
      </c>
      <c r="C25" s="346"/>
      <c r="D25" s="346" t="s">
        <v>573</v>
      </c>
      <c r="E25" s="346">
        <v>4.9000000000000004</v>
      </c>
      <c r="F25" s="346"/>
      <c r="G25" s="346" t="s">
        <v>921</v>
      </c>
      <c r="H25" s="346">
        <v>1.1000000000000001</v>
      </c>
    </row>
    <row r="26" spans="1:8" x14ac:dyDescent="0.25">
      <c r="A26" s="346" t="s">
        <v>787</v>
      </c>
      <c r="B26" s="346">
        <v>2.2000000000000002</v>
      </c>
      <c r="C26" s="346"/>
      <c r="D26" s="346" t="s">
        <v>576</v>
      </c>
      <c r="E26" s="346">
        <v>4.7</v>
      </c>
      <c r="F26" s="346"/>
      <c r="G26" s="346" t="s">
        <v>922</v>
      </c>
      <c r="H26" s="346">
        <v>1.3</v>
      </c>
    </row>
    <row r="27" spans="1:8" x14ac:dyDescent="0.25">
      <c r="A27" s="346" t="s">
        <v>788</v>
      </c>
      <c r="B27" s="346">
        <v>2.5</v>
      </c>
      <c r="C27" s="346"/>
      <c r="D27" s="346" t="s">
        <v>578</v>
      </c>
      <c r="E27" s="346">
        <v>5.2</v>
      </c>
      <c r="F27" s="346"/>
      <c r="G27" s="346" t="s">
        <v>923</v>
      </c>
      <c r="H27" s="346">
        <v>1.8</v>
      </c>
    </row>
    <row r="28" spans="1:8" x14ac:dyDescent="0.25">
      <c r="A28" s="346" t="s">
        <v>789</v>
      </c>
      <c r="B28" s="346">
        <v>2.5</v>
      </c>
      <c r="C28" s="346"/>
      <c r="D28" s="346" t="s">
        <v>580</v>
      </c>
      <c r="E28" s="346">
        <v>4.8</v>
      </c>
      <c r="F28" s="346"/>
      <c r="G28" s="346" t="s">
        <v>924</v>
      </c>
      <c r="H28" s="346">
        <v>1.3</v>
      </c>
    </row>
    <row r="29" spans="1:8" x14ac:dyDescent="0.25">
      <c r="A29" s="346" t="s">
        <v>790</v>
      </c>
      <c r="B29" s="346">
        <v>-0.7</v>
      </c>
      <c r="C29" s="346"/>
      <c r="D29" s="346" t="s">
        <v>583</v>
      </c>
      <c r="E29" s="346">
        <v>5</v>
      </c>
      <c r="F29" s="346"/>
      <c r="G29" s="346" t="s">
        <v>925</v>
      </c>
      <c r="H29" s="346">
        <v>1.6</v>
      </c>
    </row>
    <row r="30" spans="1:8" x14ac:dyDescent="0.25">
      <c r="A30" s="346" t="s">
        <v>791</v>
      </c>
      <c r="B30" s="346">
        <v>1.5</v>
      </c>
      <c r="C30" s="346"/>
      <c r="D30" s="346" t="s">
        <v>584</v>
      </c>
      <c r="E30" s="346">
        <v>4.8</v>
      </c>
      <c r="F30" s="346"/>
      <c r="G30" s="346" t="s">
        <v>926</v>
      </c>
      <c r="H30" s="346">
        <v>1.3</v>
      </c>
    </row>
    <row r="31" spans="1:8" x14ac:dyDescent="0.25">
      <c r="A31" s="346" t="s">
        <v>792</v>
      </c>
      <c r="B31" s="346">
        <v>0.6</v>
      </c>
      <c r="C31" s="346"/>
      <c r="D31" s="346" t="s">
        <v>585</v>
      </c>
      <c r="E31" s="346">
        <v>5.2</v>
      </c>
      <c r="F31" s="346"/>
      <c r="G31" s="346" t="s">
        <v>927</v>
      </c>
      <c r="H31" s="346">
        <v>1</v>
      </c>
    </row>
    <row r="32" spans="1:8" x14ac:dyDescent="0.25">
      <c r="A32" s="346" t="s">
        <v>793</v>
      </c>
      <c r="B32" s="346">
        <v>1.6</v>
      </c>
      <c r="C32" s="346"/>
      <c r="D32" s="346" t="s">
        <v>586</v>
      </c>
      <c r="E32" s="346">
        <v>4.7</v>
      </c>
      <c r="F32" s="346"/>
      <c r="G32" s="346" t="s">
        <v>928</v>
      </c>
      <c r="H32" s="346">
        <v>1.3</v>
      </c>
    </row>
    <row r="33" spans="1:8" x14ac:dyDescent="0.25">
      <c r="A33" s="346" t="s">
        <v>794</v>
      </c>
      <c r="B33" s="346">
        <v>0.4</v>
      </c>
      <c r="C33" s="346"/>
      <c r="D33" s="346" t="s">
        <v>588</v>
      </c>
      <c r="E33" s="346">
        <v>4.9000000000000004</v>
      </c>
      <c r="F33" s="346"/>
      <c r="G33" s="346" t="s">
        <v>929</v>
      </c>
      <c r="H33" s="346">
        <v>2.1</v>
      </c>
    </row>
    <row r="34" spans="1:8" x14ac:dyDescent="0.25">
      <c r="A34" s="346" t="s">
        <v>795</v>
      </c>
      <c r="B34" s="346">
        <v>-0.5</v>
      </c>
      <c r="C34" s="346"/>
      <c r="D34" s="346" t="s">
        <v>589</v>
      </c>
      <c r="E34" s="346">
        <v>4.5</v>
      </c>
      <c r="F34" s="346"/>
      <c r="G34" s="346" t="s">
        <v>930</v>
      </c>
      <c r="H34" s="346">
        <v>2</v>
      </c>
    </row>
    <row r="35" spans="1:8" x14ac:dyDescent="0.25">
      <c r="A35" s="346" t="s">
        <v>796</v>
      </c>
      <c r="B35" s="346">
        <v>-0.2</v>
      </c>
      <c r="C35" s="346"/>
      <c r="D35" s="346" t="s">
        <v>590</v>
      </c>
      <c r="E35" s="346">
        <v>5</v>
      </c>
      <c r="F35" s="346"/>
      <c r="G35" s="346" t="s">
        <v>931</v>
      </c>
      <c r="H35" s="346">
        <v>2.5</v>
      </c>
    </row>
    <row r="36" spans="1:8" x14ac:dyDescent="0.25">
      <c r="A36" s="346" t="s">
        <v>797</v>
      </c>
      <c r="B36" s="346">
        <v>0.4</v>
      </c>
      <c r="C36" s="346"/>
      <c r="D36" s="346" t="s">
        <v>591</v>
      </c>
      <c r="E36" s="346">
        <v>4.5</v>
      </c>
      <c r="F36" s="346"/>
      <c r="G36" s="346" t="s">
        <v>932</v>
      </c>
      <c r="H36" s="346">
        <v>2.6</v>
      </c>
    </row>
    <row r="37" spans="1:8" x14ac:dyDescent="0.25">
      <c r="A37" s="346" t="s">
        <v>798</v>
      </c>
      <c r="B37" s="346">
        <v>1</v>
      </c>
      <c r="C37" s="346"/>
      <c r="D37" s="346" t="s">
        <v>593</v>
      </c>
      <c r="E37" s="346">
        <v>4.5999999999999996</v>
      </c>
      <c r="F37" s="346"/>
      <c r="G37" s="346" t="s">
        <v>933</v>
      </c>
      <c r="H37" s="346">
        <v>2.2999999999999998</v>
      </c>
    </row>
    <row r="38" spans="1:8" x14ac:dyDescent="0.25">
      <c r="A38" s="346" t="s">
        <v>799</v>
      </c>
      <c r="B38" s="346">
        <v>0.6</v>
      </c>
      <c r="C38" s="346"/>
      <c r="D38" s="346" t="s">
        <v>594</v>
      </c>
      <c r="E38" s="346">
        <v>4.4000000000000004</v>
      </c>
      <c r="F38" s="346"/>
      <c r="G38" s="346" t="s">
        <v>934</v>
      </c>
      <c r="H38" s="346">
        <v>2</v>
      </c>
    </row>
    <row r="39" spans="1:8" x14ac:dyDescent="0.25">
      <c r="A39" s="346" t="s">
        <v>800</v>
      </c>
      <c r="B39" s="346">
        <v>-0.4</v>
      </c>
      <c r="C39" s="346"/>
      <c r="D39" s="346" t="s">
        <v>597</v>
      </c>
      <c r="E39" s="346">
        <v>4.7</v>
      </c>
      <c r="F39" s="346"/>
      <c r="G39" s="346" t="s">
        <v>935</v>
      </c>
      <c r="H39" s="346">
        <v>1.6</v>
      </c>
    </row>
    <row r="40" spans="1:8" x14ac:dyDescent="0.25">
      <c r="A40" s="346" t="s">
        <v>801</v>
      </c>
      <c r="B40" s="346">
        <v>0.5</v>
      </c>
      <c r="C40" s="346"/>
      <c r="D40" s="346" t="s">
        <v>600</v>
      </c>
      <c r="E40" s="346">
        <v>4.4000000000000004</v>
      </c>
      <c r="F40" s="346"/>
      <c r="G40" s="346" t="s">
        <v>936</v>
      </c>
      <c r="H40" s="346">
        <v>1.9</v>
      </c>
    </row>
    <row r="41" spans="1:8" x14ac:dyDescent="0.25">
      <c r="A41" s="346" t="s">
        <v>802</v>
      </c>
      <c r="B41" s="346">
        <v>4.3</v>
      </c>
      <c r="C41" s="346"/>
      <c r="D41" s="346" t="s">
        <v>604</v>
      </c>
      <c r="E41" s="346">
        <v>4.5</v>
      </c>
      <c r="F41" s="346"/>
      <c r="G41" s="346" t="s">
        <v>937</v>
      </c>
      <c r="H41" s="346">
        <v>1</v>
      </c>
    </row>
    <row r="42" spans="1:8" x14ac:dyDescent="0.25">
      <c r="A42" s="346" t="s">
        <v>803</v>
      </c>
      <c r="B42" s="346">
        <v>0.5</v>
      </c>
      <c r="C42" s="346"/>
      <c r="D42" s="346" t="s">
        <v>606</v>
      </c>
      <c r="E42" s="346">
        <v>4.4000000000000004</v>
      </c>
      <c r="F42" s="346"/>
      <c r="G42" s="346" t="s">
        <v>938</v>
      </c>
      <c r="H42" s="346">
        <v>0.4</v>
      </c>
    </row>
    <row r="43" spans="1:8" x14ac:dyDescent="0.25">
      <c r="A43" s="346" t="s">
        <v>804</v>
      </c>
      <c r="B43" s="346">
        <v>2.2999999999999998</v>
      </c>
      <c r="C43" s="346"/>
      <c r="D43" s="346" t="s">
        <v>609</v>
      </c>
      <c r="E43" s="346">
        <v>4.7</v>
      </c>
      <c r="F43" s="346"/>
      <c r="G43" s="346" t="s">
        <v>939</v>
      </c>
      <c r="H43" s="346">
        <v>1</v>
      </c>
    </row>
    <row r="44" spans="1:8" x14ac:dyDescent="0.25">
      <c r="A44" s="346" t="s">
        <v>805</v>
      </c>
      <c r="B44" s="346">
        <v>0.6</v>
      </c>
      <c r="C44" s="346"/>
      <c r="D44" s="346" t="s">
        <v>612</v>
      </c>
      <c r="E44" s="346">
        <v>4.7</v>
      </c>
      <c r="F44" s="346"/>
      <c r="G44" s="346" t="s">
        <v>940</v>
      </c>
      <c r="H44" s="346">
        <v>0.7</v>
      </c>
    </row>
    <row r="45" spans="1:8" x14ac:dyDescent="0.25">
      <c r="A45" s="346" t="s">
        <v>806</v>
      </c>
      <c r="B45" s="346">
        <v>1.8</v>
      </c>
      <c r="C45" s="346"/>
      <c r="D45" s="346" t="s">
        <v>613</v>
      </c>
      <c r="E45" s="346">
        <v>4.9000000000000004</v>
      </c>
      <c r="F45" s="346"/>
      <c r="G45" s="346" t="s">
        <v>941</v>
      </c>
      <c r="H45" s="346">
        <v>0.3</v>
      </c>
    </row>
    <row r="46" spans="1:8" x14ac:dyDescent="0.25">
      <c r="A46" s="346" t="s">
        <v>807</v>
      </c>
      <c r="B46" s="346">
        <v>0.4</v>
      </c>
      <c r="C46" s="346"/>
      <c r="D46" s="346" t="s">
        <v>615</v>
      </c>
      <c r="E46" s="346">
        <v>5.0999999999999996</v>
      </c>
      <c r="F46" s="346"/>
      <c r="G46" s="346" t="s">
        <v>942</v>
      </c>
      <c r="H46" s="346">
        <v>0.7</v>
      </c>
    </row>
    <row r="47" spans="1:8" x14ac:dyDescent="0.25">
      <c r="A47" s="346" t="s">
        <v>808</v>
      </c>
      <c r="B47" s="346">
        <v>1.5</v>
      </c>
      <c r="C47" s="346"/>
      <c r="D47" s="346" t="s">
        <v>616</v>
      </c>
      <c r="E47" s="346">
        <v>5.4</v>
      </c>
      <c r="F47" s="346"/>
      <c r="G47" s="346" t="s">
        <v>943</v>
      </c>
      <c r="H47" s="346">
        <v>0.1</v>
      </c>
    </row>
    <row r="48" spans="1:8" x14ac:dyDescent="0.25">
      <c r="A48" s="346" t="s">
        <v>809</v>
      </c>
      <c r="B48" s="346">
        <v>-0.3</v>
      </c>
      <c r="C48" s="346"/>
      <c r="D48" s="346" t="s">
        <v>619</v>
      </c>
      <c r="E48" s="346">
        <v>5.0999999999999996</v>
      </c>
      <c r="F48" s="346"/>
      <c r="G48" s="346" t="s">
        <v>944</v>
      </c>
      <c r="H48" s="346">
        <v>0.2</v>
      </c>
    </row>
    <row r="49" spans="1:8" x14ac:dyDescent="0.25">
      <c r="A49" s="346" t="s">
        <v>810</v>
      </c>
      <c r="B49" s="346">
        <v>0.1</v>
      </c>
      <c r="C49" s="346"/>
      <c r="D49" s="346" t="s">
        <v>620</v>
      </c>
      <c r="E49" s="346">
        <v>5.0999999999999996</v>
      </c>
      <c r="F49" s="346"/>
      <c r="G49" s="346" t="s">
        <v>945</v>
      </c>
      <c r="H49" s="346">
        <v>0.4</v>
      </c>
    </row>
    <row r="50" spans="1:8" x14ac:dyDescent="0.25">
      <c r="A50" s="346" t="s">
        <v>811</v>
      </c>
      <c r="B50" s="346">
        <v>0.8</v>
      </c>
      <c r="C50" s="346"/>
      <c r="D50" s="346" t="s">
        <v>621</v>
      </c>
      <c r="E50" s="346">
        <v>4.9000000000000004</v>
      </c>
      <c r="F50" s="346"/>
      <c r="G50" s="346" t="s">
        <v>946</v>
      </c>
      <c r="H50" s="346">
        <v>0.2</v>
      </c>
    </row>
    <row r="51" spans="1:8" x14ac:dyDescent="0.25">
      <c r="A51" s="346" t="s">
        <v>812</v>
      </c>
      <c r="B51" s="346">
        <v>0.6</v>
      </c>
      <c r="C51" s="346"/>
      <c r="D51" s="346" t="s">
        <v>623</v>
      </c>
      <c r="E51" s="346">
        <v>5.3</v>
      </c>
      <c r="F51" s="346"/>
      <c r="G51" s="346" t="s">
        <v>947</v>
      </c>
      <c r="H51" s="346">
        <v>-0.1</v>
      </c>
    </row>
    <row r="52" spans="1:8" x14ac:dyDescent="0.25">
      <c r="A52" s="346" t="s">
        <v>813</v>
      </c>
      <c r="B52" s="346">
        <v>0.2</v>
      </c>
      <c r="C52" s="346"/>
      <c r="D52" s="346" t="s">
        <v>624</v>
      </c>
      <c r="E52" s="346">
        <v>4.8</v>
      </c>
      <c r="F52" s="346"/>
      <c r="G52" s="346" t="s">
        <v>948</v>
      </c>
      <c r="H52" s="346">
        <v>-0.2</v>
      </c>
    </row>
    <row r="53" spans="1:8" x14ac:dyDescent="0.25">
      <c r="A53" s="346" t="s">
        <v>814</v>
      </c>
      <c r="B53" s="346">
        <v>0.6</v>
      </c>
      <c r="C53" s="346"/>
      <c r="D53" s="346" t="s">
        <v>625</v>
      </c>
      <c r="E53" s="346">
        <v>4.9000000000000004</v>
      </c>
      <c r="F53" s="346"/>
      <c r="G53" s="346" t="s">
        <v>564</v>
      </c>
      <c r="H53" s="346">
        <v>-0.9</v>
      </c>
    </row>
    <row r="54" spans="1:8" x14ac:dyDescent="0.25">
      <c r="A54" s="346" t="s">
        <v>815</v>
      </c>
      <c r="B54" s="346">
        <v>0.3</v>
      </c>
      <c r="C54" s="346"/>
      <c r="D54" s="346" t="s">
        <v>626</v>
      </c>
      <c r="E54" s="346">
        <v>5</v>
      </c>
      <c r="F54" s="346"/>
      <c r="G54" s="346" t="s">
        <v>566</v>
      </c>
      <c r="H54" s="346">
        <v>-0.9</v>
      </c>
    </row>
    <row r="55" spans="1:8" x14ac:dyDescent="0.25">
      <c r="A55" s="346" t="s">
        <v>816</v>
      </c>
      <c r="B55" s="346">
        <v>-0.4</v>
      </c>
      <c r="C55" s="346"/>
      <c r="D55" s="346" t="s">
        <v>627</v>
      </c>
      <c r="E55" s="346">
        <v>5.9</v>
      </c>
      <c r="F55" s="346"/>
      <c r="G55" s="346" t="s">
        <v>568</v>
      </c>
      <c r="H55" s="346">
        <v>-0.9</v>
      </c>
    </row>
    <row r="56" spans="1:8" x14ac:dyDescent="0.25">
      <c r="A56" s="346" t="s">
        <v>817</v>
      </c>
      <c r="B56" s="346">
        <v>1.4</v>
      </c>
      <c r="C56" s="346"/>
      <c r="D56" s="346" t="s">
        <v>628</v>
      </c>
      <c r="E56" s="346">
        <v>6</v>
      </c>
      <c r="F56" s="346"/>
      <c r="G56" s="346" t="s">
        <v>569</v>
      </c>
      <c r="H56" s="346">
        <v>-0.7</v>
      </c>
    </row>
    <row r="57" spans="1:8" x14ac:dyDescent="0.25">
      <c r="A57" s="346" t="s">
        <v>818</v>
      </c>
      <c r="B57" s="346">
        <v>1.4</v>
      </c>
      <c r="C57" s="346"/>
      <c r="D57" s="346" t="s">
        <v>629</v>
      </c>
      <c r="E57" s="346">
        <v>6.9</v>
      </c>
      <c r="F57" s="346"/>
      <c r="G57" s="348" t="s">
        <v>573</v>
      </c>
      <c r="H57" s="348">
        <v>-0.9</v>
      </c>
    </row>
    <row r="58" spans="1:8" x14ac:dyDescent="0.25">
      <c r="A58" s="346" t="s">
        <v>819</v>
      </c>
      <c r="B58" s="346">
        <v>0.5</v>
      </c>
      <c r="C58" s="346"/>
      <c r="D58" s="346" t="s">
        <v>630</v>
      </c>
      <c r="E58" s="346">
        <v>7.5</v>
      </c>
      <c r="F58" s="346"/>
      <c r="G58" s="346" t="s">
        <v>576</v>
      </c>
      <c r="H58" s="346">
        <v>-0.5</v>
      </c>
    </row>
    <row r="59" spans="1:8" x14ac:dyDescent="0.25">
      <c r="A59" s="346" t="s">
        <v>820</v>
      </c>
      <c r="B59" s="346">
        <v>0.5</v>
      </c>
      <c r="C59" s="346"/>
      <c r="D59" s="346" t="s">
        <v>631</v>
      </c>
      <c r="E59" s="346">
        <v>7.8</v>
      </c>
      <c r="F59" s="346"/>
      <c r="G59" s="346" t="s">
        <v>578</v>
      </c>
      <c r="H59" s="346">
        <v>-0.6</v>
      </c>
    </row>
    <row r="60" spans="1:8" x14ac:dyDescent="0.25">
      <c r="A60" s="346" t="s">
        <v>821</v>
      </c>
      <c r="B60" s="346">
        <v>3.7</v>
      </c>
      <c r="C60" s="346"/>
      <c r="D60" s="346" t="s">
        <v>632</v>
      </c>
      <c r="E60" s="346">
        <v>7.4</v>
      </c>
      <c r="F60" s="346"/>
      <c r="G60" s="346" t="s">
        <v>580</v>
      </c>
      <c r="H60" s="346">
        <v>-1.1000000000000001</v>
      </c>
    </row>
    <row r="61" spans="1:8" x14ac:dyDescent="0.25">
      <c r="A61" s="346" t="s">
        <v>822</v>
      </c>
      <c r="B61" s="346">
        <v>-0.4</v>
      </c>
      <c r="C61" s="346"/>
      <c r="D61" s="346" t="s">
        <v>633</v>
      </c>
      <c r="E61" s="346">
        <v>7.8</v>
      </c>
      <c r="F61" s="346"/>
      <c r="G61" s="346" t="s">
        <v>583</v>
      </c>
      <c r="H61" s="346">
        <v>-0.5</v>
      </c>
    </row>
    <row r="62" spans="1:8" x14ac:dyDescent="0.25">
      <c r="A62" s="346" t="s">
        <v>823</v>
      </c>
      <c r="B62" s="346">
        <v>2</v>
      </c>
      <c r="C62" s="346"/>
      <c r="D62" s="346" t="s">
        <v>634</v>
      </c>
      <c r="E62" s="346">
        <v>7.5</v>
      </c>
      <c r="F62" s="346"/>
      <c r="G62" s="346" t="s">
        <v>584</v>
      </c>
      <c r="H62" s="346">
        <v>-1.6</v>
      </c>
    </row>
    <row r="63" spans="1:8" x14ac:dyDescent="0.25">
      <c r="A63" s="346" t="s">
        <v>824</v>
      </c>
      <c r="B63" s="346">
        <v>0.4</v>
      </c>
      <c r="C63" s="346"/>
      <c r="D63" s="346" t="s">
        <v>635</v>
      </c>
      <c r="E63" s="346">
        <v>7.8</v>
      </c>
      <c r="F63" s="346"/>
      <c r="G63" s="346" t="s">
        <v>585</v>
      </c>
      <c r="H63" s="346">
        <v>-1.6</v>
      </c>
    </row>
    <row r="64" spans="1:8" x14ac:dyDescent="0.25">
      <c r="A64" s="346" t="s">
        <v>825</v>
      </c>
      <c r="B64" s="346">
        <v>-0.2</v>
      </c>
      <c r="C64" s="346"/>
      <c r="D64" s="346" t="s">
        <v>636</v>
      </c>
      <c r="E64" s="346">
        <v>7.6</v>
      </c>
      <c r="F64" s="346"/>
      <c r="G64" s="346" t="s">
        <v>586</v>
      </c>
      <c r="H64" s="346">
        <v>-1.1000000000000001</v>
      </c>
    </row>
    <row r="65" spans="1:8" x14ac:dyDescent="0.25">
      <c r="A65" s="346" t="s">
        <v>826</v>
      </c>
      <c r="B65" s="346">
        <v>0.8</v>
      </c>
      <c r="C65" s="346"/>
      <c r="D65" s="346" t="s">
        <v>637</v>
      </c>
      <c r="E65" s="346">
        <v>7.6</v>
      </c>
      <c r="F65" s="346"/>
      <c r="G65" s="346" t="s">
        <v>588</v>
      </c>
      <c r="H65" s="346">
        <v>-1</v>
      </c>
    </row>
    <row r="66" spans="1:8" x14ac:dyDescent="0.25">
      <c r="A66" s="346" t="s">
        <v>827</v>
      </c>
      <c r="B66" s="346">
        <v>0.6</v>
      </c>
      <c r="C66" s="346"/>
      <c r="D66" s="346" t="s">
        <v>638</v>
      </c>
      <c r="E66" s="346">
        <v>7.7</v>
      </c>
      <c r="F66" s="346"/>
      <c r="G66" s="346" t="s">
        <v>589</v>
      </c>
      <c r="H66" s="346">
        <v>-0.8</v>
      </c>
    </row>
    <row r="67" spans="1:8" x14ac:dyDescent="0.25">
      <c r="A67" s="346" t="s">
        <v>828</v>
      </c>
      <c r="B67" s="346">
        <v>0.5</v>
      </c>
      <c r="C67" s="346"/>
      <c r="D67" s="346" t="s">
        <v>639</v>
      </c>
      <c r="E67" s="346">
        <v>8.4</v>
      </c>
      <c r="F67" s="346"/>
      <c r="G67" s="346" t="s">
        <v>590</v>
      </c>
      <c r="H67" s="346">
        <v>-0.3</v>
      </c>
    </row>
    <row r="68" spans="1:8" x14ac:dyDescent="0.25">
      <c r="A68" s="346" t="s">
        <v>829</v>
      </c>
      <c r="B68" s="346">
        <v>-0.6</v>
      </c>
      <c r="C68" s="346"/>
      <c r="D68" s="346" t="s">
        <v>640</v>
      </c>
      <c r="E68" s="346">
        <v>8</v>
      </c>
      <c r="F68" s="346"/>
      <c r="G68" s="346" t="s">
        <v>591</v>
      </c>
      <c r="H68" s="346">
        <v>-0.2</v>
      </c>
    </row>
    <row r="69" spans="1:8" x14ac:dyDescent="0.25">
      <c r="A69" s="346" t="s">
        <v>830</v>
      </c>
      <c r="B69" s="346">
        <v>2.4</v>
      </c>
      <c r="C69" s="346"/>
      <c r="D69" s="346" t="s">
        <v>641</v>
      </c>
      <c r="E69" s="346">
        <v>7.9</v>
      </c>
      <c r="F69" s="346"/>
      <c r="G69" s="346" t="s">
        <v>593</v>
      </c>
      <c r="H69" s="346">
        <v>-0.4</v>
      </c>
    </row>
    <row r="70" spans="1:8" x14ac:dyDescent="0.25">
      <c r="A70" s="346" t="s">
        <v>831</v>
      </c>
      <c r="B70" s="346">
        <v>1</v>
      </c>
      <c r="C70" s="346"/>
      <c r="D70" s="346" t="s">
        <v>642</v>
      </c>
      <c r="E70" s="346">
        <v>7.8</v>
      </c>
      <c r="F70" s="346"/>
      <c r="G70" s="346" t="s">
        <v>594</v>
      </c>
      <c r="H70" s="346">
        <v>-0.2</v>
      </c>
    </row>
    <row r="71" spans="1:8" x14ac:dyDescent="0.25">
      <c r="A71" s="346" t="s">
        <v>832</v>
      </c>
      <c r="B71" s="346">
        <v>0.9</v>
      </c>
      <c r="C71" s="346"/>
      <c r="D71" s="346" t="s">
        <v>643</v>
      </c>
      <c r="E71" s="346">
        <v>7.9</v>
      </c>
      <c r="F71" s="346"/>
      <c r="G71" s="346" t="s">
        <v>597</v>
      </c>
      <c r="H71" s="346">
        <v>-0.6</v>
      </c>
    </row>
    <row r="72" spans="1:8" x14ac:dyDescent="0.25">
      <c r="A72" s="346" t="s">
        <v>833</v>
      </c>
      <c r="B72" s="346">
        <v>-0.6</v>
      </c>
      <c r="C72" s="346"/>
      <c r="D72" s="346" t="s">
        <v>644</v>
      </c>
      <c r="E72" s="346">
        <v>7.4</v>
      </c>
      <c r="F72" s="346"/>
      <c r="G72" s="346" t="s">
        <v>600</v>
      </c>
      <c r="H72" s="346">
        <v>-0.3</v>
      </c>
    </row>
    <row r="73" spans="1:8" x14ac:dyDescent="0.25">
      <c r="A73" s="346" t="s">
        <v>834</v>
      </c>
      <c r="B73" s="346">
        <v>1.8</v>
      </c>
      <c r="C73" s="346"/>
      <c r="D73" s="346" t="s">
        <v>645</v>
      </c>
      <c r="E73" s="346">
        <v>7.5</v>
      </c>
      <c r="F73" s="346"/>
      <c r="G73" s="346" t="s">
        <v>604</v>
      </c>
      <c r="H73" s="346">
        <v>-0.1</v>
      </c>
    </row>
    <row r="74" spans="1:8" x14ac:dyDescent="0.25">
      <c r="A74" s="346" t="s">
        <v>835</v>
      </c>
      <c r="B74" s="346">
        <v>1.8</v>
      </c>
      <c r="C74" s="346"/>
      <c r="D74" s="346" t="s">
        <v>646</v>
      </c>
      <c r="E74" s="346">
        <v>7.5</v>
      </c>
      <c r="F74" s="346"/>
      <c r="G74" s="346" t="s">
        <v>606</v>
      </c>
      <c r="H74" s="346">
        <v>0.1</v>
      </c>
    </row>
    <row r="75" spans="1:8" x14ac:dyDescent="0.25">
      <c r="A75" s="346" t="s">
        <v>836</v>
      </c>
      <c r="B75" s="346">
        <v>0.4</v>
      </c>
      <c r="C75" s="346"/>
      <c r="D75" s="346" t="s">
        <v>647</v>
      </c>
      <c r="E75" s="346">
        <v>7.6</v>
      </c>
      <c r="F75" s="346"/>
      <c r="G75" s="346" t="s">
        <v>609</v>
      </c>
      <c r="H75" s="346">
        <v>0.6</v>
      </c>
    </row>
    <row r="76" spans="1:8" x14ac:dyDescent="0.25">
      <c r="A76" s="346" t="s">
        <v>837</v>
      </c>
      <c r="B76" s="346">
        <v>0.1</v>
      </c>
      <c r="C76" s="346"/>
      <c r="D76" s="346" t="s">
        <v>648</v>
      </c>
      <c r="E76" s="346">
        <v>6.9</v>
      </c>
      <c r="F76" s="346"/>
      <c r="G76" s="346" t="s">
        <v>612</v>
      </c>
      <c r="H76" s="346">
        <v>0.4</v>
      </c>
    </row>
    <row r="77" spans="1:8" x14ac:dyDescent="0.25">
      <c r="A77" s="346" t="s">
        <v>838</v>
      </c>
      <c r="B77" s="346">
        <v>2.7</v>
      </c>
      <c r="C77" s="346"/>
      <c r="D77" s="346" t="s">
        <v>649</v>
      </c>
      <c r="E77" s="346">
        <v>6.5</v>
      </c>
      <c r="F77" s="346"/>
      <c r="G77" s="346" t="s">
        <v>613</v>
      </c>
      <c r="H77" s="346">
        <v>0.4</v>
      </c>
    </row>
    <row r="78" spans="1:8" x14ac:dyDescent="0.25">
      <c r="A78" s="346" t="s">
        <v>839</v>
      </c>
      <c r="B78" s="346">
        <v>0.3</v>
      </c>
      <c r="C78" s="346"/>
      <c r="D78" s="346" t="s">
        <v>650</v>
      </c>
      <c r="E78" s="346">
        <v>6</v>
      </c>
      <c r="F78" s="346"/>
      <c r="G78" s="346" t="s">
        <v>615</v>
      </c>
      <c r="H78" s="346">
        <v>1.2</v>
      </c>
    </row>
    <row r="79" spans="1:8" x14ac:dyDescent="0.25">
      <c r="A79" s="346" t="s">
        <v>840</v>
      </c>
      <c r="B79" s="346">
        <v>1.6</v>
      </c>
      <c r="C79" s="346"/>
      <c r="D79" s="346" t="s">
        <v>651</v>
      </c>
      <c r="E79" s="346">
        <v>6.1</v>
      </c>
      <c r="F79" s="346"/>
      <c r="G79" s="346" t="s">
        <v>616</v>
      </c>
      <c r="H79" s="346">
        <v>1.9</v>
      </c>
    </row>
    <row r="80" spans="1:8" x14ac:dyDescent="0.25">
      <c r="A80" s="346" t="s">
        <v>841</v>
      </c>
      <c r="B80" s="346">
        <v>5</v>
      </c>
      <c r="C80" s="346"/>
      <c r="D80" s="346" t="s">
        <v>652</v>
      </c>
      <c r="E80" s="346">
        <v>5.4</v>
      </c>
      <c r="F80" s="346"/>
      <c r="G80" s="346" t="s">
        <v>619</v>
      </c>
      <c r="H80" s="346">
        <v>1.9</v>
      </c>
    </row>
    <row r="81" spans="1:8" x14ac:dyDescent="0.25">
      <c r="A81" s="346" t="s">
        <v>842</v>
      </c>
      <c r="B81" s="346">
        <v>0.1</v>
      </c>
      <c r="C81" s="346"/>
      <c r="D81" s="346" t="s">
        <v>653</v>
      </c>
      <c r="E81" s="346">
        <v>5.3</v>
      </c>
      <c r="F81" s="346"/>
      <c r="G81" s="346" t="s">
        <v>620</v>
      </c>
      <c r="H81" s="346">
        <v>2.2000000000000002</v>
      </c>
    </row>
    <row r="82" spans="1:8" x14ac:dyDescent="0.25">
      <c r="A82" s="346" t="s">
        <v>843</v>
      </c>
      <c r="B82" s="346">
        <v>-0.9</v>
      </c>
      <c r="C82" s="346"/>
      <c r="D82" s="346" t="s">
        <v>654</v>
      </c>
      <c r="E82" s="346">
        <v>5.3</v>
      </c>
      <c r="F82" s="346"/>
      <c r="G82" s="346" t="s">
        <v>621</v>
      </c>
      <c r="H82" s="346">
        <v>1.7</v>
      </c>
    </row>
    <row r="83" spans="1:8" x14ac:dyDescent="0.25">
      <c r="A83" s="346" t="s">
        <v>844</v>
      </c>
      <c r="B83" s="346">
        <v>-0.4</v>
      </c>
      <c r="C83" s="346"/>
      <c r="D83" s="346" t="s">
        <v>655</v>
      </c>
      <c r="E83" s="346">
        <v>5.3</v>
      </c>
      <c r="F83" s="346"/>
      <c r="G83" s="346" t="s">
        <v>623</v>
      </c>
      <c r="H83" s="346">
        <v>0.3</v>
      </c>
    </row>
    <row r="84" spans="1:8" x14ac:dyDescent="0.25">
      <c r="A84" s="346" t="s">
        <v>845</v>
      </c>
      <c r="B84" s="346">
        <v>-2.7</v>
      </c>
      <c r="C84" s="346"/>
      <c r="D84" s="346" t="s">
        <v>656</v>
      </c>
      <c r="E84" s="346">
        <v>4.7</v>
      </c>
      <c r="F84" s="346"/>
      <c r="G84" s="346" t="s">
        <v>624</v>
      </c>
      <c r="H84" s="346">
        <v>1.1000000000000001</v>
      </c>
    </row>
    <row r="85" spans="1:8" x14ac:dyDescent="0.25">
      <c r="A85" s="346" t="s">
        <v>846</v>
      </c>
      <c r="B85" s="346">
        <v>1.4</v>
      </c>
      <c r="C85" s="346"/>
      <c r="D85" s="346" t="s">
        <v>657</v>
      </c>
      <c r="E85" s="346">
        <v>4.9000000000000004</v>
      </c>
      <c r="F85" s="346"/>
      <c r="G85" s="346" t="s">
        <v>625</v>
      </c>
      <c r="H85" s="346">
        <v>1.6</v>
      </c>
    </row>
    <row r="86" spans="1:8" x14ac:dyDescent="0.25">
      <c r="A86" s="346" t="s">
        <v>847</v>
      </c>
      <c r="B86" s="346">
        <v>0.6</v>
      </c>
      <c r="C86" s="346"/>
      <c r="D86" s="346" t="s">
        <v>658</v>
      </c>
      <c r="E86" s="346">
        <v>4.7</v>
      </c>
      <c r="F86" s="346"/>
      <c r="G86" s="346" t="s">
        <v>626</v>
      </c>
      <c r="H86" s="346">
        <v>3</v>
      </c>
    </row>
    <row r="87" spans="1:8" x14ac:dyDescent="0.25">
      <c r="A87" s="346" t="s">
        <v>848</v>
      </c>
      <c r="B87" s="346">
        <v>-1.4</v>
      </c>
      <c r="C87" s="346"/>
      <c r="D87" s="346" t="s">
        <v>659</v>
      </c>
      <c r="E87" s="346">
        <v>4.9000000000000004</v>
      </c>
      <c r="F87" s="346"/>
      <c r="G87" s="346" t="s">
        <v>627</v>
      </c>
      <c r="H87" s="346">
        <v>5.2</v>
      </c>
    </row>
    <row r="88" spans="1:8" x14ac:dyDescent="0.25">
      <c r="A88" s="346" t="s">
        <v>849</v>
      </c>
      <c r="B88" s="346">
        <v>0.1</v>
      </c>
      <c r="C88" s="346"/>
      <c r="D88" s="346" t="s">
        <v>660</v>
      </c>
      <c r="E88" s="346">
        <v>4.5</v>
      </c>
      <c r="F88" s="346"/>
      <c r="G88" s="346" t="s">
        <v>628</v>
      </c>
      <c r="H88" s="346">
        <v>3.4</v>
      </c>
    </row>
    <row r="89" spans="1:8" x14ac:dyDescent="0.25">
      <c r="A89" s="346" t="s">
        <v>850</v>
      </c>
      <c r="B89" s="346">
        <v>-1.6</v>
      </c>
      <c r="C89" s="346"/>
      <c r="D89" s="346" t="s">
        <v>661</v>
      </c>
      <c r="E89" s="346">
        <v>4.3</v>
      </c>
      <c r="F89" s="346"/>
      <c r="G89" s="346" t="s">
        <v>629</v>
      </c>
      <c r="H89" s="346">
        <v>2.1</v>
      </c>
    </row>
    <row r="90" spans="1:8" x14ac:dyDescent="0.25">
      <c r="A90" s="346" t="s">
        <v>851</v>
      </c>
      <c r="B90" s="346">
        <v>-0.3</v>
      </c>
      <c r="C90" s="346"/>
      <c r="D90" s="346" t="s">
        <v>662</v>
      </c>
      <c r="E90" s="346">
        <v>4.2</v>
      </c>
      <c r="F90" s="346"/>
      <c r="G90" s="346" t="s">
        <v>630</v>
      </c>
      <c r="H90" s="346">
        <v>1</v>
      </c>
    </row>
    <row r="91" spans="1:8" x14ac:dyDescent="0.25">
      <c r="A91" s="346" t="s">
        <v>852</v>
      </c>
      <c r="B91" s="346">
        <v>1.1000000000000001</v>
      </c>
      <c r="C91" s="346"/>
      <c r="D91" s="346" t="s">
        <v>663</v>
      </c>
      <c r="E91" s="346">
        <v>4.4000000000000004</v>
      </c>
      <c r="F91" s="346"/>
      <c r="G91" s="346" t="s">
        <v>631</v>
      </c>
      <c r="H91" s="346">
        <v>0.4</v>
      </c>
    </row>
    <row r="92" spans="1:8" x14ac:dyDescent="0.25">
      <c r="A92" s="346" t="s">
        <v>853</v>
      </c>
      <c r="B92" s="346">
        <v>1.6</v>
      </c>
      <c r="C92" s="346"/>
      <c r="D92" s="346" t="s">
        <v>664</v>
      </c>
      <c r="E92" s="346">
        <v>4.0999999999999996</v>
      </c>
      <c r="F92" s="346"/>
      <c r="G92" s="346" t="s">
        <v>632</v>
      </c>
      <c r="H92" s="346">
        <v>1.8</v>
      </c>
    </row>
    <row r="93" spans="1:8" x14ac:dyDescent="0.25">
      <c r="A93" s="346" t="s">
        <v>854</v>
      </c>
      <c r="B93" s="346">
        <v>-0.2</v>
      </c>
      <c r="C93" s="346"/>
      <c r="D93" s="346" t="s">
        <v>665</v>
      </c>
      <c r="E93" s="346">
        <v>4</v>
      </c>
      <c r="F93" s="346"/>
      <c r="G93" s="346" t="s">
        <v>633</v>
      </c>
      <c r="H93" s="346">
        <v>3.4</v>
      </c>
    </row>
    <row r="94" spans="1:8" x14ac:dyDescent="0.25">
      <c r="A94" s="346" t="s">
        <v>855</v>
      </c>
      <c r="B94" s="346">
        <v>1.3</v>
      </c>
      <c r="C94" s="346"/>
      <c r="D94" s="346" t="s">
        <v>666</v>
      </c>
      <c r="E94" s="346">
        <v>3.8</v>
      </c>
      <c r="F94" s="346"/>
      <c r="G94" s="346" t="s">
        <v>634</v>
      </c>
      <c r="H94" s="346">
        <v>3.4</v>
      </c>
    </row>
    <row r="95" spans="1:8" x14ac:dyDescent="0.25">
      <c r="A95" s="346" t="s">
        <v>856</v>
      </c>
      <c r="B95" s="346">
        <v>2.1</v>
      </c>
      <c r="C95" s="346"/>
      <c r="D95" s="346" t="s">
        <v>667</v>
      </c>
      <c r="E95" s="346">
        <v>4.0999999999999996</v>
      </c>
      <c r="F95" s="346"/>
      <c r="G95" s="346" t="s">
        <v>635</v>
      </c>
      <c r="H95" s="346">
        <v>2.5</v>
      </c>
    </row>
    <row r="96" spans="1:8" x14ac:dyDescent="0.25">
      <c r="A96" s="346" t="s">
        <v>857</v>
      </c>
      <c r="B96" s="346">
        <v>0</v>
      </c>
      <c r="C96" s="346"/>
      <c r="D96" s="346" t="s">
        <v>668</v>
      </c>
      <c r="E96" s="346">
        <v>3.8</v>
      </c>
      <c r="F96" s="346"/>
      <c r="G96" s="346" t="s">
        <v>636</v>
      </c>
      <c r="H96" s="346">
        <v>3</v>
      </c>
    </row>
    <row r="97" spans="1:8" x14ac:dyDescent="0.25">
      <c r="A97" s="346" t="s">
        <v>858</v>
      </c>
      <c r="B97" s="346">
        <v>-0.7</v>
      </c>
      <c r="C97" s="346"/>
      <c r="D97" s="346" t="s">
        <v>669</v>
      </c>
      <c r="E97" s="346">
        <v>3.6</v>
      </c>
      <c r="F97" s="346"/>
      <c r="G97" s="346" t="s">
        <v>637</v>
      </c>
      <c r="H97" s="346">
        <v>4.0999999999999996</v>
      </c>
    </row>
    <row r="98" spans="1:8" x14ac:dyDescent="0.25">
      <c r="A98" s="346" t="s">
        <v>859</v>
      </c>
      <c r="B98" s="346">
        <v>0.7</v>
      </c>
      <c r="C98" s="346"/>
      <c r="D98" s="346" t="s">
        <v>670</v>
      </c>
      <c r="E98" s="346">
        <v>3.6</v>
      </c>
      <c r="F98" s="346"/>
      <c r="G98" s="346" t="s">
        <v>638</v>
      </c>
      <c r="H98" s="346">
        <v>4.2</v>
      </c>
    </row>
    <row r="99" spans="1:8" x14ac:dyDescent="0.25">
      <c r="A99" s="346" t="s">
        <v>860</v>
      </c>
      <c r="B99" s="346">
        <v>1.7</v>
      </c>
      <c r="C99" s="346"/>
      <c r="D99" s="346" t="s">
        <v>671</v>
      </c>
      <c r="E99" s="346">
        <v>4</v>
      </c>
      <c r="F99" s="346"/>
      <c r="G99" s="346" t="s">
        <v>639</v>
      </c>
      <c r="H99" s="346">
        <v>5</v>
      </c>
    </row>
    <row r="100" spans="1:8" x14ac:dyDescent="0.25">
      <c r="A100" s="346" t="s">
        <v>861</v>
      </c>
      <c r="B100" s="346">
        <v>0.9</v>
      </c>
      <c r="C100" s="346"/>
      <c r="D100" s="346" t="s">
        <v>672</v>
      </c>
      <c r="E100" s="346">
        <v>3.7</v>
      </c>
      <c r="F100" s="346"/>
      <c r="G100" s="346" t="s">
        <v>640</v>
      </c>
      <c r="H100" s="346">
        <v>4.9000000000000004</v>
      </c>
    </row>
    <row r="101" spans="1:8" x14ac:dyDescent="0.25">
      <c r="A101" s="346" t="s">
        <v>862</v>
      </c>
      <c r="B101" s="346">
        <v>1.2</v>
      </c>
      <c r="C101" s="346"/>
      <c r="D101" s="346" t="s">
        <v>673</v>
      </c>
      <c r="E101" s="346">
        <v>3.8</v>
      </c>
      <c r="F101" s="346"/>
      <c r="G101" s="346" t="s">
        <v>641</v>
      </c>
      <c r="H101" s="346">
        <v>3.5</v>
      </c>
    </row>
    <row r="102" spans="1:8" x14ac:dyDescent="0.25">
      <c r="A102" s="346" t="s">
        <v>863</v>
      </c>
      <c r="B102" s="346">
        <v>1.4</v>
      </c>
      <c r="C102" s="346"/>
      <c r="D102" s="346" t="s">
        <v>674</v>
      </c>
      <c r="E102" s="346">
        <v>3.7</v>
      </c>
      <c r="F102" s="346"/>
      <c r="G102" s="346" t="s">
        <v>642</v>
      </c>
      <c r="H102" s="346">
        <v>2.4</v>
      </c>
    </row>
    <row r="103" spans="1:8" x14ac:dyDescent="0.25">
      <c r="A103" s="346" t="s">
        <v>864</v>
      </c>
      <c r="B103" s="346">
        <v>0.9</v>
      </c>
      <c r="C103" s="346"/>
      <c r="D103" s="357" t="s">
        <v>675</v>
      </c>
      <c r="E103" s="346">
        <v>4.7</v>
      </c>
      <c r="F103" s="346"/>
      <c r="G103" s="346" t="s">
        <v>643</v>
      </c>
      <c r="H103" s="346">
        <v>1.7</v>
      </c>
    </row>
    <row r="104" spans="1:8" x14ac:dyDescent="0.25">
      <c r="A104" s="346" t="s">
        <v>865</v>
      </c>
      <c r="B104" s="346">
        <v>-0.4</v>
      </c>
      <c r="C104" s="346"/>
      <c r="D104" s="356" t="s">
        <v>676</v>
      </c>
      <c r="E104" s="346">
        <v>4.8</v>
      </c>
      <c r="F104" s="346"/>
      <c r="G104" s="346" t="s">
        <v>644</v>
      </c>
      <c r="H104" s="346">
        <v>1.7</v>
      </c>
    </row>
    <row r="105" spans="1:8" x14ac:dyDescent="0.25">
      <c r="A105" s="346" t="s">
        <v>866</v>
      </c>
      <c r="B105" s="346">
        <v>4.4000000000000004</v>
      </c>
      <c r="C105" s="346"/>
      <c r="D105" s="356" t="s">
        <v>677</v>
      </c>
      <c r="E105" s="346">
        <v>4.4000000000000004</v>
      </c>
      <c r="F105" s="346"/>
      <c r="G105" s="346" t="s">
        <v>645</v>
      </c>
      <c r="H105" s="346">
        <v>1.9</v>
      </c>
    </row>
    <row r="106" spans="1:8" x14ac:dyDescent="0.25">
      <c r="A106" s="346" t="s">
        <v>867</v>
      </c>
      <c r="B106" s="346">
        <v>-2.2000000000000002</v>
      </c>
      <c r="C106" s="346"/>
      <c r="D106" s="356" t="s">
        <v>678</v>
      </c>
      <c r="E106" s="346">
        <v>4.2</v>
      </c>
      <c r="F106" s="346"/>
      <c r="G106" s="346" t="s">
        <v>646</v>
      </c>
      <c r="H106" s="346">
        <v>2</v>
      </c>
    </row>
    <row r="107" spans="1:8" x14ac:dyDescent="0.25">
      <c r="A107" s="346" t="s">
        <v>868</v>
      </c>
      <c r="B107" s="346">
        <v>1.1000000000000001</v>
      </c>
      <c r="C107" s="346"/>
      <c r="D107" s="356" t="s">
        <v>679</v>
      </c>
      <c r="E107" s="346">
        <v>4.92</v>
      </c>
      <c r="F107" s="346"/>
      <c r="G107" s="346" t="s">
        <v>647</v>
      </c>
      <c r="H107" s="346">
        <v>2.2999999999999998</v>
      </c>
    </row>
    <row r="108" spans="1:8" x14ac:dyDescent="0.25">
      <c r="A108" s="346" t="s">
        <v>869</v>
      </c>
      <c r="B108" s="346">
        <v>-0.9</v>
      </c>
      <c r="C108" s="346"/>
      <c r="D108" s="406" t="s">
        <v>680</v>
      </c>
      <c r="E108" s="407">
        <v>3.8</v>
      </c>
      <c r="F108" s="346"/>
      <c r="G108" s="346" t="s">
        <v>648</v>
      </c>
      <c r="H108" s="346">
        <v>1.7</v>
      </c>
    </row>
    <row r="109" spans="1:8" x14ac:dyDescent="0.25">
      <c r="A109" s="346" t="s">
        <v>870</v>
      </c>
      <c r="B109" s="346">
        <v>-2</v>
      </c>
      <c r="C109" s="346"/>
      <c r="D109" s="346" t="s">
        <v>681</v>
      </c>
      <c r="E109" s="346">
        <v>3.9285590107467714</v>
      </c>
      <c r="F109" s="346"/>
      <c r="G109" s="346" t="s">
        <v>649</v>
      </c>
      <c r="H109" s="346">
        <v>1.2</v>
      </c>
    </row>
    <row r="110" spans="1:8" x14ac:dyDescent="0.25">
      <c r="A110" s="346" t="s">
        <v>871</v>
      </c>
      <c r="B110" s="346">
        <v>-0.1</v>
      </c>
      <c r="C110" s="346"/>
      <c r="D110" s="346"/>
      <c r="E110" s="346"/>
      <c r="F110" s="346"/>
      <c r="G110" s="346" t="s">
        <v>650</v>
      </c>
      <c r="H110" s="346">
        <v>1</v>
      </c>
    </row>
    <row r="111" spans="1:8" x14ac:dyDescent="0.25">
      <c r="A111" s="346" t="s">
        <v>872</v>
      </c>
      <c r="B111" s="346">
        <v>-1.1000000000000001</v>
      </c>
      <c r="C111" s="346"/>
      <c r="D111" s="346"/>
      <c r="E111" s="346"/>
      <c r="F111" s="346"/>
      <c r="G111" s="346" t="s">
        <v>651</v>
      </c>
      <c r="H111" s="346">
        <v>0.5</v>
      </c>
    </row>
    <row r="112" spans="1:8" x14ac:dyDescent="0.25">
      <c r="A112" s="346" t="s">
        <v>873</v>
      </c>
      <c r="B112" s="346">
        <v>-0.1</v>
      </c>
      <c r="C112" s="346"/>
      <c r="D112" s="346"/>
      <c r="E112" s="346"/>
      <c r="F112" s="346"/>
      <c r="G112" s="346" t="s">
        <v>652</v>
      </c>
      <c r="H112" s="346">
        <v>-0.3</v>
      </c>
    </row>
    <row r="113" spans="1:8" x14ac:dyDescent="0.25">
      <c r="A113" s="346" t="s">
        <v>874</v>
      </c>
      <c r="B113" s="346">
        <v>0.2</v>
      </c>
      <c r="C113" s="346"/>
      <c r="D113" s="346"/>
      <c r="E113" s="346"/>
      <c r="F113" s="346"/>
      <c r="G113" s="346" t="s">
        <v>653</v>
      </c>
      <c r="H113" s="346">
        <v>-1.8</v>
      </c>
    </row>
    <row r="114" spans="1:8" x14ac:dyDescent="0.25">
      <c r="A114" s="346" t="s">
        <v>875</v>
      </c>
      <c r="B114" s="346">
        <v>1.1000000000000001</v>
      </c>
      <c r="C114" s="346"/>
      <c r="D114" s="346"/>
      <c r="E114" s="346"/>
      <c r="F114" s="346"/>
      <c r="G114" s="346" t="s">
        <v>654</v>
      </c>
      <c r="H114" s="346">
        <v>-1.9</v>
      </c>
    </row>
    <row r="115" spans="1:8" x14ac:dyDescent="0.25">
      <c r="A115" s="346" t="s">
        <v>876</v>
      </c>
      <c r="B115" s="346">
        <v>0.1</v>
      </c>
      <c r="C115" s="346"/>
      <c r="D115" s="346"/>
      <c r="E115" s="346"/>
      <c r="F115" s="346"/>
      <c r="G115" s="346" t="s">
        <v>655</v>
      </c>
      <c r="H115" s="346">
        <v>-2.1</v>
      </c>
    </row>
    <row r="116" spans="1:8" x14ac:dyDescent="0.25">
      <c r="A116" s="346" t="s">
        <v>877</v>
      </c>
      <c r="B116" s="346">
        <v>0.2</v>
      </c>
      <c r="C116" s="346"/>
      <c r="D116" s="346"/>
      <c r="E116" s="346"/>
      <c r="F116" s="346"/>
      <c r="G116" s="346" t="s">
        <v>656</v>
      </c>
      <c r="H116" s="346">
        <v>-2.1</v>
      </c>
    </row>
    <row r="117" spans="1:8" x14ac:dyDescent="0.25">
      <c r="A117" s="346" t="s">
        <v>878</v>
      </c>
      <c r="B117" s="346">
        <v>1.1000000000000001</v>
      </c>
      <c r="C117" s="346"/>
      <c r="D117" s="346"/>
      <c r="E117" s="346"/>
      <c r="F117" s="346"/>
      <c r="G117" s="346" t="s">
        <v>657</v>
      </c>
      <c r="H117" s="346">
        <v>-1.6</v>
      </c>
    </row>
    <row r="118" spans="1:8" x14ac:dyDescent="0.25">
      <c r="A118" s="346" t="s">
        <v>879</v>
      </c>
      <c r="B118" s="346">
        <v>0.3</v>
      </c>
      <c r="C118" s="346"/>
      <c r="D118" s="346"/>
      <c r="E118" s="346"/>
      <c r="F118" s="346"/>
      <c r="G118" s="346" t="s">
        <v>658</v>
      </c>
      <c r="H118" s="346">
        <v>-1.7</v>
      </c>
    </row>
    <row r="119" spans="1:8" x14ac:dyDescent="0.25">
      <c r="A119" s="346" t="s">
        <v>880</v>
      </c>
      <c r="B119" s="346">
        <v>0.7</v>
      </c>
      <c r="C119" s="346"/>
      <c r="D119" s="346"/>
      <c r="E119" s="346"/>
      <c r="F119" s="346"/>
      <c r="G119" s="346" t="s">
        <v>659</v>
      </c>
      <c r="H119" s="346">
        <v>-1.1000000000000001</v>
      </c>
    </row>
    <row r="120" spans="1:8" x14ac:dyDescent="0.25">
      <c r="A120" s="346" t="s">
        <v>881</v>
      </c>
      <c r="B120" s="346">
        <v>1.8</v>
      </c>
      <c r="C120" s="346"/>
      <c r="D120" s="346"/>
      <c r="E120" s="346"/>
      <c r="F120" s="346"/>
      <c r="G120" s="346" t="s">
        <v>660</v>
      </c>
      <c r="H120" s="346">
        <v>0.2</v>
      </c>
    </row>
    <row r="121" spans="1:8" x14ac:dyDescent="0.25">
      <c r="A121" s="346" t="s">
        <v>882</v>
      </c>
      <c r="B121" s="346">
        <v>0.9</v>
      </c>
      <c r="C121" s="346"/>
      <c r="D121" s="346"/>
      <c r="E121" s="346"/>
      <c r="F121" s="346"/>
      <c r="G121" s="346" t="s">
        <v>661</v>
      </c>
      <c r="H121" s="346">
        <v>1.8</v>
      </c>
    </row>
    <row r="122" spans="1:8" x14ac:dyDescent="0.25">
      <c r="A122" s="346" t="s">
        <v>883</v>
      </c>
      <c r="B122" s="346">
        <v>1.1000000000000001</v>
      </c>
      <c r="C122" s="346"/>
      <c r="D122" s="346"/>
      <c r="E122" s="346"/>
      <c r="F122" s="346"/>
      <c r="G122" s="346" t="s">
        <v>662</v>
      </c>
      <c r="H122" s="346">
        <v>2.6</v>
      </c>
    </row>
    <row r="123" spans="1:8" x14ac:dyDescent="0.25">
      <c r="A123" s="346" t="s">
        <v>884</v>
      </c>
      <c r="B123" s="346">
        <v>0.9</v>
      </c>
      <c r="C123" s="346"/>
      <c r="D123" s="346"/>
      <c r="E123" s="346"/>
      <c r="F123" s="346"/>
      <c r="G123" s="346" t="s">
        <v>663</v>
      </c>
      <c r="H123" s="346">
        <v>3</v>
      </c>
    </row>
    <row r="124" spans="1:8" x14ac:dyDescent="0.25">
      <c r="A124" s="346" t="s">
        <v>885</v>
      </c>
      <c r="B124" s="346">
        <v>0.7</v>
      </c>
      <c r="C124" s="346"/>
      <c r="D124" s="346"/>
      <c r="E124" s="346"/>
      <c r="F124" s="346"/>
      <c r="G124" s="346" t="s">
        <v>664</v>
      </c>
      <c r="H124" s="346">
        <v>3.3</v>
      </c>
    </row>
    <row r="125" spans="1:8" x14ac:dyDescent="0.25">
      <c r="A125" s="346" t="s">
        <v>886</v>
      </c>
      <c r="B125" s="346">
        <v>-0.9</v>
      </c>
      <c r="C125" s="346"/>
      <c r="D125" s="346"/>
      <c r="E125" s="346"/>
      <c r="F125" s="346"/>
      <c r="G125" s="346" t="s">
        <v>665</v>
      </c>
      <c r="H125" s="346">
        <v>2.8</v>
      </c>
    </row>
    <row r="126" spans="1:8" x14ac:dyDescent="0.25">
      <c r="A126" s="346" t="s">
        <v>887</v>
      </c>
      <c r="B126" s="346">
        <v>0.6</v>
      </c>
      <c r="C126" s="346"/>
      <c r="D126" s="346"/>
      <c r="E126" s="346"/>
      <c r="F126" s="346"/>
      <c r="G126" s="346" t="s">
        <v>666</v>
      </c>
      <c r="H126" s="346">
        <v>2.6</v>
      </c>
    </row>
    <row r="127" spans="1:8" x14ac:dyDescent="0.25">
      <c r="A127" s="346" t="s">
        <v>888</v>
      </c>
      <c r="B127" s="346">
        <v>2</v>
      </c>
      <c r="C127" s="346"/>
      <c r="D127" s="346"/>
      <c r="E127" s="346"/>
      <c r="F127" s="346"/>
      <c r="G127" s="346" t="s">
        <v>667</v>
      </c>
      <c r="H127" s="346">
        <v>2.6</v>
      </c>
    </row>
    <row r="128" spans="1:8" x14ac:dyDescent="0.25">
      <c r="A128" s="346" t="s">
        <v>889</v>
      </c>
      <c r="B128" s="346">
        <v>0.8</v>
      </c>
      <c r="C128" s="346"/>
      <c r="D128" s="346"/>
      <c r="E128" s="346"/>
      <c r="F128" s="346"/>
      <c r="G128" s="346" t="s">
        <v>668</v>
      </c>
      <c r="H128" s="346">
        <v>2.1</v>
      </c>
    </row>
    <row r="129" spans="1:8" x14ac:dyDescent="0.25">
      <c r="A129" s="346" t="s">
        <v>890</v>
      </c>
      <c r="B129" s="346">
        <v>2.1</v>
      </c>
      <c r="C129" s="346"/>
      <c r="D129" s="346"/>
      <c r="E129" s="346"/>
      <c r="F129" s="346"/>
      <c r="G129" s="346" t="s">
        <v>669</v>
      </c>
      <c r="H129" s="346">
        <v>1.3</v>
      </c>
    </row>
    <row r="130" spans="1:8" x14ac:dyDescent="0.25">
      <c r="A130" s="346" t="s">
        <v>891</v>
      </c>
      <c r="B130" s="346">
        <v>0.1</v>
      </c>
      <c r="C130" s="346"/>
      <c r="D130" s="346"/>
      <c r="E130" s="346"/>
      <c r="F130" s="346"/>
      <c r="G130" s="346" t="s">
        <v>670</v>
      </c>
      <c r="H130" s="346">
        <v>1.5</v>
      </c>
    </row>
    <row r="131" spans="1:8" x14ac:dyDescent="0.25">
      <c r="A131" s="346" t="s">
        <v>892</v>
      </c>
      <c r="B131" s="346">
        <v>0.2</v>
      </c>
      <c r="C131" s="346"/>
      <c r="D131" s="346"/>
      <c r="E131" s="346"/>
      <c r="F131" s="346"/>
      <c r="G131" s="346" t="s">
        <v>671</v>
      </c>
      <c r="H131" s="346">
        <v>1.3</v>
      </c>
    </row>
    <row r="132" spans="1:8" x14ac:dyDescent="0.25">
      <c r="A132" s="346" t="s">
        <v>893</v>
      </c>
      <c r="B132" s="346">
        <v>1.1000000000000001</v>
      </c>
      <c r="C132" s="346"/>
      <c r="D132" s="346"/>
      <c r="E132" s="346"/>
      <c r="F132" s="346"/>
      <c r="G132" s="346" t="s">
        <v>672</v>
      </c>
      <c r="H132" s="346">
        <v>0.5</v>
      </c>
    </row>
    <row r="133" spans="1:8" x14ac:dyDescent="0.25">
      <c r="A133" s="346" t="s">
        <v>894</v>
      </c>
      <c r="B133" s="346">
        <v>0.7</v>
      </c>
      <c r="C133" s="346"/>
      <c r="D133" s="346"/>
      <c r="E133" s="346"/>
      <c r="F133" s="346"/>
      <c r="G133" s="346" t="s">
        <v>673</v>
      </c>
      <c r="H133" s="346">
        <v>0.9</v>
      </c>
    </row>
    <row r="134" spans="1:8" x14ac:dyDescent="0.25">
      <c r="A134" s="346" t="s">
        <v>895</v>
      </c>
      <c r="B134" s="346">
        <v>0.5</v>
      </c>
      <c r="C134" s="346"/>
      <c r="D134" s="346"/>
      <c r="E134" s="346"/>
      <c r="F134" s="346"/>
      <c r="G134" s="346" t="s">
        <v>674</v>
      </c>
      <c r="H134" s="346">
        <v>-0.6</v>
      </c>
    </row>
    <row r="135" spans="1:8" x14ac:dyDescent="0.25">
      <c r="A135" s="346" t="s">
        <v>896</v>
      </c>
      <c r="B135" s="346">
        <v>1.8</v>
      </c>
      <c r="C135" s="346"/>
      <c r="D135" s="346"/>
      <c r="E135" s="346"/>
      <c r="F135" s="346"/>
      <c r="G135" s="357" t="s">
        <v>675</v>
      </c>
      <c r="H135" s="346">
        <v>-0.2</v>
      </c>
    </row>
    <row r="136" spans="1:8" x14ac:dyDescent="0.25">
      <c r="A136" s="346" t="s">
        <v>897</v>
      </c>
      <c r="B136" s="346">
        <v>0.9</v>
      </c>
      <c r="C136" s="346"/>
      <c r="D136" s="346"/>
      <c r="E136" s="346"/>
      <c r="F136" s="346"/>
      <c r="G136" s="356" t="s">
        <v>676</v>
      </c>
      <c r="H136" s="346">
        <v>-0.3</v>
      </c>
    </row>
    <row r="137" spans="1:8" x14ac:dyDescent="0.25">
      <c r="A137" s="346" t="s">
        <v>898</v>
      </c>
      <c r="B137" s="346">
        <v>1.5</v>
      </c>
      <c r="C137" s="346"/>
      <c r="D137" s="346"/>
      <c r="E137" s="346"/>
      <c r="F137" s="346"/>
      <c r="G137" s="356" t="s">
        <v>677</v>
      </c>
      <c r="H137" s="346">
        <v>-0.3</v>
      </c>
    </row>
    <row r="138" spans="1:8" x14ac:dyDescent="0.25">
      <c r="A138" s="346" t="s">
        <v>899</v>
      </c>
      <c r="B138" s="346">
        <v>2.4</v>
      </c>
      <c r="C138" s="346"/>
      <c r="D138" s="346"/>
      <c r="E138" s="346"/>
      <c r="F138" s="346"/>
      <c r="G138" s="356" t="s">
        <v>678</v>
      </c>
      <c r="H138" s="346">
        <v>2.2000000000000002</v>
      </c>
    </row>
    <row r="139" spans="1:8" x14ac:dyDescent="0.25">
      <c r="A139" s="346" t="s">
        <v>900</v>
      </c>
      <c r="B139" s="346">
        <v>1.1000000000000001</v>
      </c>
      <c r="C139" s="346"/>
      <c r="D139" s="346"/>
      <c r="E139" s="346"/>
      <c r="F139" s="346"/>
      <c r="G139" s="356" t="s">
        <v>679</v>
      </c>
      <c r="H139" s="346">
        <v>2.7</v>
      </c>
    </row>
    <row r="140" spans="1:8" x14ac:dyDescent="0.25">
      <c r="A140" s="346" t="s">
        <v>901</v>
      </c>
      <c r="B140" s="346">
        <v>1.8</v>
      </c>
      <c r="C140" s="346"/>
      <c r="D140" s="346"/>
      <c r="E140" s="346"/>
      <c r="F140" s="346"/>
      <c r="G140" s="408" t="s">
        <v>680</v>
      </c>
      <c r="H140" s="409">
        <v>6.1</v>
      </c>
    </row>
    <row r="141" spans="1:8" x14ac:dyDescent="0.25">
      <c r="A141" s="346" t="s">
        <v>902</v>
      </c>
      <c r="B141" s="346">
        <v>0.6</v>
      </c>
      <c r="C141" s="346"/>
      <c r="D141" s="346"/>
      <c r="E141" s="346"/>
      <c r="F141" s="346"/>
      <c r="G141" s="346" t="s">
        <v>681</v>
      </c>
      <c r="H141" s="346">
        <v>1.7147692412596001</v>
      </c>
    </row>
    <row r="142" spans="1:8" x14ac:dyDescent="0.25">
      <c r="A142" s="346" t="s">
        <v>903</v>
      </c>
      <c r="B142" s="346">
        <v>1.5</v>
      </c>
      <c r="C142" s="346"/>
      <c r="D142" s="346"/>
      <c r="E142" s="346"/>
      <c r="F142" s="346"/>
      <c r="G142" s="346"/>
      <c r="H142" s="346"/>
    </row>
    <row r="143" spans="1:8" x14ac:dyDescent="0.25">
      <c r="A143" s="346" t="s">
        <v>904</v>
      </c>
      <c r="B143" s="346">
        <v>0.9</v>
      </c>
      <c r="C143" s="346"/>
      <c r="D143" s="346"/>
      <c r="E143" s="346"/>
      <c r="F143" s="346"/>
      <c r="G143" s="346"/>
      <c r="H143" s="346"/>
    </row>
    <row r="144" spans="1:8" x14ac:dyDescent="0.25">
      <c r="A144" s="346" t="s">
        <v>905</v>
      </c>
      <c r="B144" s="346">
        <v>0.4</v>
      </c>
      <c r="C144" s="346"/>
      <c r="D144" s="346"/>
      <c r="E144" s="346"/>
      <c r="F144" s="346"/>
      <c r="G144" s="346"/>
      <c r="H144" s="346"/>
    </row>
    <row r="145" spans="1:2" x14ac:dyDescent="0.25">
      <c r="A145" s="346" t="s">
        <v>906</v>
      </c>
      <c r="B145" s="346">
        <v>0.7</v>
      </c>
    </row>
    <row r="146" spans="1:2" x14ac:dyDescent="0.25">
      <c r="A146" s="346" t="s">
        <v>907</v>
      </c>
      <c r="B146" s="346">
        <v>0.1</v>
      </c>
    </row>
    <row r="147" spans="1:2" x14ac:dyDescent="0.25">
      <c r="A147" s="346" t="s">
        <v>908</v>
      </c>
      <c r="B147" s="346">
        <v>0.1</v>
      </c>
    </row>
    <row r="148" spans="1:2" x14ac:dyDescent="0.25">
      <c r="A148" s="346" t="s">
        <v>909</v>
      </c>
      <c r="B148" s="346">
        <v>0.7</v>
      </c>
    </row>
    <row r="149" spans="1:2" x14ac:dyDescent="0.25">
      <c r="A149" s="346" t="s">
        <v>910</v>
      </c>
      <c r="B149" s="346">
        <v>0.5</v>
      </c>
    </row>
    <row r="150" spans="1:2" x14ac:dyDescent="0.25">
      <c r="A150" s="346" t="s">
        <v>911</v>
      </c>
      <c r="B150" s="346">
        <v>-1</v>
      </c>
    </row>
    <row r="151" spans="1:2" x14ac:dyDescent="0.25">
      <c r="A151" s="346" t="s">
        <v>912</v>
      </c>
      <c r="B151" s="346">
        <v>-0.3</v>
      </c>
    </row>
    <row r="152" spans="1:2" x14ac:dyDescent="0.25">
      <c r="A152" s="346" t="s">
        <v>913</v>
      </c>
      <c r="B152" s="346">
        <v>-0.3</v>
      </c>
    </row>
    <row r="153" spans="1:2" x14ac:dyDescent="0.25">
      <c r="A153" s="346" t="s">
        <v>914</v>
      </c>
      <c r="B153" s="346">
        <v>-0.1</v>
      </c>
    </row>
    <row r="154" spans="1:2" x14ac:dyDescent="0.25">
      <c r="A154" s="346" t="s">
        <v>915</v>
      </c>
      <c r="B154" s="346">
        <v>-0.2</v>
      </c>
    </row>
    <row r="155" spans="1:2" x14ac:dyDescent="0.25">
      <c r="A155" s="346" t="s">
        <v>916</v>
      </c>
      <c r="B155" s="346">
        <v>0.2</v>
      </c>
    </row>
    <row r="156" spans="1:2" x14ac:dyDescent="0.25">
      <c r="A156" s="346" t="s">
        <v>917</v>
      </c>
      <c r="B156" s="346">
        <v>0</v>
      </c>
    </row>
    <row r="157" spans="1:2" x14ac:dyDescent="0.25">
      <c r="A157" s="346" t="s">
        <v>918</v>
      </c>
      <c r="B157" s="346">
        <v>-0.1</v>
      </c>
    </row>
    <row r="158" spans="1:2" x14ac:dyDescent="0.25">
      <c r="A158" s="346" t="s">
        <v>919</v>
      </c>
      <c r="B158" s="346">
        <v>0.6</v>
      </c>
    </row>
    <row r="159" spans="1:2" x14ac:dyDescent="0.25">
      <c r="A159" s="346" t="s">
        <v>920</v>
      </c>
      <c r="B159" s="346">
        <v>0.7</v>
      </c>
    </row>
    <row r="160" spans="1:2" x14ac:dyDescent="0.25">
      <c r="A160" s="346" t="s">
        <v>921</v>
      </c>
      <c r="B160" s="346">
        <v>0.7</v>
      </c>
    </row>
    <row r="161" spans="1:2" x14ac:dyDescent="0.25">
      <c r="A161" s="346" t="s">
        <v>922</v>
      </c>
      <c r="B161" s="346">
        <v>0.5</v>
      </c>
    </row>
    <row r="162" spans="1:2" x14ac:dyDescent="0.25">
      <c r="A162" s="346" t="s">
        <v>923</v>
      </c>
      <c r="B162" s="346">
        <v>0.8</v>
      </c>
    </row>
    <row r="163" spans="1:2" x14ac:dyDescent="0.25">
      <c r="A163" s="346" t="s">
        <v>924</v>
      </c>
      <c r="B163" s="346">
        <v>0.7</v>
      </c>
    </row>
    <row r="164" spans="1:2" x14ac:dyDescent="0.25">
      <c r="A164" s="346" t="s">
        <v>925</v>
      </c>
      <c r="B164" s="346">
        <v>1.2</v>
      </c>
    </row>
    <row r="165" spans="1:2" x14ac:dyDescent="0.25">
      <c r="A165" s="346" t="s">
        <v>926</v>
      </c>
      <c r="B165" s="346">
        <v>1.2</v>
      </c>
    </row>
    <row r="166" spans="1:2" x14ac:dyDescent="0.25">
      <c r="A166" s="346" t="s">
        <v>927</v>
      </c>
      <c r="B166" s="346">
        <v>1.1000000000000001</v>
      </c>
    </row>
    <row r="167" spans="1:2" x14ac:dyDescent="0.25">
      <c r="A167" s="346" t="s">
        <v>928</v>
      </c>
      <c r="B167" s="346">
        <v>0.6</v>
      </c>
    </row>
    <row r="168" spans="1:2" x14ac:dyDescent="0.25">
      <c r="A168" s="346" t="s">
        <v>929</v>
      </c>
      <c r="B168" s="346">
        <v>0.4</v>
      </c>
    </row>
    <row r="169" spans="1:2" x14ac:dyDescent="0.25">
      <c r="A169" s="346" t="s">
        <v>930</v>
      </c>
      <c r="B169" s="346">
        <v>0.4</v>
      </c>
    </row>
    <row r="170" spans="1:2" x14ac:dyDescent="0.25">
      <c r="A170" s="346" t="s">
        <v>931</v>
      </c>
      <c r="B170" s="346">
        <v>0.9</v>
      </c>
    </row>
    <row r="171" spans="1:2" x14ac:dyDescent="0.25">
      <c r="A171" s="346" t="s">
        <v>932</v>
      </c>
      <c r="B171" s="346">
        <v>0.1</v>
      </c>
    </row>
    <row r="172" spans="1:2" x14ac:dyDescent="0.25">
      <c r="A172" s="346" t="s">
        <v>933</v>
      </c>
      <c r="B172" s="346">
        <v>0.9</v>
      </c>
    </row>
    <row r="173" spans="1:2" x14ac:dyDescent="0.25">
      <c r="A173" s="346" t="s">
        <v>934</v>
      </c>
      <c r="B173" s="346">
        <v>0.4</v>
      </c>
    </row>
    <row r="174" spans="1:2" x14ac:dyDescent="0.25">
      <c r="A174" s="346" t="s">
        <v>935</v>
      </c>
      <c r="B174" s="346">
        <v>0.9</v>
      </c>
    </row>
    <row r="175" spans="1:2" x14ac:dyDescent="0.25">
      <c r="A175" s="346" t="s">
        <v>936</v>
      </c>
      <c r="B175" s="346">
        <v>0.8</v>
      </c>
    </row>
    <row r="176" spans="1:2" x14ac:dyDescent="0.25">
      <c r="A176" s="346" t="s">
        <v>937</v>
      </c>
      <c r="B176" s="346">
        <v>1.4</v>
      </c>
    </row>
    <row r="177" spans="1:8" x14ac:dyDescent="0.25">
      <c r="A177" s="346" t="s">
        <v>938</v>
      </c>
      <c r="B177" s="346">
        <v>0.9</v>
      </c>
      <c r="C177" s="346"/>
      <c r="D177" s="346"/>
      <c r="E177" s="346"/>
      <c r="F177" s="346"/>
      <c r="G177" s="346"/>
      <c r="H177" s="346"/>
    </row>
    <row r="178" spans="1:8" x14ac:dyDescent="0.25">
      <c r="A178" s="346" t="s">
        <v>939</v>
      </c>
      <c r="B178" s="346">
        <v>0.7</v>
      </c>
      <c r="C178" s="346"/>
      <c r="D178" s="346"/>
      <c r="E178" s="346"/>
      <c r="F178" s="346"/>
      <c r="G178" s="346"/>
      <c r="H178" s="346"/>
    </row>
    <row r="179" spans="1:8" x14ac:dyDescent="0.25">
      <c r="A179" s="346" t="s">
        <v>940</v>
      </c>
      <c r="B179" s="346">
        <v>1.2</v>
      </c>
      <c r="C179" s="346"/>
      <c r="D179" s="346"/>
      <c r="E179" s="346"/>
      <c r="F179" s="346"/>
      <c r="G179" s="346"/>
      <c r="H179" s="346"/>
    </row>
    <row r="180" spans="1:8" x14ac:dyDescent="0.25">
      <c r="A180" s="346" t="s">
        <v>941</v>
      </c>
      <c r="B180" s="346">
        <v>0.9</v>
      </c>
      <c r="C180" s="346"/>
      <c r="D180" s="346"/>
      <c r="E180" s="346"/>
      <c r="F180" s="346"/>
      <c r="G180" s="346"/>
      <c r="H180" s="346"/>
    </row>
    <row r="181" spans="1:8" x14ac:dyDescent="0.25">
      <c r="A181" s="346" t="s">
        <v>942</v>
      </c>
      <c r="B181" s="346">
        <v>0.9</v>
      </c>
      <c r="C181" s="346"/>
      <c r="D181" s="346"/>
      <c r="E181" s="346"/>
      <c r="F181" s="346"/>
      <c r="G181" s="346"/>
      <c r="H181" s="346"/>
    </row>
    <row r="182" spans="1:8" x14ac:dyDescent="0.25">
      <c r="A182" s="346" t="s">
        <v>943</v>
      </c>
      <c r="B182" s="346">
        <v>0.7</v>
      </c>
      <c r="C182" s="346"/>
      <c r="D182" s="346"/>
      <c r="E182" s="346"/>
      <c r="F182" s="346"/>
      <c r="G182" s="346"/>
      <c r="H182" s="346"/>
    </row>
    <row r="183" spans="1:8" x14ac:dyDescent="0.25">
      <c r="A183" s="346" t="s">
        <v>944</v>
      </c>
      <c r="B183" s="346">
        <v>1</v>
      </c>
      <c r="C183" s="346"/>
      <c r="D183" s="346"/>
      <c r="E183" s="346"/>
      <c r="F183" s="346"/>
      <c r="G183" s="346"/>
      <c r="H183" s="346"/>
    </row>
    <row r="184" spans="1:8" x14ac:dyDescent="0.25">
      <c r="A184" s="346" t="s">
        <v>945</v>
      </c>
      <c r="B184" s="346">
        <v>0.6</v>
      </c>
      <c r="C184" s="346"/>
      <c r="D184" s="346"/>
      <c r="E184" s="346"/>
      <c r="F184" s="346"/>
      <c r="G184" s="346"/>
      <c r="H184" s="346"/>
    </row>
    <row r="185" spans="1:8" x14ac:dyDescent="0.25">
      <c r="A185" s="346" t="s">
        <v>946</v>
      </c>
      <c r="B185" s="346">
        <v>0.2</v>
      </c>
      <c r="C185" s="346"/>
      <c r="D185" s="346"/>
      <c r="E185" s="346"/>
      <c r="F185" s="346"/>
      <c r="G185" s="346"/>
      <c r="H185" s="346"/>
    </row>
    <row r="186" spans="1:8" x14ac:dyDescent="0.25">
      <c r="A186" s="346" t="s">
        <v>947</v>
      </c>
      <c r="B186" s="346">
        <v>1.8</v>
      </c>
      <c r="C186" s="346"/>
      <c r="D186" s="346"/>
      <c r="E186" s="346"/>
      <c r="F186" s="346"/>
      <c r="G186" s="346"/>
      <c r="H186" s="346"/>
    </row>
    <row r="187" spans="1:8" x14ac:dyDescent="0.25">
      <c r="A187" s="346" t="s">
        <v>948</v>
      </c>
      <c r="B187" s="346">
        <v>1.4</v>
      </c>
      <c r="C187" s="346"/>
      <c r="D187" s="346"/>
      <c r="E187" s="346"/>
      <c r="F187" s="346"/>
      <c r="G187" s="346"/>
      <c r="H187" s="346"/>
    </row>
    <row r="188" spans="1:8" s="94" customFormat="1" x14ac:dyDescent="0.25">
      <c r="A188" s="348" t="s">
        <v>564</v>
      </c>
      <c r="B188" s="349">
        <v>0.2</v>
      </c>
      <c r="C188" s="348"/>
      <c r="D188" s="346"/>
      <c r="E188" s="346"/>
      <c r="F188" s="352"/>
      <c r="G188" s="346"/>
      <c r="H188" s="346"/>
    </row>
    <row r="189" spans="1:8" x14ac:dyDescent="0.25">
      <c r="A189" s="346" t="s">
        <v>566</v>
      </c>
      <c r="B189" s="351">
        <v>0.15</v>
      </c>
      <c r="C189" s="346"/>
      <c r="D189" s="346"/>
      <c r="E189" s="346"/>
      <c r="F189" s="346"/>
      <c r="G189" s="346"/>
      <c r="H189" s="346"/>
    </row>
    <row r="190" spans="1:8" x14ac:dyDescent="0.25">
      <c r="A190" s="346" t="s">
        <v>568</v>
      </c>
      <c r="B190" s="351">
        <v>0.1</v>
      </c>
      <c r="C190" s="346"/>
      <c r="D190" s="346"/>
      <c r="E190" s="346"/>
      <c r="F190" s="346"/>
      <c r="G190" s="346"/>
      <c r="H190" s="346"/>
    </row>
    <row r="191" spans="1:8" x14ac:dyDescent="0.25">
      <c r="A191" s="346" t="s">
        <v>569</v>
      </c>
      <c r="B191" s="351">
        <v>1.7626895578982671E-2</v>
      </c>
      <c r="C191" s="346"/>
      <c r="D191" s="346"/>
      <c r="E191" s="346"/>
      <c r="F191" s="346"/>
      <c r="G191" s="346"/>
      <c r="H191" s="346"/>
    </row>
    <row r="192" spans="1:8" x14ac:dyDescent="0.25">
      <c r="A192" s="346" t="s">
        <v>573</v>
      </c>
      <c r="B192" s="351">
        <v>2.4380255980643639E-2</v>
      </c>
      <c r="C192" s="346"/>
      <c r="D192" s="346"/>
      <c r="E192" s="346"/>
      <c r="F192" s="346"/>
      <c r="G192" s="346"/>
      <c r="H192" s="346"/>
    </row>
    <row r="193" spans="1:2" x14ac:dyDescent="0.25">
      <c r="A193" s="346" t="s">
        <v>576</v>
      </c>
      <c r="B193" s="351">
        <v>2.7201613997918539E-2</v>
      </c>
    </row>
    <row r="194" spans="1:2" x14ac:dyDescent="0.25">
      <c r="A194" s="346" t="s">
        <v>578</v>
      </c>
      <c r="B194" s="351">
        <v>3.2563571694006477E-2</v>
      </c>
    </row>
    <row r="195" spans="1:2" x14ac:dyDescent="0.25">
      <c r="A195" s="346" t="s">
        <v>580</v>
      </c>
      <c r="B195" s="351">
        <v>3.476769855803763E-2</v>
      </c>
    </row>
    <row r="196" spans="1:2" x14ac:dyDescent="0.25">
      <c r="A196" s="346" t="s">
        <v>583</v>
      </c>
      <c r="B196" s="351">
        <v>2.4690970943038293E-2</v>
      </c>
    </row>
    <row r="197" spans="1:2" x14ac:dyDescent="0.25">
      <c r="A197" s="346" t="s">
        <v>584</v>
      </c>
      <c r="B197" s="351">
        <v>2.1335309496726129E-2</v>
      </c>
    </row>
    <row r="198" spans="1:2" x14ac:dyDescent="0.25">
      <c r="A198" s="346" t="s">
        <v>585</v>
      </c>
      <c r="B198" s="351">
        <v>2.0994426849833436E-2</v>
      </c>
    </row>
    <row r="199" spans="1:2" x14ac:dyDescent="0.25">
      <c r="A199" s="346" t="s">
        <v>586</v>
      </c>
      <c r="B199" s="351">
        <v>2.5957095878622827E-2</v>
      </c>
    </row>
    <row r="200" spans="1:2" x14ac:dyDescent="0.25">
      <c r="A200" s="346" t="s">
        <v>588</v>
      </c>
      <c r="B200" s="351">
        <v>2.8214013427473539E-2</v>
      </c>
    </row>
    <row r="201" spans="1:2" x14ac:dyDescent="0.25">
      <c r="A201" s="346" t="s">
        <v>589</v>
      </c>
      <c r="B201" s="351">
        <v>3.2610543246897938E-2</v>
      </c>
    </row>
    <row r="202" spans="1:2" x14ac:dyDescent="0.25">
      <c r="A202" s="346" t="s">
        <v>590</v>
      </c>
      <c r="B202" s="351">
        <v>3.5349656952225139E-2</v>
      </c>
    </row>
    <row r="203" spans="1:2" x14ac:dyDescent="0.25">
      <c r="A203" s="346" t="s">
        <v>591</v>
      </c>
      <c r="B203" s="351">
        <v>3.5198346426619009E-2</v>
      </c>
    </row>
    <row r="204" spans="1:2" x14ac:dyDescent="0.25">
      <c r="A204" s="346" t="s">
        <v>593</v>
      </c>
      <c r="B204" s="351">
        <v>3.3964379063896377E-2</v>
      </c>
    </row>
    <row r="205" spans="1:2" x14ac:dyDescent="0.25">
      <c r="A205" s="346" t="s">
        <v>594</v>
      </c>
      <c r="B205" s="351">
        <v>2.8040322243815474E-2</v>
      </c>
    </row>
    <row r="206" spans="1:2" x14ac:dyDescent="0.25">
      <c r="A206" s="346" t="s">
        <v>597</v>
      </c>
      <c r="B206" s="351">
        <v>1.924297508602546E-2</v>
      </c>
    </row>
    <row r="207" spans="1:2" x14ac:dyDescent="0.25">
      <c r="A207" s="346" t="s">
        <v>600</v>
      </c>
      <c r="B207" s="351">
        <v>1.4034681579118802E-2</v>
      </c>
    </row>
    <row r="208" spans="1:2" x14ac:dyDescent="0.25">
      <c r="A208" s="346" t="s">
        <v>604</v>
      </c>
      <c r="B208" s="351">
        <v>1.7026348988588236E-2</v>
      </c>
    </row>
    <row r="209" spans="1:2" x14ac:dyDescent="0.25">
      <c r="A209" s="346" t="s">
        <v>606</v>
      </c>
      <c r="B209" s="351">
        <v>2.5999321278863619E-2</v>
      </c>
    </row>
    <row r="210" spans="1:2" x14ac:dyDescent="0.25">
      <c r="A210" s="346" t="s">
        <v>609</v>
      </c>
      <c r="B210" s="351">
        <v>3.5967532591475671E-2</v>
      </c>
    </row>
    <row r="211" spans="1:2" x14ac:dyDescent="0.25">
      <c r="A211" s="346" t="s">
        <v>612</v>
      </c>
      <c r="B211" s="351">
        <v>4.8058653006965324E-2</v>
      </c>
    </row>
    <row r="212" spans="1:2" x14ac:dyDescent="0.25">
      <c r="A212" s="346" t="s">
        <v>613</v>
      </c>
      <c r="B212" s="351">
        <v>4.347456967604546E-2</v>
      </c>
    </row>
    <row r="213" spans="1:2" x14ac:dyDescent="0.25">
      <c r="A213" s="346" t="s">
        <v>615</v>
      </c>
      <c r="B213" s="351">
        <v>3.3253127671419191E-2</v>
      </c>
    </row>
    <row r="214" spans="1:2" x14ac:dyDescent="0.25">
      <c r="A214" s="346" t="s">
        <v>616</v>
      </c>
      <c r="B214" s="351">
        <v>2.2666817133921269E-2</v>
      </c>
    </row>
    <row r="215" spans="1:2" x14ac:dyDescent="0.25">
      <c r="A215" s="346" t="s">
        <v>619</v>
      </c>
      <c r="B215" s="351">
        <v>1.2788280888372583E-2</v>
      </c>
    </row>
    <row r="216" spans="1:2" x14ac:dyDescent="0.25">
      <c r="A216" s="346" t="s">
        <v>620</v>
      </c>
      <c r="B216" s="351">
        <v>1.8174997061987552E-2</v>
      </c>
    </row>
    <row r="217" spans="1:2" x14ac:dyDescent="0.25">
      <c r="A217" s="346" t="s">
        <v>621</v>
      </c>
      <c r="B217" s="351">
        <v>2.191668413779424E-2</v>
      </c>
    </row>
    <row r="218" spans="1:2" x14ac:dyDescent="0.25">
      <c r="A218" s="346" t="s">
        <v>623</v>
      </c>
      <c r="B218" s="351">
        <v>2.8792126924072958E-2</v>
      </c>
    </row>
    <row r="219" spans="1:2" x14ac:dyDescent="0.25">
      <c r="A219" s="346" t="s">
        <v>624</v>
      </c>
      <c r="B219" s="351">
        <v>2.8296053339068816E-2</v>
      </c>
    </row>
    <row r="220" spans="1:2" x14ac:dyDescent="0.25">
      <c r="A220" s="346" t="s">
        <v>625</v>
      </c>
      <c r="B220" s="351">
        <v>2.4314233837493759E-2</v>
      </c>
    </row>
    <row r="221" spans="1:2" x14ac:dyDescent="0.25">
      <c r="A221" s="346" t="s">
        <v>626</v>
      </c>
      <c r="B221" s="351">
        <v>1.2355755761497056E-2</v>
      </c>
    </row>
    <row r="222" spans="1:2" x14ac:dyDescent="0.25">
      <c r="A222" s="346" t="s">
        <v>627</v>
      </c>
      <c r="B222" s="351">
        <v>-1.1150756298841991E-2</v>
      </c>
    </row>
    <row r="223" spans="1:2" x14ac:dyDescent="0.25">
      <c r="A223" s="346" t="s">
        <v>628</v>
      </c>
      <c r="B223" s="351">
        <v>-3.611470602332989E-2</v>
      </c>
    </row>
    <row r="224" spans="1:2" x14ac:dyDescent="0.25">
      <c r="A224" s="346" t="s">
        <v>629</v>
      </c>
      <c r="B224" s="351">
        <v>-5.8066361556064039E-2</v>
      </c>
    </row>
    <row r="225" spans="1:2" x14ac:dyDescent="0.25">
      <c r="A225" s="346" t="s">
        <v>630</v>
      </c>
      <c r="B225" s="351">
        <v>-5.5117320967854377E-2</v>
      </c>
    </row>
    <row r="226" spans="1:2" x14ac:dyDescent="0.25">
      <c r="A226" s="346" t="s">
        <v>631</v>
      </c>
      <c r="B226" s="351">
        <v>-3.9425682256893357E-2</v>
      </c>
    </row>
    <row r="227" spans="1:2" x14ac:dyDescent="0.25">
      <c r="A227" s="346" t="s">
        <v>632</v>
      </c>
      <c r="B227" s="351">
        <v>-1.6224915575286047E-2</v>
      </c>
    </row>
    <row r="228" spans="1:2" x14ac:dyDescent="0.25">
      <c r="A228" s="346" t="s">
        <v>633</v>
      </c>
      <c r="B228" s="351">
        <v>7.6493756269038204E-3</v>
      </c>
    </row>
    <row r="229" spans="1:2" x14ac:dyDescent="0.25">
      <c r="A229" s="346" t="s">
        <v>634</v>
      </c>
      <c r="B229" s="351">
        <v>2.0229787508821095E-2</v>
      </c>
    </row>
    <row r="230" spans="1:2" x14ac:dyDescent="0.25">
      <c r="A230" s="346" t="s">
        <v>635</v>
      </c>
      <c r="B230" s="351">
        <v>2.6267151541967904E-2</v>
      </c>
    </row>
    <row r="231" spans="1:2" x14ac:dyDescent="0.25">
      <c r="A231" s="346" t="s">
        <v>636</v>
      </c>
      <c r="B231" s="351">
        <v>2.3844973209444342E-2</v>
      </c>
    </row>
    <row r="232" spans="1:2" x14ac:dyDescent="0.25">
      <c r="A232" s="346" t="s">
        <v>637</v>
      </c>
      <c r="B232" s="351">
        <v>2.3767069024956511E-2</v>
      </c>
    </row>
    <row r="233" spans="1:2" x14ac:dyDescent="0.25">
      <c r="A233" s="346" t="s">
        <v>638</v>
      </c>
      <c r="B233" s="351">
        <v>1.4618323198987371E-2</v>
      </c>
    </row>
    <row r="234" spans="1:2" x14ac:dyDescent="0.25">
      <c r="A234" s="346" t="s">
        <v>639</v>
      </c>
      <c r="B234" s="351">
        <v>1.10593635195948E-2</v>
      </c>
    </row>
    <row r="235" spans="1:2" x14ac:dyDescent="0.25">
      <c r="A235" s="346" t="s">
        <v>640</v>
      </c>
      <c r="B235" s="351">
        <v>1.2297859544081469E-2</v>
      </c>
    </row>
    <row r="236" spans="1:2" x14ac:dyDescent="0.25">
      <c r="A236" s="346" t="s">
        <v>641</v>
      </c>
      <c r="B236" s="351">
        <v>1.2439480744227849E-2</v>
      </c>
    </row>
    <row r="237" spans="1:2" x14ac:dyDescent="0.25">
      <c r="A237" s="346" t="s">
        <v>642</v>
      </c>
      <c r="B237" s="351">
        <v>1.0635904085265491E-2</v>
      </c>
    </row>
    <row r="238" spans="1:2" x14ac:dyDescent="0.25">
      <c r="A238" s="346" t="s">
        <v>643</v>
      </c>
      <c r="B238" s="351">
        <v>1.9757956153150902E-2</v>
      </c>
    </row>
    <row r="239" spans="1:2" x14ac:dyDescent="0.25">
      <c r="A239" s="346" t="s">
        <v>644</v>
      </c>
      <c r="B239" s="351">
        <v>1.6300661071281253E-2</v>
      </c>
    </row>
    <row r="240" spans="1:2" x14ac:dyDescent="0.25">
      <c r="A240" s="346" t="s">
        <v>645</v>
      </c>
      <c r="B240" s="351">
        <v>1.6310967886887129E-2</v>
      </c>
    </row>
    <row r="241" spans="1:2" x14ac:dyDescent="0.25">
      <c r="A241" s="346" t="s">
        <v>646</v>
      </c>
      <c r="B241" s="351">
        <v>2.2564595453132608E-2</v>
      </c>
    </row>
    <row r="242" spans="1:2" x14ac:dyDescent="0.25">
      <c r="A242" s="346" t="s">
        <v>647</v>
      </c>
      <c r="B242" s="351">
        <v>1.983904866654318E-2</v>
      </c>
    </row>
    <row r="243" spans="1:2" x14ac:dyDescent="0.25">
      <c r="A243" s="346" t="s">
        <v>648</v>
      </c>
      <c r="B243" s="351">
        <v>2.6832359376056658E-2</v>
      </c>
    </row>
    <row r="244" spans="1:2" x14ac:dyDescent="0.25">
      <c r="A244" s="346" t="s">
        <v>649</v>
      </c>
      <c r="B244" s="351">
        <v>2.6979111128449862E-2</v>
      </c>
    </row>
    <row r="245" spans="1:2" x14ac:dyDescent="0.25">
      <c r="A245" s="346" t="s">
        <v>650</v>
      </c>
      <c r="B245" s="351">
        <v>2.8202049294302034E-2</v>
      </c>
    </row>
    <row r="246" spans="1:2" x14ac:dyDescent="0.25">
      <c r="A246" s="346" t="s">
        <v>651</v>
      </c>
      <c r="B246" s="351">
        <v>2.4435455970477582E-2</v>
      </c>
    </row>
    <row r="247" spans="1:2" x14ac:dyDescent="0.25">
      <c r="A247" s="346" t="s">
        <v>652</v>
      </c>
      <c r="B247" s="351">
        <v>2.4724901219356665E-2</v>
      </c>
    </row>
    <row r="248" spans="1:2" x14ac:dyDescent="0.25">
      <c r="A248" s="346" t="s">
        <v>653</v>
      </c>
      <c r="B248" s="351">
        <v>2.3379101050561069E-2</v>
      </c>
    </row>
    <row r="249" spans="1:2" x14ac:dyDescent="0.25">
      <c r="A249" s="346" t="s">
        <v>654</v>
      </c>
      <c r="B249" s="351">
        <v>2.3962729767752933E-2</v>
      </c>
    </row>
    <row r="250" spans="1:2" x14ac:dyDescent="0.25">
      <c r="A250" s="346" t="s">
        <v>655</v>
      </c>
      <c r="B250" s="351">
        <v>2.2476735265668291E-2</v>
      </c>
    </row>
    <row r="251" spans="1:2" x14ac:dyDescent="0.25">
      <c r="A251" s="346" t="s">
        <v>656</v>
      </c>
      <c r="B251" s="351">
        <v>2.438953602872429E-2</v>
      </c>
    </row>
    <row r="252" spans="1:2" x14ac:dyDescent="0.25">
      <c r="A252" s="346" t="s">
        <v>657</v>
      </c>
      <c r="B252" s="351">
        <v>2.0716819269157805E-2</v>
      </c>
    </row>
    <row r="253" spans="1:2" x14ac:dyDescent="0.25">
      <c r="A253" s="346" t="s">
        <v>658</v>
      </c>
      <c r="B253" s="351">
        <v>1.8868581303826071E-2</v>
      </c>
    </row>
    <row r="254" spans="1:2" x14ac:dyDescent="0.25">
      <c r="A254" s="346" t="s">
        <v>659</v>
      </c>
      <c r="B254" s="351">
        <v>1.9079347085903864E-2</v>
      </c>
    </row>
    <row r="255" spans="1:2" x14ac:dyDescent="0.25">
      <c r="A255" s="346" t="s">
        <v>660</v>
      </c>
      <c r="B255" s="351">
        <v>1.8089868540344556E-2</v>
      </c>
    </row>
    <row r="256" spans="1:2" x14ac:dyDescent="0.25">
      <c r="A256" s="346" t="s">
        <v>661</v>
      </c>
      <c r="B256" s="351">
        <v>2.225809449537941E-2</v>
      </c>
    </row>
    <row r="257" spans="1:2" x14ac:dyDescent="0.25">
      <c r="A257" s="346" t="s">
        <v>662</v>
      </c>
      <c r="B257" s="351">
        <v>1.9417475728155331E-2</v>
      </c>
    </row>
    <row r="258" spans="1:2" x14ac:dyDescent="0.25">
      <c r="A258" s="346" t="s">
        <v>663</v>
      </c>
      <c r="B258" s="351">
        <v>1.829800174457219E-2</v>
      </c>
    </row>
    <row r="259" spans="1:2" x14ac:dyDescent="0.25">
      <c r="A259" s="346" t="s">
        <v>664</v>
      </c>
      <c r="B259" s="351">
        <v>1.5764794278478877E-2</v>
      </c>
    </row>
    <row r="260" spans="1:2" x14ac:dyDescent="0.25">
      <c r="A260" s="346" t="s">
        <v>665</v>
      </c>
      <c r="B260" s="351">
        <v>1.0543832500301331E-2</v>
      </c>
    </row>
    <row r="261" spans="1:2" x14ac:dyDescent="0.25">
      <c r="A261" s="346" t="s">
        <v>666</v>
      </c>
      <c r="B261" s="351">
        <v>1.3318745009906152E-2</v>
      </c>
    </row>
    <row r="262" spans="1:2" x14ac:dyDescent="0.25">
      <c r="A262" s="346" t="s">
        <v>667</v>
      </c>
      <c r="B262" s="351">
        <v>1.5809989351293297E-2</v>
      </c>
    </row>
    <row r="263" spans="1:2" x14ac:dyDescent="0.25">
      <c r="A263" s="346" t="s">
        <v>668</v>
      </c>
      <c r="B263" s="351">
        <v>1.3936995855299505E-2</v>
      </c>
    </row>
    <row r="264" spans="1:2" x14ac:dyDescent="0.25">
      <c r="A264" s="346" t="s">
        <v>669</v>
      </c>
      <c r="B264" s="351">
        <v>2.0003207397353506E-2</v>
      </c>
    </row>
    <row r="265" spans="1:2" x14ac:dyDescent="0.25">
      <c r="A265" s="346" t="s">
        <v>670</v>
      </c>
      <c r="B265" s="351">
        <v>1.4085301676423301E-2</v>
      </c>
    </row>
    <row r="266" spans="1:2" x14ac:dyDescent="0.25">
      <c r="A266" s="346" t="s">
        <v>671</v>
      </c>
      <c r="B266" s="351">
        <v>1.3324204251599081E-2</v>
      </c>
    </row>
    <row r="267" spans="1:2" x14ac:dyDescent="0.25">
      <c r="A267" s="346" t="s">
        <v>672</v>
      </c>
      <c r="B267" s="351">
        <v>1.1157302329890317E-2</v>
      </c>
    </row>
    <row r="268" spans="1:2" x14ac:dyDescent="0.25">
      <c r="A268" s="346" t="s">
        <v>673</v>
      </c>
      <c r="B268" s="351">
        <v>-1.7425116864092538E-2</v>
      </c>
    </row>
    <row r="269" spans="1:2" x14ac:dyDescent="0.25">
      <c r="A269" s="361" t="s">
        <v>674</v>
      </c>
      <c r="B269" s="351">
        <v>-0.19500000000000001</v>
      </c>
    </row>
    <row r="270" spans="1:2" x14ac:dyDescent="0.25">
      <c r="A270" s="361" t="s">
        <v>675</v>
      </c>
      <c r="B270" s="351">
        <v>0.16899999999999998</v>
      </c>
    </row>
    <row r="271" spans="1:2" x14ac:dyDescent="0.25">
      <c r="A271" s="361" t="s">
        <v>676</v>
      </c>
      <c r="B271" s="351">
        <v>1.3000000000000001E-2</v>
      </c>
    </row>
    <row r="272" spans="1:2" x14ac:dyDescent="0.25">
      <c r="A272" s="361" t="s">
        <v>677</v>
      </c>
      <c r="B272" s="351">
        <v>-1.6E-2</v>
      </c>
    </row>
    <row r="273" spans="1:2" x14ac:dyDescent="0.25">
      <c r="A273" s="361" t="s">
        <v>678</v>
      </c>
      <c r="B273" s="351">
        <v>4.8000000000000001E-2</v>
      </c>
    </row>
    <row r="274" spans="1:2" x14ac:dyDescent="0.25">
      <c r="A274" s="362" t="s">
        <v>679</v>
      </c>
      <c r="B274" s="351">
        <v>1.2999999999999999E-2</v>
      </c>
    </row>
    <row r="275" spans="1:2" x14ac:dyDescent="0.25">
      <c r="A275" s="405" t="s">
        <v>680</v>
      </c>
      <c r="B275" s="404">
        <v>0.01</v>
      </c>
    </row>
    <row r="276" spans="1:2" x14ac:dyDescent="0.25">
      <c r="A276" t="s">
        <v>681</v>
      </c>
      <c r="B276">
        <v>8.0000000000000487E-3</v>
      </c>
    </row>
  </sheetData>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5F93A-61B9-45CE-BDCA-14FC6710C201}">
  <sheetPr codeName="Sheet33"/>
  <dimension ref="A1"/>
  <sheetViews>
    <sheetView workbookViewId="0"/>
  </sheetViews>
  <sheetFormatPr defaultRowHeight="15" x14ac:dyDescent="0.25"/>
  <sheetData/>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78FCB-294F-46BC-8E8D-B41DF895AEC0}">
  <sheetPr codeName="Sheet34"/>
  <dimension ref="A1"/>
  <sheetViews>
    <sheetView workbookViewId="0"/>
  </sheetViews>
  <sheetFormatPr defaultRowHeight="15" x14ac:dyDescent="0.25"/>
  <sheetData/>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E2BC4-8145-42DB-8BF6-4126771A144C}">
  <sheetPr codeName="Sheet35"/>
  <dimension ref="A1:F89"/>
  <sheetViews>
    <sheetView workbookViewId="0"/>
  </sheetViews>
  <sheetFormatPr defaultColWidth="8.7109375" defaultRowHeight="15" x14ac:dyDescent="0.25"/>
  <cols>
    <col min="1" max="1" width="37.5703125" style="166" customWidth="1"/>
    <col min="2" max="2" width="32.5703125" style="166" customWidth="1"/>
    <col min="3" max="3" width="17.28515625" style="166" bestFit="1" customWidth="1"/>
    <col min="4" max="4" width="11.85546875" style="166" bestFit="1" customWidth="1"/>
    <col min="5" max="5" width="10.85546875" style="166" bestFit="1" customWidth="1"/>
    <col min="6" max="6" width="11.7109375" style="166" bestFit="1" customWidth="1"/>
    <col min="7" max="16384" width="8.7109375" style="166"/>
  </cols>
  <sheetData>
    <row r="1" spans="1:6" x14ac:dyDescent="0.25">
      <c r="A1" s="180" t="s">
        <v>0</v>
      </c>
      <c r="B1" s="180" t="s">
        <v>238</v>
      </c>
      <c r="C1" s="180" t="s">
        <v>1059</v>
      </c>
      <c r="D1" s="238" t="s">
        <v>240</v>
      </c>
      <c r="E1" s="239" t="s">
        <v>375</v>
      </c>
      <c r="F1" s="180" t="s">
        <v>1052</v>
      </c>
    </row>
    <row r="2" spans="1:6" x14ac:dyDescent="0.25">
      <c r="A2" s="186">
        <f>'Ref-Data'!A2</f>
        <v>1100000141</v>
      </c>
      <c r="B2" s="186" t="str">
        <f>'Mambu Name'!A2</f>
        <v>THE ADVENTURE BAR CO LIMITED</v>
      </c>
      <c r="C2" s="186" t="str">
        <f>'Mambu Name'!B2</f>
        <v>00158000007tFZL</v>
      </c>
      <c r="D2" s="186">
        <f>'Ref-Data'!B2</f>
        <v>70000</v>
      </c>
      <c r="E2" s="206">
        <f>'Ref-Data'!L2</f>
        <v>3.7200000000000004E-2</v>
      </c>
      <c r="F2" s="208" cm="1">
        <f t="array" ref="F2">IFERROR(SUMPRODUCT(--($B:$B=$B2),$D:$D,$E:$E)/SUMIF(B:B,B2,D:D), 0)</f>
        <v>0</v>
      </c>
    </row>
    <row r="3" spans="1:6" x14ac:dyDescent="0.25">
      <c r="A3" s="186">
        <f>'Ref-Data'!A3</f>
        <v>1100000145</v>
      </c>
      <c r="B3" s="186" t="str">
        <f>'Mambu Name'!A3</f>
        <v>PARQUET HOUSE LTD</v>
      </c>
      <c r="C3" s="186" t="str">
        <f>'Mambu Name'!B3</f>
        <v>0015800000YDdtL</v>
      </c>
      <c r="D3" s="186">
        <f>'Ref-Data'!B3</f>
        <v>9722974.0099999998</v>
      </c>
      <c r="E3" s="206">
        <f>'Ref-Data'!L3</f>
        <v>0.1283</v>
      </c>
      <c r="F3" s="208" cm="1">
        <f t="array" ref="F3">IFERROR(SUMPRODUCT(--($B:$B=$B3),$D:$D,$E:$E)/SUMIF(B:B,B3,D:D), 0)</f>
        <v>0</v>
      </c>
    </row>
    <row r="4" spans="1:6" x14ac:dyDescent="0.25">
      <c r="A4" s="186">
        <f>'Ref-Data'!A4</f>
        <v>1100000199</v>
      </c>
      <c r="B4" s="186" t="str">
        <f>'Mambu Name'!A4</f>
        <v>LEON RESTAURANTS LTD</v>
      </c>
      <c r="C4" s="186" t="str">
        <f>'Mambu Name'!B4</f>
        <v>0015800000Eygrp</v>
      </c>
      <c r="D4" s="186">
        <f>'Ref-Data'!B4</f>
        <v>552635</v>
      </c>
      <c r="E4" s="206">
        <f>'Ref-Data'!L4</f>
        <v>7.3000000000000001E-3</v>
      </c>
      <c r="F4" s="208" cm="1">
        <f t="array" ref="F4">IFERROR(SUMPRODUCT(--($B:$B=$B4),$D:$D,$E:$E)/SUMIF(B:B,B4,D:D), 0)</f>
        <v>0</v>
      </c>
    </row>
    <row r="5" spans="1:6" x14ac:dyDescent="0.25">
      <c r="A5" s="186" t="e">
        <f>'Ref-Data'!#REF!</f>
        <v>#REF!</v>
      </c>
      <c r="B5" s="186" t="str">
        <f>'Mambu Name'!A5</f>
        <v>NOTES: MUSIC &amp; COFFEE LIMITED</v>
      </c>
      <c r="C5" s="186" t="str">
        <f>'Mambu Name'!B5</f>
        <v>0015800000blLRK</v>
      </c>
      <c r="D5" s="186" t="e">
        <f>'Ref-Data'!#REF!</f>
        <v>#REF!</v>
      </c>
      <c r="E5" s="206" t="e">
        <f>'Ref-Data'!#REF!</f>
        <v>#REF!</v>
      </c>
      <c r="F5" s="208" cm="1">
        <f t="array" ref="F5">IFERROR(SUMPRODUCT(--($B:$B=$B5),$D:$D,$E:$E)/SUMIF(B:B,B5,D:D), 0)</f>
        <v>0</v>
      </c>
    </row>
    <row r="6" spans="1:6" x14ac:dyDescent="0.25">
      <c r="A6" s="186">
        <f>'Ref-Data'!A5</f>
        <v>1100000198</v>
      </c>
      <c r="B6" s="186" t="str">
        <f>'Mambu Name'!A6</f>
        <v>Z HOTELS COVENT GARDEN LIMITED</v>
      </c>
      <c r="C6" s="186" t="str">
        <f>'Mambu Name'!B6</f>
        <v>0015800000cUbSY</v>
      </c>
      <c r="D6" s="186">
        <f>'Ref-Data'!B5</f>
        <v>750000</v>
      </c>
      <c r="E6" s="206">
        <f>'Ref-Data'!L5</f>
        <v>7.3000000000000001E-3</v>
      </c>
      <c r="F6" s="208" cm="1">
        <f t="array" ref="F6">IFERROR(SUMPRODUCT(--($B:$B=$B6),$D:$D,$E:$E)/SUMIF(B:B,B6,D:D), 0)</f>
        <v>0</v>
      </c>
    </row>
    <row r="7" spans="1:6" x14ac:dyDescent="0.25">
      <c r="A7" s="186">
        <f>'Ref-Data'!A6</f>
        <v>1100000205</v>
      </c>
      <c r="B7" s="186" t="str">
        <f>'Mambu Name'!A7</f>
        <v>HAVZA LIMITED</v>
      </c>
      <c r="C7" s="186" t="str">
        <f>'Mambu Name'!B7</f>
        <v>0015800000gK3M1</v>
      </c>
      <c r="D7" s="186">
        <f>'Ref-Data'!B6</f>
        <v>2016664.01</v>
      </c>
      <c r="E7" s="206">
        <f>'Ref-Data'!L6</f>
        <v>1.03E-2</v>
      </c>
      <c r="F7" s="208" cm="1">
        <f t="array" ref="F7">IFERROR(SUMPRODUCT(--($B:$B=$B7),$D:$D,$E:$E)/SUMIF(B:B,B7,D:D), 0)</f>
        <v>0</v>
      </c>
    </row>
    <row r="8" spans="1:6" x14ac:dyDescent="0.25">
      <c r="A8" s="186">
        <f>'Ref-Data'!A7</f>
        <v>1100000168</v>
      </c>
      <c r="B8" s="186" t="str">
        <f>'Mambu Name'!A8</f>
        <v xml:space="preserve">BRASSERIE BAR CO LIMITED </v>
      </c>
      <c r="C8" s="186" t="str">
        <f>'Mambu Name'!B8</f>
        <v>0015800000WRe2v</v>
      </c>
      <c r="D8" s="186">
        <f>'Ref-Data'!B7</f>
        <v>6474308</v>
      </c>
      <c r="E8" s="206">
        <f>'Ref-Data'!L7</f>
        <v>0.1086</v>
      </c>
      <c r="F8" s="208" cm="1">
        <f t="array" ref="F8">IFERROR(SUMPRODUCT(--($B:$B=$B8),$D:$D,$E:$E)/SUMIF(B:B,B8,D:D), 0)</f>
        <v>0</v>
      </c>
    </row>
    <row r="9" spans="1:6" x14ac:dyDescent="0.25">
      <c r="A9" s="186">
        <f>'Ref-Data'!A8</f>
        <v>1100000209</v>
      </c>
      <c r="B9" s="186" t="str">
        <f>'Mambu Name'!A9</f>
        <v>FIRST BELGRAVIA PROPERTIES LIMITED AND KNIGHTSBRIDGE 422 LIMITED</v>
      </c>
      <c r="C9" s="186" t="str">
        <f>'Mambu Name'!B9</f>
        <v>0015800000tHj5a</v>
      </c>
      <c r="D9" s="186">
        <f>'Ref-Data'!B8</f>
        <v>1500000</v>
      </c>
      <c r="E9" s="206">
        <f>'Ref-Data'!L8</f>
        <v>2.29E-2</v>
      </c>
      <c r="F9" s="208" cm="1">
        <f t="array" ref="F9">IFERROR(SUMPRODUCT(--($B:$B=$B9),$D:$D,$E:$E)/SUMIF(B:B,B9,D:D), 0)</f>
        <v>0</v>
      </c>
    </row>
    <row r="10" spans="1:6" x14ac:dyDescent="0.25">
      <c r="A10" s="186">
        <f>'Ref-Data'!A9</f>
        <v>1100000175</v>
      </c>
      <c r="B10" s="186" t="str">
        <f>'Mambu Name'!A10</f>
        <v>FIRST BELGRAVIA PROPERTIES LIMITED AND KNIGHTSBRIDGE 422 LIMITED</v>
      </c>
      <c r="C10" s="186" t="str">
        <f>'Mambu Name'!B10</f>
        <v>0015800000tHj5a</v>
      </c>
      <c r="D10" s="186">
        <f>'Ref-Data'!B9</f>
        <v>20011058.510000002</v>
      </c>
      <c r="E10" s="206">
        <f>'Ref-Data'!L9</f>
        <v>0.1885</v>
      </c>
      <c r="F10" s="208" cm="1">
        <f t="array" ref="F10">IFERROR(SUMPRODUCT(--($B:$B=$B10),$D:$D,$E:$E)/SUMIF(B:B,B10,D:D), 0)</f>
        <v>0</v>
      </c>
    </row>
    <row r="11" spans="1:6" x14ac:dyDescent="0.25">
      <c r="A11" s="186">
        <f>'Ref-Data'!A10</f>
        <v>1100000144</v>
      </c>
      <c r="B11" s="186" t="str">
        <f>'Mambu Name'!A11</f>
        <v>Z HOTELS HOLBORN LIMITED</v>
      </c>
      <c r="C11" s="186" t="str">
        <f>'Mambu Name'!B11</f>
        <v>0015800000me5DQ</v>
      </c>
      <c r="D11" s="186">
        <f>'Ref-Data'!B10</f>
        <v>4468749.95</v>
      </c>
      <c r="E11" s="206">
        <f>'Ref-Data'!L10</f>
        <v>3.5000000000000001E-3</v>
      </c>
      <c r="F11" s="208" cm="1">
        <f t="array" ref="F11">IFERROR(SUMPRODUCT(--($B:$B=$B11),$D:$D,$E:$E)/SUMIF(B:B,B11,D:D), 0)</f>
        <v>0</v>
      </c>
    </row>
    <row r="12" spans="1:6" x14ac:dyDescent="0.25">
      <c r="A12" s="186">
        <f>'Ref-Data'!A11</f>
        <v>1100000143</v>
      </c>
      <c r="B12" s="186" t="str">
        <f>'Mambu Name'!A12</f>
        <v>RM SECURED DIRECT LENDING PLC</v>
      </c>
      <c r="C12" s="186" t="str">
        <f>'Mambu Name'!B12</f>
        <v>0015800000xkId9</v>
      </c>
      <c r="D12" s="186">
        <f>'Ref-Data'!B11</f>
        <v>206110.05</v>
      </c>
      <c r="E12" s="206">
        <f>'Ref-Data'!L11</f>
        <v>8.8300000000000003E-2</v>
      </c>
      <c r="F12" s="208" cm="1">
        <f t="array" ref="F12">IFERROR(SUMPRODUCT(--($B:$B=$B12),$D:$D,$E:$E)/SUMIF(B:B,B12,D:D), 0)</f>
        <v>0</v>
      </c>
    </row>
    <row r="13" spans="1:6" x14ac:dyDescent="0.25">
      <c r="A13" s="186">
        <f>'Ref-Data'!A12</f>
        <v>1100000153</v>
      </c>
      <c r="B13" s="186" t="str">
        <f>'Mambu Name'!A13</f>
        <v>DAISY GREEN FOOD LIMITED</v>
      </c>
      <c r="C13" s="186" t="str">
        <f>'Mambu Name'!B13</f>
        <v>00158000010bEcS</v>
      </c>
      <c r="D13" s="186">
        <f>'Ref-Data'!B12</f>
        <v>40245859.899999999</v>
      </c>
      <c r="E13" s="206">
        <f>'Ref-Data'!L12</f>
        <v>0.1283</v>
      </c>
      <c r="F13" s="208" cm="1">
        <f t="array" ref="F13">IFERROR(SUMPRODUCT(--($B:$B=$B13),$D:$D,$E:$E)/SUMIF(B:B,B13,D:D), 0)</f>
        <v>0</v>
      </c>
    </row>
    <row r="14" spans="1:6" x14ac:dyDescent="0.25">
      <c r="A14" s="186">
        <f>'Ref-Data'!A13</f>
        <v>1100000151</v>
      </c>
      <c r="B14" s="186" t="str">
        <f>'Mambu Name'!A14</f>
        <v>WHISKEY (BIDCO) LIMITED</v>
      </c>
      <c r="C14" s="186" t="str">
        <f>'Mambu Name'!B14</f>
        <v>00158000013gcxO</v>
      </c>
      <c r="D14" s="186">
        <f>'Ref-Data'!B13</f>
        <v>16818750</v>
      </c>
      <c r="E14" s="206">
        <f>'Ref-Data'!L13</f>
        <v>2.9000000000000002E-3</v>
      </c>
      <c r="F14" s="208" cm="1">
        <f t="array" ref="F14">IFERROR(SUMPRODUCT(--($B:$B=$B14),$D:$D,$E:$E)/SUMIF(B:B,B14,D:D), 0)</f>
        <v>0</v>
      </c>
    </row>
    <row r="15" spans="1:6" x14ac:dyDescent="0.25">
      <c r="A15" s="186">
        <f>'Ref-Data'!A14</f>
        <v>1100000186</v>
      </c>
      <c r="B15" s="186" t="str">
        <f>'Mambu Name'!A15</f>
        <v>GODFREY CONSTRUCTION (LONDON) LTD</v>
      </c>
      <c r="C15" s="186" t="str">
        <f>'Mambu Name'!B15</f>
        <v>0015800001CcLLR</v>
      </c>
      <c r="D15" s="186">
        <f>'Ref-Data'!B14</f>
        <v>172500</v>
      </c>
      <c r="E15" s="206">
        <f>'Ref-Data'!L14</f>
        <v>1.9E-3</v>
      </c>
      <c r="F15" s="208" cm="1">
        <f t="array" ref="F15">IFERROR(SUMPRODUCT(--($B:$B=$B15),$D:$D,$E:$E)/SUMIF(B:B,B15,D:D), 0)</f>
        <v>0</v>
      </c>
    </row>
    <row r="16" spans="1:6" x14ac:dyDescent="0.25">
      <c r="A16" s="186">
        <f>'Ref-Data'!A15</f>
        <v>1100000187</v>
      </c>
      <c r="B16" s="186" t="str">
        <f>'Mambu Name'!A16</f>
        <v>INCEPTION VENTURES GROUP LIMITED &amp; BEDFORD STREET BAR TRADING LIMITED &amp; NEWMAN STREET BAR TRADING LIMITED &amp; BROADGATE CIRCLE BAR TRADING LIMITED</v>
      </c>
      <c r="C16" s="186" t="str">
        <f>'Mambu Name'!B16</f>
        <v>0015800000dRt2K</v>
      </c>
      <c r="D16" s="186">
        <f>'Ref-Data'!B15</f>
        <v>100000</v>
      </c>
      <c r="E16" s="206">
        <f>'Ref-Data'!L15</f>
        <v>1.9E-3</v>
      </c>
      <c r="F16" s="208" cm="1">
        <f t="array" ref="F16">IFERROR(SUMPRODUCT(--($B:$B=$B16),$D:$D,$E:$E)/SUMIF(B:B,B16,D:D), 0)</f>
        <v>0</v>
      </c>
    </row>
    <row r="17" spans="1:6" x14ac:dyDescent="0.25">
      <c r="A17" s="186" t="e">
        <f>'Ref-Data'!#REF!</f>
        <v>#REF!</v>
      </c>
      <c r="B17" s="186" t="str">
        <f>'Mambu Name'!A17</f>
        <v>THE MILL HOTEL LIMITED</v>
      </c>
      <c r="C17" s="186" t="str">
        <f>'Mambu Name'!B17</f>
        <v>0015800000zoDbA</v>
      </c>
      <c r="D17" s="186" t="e">
        <f>'Ref-Data'!#REF!</f>
        <v>#REF!</v>
      </c>
      <c r="E17" s="206" t="e">
        <f>'Ref-Data'!#REF!</f>
        <v>#REF!</v>
      </c>
      <c r="F17" s="208" cm="1">
        <f t="array" ref="F17">IFERROR(SUMPRODUCT(--($B:$B=$B17),$D:$D,$E:$E)/SUMIF(B:B,B17,D:D), 0)</f>
        <v>0</v>
      </c>
    </row>
    <row r="18" spans="1:6" x14ac:dyDescent="0.25">
      <c r="A18" s="186">
        <f>'Ref-Data'!A16</f>
        <v>1100000171</v>
      </c>
      <c r="B18" s="186" t="str">
        <f>'Mambu Name'!A18</f>
        <v>Z HOTELS ZHT LTD</v>
      </c>
      <c r="C18" s="186" t="str">
        <f>'Mambu Name'!B18</f>
        <v>0015800001Eo5rw</v>
      </c>
      <c r="D18" s="186">
        <f>'Ref-Data'!B16</f>
        <v>4965593</v>
      </c>
      <c r="E18" s="206">
        <f>'Ref-Data'!L16</f>
        <v>1.4400000000000001E-2</v>
      </c>
      <c r="F18" s="208" cm="1">
        <f t="array" ref="F18">IFERROR(SUMPRODUCT(--($B:$B=$B18),$D:$D,$E:$E)/SUMIF(B:B,B18,D:D), 0)</f>
        <v>0</v>
      </c>
    </row>
    <row r="19" spans="1:6" x14ac:dyDescent="0.25">
      <c r="A19" s="186">
        <f>'Ref-Data'!A17</f>
        <v>1100000223</v>
      </c>
      <c r="B19" s="186" t="str">
        <f>'Mambu Name'!A19</f>
        <v>INN COLLECTION BIDCO LIMITED</v>
      </c>
      <c r="C19" s="186" t="str">
        <f>'Mambu Name'!B19</f>
        <v>0015800000z8vOY</v>
      </c>
      <c r="D19" s="186">
        <f>'Ref-Data'!B17</f>
        <v>25500000</v>
      </c>
      <c r="E19" s="206">
        <f>'Ref-Data'!L17</f>
        <v>1.84E-2</v>
      </c>
      <c r="F19" s="208" cm="1">
        <f t="array" ref="F19">IFERROR(SUMPRODUCT(--($B:$B=$B19),$D:$D,$E:$E)/SUMIF(B:B,B19,D:D), 0)</f>
        <v>0</v>
      </c>
    </row>
    <row r="20" spans="1:6" x14ac:dyDescent="0.25">
      <c r="A20" s="186">
        <f>'Ref-Data'!A18</f>
        <v>1100000185</v>
      </c>
      <c r="B20" s="186" t="str">
        <f>'Mambu Name'!A20</f>
        <v>GRANITE BIDCO LIMITED</v>
      </c>
      <c r="C20" s="186" t="str">
        <f>'Mambu Name'!B20</f>
        <v>0015800001Pfprh</v>
      </c>
      <c r="D20" s="186">
        <f>'Ref-Data'!B18</f>
        <v>17000000</v>
      </c>
      <c r="E20" s="206">
        <f>'Ref-Data'!L18</f>
        <v>0.1411</v>
      </c>
      <c r="F20" s="208" cm="1">
        <f t="array" ref="F20">IFERROR(SUMPRODUCT(--($B:$B=$B20),$D:$D,$E:$E)/SUMIF(B:B,B20,D:D), 0)</f>
        <v>0</v>
      </c>
    </row>
    <row r="21" spans="1:6" x14ac:dyDescent="0.25">
      <c r="A21" s="186">
        <f>'Ref-Data'!A19</f>
        <v>1100000152</v>
      </c>
      <c r="B21" s="186" t="str">
        <f>'Mambu Name'!A21</f>
        <v>SPT HOLDINGS LIMITED</v>
      </c>
      <c r="C21" s="186" t="str">
        <f>'Mambu Name'!B21</f>
        <v>0015800001GY254</v>
      </c>
      <c r="D21" s="186">
        <f>'Ref-Data'!B19</f>
        <v>8561038</v>
      </c>
      <c r="E21" s="206">
        <f>'Ref-Data'!L19</f>
        <v>2.9000000000000002E-3</v>
      </c>
      <c r="F21" s="208" cm="1">
        <f t="array" ref="F21">IFERROR(SUMPRODUCT(--($B:$B=$B21),$D:$D,$E:$E)/SUMIF(B:B,B21,D:D), 0)</f>
        <v>0</v>
      </c>
    </row>
    <row r="22" spans="1:6" x14ac:dyDescent="0.25">
      <c r="A22" s="186">
        <f>'Ref-Data'!A20</f>
        <v>1100000002</v>
      </c>
      <c r="B22" s="186" t="str">
        <f>'Mambu Name'!A22</f>
        <v>OSF (UK) II LIMITED</v>
      </c>
      <c r="C22" s="186" t="str">
        <f>'Mambu Name'!B22</f>
        <v>0015800001ETMkR</v>
      </c>
      <c r="D22" s="186">
        <f>'Ref-Data'!B20</f>
        <v>1713309.8</v>
      </c>
      <c r="E22" s="206">
        <f>'Ref-Data'!L20</f>
        <v>1.03E-2</v>
      </c>
      <c r="F22" s="208" cm="1">
        <f t="array" ref="F22">IFERROR(SUMPRODUCT(--($B:$B=$B22),$D:$D,$E:$E)/SUMIF(B:B,B22,D:D), 0)</f>
        <v>0</v>
      </c>
    </row>
    <row r="23" spans="1:6" x14ac:dyDescent="0.25">
      <c r="A23" s="186">
        <f>'Ref-Data'!A21</f>
        <v>1100000202</v>
      </c>
      <c r="B23" s="186" t="str">
        <f>'Mambu Name'!A23</f>
        <v>CW LIGHTING TECHNOLOGY LIMITED</v>
      </c>
      <c r="C23" s="186" t="str">
        <f>'Mambu Name'!B23</f>
        <v>0015800001RCD9k</v>
      </c>
      <c r="D23" s="186">
        <f>'Ref-Data'!B21</f>
        <v>1875502.42</v>
      </c>
      <c r="E23" s="206">
        <f>'Ref-Data'!L21</f>
        <v>1.7600000000000001E-2</v>
      </c>
      <c r="F23" s="208" cm="1">
        <f t="array" ref="F23">IFERROR(SUMPRODUCT(--($B:$B=$B23),$D:$D,$E:$E)/SUMIF(B:B,B23,D:D), 0)</f>
        <v>0</v>
      </c>
    </row>
    <row r="24" spans="1:6" x14ac:dyDescent="0.25">
      <c r="A24" s="186">
        <f>'Ref-Data'!A22</f>
        <v>1100000203</v>
      </c>
      <c r="B24" s="186" t="str">
        <f>'Mambu Name'!A24</f>
        <v>THORNROSE LIMITED</v>
      </c>
      <c r="C24" s="186" t="str">
        <f>'Mambu Name'!B24</f>
        <v>0015800000YDm0R</v>
      </c>
      <c r="D24" s="186">
        <f>'Ref-Data'!B22</f>
        <v>420249.57</v>
      </c>
      <c r="E24" s="206">
        <f>'Ref-Data'!L22</f>
        <v>3.5000000000000001E-3</v>
      </c>
      <c r="F24" s="208" cm="1">
        <f t="array" ref="F24">IFERROR(SUMPRODUCT(--($B:$B=$B24),$D:$D,$E:$E)/SUMIF(B:B,B24,D:D), 0)</f>
        <v>0</v>
      </c>
    </row>
    <row r="25" spans="1:6" x14ac:dyDescent="0.25">
      <c r="A25" s="186">
        <f>'Ref-Data'!A23</f>
        <v>1100000184</v>
      </c>
      <c r="B25" s="186" t="str">
        <f>'Mambu Name'!A25</f>
        <v>ORTUS SECURED FINANCE IV LIMITED</v>
      </c>
      <c r="C25" s="186" t="str">
        <f>'Mambu Name'!B25</f>
        <v>0015800001M8mvI</v>
      </c>
      <c r="D25" s="186">
        <f>'Ref-Data'!B23</f>
        <v>5250000</v>
      </c>
      <c r="E25" s="206">
        <f>'Ref-Data'!L23</f>
        <v>5.7600000000000005E-2</v>
      </c>
      <c r="F25" s="208" cm="1">
        <f t="array" ref="F25">IFERROR(SUMPRODUCT(--($B:$B=$B25),$D:$D,$E:$E)/SUMIF(B:B,B25,D:D), 0)</f>
        <v>0</v>
      </c>
    </row>
    <row r="26" spans="1:6" x14ac:dyDescent="0.25">
      <c r="A26" s="186">
        <f>'Ref-Data'!A24</f>
        <v>1100000182</v>
      </c>
      <c r="B26" s="186" t="str">
        <f>'Mambu Name'!A26</f>
        <v>RED OAK TAVERNS LIMITED &amp; BATH AND STRATFORD HOMES (TC) LIMITED</v>
      </c>
      <c r="C26" s="186" t="str">
        <f>'Mambu Name'!B26</f>
        <v>00158000007tHga</v>
      </c>
      <c r="D26" s="186">
        <f>'Ref-Data'!B24</f>
        <v>1000000</v>
      </c>
      <c r="E26" s="206">
        <f>'Ref-Data'!L24</f>
        <v>5.7600000000000005E-2</v>
      </c>
      <c r="F26" s="208" cm="1">
        <f t="array" ref="F26">IFERROR(SUMPRODUCT(--($B:$B=$B26),$D:$D,$E:$E)/SUMIF(B:B,B26,D:D), 0)</f>
        <v>0</v>
      </c>
    </row>
    <row r="27" spans="1:6" x14ac:dyDescent="0.25">
      <c r="A27" s="186">
        <f>'Ref-Data'!A25</f>
        <v>1100000130</v>
      </c>
      <c r="B27" s="186" t="str">
        <f>'Mambu Name'!A27</f>
        <v>ICG-LONGBOW SENIOR SECURED UK PROPERTY DEBT INVESTMENTS LIMITED</v>
      </c>
      <c r="C27" s="186" t="str">
        <f>'Mambu Name'!B27</f>
        <v>0015800001La8jV</v>
      </c>
      <c r="D27" s="186">
        <f>'Ref-Data'!B25</f>
        <v>2306250</v>
      </c>
      <c r="E27" s="206">
        <f>'Ref-Data'!L25</f>
        <v>6.0000000000000001E-3</v>
      </c>
      <c r="F27" s="208" cm="1">
        <f t="array" ref="F27">IFERROR(SUMPRODUCT(--($B:$B=$B27),$D:$D,$E:$E)/SUMIF(B:B,B27,D:D), 0)</f>
        <v>0</v>
      </c>
    </row>
    <row r="28" spans="1:6" x14ac:dyDescent="0.25">
      <c r="A28" s="186">
        <f>'Ref-Data'!A26</f>
        <v>1100000190</v>
      </c>
      <c r="B28" s="186" t="str">
        <f>'Mambu Name'!A28</f>
        <v>CLIVEDALE OVERSEAS LIMITED</v>
      </c>
      <c r="C28" s="186" t="str">
        <f>'Mambu Name'!B28</f>
        <v>0015800000gJuyC</v>
      </c>
      <c r="D28" s="186">
        <f>'Ref-Data'!B26</f>
        <v>16000000</v>
      </c>
      <c r="E28" s="206">
        <f>'Ref-Data'!L26</f>
        <v>2.1899999999999999E-2</v>
      </c>
      <c r="F28" s="208" cm="1">
        <f t="array" ref="F28">IFERROR(SUMPRODUCT(--($B:$B=$B28),$D:$D,$E:$E)/SUMIF(B:B,B28,D:D), 0)</f>
        <v>0</v>
      </c>
    </row>
    <row r="29" spans="1:6" x14ac:dyDescent="0.25">
      <c r="A29" s="186">
        <f>'Ref-Data'!A27</f>
        <v>1100000191</v>
      </c>
      <c r="B29" s="186" t="str">
        <f>'Mambu Name'!A29</f>
        <v>Z CHA HOLDCO LTD</v>
      </c>
      <c r="C29" s="186" t="str">
        <f>'Mambu Name'!B29</f>
        <v>0015800001b11sC</v>
      </c>
      <c r="D29" s="186">
        <f>'Ref-Data'!B27</f>
        <v>3950000</v>
      </c>
      <c r="E29" s="206">
        <f>'Ref-Data'!L27</f>
        <v>2.1899999999999999E-2</v>
      </c>
      <c r="F29" s="208" cm="1">
        <f t="array" ref="F29">IFERROR(SUMPRODUCT(--($B:$B=$B29),$D:$D,$E:$E)/SUMIF(B:B,B29,D:D), 0)</f>
        <v>0</v>
      </c>
    </row>
    <row r="30" spans="1:6" x14ac:dyDescent="0.25">
      <c r="A30" s="186">
        <f>'Ref-Data'!A28</f>
        <v>1100000004</v>
      </c>
      <c r="B30" s="186" t="str">
        <f>'Mambu Name'!A30</f>
        <v>LITTLE EXPLORERS DAY CARE NURSERY LIMITED</v>
      </c>
      <c r="C30" s="186" t="str">
        <f>'Mambu Name'!B30</f>
        <v>0015800000zf8DT</v>
      </c>
      <c r="D30" s="186">
        <f>'Ref-Data'!B28</f>
        <v>1254060</v>
      </c>
      <c r="E30" s="206">
        <f>'Ref-Data'!L28</f>
        <v>2.6000000000000003E-3</v>
      </c>
      <c r="F30" s="208" cm="1">
        <f t="array" ref="F30">IFERROR(SUMPRODUCT(--($B:$B=$B30),$D:$D,$E:$E)/SUMIF(B:B,B30,D:D), 0)</f>
        <v>0</v>
      </c>
    </row>
    <row r="31" spans="1:6" x14ac:dyDescent="0.25">
      <c r="A31" s="186">
        <f>'Ref-Data'!A29</f>
        <v>1100000005</v>
      </c>
      <c r="B31" s="186" t="str">
        <f>'Mambu Name'!A31</f>
        <v>REGAL HOLDCO LTD</v>
      </c>
      <c r="C31" s="186" t="str">
        <f>'Mambu Name'!B31</f>
        <v>0015800001ZPawl</v>
      </c>
      <c r="D31" s="186">
        <f>'Ref-Data'!B29</f>
        <v>2107734</v>
      </c>
      <c r="E31" s="206">
        <f>'Ref-Data'!L29</f>
        <v>9.300000000000001E-3</v>
      </c>
      <c r="F31" s="208" cm="1">
        <f t="array" ref="F31">IFERROR(SUMPRODUCT(--($B:$B=$B31),$D:$D,$E:$E)/SUMIF(B:B,B31,D:D), 0)</f>
        <v>0</v>
      </c>
    </row>
    <row r="32" spans="1:6" x14ac:dyDescent="0.25">
      <c r="A32" s="186">
        <f>'Ref-Data'!A30</f>
        <v>1200000152</v>
      </c>
      <c r="B32" s="186" t="str">
        <f>'Mambu Name'!A32</f>
        <v>CARE CONCERN MANAGEMENT OA LIMITED (f.k.a. CARE CONCERN (LEEDS) LIMITED)</v>
      </c>
      <c r="C32" s="186" t="str">
        <f>'Mambu Name'!B32</f>
        <v>0015800001fH29a</v>
      </c>
      <c r="D32" s="186">
        <f>'Ref-Data'!B30</f>
        <v>3500000</v>
      </c>
      <c r="E32" s="206">
        <f>'Ref-Data'!L30</f>
        <v>2.29E-2</v>
      </c>
      <c r="F32" s="208" cm="1">
        <f t="array" ref="F32">IFERROR(SUMPRODUCT(--($B:$B=$B32),$D:$D,$E:$E)/SUMIF(B:B,B32,D:D), 0)</f>
        <v>0</v>
      </c>
    </row>
    <row r="33" spans="1:6" x14ac:dyDescent="0.25">
      <c r="A33" s="186">
        <f>'Ref-Data'!A31</f>
        <v>1200000128</v>
      </c>
      <c r="B33" s="186" t="str">
        <f>'Mambu Name'!A33</f>
        <v>LH BRIDGING 1 LIMITED</v>
      </c>
      <c r="C33" s="186" t="str">
        <f>'Mambu Name'!B33</f>
        <v>0014I00001hceab</v>
      </c>
      <c r="D33" s="186">
        <f>'Ref-Data'!B31</f>
        <v>1027839.57</v>
      </c>
      <c r="E33" s="206">
        <f>'Ref-Data'!L31</f>
        <v>9.9000000000000008E-3</v>
      </c>
      <c r="F33" s="208" cm="1">
        <f t="array" ref="F33">IFERROR(SUMPRODUCT(--($B:$B=$B33),$D:$D,$E:$E)/SUMIF(B:B,B33,D:D), 0)</f>
        <v>0</v>
      </c>
    </row>
    <row r="34" spans="1:6" x14ac:dyDescent="0.25">
      <c r="A34" s="186">
        <f>'Ref-Data'!A32</f>
        <v>1200000130</v>
      </c>
      <c r="B34" s="186" t="str">
        <f>'Mambu Name'!A34</f>
        <v>SIRE OLD RAVEN LIMITED AND OLD RAVEN LIMITED</v>
      </c>
      <c r="C34" s="186" t="str">
        <f>'Mambu Name'!B34</f>
        <v>0015800001AYjGi</v>
      </c>
      <c r="D34" s="186">
        <f>'Ref-Data'!B32</f>
        <v>1974999.96</v>
      </c>
      <c r="E34" s="206">
        <f>'Ref-Data'!L32</f>
        <v>9.9000000000000008E-3</v>
      </c>
      <c r="F34" s="208" cm="1">
        <f t="array" ref="F34">IFERROR(SUMPRODUCT(--($B:$B=$B34),$D:$D,$E:$E)/SUMIF(B:B,B34,D:D), 0)</f>
        <v>0</v>
      </c>
    </row>
    <row r="35" spans="1:6" x14ac:dyDescent="0.25">
      <c r="A35" s="186" t="e">
        <f>'Ref-Data'!#REF!</f>
        <v>#REF!</v>
      </c>
      <c r="B35" s="186" t="e">
        <f>'Ref-Data'!#REF!</f>
        <v>#REF!</v>
      </c>
      <c r="C35" s="186" t="e">
        <f>'Ref-Data'!#REF!</f>
        <v>#REF!</v>
      </c>
      <c r="D35" s="186" t="e">
        <f>'Ref-Data'!#REF!</f>
        <v>#REF!</v>
      </c>
      <c r="E35" s="206" t="e">
        <f>'Ref-Data'!#REF!</f>
        <v>#REF!</v>
      </c>
      <c r="F35" s="208" cm="1">
        <f t="array" ref="F35">IFERROR(SUMPRODUCT(--($B:$B=$B35),$D:$D,$E:$E)/SUMIF(B:B,B35,D:D), 0)</f>
        <v>0</v>
      </c>
    </row>
    <row r="36" spans="1:6" x14ac:dyDescent="0.25">
      <c r="A36" s="186">
        <f>'Ref-Data'!A33</f>
        <v>1200000001</v>
      </c>
      <c r="B36" s="186" t="str">
        <f>'Mambu Name'!A35</f>
        <v>CHILLGRO ONE LIMITED AND GROWELL HYDROPONICS AND PLANT LIGHTING LTD</v>
      </c>
      <c r="C36" s="186" t="str">
        <f>'Mambu Name'!B35</f>
        <v>0014I00001kSfum</v>
      </c>
      <c r="D36" s="186">
        <f>'Ref-Data'!B33</f>
        <v>529567.98</v>
      </c>
      <c r="E36" s="206">
        <f>'Ref-Data'!L33</f>
        <v>3.5000000000000001E-3</v>
      </c>
      <c r="F36" s="208" cm="1">
        <f t="array" ref="F36">IFERROR(SUMPRODUCT(--($B:$B=$B36),$D:$D,$E:$E)/SUMIF(B:B,B36,D:D), 0)</f>
        <v>0</v>
      </c>
    </row>
    <row r="37" spans="1:6" x14ac:dyDescent="0.25">
      <c r="A37" s="186" t="e">
        <f>'Ref-Data'!#REF!</f>
        <v>#REF!</v>
      </c>
      <c r="B37" s="186" t="str">
        <f>'Mambu Name'!A36</f>
        <v>ONCOREIT LIMITED</v>
      </c>
      <c r="C37" s="186" t="str">
        <f>'Mambu Name'!B36</f>
        <v>0014I00001i941O</v>
      </c>
      <c r="D37" s="186" t="e">
        <f>'Ref-Data'!#REF!</f>
        <v>#REF!</v>
      </c>
      <c r="E37" s="206" t="e">
        <f>'Ref-Data'!#REF!</f>
        <v>#REF!</v>
      </c>
      <c r="F37" s="208" cm="1">
        <f t="array" ref="F37">IFERROR(SUMPRODUCT(--($B:$B=$B37),$D:$D,$E:$E)/SUMIF(B:B,B37,D:D), 0)</f>
        <v>0</v>
      </c>
    </row>
    <row r="38" spans="1:6" x14ac:dyDescent="0.25">
      <c r="A38" s="186">
        <f>'Ref-Data'!A34</f>
        <v>1200000131</v>
      </c>
      <c r="B38" s="186" t="str">
        <f>'Mambu Name'!A37</f>
        <v>ONCOREIT LIMITED</v>
      </c>
      <c r="C38" s="186" t="str">
        <f>'Mambu Name'!B37</f>
        <v>0014I00001i941O</v>
      </c>
      <c r="D38" s="186">
        <f>'Ref-Data'!B34</f>
        <v>4262424.9000000004</v>
      </c>
      <c r="E38" s="206">
        <f>'Ref-Data'!L34</f>
        <v>1.4400000000000001E-2</v>
      </c>
      <c r="F38" s="208" cm="1">
        <f t="array" ref="F38">IFERROR(SUMPRODUCT(--($B:$B=$B38),$D:$D,$E:$E)/SUMIF(B:B,B38,D:D), 0)</f>
        <v>0</v>
      </c>
    </row>
    <row r="39" spans="1:6" x14ac:dyDescent="0.25">
      <c r="A39" s="186">
        <f>'Ref-Data'!A35</f>
        <v>1200000149</v>
      </c>
      <c r="B39" s="186" t="str">
        <f>'Mambu Name'!A38</f>
        <v>BXTR LTD</v>
      </c>
      <c r="C39" s="186" t="str">
        <f>'Mambu Name'!B38</f>
        <v>0015800001cfgV5</v>
      </c>
      <c r="D39" s="186">
        <f>'Ref-Data'!B35</f>
        <v>998648</v>
      </c>
      <c r="E39" s="206">
        <f>'Ref-Data'!L35</f>
        <v>1.03E-2</v>
      </c>
      <c r="F39" s="208" cm="1">
        <f t="array" ref="F39">IFERROR(SUMPRODUCT(--($B:$B=$B39),$D:$D,$E:$E)/SUMIF(B:B,B39,D:D), 0)</f>
        <v>0</v>
      </c>
    </row>
    <row r="40" spans="1:6" x14ac:dyDescent="0.25">
      <c r="A40" s="186">
        <f>'Ref-Data'!A36</f>
        <v>1200000148</v>
      </c>
      <c r="B40" s="186" t="str">
        <f>'Mambu Name'!A39</f>
        <v>CARE CONCERN MANAGEMENT OA LIMITED (f.k.a. CARE CONCERN (LEEDS) LIMITED)</v>
      </c>
      <c r="C40" s="186" t="str">
        <f>'Mambu Name'!B39</f>
        <v>0015800001fH29a</v>
      </c>
      <c r="D40" s="186">
        <f>'Ref-Data'!B36</f>
        <v>2000000</v>
      </c>
      <c r="E40" s="206">
        <f>'Ref-Data'!L36</f>
        <v>1.03E-2</v>
      </c>
      <c r="F40" s="208" cm="1">
        <f t="array" ref="F40">IFERROR(SUMPRODUCT(--($B:$B=$B40),$D:$D,$E:$E)/SUMIF(B:B,B40,D:D), 0)</f>
        <v>0</v>
      </c>
    </row>
    <row r="41" spans="1:6" x14ac:dyDescent="0.25">
      <c r="A41" s="186">
        <f>'Ref-Data'!A37</f>
        <v>1200000125</v>
      </c>
      <c r="B41" s="186" t="str">
        <f>'Mambu Name'!A40</f>
        <v>LANOS EXCEL PROPCO LIMITED</v>
      </c>
      <c r="C41" s="186" t="str">
        <f>'Mambu Name'!B40</f>
        <v>0014I00001j8PZ3</v>
      </c>
      <c r="D41" s="186">
        <f>'Ref-Data'!B37</f>
        <v>980000</v>
      </c>
      <c r="E41" s="206">
        <f>'Ref-Data'!L37</f>
        <v>1.9599999999999999E-2</v>
      </c>
      <c r="F41" s="208" cm="1">
        <f t="array" ref="F41">IFERROR(SUMPRODUCT(--($B:$B=$B41),$D:$D,$E:$E)/SUMIF(B:B,B41,D:D), 0)</f>
        <v>0</v>
      </c>
    </row>
    <row r="42" spans="1:6" x14ac:dyDescent="0.25">
      <c r="A42" s="186">
        <f>'Ref-Data'!A38</f>
        <v>1200000124</v>
      </c>
      <c r="B42" s="186" t="str">
        <f>'Mambu Name'!A41</f>
        <v>LINCOLN PLAZA HOTEL CO LIMITED</v>
      </c>
      <c r="C42" s="186" t="str">
        <f>'Mambu Name'!B41</f>
        <v>0014I00001oIXfG</v>
      </c>
      <c r="D42" s="186">
        <f>'Ref-Data'!B38</f>
        <v>750000</v>
      </c>
      <c r="E42" s="206">
        <f>'Ref-Data'!L38</f>
        <v>1.9599999999999999E-2</v>
      </c>
      <c r="F42" s="208" cm="1">
        <f t="array" ref="F42">IFERROR(SUMPRODUCT(--($B:$B=$B42),$D:$D,$E:$E)/SUMIF(B:B,B42,D:D), 0)</f>
        <v>0</v>
      </c>
    </row>
    <row r="43" spans="1:6" x14ac:dyDescent="0.25">
      <c r="A43" s="186">
        <f>'Ref-Data'!A39</f>
        <v>1200000127</v>
      </c>
      <c r="B43" s="186" t="str">
        <f>'Mambu Name'!A42</f>
        <v>CASA ITALIAN RESTAURANTS LTD</v>
      </c>
      <c r="C43" s="186" t="str">
        <f>'Mambu Name'!B42</f>
        <v>0014I00001pussv</v>
      </c>
      <c r="D43" s="186">
        <f>'Ref-Data'!B39</f>
        <v>902500</v>
      </c>
      <c r="E43" s="206">
        <f>'Ref-Data'!L39</f>
        <v>1.9599999999999999E-2</v>
      </c>
      <c r="F43" s="208" cm="1">
        <f t="array" ref="F43">IFERROR(SUMPRODUCT(--($B:$B=$B43),$D:$D,$E:$E)/SUMIF(B:B,B43,D:D), 0)</f>
        <v>0</v>
      </c>
    </row>
    <row r="44" spans="1:6" x14ac:dyDescent="0.25">
      <c r="A44" s="186">
        <f>'Ref-Data'!A40</f>
        <v>1200000132</v>
      </c>
      <c r="B44" s="186" t="str">
        <f>'Mambu Name'!A43</f>
        <v xml:space="preserve">LV HOLDINGS LIMITED , BONNE NUIT CHEVAL LIMITED, LV SJ HOLDINGS LIMITED &amp; LV (IOM) LIMITED </v>
      </c>
      <c r="C44" s="186" t="str">
        <f>'Mambu Name'!B43</f>
        <v>0014I00001r5fd0</v>
      </c>
      <c r="D44" s="186">
        <f>'Ref-Data'!B40</f>
        <v>3634267.09</v>
      </c>
      <c r="E44" s="206">
        <f>'Ref-Data'!L40</f>
        <v>0.1885</v>
      </c>
      <c r="F44" s="208" cm="1">
        <f t="array" ref="F44">IFERROR(SUMPRODUCT(--($B:$B=$B44),$D:$D,$E:$E)/SUMIF(B:B,B44,D:D), 0)</f>
        <v>0</v>
      </c>
    </row>
    <row r="45" spans="1:6" x14ac:dyDescent="0.25">
      <c r="A45" s="186">
        <f>'Ref-Data'!A41</f>
        <v>1200000133</v>
      </c>
      <c r="B45" s="186" t="str">
        <f>'Mambu Name'!A44</f>
        <v xml:space="preserve">LV HOLDINGS LIMITED , BONNE NUIT CHEVAL LIMITED, LV SJ HOLDINGS LIMITED &amp; LV (IOM) LIMITED </v>
      </c>
      <c r="C45" s="186" t="str">
        <f>'Mambu Name'!B44</f>
        <v>0014I00001r5fd0</v>
      </c>
      <c r="D45" s="186">
        <f>'Ref-Data'!B41</f>
        <v>500000</v>
      </c>
      <c r="E45" s="206">
        <f>'Ref-Data'!L41</f>
        <v>8.7000000000000011E-3</v>
      </c>
      <c r="F45" s="208" cm="1">
        <f t="array" ref="F45">IFERROR(SUMPRODUCT(--($B:$B=$B45),$D:$D,$E:$E)/SUMIF(B:B,B45,D:D), 0)</f>
        <v>0</v>
      </c>
    </row>
    <row r="46" spans="1:6" x14ac:dyDescent="0.25">
      <c r="A46" s="186">
        <f>'Ref-Data'!A42</f>
        <v>1200000134</v>
      </c>
      <c r="B46" s="186" t="str">
        <f>'Mambu Name'!A45</f>
        <v>BRIGHT MINDS DAYCARE LIMITED</v>
      </c>
      <c r="C46" s="186" t="str">
        <f>'Mambu Name'!B45</f>
        <v>0014I00001opoBg</v>
      </c>
      <c r="D46" s="186">
        <f>'Ref-Data'!B42</f>
        <v>487998.51</v>
      </c>
      <c r="E46" s="206">
        <f>'Ref-Data'!L42</f>
        <v>8.7000000000000011E-3</v>
      </c>
      <c r="F46" s="208" cm="1">
        <f t="array" ref="F46">IFERROR(SUMPRODUCT(--($B:$B=$B46),$D:$D,$E:$E)/SUMIF(B:B,B46,D:D), 0)</f>
        <v>0</v>
      </c>
    </row>
    <row r="47" spans="1:6" x14ac:dyDescent="0.25">
      <c r="A47" s="186">
        <f>'Ref-Data'!A43</f>
        <v>1200000157</v>
      </c>
      <c r="B47" s="186" t="str">
        <f>'Mambu Name'!A46</f>
        <v>THE ABBOTSHURST GROUP LIMITED</v>
      </c>
      <c r="C47" s="186" t="str">
        <f>'Mambu Name'!B46</f>
        <v>0014I00001rXgT9</v>
      </c>
      <c r="D47" s="186">
        <f>'Ref-Data'!B43</f>
        <v>1882882.88</v>
      </c>
      <c r="E47" s="206">
        <f>'Ref-Data'!L43</f>
        <v>1.23E-2</v>
      </c>
      <c r="F47" s="208" cm="1">
        <f t="array" ref="F47">IFERROR(SUMPRODUCT(--($B:$B=$B47),$D:$D,$E:$E)/SUMIF(B:B,B47,D:D), 0)</f>
        <v>0</v>
      </c>
    </row>
    <row r="48" spans="1:6" x14ac:dyDescent="0.25">
      <c r="A48" s="186">
        <f>'Ref-Data'!A44</f>
        <v>1200000002</v>
      </c>
      <c r="B48" s="186" t="str">
        <f>'Mambu Name'!A47</f>
        <v>NEPTUNE 789 LIMITED</v>
      </c>
      <c r="C48" s="186" t="str">
        <f>'Mambu Name'!B47</f>
        <v>0014I00001tNfla</v>
      </c>
      <c r="D48" s="186">
        <f>'Ref-Data'!B44</f>
        <v>15000000</v>
      </c>
      <c r="E48" s="206">
        <f>'Ref-Data'!L44</f>
        <v>4.7000000000000002E-3</v>
      </c>
      <c r="F48" s="208" cm="1">
        <f t="array" ref="F48">IFERROR(SUMPRODUCT(--($B:$B=$B48),$D:$D,$E:$E)/SUMIF(B:B,B48,D:D), 0)</f>
        <v>0</v>
      </c>
    </row>
    <row r="49" spans="1:6" x14ac:dyDescent="0.25">
      <c r="A49" s="186">
        <f>'Ref-Data'!A45</f>
        <v>1100000225</v>
      </c>
      <c r="B49" s="186" t="str">
        <f>'Mambu Name'!A48</f>
        <v>MOORLANDS HEALTHCARE LIMITED</v>
      </c>
      <c r="C49" s="186" t="str">
        <f>'Mambu Name'!B48</f>
        <v>0014I00001oqqTN</v>
      </c>
      <c r="D49" s="186">
        <f>'Ref-Data'!B45</f>
        <v>15000000</v>
      </c>
      <c r="E49" s="206">
        <f>'Ref-Data'!L45</f>
        <v>4.7000000000000002E-3</v>
      </c>
      <c r="F49" s="208" cm="1">
        <f t="array" ref="F49">IFERROR(SUMPRODUCT(--($B:$B=$B49),$D:$D,$E:$E)/SUMIF(B:B,B49,D:D), 0)</f>
        <v>0</v>
      </c>
    </row>
    <row r="50" spans="1:6" x14ac:dyDescent="0.25">
      <c r="A50" s="186">
        <f>'Ref-Data'!A46</f>
        <v>1100000111</v>
      </c>
      <c r="B50" s="186" t="str">
        <f>'Mambu Name'!A49</f>
        <v>DSW CAPITAL LIMITED</v>
      </c>
      <c r="C50" s="186" t="str">
        <f>'Mambu Name'!B49</f>
        <v>0014I00001tNMtP</v>
      </c>
      <c r="D50" s="186">
        <f>'Ref-Data'!B46</f>
        <v>1000000</v>
      </c>
      <c r="E50" s="206">
        <f>'Ref-Data'!L46</f>
        <v>3.5000000000000001E-3</v>
      </c>
      <c r="F50" s="208" cm="1">
        <f t="array" ref="F50">IFERROR(SUMPRODUCT(--($B:$B=$B50),$D:$D,$E:$E)/SUMIF(B:B,B50,D:D), 0)</f>
        <v>0</v>
      </c>
    </row>
    <row r="51" spans="1:6" x14ac:dyDescent="0.25">
      <c r="A51" s="186">
        <f>'Ref-Data'!A47</f>
        <v>1100000110</v>
      </c>
      <c r="B51" s="186" t="str">
        <f>'Mambu Name'!A50</f>
        <v>AP BRISTOL NUMBER 3 LIMITED</v>
      </c>
      <c r="C51" s="186" t="str">
        <f>'Mambu Name'!B50</f>
        <v>0014I00001wCsHB</v>
      </c>
      <c r="D51" s="186">
        <f>'Ref-Data'!B47</f>
        <v>340000</v>
      </c>
      <c r="E51" s="206">
        <f>'Ref-Data'!L47</f>
        <v>3.5000000000000001E-3</v>
      </c>
      <c r="F51" s="208" cm="1">
        <f t="array" ref="F51">IFERROR(SUMPRODUCT(--($B:$B=$B51),$D:$D,$E:$E)/SUMIF(B:B,B51,D:D), 0)</f>
        <v>0</v>
      </c>
    </row>
    <row r="52" spans="1:6" x14ac:dyDescent="0.25">
      <c r="A52" s="186">
        <f>'Ref-Data'!A48</f>
        <v>1200000147</v>
      </c>
      <c r="B52" s="186" t="str">
        <f>'Mambu Name'!A51</f>
        <v>BASIL JAMES DEMEROUTIS</v>
      </c>
      <c r="C52" s="186" t="str">
        <f>'Mambu Name'!B51</f>
        <v>0014I00001rYqrM</v>
      </c>
      <c r="D52" s="186">
        <f>'Ref-Data'!B48</f>
        <v>4762825.24</v>
      </c>
      <c r="E52" s="206">
        <f>'Ref-Data'!L48</f>
        <v>1.7600000000000001E-2</v>
      </c>
      <c r="F52" s="208" cm="1">
        <f t="array" ref="F52">IFERROR(SUMPRODUCT(--($B:$B=$B52),$D:$D,$E:$E)/SUMIF(B:B,B52,D:D), 0)</f>
        <v>0</v>
      </c>
    </row>
    <row r="53" spans="1:6" x14ac:dyDescent="0.25">
      <c r="A53" s="186">
        <f>'Ref-Data'!A49</f>
        <v>1200000146</v>
      </c>
      <c r="B53" s="186" t="str">
        <f>'Mambu Name'!A52</f>
        <v>OTTOLENGHI LIMITED</v>
      </c>
      <c r="C53" s="186" t="str">
        <f>'Mambu Name'!B52</f>
        <v>0014I00001zbcqS</v>
      </c>
      <c r="D53" s="186">
        <f>'Ref-Data'!B49</f>
        <v>2100000</v>
      </c>
      <c r="E53" s="206">
        <f>'Ref-Data'!L49</f>
        <v>7.3000000000000001E-3</v>
      </c>
      <c r="F53" s="208" cm="1">
        <f t="array" ref="F53">IFERROR(SUMPRODUCT(--($B:$B=$B53),$D:$D,$E:$E)/SUMIF(B:B,B53,D:D), 0)</f>
        <v>0</v>
      </c>
    </row>
    <row r="54" spans="1:6" x14ac:dyDescent="0.25">
      <c r="A54" s="186">
        <f>'Ref-Data'!A50</f>
        <v>1200000116</v>
      </c>
      <c r="B54" s="186" t="str">
        <f>'Mambu Name'!A53</f>
        <v>STAYCITY INVESTMENTS LIMITED</v>
      </c>
      <c r="C54" s="186" t="str">
        <f>'Mambu Name'!B53</f>
        <v>0014I00001zbxX3</v>
      </c>
      <c r="D54" s="186">
        <f>'Ref-Data'!B50</f>
        <v>405001</v>
      </c>
      <c r="E54" s="206">
        <f>'Ref-Data'!L50</f>
        <v>5.5999999999999999E-3</v>
      </c>
      <c r="F54" s="208" cm="1">
        <f t="array" ref="F54">IFERROR(SUMPRODUCT(--($B:$B=$B54),$D:$D,$E:$E)/SUMIF(B:B,B54,D:D), 0)</f>
        <v>0</v>
      </c>
    </row>
    <row r="55" spans="1:6" x14ac:dyDescent="0.25">
      <c r="A55" s="186">
        <f>'Ref-Data'!A51</f>
        <v>1200000105</v>
      </c>
      <c r="B55" s="186" t="str">
        <f>'Mambu Name'!A54</f>
        <v>WBW CITY HOLDINGS LTD</v>
      </c>
      <c r="C55" s="186" t="str">
        <f>'Mambu Name'!B54</f>
        <v>0014I00001ylZiU</v>
      </c>
      <c r="D55" s="186">
        <f>'Ref-Data'!B51</f>
        <v>1713000.72</v>
      </c>
      <c r="E55" s="206">
        <f>'Ref-Data'!L51</f>
        <v>7.0000000000000001E-3</v>
      </c>
      <c r="F55" s="208" cm="1">
        <f t="array" ref="F55">IFERROR(SUMPRODUCT(--($B:$B=$B55),$D:$D,$E:$E)/SUMIF(B:B,B55,D:D), 0)</f>
        <v>0</v>
      </c>
    </row>
    <row r="56" spans="1:6" x14ac:dyDescent="0.25">
      <c r="A56" s="186">
        <f>'Ref-Data'!A52</f>
        <v>1200000106</v>
      </c>
      <c r="B56" s="186" t="str">
        <f>'Mambu Name'!A55</f>
        <v>KHALIDA KHALID</v>
      </c>
      <c r="C56" s="186" t="str">
        <f>'Mambu Name'!B55</f>
        <v>0014I00001or3M2</v>
      </c>
      <c r="D56" s="186">
        <f>'Ref-Data'!B52</f>
        <v>4156853.67</v>
      </c>
      <c r="E56" s="206">
        <f>'Ref-Data'!L52</f>
        <v>0.10360000000000001</v>
      </c>
      <c r="F56" s="208" cm="1">
        <f t="array" ref="F56">IFERROR(SUMPRODUCT(--($B:$B=$B56),$D:$D,$E:$E)/SUMIF(B:B,B56,D:D), 0)</f>
        <v>0</v>
      </c>
    </row>
    <row r="57" spans="1:6" x14ac:dyDescent="0.25">
      <c r="A57" s="186">
        <f>'Ref-Data'!A53</f>
        <v>1200000135</v>
      </c>
      <c r="B57" s="186" t="str">
        <f>'Mambu Name'!A56</f>
        <v>PONTEFRACT BIDCO LIMITED</v>
      </c>
      <c r="C57" s="186" t="str">
        <f>'Mambu Name'!B56</f>
        <v>0015800000ZxOta</v>
      </c>
      <c r="D57" s="186">
        <f>'Ref-Data'!B53</f>
        <v>5000000</v>
      </c>
      <c r="E57" s="206">
        <f>'Ref-Data'!L53</f>
        <v>0.1411</v>
      </c>
      <c r="F57" s="208" cm="1">
        <f t="array" ref="F57">IFERROR(SUMPRODUCT(--($B:$B=$B57),$D:$D,$E:$E)/SUMIF(B:B,B57,D:D), 0)</f>
        <v>0</v>
      </c>
    </row>
    <row r="58" spans="1:6" x14ac:dyDescent="0.25">
      <c r="A58" s="186">
        <f>'Ref-Data'!A54</f>
        <v>1100000119</v>
      </c>
      <c r="B58" s="186" t="str">
        <f>'Mambu Name'!A57</f>
        <v>LITTLE EXPLORERS DAY CARE NURSERY LIMITED</v>
      </c>
      <c r="C58" s="186" t="str">
        <f>'Mambu Name'!B57</f>
        <v>0015800000zf8DT</v>
      </c>
      <c r="D58" s="186">
        <f>'Ref-Data'!B54</f>
        <v>2999999.95</v>
      </c>
      <c r="E58" s="206">
        <f>'Ref-Data'!L54</f>
        <v>3.2000000000000001E-2</v>
      </c>
      <c r="F58" s="208" cm="1">
        <f t="array" ref="F58">IFERROR(SUMPRODUCT(--($B:$B=$B58),$D:$D,$E:$E)/SUMIF(B:B,B58,D:D), 0)</f>
        <v>0</v>
      </c>
    </row>
    <row r="59" spans="1:6" x14ac:dyDescent="0.25">
      <c r="A59" s="186">
        <f>'Ref-Data'!A55</f>
        <v>1200000111</v>
      </c>
      <c r="B59" s="186" t="str">
        <f>'Mambu Name'!A58</f>
        <v>+VENTURE BATTERSEA LIMITED</v>
      </c>
      <c r="C59" s="186">
        <f>'Mambu Name'!B58</f>
        <v>1</v>
      </c>
      <c r="D59" s="186">
        <f>'Ref-Data'!B55</f>
        <v>266666.56</v>
      </c>
      <c r="E59" s="206">
        <f>'Ref-Data'!L55</f>
        <v>5.0000000000000001E-3</v>
      </c>
      <c r="F59" s="208" cm="1">
        <f t="array" ref="F59">IFERROR(SUMPRODUCT(--($B:$B=$B59),$D:$D,$E:$E)/SUMIF(B:B,B59,D:D), 0)</f>
        <v>0</v>
      </c>
    </row>
    <row r="60" spans="1:6" x14ac:dyDescent="0.25">
      <c r="A60" s="186">
        <f>'Ref-Data'!A56</f>
        <v>1200000112</v>
      </c>
      <c r="B60" s="186" t="str">
        <f>'Mambu Name'!A59</f>
        <v>+VENTURE BATTERSEA LIMITED</v>
      </c>
      <c r="C60" s="186">
        <f>'Mambu Name'!B59</f>
        <v>1</v>
      </c>
      <c r="D60" s="186">
        <f>'Ref-Data'!B56</f>
        <v>300000</v>
      </c>
      <c r="E60" s="206">
        <f>'Ref-Data'!L56</f>
        <v>5.0000000000000001E-3</v>
      </c>
      <c r="F60" s="208" cm="1">
        <f t="array" ref="F60">IFERROR(SUMPRODUCT(--($B:$B=$B60),$D:$D,$E:$E)/SUMIF(B:B,B60,D:D), 0)</f>
        <v>0</v>
      </c>
    </row>
    <row r="61" spans="1:6" x14ac:dyDescent="0.25">
      <c r="A61" s="186">
        <f>'Ref-Data'!A57</f>
        <v>1200000108</v>
      </c>
      <c r="B61" s="186" t="str">
        <f>'Mambu Name'!A60</f>
        <v>DAISY GREEN FOOD LIMITED</v>
      </c>
      <c r="C61" s="186" t="str">
        <f>'Mambu Name'!B60</f>
        <v>00158000010bEcS</v>
      </c>
      <c r="D61" s="186">
        <f>'Ref-Data'!B57</f>
        <v>992000</v>
      </c>
      <c r="E61" s="206">
        <f>'Ref-Data'!L57</f>
        <v>1.3800000000000002E-2</v>
      </c>
      <c r="F61" s="208" cm="1">
        <f t="array" ref="F61">IFERROR(SUMPRODUCT(--($B:$B=$B61),$D:$D,$E:$E)/SUMIF(B:B,B61,D:D), 0)</f>
        <v>0</v>
      </c>
    </row>
    <row r="62" spans="1:6" x14ac:dyDescent="0.25">
      <c r="A62" s="186">
        <f>'Ref-Data'!A58</f>
        <v>1100000126</v>
      </c>
      <c r="B62" s="186" t="str">
        <f>'Mambu Name'!A61</f>
        <v>CASA ITALIAN RESTAURANTS LTD</v>
      </c>
      <c r="C62" s="186" t="str">
        <f>'Mambu Name'!B61</f>
        <v>0014I00001pussv</v>
      </c>
      <c r="D62" s="186">
        <f>'Ref-Data'!B58</f>
        <v>833332</v>
      </c>
      <c r="E62" s="206">
        <f>'Ref-Data'!L58</f>
        <v>3.4000000000000002E-3</v>
      </c>
      <c r="F62" s="208" cm="1">
        <f t="array" ref="F62">IFERROR(SUMPRODUCT(--($B:$B=$B62),$D:$D,$E:$E)/SUMIF(B:B,B62,D:D), 0)</f>
        <v>0</v>
      </c>
    </row>
    <row r="63" spans="1:6" x14ac:dyDescent="0.25">
      <c r="A63" s="186">
        <f>'Ref-Data'!A59</f>
        <v>1100000128</v>
      </c>
      <c r="B63" s="186" t="str">
        <f>'Mambu Name'!A62</f>
        <v>INCEPTION VENTURES GROUP LIMITED &amp; BEDFORD STREET BAR TRADING LIMITED &amp; NEWMAN STREET BAR TRADING LIMITED &amp; BROADGATE CIRCLE BAR TRADING LIMITED</v>
      </c>
      <c r="C63" s="186" t="str">
        <f>'Mambu Name'!B62</f>
        <v>0015800000dRt2K</v>
      </c>
      <c r="D63" s="186">
        <f>'Ref-Data'!B59</f>
        <v>5000000</v>
      </c>
      <c r="E63" s="206">
        <f>'Ref-Data'!L59</f>
        <v>7.3000000000000001E-3</v>
      </c>
      <c r="F63" s="208" cm="1">
        <f t="array" ref="F63">IFERROR(SUMPRODUCT(--($B:$B=$B63),$D:$D,$E:$E)/SUMIF(B:B,B63,D:D), 0)</f>
        <v>0</v>
      </c>
    </row>
    <row r="64" spans="1:6" x14ac:dyDescent="0.25">
      <c r="A64" s="186">
        <f>'Ref-Data'!A60</f>
        <v>1100000136</v>
      </c>
      <c r="B64" s="186" t="str">
        <f>'Mambu Name'!A63</f>
        <v>BRIGHT MINDS DAYCARE LIMITED</v>
      </c>
      <c r="C64" s="186" t="str">
        <f>'Mambu Name'!B63</f>
        <v>0014I00001opoBg</v>
      </c>
      <c r="D64" s="186">
        <f>'Ref-Data'!B60</f>
        <v>2312500</v>
      </c>
      <c r="E64" s="206">
        <f>'Ref-Data'!L60</f>
        <v>1.9300000000000001E-2</v>
      </c>
      <c r="F64" s="208" cm="1">
        <f t="array" ref="F64">IFERROR(SUMPRODUCT(--($B:$B=$B64),$D:$D,$E:$E)/SUMIF(B:B,B64,D:D), 0)</f>
        <v>0</v>
      </c>
    </row>
    <row r="65" spans="1:6" x14ac:dyDescent="0.25">
      <c r="A65" s="186">
        <f>'Ref-Data'!A61</f>
        <v>1200000117</v>
      </c>
      <c r="B65" s="186" t="str">
        <f>'Mambu Name'!A64</f>
        <v>RED OAK TAVERNS LIMITED &amp; BATH AND STRATFORD HOMES (TC) LIMITED</v>
      </c>
      <c r="C65" s="186" t="str">
        <f>'Mambu Name'!B64</f>
        <v>00158000007tHga</v>
      </c>
      <c r="D65" s="186">
        <f>'Ref-Data'!B61</f>
        <v>3000000</v>
      </c>
      <c r="E65" s="206">
        <f>'Ref-Data'!L61</f>
        <v>1.2100000000000001E-2</v>
      </c>
      <c r="F65" s="208" cm="1">
        <f t="array" ref="F65">IFERROR(SUMPRODUCT(--($B:$B=$B65),$D:$D,$E:$E)/SUMIF(B:B,B65,D:D), 0)</f>
        <v>0</v>
      </c>
    </row>
    <row r="66" spans="1:6" x14ac:dyDescent="0.25">
      <c r="A66" s="186">
        <f>'Ref-Data'!A62</f>
        <v>1100000150</v>
      </c>
      <c r="B66" s="186" t="str">
        <f>'Mambu Name'!A65</f>
        <v>INN COLLECTION BIDCO LIMITED</v>
      </c>
      <c r="C66" s="186" t="str">
        <f>'Mambu Name'!B65</f>
        <v>0015800000z8vOY</v>
      </c>
      <c r="D66" s="186">
        <f>'Ref-Data'!B62</f>
        <v>3300873.9</v>
      </c>
      <c r="E66" s="206">
        <f>'Ref-Data'!L62</f>
        <v>1.2100000000000001E-2</v>
      </c>
      <c r="F66" s="208" cm="1">
        <f t="array" ref="F66">IFERROR(SUMPRODUCT(--($B:$B=$B66),$D:$D,$E:$E)/SUMIF(B:B,B66,D:D), 0)</f>
        <v>0</v>
      </c>
    </row>
    <row r="67" spans="1:6" x14ac:dyDescent="0.25">
      <c r="A67" s="186">
        <f>'Ref-Data'!A63</f>
        <v>1200000118</v>
      </c>
      <c r="B67" s="186" t="str">
        <f>'Mambu Name'!A66</f>
        <v>RAW ALPHA PCC LIMITED</v>
      </c>
      <c r="C67" s="186" t="str">
        <f>'Mambu Name'!B66</f>
        <v>0015800001cfhIq</v>
      </c>
      <c r="D67" s="186">
        <f>'Ref-Data'!B63</f>
        <v>5000000</v>
      </c>
      <c r="E67" s="206">
        <f>'Ref-Data'!L63</f>
        <v>2.23E-2</v>
      </c>
      <c r="F67" s="208" cm="1">
        <f t="array" ref="F67">IFERROR(SUMPRODUCT(--($B:$B=$B67),$D:$D,$E:$E)/SUMIF(B:B,B67,D:D), 0)</f>
        <v>0</v>
      </c>
    </row>
    <row r="68" spans="1:6" x14ac:dyDescent="0.25">
      <c r="A68" s="186">
        <f>'Ref-Data'!A64</f>
        <v>1100000157</v>
      </c>
      <c r="B68" s="186" t="str">
        <f>'Mambu Name'!A67</f>
        <v>-</v>
      </c>
      <c r="C68" s="186" t="str">
        <f>'Mambu Name'!B67</f>
        <v>-</v>
      </c>
      <c r="D68" s="186">
        <f>'Ref-Data'!B64</f>
        <v>1500000</v>
      </c>
      <c r="E68" s="206">
        <f>'Ref-Data'!L64</f>
        <v>2.23E-2</v>
      </c>
      <c r="F68" s="208" cm="1">
        <f t="array" ref="F68">IFERROR(SUMPRODUCT(--($B:$B=$B68),$D:$D,$E:$E)/SUMIF(B:B,B68,D:D), 0)</f>
        <v>0</v>
      </c>
    </row>
    <row r="69" spans="1:6" x14ac:dyDescent="0.25">
      <c r="A69" s="186">
        <f>'Ref-Data'!A65</f>
        <v>1200000119</v>
      </c>
      <c r="B69" s="186" t="str">
        <f>'Mambu Name'!A68</f>
        <v>BLUEGEM SECONDARY LP</v>
      </c>
      <c r="C69" s="186" t="str">
        <f>'Mambu Name'!B68</f>
        <v>0014I00001yNmOl</v>
      </c>
      <c r="D69" s="186">
        <f>'Ref-Data'!B65</f>
        <v>3260403</v>
      </c>
      <c r="E69" s="206">
        <f>'Ref-Data'!L65</f>
        <v>1.03E-2</v>
      </c>
      <c r="F69" s="208" cm="1">
        <f t="array" ref="F69">IFERROR(SUMPRODUCT(--($B:$B=$B69),$D:$D,$E:$E)/SUMIF(B:B,B69,D:D), 0)</f>
        <v>0</v>
      </c>
    </row>
    <row r="70" spans="1:6" x14ac:dyDescent="0.25">
      <c r="A70" s="186">
        <f>'Ref-Data'!A66</f>
        <v>1200000120</v>
      </c>
      <c r="B70" s="186" t="str">
        <f>'Mambu Name'!A69</f>
        <v>-</v>
      </c>
      <c r="C70" s="186" t="str">
        <f>'Mambu Name'!B69</f>
        <v>-</v>
      </c>
      <c r="D70" s="186">
        <f>'Ref-Data'!B66</f>
        <v>1739597</v>
      </c>
      <c r="E70" s="206">
        <f>'Ref-Data'!L66</f>
        <v>1.03E-2</v>
      </c>
      <c r="F70" s="208" cm="1">
        <f t="array" ref="F70">IFERROR(SUMPRODUCT(--($B:$B=$B70),$D:$D,$E:$E)/SUMIF(B:B,B70,D:D), 0)</f>
        <v>0</v>
      </c>
    </row>
    <row r="71" spans="1:6" x14ac:dyDescent="0.25">
      <c r="A71" s="186">
        <f>'Ref-Data'!A67</f>
        <v>1200000121</v>
      </c>
      <c r="B71" s="186" t="str">
        <f>'Mambu Name'!A70</f>
        <v>M&amp;B GROUP CARE LTD</v>
      </c>
      <c r="C71" s="186" t="str">
        <f>'Mambu Name'!B70</f>
        <v>0014I000022x28i</v>
      </c>
      <c r="D71" s="186">
        <f>'Ref-Data'!B67</f>
        <v>2300000</v>
      </c>
      <c r="E71" s="206">
        <f>'Ref-Data'!L67</f>
        <v>8.2000000000000007E-3</v>
      </c>
      <c r="F71" s="208" cm="1">
        <f t="array" ref="F71">IFERROR(SUMPRODUCT(--($B:$B=$B71),$D:$D,$E:$E)/SUMIF(B:B,B71,D:D), 0)</f>
        <v>0</v>
      </c>
    </row>
    <row r="72" spans="1:6" x14ac:dyDescent="0.25">
      <c r="A72" s="186">
        <f>'Ref-Data'!A68</f>
        <v>1200000137</v>
      </c>
      <c r="B72" s="186" t="str">
        <f>'Mambu Name'!A71</f>
        <v>QUMRAN CARE LIMITED</v>
      </c>
      <c r="C72" s="186" t="str">
        <f>'Mambu Name'!B71</f>
        <v>0014I00001r51hO</v>
      </c>
      <c r="D72" s="186">
        <f>'Ref-Data'!B68</f>
        <v>1141302.73</v>
      </c>
      <c r="E72" s="206">
        <f>'Ref-Data'!L68</f>
        <v>1.9599999999999999E-2</v>
      </c>
      <c r="F72" s="208" cm="1">
        <f t="array" ref="F72">IFERROR(SUMPRODUCT(--($B:$B=$B72),$D:$D,$E:$E)/SUMIF(B:B,B72,D:D), 0)</f>
        <v>0</v>
      </c>
    </row>
    <row r="73" spans="1:6" x14ac:dyDescent="0.25">
      <c r="A73" s="186">
        <f>'Ref-Data'!A69</f>
        <v>1200000138</v>
      </c>
      <c r="B73" s="186" t="str">
        <f>'Mambu Name'!A72</f>
        <v>-</v>
      </c>
      <c r="C73" s="186" t="str">
        <f>'Mambu Name'!B72</f>
        <v>-</v>
      </c>
      <c r="D73" s="186">
        <f>'Ref-Data'!B69</f>
        <v>418000</v>
      </c>
      <c r="E73" s="206">
        <f>'Ref-Data'!L69</f>
        <v>1.9599999999999999E-2</v>
      </c>
      <c r="F73" s="208" cm="1">
        <f t="array" ref="F73">IFERROR(SUMPRODUCT(--($B:$B=$B73),$D:$D,$E:$E)/SUMIF(B:B,B73,D:D), 0)</f>
        <v>0</v>
      </c>
    </row>
    <row r="74" spans="1:6" x14ac:dyDescent="0.25">
      <c r="A74" s="186">
        <f>'Ref-Data'!A71</f>
        <v>1200000143</v>
      </c>
      <c r="B74" s="186" t="str">
        <f>'Mambu Name'!A73</f>
        <v>REMSONS HOLDINGS LTD</v>
      </c>
      <c r="C74" s="186" t="str">
        <f>'Mambu Name'!B73</f>
        <v>0014I000023fvfX</v>
      </c>
      <c r="D74" s="186">
        <f>'Ref-Data'!B71</f>
        <v>2462727.33</v>
      </c>
      <c r="E74" s="206">
        <f>'Ref-Data'!L71</f>
        <v>8.7000000000000011E-3</v>
      </c>
      <c r="F74" s="208" cm="1">
        <f t="array" ref="F74">IFERROR(SUMPRODUCT(--($B:$B=$B74),$D:$D,$E:$E)/SUMIF(B:B,B74,D:D), 0)</f>
        <v>0</v>
      </c>
    </row>
    <row r="75" spans="1:6" x14ac:dyDescent="0.25">
      <c r="A75" s="186">
        <f>'Ref-Data'!A72</f>
        <v>1200000144</v>
      </c>
      <c r="B75" s="186" t="str">
        <f>'Mambu Name'!A74</f>
        <v>WHISKEY (BIDCO) LIMITED</v>
      </c>
      <c r="C75" s="186" t="str">
        <f>'Mambu Name'!B74</f>
        <v>00158000013gcxO</v>
      </c>
      <c r="D75" s="186">
        <f>'Ref-Data'!B72</f>
        <v>203978</v>
      </c>
      <c r="E75" s="206">
        <f>'Ref-Data'!L72</f>
        <v>1.3800000000000002E-2</v>
      </c>
      <c r="F75" s="208" cm="1">
        <f t="array" ref="F75">IFERROR(SUMPRODUCT(--($B:$B=$B75),$D:$D,$E:$E)/SUMIF(B:B,B75,D:D), 0)</f>
        <v>0</v>
      </c>
    </row>
    <row r="76" spans="1:6" x14ac:dyDescent="0.25">
      <c r="A76" s="186">
        <f>'Ref-Data'!A73</f>
        <v>1200000139</v>
      </c>
      <c r="B76" s="186" t="str">
        <f>'Mambu Name'!A75</f>
        <v xml:space="preserve">FOURTEEN IP GROUP LIMITED </v>
      </c>
      <c r="C76" s="186" t="str">
        <f>'Mambu Name'!B75</f>
        <v>0014I000024HN8p</v>
      </c>
      <c r="D76" s="186">
        <f>'Ref-Data'!B73</f>
        <v>5000000</v>
      </c>
      <c r="E76" s="206">
        <f>'Ref-Data'!L73</f>
        <v>2.69E-2</v>
      </c>
      <c r="F76" s="208" cm="1">
        <f t="array" ref="F76">IFERROR(SUMPRODUCT(--($B:$B=$B76),$D:$D,$E:$E)/SUMIF(B:B,B76,D:D), 0)</f>
        <v>0</v>
      </c>
    </row>
    <row r="77" spans="1:6" x14ac:dyDescent="0.25">
      <c r="A77" s="186">
        <f>'Ref-Data'!A74</f>
        <v>1100000195</v>
      </c>
      <c r="B77" s="186" t="str">
        <f>'Mambu Name'!A76</f>
        <v xml:space="preserve">BRASSERIE BAR CO LIMITED </v>
      </c>
      <c r="C77" s="186" t="str">
        <f>'Mambu Name'!B76</f>
        <v>0015800000WRe2v</v>
      </c>
      <c r="D77" s="186">
        <f>'Ref-Data'!B74</f>
        <v>3000000</v>
      </c>
      <c r="E77" s="206">
        <f>'Ref-Data'!L74</f>
        <v>4.9100000000000005E-2</v>
      </c>
      <c r="F77" s="208" cm="1">
        <f t="array" ref="F77">IFERROR(SUMPRODUCT(--($B:$B=$B77),$D:$D,$E:$E)/SUMIF(B:B,B77,D:D), 0)</f>
        <v>0</v>
      </c>
    </row>
    <row r="78" spans="1:6" x14ac:dyDescent="0.25">
      <c r="A78" s="186">
        <f>'Ref-Data'!A75</f>
        <v>1100000224</v>
      </c>
      <c r="B78" s="186" t="str">
        <f>'Mambu Name'!A77</f>
        <v xml:space="preserve">BRASSERIE BAR CO LIMITED </v>
      </c>
      <c r="C78" s="186" t="str">
        <f>'Mambu Name'!B77</f>
        <v>0015800000WRe2v</v>
      </c>
      <c r="D78" s="186">
        <f>'Ref-Data'!B75</f>
        <v>32000000</v>
      </c>
      <c r="E78" s="206">
        <f>'Ref-Data'!L75</f>
        <v>2.8E-3</v>
      </c>
      <c r="F78" s="208" cm="1">
        <f t="array" ref="F78">IFERROR(SUMPRODUCT(--($B:$B=$B78),$D:$D,$E:$E)/SUMIF(B:B,B78,D:D), 0)</f>
        <v>0</v>
      </c>
    </row>
    <row r="79" spans="1:6" x14ac:dyDescent="0.25">
      <c r="A79" s="186">
        <f>'Ref-Data'!A76</f>
        <v>1100000226</v>
      </c>
      <c r="B79" s="186" t="str">
        <f>'Mambu Name'!A78</f>
        <v xml:space="preserve">CONSTANT EQUITY ALPHA LIMITED </v>
      </c>
      <c r="C79" s="186" t="str">
        <f>'Mambu Name'!B78</f>
        <v>0015800000bzlGg</v>
      </c>
      <c r="D79" s="186">
        <f>'Ref-Data'!B76</f>
        <v>41800000</v>
      </c>
      <c r="E79" s="206">
        <f>'Ref-Data'!L76</f>
        <v>2.35E-2</v>
      </c>
      <c r="F79" s="208" cm="1">
        <f t="array" ref="F79">IFERROR(SUMPRODUCT(--($B:$B=$B79),$D:$D,$E:$E)/SUMIF(B:B,B79,D:D), 0)</f>
        <v>0</v>
      </c>
    </row>
    <row r="80" spans="1:6" x14ac:dyDescent="0.25">
      <c r="A80" s="186" t="e">
        <f>'Ref-Data'!#REF!</f>
        <v>#REF!</v>
      </c>
      <c r="B80" s="186" t="str">
        <f>'Mambu Name'!A79</f>
        <v>THE MILL HOTEL LIMITED</v>
      </c>
      <c r="C80" s="186" t="str">
        <f>'Mambu Name'!B79</f>
        <v>0015800000zoDbA</v>
      </c>
      <c r="D80" s="186" t="e">
        <f>'Ref-Data'!#REF!</f>
        <v>#REF!</v>
      </c>
      <c r="E80" s="206" t="e">
        <f>'Ref-Data'!#REF!</f>
        <v>#REF!</v>
      </c>
      <c r="F80" s="208" cm="1">
        <f t="array" ref="F80">IFERROR(SUMPRODUCT(--($B:$B=$B80),$D:$D,$E:$E)/SUMIF(B:B,B80,D:D), 0)</f>
        <v>0</v>
      </c>
    </row>
    <row r="81" spans="1:6" x14ac:dyDescent="0.25">
      <c r="A81" s="186">
        <f>'Ref-Data'!A77</f>
        <v>1300000001</v>
      </c>
      <c r="B81" s="186" t="str">
        <f>'Mambu Name'!A80</f>
        <v>SPRINGMOVE LIMITED</v>
      </c>
      <c r="C81" s="186" t="str">
        <f>'Mambu Name'!B80</f>
        <v>0014I00001zbzZa</v>
      </c>
      <c r="D81" s="186">
        <f>'Ref-Data'!B77</f>
        <v>4500000</v>
      </c>
      <c r="E81" s="206">
        <f>'Ref-Data'!L77</f>
        <v>0.1283</v>
      </c>
      <c r="F81" s="208" cm="1">
        <f t="array" ref="F81">IFERROR(SUMPRODUCT(--($B:$B=$B81),$D:$D,$E:$E)/SUMIF(B:B,B81,D:D), 0)</f>
        <v>0</v>
      </c>
    </row>
    <row r="82" spans="1:6" x14ac:dyDescent="0.25">
      <c r="A82" s="186">
        <f>'Ref-Data'!A78</f>
        <v>1100000234</v>
      </c>
      <c r="B82" s="186" t="str">
        <f>'Mambu Name'!A81</f>
        <v>Ultimate Bridging Finance No. 2 Limited</v>
      </c>
      <c r="C82" s="186" t="str">
        <f>'Mambu Name'!B81</f>
        <v>0014I00001z3Pij</v>
      </c>
      <c r="D82" s="186">
        <f>'Ref-Data'!B78</f>
        <v>4500000</v>
      </c>
      <c r="E82" s="206">
        <f>'Ref-Data'!L78</f>
        <v>4.5999999999999999E-3</v>
      </c>
      <c r="F82" s="208" cm="1">
        <f t="array" ref="F82">IFERROR(SUMPRODUCT(--($B:$B=$B82),$D:$D,$E:$E)/SUMIF(B:B,B82,D:D), 0)</f>
        <v>0</v>
      </c>
    </row>
    <row r="83" spans="1:6" x14ac:dyDescent="0.25">
      <c r="A83" s="186">
        <f>'Ref-Data'!A79</f>
        <v>1100000233</v>
      </c>
      <c r="B83" s="186" t="str">
        <f>'Mambu Name'!A82</f>
        <v>ASHTON YATES LTD</v>
      </c>
      <c r="C83" s="186" t="str">
        <f>'Mambu Name'!B82</f>
        <v>0014I00001opmrL</v>
      </c>
      <c r="D83" s="186">
        <f>'Ref-Data'!B79</f>
        <v>500000</v>
      </c>
      <c r="E83" s="206">
        <f>'Ref-Data'!L79</f>
        <v>4.5999999999999999E-3</v>
      </c>
      <c r="F83" s="208" cm="1">
        <f t="array" ref="F83">IFERROR(SUMPRODUCT(--($B:$B=$B83),$D:$D,$E:$E)/SUMIF(B:B,B83,D:D), 0)</f>
        <v>0</v>
      </c>
    </row>
    <row r="84" spans="1:6" x14ac:dyDescent="0.25">
      <c r="A84" s="186">
        <f>'Ref-Data'!A80</f>
        <v>1100000235</v>
      </c>
      <c r="B84" s="186" t="str">
        <f>'Mambu Name'!A83</f>
        <v>LINCOLN PLAZA HOTEL CO LIMITED</v>
      </c>
      <c r="C84" s="186" t="str">
        <f>'Mambu Name'!B83</f>
        <v>0014I00001oIXfG</v>
      </c>
      <c r="D84" s="186">
        <f>'Ref-Data'!B80</f>
        <v>10000000</v>
      </c>
      <c r="E84" s="206">
        <f>'Ref-Data'!L80</f>
        <v>2.4800000000000003E-2</v>
      </c>
      <c r="F84" s="208" cm="1">
        <f t="array" ref="F84">IFERROR(SUMPRODUCT(--($B:$B=$B84),$D:$D,$E:$E)/SUMIF(B:B,B84,D:D), 0)</f>
        <v>0</v>
      </c>
    </row>
    <row r="85" spans="1:6" x14ac:dyDescent="0.25">
      <c r="A85" s="186">
        <f>'Ref-Data'!A81</f>
        <v>1100000238</v>
      </c>
      <c r="B85" s="186" t="str">
        <f>'Mambu Name'!A84</f>
        <v>RAW ALPHA PCC LIMITED</v>
      </c>
      <c r="C85" s="186" t="str">
        <f>'Mambu Name'!B84</f>
        <v>0015800001cfhIq</v>
      </c>
      <c r="D85" s="186">
        <f>'Ref-Data'!B81</f>
        <v>4000000</v>
      </c>
      <c r="E85" s="206">
        <f>'Ref-Data'!L81</f>
        <v>7.7899999999999997E-2</v>
      </c>
      <c r="F85" s="208" cm="1">
        <f t="array" ref="F85">IFERROR(SUMPRODUCT(--($B:$B=$B85),$D:$D,$E:$E)/SUMIF(B:B,B85,D:D), 0)</f>
        <v>0</v>
      </c>
    </row>
    <row r="86" spans="1:6" x14ac:dyDescent="0.25">
      <c r="A86" s="186">
        <f>'Ref-Data'!A82</f>
        <v>1100000236</v>
      </c>
      <c r="B86" s="186" t="str">
        <f>'Mambu Name'!A85</f>
        <v>VISTA BIDCO LIMITED</v>
      </c>
      <c r="C86" s="186" t="str">
        <f>'Mambu Name'!B85</f>
        <v>0014I00001r6hl4</v>
      </c>
      <c r="D86" s="186">
        <f>'Ref-Data'!B82</f>
        <v>6750000</v>
      </c>
      <c r="E86" s="206">
        <f>'Ref-Data'!L82</f>
        <v>7.7899999999999997E-2</v>
      </c>
      <c r="F86" s="208" cm="1">
        <f t="array" ref="F86">IFERROR(SUMPRODUCT(--($B:$B=$B86),$D:$D,$E:$E)/SUMIF(B:B,B86,D:D), 0)</f>
        <v>0</v>
      </c>
    </row>
    <row r="87" spans="1:6" x14ac:dyDescent="0.25">
      <c r="A87" s="186" t="e">
        <f>'Ref-Data'!#REF!</f>
        <v>#REF!</v>
      </c>
      <c r="B87" s="186" t="str">
        <f>'Mambu Name'!A86</f>
        <v xml:space="preserve">LANOS HOLDINGS LIMITED </v>
      </c>
      <c r="C87" s="186" t="str">
        <f>'Mambu Name'!B86</f>
        <v>0015800001Aa8CZ</v>
      </c>
      <c r="D87" s="186" t="e">
        <f>'Ref-Data'!#REF!</f>
        <v>#REF!</v>
      </c>
      <c r="E87" s="206" t="e">
        <f>'Ref-Data'!#REF!</f>
        <v>#REF!</v>
      </c>
      <c r="F87" s="208" cm="1">
        <f t="array" ref="F87">IFERROR(SUMPRODUCT(--($B:$B=$B87),$D:$D,$E:$E)/SUMIF(B:B,B87,D:D), 0)</f>
        <v>0</v>
      </c>
    </row>
    <row r="88" spans="1:6" x14ac:dyDescent="0.25">
      <c r="A88" s="186">
        <f>'Ref-Data'!A83</f>
        <v>1100000237</v>
      </c>
      <c r="B88" s="186" t="str">
        <f>'Mambu Name'!A87</f>
        <v>Cullen Wealth Ltd</v>
      </c>
      <c r="C88" s="186" t="str">
        <f>'Mambu Name'!B87</f>
        <v>0014I000024vAPC</v>
      </c>
      <c r="D88" s="186">
        <f>'Ref-Data'!B83</f>
        <v>7500000</v>
      </c>
      <c r="E88" s="206">
        <f>'Ref-Data'!L83</f>
        <v>7.7899999999999997E-2</v>
      </c>
      <c r="F88" s="208" cm="1">
        <f t="array" ref="F88">IFERROR(SUMPRODUCT(--($B:$B=$B88),$D:$D,$E:$E)/SUMIF(B:B,B88,D:D), 0)</f>
        <v>0</v>
      </c>
    </row>
    <row r="89" spans="1:6" x14ac:dyDescent="0.25">
      <c r="A89" s="186">
        <f>'Ref-Data'!A84</f>
        <v>1100000241</v>
      </c>
      <c r="B89" s="186" t="str">
        <f>'Mambu Name'!A88</f>
        <v>Ortus Secured Finance IV Limited</v>
      </c>
      <c r="C89" s="186" t="str">
        <f>'Mambu Name'!B88</f>
        <v>0015800001M8mvI</v>
      </c>
      <c r="D89" s="186">
        <f>'Ref-Data'!B84</f>
        <v>4953225</v>
      </c>
      <c r="E89" s="206">
        <f>'Ref-Data'!L84</f>
        <v>3.6000000000000003E-3</v>
      </c>
      <c r="F89" s="208" cm="1">
        <f t="array" ref="F89">IFERROR(SUMPRODUCT(--($B:$B=$B89),$D:$D,$E:$E)/SUMIF(B:B,B89,D:D), 0)</f>
        <v>0</v>
      </c>
    </row>
  </sheetData>
  <pageMargins left="0.7" right="0.7" top="0.75" bottom="0.75" header="0.3" footer="0.3"/>
  <pageSetup paperSize="9"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2422FC-5937-410E-B062-1BD5A39F74D9}">
  <sheetPr codeName="Sheet36"/>
  <dimension ref="A1"/>
  <sheetViews>
    <sheetView workbookViewId="0"/>
  </sheetViews>
  <sheetFormatPr defaultRowHeight="15" x14ac:dyDescent="0.25"/>
  <sheetData/>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F55855-09C2-44B1-8D5B-14D70A9C42F8}">
  <sheetPr codeName="Sheet37"/>
  <dimension ref="A1:L255"/>
  <sheetViews>
    <sheetView workbookViewId="0">
      <selection activeCell="B12" sqref="B12"/>
    </sheetView>
  </sheetViews>
  <sheetFormatPr defaultRowHeight="15" x14ac:dyDescent="0.25"/>
  <cols>
    <col min="1" max="1" width="10.42578125" style="65" bestFit="1" customWidth="1"/>
  </cols>
  <sheetData>
    <row r="1" spans="1:12" x14ac:dyDescent="0.25">
      <c r="C1" t="s">
        <v>963</v>
      </c>
    </row>
    <row r="2" spans="1:12" x14ac:dyDescent="0.25">
      <c r="A2" s="65">
        <v>36161</v>
      </c>
      <c r="B2" s="2">
        <v>38.236295310000003</v>
      </c>
      <c r="C2">
        <f t="shared" ref="C2:C13" si="0">YEAR(A2)</f>
        <v>1999</v>
      </c>
      <c r="D2">
        <f t="shared" ref="D2:D13" si="1">DAY(A2)</f>
        <v>1</v>
      </c>
      <c r="E2" t="str">
        <f t="shared" ref="E2:E13" si="2">C2&amp;"M"&amp;D2</f>
        <v>1999M1</v>
      </c>
    </row>
    <row r="3" spans="1:12" x14ac:dyDescent="0.25">
      <c r="A3" s="65">
        <v>36162</v>
      </c>
      <c r="B3" s="2">
        <v>38.236295310000003</v>
      </c>
      <c r="C3">
        <f t="shared" si="0"/>
        <v>1999</v>
      </c>
      <c r="D3">
        <f t="shared" si="1"/>
        <v>2</v>
      </c>
      <c r="E3" t="str">
        <f t="shared" si="2"/>
        <v>1999M2</v>
      </c>
    </row>
    <row r="4" spans="1:12" x14ac:dyDescent="0.25">
      <c r="A4" s="65">
        <v>36163</v>
      </c>
      <c r="B4" s="2">
        <v>38.236295310000003</v>
      </c>
      <c r="C4">
        <f t="shared" si="0"/>
        <v>1999</v>
      </c>
      <c r="D4">
        <f t="shared" si="1"/>
        <v>3</v>
      </c>
      <c r="E4" t="str">
        <f t="shared" si="2"/>
        <v>1999M3</v>
      </c>
    </row>
    <row r="5" spans="1:12" x14ac:dyDescent="0.25">
      <c r="A5" s="65">
        <v>36164</v>
      </c>
      <c r="B5" s="2">
        <v>39.857923900000003</v>
      </c>
      <c r="C5">
        <f t="shared" si="0"/>
        <v>1999</v>
      </c>
      <c r="D5">
        <f t="shared" si="1"/>
        <v>4</v>
      </c>
      <c r="E5" t="str">
        <f t="shared" si="2"/>
        <v>1999M4</v>
      </c>
    </row>
    <row r="6" spans="1:12" x14ac:dyDescent="0.25">
      <c r="A6" s="65">
        <v>36165</v>
      </c>
      <c r="B6" s="2">
        <v>39.857923900000003</v>
      </c>
      <c r="C6">
        <f t="shared" si="0"/>
        <v>1999</v>
      </c>
      <c r="D6">
        <f t="shared" si="1"/>
        <v>5</v>
      </c>
      <c r="E6" t="str">
        <f t="shared" si="2"/>
        <v>1999M5</v>
      </c>
    </row>
    <row r="7" spans="1:12" x14ac:dyDescent="0.25">
      <c r="A7" s="65">
        <v>36166</v>
      </c>
      <c r="B7" s="2">
        <v>39.857923900000003</v>
      </c>
      <c r="C7">
        <f t="shared" si="0"/>
        <v>1999</v>
      </c>
      <c r="D7">
        <f t="shared" si="1"/>
        <v>6</v>
      </c>
      <c r="E7" t="str">
        <f t="shared" si="2"/>
        <v>1999M6</v>
      </c>
    </row>
    <row r="8" spans="1:12" x14ac:dyDescent="0.25">
      <c r="A8" s="65">
        <v>36167</v>
      </c>
      <c r="B8" s="2">
        <v>42.190793110000001</v>
      </c>
      <c r="C8">
        <f t="shared" si="0"/>
        <v>1999</v>
      </c>
      <c r="D8">
        <f t="shared" si="1"/>
        <v>7</v>
      </c>
      <c r="E8" t="str">
        <f t="shared" si="2"/>
        <v>1999M7</v>
      </c>
    </row>
    <row r="9" spans="1:12" x14ac:dyDescent="0.25">
      <c r="A9" s="65">
        <v>36168</v>
      </c>
      <c r="B9" s="2">
        <v>42.190793110000001</v>
      </c>
      <c r="C9">
        <f t="shared" si="0"/>
        <v>1999</v>
      </c>
      <c r="D9">
        <f t="shared" si="1"/>
        <v>8</v>
      </c>
      <c r="E9" t="str">
        <f t="shared" si="2"/>
        <v>1999M8</v>
      </c>
    </row>
    <row r="10" spans="1:12" x14ac:dyDescent="0.25">
      <c r="A10" s="65">
        <v>36169</v>
      </c>
      <c r="B10" s="2">
        <v>42.190793110000001</v>
      </c>
      <c r="C10">
        <f t="shared" si="0"/>
        <v>1999</v>
      </c>
      <c r="D10">
        <f t="shared" si="1"/>
        <v>9</v>
      </c>
      <c r="E10" t="str">
        <f t="shared" si="2"/>
        <v>1999M9</v>
      </c>
    </row>
    <row r="11" spans="1:12" x14ac:dyDescent="0.25">
      <c r="A11" s="65">
        <v>36170</v>
      </c>
      <c r="B11" s="2">
        <v>43.271878839999999</v>
      </c>
      <c r="C11">
        <f t="shared" si="0"/>
        <v>1999</v>
      </c>
      <c r="D11">
        <f t="shared" si="1"/>
        <v>10</v>
      </c>
      <c r="E11" t="str">
        <f t="shared" si="2"/>
        <v>1999M10</v>
      </c>
    </row>
    <row r="12" spans="1:12" x14ac:dyDescent="0.25">
      <c r="A12" s="65">
        <v>36171</v>
      </c>
      <c r="B12" s="2">
        <v>43.271878839999999</v>
      </c>
      <c r="C12">
        <f t="shared" si="0"/>
        <v>1999</v>
      </c>
      <c r="D12">
        <f t="shared" si="1"/>
        <v>11</v>
      </c>
      <c r="E12" t="str">
        <f t="shared" si="2"/>
        <v>1999M11</v>
      </c>
    </row>
    <row r="13" spans="1:12" x14ac:dyDescent="0.25">
      <c r="A13" s="65">
        <v>36172</v>
      </c>
      <c r="B13" s="2">
        <v>43.271878839999999</v>
      </c>
      <c r="C13">
        <f t="shared" si="0"/>
        <v>1999</v>
      </c>
      <c r="D13">
        <f t="shared" si="1"/>
        <v>12</v>
      </c>
      <c r="E13" t="str">
        <f t="shared" si="2"/>
        <v>1999M12</v>
      </c>
    </row>
    <row r="14" spans="1:12" x14ac:dyDescent="0.25">
      <c r="A14" s="65">
        <v>36526</v>
      </c>
      <c r="B14" s="2">
        <v>44.381414200000002</v>
      </c>
      <c r="C14">
        <f>YEAR(A14)</f>
        <v>2000</v>
      </c>
      <c r="D14">
        <f>DAY(A14)</f>
        <v>1</v>
      </c>
      <c r="E14" t="str">
        <f>C14&amp;"M"&amp;D14</f>
        <v>2000M1</v>
      </c>
      <c r="F14" s="2" t="str">
        <f t="shared" ref="F14:F27" si="3">C14&amp;" "&amp;IF(D14=3,"Q1",IF(D14=6,"Q2",IF(D14=9,"Q3",IF(D14=12,"Q4",""))))</f>
        <v xml:space="preserve">2000 </v>
      </c>
      <c r="G14">
        <f t="shared" ref="G14:G27" si="4">B14/B11-1</f>
        <v>2.5641025759536973E-2</v>
      </c>
      <c r="K14" t="s">
        <v>564</v>
      </c>
      <c r="L14" s="68">
        <f t="shared" ref="L14:L45" si="5">VLOOKUP(K14,F:G,2,FALSE)</f>
        <v>2.5641025759536973E-2</v>
      </c>
    </row>
    <row r="15" spans="1:12" x14ac:dyDescent="0.25">
      <c r="A15" s="65">
        <v>36527</v>
      </c>
      <c r="B15" s="2">
        <v>44.381414200000002</v>
      </c>
      <c r="C15">
        <f t="shared" ref="C15:C78" si="6">YEAR(A15)</f>
        <v>2000</v>
      </c>
      <c r="D15">
        <f t="shared" ref="D15:D78" si="7">DAY(A15)</f>
        <v>2</v>
      </c>
      <c r="E15" t="str">
        <f t="shared" ref="E15:E78" si="8">C15&amp;"M"&amp;D15</f>
        <v>2000M2</v>
      </c>
      <c r="F15" s="2" t="str">
        <f t="shared" si="3"/>
        <v xml:space="preserve">2000 </v>
      </c>
      <c r="G15">
        <f t="shared" si="4"/>
        <v>2.5641025759536973E-2</v>
      </c>
      <c r="K15" t="s">
        <v>566</v>
      </c>
      <c r="L15" s="68">
        <f t="shared" si="5"/>
        <v>5.44871794554036E-2</v>
      </c>
    </row>
    <row r="16" spans="1:12" x14ac:dyDescent="0.25">
      <c r="A16" s="65">
        <v>36528</v>
      </c>
      <c r="B16" s="2">
        <v>44.381414200000002</v>
      </c>
      <c r="C16">
        <f t="shared" si="6"/>
        <v>2000</v>
      </c>
      <c r="D16">
        <f t="shared" si="7"/>
        <v>3</v>
      </c>
      <c r="E16" t="str">
        <f t="shared" si="8"/>
        <v>2000M3</v>
      </c>
      <c r="F16" s="2" t="str">
        <f t="shared" si="3"/>
        <v>2000 Q1</v>
      </c>
      <c r="G16">
        <f t="shared" si="4"/>
        <v>2.5641025759536973E-2</v>
      </c>
      <c r="K16" t="s">
        <v>568</v>
      </c>
      <c r="L16" s="68">
        <f t="shared" si="5"/>
        <v>1.884498482217567E-2</v>
      </c>
    </row>
    <row r="17" spans="1:12" x14ac:dyDescent="0.25">
      <c r="A17" s="65">
        <v>36529</v>
      </c>
      <c r="B17" s="2">
        <v>46.799632279999997</v>
      </c>
      <c r="C17">
        <f t="shared" si="6"/>
        <v>2000</v>
      </c>
      <c r="D17">
        <f t="shared" si="7"/>
        <v>4</v>
      </c>
      <c r="E17" t="str">
        <f t="shared" si="8"/>
        <v>2000M4</v>
      </c>
      <c r="F17" s="2" t="str">
        <f t="shared" si="3"/>
        <v xml:space="preserve">2000 </v>
      </c>
      <c r="G17">
        <f t="shared" si="4"/>
        <v>5.44871794554036E-2</v>
      </c>
      <c r="K17" t="s">
        <v>569</v>
      </c>
      <c r="L17" s="68">
        <f t="shared" si="5"/>
        <v>2.9832935469761734E-2</v>
      </c>
    </row>
    <row r="18" spans="1:12" x14ac:dyDescent="0.25">
      <c r="A18" s="65">
        <v>36530</v>
      </c>
      <c r="B18" s="2">
        <v>46.799632279999997</v>
      </c>
      <c r="C18">
        <f t="shared" si="6"/>
        <v>2000</v>
      </c>
      <c r="D18">
        <f t="shared" si="7"/>
        <v>5</v>
      </c>
      <c r="E18" t="str">
        <f t="shared" si="8"/>
        <v>2000M5</v>
      </c>
      <c r="F18" s="2" t="str">
        <f t="shared" si="3"/>
        <v xml:space="preserve">2000 </v>
      </c>
      <c r="G18">
        <f t="shared" si="4"/>
        <v>5.44871794554036E-2</v>
      </c>
      <c r="K18" t="s">
        <v>573</v>
      </c>
      <c r="L18" s="68">
        <f t="shared" si="5"/>
        <v>-5.2143684747240071E-3</v>
      </c>
    </row>
    <row r="19" spans="1:12" x14ac:dyDescent="0.25">
      <c r="A19" s="65">
        <v>36531</v>
      </c>
      <c r="B19" s="2">
        <v>46.799632279999997</v>
      </c>
      <c r="C19">
        <f t="shared" si="6"/>
        <v>2000</v>
      </c>
      <c r="D19">
        <f t="shared" si="7"/>
        <v>6</v>
      </c>
      <c r="E19" t="str">
        <f t="shared" si="8"/>
        <v>2000M6</v>
      </c>
      <c r="F19" s="2" t="str">
        <f t="shared" si="3"/>
        <v>2000 Q2</v>
      </c>
      <c r="G19">
        <f t="shared" si="4"/>
        <v>5.44871794554036E-2</v>
      </c>
      <c r="K19" t="s">
        <v>576</v>
      </c>
      <c r="L19" s="68">
        <f t="shared" si="5"/>
        <v>3.6109493342332488E-2</v>
      </c>
    </row>
    <row r="20" spans="1:12" x14ac:dyDescent="0.25">
      <c r="A20" s="65">
        <v>36532</v>
      </c>
      <c r="B20" s="2">
        <v>47.681570639999997</v>
      </c>
      <c r="C20">
        <f t="shared" si="6"/>
        <v>2000</v>
      </c>
      <c r="D20">
        <f t="shared" si="7"/>
        <v>7</v>
      </c>
      <c r="E20" t="str">
        <f t="shared" si="8"/>
        <v>2000M7</v>
      </c>
      <c r="F20" s="2" t="str">
        <f t="shared" si="3"/>
        <v xml:space="preserve">2000 </v>
      </c>
      <c r="G20">
        <f t="shared" si="4"/>
        <v>1.884498482217567E-2</v>
      </c>
      <c r="K20" t="s">
        <v>578</v>
      </c>
      <c r="L20" s="68">
        <f t="shared" si="5"/>
        <v>3.597526686399477E-2</v>
      </c>
    </row>
    <row r="21" spans="1:12" x14ac:dyDescent="0.25">
      <c r="A21" s="65">
        <v>36533</v>
      </c>
      <c r="B21" s="2">
        <v>47.681570639999997</v>
      </c>
      <c r="C21">
        <f t="shared" si="6"/>
        <v>2000</v>
      </c>
      <c r="D21">
        <f t="shared" si="7"/>
        <v>8</v>
      </c>
      <c r="E21" t="str">
        <f t="shared" si="8"/>
        <v>2000M8</v>
      </c>
      <c r="F21" s="2" t="str">
        <f t="shared" si="3"/>
        <v xml:space="preserve">2000 </v>
      </c>
      <c r="G21">
        <f t="shared" si="4"/>
        <v>1.884498482217567E-2</v>
      </c>
      <c r="K21" t="s">
        <v>580</v>
      </c>
      <c r="L21" s="68">
        <f t="shared" si="5"/>
        <v>-2.007596299249359E-2</v>
      </c>
    </row>
    <row r="22" spans="1:12" x14ac:dyDescent="0.25">
      <c r="A22" s="65">
        <v>36534</v>
      </c>
      <c r="B22" s="2">
        <v>47.681570639999997</v>
      </c>
      <c r="C22">
        <f t="shared" si="6"/>
        <v>2000</v>
      </c>
      <c r="D22">
        <f t="shared" si="7"/>
        <v>9</v>
      </c>
      <c r="E22" t="str">
        <f t="shared" si="8"/>
        <v>2000M9</v>
      </c>
      <c r="F22" s="2" t="str">
        <f t="shared" si="3"/>
        <v>2000 Q3</v>
      </c>
      <c r="G22">
        <f t="shared" si="4"/>
        <v>1.884498482217567E-2</v>
      </c>
      <c r="K22" t="s">
        <v>583</v>
      </c>
      <c r="L22" s="68">
        <f t="shared" si="5"/>
        <v>6.8812292302759426E-2</v>
      </c>
    </row>
    <row r="23" spans="1:12" x14ac:dyDescent="0.25">
      <c r="A23" s="65">
        <v>36535</v>
      </c>
      <c r="B23" s="2">
        <v>49.104051859999998</v>
      </c>
      <c r="C23">
        <f t="shared" si="6"/>
        <v>2000</v>
      </c>
      <c r="D23">
        <f t="shared" si="7"/>
        <v>10</v>
      </c>
      <c r="E23" t="str">
        <f t="shared" si="8"/>
        <v>2000M10</v>
      </c>
      <c r="F23" s="2" t="str">
        <f t="shared" si="3"/>
        <v xml:space="preserve">2000 </v>
      </c>
      <c r="G23">
        <f t="shared" si="4"/>
        <v>2.9832935469761734E-2</v>
      </c>
      <c r="K23" t="s">
        <v>584</v>
      </c>
      <c r="L23" s="68">
        <f t="shared" si="5"/>
        <v>8.2125603841862072E-2</v>
      </c>
    </row>
    <row r="24" spans="1:12" x14ac:dyDescent="0.25">
      <c r="A24" s="65">
        <v>36536</v>
      </c>
      <c r="B24" s="2">
        <v>49.104051859999998</v>
      </c>
      <c r="C24">
        <f t="shared" si="6"/>
        <v>2000</v>
      </c>
      <c r="D24">
        <f t="shared" si="7"/>
        <v>11</v>
      </c>
      <c r="E24" t="str">
        <f t="shared" si="8"/>
        <v>2000M11</v>
      </c>
      <c r="F24" s="2" t="str">
        <f t="shared" si="3"/>
        <v xml:space="preserve">2000 </v>
      </c>
      <c r="G24">
        <f t="shared" si="4"/>
        <v>2.9832935469761734E-2</v>
      </c>
      <c r="K24" t="s">
        <v>585</v>
      </c>
      <c r="L24" s="68">
        <f t="shared" si="5"/>
        <v>5.5357142874571608E-2</v>
      </c>
    </row>
    <row r="25" spans="1:12" x14ac:dyDescent="0.25">
      <c r="A25" s="65">
        <v>36537</v>
      </c>
      <c r="B25" s="2">
        <v>49.104051859999998</v>
      </c>
      <c r="C25">
        <f t="shared" si="6"/>
        <v>2000</v>
      </c>
      <c r="D25">
        <f t="shared" si="7"/>
        <v>12</v>
      </c>
      <c r="E25" t="str">
        <f t="shared" si="8"/>
        <v>2000M12</v>
      </c>
      <c r="F25" s="2" t="str">
        <f t="shared" si="3"/>
        <v>2000 Q4</v>
      </c>
      <c r="G25">
        <f t="shared" si="4"/>
        <v>2.9832935469761734E-2</v>
      </c>
      <c r="K25" t="s">
        <v>586</v>
      </c>
      <c r="L25" s="68">
        <f t="shared" si="5"/>
        <v>5.1607445018712728E-2</v>
      </c>
    </row>
    <row r="26" spans="1:12" x14ac:dyDescent="0.25">
      <c r="A26" s="65">
        <v>36892</v>
      </c>
      <c r="B26" s="2">
        <v>48.848005239999999</v>
      </c>
      <c r="C26">
        <f t="shared" si="6"/>
        <v>2001</v>
      </c>
      <c r="D26">
        <f t="shared" si="7"/>
        <v>1</v>
      </c>
      <c r="E26" t="str">
        <f t="shared" si="8"/>
        <v>2001M1</v>
      </c>
      <c r="F26" s="2" t="str">
        <f t="shared" si="3"/>
        <v xml:space="preserve">2001 </v>
      </c>
      <c r="G26">
        <f t="shared" si="4"/>
        <v>-5.2143684747240071E-3</v>
      </c>
      <c r="K26" t="s">
        <v>588</v>
      </c>
      <c r="L26" s="68">
        <f t="shared" si="5"/>
        <v>3.2180209376291291E-3</v>
      </c>
    </row>
    <row r="27" spans="1:12" x14ac:dyDescent="0.25">
      <c r="A27" s="65">
        <v>36893</v>
      </c>
      <c r="B27" s="2">
        <v>48.848005239999999</v>
      </c>
      <c r="C27">
        <f t="shared" si="6"/>
        <v>2001</v>
      </c>
      <c r="D27">
        <f t="shared" si="7"/>
        <v>2</v>
      </c>
      <c r="E27" t="str">
        <f t="shared" si="8"/>
        <v>2001M2</v>
      </c>
      <c r="F27" s="2" t="str">
        <f t="shared" si="3"/>
        <v xml:space="preserve">2001 </v>
      </c>
      <c r="G27">
        <f t="shared" si="4"/>
        <v>-5.2143684747240071E-3</v>
      </c>
      <c r="K27" t="s">
        <v>589</v>
      </c>
      <c r="L27" s="68">
        <f t="shared" si="5"/>
        <v>1.9246190829091736E-2</v>
      </c>
    </row>
    <row r="28" spans="1:12" x14ac:dyDescent="0.25">
      <c r="A28" s="65">
        <v>36894</v>
      </c>
      <c r="B28" s="2">
        <v>48.848005239999999</v>
      </c>
      <c r="C28">
        <f t="shared" si="6"/>
        <v>2001</v>
      </c>
      <c r="D28">
        <f t="shared" si="7"/>
        <v>3</v>
      </c>
      <c r="E28" s="2" t="str">
        <f t="shared" si="8"/>
        <v>2001M3</v>
      </c>
      <c r="F28" s="2" t="str">
        <f>C28&amp;" "&amp;IF(D28=3,"Q1",IF(D28=6,"Q2",IF(D28=9,"Q3",IF(D28=12,"Q4",""))))</f>
        <v>2001 Q1</v>
      </c>
      <c r="G28">
        <f>B28/B25-1</f>
        <v>-5.2143684747240071E-3</v>
      </c>
      <c r="K28" t="s">
        <v>590</v>
      </c>
      <c r="L28" s="68">
        <f t="shared" si="5"/>
        <v>3.2258064573530199E-2</v>
      </c>
    </row>
    <row r="29" spans="1:12" x14ac:dyDescent="0.25">
      <c r="A29" s="65">
        <v>36895</v>
      </c>
      <c r="B29" s="2">
        <v>50.611881959999998</v>
      </c>
      <c r="C29">
        <f t="shared" si="6"/>
        <v>2001</v>
      </c>
      <c r="D29">
        <f t="shared" si="7"/>
        <v>4</v>
      </c>
      <c r="E29" t="str">
        <f t="shared" si="8"/>
        <v>2001M4</v>
      </c>
      <c r="F29" s="2" t="str">
        <f t="shared" ref="F29:F92" si="9">C29&amp;" "&amp;IF(D29=3,"Q1",IF(D29=6,"Q2",IF(D29=9,"Q3",IF(D29=12,"Q4",""))))</f>
        <v xml:space="preserve">2001 </v>
      </c>
      <c r="G29">
        <f>B29/B26-1</f>
        <v>3.6109493342332488E-2</v>
      </c>
      <c r="K29" t="s">
        <v>591</v>
      </c>
      <c r="L29" s="68">
        <f t="shared" si="5"/>
        <v>2.5914634166487538E-2</v>
      </c>
    </row>
    <row r="30" spans="1:12" x14ac:dyDescent="0.25">
      <c r="A30" s="65">
        <v>36896</v>
      </c>
      <c r="B30" s="2">
        <v>50.611881959999998</v>
      </c>
      <c r="C30">
        <f t="shared" si="6"/>
        <v>2001</v>
      </c>
      <c r="D30">
        <f t="shared" si="7"/>
        <v>5</v>
      </c>
      <c r="E30" t="str">
        <f t="shared" si="8"/>
        <v>2001M5</v>
      </c>
      <c r="F30" s="2" t="str">
        <f t="shared" si="9"/>
        <v xml:space="preserve">2001 </v>
      </c>
      <c r="G30">
        <f t="shared" ref="G30:G93" si="10">B30/B27-1</f>
        <v>3.6109493342332488E-2</v>
      </c>
      <c r="K30" t="s">
        <v>593</v>
      </c>
      <c r="L30" s="68">
        <f t="shared" si="5"/>
        <v>-1.4858841104026244E-3</v>
      </c>
    </row>
    <row r="31" spans="1:12" x14ac:dyDescent="0.25">
      <c r="A31" s="65">
        <v>36897</v>
      </c>
      <c r="B31" s="2">
        <v>50.611881959999998</v>
      </c>
      <c r="C31">
        <f t="shared" si="6"/>
        <v>2001</v>
      </c>
      <c r="D31">
        <f t="shared" si="7"/>
        <v>6</v>
      </c>
      <c r="E31" s="2" t="str">
        <f t="shared" si="8"/>
        <v>2001M6</v>
      </c>
      <c r="F31" s="2" t="str">
        <f t="shared" si="9"/>
        <v>2001 Q2</v>
      </c>
      <c r="G31">
        <f t="shared" si="10"/>
        <v>3.6109493342332488E-2</v>
      </c>
      <c r="K31" t="s">
        <v>594</v>
      </c>
      <c r="L31" s="68">
        <f t="shared" si="5"/>
        <v>7.6636904684589613E-2</v>
      </c>
    </row>
    <row r="32" spans="1:12" x14ac:dyDescent="0.25">
      <c r="A32" s="65">
        <v>36898</v>
      </c>
      <c r="B32" s="2">
        <v>52.432657919999997</v>
      </c>
      <c r="C32">
        <f t="shared" si="6"/>
        <v>2001</v>
      </c>
      <c r="D32">
        <f t="shared" si="7"/>
        <v>7</v>
      </c>
      <c r="E32" t="str">
        <f t="shared" si="8"/>
        <v>2001M7</v>
      </c>
      <c r="F32" s="2" t="str">
        <f t="shared" si="9"/>
        <v xml:space="preserve">2001 </v>
      </c>
      <c r="G32">
        <f t="shared" si="10"/>
        <v>3.597526686399477E-2</v>
      </c>
      <c r="K32" t="s">
        <v>597</v>
      </c>
      <c r="L32" s="68">
        <f t="shared" si="5"/>
        <v>3.1098825223724313E-2</v>
      </c>
    </row>
    <row r="33" spans="1:12" x14ac:dyDescent="0.25">
      <c r="A33" s="65">
        <v>36899</v>
      </c>
      <c r="B33" s="2">
        <v>52.432657919999997</v>
      </c>
      <c r="C33">
        <f t="shared" si="6"/>
        <v>2001</v>
      </c>
      <c r="D33">
        <f t="shared" si="7"/>
        <v>8</v>
      </c>
      <c r="E33" t="str">
        <f t="shared" si="8"/>
        <v>2001M8</v>
      </c>
      <c r="F33" s="2" t="str">
        <f t="shared" si="9"/>
        <v xml:space="preserve">2001 </v>
      </c>
      <c r="G33">
        <f t="shared" si="10"/>
        <v>3.597526686399477E-2</v>
      </c>
      <c r="K33" t="s">
        <v>600</v>
      </c>
      <c r="L33" s="68">
        <f t="shared" si="5"/>
        <v>-1.3404825821932143E-3</v>
      </c>
    </row>
    <row r="34" spans="1:12" x14ac:dyDescent="0.25">
      <c r="A34" s="65">
        <v>36900</v>
      </c>
      <c r="B34" s="2">
        <v>52.432657919999997</v>
      </c>
      <c r="C34">
        <f t="shared" si="6"/>
        <v>2001</v>
      </c>
      <c r="D34">
        <f t="shared" si="7"/>
        <v>9</v>
      </c>
      <c r="E34" s="2" t="str">
        <f t="shared" si="8"/>
        <v>2001M9</v>
      </c>
      <c r="F34" s="2" t="str">
        <f t="shared" si="9"/>
        <v>2001 Q3</v>
      </c>
      <c r="G34">
        <f t="shared" si="10"/>
        <v>3.597526686399477E-2</v>
      </c>
      <c r="K34" t="s">
        <v>604</v>
      </c>
      <c r="L34" s="68">
        <f t="shared" si="5"/>
        <v>6.5585935780023696E-3</v>
      </c>
    </row>
    <row r="35" spans="1:12" x14ac:dyDescent="0.25">
      <c r="A35" s="65">
        <v>36901</v>
      </c>
      <c r="B35" s="2">
        <v>51.380021820000003</v>
      </c>
      <c r="C35">
        <f t="shared" si="6"/>
        <v>2001</v>
      </c>
      <c r="D35">
        <f t="shared" si="7"/>
        <v>10</v>
      </c>
      <c r="E35" t="str">
        <f t="shared" si="8"/>
        <v>2001M10</v>
      </c>
      <c r="F35" s="2" t="str">
        <f t="shared" si="9"/>
        <v xml:space="preserve">2001 </v>
      </c>
      <c r="G35">
        <f t="shared" si="10"/>
        <v>-2.007596299249359E-2</v>
      </c>
      <c r="K35" t="s">
        <v>606</v>
      </c>
      <c r="L35" s="68">
        <f t="shared" si="5"/>
        <v>3.3244896249684075E-2</v>
      </c>
    </row>
    <row r="36" spans="1:12" x14ac:dyDescent="0.25">
      <c r="A36" s="65">
        <v>36902</v>
      </c>
      <c r="B36" s="2">
        <v>51.380021820000003</v>
      </c>
      <c r="C36">
        <f t="shared" si="6"/>
        <v>2001</v>
      </c>
      <c r="D36">
        <f t="shared" si="7"/>
        <v>11</v>
      </c>
      <c r="E36" t="str">
        <f t="shared" si="8"/>
        <v>2001M11</v>
      </c>
      <c r="F36" s="2" t="str">
        <f t="shared" si="9"/>
        <v xml:space="preserve">2001 </v>
      </c>
      <c r="G36">
        <f t="shared" si="10"/>
        <v>-2.007596299249359E-2</v>
      </c>
      <c r="K36" t="s">
        <v>609</v>
      </c>
      <c r="L36" s="68">
        <f t="shared" si="5"/>
        <v>1.5411786716041265E-2</v>
      </c>
    </row>
    <row r="37" spans="1:12" x14ac:dyDescent="0.25">
      <c r="A37" s="65">
        <v>36903</v>
      </c>
      <c r="B37" s="2">
        <v>51.380021820000003</v>
      </c>
      <c r="C37">
        <f t="shared" si="6"/>
        <v>2001</v>
      </c>
      <c r="D37">
        <f t="shared" si="7"/>
        <v>12</v>
      </c>
      <c r="E37" s="2" t="str">
        <f t="shared" si="8"/>
        <v>2001M12</v>
      </c>
      <c r="F37" s="2" t="str">
        <f t="shared" si="9"/>
        <v>2001 Q4</v>
      </c>
      <c r="G37">
        <f t="shared" si="10"/>
        <v>-2.007596299249359E-2</v>
      </c>
      <c r="K37" t="s">
        <v>612</v>
      </c>
      <c r="L37" s="68">
        <f t="shared" si="5"/>
        <v>6.444507821707024E-3</v>
      </c>
    </row>
    <row r="38" spans="1:12" x14ac:dyDescent="0.25">
      <c r="A38" s="65">
        <v>37257</v>
      </c>
      <c r="B38" s="2">
        <v>51.201500420000002</v>
      </c>
      <c r="C38">
        <f t="shared" si="6"/>
        <v>2002</v>
      </c>
      <c r="D38">
        <f t="shared" si="7"/>
        <v>1</v>
      </c>
      <c r="E38" t="str">
        <f t="shared" si="8"/>
        <v>2002M1</v>
      </c>
      <c r="F38" s="2" t="str">
        <f t="shared" si="9"/>
        <v xml:space="preserve">2002 </v>
      </c>
      <c r="G38">
        <f t="shared" si="10"/>
        <v>-3.474529470334109E-3</v>
      </c>
      <c r="K38" t="s">
        <v>613</v>
      </c>
      <c r="L38" s="68">
        <f t="shared" si="5"/>
        <v>8.2492146613506456E-3</v>
      </c>
    </row>
    <row r="39" spans="1:12" x14ac:dyDescent="0.25">
      <c r="A39" s="65">
        <v>37258</v>
      </c>
      <c r="B39" s="2">
        <v>53.058549659999997</v>
      </c>
      <c r="C39">
        <f t="shared" si="6"/>
        <v>2002</v>
      </c>
      <c r="D39">
        <f t="shared" si="7"/>
        <v>2</v>
      </c>
      <c r="E39" t="str">
        <f t="shared" si="8"/>
        <v>2002M2</v>
      </c>
      <c r="F39" s="2" t="str">
        <f t="shared" si="9"/>
        <v xml:space="preserve">2002 </v>
      </c>
      <c r="G39">
        <f t="shared" si="10"/>
        <v>3.2668881416212603E-2</v>
      </c>
      <c r="K39" t="s">
        <v>615</v>
      </c>
      <c r="L39" s="68">
        <f t="shared" si="5"/>
        <v>4.119072369658916E-2</v>
      </c>
    </row>
    <row r="40" spans="1:12" x14ac:dyDescent="0.25">
      <c r="A40" s="65">
        <v>37259</v>
      </c>
      <c r="B40" s="2">
        <v>54.915598899999999</v>
      </c>
      <c r="C40">
        <f t="shared" si="6"/>
        <v>2002</v>
      </c>
      <c r="D40">
        <f t="shared" si="7"/>
        <v>3</v>
      </c>
      <c r="E40" t="str">
        <f t="shared" si="8"/>
        <v>2002M3</v>
      </c>
      <c r="F40" s="2" t="str">
        <f t="shared" si="9"/>
        <v>2002 Q1</v>
      </c>
      <c r="G40">
        <f t="shared" si="10"/>
        <v>6.8812292302759426E-2</v>
      </c>
      <c r="K40" t="s">
        <v>616</v>
      </c>
      <c r="L40" s="68">
        <f t="shared" si="5"/>
        <v>2.7076760975055514E-2</v>
      </c>
    </row>
    <row r="41" spans="1:12" x14ac:dyDescent="0.25">
      <c r="A41" s="65">
        <v>37260</v>
      </c>
      <c r="B41" s="2">
        <v>55.658418599999997</v>
      </c>
      <c r="C41">
        <f t="shared" si="6"/>
        <v>2002</v>
      </c>
      <c r="D41">
        <f t="shared" si="7"/>
        <v>4</v>
      </c>
      <c r="E41" t="str">
        <f t="shared" si="8"/>
        <v>2002M4</v>
      </c>
      <c r="F41" s="2" t="str">
        <f t="shared" si="9"/>
        <v xml:space="preserve">2002 </v>
      </c>
      <c r="G41">
        <f t="shared" si="10"/>
        <v>8.7046632294764947E-2</v>
      </c>
      <c r="K41" t="s">
        <v>619</v>
      </c>
      <c r="L41" s="68">
        <f t="shared" si="5"/>
        <v>2.3625503659498337E-2</v>
      </c>
    </row>
    <row r="42" spans="1:12" x14ac:dyDescent="0.25">
      <c r="A42" s="65">
        <v>37261</v>
      </c>
      <c r="B42" s="2">
        <v>57.090999439999997</v>
      </c>
      <c r="C42">
        <f t="shared" si="6"/>
        <v>2002</v>
      </c>
      <c r="D42">
        <f t="shared" si="7"/>
        <v>5</v>
      </c>
      <c r="E42" t="str">
        <f t="shared" si="8"/>
        <v>2002M5</v>
      </c>
      <c r="F42" s="2" t="str">
        <f t="shared" si="9"/>
        <v xml:space="preserve">2002 </v>
      </c>
      <c r="G42">
        <f t="shared" si="10"/>
        <v>7.6000000110067134E-2</v>
      </c>
      <c r="K42" t="s">
        <v>620</v>
      </c>
      <c r="L42" s="68">
        <f t="shared" si="5"/>
        <v>1.0278268990880024E-2</v>
      </c>
    </row>
    <row r="43" spans="1:12" x14ac:dyDescent="0.25">
      <c r="A43" s="65">
        <v>37262</v>
      </c>
      <c r="B43" s="2">
        <v>59.425575619999996</v>
      </c>
      <c r="C43">
        <f t="shared" si="6"/>
        <v>2002</v>
      </c>
      <c r="D43">
        <f t="shared" si="7"/>
        <v>6</v>
      </c>
      <c r="E43" t="str">
        <f t="shared" si="8"/>
        <v>2002M6</v>
      </c>
      <c r="F43" s="2" t="str">
        <f t="shared" si="9"/>
        <v>2002 Q2</v>
      </c>
      <c r="G43">
        <f t="shared" si="10"/>
        <v>8.2125603841862072E-2</v>
      </c>
      <c r="K43" t="s">
        <v>621</v>
      </c>
      <c r="L43" s="68">
        <f t="shared" si="5"/>
        <v>4.3169747106813094E-2</v>
      </c>
    </row>
    <row r="44" spans="1:12" x14ac:dyDescent="0.25">
      <c r="A44" s="65">
        <v>37263</v>
      </c>
      <c r="B44" s="2">
        <v>59.903102570000001</v>
      </c>
      <c r="C44">
        <f t="shared" si="6"/>
        <v>2002</v>
      </c>
      <c r="D44">
        <f t="shared" si="7"/>
        <v>7</v>
      </c>
      <c r="E44" t="str">
        <f t="shared" si="8"/>
        <v>2002M7</v>
      </c>
      <c r="F44" s="2" t="str">
        <f t="shared" si="9"/>
        <v xml:space="preserve">2002 </v>
      </c>
      <c r="G44">
        <f t="shared" si="10"/>
        <v>7.6263107662207341E-2</v>
      </c>
      <c r="K44" t="s">
        <v>623</v>
      </c>
      <c r="L44" s="68">
        <f t="shared" si="5"/>
        <v>1.9768328350178166E-2</v>
      </c>
    </row>
    <row r="45" spans="1:12" x14ac:dyDescent="0.25">
      <c r="A45" s="65">
        <v>37264</v>
      </c>
      <c r="B45" s="2">
        <v>61.229566310000003</v>
      </c>
      <c r="C45">
        <f t="shared" si="6"/>
        <v>2002</v>
      </c>
      <c r="D45">
        <f t="shared" si="7"/>
        <v>8</v>
      </c>
      <c r="E45" t="str">
        <f t="shared" si="8"/>
        <v>2002M8</v>
      </c>
      <c r="F45" s="2" t="str">
        <f t="shared" si="9"/>
        <v xml:space="preserve">2002 </v>
      </c>
      <c r="G45">
        <f t="shared" si="10"/>
        <v>7.2490706251332027E-2</v>
      </c>
      <c r="K45" t="s">
        <v>624</v>
      </c>
      <c r="L45" s="68">
        <f t="shared" si="5"/>
        <v>-4.411991198593368E-3</v>
      </c>
    </row>
    <row r="46" spans="1:12" x14ac:dyDescent="0.25">
      <c r="A46" s="65">
        <v>37265</v>
      </c>
      <c r="B46" s="2">
        <v>62.715205699999999</v>
      </c>
      <c r="C46">
        <f t="shared" si="6"/>
        <v>2002</v>
      </c>
      <c r="D46">
        <f t="shared" si="7"/>
        <v>9</v>
      </c>
      <c r="E46" t="str">
        <f t="shared" si="8"/>
        <v>2002M9</v>
      </c>
      <c r="F46" s="2" t="str">
        <f t="shared" si="9"/>
        <v>2002 Q3</v>
      </c>
      <c r="G46">
        <f t="shared" si="10"/>
        <v>5.5357142874571608E-2</v>
      </c>
      <c r="K46" t="s">
        <v>625</v>
      </c>
      <c r="L46" s="68">
        <f t="shared" ref="L46:L77" si="11">VLOOKUP(K46,F:G,2,FALSE)</f>
        <v>-3.3556826993546007E-2</v>
      </c>
    </row>
    <row r="47" spans="1:12" x14ac:dyDescent="0.25">
      <c r="A47" s="65">
        <v>37266</v>
      </c>
      <c r="B47" s="2">
        <v>63.192732650000004</v>
      </c>
      <c r="C47">
        <f t="shared" si="6"/>
        <v>2002</v>
      </c>
      <c r="D47">
        <f t="shared" si="7"/>
        <v>10</v>
      </c>
      <c r="E47" t="str">
        <f t="shared" si="8"/>
        <v>2002M10</v>
      </c>
      <c r="F47" s="2" t="str">
        <f t="shared" si="9"/>
        <v xml:space="preserve">2002 </v>
      </c>
      <c r="G47">
        <f t="shared" si="10"/>
        <v>5.491585475319738E-2</v>
      </c>
      <c r="K47" t="s">
        <v>626</v>
      </c>
      <c r="L47" s="68">
        <f t="shared" si="11"/>
        <v>-5.5462756799188329E-3</v>
      </c>
    </row>
    <row r="48" spans="1:12" x14ac:dyDescent="0.25">
      <c r="A48" s="65">
        <v>37267</v>
      </c>
      <c r="B48" s="2">
        <v>63.829435240000002</v>
      </c>
      <c r="C48">
        <f t="shared" si="6"/>
        <v>2002</v>
      </c>
      <c r="D48">
        <f t="shared" si="7"/>
        <v>11</v>
      </c>
      <c r="E48" t="str">
        <f t="shared" si="8"/>
        <v>2002M11</v>
      </c>
      <c r="F48" s="2" t="str">
        <f t="shared" si="9"/>
        <v xml:space="preserve">2002 </v>
      </c>
      <c r="G48">
        <f t="shared" si="10"/>
        <v>4.2461005143121344E-2</v>
      </c>
      <c r="K48" t="s">
        <v>627</v>
      </c>
      <c r="L48" s="68">
        <f t="shared" si="11"/>
        <v>-5.5937373062531881E-2</v>
      </c>
    </row>
    <row r="49" spans="1:12" x14ac:dyDescent="0.25">
      <c r="A49" s="65">
        <v>37268</v>
      </c>
      <c r="B49" s="2">
        <v>65.951777230000005</v>
      </c>
      <c r="C49">
        <f t="shared" si="6"/>
        <v>2002</v>
      </c>
      <c r="D49">
        <f t="shared" si="7"/>
        <v>12</v>
      </c>
      <c r="E49" t="str">
        <f t="shared" si="8"/>
        <v>2002M12</v>
      </c>
      <c r="F49" s="2" t="str">
        <f t="shared" si="9"/>
        <v>2002 Q4</v>
      </c>
      <c r="G49">
        <f t="shared" si="10"/>
        <v>5.1607445018712728E-2</v>
      </c>
      <c r="K49" t="s">
        <v>628</v>
      </c>
      <c r="L49" s="68">
        <f t="shared" si="11"/>
        <v>-6.2363538503964477E-2</v>
      </c>
    </row>
    <row r="50" spans="1:12" x14ac:dyDescent="0.25">
      <c r="A50" s="65">
        <v>37622</v>
      </c>
      <c r="B50" s="2">
        <v>65.474250280000007</v>
      </c>
      <c r="C50">
        <f t="shared" si="6"/>
        <v>2003</v>
      </c>
      <c r="D50">
        <f t="shared" si="7"/>
        <v>1</v>
      </c>
      <c r="E50" t="str">
        <f t="shared" si="8"/>
        <v>2003M1</v>
      </c>
      <c r="F50" s="2" t="str">
        <f t="shared" si="9"/>
        <v xml:space="preserve">2003 </v>
      </c>
      <c r="G50">
        <f t="shared" si="10"/>
        <v>3.6104114101797702E-2</v>
      </c>
      <c r="K50" t="s">
        <v>629</v>
      </c>
      <c r="L50" s="68">
        <f t="shared" si="11"/>
        <v>-4.0395618983595782E-2</v>
      </c>
    </row>
    <row r="51" spans="1:12" x14ac:dyDescent="0.25">
      <c r="A51" s="65">
        <v>37623</v>
      </c>
      <c r="B51" s="2">
        <v>64.784489140000005</v>
      </c>
      <c r="C51">
        <f t="shared" si="6"/>
        <v>2003</v>
      </c>
      <c r="D51">
        <f t="shared" si="7"/>
        <v>2</v>
      </c>
      <c r="E51" t="str">
        <f t="shared" si="8"/>
        <v>2003M2</v>
      </c>
      <c r="F51" s="2" t="str">
        <f t="shared" si="9"/>
        <v xml:space="preserve">2003 </v>
      </c>
      <c r="G51">
        <f t="shared" si="10"/>
        <v>1.4962593612319885E-2</v>
      </c>
      <c r="K51" t="s">
        <v>630</v>
      </c>
      <c r="L51" s="68">
        <f t="shared" si="11"/>
        <v>3.307608436288989E-2</v>
      </c>
    </row>
    <row r="52" spans="1:12" x14ac:dyDescent="0.25">
      <c r="A52" s="65">
        <v>37624</v>
      </c>
      <c r="B52" s="2">
        <v>66.164011430000002</v>
      </c>
      <c r="C52">
        <f t="shared" si="6"/>
        <v>2003</v>
      </c>
      <c r="D52">
        <f t="shared" si="7"/>
        <v>3</v>
      </c>
      <c r="E52" t="str">
        <f t="shared" si="8"/>
        <v>2003M3</v>
      </c>
      <c r="F52" s="2" t="str">
        <f t="shared" si="9"/>
        <v>2003 Q1</v>
      </c>
      <c r="G52">
        <f t="shared" si="10"/>
        <v>3.2180209376291291E-3</v>
      </c>
      <c r="K52" t="s">
        <v>631</v>
      </c>
      <c r="L52" s="68">
        <f t="shared" si="11"/>
        <v>3.6053342873214822E-2</v>
      </c>
    </row>
    <row r="53" spans="1:12" x14ac:dyDescent="0.25">
      <c r="A53" s="65">
        <v>37625</v>
      </c>
      <c r="B53" s="2">
        <v>67.755767919999997</v>
      </c>
      <c r="C53">
        <f t="shared" si="6"/>
        <v>2003</v>
      </c>
      <c r="D53">
        <f t="shared" si="7"/>
        <v>4</v>
      </c>
      <c r="E53" t="str">
        <f t="shared" si="8"/>
        <v>2003M4</v>
      </c>
      <c r="F53" s="2" t="str">
        <f t="shared" si="9"/>
        <v xml:space="preserve">2003 </v>
      </c>
      <c r="G53">
        <f t="shared" si="10"/>
        <v>3.484602924421587E-2</v>
      </c>
      <c r="K53" t="s">
        <v>632</v>
      </c>
      <c r="L53" s="68">
        <f t="shared" si="11"/>
        <v>1.6742942463440436E-2</v>
      </c>
    </row>
    <row r="54" spans="1:12" x14ac:dyDescent="0.25">
      <c r="A54" s="65">
        <v>37626</v>
      </c>
      <c r="B54" s="2">
        <v>67.278240969999999</v>
      </c>
      <c r="C54">
        <f t="shared" si="6"/>
        <v>2003</v>
      </c>
      <c r="D54">
        <f t="shared" si="7"/>
        <v>5</v>
      </c>
      <c r="E54" t="str">
        <f t="shared" si="8"/>
        <v>2003M5</v>
      </c>
      <c r="F54" s="2" t="str">
        <f t="shared" si="9"/>
        <v xml:space="preserve">2003 </v>
      </c>
      <c r="G54">
        <f t="shared" si="10"/>
        <v>3.8493038427932502E-2</v>
      </c>
      <c r="K54" t="s">
        <v>633</v>
      </c>
      <c r="L54" s="68">
        <f t="shared" si="11"/>
        <v>-1.2116633775627328E-3</v>
      </c>
    </row>
    <row r="55" spans="1:12" x14ac:dyDescent="0.25">
      <c r="A55" s="65">
        <v>37627</v>
      </c>
      <c r="B55" s="2">
        <v>67.437416619999993</v>
      </c>
      <c r="C55">
        <f t="shared" si="6"/>
        <v>2003</v>
      </c>
      <c r="D55">
        <f t="shared" si="7"/>
        <v>6</v>
      </c>
      <c r="E55" t="str">
        <f t="shared" si="8"/>
        <v>2003M6</v>
      </c>
      <c r="F55" s="2" t="str">
        <f t="shared" si="9"/>
        <v>2003 Q2</v>
      </c>
      <c r="G55">
        <f t="shared" si="10"/>
        <v>1.9246190829091736E-2</v>
      </c>
      <c r="K55" t="s">
        <v>634</v>
      </c>
      <c r="L55" s="68">
        <f t="shared" si="11"/>
        <v>2.269855102139573E-2</v>
      </c>
    </row>
    <row r="56" spans="1:12" x14ac:dyDescent="0.25">
      <c r="A56" s="65">
        <v>37628</v>
      </c>
      <c r="B56" s="2">
        <v>68.604704709999993</v>
      </c>
      <c r="C56">
        <f t="shared" si="6"/>
        <v>2003</v>
      </c>
      <c r="D56">
        <f t="shared" si="7"/>
        <v>7</v>
      </c>
      <c r="E56" t="str">
        <f t="shared" si="8"/>
        <v>2003M7</v>
      </c>
      <c r="F56" s="2" t="str">
        <f t="shared" si="9"/>
        <v xml:space="preserve">2003 </v>
      </c>
      <c r="G56">
        <f t="shared" si="10"/>
        <v>1.2529365632787837E-2</v>
      </c>
      <c r="K56" t="s">
        <v>635</v>
      </c>
      <c r="L56" s="68">
        <f t="shared" si="11"/>
        <v>7.4757890220122913E-3</v>
      </c>
    </row>
    <row r="57" spans="1:12" x14ac:dyDescent="0.25">
      <c r="A57" s="65">
        <v>37629</v>
      </c>
      <c r="B57" s="2">
        <v>69.825051360000003</v>
      </c>
      <c r="C57">
        <f t="shared" si="6"/>
        <v>2003</v>
      </c>
      <c r="D57">
        <f t="shared" si="7"/>
        <v>8</v>
      </c>
      <c r="E57" t="str">
        <f t="shared" si="8"/>
        <v>2003M8</v>
      </c>
      <c r="F57" s="2" t="str">
        <f t="shared" si="9"/>
        <v xml:space="preserve">2003 </v>
      </c>
      <c r="G57">
        <f t="shared" si="10"/>
        <v>3.7854889683213599E-2</v>
      </c>
      <c r="K57" t="s">
        <v>636</v>
      </c>
      <c r="L57" s="68">
        <f t="shared" si="11"/>
        <v>-2.4682155412250273E-2</v>
      </c>
    </row>
    <row r="58" spans="1:12" x14ac:dyDescent="0.25">
      <c r="A58" s="65">
        <v>37630</v>
      </c>
      <c r="B58" s="2">
        <v>69.612817160000006</v>
      </c>
      <c r="C58">
        <f t="shared" si="6"/>
        <v>2003</v>
      </c>
      <c r="D58">
        <f t="shared" si="7"/>
        <v>9</v>
      </c>
      <c r="E58" t="str">
        <f t="shared" si="8"/>
        <v>2003M9</v>
      </c>
      <c r="F58" s="2" t="str">
        <f t="shared" si="9"/>
        <v>2003 Q3</v>
      </c>
      <c r="G58">
        <f t="shared" si="10"/>
        <v>3.2258064573530199E-2</v>
      </c>
      <c r="K58" t="s">
        <v>637</v>
      </c>
      <c r="L58" s="68">
        <f t="shared" si="11"/>
        <v>-1.8103937167856632E-2</v>
      </c>
    </row>
    <row r="59" spans="1:12" x14ac:dyDescent="0.25">
      <c r="A59" s="65">
        <v>37631</v>
      </c>
      <c r="B59" s="2">
        <v>70.833163799999994</v>
      </c>
      <c r="C59">
        <f t="shared" si="6"/>
        <v>2003</v>
      </c>
      <c r="D59">
        <f t="shared" si="7"/>
        <v>10</v>
      </c>
      <c r="E59" t="str">
        <f t="shared" si="8"/>
        <v>2003M10</v>
      </c>
      <c r="F59" s="2" t="str">
        <f t="shared" si="9"/>
        <v xml:space="preserve">2003 </v>
      </c>
      <c r="G59">
        <f t="shared" si="10"/>
        <v>3.2482598670454887E-2</v>
      </c>
      <c r="K59" t="s">
        <v>638</v>
      </c>
      <c r="L59" s="68">
        <f t="shared" si="11"/>
        <v>1.2703833095316641E-2</v>
      </c>
    </row>
    <row r="60" spans="1:12" x14ac:dyDescent="0.25">
      <c r="A60" s="65">
        <v>37632</v>
      </c>
      <c r="B60" s="2">
        <v>70.037285550000007</v>
      </c>
      <c r="C60">
        <f t="shared" si="6"/>
        <v>2003</v>
      </c>
      <c r="D60">
        <f t="shared" si="7"/>
        <v>11</v>
      </c>
      <c r="E60" t="str">
        <f t="shared" si="8"/>
        <v>2003M11</v>
      </c>
      <c r="F60" s="2" t="str">
        <f t="shared" si="9"/>
        <v xml:space="preserve">2003 </v>
      </c>
      <c r="G60">
        <f t="shared" si="10"/>
        <v>3.039513553749984E-3</v>
      </c>
      <c r="K60" t="s">
        <v>639</v>
      </c>
      <c r="L60" s="68">
        <f t="shared" si="11"/>
        <v>1.0674414394767462E-2</v>
      </c>
    </row>
    <row r="61" spans="1:12" x14ac:dyDescent="0.25">
      <c r="A61" s="65">
        <v>37633</v>
      </c>
      <c r="B61" s="2">
        <v>71.416807849999998</v>
      </c>
      <c r="C61">
        <f t="shared" si="6"/>
        <v>2003</v>
      </c>
      <c r="D61">
        <f t="shared" si="7"/>
        <v>12</v>
      </c>
      <c r="E61" t="str">
        <f t="shared" si="8"/>
        <v>2003M12</v>
      </c>
      <c r="F61" s="2" t="str">
        <f t="shared" si="9"/>
        <v>2003 Q4</v>
      </c>
      <c r="G61">
        <f t="shared" si="10"/>
        <v>2.5914634166487538E-2</v>
      </c>
      <c r="K61" t="s">
        <v>640</v>
      </c>
      <c r="L61" s="68">
        <f t="shared" si="11"/>
        <v>-1.4720715978651877E-2</v>
      </c>
    </row>
    <row r="62" spans="1:12" x14ac:dyDescent="0.25">
      <c r="A62" s="65">
        <v>37987</v>
      </c>
      <c r="B62" s="2">
        <v>71.841276239999999</v>
      </c>
      <c r="C62">
        <f t="shared" si="6"/>
        <v>2004</v>
      </c>
      <c r="D62">
        <f t="shared" si="7"/>
        <v>1</v>
      </c>
      <c r="E62" t="str">
        <f t="shared" si="8"/>
        <v>2004M1</v>
      </c>
      <c r="F62" s="2" t="str">
        <f t="shared" si="9"/>
        <v xml:space="preserve">2004 </v>
      </c>
      <c r="G62">
        <f t="shared" si="10"/>
        <v>1.423220968706751E-2</v>
      </c>
      <c r="K62" t="s">
        <v>641</v>
      </c>
      <c r="L62" s="68">
        <f t="shared" si="11"/>
        <v>-6.5875954116815238E-3</v>
      </c>
    </row>
    <row r="63" spans="1:12" x14ac:dyDescent="0.25">
      <c r="A63" s="65">
        <v>37988</v>
      </c>
      <c r="B63" s="2">
        <v>71.151515099999997</v>
      </c>
      <c r="C63">
        <f t="shared" si="6"/>
        <v>2004</v>
      </c>
      <c r="D63">
        <f t="shared" si="7"/>
        <v>2</v>
      </c>
      <c r="E63" t="str">
        <f t="shared" si="8"/>
        <v>2004M2</v>
      </c>
      <c r="F63" s="2" t="str">
        <f t="shared" si="9"/>
        <v xml:space="preserve">2004 </v>
      </c>
      <c r="G63">
        <f t="shared" si="10"/>
        <v>1.5909091011309107E-2</v>
      </c>
      <c r="K63" t="s">
        <v>642</v>
      </c>
      <c r="L63" s="68">
        <f t="shared" si="11"/>
        <v>2.4717699223874456E-2</v>
      </c>
    </row>
    <row r="64" spans="1:12" x14ac:dyDescent="0.25">
      <c r="A64" s="65">
        <v>37989</v>
      </c>
      <c r="B64" s="2">
        <v>71.310690750000006</v>
      </c>
      <c r="C64">
        <f t="shared" si="6"/>
        <v>2004</v>
      </c>
      <c r="D64">
        <f t="shared" si="7"/>
        <v>3</v>
      </c>
      <c r="E64" t="str">
        <f t="shared" si="8"/>
        <v>2004M3</v>
      </c>
      <c r="F64" s="2" t="str">
        <f t="shared" si="9"/>
        <v>2004 Q1</v>
      </c>
      <c r="G64">
        <f t="shared" si="10"/>
        <v>-1.4858841104026244E-3</v>
      </c>
      <c r="K64" t="s">
        <v>643</v>
      </c>
      <c r="L64" s="68">
        <f t="shared" si="11"/>
        <v>1.4464385103347688E-3</v>
      </c>
    </row>
    <row r="65" spans="1:12" x14ac:dyDescent="0.25">
      <c r="A65" s="65">
        <v>37990</v>
      </c>
      <c r="B65" s="2">
        <v>74.547262279999998</v>
      </c>
      <c r="C65">
        <f t="shared" si="6"/>
        <v>2004</v>
      </c>
      <c r="D65">
        <f t="shared" si="7"/>
        <v>4</v>
      </c>
      <c r="E65" t="str">
        <f t="shared" si="8"/>
        <v>2004M4</v>
      </c>
      <c r="F65" s="2" t="str">
        <f t="shared" si="9"/>
        <v xml:space="preserve">2004 </v>
      </c>
      <c r="G65">
        <f t="shared" si="10"/>
        <v>3.7666174400356134E-2</v>
      </c>
      <c r="K65" t="s">
        <v>644</v>
      </c>
      <c r="L65" s="68">
        <f t="shared" si="11"/>
        <v>-8.528052629518057E-3</v>
      </c>
    </row>
    <row r="66" spans="1:12" x14ac:dyDescent="0.25">
      <c r="A66" s="65">
        <v>37991</v>
      </c>
      <c r="B66" s="2">
        <v>75.449257619999997</v>
      </c>
      <c r="C66">
        <f t="shared" si="6"/>
        <v>2004</v>
      </c>
      <c r="D66">
        <f t="shared" si="7"/>
        <v>5</v>
      </c>
      <c r="E66" t="str">
        <f t="shared" si="8"/>
        <v>2004M5</v>
      </c>
      <c r="F66" s="2" t="str">
        <f t="shared" si="9"/>
        <v xml:space="preserve">2004 </v>
      </c>
      <c r="G66">
        <f t="shared" si="10"/>
        <v>6.0402684524141659E-2</v>
      </c>
      <c r="K66" t="s">
        <v>645</v>
      </c>
      <c r="L66" s="68">
        <f t="shared" si="11"/>
        <v>-9.557707100857904E-4</v>
      </c>
    </row>
    <row r="67" spans="1:12" x14ac:dyDescent="0.25">
      <c r="A67" s="65">
        <v>37992</v>
      </c>
      <c r="B67" s="2">
        <v>76.775721360000006</v>
      </c>
      <c r="C67">
        <f t="shared" si="6"/>
        <v>2004</v>
      </c>
      <c r="D67">
        <f t="shared" si="7"/>
        <v>6</v>
      </c>
      <c r="E67" t="str">
        <f t="shared" si="8"/>
        <v>2004M6</v>
      </c>
      <c r="F67" s="2" t="str">
        <f t="shared" si="9"/>
        <v>2004 Q2</v>
      </c>
      <c r="G67">
        <f t="shared" si="10"/>
        <v>7.6636904684589613E-2</v>
      </c>
      <c r="K67" t="s">
        <v>646</v>
      </c>
      <c r="L67" s="68">
        <f t="shared" si="11"/>
        <v>2.3553519019946068E-2</v>
      </c>
    </row>
    <row r="68" spans="1:12" x14ac:dyDescent="0.25">
      <c r="A68" s="65">
        <v>37993</v>
      </c>
      <c r="B68" s="2">
        <v>78.420536400000003</v>
      </c>
      <c r="C68">
        <f t="shared" si="6"/>
        <v>2004</v>
      </c>
      <c r="D68">
        <f t="shared" si="7"/>
        <v>7</v>
      </c>
      <c r="E68" t="str">
        <f t="shared" si="8"/>
        <v>2004M7</v>
      </c>
      <c r="F68" s="2" t="str">
        <f t="shared" si="9"/>
        <v xml:space="preserve">2004 </v>
      </c>
      <c r="G68">
        <f t="shared" si="10"/>
        <v>5.1957295298812767E-2</v>
      </c>
      <c r="K68" t="s">
        <v>647</v>
      </c>
      <c r="L68" s="68">
        <f t="shared" si="11"/>
        <v>1.9943393993011149E-2</v>
      </c>
    </row>
    <row r="69" spans="1:12" x14ac:dyDescent="0.25">
      <c r="A69" s="65">
        <v>37994</v>
      </c>
      <c r="B69" s="2">
        <v>79.322531749999996</v>
      </c>
      <c r="C69">
        <f t="shared" si="6"/>
        <v>2004</v>
      </c>
      <c r="D69">
        <f t="shared" si="7"/>
        <v>8</v>
      </c>
      <c r="E69" t="str">
        <f t="shared" si="8"/>
        <v>2004M8</v>
      </c>
      <c r="F69" s="2" t="str">
        <f t="shared" si="9"/>
        <v xml:space="preserve">2004 </v>
      </c>
      <c r="G69">
        <f t="shared" si="10"/>
        <v>5.1336146334371335E-2</v>
      </c>
      <c r="K69" t="s">
        <v>648</v>
      </c>
      <c r="L69" s="68">
        <f t="shared" si="11"/>
        <v>1.0635023238232177E-2</v>
      </c>
    </row>
    <row r="70" spans="1:12" x14ac:dyDescent="0.25">
      <c r="A70" s="65">
        <v>37995</v>
      </c>
      <c r="B70" s="2">
        <v>79.163356100000001</v>
      </c>
      <c r="C70">
        <f t="shared" si="6"/>
        <v>2004</v>
      </c>
      <c r="D70">
        <f t="shared" si="7"/>
        <v>9</v>
      </c>
      <c r="E70" t="str">
        <f t="shared" si="8"/>
        <v>2004M9</v>
      </c>
      <c r="F70" s="2" t="str">
        <f t="shared" si="9"/>
        <v>2004 Q3</v>
      </c>
      <c r="G70">
        <f t="shared" si="10"/>
        <v>3.1098825223724313E-2</v>
      </c>
      <c r="K70" t="s">
        <v>649</v>
      </c>
      <c r="L70" s="68">
        <f t="shared" si="11"/>
        <v>8.8004189998380777E-3</v>
      </c>
    </row>
    <row r="71" spans="1:12" x14ac:dyDescent="0.25">
      <c r="A71" s="65">
        <v>37996</v>
      </c>
      <c r="B71" s="2">
        <v>79.747000139999997</v>
      </c>
      <c r="C71">
        <f t="shared" si="6"/>
        <v>2004</v>
      </c>
      <c r="D71">
        <f t="shared" si="7"/>
        <v>10</v>
      </c>
      <c r="E71" t="str">
        <f t="shared" si="8"/>
        <v>2004M10</v>
      </c>
      <c r="F71" s="2" t="str">
        <f t="shared" si="9"/>
        <v xml:space="preserve">2004 </v>
      </c>
      <c r="G71">
        <f t="shared" si="10"/>
        <v>1.6914749642033655E-2</v>
      </c>
      <c r="K71" t="s">
        <v>650</v>
      </c>
      <c r="L71" s="68">
        <f t="shared" si="11"/>
        <v>4.2000467593092727E-2</v>
      </c>
    </row>
    <row r="72" spans="1:12" x14ac:dyDescent="0.25">
      <c r="A72" s="65">
        <v>37997</v>
      </c>
      <c r="B72" s="2">
        <v>79.640883040000006</v>
      </c>
      <c r="C72">
        <f t="shared" si="6"/>
        <v>2004</v>
      </c>
      <c r="D72">
        <f t="shared" si="7"/>
        <v>11</v>
      </c>
      <c r="E72" t="str">
        <f t="shared" si="8"/>
        <v>2004M11</v>
      </c>
      <c r="F72" s="2" t="str">
        <f t="shared" si="9"/>
        <v xml:space="preserve">2004 </v>
      </c>
      <c r="G72">
        <f t="shared" si="10"/>
        <v>4.0133778256516983E-3</v>
      </c>
      <c r="K72" t="s">
        <v>651</v>
      </c>
      <c r="L72" s="68">
        <f t="shared" si="11"/>
        <v>2.705069801371196E-2</v>
      </c>
    </row>
    <row r="73" spans="1:12" x14ac:dyDescent="0.25">
      <c r="A73" s="65">
        <v>37998</v>
      </c>
      <c r="B73" s="2">
        <v>79.057238999999996</v>
      </c>
      <c r="C73">
        <f t="shared" si="6"/>
        <v>2004</v>
      </c>
      <c r="D73">
        <f t="shared" si="7"/>
        <v>12</v>
      </c>
      <c r="E73" t="str">
        <f t="shared" si="8"/>
        <v>2004M12</v>
      </c>
      <c r="F73" s="2" t="str">
        <f t="shared" si="9"/>
        <v>2004 Q4</v>
      </c>
      <c r="G73">
        <f t="shared" si="10"/>
        <v>-1.3404825821932143E-3</v>
      </c>
      <c r="K73" t="s">
        <v>652</v>
      </c>
      <c r="L73" s="68">
        <f t="shared" si="11"/>
        <v>-2.4396288590019521E-3</v>
      </c>
    </row>
    <row r="74" spans="1:12" x14ac:dyDescent="0.25">
      <c r="A74" s="65">
        <v>38353</v>
      </c>
      <c r="B74" s="2">
        <v>79.004147329999995</v>
      </c>
      <c r="C74">
        <f t="shared" si="6"/>
        <v>2005</v>
      </c>
      <c r="D74">
        <f t="shared" si="7"/>
        <v>1</v>
      </c>
      <c r="E74" t="str">
        <f t="shared" si="8"/>
        <v>2005M1</v>
      </c>
      <c r="F74" s="2" t="str">
        <f t="shared" si="9"/>
        <v xml:space="preserve">2005 </v>
      </c>
      <c r="G74">
        <f t="shared" si="10"/>
        <v>-9.3151191730834748E-3</v>
      </c>
      <c r="K74" t="s">
        <v>653</v>
      </c>
      <c r="L74" s="68">
        <f t="shared" si="11"/>
        <v>-6.8897067130135881E-4</v>
      </c>
    </row>
    <row r="75" spans="1:12" x14ac:dyDescent="0.25">
      <c r="A75" s="65">
        <v>38354</v>
      </c>
      <c r="B75" s="2">
        <v>78.928216169999999</v>
      </c>
      <c r="C75">
        <f t="shared" si="6"/>
        <v>2005</v>
      </c>
      <c r="D75">
        <f t="shared" si="7"/>
        <v>2</v>
      </c>
      <c r="E75" t="str">
        <f t="shared" si="8"/>
        <v>2005M2</v>
      </c>
      <c r="F75" s="2" t="str">
        <f t="shared" si="9"/>
        <v xml:space="preserve">2005 </v>
      </c>
      <c r="G75">
        <f t="shared" si="10"/>
        <v>-8.9485053755878896E-3</v>
      </c>
      <c r="K75" t="s">
        <v>654</v>
      </c>
      <c r="L75" s="68">
        <f t="shared" si="11"/>
        <v>2.7489138928585177E-2</v>
      </c>
    </row>
    <row r="76" spans="1:12" x14ac:dyDescent="0.25">
      <c r="A76" s="65">
        <v>38355</v>
      </c>
      <c r="B76" s="2">
        <v>79.575743299999999</v>
      </c>
      <c r="C76">
        <f t="shared" si="6"/>
        <v>2005</v>
      </c>
      <c r="D76">
        <f t="shared" si="7"/>
        <v>3</v>
      </c>
      <c r="E76" t="str">
        <f t="shared" si="8"/>
        <v>2005M3</v>
      </c>
      <c r="F76" s="2" t="str">
        <f t="shared" si="9"/>
        <v>2005 Q1</v>
      </c>
      <c r="G76">
        <f t="shared" si="10"/>
        <v>6.5585935780023696E-3</v>
      </c>
      <c r="K76" t="s">
        <v>655</v>
      </c>
      <c r="L76" s="68">
        <f t="shared" si="11"/>
        <v>2.8385170626052059E-2</v>
      </c>
    </row>
    <row r="77" spans="1:12" x14ac:dyDescent="0.25">
      <c r="A77" s="65">
        <v>38356</v>
      </c>
      <c r="B77" s="2">
        <v>80.707204730000001</v>
      </c>
      <c r="C77">
        <f t="shared" si="6"/>
        <v>2005</v>
      </c>
      <c r="D77">
        <f t="shared" si="7"/>
        <v>4</v>
      </c>
      <c r="E77" t="str">
        <f t="shared" si="8"/>
        <v>2005M4</v>
      </c>
      <c r="F77" s="2" t="str">
        <f t="shared" si="9"/>
        <v xml:space="preserve">2005 </v>
      </c>
      <c r="G77">
        <f t="shared" si="10"/>
        <v>2.1556556934743565E-2</v>
      </c>
      <c r="K77" t="s">
        <v>656</v>
      </c>
      <c r="L77" s="68">
        <f t="shared" si="11"/>
        <v>1.2508201781076922E-2</v>
      </c>
    </row>
    <row r="78" spans="1:12" x14ac:dyDescent="0.25">
      <c r="A78" s="65">
        <v>38357</v>
      </c>
      <c r="B78" s="2">
        <v>81.573737120000004</v>
      </c>
      <c r="C78">
        <f t="shared" si="6"/>
        <v>2005</v>
      </c>
      <c r="D78">
        <f t="shared" si="7"/>
        <v>5</v>
      </c>
      <c r="E78" t="str">
        <f t="shared" si="8"/>
        <v>2005M5</v>
      </c>
      <c r="F78" s="2" t="str">
        <f t="shared" si="9"/>
        <v xml:space="preserve">2005 </v>
      </c>
      <c r="G78">
        <f t="shared" si="10"/>
        <v>3.3518063353946026E-2</v>
      </c>
      <c r="K78" t="s">
        <v>657</v>
      </c>
      <c r="L78" s="68">
        <f t="shared" ref="L78:L104" si="12">VLOOKUP(K78,F:G,2,FALSE)</f>
        <v>1.3404813122763981E-2</v>
      </c>
    </row>
    <row r="79" spans="1:12" x14ac:dyDescent="0.25">
      <c r="A79" s="65">
        <v>38358</v>
      </c>
      <c r="B79" s="2">
        <v>82.221230629999994</v>
      </c>
      <c r="C79">
        <f t="shared" ref="C79:C142" si="13">YEAR(A79)</f>
        <v>2005</v>
      </c>
      <c r="D79">
        <f t="shared" ref="D79:D142" si="14">DAY(A79)</f>
        <v>6</v>
      </c>
      <c r="E79" t="str">
        <f t="shared" ref="E79:E142" si="15">C79&amp;"M"&amp;D79</f>
        <v>2005M6</v>
      </c>
      <c r="F79" s="2" t="str">
        <f t="shared" si="9"/>
        <v>2005 Q2</v>
      </c>
      <c r="G79">
        <f t="shared" si="10"/>
        <v>3.3244896249684075E-2</v>
      </c>
      <c r="K79" t="s">
        <v>658</v>
      </c>
      <c r="L79" s="68">
        <f t="shared" si="12"/>
        <v>2.5133314159953679E-2</v>
      </c>
    </row>
    <row r="80" spans="1:12" x14ac:dyDescent="0.25">
      <c r="A80" s="65">
        <v>38359</v>
      </c>
      <c r="B80" s="2">
        <v>83.27997671</v>
      </c>
      <c r="C80">
        <f t="shared" si="13"/>
        <v>2005</v>
      </c>
      <c r="D80">
        <f t="shared" si="14"/>
        <v>7</v>
      </c>
      <c r="E80" t="str">
        <f t="shared" si="15"/>
        <v>2005M7</v>
      </c>
      <c r="F80" s="2" t="str">
        <f t="shared" si="9"/>
        <v xml:space="preserve">2005 </v>
      </c>
      <c r="G80">
        <f t="shared" si="10"/>
        <v>3.1877847691628158E-2</v>
      </c>
      <c r="K80" t="s">
        <v>659</v>
      </c>
      <c r="L80" s="68">
        <f t="shared" si="12"/>
        <v>9.0644821323671021E-3</v>
      </c>
    </row>
    <row r="81" spans="1:12" x14ac:dyDescent="0.25">
      <c r="A81" s="65">
        <v>38360</v>
      </c>
      <c r="B81" s="2">
        <v>83.618576020000006</v>
      </c>
      <c r="C81">
        <f t="shared" si="13"/>
        <v>2005</v>
      </c>
      <c r="D81">
        <f t="shared" si="14"/>
        <v>8</v>
      </c>
      <c r="E81" t="str">
        <f t="shared" si="15"/>
        <v>2005M8</v>
      </c>
      <c r="F81" s="2" t="str">
        <f t="shared" si="9"/>
        <v xml:space="preserve">2005 </v>
      </c>
      <c r="G81">
        <f t="shared" si="10"/>
        <v>2.5067368152962288E-2</v>
      </c>
      <c r="K81" t="s">
        <v>660</v>
      </c>
      <c r="L81" s="68">
        <f t="shared" si="12"/>
        <v>3.1822333970177308E-3</v>
      </c>
    </row>
    <row r="82" spans="1:12" x14ac:dyDescent="0.25">
      <c r="A82" s="65">
        <v>38361</v>
      </c>
      <c r="B82" s="2">
        <v>83.488406699999999</v>
      </c>
      <c r="C82">
        <f t="shared" si="13"/>
        <v>2005</v>
      </c>
      <c r="D82">
        <f t="shared" si="14"/>
        <v>9</v>
      </c>
      <c r="E82" t="str">
        <f t="shared" si="15"/>
        <v>2005M9</v>
      </c>
      <c r="F82" s="2" t="str">
        <f t="shared" si="9"/>
        <v>2005 Q3</v>
      </c>
      <c r="G82">
        <f t="shared" si="10"/>
        <v>1.5411786716041265E-2</v>
      </c>
      <c r="K82" t="s">
        <v>661</v>
      </c>
      <c r="L82" s="68">
        <f t="shared" si="12"/>
        <v>-1.222650732846664E-3</v>
      </c>
    </row>
    <row r="83" spans="1:12" x14ac:dyDescent="0.25">
      <c r="A83" s="65">
        <v>38362</v>
      </c>
      <c r="B83" s="2">
        <v>83.321314700000002</v>
      </c>
      <c r="C83">
        <f t="shared" si="13"/>
        <v>2005</v>
      </c>
      <c r="D83">
        <f t="shared" si="14"/>
        <v>10</v>
      </c>
      <c r="E83" t="str">
        <f t="shared" si="15"/>
        <v>2005M10</v>
      </c>
      <c r="F83" s="2" t="str">
        <f t="shared" si="9"/>
        <v xml:space="preserve">2005 </v>
      </c>
      <c r="G83">
        <f t="shared" si="10"/>
        <v>4.9637369789312658E-4</v>
      </c>
      <c r="K83" t="s">
        <v>662</v>
      </c>
      <c r="L83" s="68">
        <f t="shared" si="12"/>
        <v>3.0650621280119861E-2</v>
      </c>
    </row>
    <row r="84" spans="1:12" x14ac:dyDescent="0.25">
      <c r="A84" s="65">
        <v>38363</v>
      </c>
      <c r="B84" s="2">
        <v>83.569290050000006</v>
      </c>
      <c r="C84">
        <f t="shared" si="13"/>
        <v>2005</v>
      </c>
      <c r="D84">
        <f t="shared" si="14"/>
        <v>11</v>
      </c>
      <c r="E84" t="str">
        <f t="shared" si="15"/>
        <v>2005M11</v>
      </c>
      <c r="F84" s="2" t="str">
        <f t="shared" si="9"/>
        <v xml:space="preserve">2005 </v>
      </c>
      <c r="G84">
        <f t="shared" si="10"/>
        <v>-5.8941412716972952E-4</v>
      </c>
      <c r="K84" t="s">
        <v>663</v>
      </c>
      <c r="L84" s="68">
        <f t="shared" si="12"/>
        <v>1.3801080399105992E-2</v>
      </c>
    </row>
    <row r="85" spans="1:12" x14ac:dyDescent="0.25">
      <c r="A85" s="65">
        <v>38364</v>
      </c>
      <c r="B85" s="2">
        <v>84.026448389999999</v>
      </c>
      <c r="C85">
        <f t="shared" si="13"/>
        <v>2005</v>
      </c>
      <c r="D85">
        <f t="shared" si="14"/>
        <v>12</v>
      </c>
      <c r="E85" t="str">
        <f t="shared" si="15"/>
        <v>2005M12</v>
      </c>
      <c r="F85" s="2" t="str">
        <f t="shared" si="9"/>
        <v>2005 Q4</v>
      </c>
      <c r="G85">
        <f t="shared" si="10"/>
        <v>6.444507821707024E-3</v>
      </c>
      <c r="K85" t="s">
        <v>664</v>
      </c>
      <c r="L85" s="68">
        <f t="shared" si="12"/>
        <v>1.9340474481035486E-3</v>
      </c>
    </row>
    <row r="86" spans="1:12" x14ac:dyDescent="0.25">
      <c r="A86" s="65">
        <v>38718</v>
      </c>
      <c r="B86" s="2">
        <v>83.901066349999994</v>
      </c>
      <c r="C86">
        <f t="shared" si="13"/>
        <v>2006</v>
      </c>
      <c r="D86">
        <f t="shared" si="14"/>
        <v>1</v>
      </c>
      <c r="E86" t="str">
        <f t="shared" si="15"/>
        <v>2006M1</v>
      </c>
      <c r="F86" s="2" t="str">
        <f t="shared" si="9"/>
        <v xml:space="preserve">2006 </v>
      </c>
      <c r="G86">
        <f t="shared" si="10"/>
        <v>6.9580233111707912E-3</v>
      </c>
      <c r="K86" t="s">
        <v>665</v>
      </c>
      <c r="L86" s="68">
        <f t="shared" si="12"/>
        <v>-6.9134050247686707E-3</v>
      </c>
    </row>
    <row r="87" spans="1:12" x14ac:dyDescent="0.25">
      <c r="A87" s="65">
        <v>38719</v>
      </c>
      <c r="B87" s="2">
        <v>84.038115680000004</v>
      </c>
      <c r="C87">
        <f t="shared" si="13"/>
        <v>2006</v>
      </c>
      <c r="D87">
        <f t="shared" si="14"/>
        <v>2</v>
      </c>
      <c r="E87" t="str">
        <f t="shared" si="15"/>
        <v>2006M2</v>
      </c>
      <c r="F87" s="2" t="str">
        <f t="shared" si="9"/>
        <v xml:space="preserve">2006 </v>
      </c>
      <c r="G87">
        <f t="shared" si="10"/>
        <v>5.6100228890241244E-3</v>
      </c>
      <c r="K87" t="s">
        <v>666</v>
      </c>
      <c r="L87" s="68">
        <f t="shared" si="12"/>
        <v>2.0481230931572059E-2</v>
      </c>
    </row>
    <row r="88" spans="1:12" x14ac:dyDescent="0.25">
      <c r="A88" s="65">
        <v>38720</v>
      </c>
      <c r="B88" s="2">
        <v>84.719600600000007</v>
      </c>
      <c r="C88">
        <f t="shared" si="13"/>
        <v>2006</v>
      </c>
      <c r="D88">
        <f t="shared" si="14"/>
        <v>3</v>
      </c>
      <c r="E88" t="str">
        <f t="shared" si="15"/>
        <v>2006M3</v>
      </c>
      <c r="F88" s="2" t="str">
        <f t="shared" si="9"/>
        <v>2006 Q1</v>
      </c>
      <c r="G88">
        <f t="shared" si="10"/>
        <v>8.2492146613506456E-3</v>
      </c>
      <c r="K88" t="s">
        <v>667</v>
      </c>
      <c r="L88" s="68">
        <f t="shared" si="12"/>
        <v>1.3570695632691754E-2</v>
      </c>
    </row>
    <row r="89" spans="1:12" x14ac:dyDescent="0.25">
      <c r="A89" s="65">
        <v>38721</v>
      </c>
      <c r="B89" s="2">
        <v>86.561110029999995</v>
      </c>
      <c r="C89">
        <f t="shared" si="13"/>
        <v>2006</v>
      </c>
      <c r="D89">
        <f t="shared" si="14"/>
        <v>4</v>
      </c>
      <c r="E89" t="str">
        <f t="shared" si="15"/>
        <v>2006M4</v>
      </c>
      <c r="F89" s="2" t="str">
        <f t="shared" si="9"/>
        <v xml:space="preserve">2006 </v>
      </c>
      <c r="G89">
        <f t="shared" si="10"/>
        <v>3.1704527674337513E-2</v>
      </c>
      <c r="K89" t="s">
        <v>668</v>
      </c>
      <c r="L89" s="68">
        <f t="shared" si="12"/>
        <v>-7.4528383172631774E-3</v>
      </c>
    </row>
    <row r="90" spans="1:12" x14ac:dyDescent="0.25">
      <c r="A90" s="65">
        <v>38722</v>
      </c>
      <c r="B90" s="2">
        <v>87.381440639999994</v>
      </c>
      <c r="C90">
        <f t="shared" si="13"/>
        <v>2006</v>
      </c>
      <c r="D90">
        <f t="shared" si="14"/>
        <v>5</v>
      </c>
      <c r="E90" t="str">
        <f t="shared" si="15"/>
        <v>2006M5</v>
      </c>
      <c r="F90" s="2" t="str">
        <f t="shared" si="9"/>
        <v xml:space="preserve">2006 </v>
      </c>
      <c r="G90">
        <f t="shared" si="10"/>
        <v>3.9783435563104375E-2</v>
      </c>
      <c r="K90" t="s">
        <v>669</v>
      </c>
      <c r="L90" s="68">
        <f t="shared" si="12"/>
        <v>-1.099228555356524E-2</v>
      </c>
    </row>
    <row r="91" spans="1:12" x14ac:dyDescent="0.25">
      <c r="A91" s="65">
        <v>38723</v>
      </c>
      <c r="B91" s="2">
        <v>88.209262260000003</v>
      </c>
      <c r="C91">
        <f t="shared" si="13"/>
        <v>2006</v>
      </c>
      <c r="D91">
        <f t="shared" si="14"/>
        <v>6</v>
      </c>
      <c r="E91" t="str">
        <f t="shared" si="15"/>
        <v>2006M6</v>
      </c>
      <c r="F91" s="2" t="str">
        <f t="shared" si="9"/>
        <v>2006 Q2</v>
      </c>
      <c r="G91">
        <f t="shared" si="10"/>
        <v>4.119072369658916E-2</v>
      </c>
      <c r="K91" t="s">
        <v>670</v>
      </c>
      <c r="L91" s="68">
        <f t="shared" si="12"/>
        <v>1.3412429333262921E-2</v>
      </c>
    </row>
    <row r="92" spans="1:12" x14ac:dyDescent="0.25">
      <c r="A92" s="65">
        <v>38724</v>
      </c>
      <c r="B92" s="2">
        <v>89.478650939999994</v>
      </c>
      <c r="C92">
        <f t="shared" si="13"/>
        <v>2006</v>
      </c>
      <c r="D92">
        <f t="shared" si="14"/>
        <v>7</v>
      </c>
      <c r="E92" t="str">
        <f t="shared" si="15"/>
        <v>2006M7</v>
      </c>
      <c r="F92" s="2" t="str">
        <f t="shared" si="9"/>
        <v xml:space="preserve">2006 </v>
      </c>
      <c r="G92">
        <f t="shared" si="10"/>
        <v>3.370498494056795E-2</v>
      </c>
      <c r="K92" t="s">
        <v>671</v>
      </c>
      <c r="L92" s="68">
        <f t="shared" si="12"/>
        <v>1.5328229192906884E-2</v>
      </c>
    </row>
    <row r="93" spans="1:12" x14ac:dyDescent="0.25">
      <c r="A93" s="65">
        <v>38725</v>
      </c>
      <c r="B93" s="2">
        <v>90.229831829999995</v>
      </c>
      <c r="C93">
        <f t="shared" si="13"/>
        <v>2006</v>
      </c>
      <c r="D93">
        <f t="shared" si="14"/>
        <v>8</v>
      </c>
      <c r="E93" t="str">
        <f t="shared" si="15"/>
        <v>2006M8</v>
      </c>
      <c r="F93" s="2" t="str">
        <f t="shared" ref="F93:F156" si="16">C93&amp;" "&amp;IF(D93=3,"Q1",IF(D93=6,"Q2",IF(D93=9,"Q3",IF(D93=12,"Q4",""))))</f>
        <v xml:space="preserve">2006 </v>
      </c>
      <c r="G93">
        <f t="shared" si="10"/>
        <v>3.2597210221504636E-2</v>
      </c>
      <c r="K93" t="s">
        <v>672</v>
      </c>
      <c r="L93" s="68">
        <f t="shared" si="12"/>
        <v>-5.2644739527976103E-3</v>
      </c>
    </row>
    <row r="94" spans="1:12" x14ac:dyDescent="0.25">
      <c r="A94" s="65">
        <v>38726</v>
      </c>
      <c r="B94" s="2">
        <v>90.597683369999999</v>
      </c>
      <c r="C94">
        <f t="shared" si="13"/>
        <v>2006</v>
      </c>
      <c r="D94">
        <f t="shared" si="14"/>
        <v>9</v>
      </c>
      <c r="E94" t="str">
        <f t="shared" si="15"/>
        <v>2006M9</v>
      </c>
      <c r="F94" s="2" t="str">
        <f t="shared" si="16"/>
        <v>2006 Q3</v>
      </c>
      <c r="G94">
        <f t="shared" ref="G94:G157" si="17">B94/B91-1</f>
        <v>2.7076760975055514E-2</v>
      </c>
      <c r="K94" t="s">
        <v>673</v>
      </c>
      <c r="L94" s="68" t="e">
        <f t="shared" si="12"/>
        <v>#N/A</v>
      </c>
    </row>
    <row r="95" spans="1:12" x14ac:dyDescent="0.25">
      <c r="A95" s="65">
        <v>38727</v>
      </c>
      <c r="B95" s="2">
        <v>91.128336820000001</v>
      </c>
      <c r="C95">
        <f t="shared" si="13"/>
        <v>2006</v>
      </c>
      <c r="D95">
        <f t="shared" si="14"/>
        <v>10</v>
      </c>
      <c r="E95" t="str">
        <f t="shared" si="15"/>
        <v>2006M10</v>
      </c>
      <c r="F95" s="2" t="str">
        <f t="shared" si="16"/>
        <v xml:space="preserve">2006 </v>
      </c>
      <c r="G95">
        <f t="shared" si="17"/>
        <v>1.8436642290306837E-2</v>
      </c>
      <c r="K95" t="s">
        <v>674</v>
      </c>
      <c r="L95" s="68" t="e">
        <f t="shared" si="12"/>
        <v>#N/A</v>
      </c>
    </row>
    <row r="96" spans="1:12" x14ac:dyDescent="0.25">
      <c r="A96" s="65">
        <v>38728</v>
      </c>
      <c r="B96" s="2">
        <v>91.597548950000004</v>
      </c>
      <c r="C96">
        <f t="shared" si="13"/>
        <v>2006</v>
      </c>
      <c r="D96">
        <f t="shared" si="14"/>
        <v>11</v>
      </c>
      <c r="E96" t="str">
        <f t="shared" si="15"/>
        <v>2006M11</v>
      </c>
      <c r="F96" s="2" t="str">
        <f t="shared" si="16"/>
        <v xml:space="preserve">2006 </v>
      </c>
      <c r="G96">
        <f t="shared" si="17"/>
        <v>1.5158147724101845E-2</v>
      </c>
      <c r="K96" t="s">
        <v>675</v>
      </c>
      <c r="L96" s="68" t="e">
        <f t="shared" si="12"/>
        <v>#N/A</v>
      </c>
    </row>
    <row r="97" spans="1:12" x14ac:dyDescent="0.25">
      <c r="A97" s="65">
        <v>38729</v>
      </c>
      <c r="B97" s="2">
        <v>92.738099270000006</v>
      </c>
      <c r="C97">
        <f t="shared" si="13"/>
        <v>2006</v>
      </c>
      <c r="D97">
        <f t="shared" si="14"/>
        <v>12</v>
      </c>
      <c r="E97" t="str">
        <f t="shared" si="15"/>
        <v>2006M12</v>
      </c>
      <c r="F97" s="2" t="str">
        <f t="shared" si="16"/>
        <v>2006 Q4</v>
      </c>
      <c r="G97">
        <f t="shared" si="17"/>
        <v>2.3625503659498337E-2</v>
      </c>
      <c r="K97" t="s">
        <v>676</v>
      </c>
      <c r="L97" s="68" t="e">
        <f t="shared" si="12"/>
        <v>#N/A</v>
      </c>
    </row>
    <row r="98" spans="1:12" x14ac:dyDescent="0.25">
      <c r="A98" s="65">
        <v>39083</v>
      </c>
      <c r="B98" s="2">
        <v>92.706053199999999</v>
      </c>
      <c r="C98">
        <f t="shared" si="13"/>
        <v>2007</v>
      </c>
      <c r="D98">
        <f t="shared" si="14"/>
        <v>1</v>
      </c>
      <c r="E98" t="str">
        <f t="shared" si="15"/>
        <v>2007M1</v>
      </c>
      <c r="F98" s="2" t="str">
        <f t="shared" si="16"/>
        <v xml:space="preserve">2007 </v>
      </c>
      <c r="G98">
        <f t="shared" si="17"/>
        <v>1.7313126027048709E-2</v>
      </c>
      <c r="K98" t="s">
        <v>677</v>
      </c>
      <c r="L98" s="68" t="e">
        <f t="shared" si="12"/>
        <v>#N/A</v>
      </c>
    </row>
    <row r="99" spans="1:12" x14ac:dyDescent="0.25">
      <c r="A99" s="65">
        <v>39084</v>
      </c>
      <c r="B99" s="2">
        <v>92.969934600000002</v>
      </c>
      <c r="C99">
        <f t="shared" si="13"/>
        <v>2007</v>
      </c>
      <c r="D99">
        <f t="shared" si="14"/>
        <v>2</v>
      </c>
      <c r="E99" t="str">
        <f t="shared" si="15"/>
        <v>2007M2</v>
      </c>
      <c r="F99" s="2" t="str">
        <f t="shared" si="16"/>
        <v xml:space="preserve">2007 </v>
      </c>
      <c r="G99">
        <f t="shared" si="17"/>
        <v>1.4982777003663461E-2</v>
      </c>
      <c r="K99" t="s">
        <v>678</v>
      </c>
      <c r="L99" s="68" t="e">
        <f t="shared" si="12"/>
        <v>#N/A</v>
      </c>
    </row>
    <row r="100" spans="1:12" x14ac:dyDescent="0.25">
      <c r="A100" s="65">
        <v>39085</v>
      </c>
      <c r="B100" s="2">
        <v>93.691286399999996</v>
      </c>
      <c r="C100">
        <f t="shared" si="13"/>
        <v>2007</v>
      </c>
      <c r="D100">
        <f t="shared" si="14"/>
        <v>3</v>
      </c>
      <c r="E100" t="str">
        <f t="shared" si="15"/>
        <v>2007M3</v>
      </c>
      <c r="F100" s="2" t="str">
        <f t="shared" si="16"/>
        <v>2007 Q1</v>
      </c>
      <c r="G100">
        <f t="shared" si="17"/>
        <v>1.0278268990880024E-2</v>
      </c>
      <c r="K100" t="s">
        <v>679</v>
      </c>
      <c r="L100" s="68" t="e">
        <f t="shared" si="12"/>
        <v>#N/A</v>
      </c>
    </row>
    <row r="101" spans="1:12" x14ac:dyDescent="0.25">
      <c r="A101" s="65">
        <v>39086</v>
      </c>
      <c r="B101" s="2">
        <v>95.582673479999997</v>
      </c>
      <c r="C101">
        <f t="shared" si="13"/>
        <v>2007</v>
      </c>
      <c r="D101">
        <f t="shared" si="14"/>
        <v>4</v>
      </c>
      <c r="E101" t="str">
        <f t="shared" si="15"/>
        <v>2007M4</v>
      </c>
      <c r="F101" s="2" t="str">
        <f t="shared" si="16"/>
        <v xml:space="preserve">2007 </v>
      </c>
      <c r="G101">
        <f t="shared" si="17"/>
        <v>3.1029476293140235E-2</v>
      </c>
      <c r="K101" t="s">
        <v>683</v>
      </c>
      <c r="L101" s="68" t="e">
        <f t="shared" si="12"/>
        <v>#N/A</v>
      </c>
    </row>
    <row r="102" spans="1:12" x14ac:dyDescent="0.25">
      <c r="A102" s="65">
        <v>39087</v>
      </c>
      <c r="B102" s="2">
        <v>96.677661060000005</v>
      </c>
      <c r="C102">
        <f t="shared" si="13"/>
        <v>2007</v>
      </c>
      <c r="D102">
        <f t="shared" si="14"/>
        <v>5</v>
      </c>
      <c r="E102" t="str">
        <f t="shared" si="15"/>
        <v>2007M5</v>
      </c>
      <c r="F102" s="2" t="str">
        <f t="shared" si="16"/>
        <v xml:space="preserve">2007 </v>
      </c>
      <c r="G102">
        <f t="shared" si="17"/>
        <v>3.9880919309585039E-2</v>
      </c>
      <c r="K102" t="s">
        <v>744</v>
      </c>
      <c r="L102" s="68" t="e">
        <f t="shared" si="12"/>
        <v>#N/A</v>
      </c>
    </row>
    <row r="103" spans="1:12" x14ac:dyDescent="0.25">
      <c r="A103" s="65">
        <v>39088</v>
      </c>
      <c r="B103" s="2">
        <v>97.735915539999993</v>
      </c>
      <c r="C103">
        <f t="shared" si="13"/>
        <v>2007</v>
      </c>
      <c r="D103">
        <f t="shared" si="14"/>
        <v>6</v>
      </c>
      <c r="E103" t="str">
        <f t="shared" si="15"/>
        <v>2007M6</v>
      </c>
      <c r="F103" s="2" t="str">
        <f t="shared" si="16"/>
        <v>2007 Q2</v>
      </c>
      <c r="G103">
        <f t="shared" si="17"/>
        <v>4.3169747106813094E-2</v>
      </c>
      <c r="K103" t="s">
        <v>745</v>
      </c>
      <c r="L103" s="68" t="e">
        <f t="shared" si="12"/>
        <v>#N/A</v>
      </c>
    </row>
    <row r="104" spans="1:12" x14ac:dyDescent="0.25">
      <c r="A104" s="65">
        <v>39089</v>
      </c>
      <c r="B104" s="2">
        <v>98.964725909999999</v>
      </c>
      <c r="C104">
        <f t="shared" si="13"/>
        <v>2007</v>
      </c>
      <c r="D104">
        <f t="shared" si="14"/>
        <v>7</v>
      </c>
      <c r="E104" t="str">
        <f t="shared" si="15"/>
        <v>2007M7</v>
      </c>
      <c r="F104" s="2" t="str">
        <f t="shared" si="16"/>
        <v xml:space="preserve">2007 </v>
      </c>
      <c r="G104">
        <f t="shared" si="17"/>
        <v>3.5383530370780791E-2</v>
      </c>
      <c r="K104" t="s">
        <v>746</v>
      </c>
      <c r="L104" s="68" t="e">
        <f t="shared" si="12"/>
        <v>#N/A</v>
      </c>
    </row>
    <row r="105" spans="1:12" x14ac:dyDescent="0.25">
      <c r="A105" s="65">
        <v>39090</v>
      </c>
      <c r="B105" s="2">
        <v>99.538837430000001</v>
      </c>
      <c r="C105">
        <f t="shared" si="13"/>
        <v>2007</v>
      </c>
      <c r="D105">
        <f t="shared" si="14"/>
        <v>8</v>
      </c>
      <c r="E105" t="str">
        <f t="shared" si="15"/>
        <v>2007M8</v>
      </c>
      <c r="F105" s="2" t="str">
        <f t="shared" si="16"/>
        <v xml:space="preserve">2007 </v>
      </c>
      <c r="G105">
        <f t="shared" si="17"/>
        <v>2.9595010249827025E-2</v>
      </c>
    </row>
    <row r="106" spans="1:12" x14ac:dyDescent="0.25">
      <c r="A106" s="65">
        <v>39091</v>
      </c>
      <c r="B106" s="2">
        <v>99.667991209999997</v>
      </c>
      <c r="C106">
        <f t="shared" si="13"/>
        <v>2007</v>
      </c>
      <c r="D106">
        <f t="shared" si="14"/>
        <v>9</v>
      </c>
      <c r="E106" t="str">
        <f t="shared" si="15"/>
        <v>2007M9</v>
      </c>
      <c r="F106" s="2" t="str">
        <f t="shared" si="16"/>
        <v>2007 Q3</v>
      </c>
      <c r="G106">
        <f t="shared" si="17"/>
        <v>1.9768328350178166E-2</v>
      </c>
    </row>
    <row r="107" spans="1:12" x14ac:dyDescent="0.25">
      <c r="A107" s="65">
        <v>39092</v>
      </c>
      <c r="B107" s="2">
        <v>99.435598900000002</v>
      </c>
      <c r="C107">
        <f t="shared" si="13"/>
        <v>2007</v>
      </c>
      <c r="D107">
        <f t="shared" si="14"/>
        <v>10</v>
      </c>
      <c r="E107" t="str">
        <f t="shared" si="15"/>
        <v>2007M10</v>
      </c>
      <c r="F107" s="2" t="str">
        <f t="shared" si="16"/>
        <v xml:space="preserve">2007 </v>
      </c>
      <c r="G107">
        <f t="shared" si="17"/>
        <v>4.7579881181929462E-3</v>
      </c>
    </row>
    <row r="108" spans="1:12" x14ac:dyDescent="0.25">
      <c r="A108" s="65">
        <v>39093</v>
      </c>
      <c r="B108" s="2">
        <v>99.383351730000001</v>
      </c>
      <c r="C108">
        <f t="shared" si="13"/>
        <v>2007</v>
      </c>
      <c r="D108">
        <f t="shared" si="14"/>
        <v>11</v>
      </c>
      <c r="E108" t="str">
        <f t="shared" si="15"/>
        <v>2007M11</v>
      </c>
      <c r="F108" s="2" t="str">
        <f t="shared" si="16"/>
        <v xml:space="preserve">2007 </v>
      </c>
      <c r="G108">
        <f t="shared" si="17"/>
        <v>-1.5620606389876723E-3</v>
      </c>
    </row>
    <row r="109" spans="1:12" x14ac:dyDescent="0.25">
      <c r="A109" s="65">
        <v>39094</v>
      </c>
      <c r="B109" s="2">
        <v>99.228256909999999</v>
      </c>
      <c r="C109">
        <f t="shared" si="13"/>
        <v>2007</v>
      </c>
      <c r="D109">
        <f t="shared" si="14"/>
        <v>12</v>
      </c>
      <c r="E109" t="str">
        <f t="shared" si="15"/>
        <v>2007M12</v>
      </c>
      <c r="F109" s="2" t="str">
        <f t="shared" si="16"/>
        <v>2007 Q4</v>
      </c>
      <c r="G109">
        <f t="shared" si="17"/>
        <v>-4.411991198593368E-3</v>
      </c>
    </row>
    <row r="110" spans="1:12" x14ac:dyDescent="0.25">
      <c r="A110" s="65">
        <v>39448</v>
      </c>
      <c r="B110" s="2">
        <v>97.438803980000003</v>
      </c>
      <c r="C110">
        <f t="shared" si="13"/>
        <v>2008</v>
      </c>
      <c r="D110">
        <f t="shared" si="14"/>
        <v>1</v>
      </c>
      <c r="E110" t="str">
        <f t="shared" si="15"/>
        <v>2008M1</v>
      </c>
      <c r="F110" s="2" t="str">
        <f t="shared" si="16"/>
        <v xml:space="preserve">2008 </v>
      </c>
      <c r="G110">
        <f t="shared" si="17"/>
        <v>-2.0081288211560189E-2</v>
      </c>
    </row>
    <row r="111" spans="1:12" x14ac:dyDescent="0.25">
      <c r="A111" s="65">
        <v>39449</v>
      </c>
      <c r="B111" s="2">
        <v>96.601221080000002</v>
      </c>
      <c r="C111">
        <f t="shared" si="13"/>
        <v>2008</v>
      </c>
      <c r="D111">
        <f t="shared" si="14"/>
        <v>2</v>
      </c>
      <c r="E111" t="str">
        <f t="shared" si="15"/>
        <v>2008M2</v>
      </c>
      <c r="F111" s="2" t="str">
        <f t="shared" si="16"/>
        <v xml:space="preserve">2008 </v>
      </c>
      <c r="G111">
        <f t="shared" si="17"/>
        <v>-2.7993930588680049E-2</v>
      </c>
    </row>
    <row r="112" spans="1:12" x14ac:dyDescent="0.25">
      <c r="A112" s="65">
        <v>39450</v>
      </c>
      <c r="B112" s="2">
        <v>95.898471459999996</v>
      </c>
      <c r="C112">
        <f t="shared" si="13"/>
        <v>2008</v>
      </c>
      <c r="D112">
        <f t="shared" si="14"/>
        <v>3</v>
      </c>
      <c r="E112" t="str">
        <f t="shared" si="15"/>
        <v>2008M3</v>
      </c>
      <c r="F112" s="2" t="str">
        <f t="shared" si="16"/>
        <v>2008 Q1</v>
      </c>
      <c r="G112">
        <f t="shared" si="17"/>
        <v>-3.3556826993546007E-2</v>
      </c>
    </row>
    <row r="113" spans="1:7" x14ac:dyDescent="0.25">
      <c r="A113" s="65">
        <v>39451</v>
      </c>
      <c r="B113" s="2">
        <v>96.057432399999996</v>
      </c>
      <c r="C113">
        <f t="shared" si="13"/>
        <v>2008</v>
      </c>
      <c r="D113">
        <f t="shared" si="14"/>
        <v>4</v>
      </c>
      <c r="E113" t="str">
        <f t="shared" si="15"/>
        <v>2008M4</v>
      </c>
      <c r="F113" s="2" t="str">
        <f t="shared" si="16"/>
        <v xml:space="preserve">2008 </v>
      </c>
      <c r="G113">
        <f t="shared" si="17"/>
        <v>-1.4176811737996564E-2</v>
      </c>
    </row>
    <row r="114" spans="1:7" x14ac:dyDescent="0.25">
      <c r="A114" s="65">
        <v>39452</v>
      </c>
      <c r="B114" s="2">
        <v>96.644602610000007</v>
      </c>
      <c r="C114">
        <f t="shared" si="13"/>
        <v>2008</v>
      </c>
      <c r="D114">
        <f t="shared" si="14"/>
        <v>5</v>
      </c>
      <c r="E114" t="str">
        <f t="shared" si="15"/>
        <v>2008M5</v>
      </c>
      <c r="F114" s="2" t="str">
        <f t="shared" si="16"/>
        <v xml:space="preserve">2008 </v>
      </c>
      <c r="G114">
        <f t="shared" si="17"/>
        <v>4.4907848487829582E-4</v>
      </c>
    </row>
    <row r="115" spans="1:7" x14ac:dyDescent="0.25">
      <c r="A115" s="65">
        <v>39453</v>
      </c>
      <c r="B115" s="2">
        <v>95.366592100000005</v>
      </c>
      <c r="C115">
        <f t="shared" si="13"/>
        <v>2008</v>
      </c>
      <c r="D115">
        <f t="shared" si="14"/>
        <v>6</v>
      </c>
      <c r="E115" t="str">
        <f t="shared" si="15"/>
        <v>2008M6</v>
      </c>
      <c r="F115" s="2" t="str">
        <f t="shared" si="16"/>
        <v>2008 Q2</v>
      </c>
      <c r="G115">
        <f t="shared" si="17"/>
        <v>-5.5462756799188329E-3</v>
      </c>
    </row>
    <row r="116" spans="1:7" x14ac:dyDescent="0.25">
      <c r="A116" s="65">
        <v>39454</v>
      </c>
      <c r="B116" s="2">
        <v>94.325263100000001</v>
      </c>
      <c r="C116">
        <f t="shared" si="13"/>
        <v>2008</v>
      </c>
      <c r="D116">
        <f t="shared" si="14"/>
        <v>7</v>
      </c>
      <c r="E116" t="str">
        <f t="shared" si="15"/>
        <v>2008M7</v>
      </c>
      <c r="F116" s="2" t="str">
        <f t="shared" si="16"/>
        <v xml:space="preserve">2008 </v>
      </c>
      <c r="G116">
        <f t="shared" si="17"/>
        <v>-1.803264210505795E-2</v>
      </c>
    </row>
    <row r="117" spans="1:7" x14ac:dyDescent="0.25">
      <c r="A117" s="65">
        <v>39455</v>
      </c>
      <c r="B117" s="2">
        <v>92.356970459999999</v>
      </c>
      <c r="C117">
        <f t="shared" si="13"/>
        <v>2008</v>
      </c>
      <c r="D117">
        <f t="shared" si="14"/>
        <v>8</v>
      </c>
      <c r="E117" t="str">
        <f t="shared" si="15"/>
        <v>2008M8</v>
      </c>
      <c r="F117" s="2" t="str">
        <f t="shared" si="16"/>
        <v xml:space="preserve">2008 </v>
      </c>
      <c r="G117">
        <f t="shared" si="17"/>
        <v>-4.4364941592261897E-2</v>
      </c>
    </row>
    <row r="118" spans="1:7" x14ac:dyDescent="0.25">
      <c r="A118" s="65">
        <v>39456</v>
      </c>
      <c r="B118" s="2">
        <v>90.032035460000003</v>
      </c>
      <c r="C118">
        <f t="shared" si="13"/>
        <v>2008</v>
      </c>
      <c r="D118">
        <f t="shared" si="14"/>
        <v>9</v>
      </c>
      <c r="E118" t="str">
        <f t="shared" si="15"/>
        <v>2008M9</v>
      </c>
      <c r="F118" s="2" t="str">
        <f t="shared" si="16"/>
        <v>2008 Q3</v>
      </c>
      <c r="G118">
        <f t="shared" si="17"/>
        <v>-5.5937373062531881E-2</v>
      </c>
    </row>
    <row r="119" spans="1:7" x14ac:dyDescent="0.25">
      <c r="A119" s="65">
        <v>39457</v>
      </c>
      <c r="B119" s="2">
        <v>88.205574810000002</v>
      </c>
      <c r="C119">
        <f t="shared" si="13"/>
        <v>2008</v>
      </c>
      <c r="D119">
        <f t="shared" si="14"/>
        <v>10</v>
      </c>
      <c r="E119" t="str">
        <f t="shared" si="15"/>
        <v>2008M10</v>
      </c>
      <c r="F119" s="2" t="str">
        <f t="shared" si="16"/>
        <v xml:space="preserve">2008 </v>
      </c>
      <c r="G119">
        <f t="shared" si="17"/>
        <v>-6.4878571115271066E-2</v>
      </c>
    </row>
    <row r="120" spans="1:7" x14ac:dyDescent="0.25">
      <c r="A120" s="65">
        <v>39458</v>
      </c>
      <c r="B120" s="2">
        <v>85.724695659999995</v>
      </c>
      <c r="C120">
        <f t="shared" si="13"/>
        <v>2008</v>
      </c>
      <c r="D120">
        <f t="shared" si="14"/>
        <v>11</v>
      </c>
      <c r="E120" t="str">
        <f t="shared" si="15"/>
        <v>2008M11</v>
      </c>
      <c r="F120" s="2" t="str">
        <f t="shared" si="16"/>
        <v xml:space="preserve">2008 </v>
      </c>
      <c r="G120">
        <f t="shared" si="17"/>
        <v>-7.1811307440757366E-2</v>
      </c>
    </row>
    <row r="121" spans="1:7" x14ac:dyDescent="0.25">
      <c r="A121" s="65">
        <v>39459</v>
      </c>
      <c r="B121" s="2">
        <v>84.417319149999997</v>
      </c>
      <c r="C121">
        <f t="shared" si="13"/>
        <v>2008</v>
      </c>
      <c r="D121">
        <f t="shared" si="14"/>
        <v>12</v>
      </c>
      <c r="E121" t="str">
        <f t="shared" si="15"/>
        <v>2008M12</v>
      </c>
      <c r="F121" s="2" t="str">
        <f t="shared" si="16"/>
        <v>2008 Q4</v>
      </c>
      <c r="G121">
        <f t="shared" si="17"/>
        <v>-6.2363538503964477E-2</v>
      </c>
    </row>
    <row r="122" spans="1:7" x14ac:dyDescent="0.25">
      <c r="A122" s="65">
        <v>39814</v>
      </c>
      <c r="B122" s="2">
        <v>82.466093979999997</v>
      </c>
      <c r="C122">
        <f t="shared" si="13"/>
        <v>2009</v>
      </c>
      <c r="D122">
        <f t="shared" si="14"/>
        <v>1</v>
      </c>
      <c r="E122" t="str">
        <f t="shared" si="15"/>
        <v>2009M1</v>
      </c>
      <c r="F122" s="2" t="str">
        <f t="shared" si="16"/>
        <v xml:space="preserve">2009 </v>
      </c>
      <c r="G122">
        <f t="shared" si="17"/>
        <v>-6.5069365993738915E-2</v>
      </c>
    </row>
    <row r="123" spans="1:7" x14ac:dyDescent="0.25">
      <c r="A123" s="65">
        <v>39815</v>
      </c>
      <c r="B123" s="2">
        <v>81.513355230000002</v>
      </c>
      <c r="C123">
        <f t="shared" si="13"/>
        <v>2009</v>
      </c>
      <c r="D123">
        <f t="shared" si="14"/>
        <v>2</v>
      </c>
      <c r="E123" t="str">
        <f t="shared" si="15"/>
        <v>2009M2</v>
      </c>
      <c r="F123" s="2" t="str">
        <f t="shared" si="16"/>
        <v xml:space="preserve">2009 </v>
      </c>
      <c r="G123">
        <f t="shared" si="17"/>
        <v>-4.9126338653950441E-2</v>
      </c>
    </row>
    <row r="124" spans="1:7" x14ac:dyDescent="0.25">
      <c r="A124" s="65">
        <v>39816</v>
      </c>
      <c r="B124" s="2">
        <v>81.007229289999998</v>
      </c>
      <c r="C124">
        <f t="shared" si="13"/>
        <v>2009</v>
      </c>
      <c r="D124">
        <f t="shared" si="14"/>
        <v>3</v>
      </c>
      <c r="E124" t="str">
        <f t="shared" si="15"/>
        <v>2009M3</v>
      </c>
      <c r="F124" s="2" t="str">
        <f t="shared" si="16"/>
        <v>2009 Q1</v>
      </c>
      <c r="G124">
        <f t="shared" si="17"/>
        <v>-4.0395618983595782E-2</v>
      </c>
    </row>
    <row r="125" spans="1:7" x14ac:dyDescent="0.25">
      <c r="A125" s="65">
        <v>39817</v>
      </c>
      <c r="B125" s="2">
        <v>81.741383690000006</v>
      </c>
      <c r="C125">
        <f t="shared" si="13"/>
        <v>2009</v>
      </c>
      <c r="D125">
        <f t="shared" si="14"/>
        <v>4</v>
      </c>
      <c r="E125" t="str">
        <f t="shared" si="15"/>
        <v>2009M4</v>
      </c>
      <c r="F125" s="2" t="str">
        <f t="shared" si="16"/>
        <v xml:space="preserve">2009 </v>
      </c>
      <c r="G125">
        <f t="shared" si="17"/>
        <v>-8.7879788531726177E-3</v>
      </c>
    </row>
    <row r="126" spans="1:7" x14ac:dyDescent="0.25">
      <c r="A126" s="65">
        <v>39818</v>
      </c>
      <c r="B126" s="2">
        <v>82.870228179999998</v>
      </c>
      <c r="C126">
        <f t="shared" si="13"/>
        <v>2009</v>
      </c>
      <c r="D126">
        <f t="shared" si="14"/>
        <v>5</v>
      </c>
      <c r="E126" t="str">
        <f t="shared" si="15"/>
        <v>2009M5</v>
      </c>
      <c r="F126" s="2" t="str">
        <f t="shared" si="16"/>
        <v xml:space="preserve">2009 </v>
      </c>
      <c r="G126">
        <f t="shared" si="17"/>
        <v>1.6646020105189008E-2</v>
      </c>
    </row>
    <row r="127" spans="1:7" x14ac:dyDescent="0.25">
      <c r="A127" s="65">
        <v>39819</v>
      </c>
      <c r="B127" s="2">
        <v>83.686631239999997</v>
      </c>
      <c r="C127">
        <f t="shared" si="13"/>
        <v>2009</v>
      </c>
      <c r="D127">
        <f t="shared" si="14"/>
        <v>6</v>
      </c>
      <c r="E127" t="str">
        <f t="shared" si="15"/>
        <v>2009M6</v>
      </c>
      <c r="F127" s="2" t="str">
        <f t="shared" si="16"/>
        <v>2009 Q2</v>
      </c>
      <c r="G127">
        <f t="shared" si="17"/>
        <v>3.307608436288989E-2</v>
      </c>
    </row>
    <row r="128" spans="1:7" x14ac:dyDescent="0.25">
      <c r="A128" s="65">
        <v>39820</v>
      </c>
      <c r="B128" s="2">
        <v>85.187802970000007</v>
      </c>
      <c r="C128">
        <f t="shared" si="13"/>
        <v>2009</v>
      </c>
      <c r="D128">
        <f t="shared" si="14"/>
        <v>7</v>
      </c>
      <c r="E128" t="str">
        <f t="shared" si="15"/>
        <v>2009M7</v>
      </c>
      <c r="F128" s="2" t="str">
        <f t="shared" si="16"/>
        <v xml:space="preserve">2009 </v>
      </c>
      <c r="G128">
        <f t="shared" si="17"/>
        <v>4.2162477859077674E-2</v>
      </c>
    </row>
    <row r="129" spans="1:7" x14ac:dyDescent="0.25">
      <c r="A129" s="65">
        <v>39821</v>
      </c>
      <c r="B129" s="2">
        <v>86.028047369999996</v>
      </c>
      <c r="C129">
        <f t="shared" si="13"/>
        <v>2009</v>
      </c>
      <c r="D129">
        <f t="shared" si="14"/>
        <v>8</v>
      </c>
      <c r="E129" t="str">
        <f t="shared" si="15"/>
        <v>2009M8</v>
      </c>
      <c r="F129" s="2" t="str">
        <f t="shared" si="16"/>
        <v xml:space="preserve">2009 </v>
      </c>
      <c r="G129">
        <f t="shared" si="17"/>
        <v>3.8105593038081143E-2</v>
      </c>
    </row>
    <row r="130" spans="1:7" x14ac:dyDescent="0.25">
      <c r="A130" s="65">
        <v>39822</v>
      </c>
      <c r="B130" s="2">
        <v>86.703814050000005</v>
      </c>
      <c r="C130">
        <f t="shared" si="13"/>
        <v>2009</v>
      </c>
      <c r="D130">
        <f t="shared" si="14"/>
        <v>9</v>
      </c>
      <c r="E130" t="str">
        <f t="shared" si="15"/>
        <v>2009M9</v>
      </c>
      <c r="F130" s="2" t="str">
        <f t="shared" si="16"/>
        <v>2009 Q3</v>
      </c>
      <c r="G130">
        <f t="shared" si="17"/>
        <v>3.6053342873214822E-2</v>
      </c>
    </row>
    <row r="131" spans="1:7" x14ac:dyDescent="0.25">
      <c r="A131" s="65">
        <v>39823</v>
      </c>
      <c r="B131" s="2">
        <v>87.286581170000005</v>
      </c>
      <c r="C131">
        <f t="shared" si="13"/>
        <v>2009</v>
      </c>
      <c r="D131">
        <f t="shared" si="14"/>
        <v>10</v>
      </c>
      <c r="E131" t="str">
        <f t="shared" si="15"/>
        <v>2009M10</v>
      </c>
      <c r="F131" s="2" t="str">
        <f t="shared" si="16"/>
        <v xml:space="preserve">2009 </v>
      </c>
      <c r="G131">
        <f t="shared" si="17"/>
        <v>2.4637073933449161E-2</v>
      </c>
    </row>
    <row r="132" spans="1:7" x14ac:dyDescent="0.25">
      <c r="A132" s="65">
        <v>39824</v>
      </c>
      <c r="B132" s="2">
        <v>87.580943619999999</v>
      </c>
      <c r="C132">
        <f t="shared" si="13"/>
        <v>2009</v>
      </c>
      <c r="D132">
        <f t="shared" si="14"/>
        <v>11</v>
      </c>
      <c r="E132" t="str">
        <f t="shared" si="15"/>
        <v>2009M11</v>
      </c>
      <c r="F132" s="2" t="str">
        <f t="shared" si="16"/>
        <v xml:space="preserve">2009 </v>
      </c>
      <c r="G132">
        <f t="shared" si="17"/>
        <v>1.8051046111986269E-2</v>
      </c>
    </row>
    <row r="133" spans="1:7" x14ac:dyDescent="0.25">
      <c r="A133" s="65">
        <v>39825</v>
      </c>
      <c r="B133" s="2">
        <v>88.155491019999999</v>
      </c>
      <c r="C133">
        <f t="shared" si="13"/>
        <v>2009</v>
      </c>
      <c r="D133">
        <f t="shared" si="14"/>
        <v>12</v>
      </c>
      <c r="E133" t="str">
        <f t="shared" si="15"/>
        <v>2009M12</v>
      </c>
      <c r="F133" s="2" t="str">
        <f t="shared" si="16"/>
        <v>2009 Q4</v>
      </c>
      <c r="G133">
        <f t="shared" si="17"/>
        <v>1.6742942463440436E-2</v>
      </c>
    </row>
    <row r="134" spans="1:7" x14ac:dyDescent="0.25">
      <c r="A134" s="65">
        <v>40179</v>
      </c>
      <c r="B134" s="2">
        <v>87.834152869999997</v>
      </c>
      <c r="C134">
        <f t="shared" si="13"/>
        <v>2010</v>
      </c>
      <c r="D134">
        <f t="shared" si="14"/>
        <v>1</v>
      </c>
      <c r="E134" t="str">
        <f t="shared" si="15"/>
        <v>2010M1</v>
      </c>
      <c r="F134" s="2" t="str">
        <f t="shared" si="16"/>
        <v xml:space="preserve">2010 </v>
      </c>
      <c r="G134">
        <f t="shared" si="17"/>
        <v>6.273263228554482E-3</v>
      </c>
    </row>
    <row r="135" spans="1:7" x14ac:dyDescent="0.25">
      <c r="A135" s="65">
        <v>40180</v>
      </c>
      <c r="B135" s="2">
        <v>88.053780180000004</v>
      </c>
      <c r="C135">
        <f t="shared" si="13"/>
        <v>2010</v>
      </c>
      <c r="D135">
        <f t="shared" si="14"/>
        <v>2</v>
      </c>
      <c r="E135" t="str">
        <f t="shared" si="15"/>
        <v>2010M2</v>
      </c>
      <c r="F135" s="2" t="str">
        <f t="shared" si="16"/>
        <v xml:space="preserve">2010 </v>
      </c>
      <c r="G135">
        <f t="shared" si="17"/>
        <v>5.3988520842109811E-3</v>
      </c>
    </row>
    <row r="136" spans="1:7" x14ac:dyDescent="0.25">
      <c r="A136" s="65">
        <v>40181</v>
      </c>
      <c r="B136" s="2">
        <v>88.048676240000006</v>
      </c>
      <c r="C136">
        <f t="shared" si="13"/>
        <v>2010</v>
      </c>
      <c r="D136">
        <f t="shared" si="14"/>
        <v>3</v>
      </c>
      <c r="E136" t="str">
        <f t="shared" si="15"/>
        <v>2010M3</v>
      </c>
      <c r="F136" s="2" t="str">
        <f t="shared" si="16"/>
        <v>2010 Q1</v>
      </c>
      <c r="G136">
        <f t="shared" si="17"/>
        <v>-1.2116633775627328E-3</v>
      </c>
    </row>
    <row r="137" spans="1:7" x14ac:dyDescent="0.25">
      <c r="A137" s="65">
        <v>40182</v>
      </c>
      <c r="B137" s="2">
        <v>89.176277189999993</v>
      </c>
      <c r="C137">
        <f t="shared" si="13"/>
        <v>2010</v>
      </c>
      <c r="D137">
        <f t="shared" si="14"/>
        <v>4</v>
      </c>
      <c r="E137" t="str">
        <f t="shared" si="15"/>
        <v>2010M4</v>
      </c>
      <c r="F137" s="2" t="str">
        <f t="shared" si="16"/>
        <v xml:space="preserve">2010 </v>
      </c>
      <c r="G137">
        <f t="shared" si="17"/>
        <v>1.5280210216024104E-2</v>
      </c>
    </row>
    <row r="138" spans="1:7" x14ac:dyDescent="0.25">
      <c r="A138" s="65">
        <v>40183</v>
      </c>
      <c r="B138" s="2">
        <v>89.605320259999999</v>
      </c>
      <c r="C138">
        <f t="shared" si="13"/>
        <v>2010</v>
      </c>
      <c r="D138">
        <f t="shared" si="14"/>
        <v>5</v>
      </c>
      <c r="E138" t="str">
        <f t="shared" si="15"/>
        <v>2010M5</v>
      </c>
      <c r="F138" s="2" t="str">
        <f t="shared" si="16"/>
        <v xml:space="preserve">2010 </v>
      </c>
      <c r="G138">
        <f t="shared" si="17"/>
        <v>1.7620368788578089E-2</v>
      </c>
    </row>
    <row r="139" spans="1:7" x14ac:dyDescent="0.25">
      <c r="A139" s="65">
        <v>40184</v>
      </c>
      <c r="B139" s="2">
        <v>90.047253609999999</v>
      </c>
      <c r="C139">
        <f t="shared" si="13"/>
        <v>2010</v>
      </c>
      <c r="D139">
        <f t="shared" si="14"/>
        <v>6</v>
      </c>
      <c r="E139" t="str">
        <f t="shared" si="15"/>
        <v>2010M6</v>
      </c>
      <c r="F139" s="2" t="str">
        <f t="shared" si="16"/>
        <v>2010 Q2</v>
      </c>
      <c r="G139">
        <f t="shared" si="17"/>
        <v>2.269855102139573E-2</v>
      </c>
    </row>
    <row r="140" spans="1:7" x14ac:dyDescent="0.25">
      <c r="A140" s="65">
        <v>40185</v>
      </c>
      <c r="B140" s="2">
        <v>90.95909915</v>
      </c>
      <c r="C140">
        <f t="shared" si="13"/>
        <v>2010</v>
      </c>
      <c r="D140">
        <f t="shared" si="14"/>
        <v>7</v>
      </c>
      <c r="E140" t="str">
        <f t="shared" si="15"/>
        <v>2010M7</v>
      </c>
      <c r="F140" s="2" t="str">
        <f t="shared" si="16"/>
        <v xml:space="preserve">2010 </v>
      </c>
      <c r="G140">
        <f t="shared" si="17"/>
        <v>1.9992110190936829E-2</v>
      </c>
    </row>
    <row r="141" spans="1:7" x14ac:dyDescent="0.25">
      <c r="A141" s="65">
        <v>40186</v>
      </c>
      <c r="B141" s="2">
        <v>90.954038519999997</v>
      </c>
      <c r="C141">
        <f t="shared" si="13"/>
        <v>2010</v>
      </c>
      <c r="D141">
        <f t="shared" si="14"/>
        <v>8</v>
      </c>
      <c r="E141" t="str">
        <f t="shared" si="15"/>
        <v>2010M8</v>
      </c>
      <c r="F141" s="2" t="str">
        <f t="shared" si="16"/>
        <v xml:space="preserve">2010 </v>
      </c>
      <c r="G141">
        <f t="shared" si="17"/>
        <v>1.5051765409537454E-2</v>
      </c>
    </row>
    <row r="142" spans="1:7" x14ac:dyDescent="0.25">
      <c r="A142" s="65">
        <v>40187</v>
      </c>
      <c r="B142" s="2">
        <v>90.720427880000003</v>
      </c>
      <c r="C142">
        <f t="shared" si="13"/>
        <v>2010</v>
      </c>
      <c r="D142">
        <f t="shared" si="14"/>
        <v>9</v>
      </c>
      <c r="E142" t="str">
        <f t="shared" si="15"/>
        <v>2010M9</v>
      </c>
      <c r="F142" s="2" t="str">
        <f t="shared" si="16"/>
        <v>2010 Q3</v>
      </c>
      <c r="G142">
        <f t="shared" si="17"/>
        <v>7.4757890220122913E-3</v>
      </c>
    </row>
    <row r="143" spans="1:7" x14ac:dyDescent="0.25">
      <c r="A143" s="65">
        <v>40188</v>
      </c>
      <c r="B143" s="2">
        <v>89.709586590000001</v>
      </c>
      <c r="C143">
        <f t="shared" ref="C143:C206" si="18">YEAR(A143)</f>
        <v>2010</v>
      </c>
      <c r="D143">
        <f t="shared" ref="D143:D206" si="19">DAY(A143)</f>
        <v>10</v>
      </c>
      <c r="E143" t="str">
        <f t="shared" ref="E143:E206" si="20">C143&amp;"M"&amp;D143</f>
        <v>2010M10</v>
      </c>
      <c r="F143" s="2" t="str">
        <f t="shared" si="16"/>
        <v xml:space="preserve">2010 </v>
      </c>
      <c r="G143">
        <f t="shared" si="17"/>
        <v>-1.3737081519897609E-2</v>
      </c>
    </row>
    <row r="144" spans="1:7" x14ac:dyDescent="0.25">
      <c r="A144" s="65">
        <v>40189</v>
      </c>
      <c r="B144" s="2">
        <v>88.644062489999996</v>
      </c>
      <c r="C144">
        <f t="shared" si="18"/>
        <v>2010</v>
      </c>
      <c r="D144">
        <f t="shared" si="19"/>
        <v>11</v>
      </c>
      <c r="E144" t="str">
        <f t="shared" si="20"/>
        <v>2010M11</v>
      </c>
      <c r="F144" s="2" t="str">
        <f t="shared" si="16"/>
        <v xml:space="preserve">2010 </v>
      </c>
      <c r="G144">
        <f t="shared" si="17"/>
        <v>-2.5397179362102285E-2</v>
      </c>
    </row>
    <row r="145" spans="1:7" x14ac:dyDescent="0.25">
      <c r="A145" s="65">
        <v>40190</v>
      </c>
      <c r="B145" s="2">
        <v>88.481252179999998</v>
      </c>
      <c r="C145">
        <f t="shared" si="18"/>
        <v>2010</v>
      </c>
      <c r="D145">
        <f t="shared" si="19"/>
        <v>12</v>
      </c>
      <c r="E145" t="str">
        <f t="shared" si="20"/>
        <v>2010M12</v>
      </c>
      <c r="F145" s="2" t="str">
        <f t="shared" si="16"/>
        <v>2010 Q4</v>
      </c>
      <c r="G145">
        <f t="shared" si="17"/>
        <v>-2.4682155412250273E-2</v>
      </c>
    </row>
    <row r="146" spans="1:7" x14ac:dyDescent="0.25">
      <c r="A146" s="65">
        <v>40544</v>
      </c>
      <c r="B146" s="2">
        <v>87.745678530000006</v>
      </c>
      <c r="C146">
        <f t="shared" si="18"/>
        <v>2011</v>
      </c>
      <c r="D146">
        <f t="shared" si="19"/>
        <v>1</v>
      </c>
      <c r="E146" t="str">
        <f t="shared" si="20"/>
        <v>2011M1</v>
      </c>
      <c r="F146" s="2" t="str">
        <f t="shared" si="16"/>
        <v xml:space="preserve">2011 </v>
      </c>
      <c r="G146">
        <f t="shared" si="17"/>
        <v>-2.1891841604126938E-2</v>
      </c>
    </row>
    <row r="147" spans="1:7" x14ac:dyDescent="0.25">
      <c r="A147" s="65">
        <v>40545</v>
      </c>
      <c r="B147" s="2">
        <v>87.28147147</v>
      </c>
      <c r="C147">
        <f t="shared" si="18"/>
        <v>2011</v>
      </c>
      <c r="D147">
        <f t="shared" si="19"/>
        <v>2</v>
      </c>
      <c r="E147" t="str">
        <f t="shared" si="20"/>
        <v>2011M2</v>
      </c>
      <c r="F147" s="2" t="str">
        <f t="shared" si="16"/>
        <v xml:space="preserve">2011 </v>
      </c>
      <c r="G147">
        <f t="shared" si="17"/>
        <v>-1.537148661427501E-2</v>
      </c>
    </row>
    <row r="148" spans="1:7" x14ac:dyDescent="0.25">
      <c r="A148" s="65">
        <v>40546</v>
      </c>
      <c r="B148" s="2">
        <v>86.879393149999999</v>
      </c>
      <c r="C148">
        <f t="shared" si="18"/>
        <v>2011</v>
      </c>
      <c r="D148">
        <f t="shared" si="19"/>
        <v>3</v>
      </c>
      <c r="E148" t="str">
        <f t="shared" si="20"/>
        <v>2011M3</v>
      </c>
      <c r="F148" s="2" t="str">
        <f t="shared" si="16"/>
        <v>2011 Q1</v>
      </c>
      <c r="G148">
        <f t="shared" si="17"/>
        <v>-1.8103937167856632E-2</v>
      </c>
    </row>
    <row r="149" spans="1:7" x14ac:dyDescent="0.25">
      <c r="A149" s="65">
        <v>40547</v>
      </c>
      <c r="B149" s="2">
        <v>88.227056820000001</v>
      </c>
      <c r="C149">
        <f t="shared" si="18"/>
        <v>2011</v>
      </c>
      <c r="D149">
        <f t="shared" si="19"/>
        <v>4</v>
      </c>
      <c r="E149" t="str">
        <f t="shared" si="20"/>
        <v>2011M4</v>
      </c>
      <c r="F149" s="2" t="str">
        <f t="shared" si="16"/>
        <v xml:space="preserve">2011 </v>
      </c>
      <c r="G149">
        <f t="shared" si="17"/>
        <v>5.4860626536201718E-3</v>
      </c>
    </row>
    <row r="150" spans="1:7" x14ac:dyDescent="0.25">
      <c r="A150" s="65">
        <v>40548</v>
      </c>
      <c r="B150" s="2">
        <v>87.834564240000006</v>
      </c>
      <c r="C150">
        <f t="shared" si="18"/>
        <v>2011</v>
      </c>
      <c r="D150">
        <f t="shared" si="19"/>
        <v>5</v>
      </c>
      <c r="E150" t="str">
        <f t="shared" si="20"/>
        <v>2011M5</v>
      </c>
      <c r="F150" s="2" t="str">
        <f t="shared" si="16"/>
        <v xml:space="preserve">2011 </v>
      </c>
      <c r="G150">
        <f t="shared" si="17"/>
        <v>6.3368864053823248E-3</v>
      </c>
    </row>
    <row r="151" spans="1:7" x14ac:dyDescent="0.25">
      <c r="A151" s="65">
        <v>40549</v>
      </c>
      <c r="B151" s="2">
        <v>87.983094460000004</v>
      </c>
      <c r="C151">
        <f t="shared" si="18"/>
        <v>2011</v>
      </c>
      <c r="D151">
        <f t="shared" si="19"/>
        <v>6</v>
      </c>
      <c r="E151" t="str">
        <f t="shared" si="20"/>
        <v>2011M6</v>
      </c>
      <c r="F151" s="2" t="str">
        <f t="shared" si="16"/>
        <v>2011 Q2</v>
      </c>
      <c r="G151">
        <f t="shared" si="17"/>
        <v>1.2703833095316641E-2</v>
      </c>
    </row>
    <row r="152" spans="1:7" x14ac:dyDescent="0.25">
      <c r="A152" s="65">
        <v>40550</v>
      </c>
      <c r="B152" s="2">
        <v>89.091270320000007</v>
      </c>
      <c r="C152">
        <f t="shared" si="18"/>
        <v>2011</v>
      </c>
      <c r="D152">
        <f t="shared" si="19"/>
        <v>7</v>
      </c>
      <c r="E152" t="str">
        <f t="shared" si="20"/>
        <v>2011M7</v>
      </c>
      <c r="F152" s="2" t="str">
        <f t="shared" si="16"/>
        <v xml:space="preserve">2011 </v>
      </c>
      <c r="G152">
        <f t="shared" si="17"/>
        <v>9.7953341202707822E-3</v>
      </c>
    </row>
    <row r="153" spans="1:7" x14ac:dyDescent="0.25">
      <c r="A153" s="65">
        <v>40551</v>
      </c>
      <c r="B153" s="2">
        <v>89.144874279999996</v>
      </c>
      <c r="C153">
        <f t="shared" si="18"/>
        <v>2011</v>
      </c>
      <c r="D153">
        <f t="shared" si="19"/>
        <v>8</v>
      </c>
      <c r="E153" t="str">
        <f t="shared" si="20"/>
        <v>2011M8</v>
      </c>
      <c r="F153" s="2" t="str">
        <f t="shared" si="16"/>
        <v xml:space="preserve">2011 </v>
      </c>
      <c r="G153">
        <f t="shared" si="17"/>
        <v>1.4917931811213814E-2</v>
      </c>
    </row>
    <row r="154" spans="1:7" x14ac:dyDescent="0.25">
      <c r="A154" s="65">
        <v>40552</v>
      </c>
      <c r="B154" s="2">
        <v>88.922262470000007</v>
      </c>
      <c r="C154">
        <f t="shared" si="18"/>
        <v>2011</v>
      </c>
      <c r="D154">
        <f t="shared" si="19"/>
        <v>9</v>
      </c>
      <c r="E154" t="str">
        <f t="shared" si="20"/>
        <v>2011M9</v>
      </c>
      <c r="F154" s="2" t="str">
        <f t="shared" si="16"/>
        <v>2011 Q3</v>
      </c>
      <c r="G154">
        <f t="shared" si="17"/>
        <v>1.0674414394767462E-2</v>
      </c>
    </row>
    <row r="155" spans="1:7" x14ac:dyDescent="0.25">
      <c r="A155" s="65">
        <v>40553</v>
      </c>
      <c r="B155" s="2">
        <v>87.941271740000005</v>
      </c>
      <c r="C155">
        <f t="shared" si="18"/>
        <v>2011</v>
      </c>
      <c r="D155">
        <f t="shared" si="19"/>
        <v>10</v>
      </c>
      <c r="E155" t="str">
        <f t="shared" si="20"/>
        <v>2011M10</v>
      </c>
      <c r="F155" s="2" t="str">
        <f t="shared" si="16"/>
        <v xml:space="preserve">2011 </v>
      </c>
      <c r="G155">
        <f t="shared" si="17"/>
        <v>-1.2908094989210639E-2</v>
      </c>
    </row>
    <row r="156" spans="1:7" x14ac:dyDescent="0.25">
      <c r="A156" s="65">
        <v>40554</v>
      </c>
      <c r="B156" s="2">
        <v>87.985181100000005</v>
      </c>
      <c r="C156">
        <f t="shared" si="18"/>
        <v>2011</v>
      </c>
      <c r="D156">
        <f t="shared" si="19"/>
        <v>11</v>
      </c>
      <c r="E156" t="str">
        <f t="shared" si="20"/>
        <v>2011M11</v>
      </c>
      <c r="F156" s="2" t="str">
        <f t="shared" si="16"/>
        <v xml:space="preserve">2011 </v>
      </c>
      <c r="G156">
        <f t="shared" si="17"/>
        <v>-1.3009084250401703E-2</v>
      </c>
    </row>
    <row r="157" spans="1:7" x14ac:dyDescent="0.25">
      <c r="A157" s="65">
        <v>40555</v>
      </c>
      <c r="B157" s="2">
        <v>87.613263099999998</v>
      </c>
      <c r="C157">
        <f t="shared" si="18"/>
        <v>2011</v>
      </c>
      <c r="D157">
        <f t="shared" si="19"/>
        <v>12</v>
      </c>
      <c r="E157" t="str">
        <f t="shared" si="20"/>
        <v>2011M12</v>
      </c>
      <c r="F157" s="2" t="str">
        <f t="shared" ref="F157:F220" si="21">C157&amp;" "&amp;IF(D157=3,"Q1",IF(D157=6,"Q2",IF(D157=9,"Q3",IF(D157=12,"Q4",""))))</f>
        <v>2011 Q4</v>
      </c>
      <c r="G157">
        <f t="shared" si="17"/>
        <v>-1.4720715978651877E-2</v>
      </c>
    </row>
    <row r="158" spans="1:7" x14ac:dyDescent="0.25">
      <c r="A158" s="65">
        <v>40909</v>
      </c>
      <c r="B158" s="2">
        <v>87.015728089999996</v>
      </c>
      <c r="C158">
        <f t="shared" si="18"/>
        <v>2012</v>
      </c>
      <c r="D158">
        <f t="shared" si="19"/>
        <v>1</v>
      </c>
      <c r="E158" t="str">
        <f t="shared" si="20"/>
        <v>2012M1</v>
      </c>
      <c r="F158" s="2" t="str">
        <f t="shared" si="21"/>
        <v xml:space="preserve">2012 </v>
      </c>
      <c r="G158">
        <f t="shared" ref="G158:G221" si="22">B158/B155-1</f>
        <v>-1.0524565220484838E-2</v>
      </c>
    </row>
    <row r="159" spans="1:7" x14ac:dyDescent="0.25">
      <c r="A159" s="65">
        <v>40910</v>
      </c>
      <c r="B159" s="2">
        <v>86.778977130000001</v>
      </c>
      <c r="C159">
        <f t="shared" si="18"/>
        <v>2012</v>
      </c>
      <c r="D159">
        <f t="shared" si="19"/>
        <v>2</v>
      </c>
      <c r="E159" t="str">
        <f t="shared" si="20"/>
        <v>2012M2</v>
      </c>
      <c r="F159" s="2" t="str">
        <f t="shared" si="21"/>
        <v xml:space="preserve">2012 </v>
      </c>
      <c r="G159">
        <f t="shared" si="22"/>
        <v>-1.370917187326226E-2</v>
      </c>
    </row>
    <row r="160" spans="1:7" x14ac:dyDescent="0.25">
      <c r="A160" s="65">
        <v>40911</v>
      </c>
      <c r="B160" s="2">
        <v>87.036102369999995</v>
      </c>
      <c r="C160">
        <f t="shared" si="18"/>
        <v>2012</v>
      </c>
      <c r="D160">
        <f t="shared" si="19"/>
        <v>3</v>
      </c>
      <c r="E160" t="str">
        <f t="shared" si="20"/>
        <v>2012M3</v>
      </c>
      <c r="F160" s="2" t="str">
        <f t="shared" si="21"/>
        <v>2012 Q1</v>
      </c>
      <c r="G160">
        <f t="shared" si="22"/>
        <v>-6.5875954116815238E-3</v>
      </c>
    </row>
    <row r="161" spans="1:7" x14ac:dyDescent="0.25">
      <c r="A161" s="65">
        <v>40912</v>
      </c>
      <c r="B161" s="2">
        <v>88.036125310000003</v>
      </c>
      <c r="C161">
        <f t="shared" si="18"/>
        <v>2012</v>
      </c>
      <c r="D161">
        <f t="shared" si="19"/>
        <v>4</v>
      </c>
      <c r="E161" t="str">
        <f t="shared" si="20"/>
        <v>2012M4</v>
      </c>
      <c r="F161" s="2" t="str">
        <f t="shared" si="21"/>
        <v xml:space="preserve">2012 </v>
      </c>
      <c r="G161">
        <f t="shared" si="22"/>
        <v>1.1726583715355732E-2</v>
      </c>
    </row>
    <row r="162" spans="1:7" x14ac:dyDescent="0.25">
      <c r="A162" s="65">
        <v>40913</v>
      </c>
      <c r="B162" s="2">
        <v>88.320051169999999</v>
      </c>
      <c r="C162">
        <f t="shared" si="18"/>
        <v>2012</v>
      </c>
      <c r="D162">
        <f t="shared" si="19"/>
        <v>5</v>
      </c>
      <c r="E162" t="str">
        <f t="shared" si="20"/>
        <v>2012M5</v>
      </c>
      <c r="F162" s="2" t="str">
        <f t="shared" si="21"/>
        <v xml:space="preserve">2012 </v>
      </c>
      <c r="G162">
        <f t="shared" si="22"/>
        <v>1.7758610333599378E-2</v>
      </c>
    </row>
    <row r="163" spans="1:7" x14ac:dyDescent="0.25">
      <c r="A163" s="65">
        <v>40914</v>
      </c>
      <c r="B163" s="2">
        <v>89.187434569999994</v>
      </c>
      <c r="C163">
        <f t="shared" si="18"/>
        <v>2012</v>
      </c>
      <c r="D163">
        <f t="shared" si="19"/>
        <v>6</v>
      </c>
      <c r="E163" t="str">
        <f t="shared" si="20"/>
        <v>2012M6</v>
      </c>
      <c r="F163" s="2" t="str">
        <f t="shared" si="21"/>
        <v>2012 Q2</v>
      </c>
      <c r="G163">
        <f t="shared" si="22"/>
        <v>2.4717699223874456E-2</v>
      </c>
    </row>
    <row r="164" spans="1:7" x14ac:dyDescent="0.25">
      <c r="A164" s="65">
        <v>40915</v>
      </c>
      <c r="B164" s="2">
        <v>89.529413050000002</v>
      </c>
      <c r="C164">
        <f t="shared" si="18"/>
        <v>2012</v>
      </c>
      <c r="D164">
        <f t="shared" si="19"/>
        <v>7</v>
      </c>
      <c r="E164" t="str">
        <f t="shared" si="20"/>
        <v>2012M7</v>
      </c>
      <c r="F164" s="2" t="str">
        <f t="shared" si="21"/>
        <v xml:space="preserve">2012 </v>
      </c>
      <c r="G164">
        <f t="shared" si="22"/>
        <v>1.6962215621618038E-2</v>
      </c>
    </row>
    <row r="165" spans="1:7" x14ac:dyDescent="0.25">
      <c r="A165" s="65">
        <v>40916</v>
      </c>
      <c r="B165" s="2">
        <v>89.634928529999996</v>
      </c>
      <c r="C165">
        <f t="shared" si="18"/>
        <v>2012</v>
      </c>
      <c r="D165">
        <f t="shared" si="19"/>
        <v>8</v>
      </c>
      <c r="E165" t="str">
        <f t="shared" si="20"/>
        <v>2012M8</v>
      </c>
      <c r="F165" s="2" t="str">
        <f t="shared" si="21"/>
        <v xml:space="preserve">2012 </v>
      </c>
      <c r="G165">
        <f t="shared" si="22"/>
        <v>1.4887642642655408E-2</v>
      </c>
    </row>
    <row r="166" spans="1:7" x14ac:dyDescent="0.25">
      <c r="A166" s="65">
        <v>40917</v>
      </c>
      <c r="B166" s="2">
        <v>89.31643871</v>
      </c>
      <c r="C166">
        <f t="shared" si="18"/>
        <v>2012</v>
      </c>
      <c r="D166">
        <f t="shared" si="19"/>
        <v>9</v>
      </c>
      <c r="E166" t="str">
        <f t="shared" si="20"/>
        <v>2012M9</v>
      </c>
      <c r="F166" s="2" t="str">
        <f t="shared" si="21"/>
        <v>2012 Q3</v>
      </c>
      <c r="G166">
        <f t="shared" si="22"/>
        <v>1.4464385103347688E-3</v>
      </c>
    </row>
    <row r="167" spans="1:7" x14ac:dyDescent="0.25">
      <c r="A167" s="65">
        <v>40918</v>
      </c>
      <c r="B167" s="2">
        <v>88.684119420000002</v>
      </c>
      <c r="C167">
        <f t="shared" si="18"/>
        <v>2012</v>
      </c>
      <c r="D167">
        <f t="shared" si="19"/>
        <v>10</v>
      </c>
      <c r="E167" t="str">
        <f t="shared" si="20"/>
        <v>2012M10</v>
      </c>
      <c r="F167" s="2" t="str">
        <f t="shared" si="21"/>
        <v xml:space="preserve">2012 </v>
      </c>
      <c r="G167">
        <f t="shared" si="22"/>
        <v>-9.4415187277941959E-3</v>
      </c>
    </row>
    <row r="168" spans="1:7" x14ac:dyDescent="0.25">
      <c r="A168" s="65">
        <v>40919</v>
      </c>
      <c r="B168" s="2">
        <v>88.75635758</v>
      </c>
      <c r="C168">
        <f t="shared" si="18"/>
        <v>2012</v>
      </c>
      <c r="D168">
        <f t="shared" si="19"/>
        <v>11</v>
      </c>
      <c r="E168" t="str">
        <f t="shared" si="20"/>
        <v>2012M11</v>
      </c>
      <c r="F168" s="2" t="str">
        <f t="shared" si="21"/>
        <v xml:space="preserve">2012 </v>
      </c>
      <c r="G168">
        <f t="shared" si="22"/>
        <v>-9.8016583982207806E-3</v>
      </c>
    </row>
    <row r="169" spans="1:7" x14ac:dyDescent="0.25">
      <c r="A169" s="65">
        <v>40920</v>
      </c>
      <c r="B169" s="2">
        <v>88.554743419999994</v>
      </c>
      <c r="C169">
        <f t="shared" si="18"/>
        <v>2012</v>
      </c>
      <c r="D169">
        <f t="shared" si="19"/>
        <v>12</v>
      </c>
      <c r="E169" t="str">
        <f t="shared" si="20"/>
        <v>2012M12</v>
      </c>
      <c r="F169" s="2" t="str">
        <f t="shared" si="21"/>
        <v>2012 Q4</v>
      </c>
      <c r="G169">
        <f t="shared" si="22"/>
        <v>-8.528052629518057E-3</v>
      </c>
    </row>
    <row r="170" spans="1:7" x14ac:dyDescent="0.25">
      <c r="A170" s="65">
        <v>41275</v>
      </c>
      <c r="B170" s="2">
        <v>87.963523640000005</v>
      </c>
      <c r="C170">
        <f t="shared" si="18"/>
        <v>2013</v>
      </c>
      <c r="D170">
        <f t="shared" si="19"/>
        <v>1</v>
      </c>
      <c r="E170" t="str">
        <f t="shared" si="20"/>
        <v>2013M1</v>
      </c>
      <c r="F170" s="2" t="str">
        <f t="shared" si="21"/>
        <v xml:space="preserve">2013 </v>
      </c>
      <c r="G170">
        <f t="shared" si="22"/>
        <v>-8.1254207034218151E-3</v>
      </c>
    </row>
    <row r="171" spans="1:7" x14ac:dyDescent="0.25">
      <c r="A171" s="65">
        <v>41276</v>
      </c>
      <c r="B171" s="2">
        <v>87.946145110000003</v>
      </c>
      <c r="C171">
        <f t="shared" si="18"/>
        <v>2013</v>
      </c>
      <c r="D171">
        <f t="shared" si="19"/>
        <v>2</v>
      </c>
      <c r="E171" t="str">
        <f t="shared" si="20"/>
        <v>2013M2</v>
      </c>
      <c r="F171" s="2" t="str">
        <f t="shared" si="21"/>
        <v xml:space="preserve">2013 </v>
      </c>
      <c r="G171">
        <f t="shared" si="22"/>
        <v>-9.1285006741034236E-3</v>
      </c>
    </row>
    <row r="172" spans="1:7" x14ac:dyDescent="0.25">
      <c r="A172" s="65">
        <v>41277</v>
      </c>
      <c r="B172" s="2">
        <v>88.470105390000001</v>
      </c>
      <c r="C172">
        <f t="shared" si="18"/>
        <v>2013</v>
      </c>
      <c r="D172">
        <f t="shared" si="19"/>
        <v>3</v>
      </c>
      <c r="E172" t="str">
        <f t="shared" si="20"/>
        <v>2013M3</v>
      </c>
      <c r="F172" s="2" t="str">
        <f t="shared" si="21"/>
        <v>2013 Q1</v>
      </c>
      <c r="G172">
        <f t="shared" si="22"/>
        <v>-9.557707100857904E-4</v>
      </c>
    </row>
    <row r="173" spans="1:7" x14ac:dyDescent="0.25">
      <c r="A173" s="65">
        <v>41278</v>
      </c>
      <c r="B173" s="2">
        <v>89.337543460000006</v>
      </c>
      <c r="C173">
        <f t="shared" si="18"/>
        <v>2013</v>
      </c>
      <c r="D173">
        <f t="shared" si="19"/>
        <v>4</v>
      </c>
      <c r="E173" t="str">
        <f t="shared" si="20"/>
        <v>2013M4</v>
      </c>
      <c r="F173" s="2" t="str">
        <f t="shared" si="21"/>
        <v xml:space="preserve">2013 </v>
      </c>
      <c r="G173">
        <f t="shared" si="22"/>
        <v>1.5620336284200231E-2</v>
      </c>
    </row>
    <row r="174" spans="1:7" x14ac:dyDescent="0.25">
      <c r="A174" s="65">
        <v>41279</v>
      </c>
      <c r="B174" s="2">
        <v>89.808728790000004</v>
      </c>
      <c r="C174">
        <f t="shared" si="18"/>
        <v>2013</v>
      </c>
      <c r="D174">
        <f t="shared" si="19"/>
        <v>5</v>
      </c>
      <c r="E174" t="str">
        <f t="shared" si="20"/>
        <v>2013M5</v>
      </c>
      <c r="F174" s="2" t="str">
        <f t="shared" si="21"/>
        <v xml:space="preserve">2013 </v>
      </c>
      <c r="G174">
        <f t="shared" si="22"/>
        <v>2.1178684724274754E-2</v>
      </c>
    </row>
    <row r="175" spans="1:7" x14ac:dyDescent="0.25">
      <c r="A175" s="65">
        <v>41280</v>
      </c>
      <c r="B175" s="2">
        <v>90.553887700000004</v>
      </c>
      <c r="C175">
        <f t="shared" si="18"/>
        <v>2013</v>
      </c>
      <c r="D175">
        <f t="shared" si="19"/>
        <v>6</v>
      </c>
      <c r="E175" t="str">
        <f t="shared" si="20"/>
        <v>2013M6</v>
      </c>
      <c r="F175" s="2" t="str">
        <f t="shared" si="21"/>
        <v>2013 Q2</v>
      </c>
      <c r="G175">
        <f t="shared" si="22"/>
        <v>2.3553519019946068E-2</v>
      </c>
    </row>
    <row r="176" spans="1:7" x14ac:dyDescent="0.25">
      <c r="A176" s="65">
        <v>41281</v>
      </c>
      <c r="B176" s="2">
        <v>91.570199479999999</v>
      </c>
      <c r="C176">
        <f t="shared" si="18"/>
        <v>2013</v>
      </c>
      <c r="D176">
        <f t="shared" si="19"/>
        <v>7</v>
      </c>
      <c r="E176" t="str">
        <f t="shared" si="20"/>
        <v>2013M7</v>
      </c>
      <c r="F176" s="2" t="str">
        <f t="shared" si="21"/>
        <v xml:space="preserve">2013 </v>
      </c>
      <c r="G176">
        <f t="shared" si="22"/>
        <v>2.4991240340066501E-2</v>
      </c>
    </row>
    <row r="177" spans="1:7" x14ac:dyDescent="0.25">
      <c r="A177" s="65">
        <v>41282</v>
      </c>
      <c r="B177" s="2">
        <v>92.299244079999994</v>
      </c>
      <c r="C177">
        <f t="shared" si="18"/>
        <v>2013</v>
      </c>
      <c r="D177">
        <f t="shared" si="19"/>
        <v>8</v>
      </c>
      <c r="E177" t="str">
        <f t="shared" si="20"/>
        <v>2013M8</v>
      </c>
      <c r="F177" s="2" t="str">
        <f t="shared" si="21"/>
        <v xml:space="preserve">2013 </v>
      </c>
      <c r="G177">
        <f t="shared" si="22"/>
        <v>2.7731327717861021E-2</v>
      </c>
    </row>
    <row r="178" spans="1:7" x14ac:dyDescent="0.25">
      <c r="A178" s="65">
        <v>41283</v>
      </c>
      <c r="B178" s="2">
        <v>92.359839559999998</v>
      </c>
      <c r="C178">
        <f t="shared" si="18"/>
        <v>2013</v>
      </c>
      <c r="D178">
        <f t="shared" si="19"/>
        <v>9</v>
      </c>
      <c r="E178" t="str">
        <f t="shared" si="20"/>
        <v>2013M9</v>
      </c>
      <c r="F178" s="2" t="str">
        <f t="shared" si="21"/>
        <v>2013 Q3</v>
      </c>
      <c r="G178">
        <f t="shared" si="22"/>
        <v>1.9943393993011149E-2</v>
      </c>
    </row>
    <row r="179" spans="1:7" x14ac:dyDescent="0.25">
      <c r="A179" s="65">
        <v>41284</v>
      </c>
      <c r="B179" s="2">
        <v>91.982512479999997</v>
      </c>
      <c r="C179">
        <f t="shared" si="18"/>
        <v>2013</v>
      </c>
      <c r="D179">
        <f t="shared" si="19"/>
        <v>10</v>
      </c>
      <c r="E179" t="str">
        <f t="shared" si="20"/>
        <v>2013M10</v>
      </c>
      <c r="F179" s="2" t="str">
        <f t="shared" si="21"/>
        <v xml:space="preserve">2013 </v>
      </c>
      <c r="G179">
        <f t="shared" si="22"/>
        <v>4.5026985017113663E-3</v>
      </c>
    </row>
    <row r="180" spans="1:7" x14ac:dyDescent="0.25">
      <c r="A180" s="65">
        <v>41285</v>
      </c>
      <c r="B180" s="2">
        <v>92.492920280000007</v>
      </c>
      <c r="C180">
        <f t="shared" si="18"/>
        <v>2013</v>
      </c>
      <c r="D180">
        <f t="shared" si="19"/>
        <v>11</v>
      </c>
      <c r="E180" t="str">
        <f t="shared" si="20"/>
        <v>2013M11</v>
      </c>
      <c r="F180" s="2" t="str">
        <f t="shared" si="21"/>
        <v xml:space="preserve">2013 </v>
      </c>
      <c r="G180">
        <f t="shared" si="22"/>
        <v>2.0983508795819894E-3</v>
      </c>
    </row>
    <row r="181" spans="1:7" x14ac:dyDescent="0.25">
      <c r="A181" s="65">
        <v>41286</v>
      </c>
      <c r="B181" s="2">
        <v>93.342088599999997</v>
      </c>
      <c r="C181">
        <f t="shared" si="18"/>
        <v>2013</v>
      </c>
      <c r="D181">
        <f t="shared" si="19"/>
        <v>12</v>
      </c>
      <c r="E181" t="str">
        <f t="shared" si="20"/>
        <v>2013M12</v>
      </c>
      <c r="F181" s="2" t="str">
        <f t="shared" si="21"/>
        <v>2013 Q4</v>
      </c>
      <c r="G181">
        <f t="shared" si="22"/>
        <v>1.0635023238232177E-2</v>
      </c>
    </row>
    <row r="182" spans="1:7" x14ac:dyDescent="0.25">
      <c r="A182" s="65">
        <v>41640</v>
      </c>
      <c r="B182" s="2">
        <v>93.453049109999995</v>
      </c>
      <c r="C182">
        <f t="shared" si="18"/>
        <v>2014</v>
      </c>
      <c r="D182">
        <f t="shared" si="19"/>
        <v>1</v>
      </c>
      <c r="E182" t="str">
        <f t="shared" si="20"/>
        <v>2014M1</v>
      </c>
      <c r="F182" s="2" t="str">
        <f t="shared" si="21"/>
        <v xml:space="preserve">2014 </v>
      </c>
      <c r="G182">
        <f t="shared" si="22"/>
        <v>1.5987132666328785E-2</v>
      </c>
    </row>
    <row r="183" spans="1:7" x14ac:dyDescent="0.25">
      <c r="A183" s="65">
        <v>41641</v>
      </c>
      <c r="B183" s="2">
        <v>93.840768569999994</v>
      </c>
      <c r="C183">
        <f t="shared" si="18"/>
        <v>2014</v>
      </c>
      <c r="D183">
        <f t="shared" si="19"/>
        <v>2</v>
      </c>
      <c r="E183" t="str">
        <f t="shared" si="20"/>
        <v>2014M2</v>
      </c>
      <c r="F183" s="2" t="str">
        <f t="shared" si="21"/>
        <v xml:space="preserve">2014 </v>
      </c>
      <c r="G183">
        <f t="shared" si="22"/>
        <v>1.4572448203816091E-2</v>
      </c>
    </row>
    <row r="184" spans="1:7" x14ac:dyDescent="0.25">
      <c r="A184" s="65">
        <v>41642</v>
      </c>
      <c r="B184" s="2">
        <v>94.163538090000003</v>
      </c>
      <c r="C184">
        <f t="shared" si="18"/>
        <v>2014</v>
      </c>
      <c r="D184">
        <f t="shared" si="19"/>
        <v>3</v>
      </c>
      <c r="E184" t="str">
        <f t="shared" si="20"/>
        <v>2014M3</v>
      </c>
      <c r="F184" s="2" t="str">
        <f t="shared" si="21"/>
        <v>2014 Q1</v>
      </c>
      <c r="G184">
        <f t="shared" si="22"/>
        <v>8.8004189998380777E-3</v>
      </c>
    </row>
    <row r="185" spans="1:7" x14ac:dyDescent="0.25">
      <c r="A185" s="65">
        <v>41643</v>
      </c>
      <c r="B185" s="2">
        <v>96.258714220000002</v>
      </c>
      <c r="C185">
        <f t="shared" si="18"/>
        <v>2014</v>
      </c>
      <c r="D185">
        <f t="shared" si="19"/>
        <v>4</v>
      </c>
      <c r="E185" t="str">
        <f t="shared" si="20"/>
        <v>2014M4</v>
      </c>
      <c r="F185" s="2" t="str">
        <f t="shared" si="21"/>
        <v xml:space="preserve">2014 </v>
      </c>
      <c r="G185">
        <f t="shared" si="22"/>
        <v>3.0022189074832228E-2</v>
      </c>
    </row>
    <row r="186" spans="1:7" x14ac:dyDescent="0.25">
      <c r="A186" s="65">
        <v>41644</v>
      </c>
      <c r="B186" s="2">
        <v>97.278763900000001</v>
      </c>
      <c r="C186">
        <f t="shared" si="18"/>
        <v>2014</v>
      </c>
      <c r="D186">
        <f t="shared" si="19"/>
        <v>5</v>
      </c>
      <c r="E186" t="str">
        <f t="shared" si="20"/>
        <v>2014M5</v>
      </c>
      <c r="F186" s="2" t="str">
        <f t="shared" si="21"/>
        <v xml:space="preserve">2014 </v>
      </c>
      <c r="G186">
        <f t="shared" si="22"/>
        <v>3.6636478818216967E-2</v>
      </c>
    </row>
    <row r="187" spans="1:7" x14ac:dyDescent="0.25">
      <c r="A187" s="65">
        <v>41645</v>
      </c>
      <c r="B187" s="2">
        <v>98.118450719999998</v>
      </c>
      <c r="C187">
        <f t="shared" si="18"/>
        <v>2014</v>
      </c>
      <c r="D187">
        <f t="shared" si="19"/>
        <v>6</v>
      </c>
      <c r="E187" t="str">
        <f t="shared" si="20"/>
        <v>2014M6</v>
      </c>
      <c r="F187" s="2" t="str">
        <f t="shared" si="21"/>
        <v>2014 Q2</v>
      </c>
      <c r="G187">
        <f t="shared" si="22"/>
        <v>4.2000467593092727E-2</v>
      </c>
    </row>
    <row r="188" spans="1:7" x14ac:dyDescent="0.25">
      <c r="A188" s="65">
        <v>41646</v>
      </c>
      <c r="B188" s="2">
        <v>99.498761759999994</v>
      </c>
      <c r="C188">
        <f t="shared" si="18"/>
        <v>2014</v>
      </c>
      <c r="D188">
        <f t="shared" si="19"/>
        <v>7</v>
      </c>
      <c r="E188" t="str">
        <f t="shared" si="20"/>
        <v>2014M7</v>
      </c>
      <c r="F188" s="2" t="str">
        <f t="shared" si="21"/>
        <v xml:space="preserve">2014 </v>
      </c>
      <c r="G188">
        <f t="shared" si="22"/>
        <v>3.365978411673809E-2</v>
      </c>
    </row>
    <row r="189" spans="1:7" x14ac:dyDescent="0.25">
      <c r="A189" s="65">
        <v>41647</v>
      </c>
      <c r="B189" s="2">
        <v>100.6646094</v>
      </c>
      <c r="C189">
        <f t="shared" si="18"/>
        <v>2014</v>
      </c>
      <c r="D189">
        <f t="shared" si="19"/>
        <v>8</v>
      </c>
      <c r="E189" t="str">
        <f t="shared" si="20"/>
        <v>2014M8</v>
      </c>
      <c r="F189" s="2" t="str">
        <f t="shared" si="21"/>
        <v xml:space="preserve">2014 </v>
      </c>
      <c r="G189">
        <f t="shared" si="22"/>
        <v>3.4805597483542838E-2</v>
      </c>
    </row>
    <row r="190" spans="1:7" x14ac:dyDescent="0.25">
      <c r="A190" s="65">
        <v>41648</v>
      </c>
      <c r="B190" s="2">
        <v>100.77262330000001</v>
      </c>
      <c r="C190">
        <f t="shared" si="18"/>
        <v>2014</v>
      </c>
      <c r="D190">
        <f t="shared" si="19"/>
        <v>9</v>
      </c>
      <c r="E190" t="str">
        <f t="shared" si="20"/>
        <v>2014M9</v>
      </c>
      <c r="F190" s="2" t="str">
        <f t="shared" si="21"/>
        <v>2014 Q3</v>
      </c>
      <c r="G190">
        <f t="shared" si="22"/>
        <v>2.705069801371196E-2</v>
      </c>
    </row>
    <row r="191" spans="1:7" x14ac:dyDescent="0.25">
      <c r="A191" s="65">
        <v>41649</v>
      </c>
      <c r="B191" s="2">
        <v>100.62394449999999</v>
      </c>
      <c r="C191">
        <f t="shared" si="18"/>
        <v>2014</v>
      </c>
      <c r="D191">
        <f t="shared" si="19"/>
        <v>10</v>
      </c>
      <c r="E191" t="str">
        <f t="shared" si="20"/>
        <v>2014M10</v>
      </c>
      <c r="F191" s="2" t="str">
        <f t="shared" si="21"/>
        <v xml:space="preserve">2014 </v>
      </c>
      <c r="G191">
        <f t="shared" si="22"/>
        <v>1.1308509976375891E-2</v>
      </c>
    </row>
    <row r="192" spans="1:7" x14ac:dyDescent="0.25">
      <c r="A192" s="65">
        <v>41650</v>
      </c>
      <c r="B192" s="2">
        <v>100.285454</v>
      </c>
      <c r="C192">
        <f t="shared" si="18"/>
        <v>2014</v>
      </c>
      <c r="D192">
        <f t="shared" si="19"/>
        <v>11</v>
      </c>
      <c r="E192" t="str">
        <f t="shared" si="20"/>
        <v>2014M11</v>
      </c>
      <c r="F192" s="2" t="str">
        <f t="shared" si="21"/>
        <v xml:space="preserve">2014 </v>
      </c>
      <c r="G192">
        <f t="shared" si="22"/>
        <v>-3.7665213450875923E-3</v>
      </c>
    </row>
    <row r="193" spans="1:7" x14ac:dyDescent="0.25">
      <c r="A193" s="65">
        <v>41651</v>
      </c>
      <c r="B193" s="2">
        <v>100.5267755</v>
      </c>
      <c r="C193">
        <f t="shared" si="18"/>
        <v>2014</v>
      </c>
      <c r="D193">
        <f t="shared" si="19"/>
        <v>12</v>
      </c>
      <c r="E193" t="str">
        <f t="shared" si="20"/>
        <v>2014M12</v>
      </c>
      <c r="F193" s="2" t="str">
        <f t="shared" si="21"/>
        <v>2014 Q4</v>
      </c>
      <c r="G193">
        <f t="shared" si="22"/>
        <v>-2.4396288590019521E-3</v>
      </c>
    </row>
    <row r="194" spans="1:7" x14ac:dyDescent="0.25">
      <c r="A194" s="65">
        <v>42005</v>
      </c>
      <c r="B194" s="2">
        <v>100</v>
      </c>
      <c r="C194">
        <f t="shared" si="18"/>
        <v>2015</v>
      </c>
      <c r="D194">
        <f t="shared" si="19"/>
        <v>1</v>
      </c>
      <c r="E194" t="str">
        <f t="shared" si="20"/>
        <v>2015M1</v>
      </c>
      <c r="F194" s="2" t="str">
        <f t="shared" si="21"/>
        <v xml:space="preserve">2015 </v>
      </c>
      <c r="G194">
        <f t="shared" si="22"/>
        <v>-6.2007557256910095E-3</v>
      </c>
    </row>
    <row r="195" spans="1:7" x14ac:dyDescent="0.25">
      <c r="A195" s="65">
        <v>42006</v>
      </c>
      <c r="B195" s="2">
        <v>100.085049</v>
      </c>
      <c r="C195">
        <f t="shared" si="18"/>
        <v>2015</v>
      </c>
      <c r="D195">
        <f t="shared" si="19"/>
        <v>2</v>
      </c>
      <c r="E195" t="str">
        <f t="shared" si="20"/>
        <v>2015M2</v>
      </c>
      <c r="F195" s="2" t="str">
        <f t="shared" si="21"/>
        <v xml:space="preserve">2015 </v>
      </c>
      <c r="G195">
        <f t="shared" si="22"/>
        <v>-1.998345642429844E-3</v>
      </c>
    </row>
    <row r="196" spans="1:7" x14ac:dyDescent="0.25">
      <c r="A196" s="65">
        <v>42007</v>
      </c>
      <c r="B196" s="2">
        <v>100.4575155</v>
      </c>
      <c r="C196">
        <f t="shared" si="18"/>
        <v>2015</v>
      </c>
      <c r="D196">
        <f t="shared" si="19"/>
        <v>3</v>
      </c>
      <c r="E196" t="str">
        <f t="shared" si="20"/>
        <v>2015M3</v>
      </c>
      <c r="F196" s="2" t="str">
        <f t="shared" si="21"/>
        <v>2015 Q1</v>
      </c>
      <c r="G196">
        <f t="shared" si="22"/>
        <v>-6.8897067130135881E-4</v>
      </c>
    </row>
    <row r="197" spans="1:7" x14ac:dyDescent="0.25">
      <c r="A197" s="65">
        <v>42008</v>
      </c>
      <c r="B197" s="2">
        <v>101.3425525</v>
      </c>
      <c r="C197">
        <f t="shared" si="18"/>
        <v>2015</v>
      </c>
      <c r="D197">
        <f t="shared" si="19"/>
        <v>4</v>
      </c>
      <c r="E197" t="str">
        <f t="shared" si="20"/>
        <v>2015M4</v>
      </c>
      <c r="F197" s="2" t="str">
        <f t="shared" si="21"/>
        <v xml:space="preserve">2015 </v>
      </c>
      <c r="G197">
        <f t="shared" si="22"/>
        <v>1.3425524999999938E-2</v>
      </c>
    </row>
    <row r="198" spans="1:7" x14ac:dyDescent="0.25">
      <c r="A198" s="65">
        <v>42009</v>
      </c>
      <c r="B198" s="2">
        <v>102.43788000000001</v>
      </c>
      <c r="C198">
        <f t="shared" si="18"/>
        <v>2015</v>
      </c>
      <c r="D198">
        <f t="shared" si="19"/>
        <v>5</v>
      </c>
      <c r="E198" t="str">
        <f t="shared" si="20"/>
        <v>2015M5</v>
      </c>
      <c r="F198" s="2" t="str">
        <f t="shared" si="21"/>
        <v xml:space="preserve">2015 </v>
      </c>
      <c r="G198">
        <f t="shared" si="22"/>
        <v>2.3508316411974928E-2</v>
      </c>
    </row>
    <row r="199" spans="1:7" x14ac:dyDescent="0.25">
      <c r="A199" s="65">
        <v>42010</v>
      </c>
      <c r="B199" s="2">
        <v>103.2190061</v>
      </c>
      <c r="C199">
        <f t="shared" si="18"/>
        <v>2015</v>
      </c>
      <c r="D199">
        <f t="shared" si="19"/>
        <v>6</v>
      </c>
      <c r="E199" t="str">
        <f t="shared" si="20"/>
        <v>2015M6</v>
      </c>
      <c r="F199" s="2" t="str">
        <f t="shared" si="21"/>
        <v>2015 Q2</v>
      </c>
      <c r="G199">
        <f t="shared" si="22"/>
        <v>2.7489138928585177E-2</v>
      </c>
    </row>
    <row r="200" spans="1:7" x14ac:dyDescent="0.25">
      <c r="A200" s="65">
        <v>42011</v>
      </c>
      <c r="B200" s="2">
        <v>104.9703002</v>
      </c>
      <c r="C200">
        <f t="shared" si="18"/>
        <v>2015</v>
      </c>
      <c r="D200">
        <f t="shared" si="19"/>
        <v>7</v>
      </c>
      <c r="E200" t="str">
        <f t="shared" si="20"/>
        <v>2015M7</v>
      </c>
      <c r="F200" s="2" t="str">
        <f t="shared" si="21"/>
        <v xml:space="preserve">2015 </v>
      </c>
      <c r="G200">
        <f t="shared" si="22"/>
        <v>3.579688502517242E-2</v>
      </c>
    </row>
    <row r="201" spans="1:7" x14ac:dyDescent="0.25">
      <c r="A201" s="65">
        <v>42012</v>
      </c>
      <c r="B201" s="2">
        <v>105.9310448</v>
      </c>
      <c r="C201">
        <f t="shared" si="18"/>
        <v>2015</v>
      </c>
      <c r="D201">
        <f t="shared" si="19"/>
        <v>8</v>
      </c>
      <c r="E201" t="str">
        <f t="shared" si="20"/>
        <v>2015M8</v>
      </c>
      <c r="F201" s="2" t="str">
        <f t="shared" si="21"/>
        <v xml:space="preserve">2015 </v>
      </c>
      <c r="G201">
        <f t="shared" si="22"/>
        <v>3.4100323044561121E-2</v>
      </c>
    </row>
    <row r="202" spans="1:7" x14ac:dyDescent="0.25">
      <c r="A202" s="65">
        <v>42013</v>
      </c>
      <c r="B202" s="2">
        <v>106.1488952</v>
      </c>
      <c r="C202">
        <f t="shared" si="18"/>
        <v>2015</v>
      </c>
      <c r="D202">
        <f t="shared" si="19"/>
        <v>9</v>
      </c>
      <c r="E202" t="str">
        <f t="shared" si="20"/>
        <v>2015M9</v>
      </c>
      <c r="F202" s="2" t="str">
        <f t="shared" si="21"/>
        <v>2015 Q3</v>
      </c>
      <c r="G202">
        <f t="shared" si="22"/>
        <v>2.8385170626052059E-2</v>
      </c>
    </row>
    <row r="203" spans="1:7" x14ac:dyDescent="0.25">
      <c r="A203" s="65">
        <v>42014</v>
      </c>
      <c r="B203" s="2">
        <v>106.293447</v>
      </c>
      <c r="C203">
        <f t="shared" si="18"/>
        <v>2015</v>
      </c>
      <c r="D203">
        <f t="shared" si="19"/>
        <v>10</v>
      </c>
      <c r="E203" t="str">
        <f t="shared" si="20"/>
        <v>2015M10</v>
      </c>
      <c r="F203" s="2" t="str">
        <f t="shared" si="21"/>
        <v xml:space="preserve">2015 </v>
      </c>
      <c r="G203">
        <f t="shared" si="22"/>
        <v>1.2604963475183029E-2</v>
      </c>
    </row>
    <row r="204" spans="1:7" x14ac:dyDescent="0.25">
      <c r="A204" s="65">
        <v>42015</v>
      </c>
      <c r="B204" s="2">
        <v>107.1110571</v>
      </c>
      <c r="C204">
        <f t="shared" si="18"/>
        <v>2015</v>
      </c>
      <c r="D204">
        <f t="shared" si="19"/>
        <v>11</v>
      </c>
      <c r="E204" t="str">
        <f t="shared" si="20"/>
        <v>2015M11</v>
      </c>
      <c r="F204" s="2" t="str">
        <f t="shared" si="21"/>
        <v xml:space="preserve">2015 </v>
      </c>
      <c r="G204">
        <f t="shared" si="22"/>
        <v>1.1139437945013153E-2</v>
      </c>
    </row>
    <row r="205" spans="1:7" x14ac:dyDescent="0.25">
      <c r="A205" s="65">
        <v>42016</v>
      </c>
      <c r="B205" s="2">
        <v>107.47662699999999</v>
      </c>
      <c r="C205">
        <f t="shared" si="18"/>
        <v>2015</v>
      </c>
      <c r="D205">
        <f t="shared" si="19"/>
        <v>12</v>
      </c>
      <c r="E205" t="str">
        <f t="shared" si="20"/>
        <v>2015M12</v>
      </c>
      <c r="F205" s="2" t="str">
        <f t="shared" si="21"/>
        <v>2015 Q4</v>
      </c>
      <c r="G205">
        <f t="shared" si="22"/>
        <v>1.2508201781076922E-2</v>
      </c>
    </row>
    <row r="206" spans="1:7" x14ac:dyDescent="0.25">
      <c r="A206" s="65">
        <v>42370</v>
      </c>
      <c r="B206" s="2">
        <v>107.76196760000001</v>
      </c>
      <c r="C206">
        <f t="shared" si="18"/>
        <v>2016</v>
      </c>
      <c r="D206">
        <f t="shared" si="19"/>
        <v>1</v>
      </c>
      <c r="E206" t="str">
        <f t="shared" si="20"/>
        <v>2016M1</v>
      </c>
      <c r="F206" s="2" t="str">
        <f t="shared" si="21"/>
        <v xml:space="preserve">2016 </v>
      </c>
      <c r="G206">
        <f t="shared" si="22"/>
        <v>1.3815720925862918E-2</v>
      </c>
    </row>
    <row r="207" spans="1:7" x14ac:dyDescent="0.25">
      <c r="A207" s="65">
        <v>42371</v>
      </c>
      <c r="B207" s="2">
        <v>107.8097556</v>
      </c>
      <c r="C207">
        <f t="shared" ref="C207:C255" si="23">YEAR(A207)</f>
        <v>2016</v>
      </c>
      <c r="D207">
        <f t="shared" ref="D207:D255" si="24">DAY(A207)</f>
        <v>2</v>
      </c>
      <c r="E207" t="str">
        <f t="shared" ref="E207:E255" si="25">C207&amp;"M"&amp;D207</f>
        <v>2016M2</v>
      </c>
      <c r="F207" s="2" t="str">
        <f t="shared" si="21"/>
        <v xml:space="preserve">2016 </v>
      </c>
      <c r="G207">
        <f t="shared" si="22"/>
        <v>6.523122065238196E-3</v>
      </c>
    </row>
    <row r="208" spans="1:7" x14ac:dyDescent="0.25">
      <c r="A208" s="65">
        <v>42372</v>
      </c>
      <c r="B208" s="2">
        <v>108.9173311</v>
      </c>
      <c r="C208">
        <f t="shared" si="23"/>
        <v>2016</v>
      </c>
      <c r="D208">
        <f t="shared" si="24"/>
        <v>3</v>
      </c>
      <c r="E208" t="str">
        <f t="shared" si="25"/>
        <v>2016M3</v>
      </c>
      <c r="F208" s="2" t="str">
        <f t="shared" si="21"/>
        <v>2016 Q1</v>
      </c>
      <c r="G208">
        <f t="shared" si="22"/>
        <v>1.3404813122763981E-2</v>
      </c>
    </row>
    <row r="209" spans="1:7" x14ac:dyDescent="0.25">
      <c r="A209" s="65">
        <v>42373</v>
      </c>
      <c r="B209" s="2">
        <v>109.3243607</v>
      </c>
      <c r="C209">
        <f t="shared" si="23"/>
        <v>2016</v>
      </c>
      <c r="D209">
        <f t="shared" si="24"/>
        <v>4</v>
      </c>
      <c r="E209" t="str">
        <f t="shared" si="25"/>
        <v>2016M4</v>
      </c>
      <c r="F209" s="2" t="str">
        <f t="shared" si="21"/>
        <v xml:space="preserve">2016 </v>
      </c>
      <c r="G209">
        <f t="shared" si="22"/>
        <v>1.4498557652542265E-2</v>
      </c>
    </row>
    <row r="210" spans="1:7" x14ac:dyDescent="0.25">
      <c r="A210" s="65">
        <v>42374</v>
      </c>
      <c r="B210" s="2">
        <v>110.59842279999999</v>
      </c>
      <c r="C210">
        <f t="shared" si="23"/>
        <v>2016</v>
      </c>
      <c r="D210">
        <f t="shared" si="24"/>
        <v>5</v>
      </c>
      <c r="E210" t="str">
        <f t="shared" si="25"/>
        <v>2016M5</v>
      </c>
      <c r="F210" s="2" t="str">
        <f t="shared" si="21"/>
        <v xml:space="preserve">2016 </v>
      </c>
      <c r="G210">
        <f t="shared" si="22"/>
        <v>2.5866557107750099E-2</v>
      </c>
    </row>
    <row r="211" spans="1:7" x14ac:dyDescent="0.25">
      <c r="A211" s="65">
        <v>42375</v>
      </c>
      <c r="B211" s="2">
        <v>111.6547846</v>
      </c>
      <c r="C211">
        <f t="shared" si="23"/>
        <v>2016</v>
      </c>
      <c r="D211">
        <f t="shared" si="24"/>
        <v>6</v>
      </c>
      <c r="E211" t="str">
        <f t="shared" si="25"/>
        <v>2016M6</v>
      </c>
      <c r="F211" s="2" t="str">
        <f t="shared" si="21"/>
        <v>2016 Q2</v>
      </c>
      <c r="G211">
        <f t="shared" si="22"/>
        <v>2.5133314159953679E-2</v>
      </c>
    </row>
    <row r="212" spans="1:7" x14ac:dyDescent="0.25">
      <c r="A212" s="65">
        <v>42376</v>
      </c>
      <c r="B212" s="2">
        <v>112.82985499999999</v>
      </c>
      <c r="C212">
        <f t="shared" si="23"/>
        <v>2016</v>
      </c>
      <c r="D212">
        <f t="shared" si="24"/>
        <v>7</v>
      </c>
      <c r="E212" t="str">
        <f t="shared" si="25"/>
        <v>2016M7</v>
      </c>
      <c r="F212" s="2" t="str">
        <f t="shared" si="21"/>
        <v xml:space="preserve">2016 </v>
      </c>
      <c r="G212">
        <f t="shared" si="22"/>
        <v>3.2065079343290392E-2</v>
      </c>
    </row>
    <row r="213" spans="1:7" x14ac:dyDescent="0.25">
      <c r="A213" s="65">
        <v>42377</v>
      </c>
      <c r="B213" s="2">
        <v>112.8392873</v>
      </c>
      <c r="C213">
        <f t="shared" si="23"/>
        <v>2016</v>
      </c>
      <c r="D213">
        <f t="shared" si="24"/>
        <v>8</v>
      </c>
      <c r="E213" t="str">
        <f t="shared" si="25"/>
        <v>2016M8</v>
      </c>
      <c r="F213" s="2" t="str">
        <f t="shared" si="21"/>
        <v xml:space="preserve">2016 </v>
      </c>
      <c r="G213">
        <f t="shared" si="22"/>
        <v>2.0261269946428184E-2</v>
      </c>
    </row>
    <row r="214" spans="1:7" x14ac:dyDescent="0.25">
      <c r="A214" s="65">
        <v>42378</v>
      </c>
      <c r="B214" s="2">
        <v>112.6668774</v>
      </c>
      <c r="C214">
        <f t="shared" si="23"/>
        <v>2016</v>
      </c>
      <c r="D214">
        <f t="shared" si="24"/>
        <v>9</v>
      </c>
      <c r="E214" t="str">
        <f t="shared" si="25"/>
        <v>2016M9</v>
      </c>
      <c r="F214" s="2" t="str">
        <f t="shared" si="21"/>
        <v>2016 Q3</v>
      </c>
      <c r="G214">
        <f t="shared" si="22"/>
        <v>9.0644821323671021E-3</v>
      </c>
    </row>
    <row r="215" spans="1:7" x14ac:dyDescent="0.25">
      <c r="A215" s="65">
        <v>42379</v>
      </c>
      <c r="B215" s="2">
        <v>112.2948097</v>
      </c>
      <c r="C215">
        <f t="shared" si="23"/>
        <v>2016</v>
      </c>
      <c r="D215">
        <f t="shared" si="24"/>
        <v>10</v>
      </c>
      <c r="E215" t="str">
        <f t="shared" si="25"/>
        <v>2016M10</v>
      </c>
      <c r="F215" s="2" t="str">
        <f t="shared" si="21"/>
        <v xml:space="preserve">2016 </v>
      </c>
      <c r="G215">
        <f t="shared" si="22"/>
        <v>-4.7420543082324906E-3</v>
      </c>
    </row>
    <row r="216" spans="1:7" x14ac:dyDescent="0.25">
      <c r="A216" s="65">
        <v>42380</v>
      </c>
      <c r="B216" s="2">
        <v>112.8225539</v>
      </c>
      <c r="C216">
        <f t="shared" si="23"/>
        <v>2016</v>
      </c>
      <c r="D216">
        <f t="shared" si="24"/>
        <v>11</v>
      </c>
      <c r="E216" t="str">
        <f t="shared" si="25"/>
        <v>2016M11</v>
      </c>
      <c r="F216" s="2" t="str">
        <f t="shared" si="21"/>
        <v xml:space="preserve">2016 </v>
      </c>
      <c r="G216">
        <f t="shared" si="22"/>
        <v>-1.4829409508321234E-4</v>
      </c>
    </row>
    <row r="217" spans="1:7" x14ac:dyDescent="0.25">
      <c r="A217" s="65">
        <v>42381</v>
      </c>
      <c r="B217" s="2">
        <v>113.0254097</v>
      </c>
      <c r="C217">
        <f t="shared" si="23"/>
        <v>2016</v>
      </c>
      <c r="D217">
        <f t="shared" si="24"/>
        <v>12</v>
      </c>
      <c r="E217" t="str">
        <f t="shared" si="25"/>
        <v>2016M12</v>
      </c>
      <c r="F217" s="2" t="str">
        <f t="shared" si="21"/>
        <v>2016 Q4</v>
      </c>
      <c r="G217">
        <f t="shared" si="22"/>
        <v>3.1822333970177308E-3</v>
      </c>
    </row>
    <row r="218" spans="1:7" x14ac:dyDescent="0.25">
      <c r="A218" s="65">
        <v>42736</v>
      </c>
      <c r="B218" s="2">
        <v>112.89047720000001</v>
      </c>
      <c r="C218">
        <f t="shared" si="23"/>
        <v>2017</v>
      </c>
      <c r="D218">
        <f t="shared" si="24"/>
        <v>1</v>
      </c>
      <c r="E218" t="str">
        <f t="shared" si="25"/>
        <v>2017M1</v>
      </c>
      <c r="F218" s="2" t="str">
        <f t="shared" si="21"/>
        <v xml:space="preserve">2017 </v>
      </c>
      <c r="G218">
        <f t="shared" si="22"/>
        <v>5.3044971676905472E-3</v>
      </c>
    </row>
    <row r="219" spans="1:7" x14ac:dyDescent="0.25">
      <c r="A219" s="65">
        <v>42737</v>
      </c>
      <c r="B219" s="2">
        <v>113.12907</v>
      </c>
      <c r="C219">
        <f t="shared" si="23"/>
        <v>2017</v>
      </c>
      <c r="D219">
        <f t="shared" si="24"/>
        <v>2</v>
      </c>
      <c r="E219" t="str">
        <f t="shared" si="25"/>
        <v>2017M2</v>
      </c>
      <c r="F219" s="2" t="str">
        <f t="shared" si="21"/>
        <v xml:space="preserve">2017 </v>
      </c>
      <c r="G219">
        <f t="shared" si="22"/>
        <v>2.7167980993558771E-3</v>
      </c>
    </row>
    <row r="220" spans="1:7" x14ac:dyDescent="0.25">
      <c r="A220" s="65">
        <v>42738</v>
      </c>
      <c r="B220" s="2">
        <v>112.8872191</v>
      </c>
      <c r="C220">
        <f t="shared" si="23"/>
        <v>2017</v>
      </c>
      <c r="D220">
        <f t="shared" si="24"/>
        <v>3</v>
      </c>
      <c r="E220" t="str">
        <f t="shared" si="25"/>
        <v>2017M3</v>
      </c>
      <c r="F220" s="2" t="str">
        <f t="shared" si="21"/>
        <v>2017 Q1</v>
      </c>
      <c r="G220">
        <f t="shared" si="22"/>
        <v>-1.222650732846664E-3</v>
      </c>
    </row>
    <row r="221" spans="1:7" x14ac:dyDescent="0.25">
      <c r="A221" s="65">
        <v>42739</v>
      </c>
      <c r="B221" s="2">
        <v>114.6732025</v>
      </c>
      <c r="C221">
        <f t="shared" si="23"/>
        <v>2017</v>
      </c>
      <c r="D221">
        <f t="shared" si="24"/>
        <v>4</v>
      </c>
      <c r="E221" t="str">
        <f t="shared" si="25"/>
        <v>2017M4</v>
      </c>
      <c r="F221" s="2" t="str">
        <f t="shared" ref="F221:F255" si="26">C221&amp;" "&amp;IF(D221=3,"Q1",IF(D221=6,"Q2",IF(D221=9,"Q3",IF(D221=12,"Q4",""))))</f>
        <v xml:space="preserve">2017 </v>
      </c>
      <c r="G221">
        <f t="shared" si="22"/>
        <v>1.5791635789099034E-2</v>
      </c>
    </row>
    <row r="222" spans="1:7" x14ac:dyDescent="0.25">
      <c r="A222" s="65">
        <v>42740</v>
      </c>
      <c r="B222" s="2">
        <v>115.3613565</v>
      </c>
      <c r="C222">
        <f t="shared" si="23"/>
        <v>2017</v>
      </c>
      <c r="D222">
        <f t="shared" si="24"/>
        <v>5</v>
      </c>
      <c r="E222" t="str">
        <f t="shared" si="25"/>
        <v>2017M5</v>
      </c>
      <c r="F222" s="2" t="str">
        <f t="shared" si="26"/>
        <v xml:space="preserve">2017 </v>
      </c>
      <c r="G222">
        <f t="shared" ref="G222:G255" si="27">B222/B219-1</f>
        <v>1.9732209413548585E-2</v>
      </c>
    </row>
    <row r="223" spans="1:7" x14ac:dyDescent="0.25">
      <c r="A223" s="65">
        <v>42741</v>
      </c>
      <c r="B223" s="2">
        <v>116.34728250000001</v>
      </c>
      <c r="C223">
        <f t="shared" si="23"/>
        <v>2017</v>
      </c>
      <c r="D223">
        <f t="shared" si="24"/>
        <v>6</v>
      </c>
      <c r="E223" t="str">
        <f t="shared" si="25"/>
        <v>2017M6</v>
      </c>
      <c r="F223" s="2" t="str">
        <f t="shared" si="26"/>
        <v>2017 Q2</v>
      </c>
      <c r="G223">
        <f t="shared" si="27"/>
        <v>3.0650621280119861E-2</v>
      </c>
    </row>
    <row r="224" spans="1:7" x14ac:dyDescent="0.25">
      <c r="A224" s="65">
        <v>42742</v>
      </c>
      <c r="B224" s="2">
        <v>117.8607536</v>
      </c>
      <c r="C224">
        <f t="shared" si="23"/>
        <v>2017</v>
      </c>
      <c r="D224">
        <f t="shared" si="24"/>
        <v>7</v>
      </c>
      <c r="E224" t="str">
        <f t="shared" si="25"/>
        <v>2017M7</v>
      </c>
      <c r="F224" s="2" t="str">
        <f t="shared" si="26"/>
        <v xml:space="preserve">2017 </v>
      </c>
      <c r="G224">
        <f t="shared" si="27"/>
        <v>2.7796826377112671E-2</v>
      </c>
    </row>
    <row r="225" spans="1:7" x14ac:dyDescent="0.25">
      <c r="A225" s="65">
        <v>42743</v>
      </c>
      <c r="B225" s="2">
        <v>118.3952151</v>
      </c>
      <c r="C225">
        <f t="shared" si="23"/>
        <v>2017</v>
      </c>
      <c r="D225">
        <f t="shared" si="24"/>
        <v>8</v>
      </c>
      <c r="E225" t="str">
        <f t="shared" si="25"/>
        <v>2017M8</v>
      </c>
      <c r="F225" s="2" t="str">
        <f t="shared" si="26"/>
        <v xml:space="preserve">2017 </v>
      </c>
      <c r="G225">
        <f t="shared" si="27"/>
        <v>2.629874242160124E-2</v>
      </c>
    </row>
    <row r="226" spans="1:7" x14ac:dyDescent="0.25">
      <c r="A226" s="65">
        <v>42744</v>
      </c>
      <c r="B226" s="2">
        <v>117.9530007</v>
      </c>
      <c r="C226">
        <f t="shared" si="23"/>
        <v>2017</v>
      </c>
      <c r="D226">
        <f t="shared" si="24"/>
        <v>9</v>
      </c>
      <c r="E226" t="str">
        <f t="shared" si="25"/>
        <v>2017M9</v>
      </c>
      <c r="F226" s="2" t="str">
        <f t="shared" si="26"/>
        <v>2017 Q3</v>
      </c>
      <c r="G226">
        <f t="shared" si="27"/>
        <v>1.3801080399105992E-2</v>
      </c>
    </row>
    <row r="227" spans="1:7" x14ac:dyDescent="0.25">
      <c r="A227" s="65">
        <v>42745</v>
      </c>
      <c r="B227" s="2">
        <v>118.0564838</v>
      </c>
      <c r="C227">
        <f t="shared" si="23"/>
        <v>2017</v>
      </c>
      <c r="D227">
        <f t="shared" si="24"/>
        <v>10</v>
      </c>
      <c r="E227" t="str">
        <f t="shared" si="25"/>
        <v>2017M10</v>
      </c>
      <c r="F227" s="2" t="str">
        <f t="shared" si="26"/>
        <v xml:space="preserve">2017 </v>
      </c>
      <c r="G227">
        <f t="shared" si="27"/>
        <v>1.6606902129971957E-3</v>
      </c>
    </row>
    <row r="228" spans="1:7" x14ac:dyDescent="0.25">
      <c r="A228" s="65">
        <v>42746</v>
      </c>
      <c r="B228" s="2">
        <v>117.7209981</v>
      </c>
      <c r="C228">
        <f t="shared" si="23"/>
        <v>2017</v>
      </c>
      <c r="D228">
        <f t="shared" si="24"/>
        <v>11</v>
      </c>
      <c r="E228" t="str">
        <f t="shared" si="25"/>
        <v>2017M11</v>
      </c>
      <c r="F228" s="2" t="str">
        <f t="shared" si="26"/>
        <v xml:space="preserve">2017 </v>
      </c>
      <c r="G228">
        <f t="shared" si="27"/>
        <v>-5.6946304749776466E-3</v>
      </c>
    </row>
    <row r="229" spans="1:7" x14ac:dyDescent="0.25">
      <c r="A229" s="65">
        <v>42747</v>
      </c>
      <c r="B229" s="2">
        <v>118.18112739999999</v>
      </c>
      <c r="C229">
        <f t="shared" si="23"/>
        <v>2017</v>
      </c>
      <c r="D229">
        <f t="shared" si="24"/>
        <v>12</v>
      </c>
      <c r="E229" t="str">
        <f t="shared" si="25"/>
        <v>2017M12</v>
      </c>
      <c r="F229" s="2" t="str">
        <f t="shared" si="26"/>
        <v>2017 Q4</v>
      </c>
      <c r="G229">
        <f t="shared" si="27"/>
        <v>1.9340474481035486E-3</v>
      </c>
    </row>
    <row r="230" spans="1:7" x14ac:dyDescent="0.25">
      <c r="A230" s="65">
        <v>43101</v>
      </c>
      <c r="B230" s="2">
        <v>117.76876970000001</v>
      </c>
      <c r="C230">
        <f t="shared" si="23"/>
        <v>2018</v>
      </c>
      <c r="D230">
        <f t="shared" si="24"/>
        <v>1</v>
      </c>
      <c r="E230" t="str">
        <f t="shared" si="25"/>
        <v>2018M1</v>
      </c>
      <c r="F230" s="2" t="str">
        <f t="shared" si="26"/>
        <v xml:space="preserve">2018 </v>
      </c>
      <c r="G230">
        <f t="shared" si="27"/>
        <v>-2.437088508305929E-3</v>
      </c>
    </row>
    <row r="231" spans="1:7" x14ac:dyDescent="0.25">
      <c r="A231" s="65">
        <v>43102</v>
      </c>
      <c r="B231" s="2">
        <v>118.0768678</v>
      </c>
      <c r="C231">
        <f t="shared" si="23"/>
        <v>2018</v>
      </c>
      <c r="D231">
        <f t="shared" si="24"/>
        <v>2</v>
      </c>
      <c r="E231" t="str">
        <f t="shared" si="25"/>
        <v>2018M2</v>
      </c>
      <c r="F231" s="2" t="str">
        <f t="shared" si="26"/>
        <v xml:space="preserve">2018 </v>
      </c>
      <c r="G231">
        <f t="shared" si="27"/>
        <v>3.0229925480049769E-3</v>
      </c>
    </row>
    <row r="232" spans="1:7" x14ac:dyDescent="0.25">
      <c r="A232" s="65">
        <v>43103</v>
      </c>
      <c r="B232" s="2">
        <v>117.3640934</v>
      </c>
      <c r="C232">
        <f t="shared" si="23"/>
        <v>2018</v>
      </c>
      <c r="D232">
        <f t="shared" si="24"/>
        <v>3</v>
      </c>
      <c r="E232" t="str">
        <f t="shared" si="25"/>
        <v>2018M3</v>
      </c>
      <c r="F232" s="2" t="str">
        <f t="shared" si="26"/>
        <v>2018 Q1</v>
      </c>
      <c r="G232">
        <f t="shared" si="27"/>
        <v>-6.9134050247686707E-3</v>
      </c>
    </row>
    <row r="233" spans="1:7" x14ac:dyDescent="0.25">
      <c r="A233" s="65">
        <v>43104</v>
      </c>
      <c r="B233" s="2">
        <v>118.4854363</v>
      </c>
      <c r="C233">
        <f t="shared" si="23"/>
        <v>2018</v>
      </c>
      <c r="D233">
        <f t="shared" si="24"/>
        <v>4</v>
      </c>
      <c r="E233" t="str">
        <f t="shared" si="25"/>
        <v>2018M4</v>
      </c>
      <c r="F233" s="2" t="str">
        <f t="shared" si="26"/>
        <v xml:space="preserve">2018 </v>
      </c>
      <c r="G233">
        <f t="shared" si="27"/>
        <v>6.0853705258669955E-3</v>
      </c>
    </row>
    <row r="234" spans="1:7" x14ac:dyDescent="0.25">
      <c r="A234" s="65">
        <v>43105</v>
      </c>
      <c r="B234" s="2">
        <v>118.9698875</v>
      </c>
      <c r="C234">
        <f t="shared" si="23"/>
        <v>2018</v>
      </c>
      <c r="D234">
        <f t="shared" si="24"/>
        <v>5</v>
      </c>
      <c r="E234" t="str">
        <f t="shared" si="25"/>
        <v>2018M5</v>
      </c>
      <c r="F234" s="2" t="str">
        <f t="shared" si="26"/>
        <v xml:space="preserve">2018 </v>
      </c>
      <c r="G234">
        <f t="shared" si="27"/>
        <v>7.5630368304875351E-3</v>
      </c>
    </row>
    <row r="235" spans="1:7" x14ac:dyDescent="0.25">
      <c r="A235" s="65">
        <v>43106</v>
      </c>
      <c r="B235" s="2">
        <v>119.7678545</v>
      </c>
      <c r="C235">
        <f t="shared" si="23"/>
        <v>2018</v>
      </c>
      <c r="D235">
        <f t="shared" si="24"/>
        <v>6</v>
      </c>
      <c r="E235" t="str">
        <f t="shared" si="25"/>
        <v>2018M6</v>
      </c>
      <c r="F235" s="2" t="str">
        <f t="shared" si="26"/>
        <v>2018 Q2</v>
      </c>
      <c r="G235">
        <f t="shared" si="27"/>
        <v>2.0481230931572059E-2</v>
      </c>
    </row>
    <row r="236" spans="1:7" x14ac:dyDescent="0.25">
      <c r="A236" s="65">
        <v>43107</v>
      </c>
      <c r="B236" s="2">
        <v>121.2530285</v>
      </c>
      <c r="C236">
        <f t="shared" si="23"/>
        <v>2018</v>
      </c>
      <c r="D236">
        <f t="shared" si="24"/>
        <v>7</v>
      </c>
      <c r="E236" t="str">
        <f t="shared" si="25"/>
        <v>2018M7</v>
      </c>
      <c r="F236" s="2" t="str">
        <f t="shared" si="26"/>
        <v xml:space="preserve">2018 </v>
      </c>
      <c r="G236">
        <f t="shared" si="27"/>
        <v>2.3358079156602596E-2</v>
      </c>
    </row>
    <row r="237" spans="1:7" x14ac:dyDescent="0.25">
      <c r="A237" s="65">
        <v>43108</v>
      </c>
      <c r="B237" s="2">
        <v>121.62576919999999</v>
      </c>
      <c r="C237">
        <f t="shared" si="23"/>
        <v>2018</v>
      </c>
      <c r="D237">
        <f t="shared" si="24"/>
        <v>8</v>
      </c>
      <c r="E237" t="str">
        <f t="shared" si="25"/>
        <v>2018M8</v>
      </c>
      <c r="F237" s="2" t="str">
        <f t="shared" si="26"/>
        <v xml:space="preserve">2018 </v>
      </c>
      <c r="G237">
        <f t="shared" si="27"/>
        <v>2.2323982612827198E-2</v>
      </c>
    </row>
    <row r="238" spans="1:7" x14ac:dyDescent="0.25">
      <c r="A238" s="65">
        <v>43109</v>
      </c>
      <c r="B238" s="2">
        <v>121.3931876</v>
      </c>
      <c r="C238">
        <f t="shared" si="23"/>
        <v>2018</v>
      </c>
      <c r="D238">
        <f t="shared" si="24"/>
        <v>9</v>
      </c>
      <c r="E238" t="str">
        <f t="shared" si="25"/>
        <v>2018M9</v>
      </c>
      <c r="F238" s="2" t="str">
        <f t="shared" si="26"/>
        <v>2018 Q3</v>
      </c>
      <c r="G238">
        <f t="shared" si="27"/>
        <v>1.3570695632691754E-2</v>
      </c>
    </row>
    <row r="239" spans="1:7" x14ac:dyDescent="0.25">
      <c r="A239" s="65">
        <v>43110</v>
      </c>
      <c r="B239" s="2">
        <v>121.2657284</v>
      </c>
      <c r="C239">
        <f t="shared" si="23"/>
        <v>2018</v>
      </c>
      <c r="D239">
        <f t="shared" si="24"/>
        <v>10</v>
      </c>
      <c r="E239" t="str">
        <f t="shared" si="25"/>
        <v>2018M10</v>
      </c>
      <c r="F239" s="2" t="str">
        <f t="shared" si="26"/>
        <v xml:space="preserve">2018 </v>
      </c>
      <c r="G239">
        <f t="shared" si="27"/>
        <v>1.0473882720374306E-4</v>
      </c>
    </row>
    <row r="240" spans="1:7" x14ac:dyDescent="0.25">
      <c r="A240" s="65">
        <v>43111</v>
      </c>
      <c r="B240" s="2">
        <v>120.74810479999999</v>
      </c>
      <c r="C240">
        <f t="shared" si="23"/>
        <v>2018</v>
      </c>
      <c r="D240">
        <f t="shared" si="24"/>
        <v>11</v>
      </c>
      <c r="E240" t="str">
        <f t="shared" si="25"/>
        <v>2018M11</v>
      </c>
      <c r="F240" s="2" t="str">
        <f t="shared" si="26"/>
        <v xml:space="preserve">2018 </v>
      </c>
      <c r="G240">
        <f t="shared" si="27"/>
        <v>-7.2161056474535634E-3</v>
      </c>
    </row>
    <row r="241" spans="1:7" x14ac:dyDescent="0.25">
      <c r="A241" s="65">
        <v>43112</v>
      </c>
      <c r="B241" s="2">
        <v>120.48846380000001</v>
      </c>
      <c r="C241">
        <f t="shared" si="23"/>
        <v>2018</v>
      </c>
      <c r="D241">
        <f t="shared" si="24"/>
        <v>12</v>
      </c>
      <c r="E241" t="str">
        <f t="shared" si="25"/>
        <v>2018M12</v>
      </c>
      <c r="F241" s="2" t="str">
        <f t="shared" si="26"/>
        <v>2018 Q4</v>
      </c>
      <c r="G241">
        <f t="shared" si="27"/>
        <v>-7.4528383172631774E-3</v>
      </c>
    </row>
    <row r="242" spans="1:7" x14ac:dyDescent="0.25">
      <c r="A242" s="65">
        <v>43466</v>
      </c>
      <c r="B242" s="2">
        <v>119.74644670000001</v>
      </c>
      <c r="C242">
        <f t="shared" si="23"/>
        <v>2019</v>
      </c>
      <c r="D242">
        <f t="shared" si="24"/>
        <v>1</v>
      </c>
      <c r="E242" t="str">
        <f t="shared" si="25"/>
        <v>2019M1</v>
      </c>
      <c r="F242" s="2" t="str">
        <f t="shared" si="26"/>
        <v xml:space="preserve">2019 </v>
      </c>
      <c r="G242">
        <f t="shared" si="27"/>
        <v>-1.252853316469249E-2</v>
      </c>
    </row>
    <row r="243" spans="1:7" x14ac:dyDescent="0.25">
      <c r="A243" s="65">
        <v>43467</v>
      </c>
      <c r="B243" s="2">
        <v>119.4443311</v>
      </c>
      <c r="C243">
        <f t="shared" si="23"/>
        <v>2019</v>
      </c>
      <c r="D243">
        <f t="shared" si="24"/>
        <v>2</v>
      </c>
      <c r="E243" t="str">
        <f t="shared" si="25"/>
        <v>2019M2</v>
      </c>
      <c r="F243" s="2" t="str">
        <f t="shared" si="26"/>
        <v xml:space="preserve">2019 </v>
      </c>
      <c r="G243">
        <f t="shared" si="27"/>
        <v>-1.0797467191385635E-2</v>
      </c>
    </row>
    <row r="244" spans="1:7" x14ac:dyDescent="0.25">
      <c r="A244" s="65">
        <v>43468</v>
      </c>
      <c r="B244" s="2">
        <v>119.1640202</v>
      </c>
      <c r="C244">
        <f t="shared" si="23"/>
        <v>2019</v>
      </c>
      <c r="D244">
        <f t="shared" si="24"/>
        <v>3</v>
      </c>
      <c r="E244" t="str">
        <f t="shared" si="25"/>
        <v>2019M3</v>
      </c>
      <c r="F244" s="2" t="str">
        <f t="shared" si="26"/>
        <v>2019 Q1</v>
      </c>
      <c r="G244">
        <f t="shared" si="27"/>
        <v>-1.099228555356524E-2</v>
      </c>
    </row>
    <row r="245" spans="1:7" x14ac:dyDescent="0.25">
      <c r="A245" s="65">
        <v>43469</v>
      </c>
      <c r="B245" s="2">
        <v>120.1310742</v>
      </c>
      <c r="C245">
        <f t="shared" si="23"/>
        <v>2019</v>
      </c>
      <c r="D245">
        <f t="shared" si="24"/>
        <v>4</v>
      </c>
      <c r="E245" t="str">
        <f t="shared" si="25"/>
        <v>2019M4</v>
      </c>
      <c r="F245" s="2" t="str">
        <f t="shared" si="26"/>
        <v xml:space="preserve">2019 </v>
      </c>
      <c r="G245">
        <f t="shared" si="27"/>
        <v>3.2120159770885337E-3</v>
      </c>
    </row>
    <row r="246" spans="1:7" x14ac:dyDescent="0.25">
      <c r="A246" s="65">
        <v>43470</v>
      </c>
      <c r="B246" s="2">
        <v>120.327968</v>
      </c>
      <c r="C246">
        <f t="shared" si="23"/>
        <v>2019</v>
      </c>
      <c r="D246">
        <f t="shared" si="24"/>
        <v>5</v>
      </c>
      <c r="E246" t="str">
        <f t="shared" si="25"/>
        <v>2019M5</v>
      </c>
      <c r="F246" s="2" t="str">
        <f t="shared" si="26"/>
        <v xml:space="preserve">2019 </v>
      </c>
      <c r="G246">
        <f t="shared" si="27"/>
        <v>7.3978973456698682E-3</v>
      </c>
    </row>
    <row r="247" spans="1:7" x14ac:dyDescent="0.25">
      <c r="A247" s="65">
        <v>43471</v>
      </c>
      <c r="B247" s="2">
        <v>120.7622992</v>
      </c>
      <c r="C247">
        <f t="shared" si="23"/>
        <v>2019</v>
      </c>
      <c r="D247">
        <f t="shared" si="24"/>
        <v>6</v>
      </c>
      <c r="E247" t="str">
        <f t="shared" si="25"/>
        <v>2019M6</v>
      </c>
      <c r="F247" s="2" t="str">
        <f t="shared" si="26"/>
        <v>2019 Q2</v>
      </c>
      <c r="G247">
        <f t="shared" si="27"/>
        <v>1.3412429333262921E-2</v>
      </c>
    </row>
    <row r="248" spans="1:7" x14ac:dyDescent="0.25">
      <c r="A248" s="65">
        <v>43472</v>
      </c>
      <c r="B248" s="2">
        <v>122.0520818</v>
      </c>
      <c r="C248">
        <f t="shared" si="23"/>
        <v>2019</v>
      </c>
      <c r="D248">
        <f t="shared" si="24"/>
        <v>7</v>
      </c>
      <c r="E248" t="str">
        <f t="shared" si="25"/>
        <v>2019M7</v>
      </c>
      <c r="F248" s="2" t="str">
        <f t="shared" si="26"/>
        <v xml:space="preserve">2019 </v>
      </c>
      <c r="G248">
        <f t="shared" si="27"/>
        <v>1.5990930013676685E-2</v>
      </c>
    </row>
    <row r="249" spans="1:7" x14ac:dyDescent="0.25">
      <c r="A249" s="65">
        <v>43473</v>
      </c>
      <c r="B249" s="2">
        <v>122.4664482</v>
      </c>
      <c r="C249">
        <f t="shared" si="23"/>
        <v>2019</v>
      </c>
      <c r="D249">
        <f t="shared" si="24"/>
        <v>8</v>
      </c>
      <c r="E249" t="str">
        <f t="shared" si="25"/>
        <v>2019M8</v>
      </c>
      <c r="F249" s="2" t="str">
        <f t="shared" si="26"/>
        <v xml:space="preserve">2019 </v>
      </c>
      <c r="G249">
        <f t="shared" si="27"/>
        <v>1.77720960101313E-2</v>
      </c>
    </row>
    <row r="250" spans="1:7" x14ac:dyDescent="0.25">
      <c r="A250" s="65">
        <v>43474</v>
      </c>
      <c r="B250" s="2">
        <v>122.61337140000001</v>
      </c>
      <c r="C250">
        <f t="shared" si="23"/>
        <v>2019</v>
      </c>
      <c r="D250">
        <f t="shared" si="24"/>
        <v>9</v>
      </c>
      <c r="E250" t="str">
        <f t="shared" si="25"/>
        <v>2019M9</v>
      </c>
      <c r="F250" s="2" t="str">
        <f t="shared" si="26"/>
        <v>2019 Q3</v>
      </c>
      <c r="G250">
        <f t="shared" si="27"/>
        <v>1.5328229192906884E-2</v>
      </c>
    </row>
    <row r="251" spans="1:7" x14ac:dyDescent="0.25">
      <c r="A251" s="65">
        <v>43475</v>
      </c>
      <c r="B251" s="2">
        <v>122.3272853</v>
      </c>
      <c r="C251">
        <f t="shared" si="23"/>
        <v>2019</v>
      </c>
      <c r="D251">
        <f t="shared" si="24"/>
        <v>10</v>
      </c>
      <c r="E251" t="str">
        <f t="shared" si="25"/>
        <v>2019M10</v>
      </c>
      <c r="F251" s="2" t="str">
        <f t="shared" si="26"/>
        <v xml:space="preserve">2019 </v>
      </c>
      <c r="G251">
        <f t="shared" si="27"/>
        <v>2.2548038176928298E-3</v>
      </c>
    </row>
    <row r="252" spans="1:7" x14ac:dyDescent="0.25">
      <c r="A252" s="65">
        <v>43476</v>
      </c>
      <c r="B252" s="2">
        <v>121.84159339999999</v>
      </c>
      <c r="C252">
        <f t="shared" si="23"/>
        <v>2019</v>
      </c>
      <c r="D252">
        <f t="shared" si="24"/>
        <v>11</v>
      </c>
      <c r="E252" t="str">
        <f t="shared" si="25"/>
        <v>2019M11</v>
      </c>
      <c r="F252" s="2" t="str">
        <f t="shared" si="26"/>
        <v xml:space="preserve">2019 </v>
      </c>
      <c r="G252">
        <f t="shared" si="27"/>
        <v>-5.1022529777262626E-3</v>
      </c>
    </row>
    <row r="253" spans="1:7" x14ac:dyDescent="0.25">
      <c r="A253" s="65">
        <v>43477</v>
      </c>
      <c r="B253" s="2">
        <v>121.9678765</v>
      </c>
      <c r="C253">
        <f t="shared" si="23"/>
        <v>2019</v>
      </c>
      <c r="D253">
        <f t="shared" si="24"/>
        <v>12</v>
      </c>
      <c r="E253" t="str">
        <f t="shared" si="25"/>
        <v>2019M12</v>
      </c>
      <c r="F253" s="2" t="str">
        <f t="shared" si="26"/>
        <v>2019 Q4</v>
      </c>
      <c r="G253">
        <f t="shared" si="27"/>
        <v>-5.2644739527976103E-3</v>
      </c>
    </row>
    <row r="254" spans="1:7" x14ac:dyDescent="0.25">
      <c r="A254" s="65">
        <v>43831</v>
      </c>
      <c r="B254" s="2">
        <v>121.5565948</v>
      </c>
      <c r="C254">
        <f t="shared" si="23"/>
        <v>2020</v>
      </c>
      <c r="D254">
        <f t="shared" si="24"/>
        <v>1</v>
      </c>
      <c r="E254" t="str">
        <f t="shared" si="25"/>
        <v>2020M1</v>
      </c>
      <c r="F254" s="2" t="str">
        <f t="shared" si="26"/>
        <v xml:space="preserve">2020 </v>
      </c>
      <c r="G254">
        <f t="shared" si="27"/>
        <v>-6.3002338203609343E-3</v>
      </c>
    </row>
    <row r="255" spans="1:7" x14ac:dyDescent="0.25">
      <c r="A255" s="65">
        <v>43832</v>
      </c>
      <c r="B255" s="2">
        <v>120.8043541</v>
      </c>
      <c r="C255">
        <f t="shared" si="23"/>
        <v>2020</v>
      </c>
      <c r="D255">
        <f t="shared" si="24"/>
        <v>2</v>
      </c>
      <c r="E255" t="str">
        <f t="shared" si="25"/>
        <v>2020M2</v>
      </c>
      <c r="F255" s="2" t="str">
        <f t="shared" si="26"/>
        <v xml:space="preserve">2020 </v>
      </c>
      <c r="G255">
        <f t="shared" si="27"/>
        <v>-8.5130148995572474E-3</v>
      </c>
    </row>
  </sheetData>
  <pageMargins left="0.7" right="0.7" top="0.75" bottom="0.75" header="0.3" footer="0.3"/>
  <pageSetup paperSize="9"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8"/>
  <dimension ref="B1:AE236"/>
  <sheetViews>
    <sheetView showGridLines="0" topLeftCell="A31" zoomScale="90" zoomScaleNormal="90" workbookViewId="0">
      <selection activeCell="C11" sqref="C11"/>
    </sheetView>
  </sheetViews>
  <sheetFormatPr defaultRowHeight="15" x14ac:dyDescent="0.25"/>
  <cols>
    <col min="1" max="1" width="5.140625" customWidth="1"/>
    <col min="2" max="2" width="30.5703125" customWidth="1"/>
    <col min="3" max="3" width="19.140625" bestFit="1" customWidth="1"/>
    <col min="4" max="4" width="19.7109375" customWidth="1"/>
    <col min="5" max="5" width="17.7109375" customWidth="1"/>
    <col min="6" max="6" width="34.140625" customWidth="1"/>
    <col min="7" max="7" width="19" customWidth="1"/>
    <col min="8" max="8" width="16.28515625" customWidth="1"/>
    <col min="9" max="9" width="18.5703125" customWidth="1"/>
    <col min="10" max="10" width="16.28515625" bestFit="1" customWidth="1"/>
    <col min="11" max="11" width="24.140625" bestFit="1" customWidth="1"/>
    <col min="12" max="12" width="21.42578125" customWidth="1"/>
    <col min="13" max="13" width="17.140625" customWidth="1"/>
    <col min="15" max="15" width="12.140625" bestFit="1" customWidth="1"/>
    <col min="23" max="23" width="9.28515625" customWidth="1"/>
  </cols>
  <sheetData>
    <row r="1" spans="2:10" x14ac:dyDescent="0.25">
      <c r="E1" s="66">
        <v>5586000</v>
      </c>
      <c r="G1" s="66">
        <v>26611844</v>
      </c>
      <c r="H1">
        <v>1064474</v>
      </c>
    </row>
    <row r="2" spans="2:10" ht="21" x14ac:dyDescent="0.35">
      <c r="B2" s="16" t="s">
        <v>214</v>
      </c>
      <c r="D2" s="66">
        <v>1064474</v>
      </c>
      <c r="F2" t="s">
        <v>544</v>
      </c>
      <c r="G2" s="66">
        <f>G1*(1-0.86)</f>
        <v>3725658.16</v>
      </c>
      <c r="H2" s="67">
        <f>1-H1/E1</f>
        <v>0.80943895452918013</v>
      </c>
      <c r="I2" s="117" t="s">
        <v>498</v>
      </c>
      <c r="J2" s="67">
        <f>G2*65%</f>
        <v>2421677.804</v>
      </c>
    </row>
    <row r="3" spans="2:10" x14ac:dyDescent="0.25">
      <c r="D3" s="136"/>
      <c r="F3" s="67">
        <f>E1-J2</f>
        <v>3164322.196</v>
      </c>
      <c r="G3" s="67">
        <f>G2*65%</f>
        <v>2421677.804</v>
      </c>
      <c r="H3" s="67">
        <f>1-G3/E1</f>
        <v>0.56647371929824564</v>
      </c>
      <c r="I3" s="117" t="s">
        <v>499</v>
      </c>
      <c r="J3" s="67">
        <f>F3*49%</f>
        <v>1550517.87604</v>
      </c>
    </row>
    <row r="4" spans="2:10" ht="15.75" x14ac:dyDescent="0.25">
      <c r="B4" s="50" t="s">
        <v>213</v>
      </c>
      <c r="D4" s="66"/>
      <c r="I4" s="117" t="s">
        <v>500</v>
      </c>
      <c r="J4" s="67">
        <f>J3+J2</f>
        <v>3972195.68004</v>
      </c>
    </row>
    <row r="5" spans="2:10" x14ac:dyDescent="0.25">
      <c r="B5" s="21" t="s">
        <v>215</v>
      </c>
      <c r="I5" s="67">
        <f>1-J4/E1</f>
        <v>0.28890159684210526</v>
      </c>
    </row>
    <row r="6" spans="2:10" x14ac:dyDescent="0.25">
      <c r="B6" s="21"/>
    </row>
    <row r="7" spans="2:10" x14ac:dyDescent="0.25">
      <c r="B7" s="7"/>
      <c r="C7" s="6" t="s">
        <v>150</v>
      </c>
    </row>
    <row r="8" spans="2:10" ht="26.25" x14ac:dyDescent="0.25">
      <c r="B8" s="24" t="s">
        <v>196</v>
      </c>
      <c r="C8" s="47">
        <v>77</v>
      </c>
      <c r="D8" s="135"/>
    </row>
    <row r="9" spans="2:10" ht="18" x14ac:dyDescent="0.25">
      <c r="B9" s="24" t="s">
        <v>197</v>
      </c>
      <c r="C9" s="47">
        <v>12</v>
      </c>
      <c r="D9" s="135"/>
    </row>
    <row r="10" spans="2:10" x14ac:dyDescent="0.25">
      <c r="B10" s="24" t="s">
        <v>216</v>
      </c>
      <c r="C10" s="47">
        <v>2</v>
      </c>
    </row>
    <row r="11" spans="2:10" x14ac:dyDescent="0.25">
      <c r="B11" s="24" t="s">
        <v>209</v>
      </c>
      <c r="C11" s="47">
        <v>5</v>
      </c>
    </row>
    <row r="12" spans="2:10" x14ac:dyDescent="0.25">
      <c r="B12" s="22" t="s">
        <v>152</v>
      </c>
      <c r="C12" s="53">
        <f>C8-SUM(C9:C11)</f>
        <v>58</v>
      </c>
    </row>
    <row r="14" spans="2:10" ht="26.25" x14ac:dyDescent="0.25">
      <c r="B14" s="10" t="s">
        <v>234</v>
      </c>
      <c r="C14" s="48">
        <v>6</v>
      </c>
    </row>
    <row r="15" spans="2:10" ht="26.25" x14ac:dyDescent="0.25">
      <c r="B15" s="54" t="s">
        <v>235</v>
      </c>
      <c r="C15" s="49">
        <v>5</v>
      </c>
    </row>
    <row r="16" spans="2:10" x14ac:dyDescent="0.25">
      <c r="C16" s="51"/>
    </row>
    <row r="18" spans="2:31" ht="18.75" x14ac:dyDescent="0.25">
      <c r="B18" s="8" t="s">
        <v>505</v>
      </c>
      <c r="C18" s="23"/>
    </row>
    <row r="19" spans="2:31" ht="18.75" x14ac:dyDescent="0.25">
      <c r="B19" s="8"/>
      <c r="C19" s="23"/>
    </row>
    <row r="20" spans="2:31" x14ac:dyDescent="0.25">
      <c r="C20" s="591" t="s">
        <v>462</v>
      </c>
      <c r="D20" s="591"/>
      <c r="E20" s="591" t="s">
        <v>357</v>
      </c>
      <c r="F20" s="591"/>
      <c r="G20" s="591"/>
    </row>
    <row r="21" spans="2:31" ht="26.25" x14ac:dyDescent="0.25">
      <c r="C21" s="6" t="s">
        <v>177</v>
      </c>
      <c r="D21" s="6" t="s">
        <v>178</v>
      </c>
      <c r="E21" s="6" t="s">
        <v>177</v>
      </c>
      <c r="F21" s="104" t="s">
        <v>481</v>
      </c>
      <c r="G21" s="104" t="s">
        <v>482</v>
      </c>
    </row>
    <row r="22" spans="2:31" x14ac:dyDescent="0.25">
      <c r="B22" s="10" t="s">
        <v>369</v>
      </c>
      <c r="C22" s="114" t="e">
        <f>AVERAGE(#REF!)</f>
        <v>#REF!</v>
      </c>
      <c r="D22" s="114" t="e">
        <f>AVERAGE(#REF!)</f>
        <v>#REF!</v>
      </c>
      <c r="E22" s="30" t="e">
        <f>AVERAGE('Ref-Data'!#REF!)</f>
        <v>#REF!</v>
      </c>
      <c r="F22" s="31">
        <f>AVERAGE('Ref-Data'!N:N)</f>
        <v>0.27941522446658323</v>
      </c>
      <c r="G22" s="30" t="e">
        <f>AVERAGE('Ref-Data'!#REF!)</f>
        <v>#REF!</v>
      </c>
      <c r="I22" s="3" t="s">
        <v>531</v>
      </c>
      <c r="AA22" s="1">
        <v>0.08</v>
      </c>
      <c r="AB22" s="1">
        <v>0.08</v>
      </c>
      <c r="AC22" s="1">
        <v>0.08</v>
      </c>
      <c r="AD22" s="1">
        <v>0.08</v>
      </c>
      <c r="AE22" s="1">
        <v>0.08</v>
      </c>
    </row>
    <row r="23" spans="2:31" x14ac:dyDescent="0.25">
      <c r="B23" s="11" t="s">
        <v>368</v>
      </c>
      <c r="C23" s="46"/>
      <c r="D23" s="46" t="e">
        <f>AVERAGE(#REF!)</f>
        <v>#REF!</v>
      </c>
      <c r="E23" s="46"/>
      <c r="F23" s="46"/>
      <c r="G23" s="46"/>
      <c r="I23" t="s">
        <v>536</v>
      </c>
      <c r="W23" s="88">
        <f>AA23/AA36</f>
        <v>0.56599267157011934</v>
      </c>
      <c r="Z23" t="s">
        <v>184</v>
      </c>
      <c r="AA23" s="31">
        <v>7.2956455365388376E-2</v>
      </c>
      <c r="AB23" s="31">
        <v>0.12168842438757566</v>
      </c>
      <c r="AC23" s="31">
        <v>0.16170410626758311</v>
      </c>
      <c r="AD23" s="31">
        <v>0.1958900636304183</v>
      </c>
      <c r="AE23" s="31">
        <v>0.2257744766893206</v>
      </c>
    </row>
    <row r="24" spans="2:31" x14ac:dyDescent="0.25">
      <c r="C24" s="44"/>
      <c r="D24" s="44"/>
      <c r="AA24" s="31"/>
      <c r="AB24" s="31"/>
      <c r="AC24" s="31"/>
      <c r="AD24" s="31"/>
      <c r="AE24" s="31"/>
    </row>
    <row r="25" spans="2:31" x14ac:dyDescent="0.25">
      <c r="B25" s="3" t="s">
        <v>463</v>
      </c>
      <c r="C25" s="44"/>
      <c r="D25" s="44"/>
      <c r="E25" s="44"/>
      <c r="F25" s="44"/>
      <c r="I25" t="s">
        <v>532</v>
      </c>
      <c r="AA25" s="31"/>
      <c r="AB25" s="31"/>
      <c r="AC25" s="31"/>
      <c r="AD25" s="31"/>
      <c r="AE25" s="31"/>
    </row>
    <row r="26" spans="2:31" x14ac:dyDescent="0.25">
      <c r="C26" s="44"/>
      <c r="D26" s="44"/>
      <c r="E26" s="44"/>
      <c r="F26" s="44"/>
      <c r="I26" t="s">
        <v>533</v>
      </c>
      <c r="AA26" s="31"/>
      <c r="AB26" s="31"/>
      <c r="AC26" s="31"/>
      <c r="AD26" s="31"/>
      <c r="AE26" s="31"/>
    </row>
    <row r="27" spans="2:31" x14ac:dyDescent="0.25">
      <c r="C27" s="6" t="s">
        <v>527</v>
      </c>
      <c r="D27" s="6" t="s">
        <v>526</v>
      </c>
      <c r="E27" s="104" t="s">
        <v>362</v>
      </c>
      <c r="F27" s="75" t="s">
        <v>374</v>
      </c>
      <c r="I27" t="s">
        <v>534</v>
      </c>
      <c r="AA27" s="31"/>
      <c r="AB27" s="31"/>
      <c r="AC27" s="31"/>
      <c r="AD27" s="31"/>
      <c r="AE27" s="31"/>
    </row>
    <row r="28" spans="2:31" x14ac:dyDescent="0.25">
      <c r="B28" s="6" t="s">
        <v>367</v>
      </c>
      <c r="C28" s="115">
        <f>SUM('Ref-Data'!K:K)</f>
        <v>0</v>
      </c>
      <c r="D28" s="132" t="e">
        <f>SUM('Ref-Data'!#REF!)</f>
        <v>#REF!</v>
      </c>
      <c r="E28" s="78" t="e">
        <f>SUM('Ref-Data'!#REF!)</f>
        <v>#REF!</v>
      </c>
      <c r="F28" s="116" t="e">
        <f>SUM('Ref-Data'!#REF!)</f>
        <v>#REF!</v>
      </c>
      <c r="I28" t="s">
        <v>535</v>
      </c>
      <c r="AA28" s="31"/>
      <c r="AB28" s="31"/>
      <c r="AC28" s="31"/>
      <c r="AD28" s="31"/>
      <c r="AE28" s="31"/>
    </row>
    <row r="29" spans="2:31" x14ac:dyDescent="0.25">
      <c r="B29" s="6" t="s">
        <v>474</v>
      </c>
      <c r="C29" s="37">
        <f>C28/SUM('Ref-Data'!$B:$B)</f>
        <v>0</v>
      </c>
      <c r="D29" s="46" t="e">
        <f>D28/SUM('Ref-Data'!$B:$B)</f>
        <v>#REF!</v>
      </c>
      <c r="E29" s="37" t="e">
        <f>E28/SUM('Ref-Data'!$B:$B)</f>
        <v>#REF!</v>
      </c>
      <c r="F29" s="99" t="e">
        <f>F28/SUM('Ref-Data'!$B:$B)</f>
        <v>#REF!</v>
      </c>
      <c r="AA29" s="31"/>
      <c r="AB29" s="31"/>
      <c r="AC29" s="31"/>
      <c r="AD29" s="31"/>
      <c r="AE29" s="31"/>
    </row>
    <row r="30" spans="2:31" x14ac:dyDescent="0.25">
      <c r="B30" s="44"/>
      <c r="C30" s="44"/>
      <c r="D30" s="44"/>
      <c r="E30" s="44"/>
      <c r="F30" s="44"/>
      <c r="I30" t="s">
        <v>537</v>
      </c>
      <c r="AA30" s="31"/>
      <c r="AB30" s="31"/>
      <c r="AC30" s="31"/>
      <c r="AD30" s="31"/>
      <c r="AE30" s="31"/>
    </row>
    <row r="31" spans="2:31" x14ac:dyDescent="0.25">
      <c r="B31" s="118" t="s">
        <v>501</v>
      </c>
      <c r="C31" s="44"/>
      <c r="D31" s="44"/>
      <c r="E31" s="44"/>
      <c r="F31" s="44"/>
      <c r="I31" t="s">
        <v>538</v>
      </c>
      <c r="AA31" s="31"/>
      <c r="AB31" s="31"/>
      <c r="AC31" s="31"/>
      <c r="AD31" s="31"/>
      <c r="AE31" s="31"/>
    </row>
    <row r="32" spans="2:31" x14ac:dyDescent="0.25">
      <c r="B32" s="118" t="s">
        <v>502</v>
      </c>
      <c r="C32" s="44"/>
      <c r="D32" s="44"/>
      <c r="E32" s="44"/>
      <c r="F32" s="44"/>
      <c r="I32" t="s">
        <v>539</v>
      </c>
      <c r="AA32" s="31"/>
      <c r="AB32" s="31"/>
      <c r="AC32" s="31"/>
      <c r="AD32" s="31"/>
      <c r="AE32" s="31"/>
    </row>
    <row r="33" spans="2:31" x14ac:dyDescent="0.25">
      <c r="B33" s="118" t="s">
        <v>503</v>
      </c>
      <c r="C33" s="44"/>
      <c r="D33" s="44"/>
      <c r="E33" s="44"/>
      <c r="F33" s="44"/>
      <c r="I33" t="s">
        <v>540</v>
      </c>
      <c r="M33">
        <v>2807571</v>
      </c>
      <c r="N33">
        <v>1955927</v>
      </c>
      <c r="O33" s="66">
        <f>M33-N33</f>
        <v>851644</v>
      </c>
      <c r="AA33" s="31"/>
      <c r="AB33" s="31"/>
      <c r="AC33" s="31"/>
      <c r="AD33" s="31"/>
      <c r="AE33" s="31"/>
    </row>
    <row r="34" spans="2:31" x14ac:dyDescent="0.25">
      <c r="B34" s="118" t="s">
        <v>504</v>
      </c>
      <c r="C34" s="44"/>
      <c r="D34" s="44"/>
      <c r="E34" s="44"/>
      <c r="F34" s="44"/>
      <c r="I34" t="s">
        <v>542</v>
      </c>
      <c r="L34">
        <v>2855672</v>
      </c>
      <c r="M34">
        <v>2484450</v>
      </c>
      <c r="AA34" s="31"/>
      <c r="AB34" s="31"/>
      <c r="AC34" s="31"/>
      <c r="AD34" s="31"/>
      <c r="AE34" s="31"/>
    </row>
    <row r="35" spans="2:31" x14ac:dyDescent="0.25">
      <c r="B35" s="118"/>
      <c r="C35" s="44"/>
      <c r="D35" s="44"/>
      <c r="E35" s="44"/>
      <c r="F35" s="44"/>
      <c r="L35" s="137" t="e">
        <f>L34-K40</f>
        <v>#REF!</v>
      </c>
      <c r="M35">
        <f>M33-M34</f>
        <v>323121</v>
      </c>
      <c r="AA35" s="31"/>
      <c r="AB35" s="31"/>
      <c r="AC35" s="31"/>
      <c r="AD35" s="31"/>
      <c r="AE35" s="31"/>
    </row>
    <row r="36" spans="2:31" ht="15.75" customHeight="1" x14ac:dyDescent="0.25">
      <c r="B36" s="44"/>
      <c r="C36" s="44"/>
      <c r="I36" t="s">
        <v>543</v>
      </c>
      <c r="Z36" t="s">
        <v>185</v>
      </c>
      <c r="AA36" s="31">
        <v>0.12889999999999999</v>
      </c>
      <c r="AB36" s="31">
        <v>0.215</v>
      </c>
      <c r="AC36" s="31">
        <v>0.28570000000000001</v>
      </c>
      <c r="AD36" s="31">
        <v>0.34610000000000002</v>
      </c>
      <c r="AE36" s="31">
        <v>0.39889999999999998</v>
      </c>
    </row>
    <row r="37" spans="2:31" x14ac:dyDescent="0.25">
      <c r="B37" s="3" t="s">
        <v>183</v>
      </c>
    </row>
    <row r="38" spans="2:31" x14ac:dyDescent="0.25">
      <c r="G38" s="591" t="s">
        <v>357</v>
      </c>
      <c r="H38" s="591"/>
      <c r="I38" s="591"/>
      <c r="J38" s="591" t="s">
        <v>367</v>
      </c>
      <c r="K38" s="591"/>
      <c r="L38" s="591"/>
      <c r="AA38" s="1">
        <f>AA36-AA23</f>
        <v>5.5943544634611611E-2</v>
      </c>
      <c r="AB38" s="1">
        <f>AB36-AB23</f>
        <v>9.3311575612424341E-2</v>
      </c>
      <c r="AC38" s="1">
        <f>AC36-AC23</f>
        <v>0.1239958937324169</v>
      </c>
      <c r="AD38" s="1">
        <f>AD36-AD23</f>
        <v>0.15020993636958171</v>
      </c>
      <c r="AE38" s="1">
        <f>AE36-AE23</f>
        <v>0.17312552331067937</v>
      </c>
    </row>
    <row r="39" spans="2:31" ht="31.5" customHeight="1" x14ac:dyDescent="0.25">
      <c r="C39" s="74" t="s">
        <v>370</v>
      </c>
      <c r="D39" s="74" t="s">
        <v>150</v>
      </c>
      <c r="E39" s="75" t="s">
        <v>371</v>
      </c>
      <c r="F39" s="74" t="s">
        <v>150</v>
      </c>
      <c r="G39" s="6" t="s">
        <v>177</v>
      </c>
      <c r="H39" s="104" t="s">
        <v>481</v>
      </c>
      <c r="I39" s="104" t="s">
        <v>482</v>
      </c>
      <c r="J39" s="75" t="s">
        <v>528</v>
      </c>
      <c r="K39" s="75" t="s">
        <v>373</v>
      </c>
      <c r="L39" s="75" t="s">
        <v>374</v>
      </c>
      <c r="M39" s="75" t="s">
        <v>529</v>
      </c>
    </row>
    <row r="40" spans="2:31" x14ac:dyDescent="0.25">
      <c r="B40" s="10" t="s">
        <v>181</v>
      </c>
      <c r="C40" s="120" t="e">
        <f>AVERAGEIF(#REF!,1,#REF!)</f>
        <v>#REF!</v>
      </c>
      <c r="D40" s="76" t="e">
        <f>COUNTIF(#REF!,1)</f>
        <v>#REF!</v>
      </c>
      <c r="E40" s="120" t="e">
        <f>AVERAGEIF(#REF!,1,#REF!)</f>
        <v>#REF!</v>
      </c>
      <c r="F40" s="76">
        <f>58-F41</f>
        <v>55</v>
      </c>
      <c r="G40" s="33" t="e">
        <f>AVERAGEIF('Ref-Data'!$I:$I,1,'Ref-Data'!#REF!)</f>
        <v>#REF!</v>
      </c>
      <c r="H40" s="33">
        <f>AVERAGEIF('Ref-Data'!$I:$I,1,'Ref-Data'!$N:$N)</f>
        <v>0.27788701444003744</v>
      </c>
      <c r="I40" s="33" t="e">
        <f>AVERAGEIF('Ref-Data'!$I:$I,1,'Ref-Data'!#REF!)</f>
        <v>#REF!</v>
      </c>
      <c r="J40" s="78">
        <f>SUMIF('Ref-Data'!$I:$I,1,'Ref-Data'!$K:$K)</f>
        <v>0</v>
      </c>
      <c r="K40" s="79" t="e">
        <f>SUMIF('Ref-Data'!$I:$I,1,'Ref-Data'!#REF!)</f>
        <v>#REF!</v>
      </c>
      <c r="L40" s="79" t="e">
        <f>SUMIF('Ref-Data'!$I:$I,1,'Ref-Data'!#REF!)</f>
        <v>#REF!</v>
      </c>
      <c r="M40" s="132" t="e">
        <f>SUMIF('Ref-Data'!$I:$I,1,'Ref-Data'!#REF!)</f>
        <v>#REF!</v>
      </c>
    </row>
    <row r="41" spans="2:31" x14ac:dyDescent="0.25">
      <c r="B41" s="119" t="s">
        <v>182</v>
      </c>
      <c r="C41" s="37" t="e">
        <f>AVERAGEIF(#REF!,2,#REF!)</f>
        <v>#REF!</v>
      </c>
      <c r="D41" s="77" t="e">
        <f>COUNTIF(#REF!,2)</f>
        <v>#REF!</v>
      </c>
      <c r="E41" s="37" t="e">
        <f>AVERAGEIF(#REF!,2,#REF!)</f>
        <v>#REF!</v>
      </c>
      <c r="F41" s="77">
        <v>3</v>
      </c>
      <c r="G41" s="37" t="e">
        <f>AVERAGEIF('Ref-Data'!$I:$I,2,'Ref-Data'!#REF!)</f>
        <v>#REF!</v>
      </c>
      <c r="H41" s="84">
        <f>AVERAGEIF('Ref-Data'!$I:$I,2,'Ref-Data'!$N:$N)</f>
        <v>0.33850601215969006</v>
      </c>
      <c r="I41" s="84" t="e">
        <f>AVERAGEIF('Ref-Data'!$I:$I,2,'Ref-Data'!#REF!)</f>
        <v>#REF!</v>
      </c>
      <c r="J41" s="85">
        <f>SUMIF('Ref-Data'!$I:$I,2,'Ref-Data'!$K:$K)</f>
        <v>0</v>
      </c>
      <c r="K41" s="86" t="e">
        <f>SUM(J46:J48)</f>
        <v>#N/A</v>
      </c>
      <c r="L41" s="80" t="e">
        <f>SUM(K46:K48)</f>
        <v>#N/A</v>
      </c>
      <c r="M41" s="122" t="e">
        <f>SUMIF('Ref-Data'!$I:$I,2,'Ref-Data'!#REF!)</f>
        <v>#REF!</v>
      </c>
    </row>
    <row r="42" spans="2:31" x14ac:dyDescent="0.25">
      <c r="C42" s="28"/>
    </row>
    <row r="43" spans="2:31" x14ac:dyDescent="0.25">
      <c r="C43" s="28"/>
    </row>
    <row r="44" spans="2:31" x14ac:dyDescent="0.25">
      <c r="B44" s="52" t="s">
        <v>231</v>
      </c>
      <c r="C44" s="591" t="s">
        <v>462</v>
      </c>
      <c r="D44" s="591"/>
      <c r="E44" s="591"/>
      <c r="F44" s="591" t="s">
        <v>357</v>
      </c>
      <c r="G44" s="591"/>
      <c r="H44" s="591"/>
      <c r="I44" s="591" t="s">
        <v>367</v>
      </c>
      <c r="J44" s="591"/>
      <c r="K44" s="591"/>
    </row>
    <row r="45" spans="2:31" ht="26.25" x14ac:dyDescent="0.25">
      <c r="B45" s="81" t="s">
        <v>158</v>
      </c>
      <c r="C45" s="75" t="s">
        <v>159</v>
      </c>
      <c r="D45" s="75" t="s">
        <v>378</v>
      </c>
      <c r="E45" s="75" t="s">
        <v>160</v>
      </c>
      <c r="F45" s="6" t="s">
        <v>478</v>
      </c>
      <c r="G45" s="104" t="s">
        <v>481</v>
      </c>
      <c r="H45" s="104" t="s">
        <v>482</v>
      </c>
      <c r="I45" s="75" t="s">
        <v>528</v>
      </c>
      <c r="J45" s="75" t="s">
        <v>373</v>
      </c>
      <c r="K45" s="75" t="s">
        <v>374</v>
      </c>
      <c r="L45" s="75" t="s">
        <v>530</v>
      </c>
    </row>
    <row r="46" spans="2:31" x14ac:dyDescent="0.25">
      <c r="B46" s="41" t="s">
        <v>117</v>
      </c>
      <c r="C46" s="33" t="e">
        <f>VLOOKUP($B46,#REF!,MATCH("Annualized 1-Yr. EDF",#REF!,0),FALSE)</f>
        <v>#REF!</v>
      </c>
      <c r="D46" s="33" t="e">
        <f>VLOOKUP($B46,#REF!,MATCH("Annualized 1-Yr. EDF-adj",#REF!,0),FALSE)</f>
        <v>#REF!</v>
      </c>
      <c r="E46" s="33" t="e">
        <f>VLOOKUP($B46,#REF!,MATCH("Current EDF",#REF!,0),FALSE)</f>
        <v>#REF!</v>
      </c>
      <c r="F46" s="33" t="e">
        <f>VLOOKUP($B46,'Ref-Data'!$A:$N,MATCH("LGD %",'Ref-Data'!$A$1:$N$1,0),FALSE)</f>
        <v>#N/A</v>
      </c>
      <c r="G46" s="33" t="e">
        <f>VLOOKUP($B46,'Ref-Data'!$A:$N,MATCH("LGD-moodys",'Ref-Data'!$A$1:$N$1,0),FALSE)</f>
        <v>#N/A</v>
      </c>
      <c r="H46" s="33" t="e">
        <f>VLOOKUP($B46,'Ref-Data'!$A:$N,MATCH("LGD_2",'Ref-Data'!$A$1:$N$1,0),FALSE)</f>
        <v>#N/A</v>
      </c>
      <c r="I46" s="78" t="e">
        <f>VLOOKUP(B46,'Ref-Data'!$A:$K,17,FALSE)</f>
        <v>#N/A</v>
      </c>
      <c r="J46" s="79" t="e">
        <f>VLOOKUP(B46,'Ref-Data'!$A:$K,20,FALSE)</f>
        <v>#N/A</v>
      </c>
      <c r="K46" s="82" t="e">
        <f>VLOOKUP(B46,'Ref-Data'!$A:$K,27,FALSE)</f>
        <v>#N/A</v>
      </c>
      <c r="L46" s="132" t="e">
        <f>VLOOKUP(B46,'Ref-Data'!$A:$N,36,FALSE)</f>
        <v>#N/A</v>
      </c>
    </row>
    <row r="47" spans="2:31" x14ac:dyDescent="0.25">
      <c r="B47" s="34" t="s">
        <v>133</v>
      </c>
      <c r="C47" s="33" t="e">
        <f>VLOOKUP($B47,#REF!,MATCH("Annualized 1-Yr. EDF",#REF!,0),FALSE)</f>
        <v>#REF!</v>
      </c>
      <c r="D47" s="33" t="e">
        <f>VLOOKUP($B47,#REF!,MATCH("Annualized 1-Yr. EDF-adj",#REF!,0),FALSE)</f>
        <v>#REF!</v>
      </c>
      <c r="E47" s="33" t="e">
        <f>VLOOKUP($B47,#REF!,MATCH("Current EDF",#REF!,0),FALSE)</f>
        <v>#REF!</v>
      </c>
      <c r="F47" s="33" t="e">
        <f>VLOOKUP($B47,'Ref-Data'!$A:$N,MATCH("LGD %",'Ref-Data'!$A$1:$N$1,0),FALSE)</f>
        <v>#N/A</v>
      </c>
      <c r="G47" s="33" t="e">
        <f>VLOOKUP($B47,'Ref-Data'!$A:$N,MATCH("LGD-moodys",'Ref-Data'!$A$1:$N$1,0),FALSE)</f>
        <v>#N/A</v>
      </c>
      <c r="H47" s="33" t="e">
        <f>VLOOKUP($B47,'Ref-Data'!$A:$N,MATCH("LGD_2",'Ref-Data'!$A$1:$N$1,0),FALSE)</f>
        <v>#N/A</v>
      </c>
      <c r="I47" s="82" t="e">
        <f>VLOOKUP(B47,'Ref-Data'!$A:$K,17,FALSE)</f>
        <v>#N/A</v>
      </c>
      <c r="J47" s="82" t="e">
        <f>VLOOKUP(B47,'Ref-Data'!$A:$K,20,FALSE)</f>
        <v>#N/A</v>
      </c>
      <c r="K47" s="82" t="e">
        <f>VLOOKUP(B47,'Ref-Data'!$A:$K,27,FALSE)</f>
        <v>#N/A</v>
      </c>
      <c r="L47" s="132" t="e">
        <f>VLOOKUP(B47,'Ref-Data'!$A:$N,36,FALSE)</f>
        <v>#N/A</v>
      </c>
    </row>
    <row r="48" spans="2:31" x14ac:dyDescent="0.25">
      <c r="B48" s="36" t="s">
        <v>166</v>
      </c>
      <c r="C48" s="37" t="e">
        <f>VLOOKUP($B48,#REF!,MATCH("Annualized 1-Yr. EDF",#REF!,0),FALSE)</f>
        <v>#REF!</v>
      </c>
      <c r="D48" s="37" t="e">
        <f>VLOOKUP($B48,#REF!,MATCH("Annualized 1-Yr. EDF-adj",#REF!,0),FALSE)</f>
        <v>#REF!</v>
      </c>
      <c r="E48" s="38" t="e">
        <f>VLOOKUP($B48,#REF!,MATCH("Current EDF",#REF!,0),FALSE)</f>
        <v>#REF!</v>
      </c>
      <c r="F48" s="124" t="e">
        <f>VLOOKUP($B48,'Ref-Data'!$A:$N,MATCH("LGD %",'Ref-Data'!$A$1:$N$1,0),FALSE)</f>
        <v>#N/A</v>
      </c>
      <c r="G48" s="38" t="e">
        <f>VLOOKUP($B48,'Ref-Data'!$A:$N,MATCH("LGD-moodys",'Ref-Data'!$A$1:$N$1,0),FALSE)</f>
        <v>#N/A</v>
      </c>
      <c r="H48" s="125" t="e">
        <f>VLOOKUP($B48,'Ref-Data'!$A:$N,MATCH("LGD_2",'Ref-Data'!$A$1:$N$1,0),FALSE)</f>
        <v>#N/A</v>
      </c>
      <c r="I48" s="122" t="e">
        <f>VLOOKUP(B48,'Ref-Data'!$A:$K,17,FALSE)</f>
        <v>#N/A</v>
      </c>
      <c r="J48" s="86" t="e">
        <f>VLOOKUP(B48,'Ref-Data'!$A:$K,20,FALSE)</f>
        <v>#N/A</v>
      </c>
      <c r="K48" s="83" t="e">
        <f>VLOOKUP(B48,'Ref-Data'!$A:$K,27,FALSE)</f>
        <v>#N/A</v>
      </c>
      <c r="L48" s="133" t="e">
        <f>VLOOKUP(B48,'Ref-Data'!$A:$N,36,FALSE)</f>
        <v>#N/A</v>
      </c>
    </row>
    <row r="49" spans="2:15" x14ac:dyDescent="0.25">
      <c r="B49" s="43"/>
      <c r="C49" s="44"/>
      <c r="D49" s="44"/>
      <c r="E49" s="44"/>
      <c r="F49" s="44"/>
      <c r="G49" s="44"/>
      <c r="H49" s="44"/>
      <c r="I49" s="121"/>
      <c r="J49" s="121"/>
      <c r="K49" s="121"/>
      <c r="O49" s="134"/>
    </row>
    <row r="50" spans="2:15" x14ac:dyDescent="0.25">
      <c r="B50" s="123" t="s">
        <v>506</v>
      </c>
      <c r="C50" s="44"/>
      <c r="D50" s="44"/>
      <c r="E50" s="44"/>
      <c r="F50" s="44"/>
      <c r="G50" s="44"/>
      <c r="H50" s="44"/>
      <c r="I50" s="121"/>
      <c r="J50" s="121"/>
      <c r="K50" s="121"/>
    </row>
    <row r="51" spans="2:15" x14ac:dyDescent="0.25">
      <c r="B51" t="s">
        <v>507</v>
      </c>
      <c r="C51" s="44"/>
      <c r="D51" s="44"/>
      <c r="E51" s="44"/>
      <c r="F51" s="44"/>
      <c r="G51" s="44"/>
      <c r="H51" s="44"/>
      <c r="I51" s="121"/>
      <c r="J51" s="121"/>
      <c r="K51" s="121"/>
    </row>
    <row r="52" spans="2:15" x14ac:dyDescent="0.25">
      <c r="B52" s="126" t="s">
        <v>508</v>
      </c>
      <c r="C52" s="44"/>
      <c r="D52" s="44"/>
      <c r="E52" s="44"/>
      <c r="F52" s="44"/>
      <c r="G52" s="44"/>
      <c r="H52" s="44"/>
      <c r="I52" s="121"/>
      <c r="J52" s="121"/>
      <c r="K52" s="121"/>
    </row>
    <row r="53" spans="2:15" x14ac:dyDescent="0.25">
      <c r="B53" s="126"/>
      <c r="C53" s="44"/>
      <c r="D53" s="44"/>
      <c r="E53" s="44"/>
      <c r="F53" s="44"/>
      <c r="G53" s="44"/>
      <c r="H53" s="44"/>
      <c r="I53" s="121"/>
      <c r="J53" s="121"/>
      <c r="K53" s="121"/>
    </row>
    <row r="54" spans="2:15" ht="18.75" x14ac:dyDescent="0.25">
      <c r="B54" s="8" t="s">
        <v>509</v>
      </c>
      <c r="C54" s="44"/>
      <c r="D54" s="44"/>
    </row>
    <row r="55" spans="2:15" x14ac:dyDescent="0.25">
      <c r="C55" s="28"/>
      <c r="D55" s="29"/>
    </row>
    <row r="56" spans="2:15" ht="26.25" x14ac:dyDescent="0.25">
      <c r="B56" s="10" t="s">
        <v>153</v>
      </c>
      <c r="C56" s="26" t="e">
        <f>COUNTIF(#REF!,"&lt;0")</f>
        <v>#REF!</v>
      </c>
      <c r="D56" s="14"/>
    </row>
    <row r="57" spans="2:15" ht="64.5" x14ac:dyDescent="0.25">
      <c r="B57" s="11" t="s">
        <v>194</v>
      </c>
      <c r="C57" s="25" t="e">
        <f>COUNTIF(#REF!,"&lt;-1.5%")</f>
        <v>#REF!</v>
      </c>
      <c r="D57" s="15" t="s">
        <v>345</v>
      </c>
    </row>
    <row r="58" spans="2:15" x14ac:dyDescent="0.25">
      <c r="C58" s="28"/>
      <c r="D58" s="29"/>
    </row>
    <row r="59" spans="2:15" x14ac:dyDescent="0.25">
      <c r="C59" s="28"/>
      <c r="D59" s="29"/>
    </row>
    <row r="60" spans="2:15" x14ac:dyDescent="0.25">
      <c r="B60" s="13" t="s">
        <v>236</v>
      </c>
    </row>
    <row r="61" spans="2:15" x14ac:dyDescent="0.25">
      <c r="B61" s="13"/>
    </row>
    <row r="62" spans="2:15" x14ac:dyDescent="0.25">
      <c r="B62" s="13"/>
      <c r="C62" s="591" t="s">
        <v>462</v>
      </c>
      <c r="D62" s="591"/>
      <c r="E62" s="591"/>
      <c r="F62" s="591" t="s">
        <v>357</v>
      </c>
      <c r="G62" s="591"/>
      <c r="H62" s="591"/>
      <c r="I62" s="591" t="s">
        <v>367</v>
      </c>
      <c r="J62" s="591"/>
      <c r="K62" s="591"/>
    </row>
    <row r="63" spans="2:15" ht="26.25" x14ac:dyDescent="0.25">
      <c r="B63" s="75" t="s">
        <v>158</v>
      </c>
      <c r="C63" s="75" t="s">
        <v>159</v>
      </c>
      <c r="D63" s="75" t="s">
        <v>378</v>
      </c>
      <c r="E63" s="75" t="s">
        <v>160</v>
      </c>
      <c r="F63" s="6" t="s">
        <v>478</v>
      </c>
      <c r="G63" s="104" t="s">
        <v>481</v>
      </c>
      <c r="H63" s="104" t="s">
        <v>482</v>
      </c>
      <c r="I63" s="75" t="s">
        <v>372</v>
      </c>
      <c r="J63" s="75" t="s">
        <v>373</v>
      </c>
      <c r="K63" s="75" t="s">
        <v>374</v>
      </c>
      <c r="L63" s="13"/>
    </row>
    <row r="64" spans="2:15" x14ac:dyDescent="0.25">
      <c r="B64" s="34" t="s">
        <v>111</v>
      </c>
      <c r="C64" s="33" t="e">
        <f>VLOOKUP($B64,#REF!,MATCH("Annualized 1-Yr. EDF",#REF!,0),FALSE)</f>
        <v>#REF!</v>
      </c>
      <c r="D64" s="33" t="e">
        <f>VLOOKUP($B64,#REF!,MATCH("Annualized 1-Yr. EDF-adj",#REF!,0),FALSE)</f>
        <v>#REF!</v>
      </c>
      <c r="E64" s="33" t="e">
        <f>VLOOKUP($B64,#REF!,MATCH("Current EDF",#REF!,0),FALSE)</f>
        <v>#REF!</v>
      </c>
      <c r="F64" s="33" t="e">
        <f>VLOOKUP($B64,'Ref-Data'!$A:$N,MATCH("LGD %",'Ref-Data'!$A$1:$N$1,0),FALSE)</f>
        <v>#N/A</v>
      </c>
      <c r="G64" s="33" t="e">
        <f>VLOOKUP($B64,'Ref-Data'!$A:$N,MATCH("LGD-moodys",'Ref-Data'!$A$1:$N$1,0),FALSE)</f>
        <v>#N/A</v>
      </c>
      <c r="H64" s="33" t="e">
        <f>VLOOKUP($B64,'Ref-Data'!$A:$N,MATCH("LGD_2",'Ref-Data'!$A$1:$N$1,0),FALSE)</f>
        <v>#N/A</v>
      </c>
      <c r="I64" s="78" t="e">
        <f>VLOOKUP(B64,'Ref-Data'!$A:$K,17,FALSE)</f>
        <v>#N/A</v>
      </c>
      <c r="J64" s="79" t="e">
        <f>VLOOKUP(B64,'Ref-Data'!$A:$K,20,FALSE)</f>
        <v>#N/A</v>
      </c>
      <c r="K64" s="79" t="e">
        <f>VLOOKUP(B64,'Ref-Data'!$A:$K,27,FALSE)</f>
        <v>#N/A</v>
      </c>
    </row>
    <row r="65" spans="2:11" x14ac:dyDescent="0.25">
      <c r="B65" s="34" t="s">
        <v>121</v>
      </c>
      <c r="C65" s="33" t="e">
        <f>VLOOKUP($B65,#REF!,MATCH("Annualized 1-Yr. EDF",#REF!,0),FALSE)</f>
        <v>#REF!</v>
      </c>
      <c r="D65" s="33" t="e">
        <f>VLOOKUP($B65,#REF!,MATCH("Annualized 1-Yr. EDF-adj",#REF!,0),FALSE)</f>
        <v>#REF!</v>
      </c>
      <c r="E65" s="33" t="e">
        <f>VLOOKUP($B65,#REF!,MATCH("Current EDF",#REF!,0),FALSE)</f>
        <v>#REF!</v>
      </c>
      <c r="F65" s="33" t="e">
        <f>VLOOKUP($B65,'Ref-Data'!$A:$N,MATCH("LGD %",'Ref-Data'!$A$1:$N$1,0),FALSE)</f>
        <v>#N/A</v>
      </c>
      <c r="G65" s="33" t="e">
        <f>VLOOKUP($B65,'Ref-Data'!$A:$N,MATCH("LGD-moodys",'Ref-Data'!$A$1:$N$1,0),FALSE)</f>
        <v>#N/A</v>
      </c>
      <c r="H65" s="33" t="e">
        <f>VLOOKUP($B65,'Ref-Data'!$A:$N,MATCH("LGD_2",'Ref-Data'!$A$1:$N$1,0),FALSE)</f>
        <v>#N/A</v>
      </c>
      <c r="I65" s="82" t="e">
        <f>VLOOKUP(B65,'Ref-Data'!$A:$K,17,FALSE)</f>
        <v>#N/A</v>
      </c>
      <c r="J65" s="82" t="e">
        <f>VLOOKUP(B65,'Ref-Data'!$A:$K,20,FALSE)</f>
        <v>#N/A</v>
      </c>
      <c r="K65" s="82" t="e">
        <f>VLOOKUP(B65,'Ref-Data'!$A:$K,27,FALSE)</f>
        <v>#N/A</v>
      </c>
    </row>
    <row r="66" spans="2:11" x14ac:dyDescent="0.25">
      <c r="B66" s="34" t="s">
        <v>139</v>
      </c>
      <c r="C66" s="33" t="e">
        <f>VLOOKUP($B66,#REF!,MATCH("Annualized 1-Yr. EDF",#REF!,0),FALSE)</f>
        <v>#REF!</v>
      </c>
      <c r="D66" s="33" t="e">
        <f>VLOOKUP($B66,#REF!,MATCH("Annualized 1-Yr. EDF-adj",#REF!,0),FALSE)</f>
        <v>#REF!</v>
      </c>
      <c r="E66" s="33" t="e">
        <f>VLOOKUP($B66,#REF!,MATCH("Current EDF",#REF!,0),FALSE)</f>
        <v>#REF!</v>
      </c>
      <c r="F66" s="33" t="e">
        <f>VLOOKUP($B66,'Ref-Data'!$A:$N,MATCH("LGD %",'Ref-Data'!$A$1:$N$1,0),FALSE)</f>
        <v>#N/A</v>
      </c>
      <c r="G66" s="33" t="e">
        <f>VLOOKUP($B66,'Ref-Data'!$A:$N,MATCH("LGD-moodys",'Ref-Data'!$A$1:$N$1,0),FALSE)</f>
        <v>#N/A</v>
      </c>
      <c r="H66" s="33" t="e">
        <f>VLOOKUP($B66,'Ref-Data'!$A:$N,MATCH("LGD_2",'Ref-Data'!$A$1:$N$1,0),FALSE)</f>
        <v>#N/A</v>
      </c>
      <c r="I66" s="82" t="e">
        <f>VLOOKUP(B66,'Ref-Data'!$A:$K,17,FALSE)</f>
        <v>#N/A</v>
      </c>
      <c r="J66" s="82" t="e">
        <f>VLOOKUP(B66,'Ref-Data'!$A:$K,20,FALSE)</f>
        <v>#N/A</v>
      </c>
      <c r="K66" s="82" t="e">
        <f>VLOOKUP(B66,'Ref-Data'!$A:$K,27,FALSE)</f>
        <v>#N/A</v>
      </c>
    </row>
    <row r="67" spans="2:11" x14ac:dyDescent="0.25">
      <c r="B67" s="36" t="s">
        <v>169</v>
      </c>
      <c r="C67" s="37" t="e">
        <f>VLOOKUP($B67,#REF!,MATCH("Annualized 1-Yr. EDF",#REF!,0),FALSE)</f>
        <v>#REF!</v>
      </c>
      <c r="D67" s="37" t="e">
        <f>VLOOKUP($B67,#REF!,MATCH("Annualized 1-Yr. EDF-adj",#REF!,0),FALSE)</f>
        <v>#REF!</v>
      </c>
      <c r="E67" s="84" t="e">
        <f>VLOOKUP($B67,#REF!,MATCH("Current EDF",#REF!,0),FALSE)</f>
        <v>#REF!</v>
      </c>
      <c r="F67" s="37" t="e">
        <f>VLOOKUP($B67,'Ref-Data'!$A:$N,MATCH("LGD %",'Ref-Data'!$A$1:$N$1,0),FALSE)</f>
        <v>#N/A</v>
      </c>
      <c r="G67" s="84" t="e">
        <f>VLOOKUP($B67,'Ref-Data'!$A:$N,MATCH("LGD-moodys",'Ref-Data'!$A$1:$N$1,0),FALSE)</f>
        <v>#N/A</v>
      </c>
      <c r="H67" s="84" t="e">
        <f>VLOOKUP($B67,'Ref-Data'!$A:$N,MATCH("LGD_2",'Ref-Data'!$A$1:$N$1,0),FALSE)</f>
        <v>#N/A</v>
      </c>
      <c r="I67" s="86" t="e">
        <f>VLOOKUP(B67,'Ref-Data'!$A:$K,17,FALSE)</f>
        <v>#N/A</v>
      </c>
      <c r="J67" s="86" t="e">
        <f>VLOOKUP(B67,'Ref-Data'!$A:$K,20,FALSE)</f>
        <v>#N/A</v>
      </c>
      <c r="K67" s="86" t="e">
        <f>VLOOKUP(B67,'Ref-Data'!$A:$K,27,FALSE)</f>
        <v>#N/A</v>
      </c>
    </row>
    <row r="68" spans="2:11" x14ac:dyDescent="0.25">
      <c r="C68" s="28"/>
      <c r="E68" s="29"/>
    </row>
    <row r="69" spans="2:11" x14ac:dyDescent="0.25">
      <c r="B69" t="s">
        <v>510</v>
      </c>
      <c r="C69" s="28"/>
      <c r="E69" s="29"/>
    </row>
    <row r="70" spans="2:11" x14ac:dyDescent="0.25">
      <c r="B70" t="s">
        <v>511</v>
      </c>
      <c r="C70" s="28"/>
      <c r="E70" s="29"/>
    </row>
    <row r="71" spans="2:11" x14ac:dyDescent="0.25">
      <c r="C71" s="28"/>
      <c r="E71" s="29"/>
    </row>
    <row r="72" spans="2:11" x14ac:dyDescent="0.25">
      <c r="B72" s="13" t="s">
        <v>237</v>
      </c>
    </row>
    <row r="73" spans="2:11" x14ac:dyDescent="0.25">
      <c r="B73" s="13"/>
    </row>
    <row r="74" spans="2:11" x14ac:dyDescent="0.25">
      <c r="B74" s="13"/>
      <c r="C74" s="591" t="s">
        <v>462</v>
      </c>
      <c r="D74" s="591"/>
      <c r="E74" s="591"/>
      <c r="F74" s="591" t="s">
        <v>357</v>
      </c>
      <c r="G74" s="591"/>
      <c r="H74" s="591"/>
      <c r="I74" s="591" t="s">
        <v>367</v>
      </c>
      <c r="J74" s="591"/>
      <c r="K74" s="591"/>
    </row>
    <row r="75" spans="2:11" ht="26.25" x14ac:dyDescent="0.25">
      <c r="B75" s="75" t="s">
        <v>158</v>
      </c>
      <c r="C75" s="75" t="s">
        <v>159</v>
      </c>
      <c r="D75" s="75" t="s">
        <v>378</v>
      </c>
      <c r="E75" s="75" t="s">
        <v>160</v>
      </c>
      <c r="F75" s="6" t="s">
        <v>478</v>
      </c>
      <c r="G75" s="104" t="s">
        <v>481</v>
      </c>
      <c r="H75" s="104" t="s">
        <v>482</v>
      </c>
      <c r="I75" s="75" t="s">
        <v>372</v>
      </c>
      <c r="J75" s="75" t="s">
        <v>373</v>
      </c>
      <c r="K75" s="75" t="s">
        <v>374</v>
      </c>
    </row>
    <row r="76" spans="2:11" x14ac:dyDescent="0.25">
      <c r="B76" s="34" t="s">
        <v>227</v>
      </c>
      <c r="C76" s="33" t="e">
        <f>VLOOKUP($B76,#REF!,MATCH("Annualized 1-Yr. EDF",#REF!,0),FALSE)</f>
        <v>#REF!</v>
      </c>
      <c r="D76" s="33" t="e">
        <f>VLOOKUP($B76,#REF!,MATCH("Annualized 1-Yr. EDF-adj",#REF!,0),FALSE)</f>
        <v>#REF!</v>
      </c>
      <c r="E76" s="33" t="e">
        <f>VLOOKUP($B76,#REF!,MATCH("Current EDF",#REF!,0),FALSE)</f>
        <v>#REF!</v>
      </c>
      <c r="F76" s="33" t="e">
        <f>VLOOKUP($B76,'Ref-Data'!$A:$N,MATCH("LGD %",'Ref-Data'!$A$1:$N$1,0),FALSE)</f>
        <v>#N/A</v>
      </c>
      <c r="G76" s="33" t="e">
        <f>VLOOKUP($B76,'Ref-Data'!$A:$N,MATCH("LGD-moodys",'Ref-Data'!$A$1:$N$1,0),FALSE)</f>
        <v>#N/A</v>
      </c>
      <c r="H76" s="33" t="e">
        <f>VLOOKUP($B76,'Ref-Data'!$A:$N,MATCH("LGD_2",'Ref-Data'!$A$1:$N$1,0),FALSE)</f>
        <v>#N/A</v>
      </c>
      <c r="I76" s="78" t="e">
        <f>VLOOKUP(B76,'Ref-Data'!$A:$K,17,FALSE)</f>
        <v>#N/A</v>
      </c>
      <c r="J76" s="79" t="e">
        <f>VLOOKUP(B76,'Ref-Data'!$A:$K,20,FALSE)</f>
        <v>#N/A</v>
      </c>
      <c r="K76" s="79" t="e">
        <f>VLOOKUP(B76,'Ref-Data'!$A:$K,27,FALSE)</f>
        <v>#N/A</v>
      </c>
    </row>
    <row r="77" spans="2:11" x14ac:dyDescent="0.25">
      <c r="B77" s="34" t="s">
        <v>224</v>
      </c>
      <c r="C77" s="33" t="e">
        <f>VLOOKUP($B77,#REF!,MATCH("Annualized 1-Yr. EDF",#REF!,0),FALSE)</f>
        <v>#REF!</v>
      </c>
      <c r="D77" s="33" t="e">
        <f>VLOOKUP($B77,#REF!,MATCH("Annualized 1-Yr. EDF-adj",#REF!,0),FALSE)</f>
        <v>#REF!</v>
      </c>
      <c r="E77" s="33" t="e">
        <f>VLOOKUP($B77,#REF!,MATCH("Current EDF",#REF!,0),FALSE)</f>
        <v>#REF!</v>
      </c>
      <c r="F77" s="33" t="e">
        <f>VLOOKUP($B77,'Ref-Data'!$A:$N,MATCH("LGD %",'Ref-Data'!$A$1:$N$1,0),FALSE)</f>
        <v>#N/A</v>
      </c>
      <c r="G77" s="33" t="e">
        <f>VLOOKUP($B77,'Ref-Data'!$A:$N,MATCH("LGD-moodys",'Ref-Data'!$A$1:$N$1,0),FALSE)</f>
        <v>#N/A</v>
      </c>
      <c r="H77" s="33" t="e">
        <f>VLOOKUP($B77,'Ref-Data'!$A:$N,MATCH("LGD_2",'Ref-Data'!$A$1:$N$1,0),FALSE)</f>
        <v>#N/A</v>
      </c>
      <c r="I77" s="82" t="e">
        <f>VLOOKUP(B77,'Ref-Data'!$A:$K,17,FALSE)</f>
        <v>#N/A</v>
      </c>
      <c r="J77" s="82" t="e">
        <f>VLOOKUP(B77,'Ref-Data'!$A:$K,20,FALSE)</f>
        <v>#N/A</v>
      </c>
      <c r="K77" s="82" t="e">
        <f>VLOOKUP(B77,'Ref-Data'!$A:$K,27,FALSE)</f>
        <v>#N/A</v>
      </c>
    </row>
    <row r="78" spans="2:11" x14ac:dyDescent="0.25">
      <c r="B78" s="34" t="s">
        <v>229</v>
      </c>
      <c r="C78" s="33" t="e">
        <f>VLOOKUP($B78,#REF!,MATCH("Annualized 1-Yr. EDF",#REF!,0),FALSE)</f>
        <v>#REF!</v>
      </c>
      <c r="D78" s="33" t="e">
        <f>VLOOKUP($B78,#REF!,MATCH("Annualized 1-Yr. EDF-adj",#REF!,0),FALSE)</f>
        <v>#REF!</v>
      </c>
      <c r="E78" s="33" t="e">
        <f>VLOOKUP($B78,#REF!,MATCH("Current EDF",#REF!,0),FALSE)</f>
        <v>#REF!</v>
      </c>
      <c r="F78" s="33" t="e">
        <f>VLOOKUP($B78,'Ref-Data'!$A:$N,MATCH("LGD %",'Ref-Data'!$A$1:$N$1,0),FALSE)</f>
        <v>#N/A</v>
      </c>
      <c r="G78" s="33" t="e">
        <f>VLOOKUP($B78,'Ref-Data'!$A:$N,MATCH("LGD-moodys",'Ref-Data'!$A$1:$N$1,0),FALSE)</f>
        <v>#N/A</v>
      </c>
      <c r="H78" s="33" t="e">
        <f>VLOOKUP($B78,'Ref-Data'!$A:$N,MATCH("LGD_2",'Ref-Data'!$A$1:$N$1,0),FALSE)</f>
        <v>#N/A</v>
      </c>
      <c r="I78" s="82" t="e">
        <f>VLOOKUP(B78,'Ref-Data'!$A:$K,17,FALSE)</f>
        <v>#N/A</v>
      </c>
      <c r="J78" s="82" t="e">
        <f>VLOOKUP(B78,'Ref-Data'!$A:$K,20,FALSE)</f>
        <v>#N/A</v>
      </c>
      <c r="K78" s="82" t="e">
        <f>VLOOKUP(B78,'Ref-Data'!$A:$K,27,FALSE)</f>
        <v>#N/A</v>
      </c>
    </row>
    <row r="79" spans="2:11" x14ac:dyDescent="0.25">
      <c r="B79" s="34" t="s">
        <v>230</v>
      </c>
      <c r="C79" s="33" t="e">
        <f>VLOOKUP($B79,#REF!,MATCH("Annualized 1-Yr. EDF",#REF!,0),FALSE)</f>
        <v>#REF!</v>
      </c>
      <c r="D79" s="33" t="e">
        <f>VLOOKUP($B79,#REF!,MATCH("Annualized 1-Yr. EDF-adj",#REF!,0),FALSE)</f>
        <v>#REF!</v>
      </c>
      <c r="E79" s="33" t="e">
        <f>VLOOKUP($B79,#REF!,MATCH("Current EDF",#REF!,0),FALSE)</f>
        <v>#REF!</v>
      </c>
      <c r="F79" s="33" t="e">
        <f>VLOOKUP($B79,'Ref-Data'!$A:$N,MATCH("LGD %",'Ref-Data'!$A$1:$N$1,0),FALSE)</f>
        <v>#N/A</v>
      </c>
      <c r="G79" s="33" t="e">
        <f>VLOOKUP($B79,'Ref-Data'!$A:$N,MATCH("LGD-moodys",'Ref-Data'!$A$1:$N$1,0),FALSE)</f>
        <v>#N/A</v>
      </c>
      <c r="H79" s="33" t="e">
        <f>VLOOKUP($B79,'Ref-Data'!$A:$N,MATCH("LGD_2",'Ref-Data'!$A$1:$N$1,0),FALSE)</f>
        <v>#N/A</v>
      </c>
      <c r="I79" s="82" t="e">
        <f>VLOOKUP(B79,'Ref-Data'!$A:$K,17,FALSE)</f>
        <v>#N/A</v>
      </c>
      <c r="J79" s="82" t="e">
        <f>VLOOKUP(B79,'Ref-Data'!$A:$K,20,FALSE)</f>
        <v>#N/A</v>
      </c>
      <c r="K79" s="82" t="e">
        <f>VLOOKUP(B79,'Ref-Data'!$A:$K,27,FALSE)</f>
        <v>#N/A</v>
      </c>
    </row>
    <row r="80" spans="2:11" ht="25.5" x14ac:dyDescent="0.25">
      <c r="B80" s="55" t="s">
        <v>225</v>
      </c>
      <c r="C80" s="33" t="e">
        <f>VLOOKUP($B80,#REF!,MATCH("Annualized 1-Yr. EDF",#REF!,0),FALSE)</f>
        <v>#REF!</v>
      </c>
      <c r="D80" s="33" t="e">
        <f>VLOOKUP($B80,#REF!,MATCH("Annualized 1-Yr. EDF-adj",#REF!,0),FALSE)</f>
        <v>#REF!</v>
      </c>
      <c r="E80" s="33" t="e">
        <f>VLOOKUP($B80,#REF!,MATCH("Current EDF",#REF!,0),FALSE)</f>
        <v>#REF!</v>
      </c>
      <c r="F80" s="33" t="e">
        <f>VLOOKUP($B80,'Ref-Data'!$A:$N,MATCH("LGD %",'Ref-Data'!$A$1:$N$1,0),FALSE)</f>
        <v>#N/A</v>
      </c>
      <c r="G80" s="33" t="e">
        <f>VLOOKUP($B80,'Ref-Data'!$A:$N,MATCH("LGD-moodys",'Ref-Data'!$A$1:$N$1,0),FALSE)</f>
        <v>#N/A</v>
      </c>
      <c r="H80" s="33" t="e">
        <f>VLOOKUP($B80,'Ref-Data'!$A:$N,MATCH("LGD_2",'Ref-Data'!$A$1:$N$1,0),FALSE)</f>
        <v>#N/A</v>
      </c>
      <c r="I80" s="82" t="e">
        <f>VLOOKUP(B80,'Ref-Data'!$A:$K,17,FALSE)</f>
        <v>#N/A</v>
      </c>
      <c r="J80" s="82" t="e">
        <f>VLOOKUP(B80,'Ref-Data'!$A:$K,20,FALSE)</f>
        <v>#N/A</v>
      </c>
      <c r="K80" s="82" t="e">
        <f>VLOOKUP(B80,'Ref-Data'!$A:$K,27,FALSE)</f>
        <v>#N/A</v>
      </c>
    </row>
    <row r="81" spans="2:11" x14ac:dyDescent="0.25">
      <c r="B81" s="36" t="s">
        <v>228</v>
      </c>
      <c r="C81" s="37" t="e">
        <f>VLOOKUP($B81,#REF!,MATCH("Annualized 1-Yr. EDF",#REF!,0),FALSE)</f>
        <v>#REF!</v>
      </c>
      <c r="D81" s="37" t="e">
        <f>VLOOKUP($B81,#REF!,MATCH("Annualized 1-Yr. EDF-adj",#REF!,0),FALSE)</f>
        <v>#REF!</v>
      </c>
      <c r="E81" s="84" t="e">
        <f>VLOOKUP($B81,#REF!,MATCH("Current EDF",#REF!,0),FALSE)</f>
        <v>#REF!</v>
      </c>
      <c r="F81" s="37" t="e">
        <f>VLOOKUP($B81,'Ref-Data'!$A:$N,MATCH("LGD %",'Ref-Data'!$A$1:$N$1,0),FALSE)</f>
        <v>#N/A</v>
      </c>
      <c r="G81" s="84" t="e">
        <f>VLOOKUP($B81,'Ref-Data'!$A:$N,MATCH("LGD-moodys",'Ref-Data'!$A$1:$N$1,0),FALSE)</f>
        <v>#N/A</v>
      </c>
      <c r="H81" s="84" t="e">
        <f>VLOOKUP($B81,'Ref-Data'!$A:$N,MATCH("LGD_2",'Ref-Data'!$A$1:$N$1,0),FALSE)</f>
        <v>#N/A</v>
      </c>
      <c r="I81" s="80" t="e">
        <f>VLOOKUP(B81,'Ref-Data'!$A:$K,17,FALSE)</f>
        <v>#N/A</v>
      </c>
      <c r="J81" s="80" t="e">
        <f>VLOOKUP(B81,'Ref-Data'!$A:$K,20,FALSE)</f>
        <v>#N/A</v>
      </c>
      <c r="K81" s="83" t="e">
        <f>VLOOKUP(B81,'Ref-Data'!$A:$K,27,FALSE)</f>
        <v>#N/A</v>
      </c>
    </row>
    <row r="82" spans="2:11" x14ac:dyDescent="0.25">
      <c r="B82" s="43"/>
      <c r="C82" s="44"/>
      <c r="D82" s="44"/>
    </row>
    <row r="83" spans="2:11" x14ac:dyDescent="0.25">
      <c r="B83" t="s">
        <v>512</v>
      </c>
      <c r="C83" s="44"/>
      <c r="D83" s="44"/>
    </row>
    <row r="84" spans="2:11" x14ac:dyDescent="0.25">
      <c r="B84" s="126" t="s">
        <v>513</v>
      </c>
      <c r="C84" s="44"/>
      <c r="D84" s="44"/>
    </row>
    <row r="85" spans="2:11" x14ac:dyDescent="0.25">
      <c r="B85" t="s">
        <v>514</v>
      </c>
      <c r="C85" s="44"/>
      <c r="D85" s="44"/>
    </row>
    <row r="86" spans="2:11" x14ac:dyDescent="0.25">
      <c r="B86" t="s">
        <v>524</v>
      </c>
      <c r="C86" s="44"/>
      <c r="D86" s="44"/>
    </row>
    <row r="87" spans="2:11" x14ac:dyDescent="0.25">
      <c r="C87" s="28"/>
      <c r="D87" s="29"/>
    </row>
    <row r="88" spans="2:11" ht="18.75" x14ac:dyDescent="0.25">
      <c r="B88" s="8" t="s">
        <v>515</v>
      </c>
      <c r="C88" s="28"/>
      <c r="D88" s="29"/>
    </row>
    <row r="89" spans="2:11" ht="18.75" x14ac:dyDescent="0.25">
      <c r="B89" s="8"/>
      <c r="C89" s="28"/>
      <c r="D89" s="29"/>
    </row>
    <row r="90" spans="2:11" x14ac:dyDescent="0.25">
      <c r="C90" s="591" t="s">
        <v>462</v>
      </c>
      <c r="D90" s="591"/>
      <c r="E90" s="591" t="s">
        <v>357</v>
      </c>
      <c r="F90" s="591"/>
      <c r="G90" s="591"/>
    </row>
    <row r="91" spans="2:11" ht="26.25" x14ac:dyDescent="0.25">
      <c r="C91" s="6" t="s">
        <v>177</v>
      </c>
      <c r="D91" s="6" t="s">
        <v>178</v>
      </c>
      <c r="E91" s="6" t="s">
        <v>177</v>
      </c>
      <c r="F91" s="104" t="s">
        <v>481</v>
      </c>
      <c r="G91" s="104" t="s">
        <v>482</v>
      </c>
    </row>
    <row r="92" spans="2:11" x14ac:dyDescent="0.25">
      <c r="B92" s="10" t="s">
        <v>180</v>
      </c>
      <c r="C92" s="30" t="e">
        <f>AVERAGEIF(#REF!,"=0",#REF!)</f>
        <v>#REF!</v>
      </c>
      <c r="D92" s="30" t="e">
        <f>AVERAGEIF(#REF!,"=0",#REF!)</f>
        <v>#REF!</v>
      </c>
      <c r="E92" s="30" t="e">
        <f>AVERAGEIF('Ref-Data'!#REF!,0,'Ref-Data'!#REF!)</f>
        <v>#REF!</v>
      </c>
      <c r="F92" s="31" t="e">
        <f>AVERAGEIF('Ref-Data'!#REF!,0,'Ref-Data'!N:N)</f>
        <v>#REF!</v>
      </c>
      <c r="G92" s="127" t="e">
        <f>AVERAGEIF('Ref-Data'!#REF!,0,'Ref-Data'!#REF!)</f>
        <v>#REF!</v>
      </c>
    </row>
    <row r="93" spans="2:11" ht="26.25" x14ac:dyDescent="0.25">
      <c r="B93" s="11" t="s">
        <v>154</v>
      </c>
      <c r="C93" s="46"/>
      <c r="D93" s="46" t="e">
        <f>AVERAGEIF(#REF!,"=0",#REF!)</f>
        <v>#REF!</v>
      </c>
      <c r="E93" s="46"/>
      <c r="F93" s="46"/>
      <c r="G93" s="46"/>
    </row>
    <row r="94" spans="2:11" x14ac:dyDescent="0.25">
      <c r="C94" s="28"/>
      <c r="D94" s="29"/>
    </row>
    <row r="95" spans="2:11" x14ac:dyDescent="0.25">
      <c r="C95" s="28"/>
      <c r="D95" s="29"/>
    </row>
    <row r="96" spans="2:11" x14ac:dyDescent="0.25">
      <c r="B96" s="3" t="s">
        <v>463</v>
      </c>
      <c r="C96" s="44"/>
      <c r="D96" s="29"/>
    </row>
    <row r="97" spans="2:12" x14ac:dyDescent="0.25">
      <c r="C97" s="44"/>
      <c r="D97" s="29"/>
    </row>
    <row r="98" spans="2:12" ht="35.25" customHeight="1" x14ac:dyDescent="0.25">
      <c r="C98" s="6" t="s">
        <v>177</v>
      </c>
      <c r="D98" s="6" t="s">
        <v>178</v>
      </c>
      <c r="E98" s="75" t="s">
        <v>374</v>
      </c>
    </row>
    <row r="99" spans="2:12" x14ac:dyDescent="0.25">
      <c r="B99" s="10" t="s">
        <v>367</v>
      </c>
      <c r="C99" s="73" t="e">
        <f>SUMIF('Ref-Data'!#REF!,0,'Ref-Data'!K:K)</f>
        <v>#REF!</v>
      </c>
      <c r="D99" s="73" t="e">
        <f>SUMIF('Ref-Data'!#REF!,0,'Ref-Data'!#REF!)</f>
        <v>#REF!</v>
      </c>
      <c r="E99" s="87" t="e">
        <f>SUMIF('Ref-Data'!#REF!,0,'Ref-Data'!#REF!)</f>
        <v>#REF!</v>
      </c>
    </row>
    <row r="100" spans="2:12" x14ac:dyDescent="0.25">
      <c r="B100" s="119" t="s">
        <v>474</v>
      </c>
      <c r="C100" s="105" t="e">
        <f>C99/SUM('Ref-Data'!$B:$B)</f>
        <v>#REF!</v>
      </c>
      <c r="D100" s="105" t="e">
        <f>D99/SUM('Ref-Data'!$B:$B)</f>
        <v>#REF!</v>
      </c>
      <c r="E100" s="99" t="e">
        <f>E99/SUM('Ref-Data'!$B:$B)</f>
        <v>#REF!</v>
      </c>
    </row>
    <row r="101" spans="2:12" x14ac:dyDescent="0.25">
      <c r="C101" s="28"/>
      <c r="D101" s="29"/>
    </row>
    <row r="103" spans="2:12" ht="18.75" x14ac:dyDescent="0.3">
      <c r="B103" s="27" t="s">
        <v>179</v>
      </c>
    </row>
    <row r="105" spans="2:12" x14ac:dyDescent="0.25">
      <c r="B105" s="13" t="s">
        <v>195</v>
      </c>
    </row>
    <row r="106" spans="2:12" x14ac:dyDescent="0.25">
      <c r="B106" s="13"/>
    </row>
    <row r="107" spans="2:12" x14ac:dyDescent="0.25">
      <c r="B107" s="13"/>
      <c r="C107" s="591" t="s">
        <v>462</v>
      </c>
      <c r="D107" s="591"/>
      <c r="E107" s="591"/>
      <c r="F107" s="591" t="s">
        <v>357</v>
      </c>
      <c r="G107" s="591"/>
      <c r="H107" s="591"/>
      <c r="I107" s="591" t="s">
        <v>367</v>
      </c>
      <c r="J107" s="591"/>
      <c r="K107" s="591"/>
    </row>
    <row r="108" spans="2:12" ht="26.25" x14ac:dyDescent="0.25">
      <c r="B108" s="75" t="s">
        <v>158</v>
      </c>
      <c r="C108" s="75" t="s">
        <v>159</v>
      </c>
      <c r="D108" s="75" t="s">
        <v>378</v>
      </c>
      <c r="E108" s="75" t="s">
        <v>160</v>
      </c>
      <c r="F108" s="6" t="s">
        <v>478</v>
      </c>
      <c r="G108" s="104" t="s">
        <v>481</v>
      </c>
      <c r="H108" s="104" t="s">
        <v>482</v>
      </c>
      <c r="I108" s="75" t="s">
        <v>372</v>
      </c>
      <c r="J108" s="75" t="s">
        <v>373</v>
      </c>
      <c r="K108" s="75" t="s">
        <v>374</v>
      </c>
      <c r="L108" s="13"/>
    </row>
    <row r="109" spans="2:12" x14ac:dyDescent="0.25">
      <c r="B109" s="41" t="s">
        <v>161</v>
      </c>
      <c r="C109" s="33" t="e">
        <f>VLOOKUP($B109,#REF!,MATCH("Annualized 1-Yr. EDF",#REF!,0),FALSE)</f>
        <v>#REF!</v>
      </c>
      <c r="D109" s="33" t="e">
        <f>VLOOKUP($B109,#REF!,MATCH("Annualized 1-Yr. EDF-adj",#REF!,0),FALSE)</f>
        <v>#REF!</v>
      </c>
      <c r="E109" s="33" t="e">
        <f>VLOOKUP($B109,#REF!,MATCH("Current EDF",#REF!,0),FALSE)</f>
        <v>#REF!</v>
      </c>
      <c r="F109" s="33" t="e">
        <f>VLOOKUP($B109,'Ref-Data'!$A:$N,MATCH("LGD %",'Ref-Data'!$A$1:$N$1,0),FALSE)</f>
        <v>#N/A</v>
      </c>
      <c r="G109" s="33" t="e">
        <f>VLOOKUP($B109,'Ref-Data'!$A:$N,MATCH("LGD-moodys",'Ref-Data'!$A$1:$N$1,0),FALSE)</f>
        <v>#N/A</v>
      </c>
      <c r="H109" s="33" t="e">
        <f>VLOOKUP($B109,'Ref-Data'!$A:$N,MATCH("LGD_2",'Ref-Data'!$A$1:$N$1,0),FALSE)</f>
        <v>#N/A</v>
      </c>
      <c r="I109" s="78" t="e">
        <f>VLOOKUP(B109,'Ref-Data'!$A:$K,17,FALSE)</f>
        <v>#N/A</v>
      </c>
      <c r="J109" s="79" t="e">
        <f>VLOOKUP(B109,'Ref-Data'!$A:$K,20,FALSE)</f>
        <v>#N/A</v>
      </c>
      <c r="K109" s="79" t="e">
        <f>VLOOKUP(B109,'Ref-Data'!$A:$K,27,FALSE)</f>
        <v>#N/A</v>
      </c>
    </row>
    <row r="110" spans="2:12" x14ac:dyDescent="0.25">
      <c r="B110" s="34" t="s">
        <v>121</v>
      </c>
      <c r="C110" s="33" t="e">
        <f>VLOOKUP($B110,#REF!,MATCH("Annualized 1-Yr. EDF",#REF!,0),FALSE)</f>
        <v>#REF!</v>
      </c>
      <c r="D110" s="33" t="e">
        <f>VLOOKUP($B110,#REF!,MATCH("Annualized 1-Yr. EDF-adj",#REF!,0),FALSE)</f>
        <v>#REF!</v>
      </c>
      <c r="E110" s="33" t="e">
        <f>VLOOKUP($B110,#REF!,MATCH("Current EDF",#REF!,0),FALSE)</f>
        <v>#REF!</v>
      </c>
      <c r="F110" s="33" t="e">
        <f>VLOOKUP($B110,'Ref-Data'!$A:$N,MATCH("LGD %",'Ref-Data'!$A$1:$N$1,0),FALSE)</f>
        <v>#N/A</v>
      </c>
      <c r="G110" s="33" t="e">
        <f>VLOOKUP($B110,'Ref-Data'!$A:$N,MATCH("LGD-moodys",'Ref-Data'!$A$1:$N$1,0),FALSE)</f>
        <v>#N/A</v>
      </c>
      <c r="H110" s="33" t="e">
        <f>VLOOKUP($B110,'Ref-Data'!$A:$N,MATCH("LGD_2",'Ref-Data'!$A$1:$N$1,0),FALSE)</f>
        <v>#N/A</v>
      </c>
      <c r="I110" s="82" t="e">
        <f>VLOOKUP(B110,'Ref-Data'!$A:$K,17,FALSE)</f>
        <v>#N/A</v>
      </c>
      <c r="J110" s="82" t="e">
        <f>VLOOKUP(B110,'Ref-Data'!$A:$K,20,FALSE)</f>
        <v>#N/A</v>
      </c>
      <c r="K110" s="82" t="e">
        <f>VLOOKUP(B110,'Ref-Data'!$A:$K,27,FALSE)</f>
        <v>#N/A</v>
      </c>
    </row>
    <row r="111" spans="2:12" x14ac:dyDescent="0.25">
      <c r="B111" s="34" t="s">
        <v>125</v>
      </c>
      <c r="C111" s="33" t="e">
        <f>VLOOKUP($B111,#REF!,MATCH("Annualized 1-Yr. EDF",#REF!,0),FALSE)</f>
        <v>#REF!</v>
      </c>
      <c r="D111" s="33" t="e">
        <f>VLOOKUP($B111,#REF!,MATCH("Annualized 1-Yr. EDF-adj",#REF!,0),FALSE)</f>
        <v>#REF!</v>
      </c>
      <c r="E111" s="33" t="e">
        <f>VLOOKUP($B111,#REF!,MATCH("Current EDF",#REF!,0),FALSE)</f>
        <v>#REF!</v>
      </c>
      <c r="F111" s="33" t="e">
        <f>VLOOKUP($B111,'Ref-Data'!$A:$N,MATCH("LGD %",'Ref-Data'!$A$1:$N$1,0),FALSE)</f>
        <v>#N/A</v>
      </c>
      <c r="G111" s="33" t="e">
        <f>VLOOKUP($B111,'Ref-Data'!$A:$N,MATCH("LGD-moodys",'Ref-Data'!$A$1:$N$1,0),FALSE)</f>
        <v>#N/A</v>
      </c>
      <c r="H111" s="33" t="e">
        <f>VLOOKUP($B111,'Ref-Data'!$A:$N,MATCH("LGD_2",'Ref-Data'!$A$1:$N$1,0),FALSE)</f>
        <v>#N/A</v>
      </c>
      <c r="I111" s="82" t="e">
        <f>VLOOKUP(B111,'Ref-Data'!$A:$K,17,FALSE)</f>
        <v>#N/A</v>
      </c>
      <c r="J111" s="82" t="e">
        <f>VLOOKUP(B111,'Ref-Data'!$A:$K,20,FALSE)</f>
        <v>#N/A</v>
      </c>
      <c r="K111" s="82" t="e">
        <f>VLOOKUP(B111,'Ref-Data'!$A:$K,27,FALSE)</f>
        <v>#N/A</v>
      </c>
    </row>
    <row r="112" spans="2:12" x14ac:dyDescent="0.25">
      <c r="B112" s="34" t="s">
        <v>129</v>
      </c>
      <c r="C112" s="33" t="e">
        <f>VLOOKUP($B112,#REF!,MATCH("Annualized 1-Yr. EDF",#REF!,0),FALSE)</f>
        <v>#REF!</v>
      </c>
      <c r="D112" s="33" t="e">
        <f>VLOOKUP($B112,#REF!,MATCH("Annualized 1-Yr. EDF-adj",#REF!,0),FALSE)</f>
        <v>#REF!</v>
      </c>
      <c r="E112" s="33" t="e">
        <f>VLOOKUP($B112,#REF!,MATCH("Current EDF",#REF!,0),FALSE)</f>
        <v>#REF!</v>
      </c>
      <c r="F112" s="33" t="e">
        <f>VLOOKUP($B112,'Ref-Data'!$A:$N,MATCH("LGD %",'Ref-Data'!$A$1:$N$1,0),FALSE)</f>
        <v>#N/A</v>
      </c>
      <c r="G112" s="33" t="e">
        <f>VLOOKUP($B112,'Ref-Data'!$A:$N,MATCH("LGD-moodys",'Ref-Data'!$A$1:$N$1,0),FALSE)</f>
        <v>#N/A</v>
      </c>
      <c r="H112" s="33" t="e">
        <f>VLOOKUP($B112,'Ref-Data'!$A:$N,MATCH("LGD_2",'Ref-Data'!$A$1:$N$1,0),FALSE)</f>
        <v>#N/A</v>
      </c>
      <c r="I112" s="82" t="e">
        <f>VLOOKUP(B112,'Ref-Data'!$A:$K,17,FALSE)</f>
        <v>#N/A</v>
      </c>
      <c r="J112" s="82" t="e">
        <f>VLOOKUP(B112,'Ref-Data'!$A:$K,20,FALSE)</f>
        <v>#N/A</v>
      </c>
      <c r="K112" s="82" t="e">
        <f>VLOOKUP(B112,'Ref-Data'!$A:$K,27,FALSE)</f>
        <v>#N/A</v>
      </c>
    </row>
    <row r="113" spans="2:12" x14ac:dyDescent="0.25">
      <c r="B113" s="36" t="s">
        <v>137</v>
      </c>
      <c r="C113" s="37" t="e">
        <f>VLOOKUP($B113,#REF!,MATCH("Annualized 1-Yr. EDF",#REF!,0),FALSE)</f>
        <v>#REF!</v>
      </c>
      <c r="D113" s="37" t="e">
        <f>VLOOKUP($B113,#REF!,MATCH("Annualized 1-Yr. EDF-adj",#REF!,0),FALSE)</f>
        <v>#REF!</v>
      </c>
      <c r="E113" s="84" t="e">
        <f>VLOOKUP($B113,#REF!,MATCH("Current EDF",#REF!,0),FALSE)</f>
        <v>#REF!</v>
      </c>
      <c r="F113" s="37" t="e">
        <f>VLOOKUP($B113,'Ref-Data'!$A:$N,MATCH("LGD %",'Ref-Data'!$A$1:$N$1,0),FALSE)</f>
        <v>#N/A</v>
      </c>
      <c r="G113" s="84" t="e">
        <f>VLOOKUP($B113,'Ref-Data'!$A:$N,MATCH("LGD-moodys",'Ref-Data'!$A$1:$N$1,0),FALSE)</f>
        <v>#N/A</v>
      </c>
      <c r="H113" s="84" t="e">
        <f>VLOOKUP($B113,'Ref-Data'!$A:$N,MATCH("LGD_2",'Ref-Data'!$A$1:$N$1,0),FALSE)</f>
        <v>#N/A</v>
      </c>
      <c r="I113" s="80" t="e">
        <f>VLOOKUP(B113,'Ref-Data'!$A:$K,17,FALSE)</f>
        <v>#N/A</v>
      </c>
      <c r="J113" s="80" t="e">
        <f>VLOOKUP(B113,'Ref-Data'!$A:$K,20,FALSE)</f>
        <v>#N/A</v>
      </c>
      <c r="K113" s="83" t="e">
        <f>VLOOKUP(B113,'Ref-Data'!$A:$K,27,FALSE)</f>
        <v>#N/A</v>
      </c>
    </row>
    <row r="115" spans="2:12" x14ac:dyDescent="0.25">
      <c r="B115" t="s">
        <v>516</v>
      </c>
    </row>
    <row r="116" spans="2:12" x14ac:dyDescent="0.25">
      <c r="B116" t="s">
        <v>517</v>
      </c>
    </row>
    <row r="117" spans="2:12" x14ac:dyDescent="0.25">
      <c r="B117" t="s">
        <v>518</v>
      </c>
    </row>
    <row r="118" spans="2:12" x14ac:dyDescent="0.25">
      <c r="B118" t="s">
        <v>520</v>
      </c>
    </row>
    <row r="119" spans="2:12" x14ac:dyDescent="0.25">
      <c r="B119" t="s">
        <v>519</v>
      </c>
      <c r="C119" s="20"/>
      <c r="D119" s="4"/>
    </row>
    <row r="121" spans="2:12" x14ac:dyDescent="0.25">
      <c r="B121" s="13" t="s">
        <v>232</v>
      </c>
    </row>
    <row r="122" spans="2:12" x14ac:dyDescent="0.25">
      <c r="B122" s="13"/>
    </row>
    <row r="123" spans="2:12" x14ac:dyDescent="0.25">
      <c r="B123" s="13"/>
      <c r="C123" s="591" t="s">
        <v>462</v>
      </c>
      <c r="D123" s="591"/>
      <c r="E123" s="591"/>
      <c r="F123" s="591" t="s">
        <v>357</v>
      </c>
      <c r="G123" s="591"/>
      <c r="H123" s="591"/>
      <c r="I123" s="591" t="s">
        <v>367</v>
      </c>
      <c r="J123" s="591"/>
      <c r="K123" s="591"/>
    </row>
    <row r="124" spans="2:12" ht="26.25" x14ac:dyDescent="0.25">
      <c r="B124" s="75" t="s">
        <v>158</v>
      </c>
      <c r="C124" s="75" t="s">
        <v>159</v>
      </c>
      <c r="D124" s="75" t="s">
        <v>378</v>
      </c>
      <c r="E124" s="75" t="s">
        <v>160</v>
      </c>
      <c r="F124" s="6" t="s">
        <v>478</v>
      </c>
      <c r="G124" s="104" t="s">
        <v>481</v>
      </c>
      <c r="H124" s="104" t="s">
        <v>482</v>
      </c>
      <c r="I124" s="75" t="s">
        <v>372</v>
      </c>
      <c r="J124" s="75" t="s">
        <v>373</v>
      </c>
      <c r="K124" s="75" t="s">
        <v>374</v>
      </c>
      <c r="L124" s="13"/>
    </row>
    <row r="125" spans="2:12" ht="26.25" customHeight="1" x14ac:dyDescent="0.25">
      <c r="B125" s="39" t="s">
        <v>176</v>
      </c>
      <c r="C125" s="33" t="e">
        <f>VLOOKUP($B125,#REF!,MATCH("Annualized 1-Yr. EDF",#REF!,0),FALSE)</f>
        <v>#REF!</v>
      </c>
      <c r="D125" s="33" t="e">
        <f>VLOOKUP($B125,#REF!,MATCH("Annualized 1-Yr. EDF-adj",#REF!,0),FALSE)</f>
        <v>#REF!</v>
      </c>
      <c r="E125" s="33" t="e">
        <f>VLOOKUP($B125,#REF!,MATCH("Current EDF",#REF!,0),FALSE)</f>
        <v>#REF!</v>
      </c>
      <c r="F125" s="33" t="e">
        <f>VLOOKUP($B125,'Ref-Data'!$A:$N,MATCH("LGD %",'Ref-Data'!$A$1:$N$1,0),FALSE)</f>
        <v>#N/A</v>
      </c>
      <c r="G125" s="33" t="e">
        <f>VLOOKUP($B125,'Ref-Data'!$A:$N,MATCH("LGD-moodys",'Ref-Data'!$A$1:$N$1,0),FALSE)</f>
        <v>#N/A</v>
      </c>
      <c r="H125" s="33" t="e">
        <f>VLOOKUP($B125,'Ref-Data'!$A:$N,MATCH("LGD_2",'Ref-Data'!$A$1:$N$1,0),FALSE)</f>
        <v>#N/A</v>
      </c>
      <c r="I125" s="78" t="e">
        <f>VLOOKUP(B125,'Ref-Data'!$A:$K,17,FALSE)</f>
        <v>#N/A</v>
      </c>
      <c r="J125" s="79" t="e">
        <f>VLOOKUP(B125,'Ref-Data'!$A:$K,20,FALSE)</f>
        <v>#N/A</v>
      </c>
      <c r="K125" s="79" t="e">
        <f>VLOOKUP(B125,'Ref-Data'!$A:$K,27,FALSE)</f>
        <v>#N/A</v>
      </c>
    </row>
    <row r="126" spans="2:12" x14ac:dyDescent="0.25">
      <c r="B126" s="34" t="s">
        <v>222</v>
      </c>
      <c r="C126" s="33" t="e">
        <f>VLOOKUP($B126,#REF!,MATCH("Annualized 1-Yr. EDF",#REF!,0),FALSE)</f>
        <v>#REF!</v>
      </c>
      <c r="D126" s="33" t="e">
        <f>VLOOKUP($B126,#REF!,MATCH("Annualized 1-Yr. EDF-adj",#REF!,0),FALSE)</f>
        <v>#REF!</v>
      </c>
      <c r="E126" s="33" t="e">
        <f>VLOOKUP($B126,#REF!,MATCH("Current EDF",#REF!,0),FALSE)</f>
        <v>#REF!</v>
      </c>
      <c r="F126" s="33" t="e">
        <f>VLOOKUP($B126,'Ref-Data'!$A:$N,MATCH("LGD %",'Ref-Data'!$A$1:$N$1,0),FALSE)</f>
        <v>#N/A</v>
      </c>
      <c r="G126" s="33" t="e">
        <f>VLOOKUP($B126,'Ref-Data'!$A:$N,MATCH("LGD-moodys",'Ref-Data'!$A$1:$N$1,0),FALSE)</f>
        <v>#N/A</v>
      </c>
      <c r="H126" s="33" t="e">
        <f>VLOOKUP($B126,'Ref-Data'!$A:$N,MATCH("LGD_2",'Ref-Data'!$A$1:$N$1,0),FALSE)</f>
        <v>#N/A</v>
      </c>
      <c r="I126" s="82" t="e">
        <f>VLOOKUP(B126,'Ref-Data'!$A:$K,17,FALSE)</f>
        <v>#N/A</v>
      </c>
      <c r="J126" s="82" t="e">
        <f>VLOOKUP(B126,'Ref-Data'!$A:$K,20,FALSE)</f>
        <v>#N/A</v>
      </c>
      <c r="K126" s="82" t="e">
        <f>VLOOKUP(B126,'Ref-Data'!$A:$K,27,FALSE)</f>
        <v>#N/A</v>
      </c>
    </row>
    <row r="127" spans="2:12" x14ac:dyDescent="0.25">
      <c r="B127" s="36" t="s">
        <v>224</v>
      </c>
      <c r="C127" s="37" t="e">
        <f>VLOOKUP($B127,#REF!,MATCH("Annualized 1-Yr. EDF",#REF!,0),FALSE)</f>
        <v>#REF!</v>
      </c>
      <c r="D127" s="37" t="e">
        <f>VLOOKUP($B127,#REF!,MATCH("Annualized 1-Yr. EDF-adj",#REF!,0),FALSE)</f>
        <v>#REF!</v>
      </c>
      <c r="E127" s="84" t="e">
        <f>VLOOKUP($B127,#REF!,MATCH("Current EDF",#REF!,0),FALSE)</f>
        <v>#REF!</v>
      </c>
      <c r="F127" s="37" t="e">
        <f>VLOOKUP($B127,'Ref-Data'!$A:$N,MATCH("LGD %",'Ref-Data'!$A$1:$N$1,0),FALSE)</f>
        <v>#N/A</v>
      </c>
      <c r="G127" s="84" t="e">
        <f>VLOOKUP($B127,'Ref-Data'!$A:$N,MATCH("LGD-moodys",'Ref-Data'!$A$1:$N$1,0),FALSE)</f>
        <v>#N/A</v>
      </c>
      <c r="H127" s="84" t="e">
        <f>VLOOKUP($B127,'Ref-Data'!$A:$N,MATCH("LGD_2",'Ref-Data'!$A$1:$N$1,0),FALSE)</f>
        <v>#N/A</v>
      </c>
      <c r="I127" s="80" t="e">
        <f>VLOOKUP(B127,'Ref-Data'!$A:$K,17,FALSE)</f>
        <v>#N/A</v>
      </c>
      <c r="J127" s="80" t="e">
        <f>VLOOKUP(B127,'Ref-Data'!$A:$K,20,FALSE)</f>
        <v>#N/A</v>
      </c>
      <c r="K127" s="83" t="e">
        <f>VLOOKUP(B127,'Ref-Data'!$A:$K,27,FALSE)</f>
        <v>#N/A</v>
      </c>
    </row>
    <row r="128" spans="2:12" x14ac:dyDescent="0.25">
      <c r="B128" s="43"/>
      <c r="C128" s="44"/>
      <c r="E128" s="44"/>
      <c r="J128" s="42"/>
    </row>
    <row r="129" spans="2:11" x14ac:dyDescent="0.25">
      <c r="B129" s="42" t="s">
        <v>521</v>
      </c>
      <c r="C129" s="44"/>
      <c r="E129" s="44"/>
      <c r="J129" s="42"/>
    </row>
    <row r="130" spans="2:11" x14ac:dyDescent="0.25">
      <c r="B130" t="s">
        <v>522</v>
      </c>
      <c r="C130" s="44"/>
      <c r="E130" s="44"/>
      <c r="J130" s="42"/>
    </row>
    <row r="131" spans="2:11" x14ac:dyDescent="0.25">
      <c r="B131" s="42" t="s">
        <v>523</v>
      </c>
      <c r="C131" s="44"/>
      <c r="E131" s="44"/>
      <c r="J131" s="42"/>
    </row>
    <row r="132" spans="2:11" x14ac:dyDescent="0.25">
      <c r="J132" s="42"/>
    </row>
    <row r="133" spans="2:11" x14ac:dyDescent="0.25">
      <c r="B133" s="13" t="s">
        <v>155</v>
      </c>
      <c r="J133" s="42"/>
    </row>
    <row r="134" spans="2:11" x14ac:dyDescent="0.25">
      <c r="J134" s="42"/>
    </row>
    <row r="135" spans="2:11" x14ac:dyDescent="0.25">
      <c r="C135" s="591" t="s">
        <v>462</v>
      </c>
      <c r="D135" s="591"/>
      <c r="E135" s="591"/>
      <c r="F135" s="591" t="s">
        <v>357</v>
      </c>
      <c r="G135" s="591"/>
      <c r="H135" s="591"/>
      <c r="I135" s="591" t="s">
        <v>367</v>
      </c>
      <c r="J135" s="591"/>
      <c r="K135" s="591"/>
    </row>
    <row r="136" spans="2:11" ht="40.5" customHeight="1" x14ac:dyDescent="0.25">
      <c r="B136" s="75" t="s">
        <v>158</v>
      </c>
      <c r="C136" s="75" t="s">
        <v>159</v>
      </c>
      <c r="D136" s="75" t="s">
        <v>378</v>
      </c>
      <c r="E136" s="75" t="s">
        <v>160</v>
      </c>
      <c r="F136" s="6" t="s">
        <v>478</v>
      </c>
      <c r="G136" s="104" t="s">
        <v>481</v>
      </c>
      <c r="H136" s="104" t="s">
        <v>482</v>
      </c>
      <c r="I136" s="75" t="s">
        <v>372</v>
      </c>
      <c r="J136" s="75" t="s">
        <v>373</v>
      </c>
      <c r="K136" s="75" t="s">
        <v>374</v>
      </c>
    </row>
    <row r="137" spans="2:11" x14ac:dyDescent="0.25">
      <c r="B137" s="34" t="s">
        <v>116</v>
      </c>
      <c r="C137" s="33" t="e">
        <f>VLOOKUP($B137,#REF!,MATCH("Annualized 1-Yr. EDF",#REF!,0),FALSE)</f>
        <v>#REF!</v>
      </c>
      <c r="D137" s="33" t="e">
        <f>VLOOKUP($B137,#REF!,MATCH("Annualized 1-Yr. EDF-adj",#REF!,0),FALSE)</f>
        <v>#REF!</v>
      </c>
      <c r="E137" s="33" t="e">
        <f>VLOOKUP($B137,#REF!,MATCH("Current EDF",#REF!,0),FALSE)</f>
        <v>#REF!</v>
      </c>
      <c r="F137" s="33" t="e">
        <f>VLOOKUP($B137,'Ref-Data'!$A:$N,MATCH("LGD %",'Ref-Data'!$A$1:$N$1,0),FALSE)</f>
        <v>#N/A</v>
      </c>
      <c r="G137" s="33" t="e">
        <f>VLOOKUP($B137,'Ref-Data'!$A:$N,MATCH("LGD-moodys",'Ref-Data'!$A$1:$N$1,0),FALSE)</f>
        <v>#N/A</v>
      </c>
      <c r="H137" s="33" t="e">
        <f>VLOOKUP($B137,'Ref-Data'!$A:$N,MATCH("LGD_2",'Ref-Data'!$A$1:$N$1,0),FALSE)</f>
        <v>#N/A</v>
      </c>
      <c r="I137" s="78" t="e">
        <f>VLOOKUP(B137,'Ref-Data'!$A:$K,17,FALSE)</f>
        <v>#N/A</v>
      </c>
      <c r="J137" s="79" t="e">
        <f>VLOOKUP(B137,'Ref-Data'!$A:$K,20,FALSE)</f>
        <v>#N/A</v>
      </c>
      <c r="K137" s="79" t="e">
        <f>VLOOKUP(B137,'Ref-Data'!$A:$K,27,FALSE)</f>
        <v>#N/A</v>
      </c>
    </row>
    <row r="138" spans="2:11" x14ac:dyDescent="0.25">
      <c r="B138" s="34" t="s">
        <v>117</v>
      </c>
      <c r="C138" s="33" t="e">
        <f>VLOOKUP($B138,#REF!,MATCH("Annualized 1-Yr. EDF",#REF!,0),FALSE)</f>
        <v>#REF!</v>
      </c>
      <c r="D138" s="33" t="e">
        <f>VLOOKUP($B138,#REF!,MATCH("Annualized 1-Yr. EDF-adj",#REF!,0),FALSE)</f>
        <v>#REF!</v>
      </c>
      <c r="E138" s="33" t="e">
        <f>VLOOKUP($B138,#REF!,MATCH("Current EDF",#REF!,0),FALSE)</f>
        <v>#REF!</v>
      </c>
      <c r="F138" s="33" t="e">
        <f>VLOOKUP($B138,'Ref-Data'!$A:$N,MATCH("LGD %",'Ref-Data'!$A$1:$N$1,0),FALSE)</f>
        <v>#N/A</v>
      </c>
      <c r="G138" s="33" t="e">
        <f>VLOOKUP($B138,'Ref-Data'!$A:$N,MATCH("LGD-moodys",'Ref-Data'!$A$1:$N$1,0),FALSE)</f>
        <v>#N/A</v>
      </c>
      <c r="H138" s="33" t="e">
        <f>VLOOKUP($B138,'Ref-Data'!$A:$N,MATCH("LGD_2",'Ref-Data'!$A$1:$N$1,0),FALSE)</f>
        <v>#N/A</v>
      </c>
      <c r="I138" s="82" t="e">
        <f>VLOOKUP(B138,'Ref-Data'!$A:$K,17,FALSE)</f>
        <v>#N/A</v>
      </c>
      <c r="J138" s="82" t="e">
        <f>VLOOKUP(B138,'Ref-Data'!$A:$K,20,FALSE)</f>
        <v>#N/A</v>
      </c>
      <c r="K138" s="82" t="e">
        <f>VLOOKUP(B138,'Ref-Data'!$A:$K,27,FALSE)</f>
        <v>#N/A</v>
      </c>
    </row>
    <row r="139" spans="2:11" x14ac:dyDescent="0.25">
      <c r="B139" s="34" t="s">
        <v>121</v>
      </c>
      <c r="C139" s="33" t="e">
        <f>VLOOKUP($B139,#REF!,MATCH("Annualized 1-Yr. EDF",#REF!,0),FALSE)</f>
        <v>#REF!</v>
      </c>
      <c r="D139" s="33" t="e">
        <f>VLOOKUP($B139,#REF!,MATCH("Annualized 1-Yr. EDF-adj",#REF!,0),FALSE)</f>
        <v>#REF!</v>
      </c>
      <c r="E139" s="33" t="e">
        <f>VLOOKUP($B139,#REF!,MATCH("Current EDF",#REF!,0),FALSE)</f>
        <v>#REF!</v>
      </c>
      <c r="F139" s="33" t="e">
        <f>VLOOKUP($B139,'Ref-Data'!$A:$N,MATCH("LGD %",'Ref-Data'!$A$1:$N$1,0),FALSE)</f>
        <v>#N/A</v>
      </c>
      <c r="G139" s="33" t="e">
        <f>VLOOKUP($B139,'Ref-Data'!$A:$N,MATCH("LGD-moodys",'Ref-Data'!$A$1:$N$1,0),FALSE)</f>
        <v>#N/A</v>
      </c>
      <c r="H139" s="33" t="e">
        <f>VLOOKUP($B139,'Ref-Data'!$A:$N,MATCH("LGD_2",'Ref-Data'!$A$1:$N$1,0),FALSE)</f>
        <v>#N/A</v>
      </c>
      <c r="I139" s="82" t="e">
        <f>VLOOKUP(B139,'Ref-Data'!$A:$K,17,FALSE)</f>
        <v>#N/A</v>
      </c>
      <c r="J139" s="82" t="e">
        <f>VLOOKUP(B139,'Ref-Data'!$A:$K,20,FALSE)</f>
        <v>#N/A</v>
      </c>
      <c r="K139" s="82" t="e">
        <f>VLOOKUP(B139,'Ref-Data'!$A:$K,27,FALSE)</f>
        <v>#N/A</v>
      </c>
    </row>
    <row r="140" spans="2:11" x14ac:dyDescent="0.25">
      <c r="B140" s="34" t="s">
        <v>129</v>
      </c>
      <c r="C140" s="33" t="e">
        <f>VLOOKUP($B140,#REF!,MATCH("Annualized 1-Yr. EDF",#REF!,0),FALSE)</f>
        <v>#REF!</v>
      </c>
      <c r="D140" s="33" t="e">
        <f>VLOOKUP($B140,#REF!,MATCH("Annualized 1-Yr. EDF-adj",#REF!,0),FALSE)</f>
        <v>#REF!</v>
      </c>
      <c r="E140" s="33" t="e">
        <f>VLOOKUP($B140,#REF!,MATCH("Current EDF",#REF!,0),FALSE)</f>
        <v>#REF!</v>
      </c>
      <c r="F140" s="33" t="e">
        <f>VLOOKUP($B140,'Ref-Data'!$A:$N,MATCH("LGD %",'Ref-Data'!$A$1:$N$1,0),FALSE)</f>
        <v>#N/A</v>
      </c>
      <c r="G140" s="33" t="e">
        <f>VLOOKUP($B140,'Ref-Data'!$A:$N,MATCH("LGD-moodys",'Ref-Data'!$A$1:$N$1,0),FALSE)</f>
        <v>#N/A</v>
      </c>
      <c r="H140" s="33" t="e">
        <f>VLOOKUP($B140,'Ref-Data'!$A:$N,MATCH("LGD_2",'Ref-Data'!$A$1:$N$1,0),FALSE)</f>
        <v>#N/A</v>
      </c>
      <c r="I140" s="82" t="e">
        <f>VLOOKUP(B140,'Ref-Data'!$A:$K,17,FALSE)</f>
        <v>#N/A</v>
      </c>
      <c r="J140" s="82" t="e">
        <f>VLOOKUP(B140,'Ref-Data'!$A:$K,20,FALSE)</f>
        <v>#N/A</v>
      </c>
      <c r="K140" s="82" t="e">
        <f>VLOOKUP(B140,'Ref-Data'!$A:$K,27,FALSE)</f>
        <v>#N/A</v>
      </c>
    </row>
    <row r="141" spans="2:11" x14ac:dyDescent="0.25">
      <c r="B141" s="36" t="s">
        <v>168</v>
      </c>
      <c r="C141" s="37" t="e">
        <f>VLOOKUP($B141,#REF!,MATCH("Annualized 1-Yr. EDF",#REF!,0),FALSE)</f>
        <v>#REF!</v>
      </c>
      <c r="D141" s="37" t="e">
        <f>VLOOKUP($B141,#REF!,MATCH("Annualized 1-Yr. EDF-adj",#REF!,0),FALSE)</f>
        <v>#REF!</v>
      </c>
      <c r="E141" s="84" t="e">
        <f>VLOOKUP($B141,#REF!,MATCH("Current EDF",#REF!,0),FALSE)</f>
        <v>#REF!</v>
      </c>
      <c r="F141" s="37" t="e">
        <f>VLOOKUP($B141,'Ref-Data'!$A:$N,MATCH("LGD %",'Ref-Data'!$A$1:$N$1,0),FALSE)</f>
        <v>#N/A</v>
      </c>
      <c r="G141" s="84" t="e">
        <f>VLOOKUP($B141,'Ref-Data'!$A:$N,MATCH("LGD-moodys",'Ref-Data'!$A$1:$N$1,0),FALSE)</f>
        <v>#N/A</v>
      </c>
      <c r="H141" s="84" t="e">
        <f>VLOOKUP($B141,'Ref-Data'!$A:$N,MATCH("LGD_2",'Ref-Data'!$A$1:$N$1,0),FALSE)</f>
        <v>#N/A</v>
      </c>
      <c r="I141" s="80" t="e">
        <f>VLOOKUP(B141,'Ref-Data'!$A:$K,17,FALSE)</f>
        <v>#N/A</v>
      </c>
      <c r="J141" s="80" t="e">
        <f>VLOOKUP(B141,'Ref-Data'!$A:$K,20,FALSE)</f>
        <v>#N/A</v>
      </c>
      <c r="K141" s="83" t="e">
        <f>VLOOKUP(B141,'Ref-Data'!$A:$K,27,FALSE)</f>
        <v>#N/A</v>
      </c>
    </row>
    <row r="142" spans="2:11" x14ac:dyDescent="0.25">
      <c r="B142" s="43"/>
      <c r="C142" s="44"/>
      <c r="D142" s="44"/>
    </row>
    <row r="144" spans="2:11" x14ac:dyDescent="0.25">
      <c r="B144" s="3" t="s">
        <v>479</v>
      </c>
      <c r="E144" s="591" t="s">
        <v>462</v>
      </c>
      <c r="F144" s="591"/>
      <c r="G144" s="591"/>
      <c r="H144" s="591" t="s">
        <v>357</v>
      </c>
      <c r="I144" s="591"/>
      <c r="J144" s="591"/>
    </row>
    <row r="145" spans="2:10" ht="26.25" x14ac:dyDescent="0.25">
      <c r="B145" s="104" t="s">
        <v>380</v>
      </c>
      <c r="C145" s="104" t="s">
        <v>379</v>
      </c>
      <c r="D145" s="104" t="s">
        <v>150</v>
      </c>
      <c r="E145" s="104" t="s">
        <v>159</v>
      </c>
      <c r="F145" s="104" t="s">
        <v>162</v>
      </c>
      <c r="G145" s="104" t="s">
        <v>160</v>
      </c>
      <c r="H145" s="6" t="s">
        <v>478</v>
      </c>
      <c r="I145" s="104" t="s">
        <v>481</v>
      </c>
      <c r="J145" s="104" t="s">
        <v>482</v>
      </c>
    </row>
    <row r="146" spans="2:10" x14ac:dyDescent="0.25">
      <c r="B146" s="128" t="s">
        <v>253</v>
      </c>
      <c r="C146" s="129">
        <v>56302</v>
      </c>
      <c r="D146" s="129" t="e">
        <f>COUNTIF(#REF!,$C146)</f>
        <v>#REF!</v>
      </c>
      <c r="E146" s="130" t="e">
        <f>AVERAGEIF(#REF!,$C146,#REF!)</f>
        <v>#REF!</v>
      </c>
      <c r="F146" s="130" t="e">
        <f>AVERAGEIF(#REF!,$C146,#REF!)</f>
        <v>#REF!</v>
      </c>
      <c r="G146" s="130" t="e">
        <f>AVERAGEIF(#REF!,$C146,#REF!)</f>
        <v>#REF!</v>
      </c>
      <c r="H146" s="33" t="e">
        <f>AVERAGEIF('Ref-Data'!#REF!,$B146,'Ref-Data'!#REF!)</f>
        <v>#REF!</v>
      </c>
      <c r="I146" s="33" t="e">
        <f>AVERAGEIF('Ref-Data'!#REF!,$B146,'Ref-Data'!$N:$N)</f>
        <v>#REF!</v>
      </c>
      <c r="J146" s="107" t="e">
        <f>AVERAGEIF('Ref-Data'!#REF!,$B146,'Ref-Data'!#REF!)</f>
        <v>#REF!</v>
      </c>
    </row>
    <row r="147" spans="2:10" x14ac:dyDescent="0.25">
      <c r="B147" s="91" t="s">
        <v>269</v>
      </c>
      <c r="C147" s="90">
        <v>55100</v>
      </c>
      <c r="D147" s="90" t="e">
        <f>COUNTIF(#REF!,$C147)</f>
        <v>#REF!</v>
      </c>
      <c r="E147" s="33" t="e">
        <f>AVERAGEIF(#REF!,$C147,#REF!)</f>
        <v>#REF!</v>
      </c>
      <c r="F147" s="33" t="e">
        <f>AVERAGEIF(#REF!,$C147,#REF!)</f>
        <v>#REF!</v>
      </c>
      <c r="G147" s="33" t="e">
        <f>AVERAGEIF(#REF!,$C147,#REF!)</f>
        <v>#REF!</v>
      </c>
      <c r="H147" s="33" t="e">
        <f>AVERAGEIF('Ref-Data'!#REF!,$B147,'Ref-Data'!#REF!)</f>
        <v>#REF!</v>
      </c>
      <c r="I147" s="33" t="e">
        <f>AVERAGEIF('Ref-Data'!#REF!,$B147,'Ref-Data'!$N:$N)</f>
        <v>#REF!</v>
      </c>
      <c r="J147" s="35" t="e">
        <f>AVERAGEIF('Ref-Data'!#REF!,$B147,'Ref-Data'!#REF!)</f>
        <v>#REF!</v>
      </c>
    </row>
    <row r="148" spans="2:10" x14ac:dyDescent="0.25">
      <c r="B148" s="91" t="s">
        <v>285</v>
      </c>
      <c r="C148" s="90">
        <v>85100</v>
      </c>
      <c r="D148" s="90" t="e">
        <f>COUNTIF(#REF!,$C148)</f>
        <v>#REF!</v>
      </c>
      <c r="E148" s="33" t="e">
        <f>AVERAGEIF(#REF!,$C148,#REF!)</f>
        <v>#REF!</v>
      </c>
      <c r="F148" s="33" t="e">
        <f>AVERAGEIF(#REF!,$C148,#REF!)</f>
        <v>#REF!</v>
      </c>
      <c r="G148" s="33" t="e">
        <f>AVERAGEIF(#REF!,$C148,#REF!)</f>
        <v>#REF!</v>
      </c>
      <c r="H148" s="33" t="e">
        <f>AVERAGEIF('Ref-Data'!#REF!,$B148,'Ref-Data'!#REF!)</f>
        <v>#REF!</v>
      </c>
      <c r="I148" s="33" t="e">
        <f>AVERAGEIF('Ref-Data'!#REF!,$B148,'Ref-Data'!$N:$N)</f>
        <v>#REF!</v>
      </c>
      <c r="J148" s="35" t="e">
        <f>AVERAGEIF('Ref-Data'!#REF!,$B148,'Ref-Data'!#REF!)</f>
        <v>#REF!</v>
      </c>
    </row>
    <row r="149" spans="2:10" x14ac:dyDescent="0.25">
      <c r="B149" s="91" t="s">
        <v>296</v>
      </c>
      <c r="C149" s="90">
        <v>27400</v>
      </c>
      <c r="D149" s="90" t="e">
        <f>COUNTIF(#REF!,$C149)</f>
        <v>#REF!</v>
      </c>
      <c r="E149" s="33" t="e">
        <f>AVERAGEIF(#REF!,$C149,#REF!)</f>
        <v>#REF!</v>
      </c>
      <c r="F149" s="33" t="e">
        <f>AVERAGEIF(#REF!,$C149,#REF!)</f>
        <v>#REF!</v>
      </c>
      <c r="G149" s="33" t="e">
        <f>AVERAGEIF(#REF!,$C149,#REF!)</f>
        <v>#REF!</v>
      </c>
      <c r="H149" s="33" t="e">
        <f>AVERAGEIF('Ref-Data'!#REF!,$B149,'Ref-Data'!#REF!)</f>
        <v>#REF!</v>
      </c>
      <c r="I149" s="33" t="e">
        <f>AVERAGEIF('Ref-Data'!#REF!,$B149,'Ref-Data'!$N:$N)</f>
        <v>#REF!</v>
      </c>
      <c r="J149" s="35" t="e">
        <f>AVERAGEIF('Ref-Data'!#REF!,$B149,'Ref-Data'!#REF!)</f>
        <v>#REF!</v>
      </c>
    </row>
    <row r="150" spans="2:10" x14ac:dyDescent="0.25">
      <c r="B150" s="91" t="s">
        <v>257</v>
      </c>
      <c r="C150" s="90">
        <v>56101</v>
      </c>
      <c r="D150" s="90" t="e">
        <f>COUNTIF(#REF!,$C150)</f>
        <v>#REF!</v>
      </c>
      <c r="E150" s="33" t="e">
        <f>AVERAGEIF(#REF!,$C150,#REF!)</f>
        <v>#REF!</v>
      </c>
      <c r="F150" s="33" t="e">
        <f>AVERAGEIF(#REF!,$C150,#REF!)</f>
        <v>#REF!</v>
      </c>
      <c r="G150" s="33" t="e">
        <f>AVERAGEIF(#REF!,$C150,#REF!)</f>
        <v>#REF!</v>
      </c>
      <c r="H150" s="33" t="e">
        <f>AVERAGEIF('Ref-Data'!#REF!,$B150,'Ref-Data'!#REF!)</f>
        <v>#REF!</v>
      </c>
      <c r="I150" s="33" t="e">
        <f>AVERAGEIF('Ref-Data'!#REF!,$B150,'Ref-Data'!$N:$N)</f>
        <v>#REF!</v>
      </c>
      <c r="J150" s="35" t="e">
        <f>AVERAGEIF('Ref-Data'!#REF!,$B150,'Ref-Data'!#REF!)</f>
        <v>#REF!</v>
      </c>
    </row>
    <row r="151" spans="2:10" x14ac:dyDescent="0.25">
      <c r="B151" s="91" t="s">
        <v>290</v>
      </c>
      <c r="C151" s="90">
        <v>78109</v>
      </c>
      <c r="D151" s="90" t="e">
        <f>COUNTIF(#REF!,$C151)</f>
        <v>#REF!</v>
      </c>
      <c r="E151" s="33" t="e">
        <f>AVERAGEIF(#REF!,$C151,#REF!)</f>
        <v>#REF!</v>
      </c>
      <c r="F151" s="33" t="e">
        <f>AVERAGEIF(#REF!,$C151,#REF!)</f>
        <v>#REF!</v>
      </c>
      <c r="G151" s="33" t="e">
        <f>AVERAGEIF(#REF!,$C151,#REF!)</f>
        <v>#REF!</v>
      </c>
      <c r="H151" s="33" t="e">
        <f>AVERAGEIF('Ref-Data'!#REF!,$B151,'Ref-Data'!#REF!)</f>
        <v>#REF!</v>
      </c>
      <c r="I151" s="33" t="e">
        <f>AVERAGEIF('Ref-Data'!#REF!,$B151,'Ref-Data'!$N:$N)</f>
        <v>#REF!</v>
      </c>
      <c r="J151" s="35" t="e">
        <f>AVERAGEIF('Ref-Data'!#REF!,$B151,'Ref-Data'!#REF!)</f>
        <v>#REF!</v>
      </c>
    </row>
    <row r="152" spans="2:10" x14ac:dyDescent="0.25">
      <c r="B152" s="91" t="s">
        <v>318</v>
      </c>
      <c r="C152" s="90">
        <v>47789</v>
      </c>
      <c r="D152" s="90" t="e">
        <f>COUNTIF(#REF!,$C152)</f>
        <v>#REF!</v>
      </c>
      <c r="E152" s="33" t="e">
        <f>AVERAGEIF(#REF!,$C152,#REF!)</f>
        <v>#REF!</v>
      </c>
      <c r="F152" s="33" t="e">
        <f>AVERAGEIF(#REF!,$C152,#REF!)</f>
        <v>#REF!</v>
      </c>
      <c r="G152" s="33" t="e">
        <f>AVERAGEIF(#REF!,$C152,#REF!)</f>
        <v>#REF!</v>
      </c>
      <c r="H152" s="33" t="e">
        <f>AVERAGEIF('Ref-Data'!#REF!,$B152,'Ref-Data'!#REF!)</f>
        <v>#REF!</v>
      </c>
      <c r="I152" s="33" t="e">
        <f>AVERAGEIF('Ref-Data'!#REF!,$B152,'Ref-Data'!$N:$N)</f>
        <v>#REF!</v>
      </c>
      <c r="J152" s="35" t="e">
        <f>AVERAGEIF('Ref-Data'!#REF!,$B152,'Ref-Data'!#REF!)</f>
        <v>#REF!</v>
      </c>
    </row>
    <row r="153" spans="2:10" x14ac:dyDescent="0.25">
      <c r="B153" s="91" t="s">
        <v>316</v>
      </c>
      <c r="C153" s="90">
        <v>38220</v>
      </c>
      <c r="D153" s="90" t="e">
        <f>COUNTIF(#REF!,$C153)</f>
        <v>#REF!</v>
      </c>
      <c r="E153" s="33" t="e">
        <f>AVERAGEIF(#REF!,$C153,#REF!)</f>
        <v>#REF!</v>
      </c>
      <c r="F153" s="33" t="e">
        <f>AVERAGEIF(#REF!,$C153,#REF!)</f>
        <v>#REF!</v>
      </c>
      <c r="G153" s="33" t="e">
        <f>AVERAGEIF(#REF!,$C153,#REF!)</f>
        <v>#REF!</v>
      </c>
      <c r="H153" s="33" t="e">
        <f>AVERAGEIF('Ref-Data'!#REF!,$B153,'Ref-Data'!#REF!)</f>
        <v>#REF!</v>
      </c>
      <c r="I153" s="33" t="e">
        <f>AVERAGEIF('Ref-Data'!#REF!,$B153,'Ref-Data'!$N:$N)</f>
        <v>#REF!</v>
      </c>
      <c r="J153" s="35" t="e">
        <f>AVERAGEIF('Ref-Data'!#REF!,$B153,'Ref-Data'!#REF!)</f>
        <v>#REF!</v>
      </c>
    </row>
    <row r="154" spans="2:10" x14ac:dyDescent="0.25">
      <c r="B154" s="91" t="s">
        <v>311</v>
      </c>
      <c r="C154" s="90">
        <v>87300</v>
      </c>
      <c r="D154" s="90" t="e">
        <f>COUNTIF(#REF!,$C154)</f>
        <v>#REF!</v>
      </c>
      <c r="E154" s="33" t="e">
        <f>AVERAGEIF(#REF!,$C154,#REF!)</f>
        <v>#REF!</v>
      </c>
      <c r="F154" s="33" t="e">
        <f>AVERAGEIF(#REF!,$C154,#REF!)</f>
        <v>#REF!</v>
      </c>
      <c r="G154" s="33" t="e">
        <f>AVERAGEIF(#REF!,$C154,#REF!)</f>
        <v>#REF!</v>
      </c>
      <c r="H154" s="33" t="e">
        <f>AVERAGEIF('Ref-Data'!#REF!,$B154,'Ref-Data'!#REF!)</f>
        <v>#REF!</v>
      </c>
      <c r="I154" s="33" t="e">
        <f>AVERAGEIF('Ref-Data'!#REF!,$B154,'Ref-Data'!$N:$N)</f>
        <v>#REF!</v>
      </c>
      <c r="J154" s="35" t="e">
        <f>AVERAGEIF('Ref-Data'!#REF!,$B154,'Ref-Data'!#REF!)</f>
        <v>#REF!</v>
      </c>
    </row>
    <row r="155" spans="2:10" x14ac:dyDescent="0.25">
      <c r="B155" s="91" t="s">
        <v>307</v>
      </c>
      <c r="C155" s="90">
        <v>88910</v>
      </c>
      <c r="D155" s="90" t="e">
        <f>COUNTIF(#REF!,$C155)</f>
        <v>#REF!</v>
      </c>
      <c r="E155" s="33" t="e">
        <f>AVERAGEIF(#REF!,$C155,#REF!)</f>
        <v>#REF!</v>
      </c>
      <c r="F155" s="33" t="e">
        <f>AVERAGEIF(#REF!,$C155,#REF!)</f>
        <v>#REF!</v>
      </c>
      <c r="G155" s="33" t="e">
        <f>AVERAGEIF(#REF!,$C155,#REF!)</f>
        <v>#REF!</v>
      </c>
      <c r="H155" s="33" t="e">
        <f>AVERAGEIF('Ref-Data'!#REF!,$B155,'Ref-Data'!#REF!)</f>
        <v>#REF!</v>
      </c>
      <c r="I155" s="33" t="e">
        <f>AVERAGEIF('Ref-Data'!#REF!,$B155,'Ref-Data'!$N:$N)</f>
        <v>#REF!</v>
      </c>
      <c r="J155" s="35" t="e">
        <f>AVERAGEIF('Ref-Data'!#REF!,$B155,'Ref-Data'!#REF!)</f>
        <v>#REF!</v>
      </c>
    </row>
    <row r="156" spans="2:10" x14ac:dyDescent="0.25">
      <c r="B156" s="91" t="s">
        <v>264</v>
      </c>
      <c r="C156" s="90">
        <v>28290</v>
      </c>
      <c r="D156" s="90" t="e">
        <f>COUNTIF(#REF!,$C156)</f>
        <v>#REF!</v>
      </c>
      <c r="E156" s="33" t="e">
        <f>AVERAGEIF(#REF!,$C156,#REF!)</f>
        <v>#REF!</v>
      </c>
      <c r="F156" s="33" t="e">
        <f>AVERAGEIF(#REF!,$C156,#REF!)</f>
        <v>#REF!</v>
      </c>
      <c r="G156" s="33" t="e">
        <f>AVERAGEIF(#REF!,$C156,#REF!)</f>
        <v>#REF!</v>
      </c>
      <c r="H156" s="33" t="e">
        <f>AVERAGEIF('Ref-Data'!#REF!,$B156,'Ref-Data'!#REF!)</f>
        <v>#REF!</v>
      </c>
      <c r="I156" s="33" t="e">
        <f>AVERAGEIF('Ref-Data'!#REF!,$B156,'Ref-Data'!$N:$N)</f>
        <v>#REF!</v>
      </c>
      <c r="J156" s="35" t="e">
        <f>AVERAGEIF('Ref-Data'!#REF!,$B156,'Ref-Data'!#REF!)</f>
        <v>#REF!</v>
      </c>
    </row>
    <row r="157" spans="2:10" x14ac:dyDescent="0.25">
      <c r="B157" s="91" t="s">
        <v>259</v>
      </c>
      <c r="C157" s="90">
        <v>70229</v>
      </c>
      <c r="D157" s="90" t="e">
        <f>COUNTIF(#REF!,$C157)</f>
        <v>#REF!</v>
      </c>
      <c r="E157" s="33" t="e">
        <f>AVERAGEIF(#REF!,$C157,#REF!)</f>
        <v>#REF!</v>
      </c>
      <c r="F157" s="33" t="e">
        <f>AVERAGEIF(#REF!,$C157,#REF!)</f>
        <v>#REF!</v>
      </c>
      <c r="G157" s="33" t="e">
        <f>AVERAGEIF(#REF!,$C157,#REF!)</f>
        <v>#REF!</v>
      </c>
      <c r="H157" s="33" t="e">
        <f>AVERAGEIF('Ref-Data'!#REF!,$B157,'Ref-Data'!#REF!)</f>
        <v>#REF!</v>
      </c>
      <c r="I157" s="33" t="e">
        <f>AVERAGEIF('Ref-Data'!#REF!,$B157,'Ref-Data'!$N:$N)</f>
        <v>#REF!</v>
      </c>
      <c r="J157" s="35" t="e">
        <f>AVERAGEIF('Ref-Data'!#REF!,$B157,'Ref-Data'!#REF!)</f>
        <v>#REF!</v>
      </c>
    </row>
    <row r="158" spans="2:10" x14ac:dyDescent="0.25">
      <c r="B158" s="91" t="s">
        <v>338</v>
      </c>
      <c r="C158" s="90">
        <v>43290</v>
      </c>
      <c r="D158" s="90" t="e">
        <f>COUNTIF(#REF!,$C158)</f>
        <v>#REF!</v>
      </c>
      <c r="E158" s="33" t="e">
        <f>AVERAGEIF(#REF!,$C158,#REF!)</f>
        <v>#REF!</v>
      </c>
      <c r="F158" s="33" t="e">
        <f>AVERAGEIF(#REF!,$C158,#REF!)</f>
        <v>#REF!</v>
      </c>
      <c r="G158" s="33" t="e">
        <f>AVERAGEIF(#REF!,$C158,#REF!)</f>
        <v>#REF!</v>
      </c>
      <c r="H158" s="33" t="e">
        <f>AVERAGEIF('Ref-Data'!#REF!,$B158,'Ref-Data'!#REF!)</f>
        <v>#REF!</v>
      </c>
      <c r="I158" s="33" t="e">
        <f>AVERAGEIF('Ref-Data'!#REF!,$B158,'Ref-Data'!$N:$N)</f>
        <v>#REF!</v>
      </c>
      <c r="J158" s="35" t="e">
        <f>AVERAGEIF('Ref-Data'!#REF!,$B158,'Ref-Data'!#REF!)</f>
        <v>#REF!</v>
      </c>
    </row>
    <row r="159" spans="2:10" x14ac:dyDescent="0.25">
      <c r="B159" s="91" t="s">
        <v>320</v>
      </c>
      <c r="C159" s="90">
        <v>62030</v>
      </c>
      <c r="D159" s="90" t="e">
        <f>COUNTIF(#REF!,$C159)</f>
        <v>#REF!</v>
      </c>
      <c r="E159" s="33" t="e">
        <f>AVERAGEIF(#REF!,$C159,#REF!)</f>
        <v>#REF!</v>
      </c>
      <c r="F159" s="33" t="e">
        <f>AVERAGEIF(#REF!,$C159,#REF!)</f>
        <v>#REF!</v>
      </c>
      <c r="G159" s="33" t="e">
        <f>AVERAGEIF(#REF!,$C159,#REF!)</f>
        <v>#REF!</v>
      </c>
      <c r="H159" s="33" t="e">
        <f>AVERAGEIF('Ref-Data'!#REF!,$B159,'Ref-Data'!#REF!)</f>
        <v>#REF!</v>
      </c>
      <c r="I159" s="33" t="e">
        <f>AVERAGEIF('Ref-Data'!#REF!,$B159,'Ref-Data'!$N:$N)</f>
        <v>#REF!</v>
      </c>
      <c r="J159" s="35" t="e">
        <f>AVERAGEIF('Ref-Data'!#REF!,$B159,'Ref-Data'!#REF!)</f>
        <v>#REF!</v>
      </c>
    </row>
    <row r="160" spans="2:10" x14ac:dyDescent="0.25">
      <c r="B160" s="91" t="s">
        <v>298</v>
      </c>
      <c r="C160" s="90">
        <v>47910</v>
      </c>
      <c r="D160" s="90" t="e">
        <f>COUNTIF(#REF!,$C160)</f>
        <v>#REF!</v>
      </c>
      <c r="E160" s="33" t="e">
        <f>AVERAGEIF(#REF!,$C160,#REF!)</f>
        <v>#REF!</v>
      </c>
      <c r="F160" s="33" t="e">
        <f>AVERAGEIF(#REF!,$C160,#REF!)</f>
        <v>#REF!</v>
      </c>
      <c r="G160" s="33" t="e">
        <f>AVERAGEIF(#REF!,$C160,#REF!)</f>
        <v>#REF!</v>
      </c>
      <c r="H160" s="33" t="e">
        <f>AVERAGEIF('Ref-Data'!#REF!,$B160,'Ref-Data'!#REF!)</f>
        <v>#REF!</v>
      </c>
      <c r="I160" s="33" t="e">
        <f>AVERAGEIF('Ref-Data'!#REF!,$B160,'Ref-Data'!$N:$N)</f>
        <v>#REF!</v>
      </c>
      <c r="J160" s="35" t="e">
        <f>AVERAGEIF('Ref-Data'!#REF!,$B160,'Ref-Data'!#REF!)</f>
        <v>#REF!</v>
      </c>
    </row>
    <row r="161" spans="2:10" x14ac:dyDescent="0.25">
      <c r="B161" s="91" t="s">
        <v>309</v>
      </c>
      <c r="C161" s="90">
        <v>64203</v>
      </c>
      <c r="D161" s="90" t="e">
        <f>COUNTIF(#REF!,$C161)</f>
        <v>#REF!</v>
      </c>
      <c r="E161" s="33" t="e">
        <f>AVERAGEIF(#REF!,$C161,#REF!)</f>
        <v>#REF!</v>
      </c>
      <c r="F161" s="33" t="e">
        <f>AVERAGEIF(#REF!,$C161,#REF!)</f>
        <v>#REF!</v>
      </c>
      <c r="G161" s="33" t="e">
        <f>AVERAGEIF(#REF!,$C161,#REF!)</f>
        <v>#REF!</v>
      </c>
      <c r="H161" s="33" t="e">
        <f>AVERAGEIF('Ref-Data'!#REF!,$B161,'Ref-Data'!#REF!)</f>
        <v>#REF!</v>
      </c>
      <c r="I161" s="33" t="e">
        <f>AVERAGEIF('Ref-Data'!#REF!,$B161,'Ref-Data'!$N:$N)</f>
        <v>#REF!</v>
      </c>
      <c r="J161" s="35" t="e">
        <f>AVERAGEIF('Ref-Data'!#REF!,$B161,'Ref-Data'!#REF!)</f>
        <v>#REF!</v>
      </c>
    </row>
    <row r="162" spans="2:10" x14ac:dyDescent="0.25">
      <c r="B162" s="91" t="s">
        <v>262</v>
      </c>
      <c r="C162" s="90">
        <v>64209</v>
      </c>
      <c r="D162" s="90" t="e">
        <f>COUNTIF(#REF!,$C162)</f>
        <v>#REF!</v>
      </c>
      <c r="E162" s="33" t="e">
        <f>AVERAGEIF(#REF!,$C162,#REF!)</f>
        <v>#REF!</v>
      </c>
      <c r="F162" s="33" t="e">
        <f>AVERAGEIF(#REF!,$C162,#REF!)</f>
        <v>#REF!</v>
      </c>
      <c r="G162" s="33" t="e">
        <f>AVERAGEIF(#REF!,$C162,#REF!)</f>
        <v>#REF!</v>
      </c>
      <c r="H162" s="33" t="e">
        <f>AVERAGEIF('Ref-Data'!#REF!,$B162,'Ref-Data'!#REF!)</f>
        <v>#REF!</v>
      </c>
      <c r="I162" s="33" t="e">
        <f>AVERAGEIF('Ref-Data'!#REF!,$B162,'Ref-Data'!$N:$N)</f>
        <v>#REF!</v>
      </c>
      <c r="J162" s="35" t="e">
        <f>AVERAGEIF('Ref-Data'!#REF!,$B162,'Ref-Data'!#REF!)</f>
        <v>#REF!</v>
      </c>
    </row>
    <row r="163" spans="2:10" x14ac:dyDescent="0.25">
      <c r="B163" s="91" t="s">
        <v>330</v>
      </c>
      <c r="C163" s="90">
        <v>25120</v>
      </c>
      <c r="D163" s="90" t="e">
        <f>COUNTIF(#REF!,$C163)</f>
        <v>#REF!</v>
      </c>
      <c r="E163" s="33" t="e">
        <f>AVERAGEIF(#REF!,$C163,#REF!)</f>
        <v>#REF!</v>
      </c>
      <c r="F163" s="33" t="e">
        <f>AVERAGEIF(#REF!,$C163,#REF!)</f>
        <v>#REF!</v>
      </c>
      <c r="G163" s="33" t="e">
        <f>AVERAGEIF(#REF!,$C163,#REF!)</f>
        <v>#REF!</v>
      </c>
      <c r="H163" s="33" t="e">
        <f>AVERAGEIF('Ref-Data'!#REF!,$B163,'Ref-Data'!#REF!)</f>
        <v>#REF!</v>
      </c>
      <c r="I163" s="33" t="e">
        <f>AVERAGEIF('Ref-Data'!#REF!,$B163,'Ref-Data'!$N:$N)</f>
        <v>#REF!</v>
      </c>
      <c r="J163" s="35" t="e">
        <f>AVERAGEIF('Ref-Data'!#REF!,$B163,'Ref-Data'!#REF!)</f>
        <v>#REF!</v>
      </c>
    </row>
    <row r="164" spans="2:10" x14ac:dyDescent="0.25">
      <c r="B164" s="91" t="s">
        <v>255</v>
      </c>
      <c r="C164" s="90">
        <v>46499</v>
      </c>
      <c r="D164" s="90" t="e">
        <f>COUNTIF(#REF!,$C164)</f>
        <v>#REF!</v>
      </c>
      <c r="E164" s="33" t="e">
        <f>AVERAGEIF(#REF!,$C164,#REF!)</f>
        <v>#REF!</v>
      </c>
      <c r="F164" s="33" t="e">
        <f>AVERAGEIF(#REF!,$C164,#REF!)</f>
        <v>#REF!</v>
      </c>
      <c r="G164" s="33" t="e">
        <f>AVERAGEIF(#REF!,$C164,#REF!)</f>
        <v>#REF!</v>
      </c>
      <c r="H164" s="33" t="e">
        <f>AVERAGEIF('Ref-Data'!#REF!,$B164,'Ref-Data'!#REF!)</f>
        <v>#REF!</v>
      </c>
      <c r="I164" s="33" t="e">
        <f>AVERAGEIF('Ref-Data'!#REF!,$B164,'Ref-Data'!$N:$N)</f>
        <v>#REF!</v>
      </c>
      <c r="J164" s="35" t="e">
        <f>AVERAGEIF('Ref-Data'!#REF!,$B164,'Ref-Data'!#REF!)</f>
        <v>#REF!</v>
      </c>
    </row>
    <row r="165" spans="2:10" x14ac:dyDescent="0.25">
      <c r="B165" s="91" t="s">
        <v>282</v>
      </c>
      <c r="C165" s="90">
        <v>41202</v>
      </c>
      <c r="D165" s="90" t="e">
        <f>COUNTIF(#REF!,$C165)</f>
        <v>#REF!</v>
      </c>
      <c r="E165" s="45" t="e">
        <f>AVERAGEIF(#REF!,$C165,#REF!)</f>
        <v>#REF!</v>
      </c>
      <c r="F165" s="33" t="e">
        <f>AVERAGEIF(#REF!,$C165,#REF!)</f>
        <v>#REF!</v>
      </c>
      <c r="G165" s="33" t="e">
        <f>AVERAGEIF(#REF!,$C165,#REF!)</f>
        <v>#REF!</v>
      </c>
      <c r="H165" s="33" t="e">
        <f>AVERAGEIF('Ref-Data'!#REF!,$B165,'Ref-Data'!#REF!)</f>
        <v>#REF!</v>
      </c>
      <c r="I165" s="33" t="e">
        <f>AVERAGEIF('Ref-Data'!#REF!,$B165,'Ref-Data'!$N:$N)</f>
        <v>#REF!</v>
      </c>
      <c r="J165" s="35" t="e">
        <f>AVERAGEIF('Ref-Data'!#REF!,$B165,'Ref-Data'!#REF!)</f>
        <v>#REF!</v>
      </c>
    </row>
    <row r="166" spans="2:10" x14ac:dyDescent="0.25">
      <c r="B166" s="91" t="s">
        <v>336</v>
      </c>
      <c r="C166" s="90">
        <v>80100</v>
      </c>
      <c r="D166" s="90" t="e">
        <f>COUNTIF(#REF!,$C166)</f>
        <v>#REF!</v>
      </c>
      <c r="E166" s="33" t="e">
        <f>AVERAGEIF(#REF!,$C166,#REF!)</f>
        <v>#REF!</v>
      </c>
      <c r="F166" s="33" t="e">
        <f>AVERAGEIF(#REF!,$C166,#REF!)</f>
        <v>#REF!</v>
      </c>
      <c r="G166" s="33" t="e">
        <f>AVERAGEIF(#REF!,$C166,#REF!)</f>
        <v>#REF!</v>
      </c>
      <c r="H166" s="33" t="e">
        <f>AVERAGEIF('Ref-Data'!#REF!,$B166,'Ref-Data'!#REF!)</f>
        <v>#REF!</v>
      </c>
      <c r="I166" s="33" t="e">
        <f>AVERAGEIF('Ref-Data'!#REF!,$B166,'Ref-Data'!$N:$N)</f>
        <v>#REF!</v>
      </c>
      <c r="J166" s="35" t="e">
        <f>AVERAGEIF('Ref-Data'!#REF!,$B166,'Ref-Data'!#REF!)</f>
        <v>#REF!</v>
      </c>
    </row>
    <row r="167" spans="2:10" x14ac:dyDescent="0.25">
      <c r="B167" s="91" t="s">
        <v>267</v>
      </c>
      <c r="C167" s="90">
        <v>64306</v>
      </c>
      <c r="D167" s="90" t="e">
        <f>COUNTIF(#REF!,$C167)</f>
        <v>#REF!</v>
      </c>
      <c r="E167" s="33" t="e">
        <f>AVERAGEIF(#REF!,$C167,#REF!)</f>
        <v>#REF!</v>
      </c>
      <c r="F167" s="33" t="e">
        <f>AVERAGEIF(#REF!,$C167,#REF!)</f>
        <v>#REF!</v>
      </c>
      <c r="G167" s="33" t="e">
        <f>AVERAGEIF(#REF!,$C167,#REF!)</f>
        <v>#REF!</v>
      </c>
      <c r="H167" s="33" t="e">
        <f>AVERAGEIF('Ref-Data'!#REF!,$B167,'Ref-Data'!#REF!)</f>
        <v>#REF!</v>
      </c>
      <c r="I167" s="33" t="e">
        <f>AVERAGEIF('Ref-Data'!#REF!,$B167,'Ref-Data'!$N:$N)</f>
        <v>#REF!</v>
      </c>
      <c r="J167" s="35" t="e">
        <f>AVERAGEIF('Ref-Data'!#REF!,$B167,'Ref-Data'!#REF!)</f>
        <v>#REF!</v>
      </c>
    </row>
    <row r="168" spans="2:10" x14ac:dyDescent="0.25">
      <c r="B168" s="91" t="s">
        <v>340</v>
      </c>
      <c r="C168" s="90">
        <v>87100</v>
      </c>
      <c r="D168" s="90" t="e">
        <f>COUNTIF(#REF!,$C168)</f>
        <v>#REF!</v>
      </c>
      <c r="E168" s="33" t="e">
        <f>AVERAGEIF(#REF!,$C168,#REF!)</f>
        <v>#REF!</v>
      </c>
      <c r="F168" s="33" t="e">
        <f>AVERAGEIF(#REF!,$C168,#REF!)</f>
        <v>#REF!</v>
      </c>
      <c r="G168" s="33" t="e">
        <f>AVERAGEIF(#REF!,$C168,#REF!)</f>
        <v>#REF!</v>
      </c>
      <c r="H168" s="33" t="e">
        <f>AVERAGEIF('Ref-Data'!#REF!,$B168,'Ref-Data'!#REF!)</f>
        <v>#REF!</v>
      </c>
      <c r="I168" s="33" t="e">
        <f>AVERAGEIF('Ref-Data'!#REF!,$B168,'Ref-Data'!$N:$N)</f>
        <v>#REF!</v>
      </c>
      <c r="J168" s="35" t="e">
        <f>AVERAGEIF('Ref-Data'!#REF!,$B168,'Ref-Data'!#REF!)</f>
        <v>#REF!</v>
      </c>
    </row>
    <row r="169" spans="2:10" x14ac:dyDescent="0.25">
      <c r="B169" s="91" t="s">
        <v>292</v>
      </c>
      <c r="C169" s="90">
        <v>73110</v>
      </c>
      <c r="D169" s="90" t="e">
        <f>COUNTIF(#REF!,$C169)</f>
        <v>#REF!</v>
      </c>
      <c r="E169" s="33" t="e">
        <f>AVERAGEIF(#REF!,$C169,#REF!)</f>
        <v>#REF!</v>
      </c>
      <c r="F169" s="33" t="e">
        <f>AVERAGEIF(#REF!,$C169,#REF!)</f>
        <v>#REF!</v>
      </c>
      <c r="G169" s="33" t="e">
        <f>AVERAGEIF(#REF!,$C169,#REF!)</f>
        <v>#REF!</v>
      </c>
      <c r="H169" s="33" t="e">
        <f>AVERAGEIF('Ref-Data'!#REF!,$B169,'Ref-Data'!#REF!)</f>
        <v>#REF!</v>
      </c>
      <c r="I169" s="33" t="e">
        <f>AVERAGEIF('Ref-Data'!#REF!,$B169,'Ref-Data'!$N:$N)</f>
        <v>#REF!</v>
      </c>
      <c r="J169" s="35" t="e">
        <f>AVERAGEIF('Ref-Data'!#REF!,$B169,'Ref-Data'!#REF!)</f>
        <v>#REF!</v>
      </c>
    </row>
    <row r="170" spans="2:10" x14ac:dyDescent="0.25">
      <c r="B170" s="91" t="s">
        <v>277</v>
      </c>
      <c r="C170" s="90">
        <v>64929</v>
      </c>
      <c r="D170" s="90" t="e">
        <f>COUNTIF(#REF!,$C170)</f>
        <v>#REF!</v>
      </c>
      <c r="E170" s="33" t="e">
        <f>AVERAGEIF(#REF!,$C170,#REF!)</f>
        <v>#REF!</v>
      </c>
      <c r="F170" s="33" t="e">
        <f>AVERAGEIF(#REF!,$C170,#REF!)</f>
        <v>#REF!</v>
      </c>
      <c r="G170" s="33" t="e">
        <f>AVERAGEIF(#REF!,$C170,#REF!)</f>
        <v>#REF!</v>
      </c>
      <c r="H170" s="33" t="e">
        <f>AVERAGEIF('Ref-Data'!#REF!,$B170,'Ref-Data'!#REF!)</f>
        <v>#REF!</v>
      </c>
      <c r="I170" s="33" t="e">
        <f>AVERAGEIF('Ref-Data'!#REF!,$B170,'Ref-Data'!$N:$N)</f>
        <v>#REF!</v>
      </c>
      <c r="J170" s="35" t="e">
        <f>AVERAGEIF('Ref-Data'!#REF!,$B170,'Ref-Data'!#REF!)</f>
        <v>#REF!</v>
      </c>
    </row>
    <row r="171" spans="2:10" x14ac:dyDescent="0.25">
      <c r="B171" s="91" t="s">
        <v>313</v>
      </c>
      <c r="C171" s="90">
        <v>64922</v>
      </c>
      <c r="D171" s="90" t="e">
        <f>COUNTIF(#REF!,$C171)</f>
        <v>#REF!</v>
      </c>
      <c r="E171" s="33" t="e">
        <f>AVERAGEIF(#REF!,$C171,#REF!)</f>
        <v>#REF!</v>
      </c>
      <c r="F171" s="33" t="e">
        <f>AVERAGEIF(#REF!,$C171,#REF!)</f>
        <v>#REF!</v>
      </c>
      <c r="G171" s="33" t="e">
        <f>AVERAGEIF(#REF!,$C171,#REF!)</f>
        <v>#REF!</v>
      </c>
      <c r="H171" s="33" t="e">
        <f>AVERAGEIF('Ref-Data'!#REF!,$B171,'Ref-Data'!#REF!)</f>
        <v>#REF!</v>
      </c>
      <c r="I171" s="33" t="e">
        <f>AVERAGEIF('Ref-Data'!#REF!,$B171,'Ref-Data'!$N:$N)</f>
        <v>#REF!</v>
      </c>
      <c r="J171" s="35" t="e">
        <f>AVERAGEIF('Ref-Data'!#REF!,$B171,'Ref-Data'!#REF!)</f>
        <v>#REF!</v>
      </c>
    </row>
    <row r="172" spans="2:10" x14ac:dyDescent="0.25">
      <c r="B172" s="92" t="s">
        <v>342</v>
      </c>
      <c r="C172" s="77">
        <v>74909</v>
      </c>
      <c r="D172" s="93" t="e">
        <f>COUNTIF(#REF!,$C172)</f>
        <v>#REF!</v>
      </c>
      <c r="E172" s="37" t="e">
        <f>AVERAGEIF(#REF!,$C172,#REF!)</f>
        <v>#REF!</v>
      </c>
      <c r="F172" s="37" t="e">
        <f>AVERAGEIF(#REF!,$C172,#REF!)</f>
        <v>#REF!</v>
      </c>
      <c r="G172" s="37" t="e">
        <f>AVERAGEIF(#REF!,$C172,#REF!)</f>
        <v>#REF!</v>
      </c>
      <c r="H172" s="37" t="e">
        <f>AVERAGEIF('Ref-Data'!#REF!,$B172,'Ref-Data'!#REF!)</f>
        <v>#REF!</v>
      </c>
      <c r="I172" s="37" t="e">
        <f>AVERAGEIF('Ref-Data'!#REF!,$B172,'Ref-Data'!$N:$N)</f>
        <v>#REF!</v>
      </c>
      <c r="J172" s="38" t="e">
        <f>AVERAGEIF('Ref-Data'!#REF!,$B172,'Ref-Data'!#REF!)</f>
        <v>#REF!</v>
      </c>
    </row>
    <row r="174" spans="2:10" x14ac:dyDescent="0.25">
      <c r="B174" s="69" t="s">
        <v>480</v>
      </c>
    </row>
    <row r="176" spans="2:10" x14ac:dyDescent="0.25">
      <c r="B176" t="s">
        <v>525</v>
      </c>
    </row>
    <row r="178" spans="2:17" x14ac:dyDescent="0.25">
      <c r="B178" s="13" t="s">
        <v>156</v>
      </c>
    </row>
    <row r="180" spans="2:17" ht="26.25" x14ac:dyDescent="0.25">
      <c r="B180" s="18" t="s">
        <v>143</v>
      </c>
      <c r="C180" s="14" t="s">
        <v>146</v>
      </c>
    </row>
    <row r="181" spans="2:17" x14ac:dyDescent="0.25">
      <c r="B181" s="17" t="s">
        <v>144</v>
      </c>
      <c r="C181" s="9" t="s">
        <v>147</v>
      </c>
    </row>
    <row r="182" spans="2:17" x14ac:dyDescent="0.25">
      <c r="B182" s="17" t="s">
        <v>145</v>
      </c>
      <c r="C182" s="9" t="s">
        <v>146</v>
      </c>
    </row>
    <row r="183" spans="2:17" x14ac:dyDescent="0.25">
      <c r="B183" s="19" t="s">
        <v>148</v>
      </c>
      <c r="C183" s="12" t="s">
        <v>149</v>
      </c>
    </row>
    <row r="189" spans="2:17" x14ac:dyDescent="0.25">
      <c r="B189" s="3" t="s">
        <v>233</v>
      </c>
    </row>
    <row r="190" spans="2:17" s="3" customFormat="1" x14ac:dyDescent="0.25">
      <c r="B190" s="32" t="s">
        <v>158</v>
      </c>
      <c r="C190" s="32" t="s">
        <v>159</v>
      </c>
      <c r="D190" s="32" t="s">
        <v>162</v>
      </c>
      <c r="E190" s="32" t="s">
        <v>160</v>
      </c>
      <c r="F190" s="32" t="s">
        <v>186</v>
      </c>
      <c r="G190" s="32" t="s">
        <v>187</v>
      </c>
      <c r="H190" s="32" t="s">
        <v>188</v>
      </c>
      <c r="I190" s="32" t="s">
        <v>148</v>
      </c>
      <c r="J190" s="32" t="s">
        <v>189</v>
      </c>
      <c r="K190" s="32" t="s">
        <v>190</v>
      </c>
      <c r="L190" s="32" t="s">
        <v>191</v>
      </c>
      <c r="M190" s="32" t="s">
        <v>192</v>
      </c>
      <c r="N190" s="32" t="s">
        <v>193</v>
      </c>
      <c r="O190" s="32" t="s">
        <v>143</v>
      </c>
      <c r="P190" s="32" t="s">
        <v>144</v>
      </c>
      <c r="Q190" s="32" t="s">
        <v>145</v>
      </c>
    </row>
    <row r="191" spans="2:17" ht="26.25" x14ac:dyDescent="0.25">
      <c r="B191" s="39" t="s">
        <v>123</v>
      </c>
      <c r="C191" s="33" t="e">
        <f>VLOOKUP($B191,#REF!,MATCH("Annualized 1-Yr. EDF",#REF!,0),FALSE)</f>
        <v>#REF!</v>
      </c>
      <c r="D191" s="33" t="e">
        <f>VLOOKUP($B191,#REF!,MATCH("Annualized 1-Yr. EDF-adj",#REF!,0),FALSE)</f>
        <v>#REF!</v>
      </c>
      <c r="E191" s="33" t="e">
        <f>VLOOKUP($B191,#REF!,MATCH("Current EDF",#REF!,0),FALSE)</f>
        <v>#REF!</v>
      </c>
      <c r="F191" s="33" t="s">
        <v>401</v>
      </c>
      <c r="G191" s="35" t="s">
        <v>430</v>
      </c>
      <c r="H191" s="34" t="s">
        <v>460</v>
      </c>
      <c r="I191" s="33" t="s">
        <v>401</v>
      </c>
      <c r="J191" s="57" t="s">
        <v>416</v>
      </c>
      <c r="K191" s="58" t="s">
        <v>396</v>
      </c>
      <c r="L191" s="59" t="s">
        <v>418</v>
      </c>
      <c r="M191" s="57" t="s">
        <v>424</v>
      </c>
      <c r="N191" s="58" t="s">
        <v>433</v>
      </c>
      <c r="O191" s="59" t="s">
        <v>456</v>
      </c>
      <c r="P191" s="57" t="s">
        <v>445</v>
      </c>
      <c r="Q191" s="60" t="s">
        <v>445</v>
      </c>
    </row>
    <row r="192" spans="2:17" x14ac:dyDescent="0.25">
      <c r="B192" s="39" t="s">
        <v>131</v>
      </c>
      <c r="C192" s="33" t="e">
        <f>VLOOKUP($B192,#REF!,MATCH("Annualized 1-Yr. EDF",#REF!,0),FALSE)</f>
        <v>#REF!</v>
      </c>
      <c r="D192" s="33" t="e">
        <f>VLOOKUP($B192,#REF!,MATCH("Annualized 1-Yr. EDF-adj",#REF!,0),FALSE)</f>
        <v>#REF!</v>
      </c>
      <c r="E192" s="33" t="e">
        <f>VLOOKUP($B192,#REF!,MATCH("Current EDF",#REF!,0),FALSE)</f>
        <v>#REF!</v>
      </c>
      <c r="F192" s="33" t="s">
        <v>394</v>
      </c>
      <c r="G192" s="35" t="s">
        <v>387</v>
      </c>
      <c r="H192" s="34" t="s">
        <v>460</v>
      </c>
      <c r="I192" s="33" t="s">
        <v>401</v>
      </c>
      <c r="J192" s="57" t="s">
        <v>410</v>
      </c>
      <c r="K192" s="58" t="s">
        <v>396</v>
      </c>
      <c r="L192" s="59" t="s">
        <v>412</v>
      </c>
      <c r="M192" s="57" t="s">
        <v>424</v>
      </c>
      <c r="N192" s="58" t="s">
        <v>433</v>
      </c>
      <c r="O192" s="59" t="s">
        <v>456</v>
      </c>
      <c r="P192" s="57" t="s">
        <v>443</v>
      </c>
      <c r="Q192" s="60" t="s">
        <v>445</v>
      </c>
    </row>
    <row r="193" spans="2:17" ht="26.25" x14ac:dyDescent="0.25">
      <c r="B193" s="39" t="s">
        <v>176</v>
      </c>
      <c r="C193" s="33" t="e">
        <f>VLOOKUP($B193,#REF!,MATCH("Annualized 1-Yr. EDF",#REF!,0),FALSE)</f>
        <v>#REF!</v>
      </c>
      <c r="D193" s="33" t="e">
        <f>VLOOKUP($B193,#REF!,MATCH("Annualized 1-Yr. EDF-adj",#REF!,0),FALSE)</f>
        <v>#REF!</v>
      </c>
      <c r="E193" s="33" t="e">
        <f>VLOOKUP($B193,#REF!,MATCH("Current EDF",#REF!,0),FALSE)</f>
        <v>#REF!</v>
      </c>
      <c r="F193" s="33" t="s">
        <v>401</v>
      </c>
      <c r="G193" s="35" t="s">
        <v>387</v>
      </c>
      <c r="H193" s="34" t="s">
        <v>460</v>
      </c>
      <c r="I193" s="33" t="s">
        <v>401</v>
      </c>
      <c r="J193" s="57" t="s">
        <v>410</v>
      </c>
      <c r="K193" s="58" t="s">
        <v>392</v>
      </c>
      <c r="L193" s="59" t="s">
        <v>412</v>
      </c>
      <c r="M193" s="57" t="s">
        <v>424</v>
      </c>
      <c r="N193" s="58" t="s">
        <v>433</v>
      </c>
      <c r="O193" s="59" t="s">
        <v>456</v>
      </c>
      <c r="P193" s="57" t="s">
        <v>445</v>
      </c>
      <c r="Q193" s="60" t="s">
        <v>445</v>
      </c>
    </row>
    <row r="194" spans="2:17" x14ac:dyDescent="0.25">
      <c r="B194" s="39" t="s">
        <v>136</v>
      </c>
      <c r="C194" s="33" t="e">
        <f>VLOOKUP($B194,#REF!,MATCH("Annualized 1-Yr. EDF",#REF!,0),FALSE)</f>
        <v>#REF!</v>
      </c>
      <c r="D194" s="33" t="e">
        <f>VLOOKUP($B194,#REF!,MATCH("Annualized 1-Yr. EDF-adj",#REF!,0),FALSE)</f>
        <v>#REF!</v>
      </c>
      <c r="E194" s="33" t="e">
        <f>VLOOKUP($B194,#REF!,MATCH("Current EDF",#REF!,0),FALSE)</f>
        <v>#REF!</v>
      </c>
      <c r="F194" s="33" t="s">
        <v>394</v>
      </c>
      <c r="G194" s="35" t="s">
        <v>387</v>
      </c>
      <c r="H194" s="34" t="s">
        <v>458</v>
      </c>
      <c r="I194" s="33" t="s">
        <v>401</v>
      </c>
      <c r="J194" s="57" t="s">
        <v>410</v>
      </c>
      <c r="K194" s="58" t="s">
        <v>392</v>
      </c>
      <c r="L194" s="59" t="s">
        <v>412</v>
      </c>
      <c r="M194" s="57" t="s">
        <v>424</v>
      </c>
      <c r="N194" s="58" t="s">
        <v>433</v>
      </c>
      <c r="O194" s="59" t="s">
        <v>456</v>
      </c>
      <c r="P194" s="57" t="s">
        <v>443</v>
      </c>
      <c r="Q194" s="60" t="s">
        <v>445</v>
      </c>
    </row>
    <row r="195" spans="2:17" x14ac:dyDescent="0.25">
      <c r="B195" s="39" t="s">
        <v>164</v>
      </c>
      <c r="C195" s="33" t="e">
        <f>VLOOKUP($B195,#REF!,MATCH("Annualized 1-Yr. EDF",#REF!,0),FALSE)</f>
        <v>#REF!</v>
      </c>
      <c r="D195" s="33" t="e">
        <f>VLOOKUP($B195,#REF!,MATCH("Annualized 1-Yr. EDF-adj",#REF!,0),FALSE)</f>
        <v>#REF!</v>
      </c>
      <c r="E195" s="33" t="e">
        <f>VLOOKUP($B195,#REF!,MATCH("Current EDF",#REF!,0),FALSE)</f>
        <v>#REF!</v>
      </c>
      <c r="F195" s="33" t="s">
        <v>402</v>
      </c>
      <c r="G195" s="35" t="s">
        <v>387</v>
      </c>
      <c r="H195" s="34" t="s">
        <v>460</v>
      </c>
      <c r="I195" s="33" t="s">
        <v>401</v>
      </c>
      <c r="J195" s="57" t="s">
        <v>416</v>
      </c>
      <c r="K195" s="58" t="s">
        <v>392</v>
      </c>
      <c r="L195" s="59" t="s">
        <v>412</v>
      </c>
      <c r="M195" s="57" t="s">
        <v>425</v>
      </c>
      <c r="N195" s="58" t="s">
        <v>433</v>
      </c>
      <c r="O195" s="59" t="s">
        <v>456</v>
      </c>
      <c r="P195" s="57" t="s">
        <v>445</v>
      </c>
      <c r="Q195" s="60" t="s">
        <v>445</v>
      </c>
    </row>
    <row r="196" spans="2:17" ht="26.25" x14ac:dyDescent="0.25">
      <c r="B196" s="39" t="s">
        <v>221</v>
      </c>
      <c r="C196" s="33" t="e">
        <f>VLOOKUP($B196,#REF!,MATCH("Annualized 1-Yr. EDF",#REF!,0),FALSE)</f>
        <v>#REF!</v>
      </c>
      <c r="D196" s="33" t="e">
        <f>VLOOKUP($B196,#REF!,MATCH("Annualized 1-Yr. EDF-adj",#REF!,0),FALSE)</f>
        <v>#REF!</v>
      </c>
      <c r="E196" s="33" t="e">
        <f>VLOOKUP($B196,#REF!,MATCH("Current EDF",#REF!,0),FALSE)</f>
        <v>#REF!</v>
      </c>
      <c r="F196" s="33" t="s">
        <v>394</v>
      </c>
      <c r="G196" s="35" t="s">
        <v>387</v>
      </c>
      <c r="H196" s="34" t="s">
        <v>460</v>
      </c>
      <c r="I196" s="33" t="s">
        <v>401</v>
      </c>
      <c r="J196" s="57" t="s">
        <v>410</v>
      </c>
      <c r="K196" s="58" t="s">
        <v>392</v>
      </c>
      <c r="L196" s="59" t="s">
        <v>412</v>
      </c>
      <c r="M196" s="57" t="s">
        <v>425</v>
      </c>
      <c r="N196" s="58" t="s">
        <v>433</v>
      </c>
      <c r="O196" s="59" t="s">
        <v>456</v>
      </c>
      <c r="P196" s="57" t="s">
        <v>449</v>
      </c>
      <c r="Q196" s="60" t="s">
        <v>445</v>
      </c>
    </row>
    <row r="197" spans="2:17" x14ac:dyDescent="0.25">
      <c r="B197" s="39" t="s">
        <v>222</v>
      </c>
      <c r="C197" s="33" t="e">
        <f>VLOOKUP($B197,#REF!,MATCH("Annualized 1-Yr. EDF",#REF!,0),FALSE)</f>
        <v>#REF!</v>
      </c>
      <c r="D197" s="33" t="e">
        <f>VLOOKUP($B197,#REF!,MATCH("Annualized 1-Yr. EDF-adj",#REF!,0),FALSE)</f>
        <v>#REF!</v>
      </c>
      <c r="E197" s="33" t="e">
        <f>VLOOKUP($B197,#REF!,MATCH("Current EDF",#REF!,0),FALSE)</f>
        <v>#REF!</v>
      </c>
      <c r="F197" s="33" t="s">
        <v>401</v>
      </c>
      <c r="G197" s="35" t="s">
        <v>387</v>
      </c>
      <c r="H197" s="34" t="s">
        <v>459</v>
      </c>
      <c r="I197" s="33" t="s">
        <v>401</v>
      </c>
      <c r="J197" s="57" t="s">
        <v>410</v>
      </c>
      <c r="K197" s="58" t="s">
        <v>392</v>
      </c>
      <c r="L197" s="59" t="s">
        <v>412</v>
      </c>
      <c r="M197" s="57" t="s">
        <v>424</v>
      </c>
      <c r="N197" s="58" t="s">
        <v>433</v>
      </c>
      <c r="O197" s="59" t="s">
        <v>456</v>
      </c>
      <c r="P197" s="57" t="s">
        <v>443</v>
      </c>
      <c r="Q197" s="60" t="s">
        <v>445</v>
      </c>
    </row>
    <row r="198" spans="2:17" x14ac:dyDescent="0.25">
      <c r="B198" s="39" t="s">
        <v>224</v>
      </c>
      <c r="C198" s="33" t="e">
        <f>VLOOKUP($B198,#REF!,MATCH("Annualized 1-Yr. EDF",#REF!,0),FALSE)</f>
        <v>#REF!</v>
      </c>
      <c r="D198" s="33" t="e">
        <f>VLOOKUP($B198,#REF!,MATCH("Annualized 1-Yr. EDF-adj",#REF!,0),FALSE)</f>
        <v>#REF!</v>
      </c>
      <c r="E198" s="33" t="e">
        <f>VLOOKUP($B198,#REF!,MATCH("Current EDF",#REF!,0),FALSE)</f>
        <v>#REF!</v>
      </c>
      <c r="F198" s="33" t="s">
        <v>394</v>
      </c>
      <c r="G198" s="35" t="s">
        <v>387</v>
      </c>
      <c r="H198" s="34" t="s">
        <v>460</v>
      </c>
      <c r="I198" s="33" t="s">
        <v>401</v>
      </c>
      <c r="J198" s="57" t="s">
        <v>410</v>
      </c>
      <c r="K198" s="58" t="s">
        <v>392</v>
      </c>
      <c r="L198" s="59" t="s">
        <v>412</v>
      </c>
      <c r="M198" s="57" t="s">
        <v>425</v>
      </c>
      <c r="N198" s="58" t="s">
        <v>433</v>
      </c>
      <c r="O198" s="59" t="s">
        <v>456</v>
      </c>
      <c r="P198" s="57" t="s">
        <v>443</v>
      </c>
      <c r="Q198" s="60" t="s">
        <v>445</v>
      </c>
    </row>
    <row r="199" spans="2:17" ht="26.25" x14ac:dyDescent="0.25">
      <c r="B199" s="39" t="s">
        <v>225</v>
      </c>
      <c r="C199" s="33" t="e">
        <f>VLOOKUP($B199,#REF!,MATCH("Annualized 1-Yr. EDF",#REF!,0),FALSE)</f>
        <v>#REF!</v>
      </c>
      <c r="D199" s="33" t="e">
        <f>VLOOKUP($B199,#REF!,MATCH("Annualized 1-Yr. EDF-adj",#REF!,0),FALSE)</f>
        <v>#REF!</v>
      </c>
      <c r="E199" s="33" t="e">
        <f>VLOOKUP($B199,#REF!,MATCH("Current EDF",#REF!,0),FALSE)</f>
        <v>#REF!</v>
      </c>
      <c r="F199" s="33" t="s">
        <v>394</v>
      </c>
      <c r="G199" s="35" t="s">
        <v>387</v>
      </c>
      <c r="H199" s="34" t="s">
        <v>460</v>
      </c>
      <c r="I199" s="33" t="s">
        <v>401</v>
      </c>
      <c r="J199" s="57" t="s">
        <v>410</v>
      </c>
      <c r="K199" s="58" t="s">
        <v>392</v>
      </c>
      <c r="L199" s="59" t="s">
        <v>412</v>
      </c>
      <c r="M199" s="57" t="s">
        <v>424</v>
      </c>
      <c r="N199" s="58" t="s">
        <v>433</v>
      </c>
      <c r="O199" s="59" t="s">
        <v>456</v>
      </c>
      <c r="P199" s="57" t="s">
        <v>443</v>
      </c>
      <c r="Q199" s="60" t="s">
        <v>445</v>
      </c>
    </row>
    <row r="200" spans="2:17" x14ac:dyDescent="0.25">
      <c r="B200" s="40" t="s">
        <v>227</v>
      </c>
      <c r="C200" s="37" t="e">
        <f>VLOOKUP($B200,#REF!,MATCH("Annualized 1-Yr. EDF",#REF!,0),FALSE)</f>
        <v>#REF!</v>
      </c>
      <c r="D200" s="37" t="e">
        <f>VLOOKUP($B200,#REF!,MATCH("Annualized 1-Yr. EDF-adj",#REF!,0),FALSE)</f>
        <v>#REF!</v>
      </c>
      <c r="E200" s="84" t="e">
        <f>VLOOKUP($B200,#REF!,MATCH("Current EDF",#REF!,0),FALSE)</f>
        <v>#REF!</v>
      </c>
      <c r="F200" s="37" t="s">
        <v>394</v>
      </c>
      <c r="G200" s="38" t="s">
        <v>387</v>
      </c>
      <c r="H200" s="36" t="s">
        <v>458</v>
      </c>
      <c r="I200" s="37" t="s">
        <v>401</v>
      </c>
      <c r="J200" s="61" t="s">
        <v>410</v>
      </c>
      <c r="K200" s="62" t="s">
        <v>392</v>
      </c>
      <c r="L200" s="63" t="s">
        <v>412</v>
      </c>
      <c r="M200" s="61" t="s">
        <v>424</v>
      </c>
      <c r="N200" s="62" t="s">
        <v>433</v>
      </c>
      <c r="O200" s="63" t="s">
        <v>456</v>
      </c>
      <c r="P200" s="61" t="s">
        <v>449</v>
      </c>
      <c r="Q200" s="64" t="s">
        <v>445</v>
      </c>
    </row>
    <row r="203" spans="2:17" x14ac:dyDescent="0.25">
      <c r="B203" s="3" t="s">
        <v>157</v>
      </c>
    </row>
    <row r="204" spans="2:17" x14ac:dyDescent="0.25">
      <c r="B204" s="32" t="s">
        <v>158</v>
      </c>
      <c r="C204" s="32" t="s">
        <v>159</v>
      </c>
      <c r="D204" s="32" t="s">
        <v>162</v>
      </c>
      <c r="E204" s="32" t="s">
        <v>160</v>
      </c>
      <c r="F204" s="32" t="s">
        <v>186</v>
      </c>
      <c r="G204" s="32" t="s">
        <v>187</v>
      </c>
      <c r="H204" s="32" t="s">
        <v>188</v>
      </c>
      <c r="I204" s="32" t="s">
        <v>148</v>
      </c>
      <c r="J204" s="32" t="s">
        <v>189</v>
      </c>
      <c r="K204" s="32" t="s">
        <v>190</v>
      </c>
      <c r="L204" s="32" t="s">
        <v>191</v>
      </c>
      <c r="M204" s="32" t="s">
        <v>192</v>
      </c>
      <c r="N204" s="32" t="s">
        <v>193</v>
      </c>
      <c r="O204" s="32" t="s">
        <v>143</v>
      </c>
      <c r="P204" s="32" t="s">
        <v>144</v>
      </c>
      <c r="Q204" s="32" t="s">
        <v>145</v>
      </c>
    </row>
    <row r="205" spans="2:17" x14ac:dyDescent="0.25">
      <c r="B205" s="39" t="s">
        <v>117</v>
      </c>
      <c r="C205" s="33" t="e">
        <f>VLOOKUP($B205,#REF!,MATCH("Annualized 1-Yr. EDF",#REF!,0),FALSE)</f>
        <v>#REF!</v>
      </c>
      <c r="D205" s="33" t="e">
        <f>VLOOKUP($B205,#REF!,MATCH("Annualized 1-Yr. EDF-adj",#REF!,0),FALSE)</f>
        <v>#REF!</v>
      </c>
      <c r="E205" s="33" t="e">
        <f>VLOOKUP($B205,#REF!,MATCH("Current EDF",#REF!,0),FALSE)</f>
        <v>#REF!</v>
      </c>
      <c r="F205" s="33" t="s">
        <v>394</v>
      </c>
      <c r="G205" s="33" t="s">
        <v>387</v>
      </c>
      <c r="H205" s="33" t="s">
        <v>458</v>
      </c>
      <c r="I205" s="33" t="s">
        <v>401</v>
      </c>
      <c r="J205" s="33" t="s">
        <v>410</v>
      </c>
      <c r="K205" s="59" t="s">
        <v>392</v>
      </c>
      <c r="L205" s="59" t="s">
        <v>412</v>
      </c>
      <c r="M205" s="59" t="s">
        <v>424</v>
      </c>
      <c r="N205" s="59" t="s">
        <v>433</v>
      </c>
      <c r="O205" s="59" t="s">
        <v>456</v>
      </c>
      <c r="P205" s="59" t="s">
        <v>443</v>
      </c>
      <c r="Q205" s="57" t="s">
        <v>445</v>
      </c>
    </row>
    <row r="206" spans="2:17" x14ac:dyDescent="0.25">
      <c r="B206" s="39" t="s">
        <v>122</v>
      </c>
      <c r="C206" s="33" t="e">
        <f>VLOOKUP($B206,#REF!,MATCH("Annualized 1-Yr. EDF",#REF!,0),FALSE)</f>
        <v>#REF!</v>
      </c>
      <c r="D206" s="33" t="e">
        <f>VLOOKUP($B206,#REF!,MATCH("Annualized 1-Yr. EDF-adj",#REF!,0),FALSE)</f>
        <v>#REF!</v>
      </c>
      <c r="E206" s="33" t="e">
        <f>VLOOKUP($B206,#REF!,MATCH("Current EDF",#REF!,0),FALSE)</f>
        <v>#REF!</v>
      </c>
      <c r="F206" s="33" t="s">
        <v>394</v>
      </c>
      <c r="G206" s="33" t="s">
        <v>387</v>
      </c>
      <c r="H206" s="33" t="s">
        <v>459</v>
      </c>
      <c r="I206" s="33" t="s">
        <v>401</v>
      </c>
      <c r="J206" s="33" t="s">
        <v>410</v>
      </c>
      <c r="K206" s="59" t="s">
        <v>390</v>
      </c>
      <c r="L206" s="59" t="s">
        <v>412</v>
      </c>
      <c r="M206" s="59" t="s">
        <v>424</v>
      </c>
      <c r="N206" s="59" t="s">
        <v>433</v>
      </c>
      <c r="O206" s="59" t="s">
        <v>456</v>
      </c>
      <c r="P206" s="59" t="s">
        <v>443</v>
      </c>
      <c r="Q206" s="57" t="s">
        <v>445</v>
      </c>
    </row>
    <row r="207" spans="2:17" x14ac:dyDescent="0.25">
      <c r="B207" s="39" t="s">
        <v>129</v>
      </c>
      <c r="C207" s="33" t="e">
        <f>VLOOKUP($B207,#REF!,MATCH("Annualized 1-Yr. EDF",#REF!,0),FALSE)</f>
        <v>#REF!</v>
      </c>
      <c r="D207" s="33" t="e">
        <f>VLOOKUP($B207,#REF!,MATCH("Annualized 1-Yr. EDF-adj",#REF!,0),FALSE)</f>
        <v>#REF!</v>
      </c>
      <c r="E207" s="33" t="e">
        <f>VLOOKUP($B207,#REF!,MATCH("Current EDF",#REF!,0),FALSE)</f>
        <v>#REF!</v>
      </c>
      <c r="F207" s="33" t="s">
        <v>394</v>
      </c>
      <c r="G207" s="33" t="s">
        <v>387</v>
      </c>
      <c r="H207" s="33" t="s">
        <v>460</v>
      </c>
      <c r="I207" s="33" t="s">
        <v>401</v>
      </c>
      <c r="J207" s="33" t="s">
        <v>410</v>
      </c>
      <c r="K207" s="59" t="s">
        <v>392</v>
      </c>
      <c r="L207" s="59" t="s">
        <v>412</v>
      </c>
      <c r="M207" s="59" t="s">
        <v>424</v>
      </c>
      <c r="N207" s="59" t="s">
        <v>433</v>
      </c>
      <c r="O207" s="59" t="s">
        <v>456</v>
      </c>
      <c r="P207" s="59" t="s">
        <v>445</v>
      </c>
      <c r="Q207" s="57" t="s">
        <v>445</v>
      </c>
    </row>
    <row r="208" spans="2:17" x14ac:dyDescent="0.25">
      <c r="B208" s="39" t="s">
        <v>132</v>
      </c>
      <c r="C208" s="33" t="e">
        <f>VLOOKUP($B208,#REF!,MATCH("Annualized 1-Yr. EDF",#REF!,0),FALSE)</f>
        <v>#REF!</v>
      </c>
      <c r="D208" s="33" t="e">
        <f>VLOOKUP($B208,#REF!,MATCH("Annualized 1-Yr. EDF-adj",#REF!,0),FALSE)</f>
        <v>#REF!</v>
      </c>
      <c r="E208" s="33" t="e">
        <f>VLOOKUP($B208,#REF!,MATCH("Current EDF",#REF!,0),FALSE)</f>
        <v>#REF!</v>
      </c>
      <c r="F208" s="33" t="s">
        <v>394</v>
      </c>
      <c r="G208" s="33" t="s">
        <v>387</v>
      </c>
      <c r="H208" s="33" t="s">
        <v>458</v>
      </c>
      <c r="I208" s="33" t="s">
        <v>401</v>
      </c>
      <c r="J208" s="33" t="s">
        <v>410</v>
      </c>
      <c r="K208" s="59" t="s">
        <v>392</v>
      </c>
      <c r="L208" s="59" t="s">
        <v>412</v>
      </c>
      <c r="M208" s="59" t="s">
        <v>424</v>
      </c>
      <c r="N208" s="59" t="s">
        <v>433</v>
      </c>
      <c r="O208" s="59" t="s">
        <v>456</v>
      </c>
      <c r="P208" s="59" t="s">
        <v>443</v>
      </c>
      <c r="Q208" s="57" t="s">
        <v>445</v>
      </c>
    </row>
    <row r="209" spans="2:17" x14ac:dyDescent="0.25">
      <c r="B209" s="39" t="s">
        <v>135</v>
      </c>
      <c r="C209" s="33" t="e">
        <f>VLOOKUP($B209,#REF!,MATCH("Annualized 1-Yr. EDF",#REF!,0),FALSE)</f>
        <v>#REF!</v>
      </c>
      <c r="D209" s="33" t="e">
        <f>VLOOKUP($B209,#REF!,MATCH("Annualized 1-Yr. EDF-adj",#REF!,0),FALSE)</f>
        <v>#REF!</v>
      </c>
      <c r="E209" s="33" t="e">
        <f>VLOOKUP($B209,#REF!,MATCH("Current EDF",#REF!,0),FALSE)</f>
        <v>#REF!</v>
      </c>
      <c r="F209" s="33" t="s">
        <v>394</v>
      </c>
      <c r="G209" s="33" t="s">
        <v>387</v>
      </c>
      <c r="H209" s="33" t="s">
        <v>458</v>
      </c>
      <c r="I209" s="33" t="s">
        <v>401</v>
      </c>
      <c r="J209" s="33" t="s">
        <v>410</v>
      </c>
      <c r="K209" s="59" t="s">
        <v>392</v>
      </c>
      <c r="L209" s="59" t="s">
        <v>412</v>
      </c>
      <c r="M209" s="59" t="s">
        <v>424</v>
      </c>
      <c r="N209" s="59" t="s">
        <v>433</v>
      </c>
      <c r="O209" s="59" t="s">
        <v>456</v>
      </c>
      <c r="P209" s="59" t="s">
        <v>443</v>
      </c>
      <c r="Q209" s="57" t="s">
        <v>445</v>
      </c>
    </row>
    <row r="210" spans="2:17" x14ac:dyDescent="0.25">
      <c r="B210" s="39" t="s">
        <v>137</v>
      </c>
      <c r="C210" s="33" t="e">
        <f>VLOOKUP($B210,#REF!,MATCH("Annualized 1-Yr. EDF",#REF!,0),FALSE)</f>
        <v>#REF!</v>
      </c>
      <c r="D210" s="33" t="e">
        <f>VLOOKUP($B210,#REF!,MATCH("Annualized 1-Yr. EDF-adj",#REF!,0),FALSE)</f>
        <v>#REF!</v>
      </c>
      <c r="E210" s="33" t="e">
        <f>VLOOKUP($B210,#REF!,MATCH("Current EDF",#REF!,0),FALSE)</f>
        <v>#REF!</v>
      </c>
      <c r="F210" s="33" t="s">
        <v>394</v>
      </c>
      <c r="G210" s="33" t="s">
        <v>387</v>
      </c>
      <c r="H210" s="33" t="s">
        <v>459</v>
      </c>
      <c r="I210" s="33" t="s">
        <v>401</v>
      </c>
      <c r="J210" s="33" t="s">
        <v>410</v>
      </c>
      <c r="K210" s="59" t="s">
        <v>390</v>
      </c>
      <c r="L210" s="59" t="s">
        <v>412</v>
      </c>
      <c r="M210" s="59" t="s">
        <v>424</v>
      </c>
      <c r="N210" s="59" t="s">
        <v>433</v>
      </c>
      <c r="O210" s="59" t="s">
        <v>456</v>
      </c>
      <c r="P210" s="59" t="s">
        <v>445</v>
      </c>
      <c r="Q210" s="57" t="s">
        <v>445</v>
      </c>
    </row>
    <row r="211" spans="2:17" x14ac:dyDescent="0.25">
      <c r="B211" s="40" t="s">
        <v>229</v>
      </c>
      <c r="C211" s="37" t="e">
        <f>VLOOKUP($B211,#REF!,MATCH("Annualized 1-Yr. EDF",#REF!,0),FALSE)</f>
        <v>#REF!</v>
      </c>
      <c r="D211" s="37" t="e">
        <f>VLOOKUP($B211,#REF!,MATCH("Annualized 1-Yr. EDF-adj",#REF!,0),FALSE)</f>
        <v>#REF!</v>
      </c>
      <c r="E211" s="84" t="e">
        <f>VLOOKUP($B211,#REF!,MATCH("Current EDF",#REF!,0),FALSE)</f>
        <v>#REF!</v>
      </c>
      <c r="F211" s="37" t="s">
        <v>394</v>
      </c>
      <c r="G211" s="37" t="s">
        <v>387</v>
      </c>
      <c r="H211" s="37" t="s">
        <v>460</v>
      </c>
      <c r="I211" s="37" t="s">
        <v>401</v>
      </c>
      <c r="J211" s="37" t="s">
        <v>410</v>
      </c>
      <c r="K211" s="63" t="s">
        <v>392</v>
      </c>
      <c r="L211" s="63" t="s">
        <v>412</v>
      </c>
      <c r="M211" s="63" t="s">
        <v>424</v>
      </c>
      <c r="N211" s="63" t="s">
        <v>433</v>
      </c>
      <c r="O211" s="63" t="s">
        <v>456</v>
      </c>
      <c r="P211" s="63" t="s">
        <v>443</v>
      </c>
      <c r="Q211" s="61" t="s">
        <v>445</v>
      </c>
    </row>
    <row r="213" spans="2:17" ht="15.75" x14ac:dyDescent="0.25">
      <c r="B213" s="131" t="s">
        <v>490</v>
      </c>
    </row>
    <row r="215" spans="2:17" x14ac:dyDescent="0.25">
      <c r="B215" s="3"/>
      <c r="C215" s="588" t="s">
        <v>357</v>
      </c>
      <c r="D215" s="589"/>
      <c r="E215" s="590"/>
    </row>
    <row r="216" spans="2:17" ht="26.25" x14ac:dyDescent="0.25">
      <c r="B216" s="103" t="s">
        <v>158</v>
      </c>
      <c r="C216" s="89" t="s">
        <v>478</v>
      </c>
      <c r="D216" s="89" t="s">
        <v>481</v>
      </c>
      <c r="E216" s="89" t="s">
        <v>482</v>
      </c>
      <c r="F216" s="89" t="s">
        <v>151</v>
      </c>
    </row>
    <row r="217" spans="2:17" x14ac:dyDescent="0.25">
      <c r="B217" s="108" t="s">
        <v>163</v>
      </c>
      <c r="C217" s="109" t="e">
        <f>VLOOKUP($B217,'Ref-Data'!$A:$N,MATCH("LGD %",'Ref-Data'!$A$1:$N$1,0),FALSE)</f>
        <v>#N/A</v>
      </c>
      <c r="D217" s="109" t="e">
        <f>VLOOKUP($B217,'Ref-Data'!$A:$N,MATCH("LGD-moodys",'Ref-Data'!$A$1:$N$1,0),FALSE)</f>
        <v>#N/A</v>
      </c>
      <c r="E217" s="107" t="e">
        <f>VLOOKUP($B217,'Ref-Data'!$A:$N,MATCH("LGD_2",'Ref-Data'!$A$1:$N$1,0),FALSE)</f>
        <v>#N/A</v>
      </c>
      <c r="F217" s="106" t="s">
        <v>483</v>
      </c>
    </row>
    <row r="218" spans="2:17" x14ac:dyDescent="0.25">
      <c r="B218" s="39" t="s">
        <v>127</v>
      </c>
      <c r="C218" s="33" t="e">
        <f>VLOOKUP($B218,'Ref-Data'!$A:$N,MATCH("LGD %",'Ref-Data'!$A$1:$N$1,0),FALSE)</f>
        <v>#N/A</v>
      </c>
      <c r="D218" s="33" t="e">
        <f>VLOOKUP($B218,'Ref-Data'!$A:$N,MATCH("LGD-moodys",'Ref-Data'!$A$1:$N$1,0),FALSE)</f>
        <v>#N/A</v>
      </c>
      <c r="E218" s="35" t="e">
        <f>VLOOKUP($B218,'Ref-Data'!$A:$N,MATCH("LGD_2",'Ref-Data'!$A$1:$N$1,0),FALSE)</f>
        <v>#N/A</v>
      </c>
      <c r="F218" s="110" t="s">
        <v>484</v>
      </c>
    </row>
    <row r="219" spans="2:17" x14ac:dyDescent="0.25">
      <c r="B219" s="39" t="s">
        <v>128</v>
      </c>
      <c r="C219" s="33" t="e">
        <f>VLOOKUP($B219,'Ref-Data'!$A:$N,MATCH("LGD %",'Ref-Data'!$A$1:$N$1,0),FALSE)</f>
        <v>#N/A</v>
      </c>
      <c r="D219" s="33" t="e">
        <f>VLOOKUP($B219,'Ref-Data'!$A:$N,MATCH("LGD-moodys",'Ref-Data'!$A$1:$N$1,0),FALSE)</f>
        <v>#N/A</v>
      </c>
      <c r="E219" s="35" t="e">
        <f>VLOOKUP($B219,'Ref-Data'!$A:$N,MATCH("LGD_2",'Ref-Data'!$A$1:$N$1,0),FALSE)</f>
        <v>#N/A</v>
      </c>
      <c r="F219" s="110" t="s">
        <v>485</v>
      </c>
    </row>
    <row r="220" spans="2:17" x14ac:dyDescent="0.25">
      <c r="B220" s="39" t="s">
        <v>168</v>
      </c>
      <c r="C220" s="33" t="e">
        <f>VLOOKUP($B220,'Ref-Data'!$A:$N,MATCH("LGD %",'Ref-Data'!$A$1:$N$1,0),FALSE)</f>
        <v>#N/A</v>
      </c>
      <c r="D220" s="33" t="e">
        <f>VLOOKUP($B220,'Ref-Data'!$A:$N,MATCH("LGD-moodys",'Ref-Data'!$A$1:$N$1,0),FALSE)</f>
        <v>#N/A</v>
      </c>
      <c r="E220" s="35" t="e">
        <f>VLOOKUP($B220,'Ref-Data'!$A:$N,MATCH("LGD_2",'Ref-Data'!$A$1:$N$1,0),FALSE)</f>
        <v>#N/A</v>
      </c>
      <c r="F220" s="110" t="s">
        <v>484</v>
      </c>
    </row>
    <row r="221" spans="2:17" ht="26.25" x14ac:dyDescent="0.25">
      <c r="B221" s="39" t="s">
        <v>167</v>
      </c>
      <c r="C221" s="33" t="e">
        <f>VLOOKUP($B221,'Ref-Data'!$A:$N,MATCH("LGD %",'Ref-Data'!$A$1:$N$1,0),FALSE)</f>
        <v>#N/A</v>
      </c>
      <c r="D221" s="33" t="e">
        <f>VLOOKUP($B221,'Ref-Data'!$A:$N,MATCH("LGD-moodys",'Ref-Data'!$A$1:$N$1,0),FALSE)</f>
        <v>#N/A</v>
      </c>
      <c r="E221" s="35" t="e">
        <f>VLOOKUP($B221,'Ref-Data'!$A:$N,MATCH("LGD_2",'Ref-Data'!$A$1:$N$1,0),FALSE)</f>
        <v>#N/A</v>
      </c>
      <c r="F221" s="110" t="s">
        <v>486</v>
      </c>
    </row>
    <row r="222" spans="2:17" x14ac:dyDescent="0.25">
      <c r="B222" s="39" t="s">
        <v>116</v>
      </c>
      <c r="C222" s="33" t="e">
        <f>VLOOKUP($B222,'Ref-Data'!$A:$N,MATCH("LGD %",'Ref-Data'!$A$1:$N$1,0),FALSE)</f>
        <v>#N/A</v>
      </c>
      <c r="D222" s="33" t="e">
        <f>VLOOKUP($B222,'Ref-Data'!$A:$N,MATCH("LGD-moodys",'Ref-Data'!$A$1:$N$1,0),FALSE)</f>
        <v>#N/A</v>
      </c>
      <c r="E222" s="35" t="e">
        <f>VLOOKUP($B222,'Ref-Data'!$A:$N,MATCH("LGD_2",'Ref-Data'!$A$1:$N$1,0),FALSE)</f>
        <v>#N/A</v>
      </c>
      <c r="F222" s="110" t="s">
        <v>484</v>
      </c>
    </row>
    <row r="223" spans="2:17" ht="26.25" x14ac:dyDescent="0.25">
      <c r="B223" s="39" t="s">
        <v>170</v>
      </c>
      <c r="C223" s="33" t="e">
        <f>VLOOKUP($B223,'Ref-Data'!$A:$N,MATCH("LGD %",'Ref-Data'!$A$1:$N$1,0),FALSE)</f>
        <v>#N/A</v>
      </c>
      <c r="D223" s="33" t="e">
        <f>VLOOKUP($B223,'Ref-Data'!$A:$N,MATCH("LGD-moodys",'Ref-Data'!$A$1:$N$1,0),FALSE)</f>
        <v>#N/A</v>
      </c>
      <c r="E223" s="35" t="e">
        <f>VLOOKUP($B223,'Ref-Data'!$A:$N,MATCH("LGD_2",'Ref-Data'!$A$1:$N$1,0),FALSE)</f>
        <v>#N/A</v>
      </c>
      <c r="F223" s="110" t="s">
        <v>487</v>
      </c>
    </row>
    <row r="224" spans="2:17" ht="26.25" x14ac:dyDescent="0.25">
      <c r="B224" s="39" t="s">
        <v>274</v>
      </c>
      <c r="C224" s="33" t="e">
        <f>VLOOKUP($B224,'Ref-Data'!$A:$N,MATCH("LGD %",'Ref-Data'!$A$1:$N$1,0),FALSE)</f>
        <v>#N/A</v>
      </c>
      <c r="D224" s="33" t="e">
        <f>VLOOKUP($B224,'Ref-Data'!$A:$N,MATCH("LGD-moodys",'Ref-Data'!$A$1:$N$1,0),FALSE)</f>
        <v>#N/A</v>
      </c>
      <c r="E224" s="35" t="e">
        <f>VLOOKUP($B224,'Ref-Data'!$A:$N,MATCH("LGD_2",'Ref-Data'!$A$1:$N$1,0),FALSE)</f>
        <v>#N/A</v>
      </c>
      <c r="F224" s="111" t="s">
        <v>488</v>
      </c>
    </row>
    <row r="225" spans="2:8" x14ac:dyDescent="0.25">
      <c r="B225" s="39" t="s">
        <v>109</v>
      </c>
      <c r="C225" s="33" t="e">
        <f>VLOOKUP($B225,'Ref-Data'!$A:$N,MATCH("LGD %",'Ref-Data'!$A$1:$N$1,0),FALSE)</f>
        <v>#N/A</v>
      </c>
      <c r="D225" s="33" t="e">
        <f>VLOOKUP($B225,'Ref-Data'!$A:$N,MATCH("LGD-moodys",'Ref-Data'!$A$1:$N$1,0),FALSE)</f>
        <v>#N/A</v>
      </c>
      <c r="E225" s="35" t="e">
        <f>VLOOKUP($B225,'Ref-Data'!$A:$N,MATCH("LGD_2",'Ref-Data'!$A$1:$N$1,0),FALSE)</f>
        <v>#N/A</v>
      </c>
      <c r="F225" s="110" t="s">
        <v>484</v>
      </c>
    </row>
    <row r="226" spans="2:8" ht="26.25" x14ac:dyDescent="0.25">
      <c r="B226" s="39" t="s">
        <v>135</v>
      </c>
      <c r="C226" s="33" t="e">
        <f>VLOOKUP($B226,'Ref-Data'!$A:$N,MATCH("LGD %",'Ref-Data'!$A$1:$N$1,0),FALSE)</f>
        <v>#N/A</v>
      </c>
      <c r="D226" s="33" t="e">
        <f>VLOOKUP($B226,'Ref-Data'!$A:$N,MATCH("LGD-moodys",'Ref-Data'!$A$1:$N$1,0),FALSE)</f>
        <v>#N/A</v>
      </c>
      <c r="E226" s="35" t="e">
        <f>VLOOKUP($B226,'Ref-Data'!$A:$N,MATCH("LGD_2",'Ref-Data'!$A$1:$N$1,0),FALSE)</f>
        <v>#N/A</v>
      </c>
      <c r="F226" s="111" t="s">
        <v>489</v>
      </c>
      <c r="H226" t="s">
        <v>541</v>
      </c>
    </row>
    <row r="227" spans="2:8" ht="26.25" x14ac:dyDescent="0.25">
      <c r="B227" s="39" t="s">
        <v>166</v>
      </c>
      <c r="C227" s="33" t="e">
        <f>VLOOKUP($B227,'Ref-Data'!$A:$N,MATCH("LGD %",'Ref-Data'!$A$1:$N$1,0),FALSE)</f>
        <v>#N/A</v>
      </c>
      <c r="D227" s="33" t="e">
        <f>VLOOKUP($B227,'Ref-Data'!$A:$N,MATCH("LGD-moodys",'Ref-Data'!$A$1:$N$1,0),FALSE)</f>
        <v>#N/A</v>
      </c>
      <c r="E227" s="35" t="e">
        <f>VLOOKUP($B227,'Ref-Data'!$A:$N,MATCH("LGD_2",'Ref-Data'!$A$1:$N$1,0),FALSE)</f>
        <v>#N/A</v>
      </c>
      <c r="F227" s="111" t="s">
        <v>489</v>
      </c>
    </row>
    <row r="228" spans="2:8" x14ac:dyDescent="0.25">
      <c r="B228" s="39" t="s">
        <v>139</v>
      </c>
      <c r="C228" s="33" t="e">
        <f>VLOOKUP($B228,'Ref-Data'!$A:$N,MATCH("LGD %",'Ref-Data'!$A$1:$N$1,0),FALSE)</f>
        <v>#N/A</v>
      </c>
      <c r="D228" s="33" t="e">
        <f>VLOOKUP($B228,'Ref-Data'!$A:$N,MATCH("LGD-moodys",'Ref-Data'!$A$1:$N$1,0),FALSE)</f>
        <v>#N/A</v>
      </c>
      <c r="E228" s="35" t="e">
        <f>VLOOKUP($B228,'Ref-Data'!$A:$N,MATCH("LGD_2",'Ref-Data'!$A$1:$N$1,0),FALSE)</f>
        <v>#N/A</v>
      </c>
      <c r="F228" s="110" t="s">
        <v>484</v>
      </c>
    </row>
    <row r="229" spans="2:8" ht="26.25" x14ac:dyDescent="0.25">
      <c r="B229" s="39" t="s">
        <v>129</v>
      </c>
      <c r="C229" s="33" t="e">
        <f>VLOOKUP($B229,'Ref-Data'!$A:$N,MATCH("LGD %",'Ref-Data'!$A$1:$N$1,0),FALSE)</f>
        <v>#N/A</v>
      </c>
      <c r="D229" s="33" t="e">
        <f>VLOOKUP($B229,'Ref-Data'!$A:$N,MATCH("LGD-moodys",'Ref-Data'!$A$1:$N$1,0),FALSE)</f>
        <v>#N/A</v>
      </c>
      <c r="E229" s="35" t="e">
        <f>VLOOKUP($B229,'Ref-Data'!$A:$N,MATCH("LGD_2",'Ref-Data'!$A$1:$N$1,0),FALSE)</f>
        <v>#N/A</v>
      </c>
      <c r="F229" s="112" t="s">
        <v>494</v>
      </c>
    </row>
    <row r="230" spans="2:8" x14ac:dyDescent="0.25">
      <c r="B230" s="39" t="s">
        <v>230</v>
      </c>
      <c r="C230" s="33" t="e">
        <f>VLOOKUP($B230,'Ref-Data'!$A:$N,MATCH("LGD %",'Ref-Data'!$A$1:$N$1,0),FALSE)</f>
        <v>#N/A</v>
      </c>
      <c r="D230" s="33" t="e">
        <f>VLOOKUP($B230,'Ref-Data'!$A:$N,MATCH("LGD-moodys",'Ref-Data'!$A$1:$N$1,0),FALSE)</f>
        <v>#N/A</v>
      </c>
      <c r="E230" s="35" t="e">
        <f>VLOOKUP($B230,'Ref-Data'!$A:$N,MATCH("LGD_2",'Ref-Data'!$A$1:$N$1,0),FALSE)</f>
        <v>#N/A</v>
      </c>
      <c r="F230" s="110" t="s">
        <v>484</v>
      </c>
    </row>
    <row r="231" spans="2:8" x14ac:dyDescent="0.25">
      <c r="B231" s="39" t="s">
        <v>133</v>
      </c>
      <c r="C231" s="33" t="e">
        <f>VLOOKUP($B231,'Ref-Data'!$A:$N,MATCH("LGD %",'Ref-Data'!$A$1:$N$1,0),FALSE)</f>
        <v>#N/A</v>
      </c>
      <c r="D231" s="33" t="e">
        <f>VLOOKUP($B231,'Ref-Data'!$A:$N,MATCH("LGD-moodys",'Ref-Data'!$A$1:$N$1,0),FALSE)</f>
        <v>#N/A</v>
      </c>
      <c r="E231" s="35" t="e">
        <f>VLOOKUP($B231,'Ref-Data'!$A:$N,MATCH("LGD_2",'Ref-Data'!$A$1:$N$1,0),FALSE)</f>
        <v>#N/A</v>
      </c>
      <c r="F231" s="110" t="s">
        <v>484</v>
      </c>
    </row>
    <row r="232" spans="2:8" ht="26.25" x14ac:dyDescent="0.25">
      <c r="B232" s="39" t="s">
        <v>225</v>
      </c>
      <c r="C232" s="33" t="e">
        <f>VLOOKUP($B232,'Ref-Data'!$A:$N,MATCH("LGD %",'Ref-Data'!$A$1:$N$1,0),FALSE)</f>
        <v>#N/A</v>
      </c>
      <c r="D232" s="33" t="e">
        <f>VLOOKUP($B232,'Ref-Data'!$A:$N,MATCH("LGD-moodys",'Ref-Data'!$A$1:$N$1,0),FALSE)</f>
        <v>#N/A</v>
      </c>
      <c r="E232" s="35" t="e">
        <f>VLOOKUP($B232,'Ref-Data'!$A:$N,MATCH("LGD_2",'Ref-Data'!$A$1:$N$1,0),FALSE)</f>
        <v>#N/A</v>
      </c>
      <c r="F232" s="110" t="s">
        <v>496</v>
      </c>
    </row>
    <row r="233" spans="2:8" ht="27.75" customHeight="1" x14ac:dyDescent="0.25">
      <c r="B233" s="39" t="s">
        <v>140</v>
      </c>
      <c r="C233" s="33" t="e">
        <f>VLOOKUP($B233,'Ref-Data'!$A:$N,MATCH("LGD %",'Ref-Data'!$A$1:$N$1,0),FALSE)</f>
        <v>#N/A</v>
      </c>
      <c r="D233" s="33" t="e">
        <f>VLOOKUP($B233,'Ref-Data'!$A:$N,MATCH("LGD-moodys",'Ref-Data'!$A$1:$N$1,0),FALSE)</f>
        <v>#N/A</v>
      </c>
      <c r="E233" s="35" t="e">
        <f>VLOOKUP($B233,'Ref-Data'!$A:$N,MATCH("LGD_2",'Ref-Data'!$A$1:$N$1,0),FALSE)</f>
        <v>#N/A</v>
      </c>
      <c r="F233" s="113" t="s">
        <v>495</v>
      </c>
    </row>
    <row r="234" spans="2:8" ht="26.25" x14ac:dyDescent="0.25">
      <c r="B234" s="39" t="s">
        <v>113</v>
      </c>
      <c r="C234" s="33" t="e">
        <f>VLOOKUP($B234,'Ref-Data'!$A:$N,MATCH("LGD %",'Ref-Data'!$A$1:$N$1,0),FALSE)</f>
        <v>#N/A</v>
      </c>
      <c r="D234" s="33" t="e">
        <f>VLOOKUP($B234,'Ref-Data'!$A:$N,MATCH("LGD-moodys",'Ref-Data'!$A$1:$N$1,0),FALSE)</f>
        <v>#N/A</v>
      </c>
      <c r="E234" s="35" t="e">
        <f>VLOOKUP($B234,'Ref-Data'!$A:$N,MATCH("LGD_2",'Ref-Data'!$A$1:$N$1,0),FALSE)</f>
        <v>#N/A</v>
      </c>
      <c r="F234" s="110" t="s">
        <v>484</v>
      </c>
    </row>
    <row r="235" spans="2:8" x14ac:dyDescent="0.25">
      <c r="B235" s="39" t="s">
        <v>142</v>
      </c>
      <c r="C235" s="33" t="e">
        <f>VLOOKUP($B235,'Ref-Data'!$A:$N,MATCH("LGD %",'Ref-Data'!$A$1:$N$1,0),FALSE)</f>
        <v>#N/A</v>
      </c>
      <c r="D235" s="33" t="e">
        <f>VLOOKUP($B235,'Ref-Data'!$A:$N,MATCH("LGD-moodys",'Ref-Data'!$A$1:$N$1,0),FALSE)</f>
        <v>#N/A</v>
      </c>
      <c r="E235" s="35" t="e">
        <f>VLOOKUP($B235,'Ref-Data'!$A:$N,MATCH("LGD_2",'Ref-Data'!$A$1:$N$1,0),FALSE)</f>
        <v>#N/A</v>
      </c>
      <c r="F235" s="110" t="s">
        <v>484</v>
      </c>
    </row>
    <row r="236" spans="2:8" x14ac:dyDescent="0.25">
      <c r="B236" s="40" t="s">
        <v>217</v>
      </c>
      <c r="C236" s="37" t="e">
        <f>VLOOKUP($B236,'Ref-Data'!$A:$N,MATCH("LGD %",'Ref-Data'!$A$1:$N$1,0),FALSE)</f>
        <v>#N/A</v>
      </c>
      <c r="D236" s="37" t="e">
        <f>VLOOKUP($B236,'Ref-Data'!$A:$N,MATCH("LGD-moodys",'Ref-Data'!$A$1:$N$1,0),FALSE)</f>
        <v>#N/A</v>
      </c>
      <c r="E236" s="38" t="e">
        <f>VLOOKUP($B236,'Ref-Data'!$A:$N,MATCH("LGD_2",'Ref-Data'!$A$1:$N$1,0),FALSE)</f>
        <v>#N/A</v>
      </c>
      <c r="F236" s="46" t="s">
        <v>484</v>
      </c>
    </row>
  </sheetData>
  <mergeCells count="27">
    <mergeCell ref="C20:D20"/>
    <mergeCell ref="E144:G144"/>
    <mergeCell ref="C90:D90"/>
    <mergeCell ref="E20:G20"/>
    <mergeCell ref="G38:I38"/>
    <mergeCell ref="C74:E74"/>
    <mergeCell ref="F74:H74"/>
    <mergeCell ref="I74:K74"/>
    <mergeCell ref="E90:G90"/>
    <mergeCell ref="C107:E107"/>
    <mergeCell ref="F107:H107"/>
    <mergeCell ref="I107:K107"/>
    <mergeCell ref="C123:E123"/>
    <mergeCell ref="J38:L38"/>
    <mergeCell ref="C44:E44"/>
    <mergeCell ref="F44:H44"/>
    <mergeCell ref="I44:K44"/>
    <mergeCell ref="C62:E62"/>
    <mergeCell ref="F62:H62"/>
    <mergeCell ref="I62:K62"/>
    <mergeCell ref="H144:J144"/>
    <mergeCell ref="C215:E215"/>
    <mergeCell ref="F123:H123"/>
    <mergeCell ref="I123:K123"/>
    <mergeCell ref="C135:E135"/>
    <mergeCell ref="F135:H135"/>
    <mergeCell ref="I135:K135"/>
  </mergeCells>
  <dataValidations disablePrompts="1" count="1">
    <dataValidation type="custom" allowBlank="1" showInputMessage="1" showErrorMessage="1" errorTitle="Firm Name Already Exists" error="The firm already exists. Please edit the existing firm or choose a new name." sqref="B209" xr:uid="{C648709B-0B4F-49B8-932E-2033E47DAC38}">
      <formula1>COUNTIF($C$14:$C$1038,B209) = 1</formula1>
    </dataValidation>
  </dataValidations>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AD325-DCEA-49E9-8829-51ED8FD92CF7}">
  <sheetPr codeName="Sheet39"/>
  <dimension ref="B2:K30"/>
  <sheetViews>
    <sheetView showGridLines="0" zoomScale="80" zoomScaleNormal="80" workbookViewId="0"/>
  </sheetViews>
  <sheetFormatPr defaultRowHeight="15" x14ac:dyDescent="0.25"/>
  <cols>
    <col min="1" max="1" width="5.85546875" customWidth="1"/>
    <col min="2" max="2" width="72.42578125" bestFit="1" customWidth="1"/>
    <col min="6" max="6" width="27.28515625" bestFit="1" customWidth="1"/>
    <col min="7" max="7" width="15.5703125" bestFit="1" customWidth="1"/>
    <col min="8" max="8" width="15.7109375" bestFit="1" customWidth="1"/>
  </cols>
  <sheetData>
    <row r="2" spans="2:11" ht="18.75" x14ac:dyDescent="0.3">
      <c r="B2" s="98" t="s">
        <v>473</v>
      </c>
      <c r="F2" s="27" t="s">
        <v>464</v>
      </c>
      <c r="K2" s="27"/>
    </row>
    <row r="3" spans="2:11" ht="18.75" x14ac:dyDescent="0.3">
      <c r="B3" s="27" t="s">
        <v>497</v>
      </c>
    </row>
    <row r="5" spans="2:11" x14ac:dyDescent="0.25">
      <c r="B5" s="48" t="s">
        <v>198</v>
      </c>
      <c r="F5" s="97" t="s">
        <v>465</v>
      </c>
      <c r="G5" s="97" t="s">
        <v>466</v>
      </c>
      <c r="H5" s="97" t="s">
        <v>477</v>
      </c>
    </row>
    <row r="6" spans="2:11" x14ac:dyDescent="0.25">
      <c r="B6" s="47" t="s">
        <v>199</v>
      </c>
      <c r="F6" s="47" t="s">
        <v>467</v>
      </c>
      <c r="G6" s="96">
        <v>0.05</v>
      </c>
      <c r="H6" s="96">
        <v>0.08</v>
      </c>
      <c r="K6" s="4"/>
    </row>
    <row r="7" spans="2:11" x14ac:dyDescent="0.25">
      <c r="B7" s="47" t="s">
        <v>200</v>
      </c>
      <c r="F7" s="47" t="s">
        <v>468</v>
      </c>
      <c r="G7" s="96">
        <v>0.23</v>
      </c>
      <c r="H7" s="96">
        <v>0.08</v>
      </c>
    </row>
    <row r="8" spans="2:11" x14ac:dyDescent="0.25">
      <c r="B8" s="47" t="s">
        <v>201</v>
      </c>
      <c r="F8" s="47" t="s">
        <v>281</v>
      </c>
      <c r="G8" s="96">
        <v>0.48</v>
      </c>
      <c r="H8" s="96">
        <v>0.28000000000000003</v>
      </c>
    </row>
    <row r="9" spans="2:11" x14ac:dyDescent="0.25">
      <c r="B9" s="47" t="s">
        <v>202</v>
      </c>
      <c r="F9" s="47" t="s">
        <v>469</v>
      </c>
      <c r="G9" s="96">
        <v>0.52</v>
      </c>
      <c r="H9" s="96">
        <v>0.28000000000000003</v>
      </c>
    </row>
    <row r="10" spans="2:11" x14ac:dyDescent="0.25">
      <c r="B10" s="47" t="s">
        <v>203</v>
      </c>
      <c r="F10" s="47" t="s">
        <v>470</v>
      </c>
      <c r="G10" s="96">
        <v>0.76</v>
      </c>
      <c r="H10" s="96">
        <v>0.28000000000000003</v>
      </c>
    </row>
    <row r="11" spans="2:11" x14ac:dyDescent="0.25">
      <c r="B11" s="47" t="s">
        <v>204</v>
      </c>
      <c r="F11" s="47" t="s">
        <v>471</v>
      </c>
      <c r="G11" s="96">
        <v>0.85</v>
      </c>
      <c r="H11" s="96">
        <v>0.28000000000000003</v>
      </c>
    </row>
    <row r="12" spans="2:11" x14ac:dyDescent="0.25">
      <c r="B12" s="47" t="s">
        <v>206</v>
      </c>
      <c r="F12" s="47" t="s">
        <v>472</v>
      </c>
      <c r="G12" s="96">
        <v>1</v>
      </c>
      <c r="H12" s="96">
        <v>0.45</v>
      </c>
    </row>
    <row r="13" spans="2:11" x14ac:dyDescent="0.25">
      <c r="B13" s="47" t="s">
        <v>220</v>
      </c>
      <c r="F13" s="100" t="s">
        <v>475</v>
      </c>
      <c r="G13" s="100"/>
      <c r="H13" s="101">
        <v>0.08</v>
      </c>
    </row>
    <row r="14" spans="2:11" x14ac:dyDescent="0.25">
      <c r="B14" s="47" t="s">
        <v>205</v>
      </c>
    </row>
    <row r="15" spans="2:11" x14ac:dyDescent="0.25">
      <c r="B15" s="47" t="s">
        <v>323</v>
      </c>
      <c r="F15" s="102" t="s">
        <v>476</v>
      </c>
    </row>
    <row r="16" spans="2:11" x14ac:dyDescent="0.25">
      <c r="B16" s="49" t="s">
        <v>324</v>
      </c>
    </row>
    <row r="18" spans="2:6" ht="18.75" x14ac:dyDescent="0.3">
      <c r="B18" s="27" t="s">
        <v>219</v>
      </c>
      <c r="F18" s="66"/>
    </row>
    <row r="19" spans="2:6" x14ac:dyDescent="0.25">
      <c r="F19" s="66"/>
    </row>
    <row r="20" spans="2:6" x14ac:dyDescent="0.25">
      <c r="B20" s="48" t="s">
        <v>207</v>
      </c>
      <c r="F20" s="66"/>
    </row>
    <row r="21" spans="2:6" x14ac:dyDescent="0.25">
      <c r="B21" s="49" t="s">
        <v>208</v>
      </c>
    </row>
    <row r="22" spans="2:6" x14ac:dyDescent="0.25">
      <c r="B22" s="51"/>
    </row>
    <row r="23" spans="2:6" x14ac:dyDescent="0.25">
      <c r="F23" s="4"/>
    </row>
    <row r="24" spans="2:6" ht="18.75" x14ac:dyDescent="0.3">
      <c r="B24" s="27" t="s">
        <v>491</v>
      </c>
    </row>
    <row r="26" spans="2:6" x14ac:dyDescent="0.25">
      <c r="B26" s="48" t="s">
        <v>210</v>
      </c>
    </row>
    <row r="27" spans="2:6" x14ac:dyDescent="0.25">
      <c r="B27" s="47" t="s">
        <v>211</v>
      </c>
    </row>
    <row r="28" spans="2:6" x14ac:dyDescent="0.25">
      <c r="B28" s="47" t="s">
        <v>212</v>
      </c>
    </row>
    <row r="29" spans="2:6" x14ac:dyDescent="0.25">
      <c r="B29" s="47" t="s">
        <v>492</v>
      </c>
    </row>
    <row r="30" spans="2:6" x14ac:dyDescent="0.25">
      <c r="B30" s="100" t="s">
        <v>493</v>
      </c>
    </row>
  </sheetData>
  <pageMargins left="0.7" right="0.7" top="0.75" bottom="0.75" header="0.3" footer="0.3"/>
  <pageSetup paperSize="9"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32083-165D-4E69-A3E8-445A821F740A}">
  <sheetPr codeName="Sheet40"/>
  <dimension ref="A1:T70"/>
  <sheetViews>
    <sheetView zoomScale="90" zoomScaleNormal="90" workbookViewId="0">
      <pane xSplit="1" ySplit="1" topLeftCell="I2" activePane="bottomRight" state="frozenSplit"/>
      <selection pane="topRight" activeCell="G1" sqref="G1"/>
      <selection pane="bottomLeft" activeCell="A14" sqref="A14"/>
      <selection pane="bottomRight" activeCell="U1" sqref="U1:V1048576"/>
    </sheetView>
  </sheetViews>
  <sheetFormatPr defaultRowHeight="15" x14ac:dyDescent="0.25"/>
  <cols>
    <col min="1" max="1" width="45" customWidth="1"/>
    <col min="3" max="4" width="16.140625" bestFit="1" customWidth="1"/>
    <col min="8" max="8" width="9.140625" style="68"/>
    <col min="10" max="10" width="9.140625" style="68"/>
    <col min="13" max="13" width="13.85546875" style="66" bestFit="1" customWidth="1"/>
    <col min="15" max="15" width="20.85546875" customWidth="1"/>
    <col min="16" max="16" width="20.5703125" bestFit="1" customWidth="1"/>
    <col min="17" max="17" width="9.140625" style="68"/>
    <col min="22" max="22" width="13" bestFit="1" customWidth="1"/>
  </cols>
  <sheetData>
    <row r="1" spans="1:20" x14ac:dyDescent="0.25">
      <c r="A1" t="s">
        <v>239</v>
      </c>
      <c r="B1" t="s">
        <v>238</v>
      </c>
      <c r="C1" t="s">
        <v>240</v>
      </c>
      <c r="D1" t="s">
        <v>241</v>
      </c>
      <c r="E1" t="s">
        <v>242</v>
      </c>
      <c r="F1" t="s">
        <v>243</v>
      </c>
      <c r="G1" t="s">
        <v>244</v>
      </c>
      <c r="H1" s="68" t="s">
        <v>245</v>
      </c>
      <c r="I1" t="s">
        <v>246</v>
      </c>
      <c r="J1" s="68" t="s">
        <v>247</v>
      </c>
      <c r="K1" t="s">
        <v>248</v>
      </c>
      <c r="L1" t="s">
        <v>249</v>
      </c>
      <c r="M1" s="70" t="s">
        <v>250</v>
      </c>
      <c r="N1" t="s">
        <v>251</v>
      </c>
      <c r="O1" t="s">
        <v>366</v>
      </c>
      <c r="P1" s="2" t="s">
        <v>362</v>
      </c>
      <c r="Q1" s="68" t="s">
        <v>247</v>
      </c>
      <c r="R1" t="s">
        <v>375</v>
      </c>
      <c r="S1" t="s">
        <v>376</v>
      </c>
      <c r="T1" t="s">
        <v>377</v>
      </c>
    </row>
    <row r="2" spans="1:20" x14ac:dyDescent="0.25">
      <c r="A2" t="s">
        <v>163</v>
      </c>
      <c r="B2" t="s">
        <v>252</v>
      </c>
      <c r="C2">
        <v>2107006.25</v>
      </c>
      <c r="D2">
        <v>2107006.25</v>
      </c>
      <c r="E2">
        <v>42311</v>
      </c>
      <c r="F2">
        <v>45110</v>
      </c>
      <c r="G2">
        <v>4.4900752908966464</v>
      </c>
      <c r="H2" s="68">
        <v>1.6500000000000001E-2</v>
      </c>
      <c r="I2">
        <v>3</v>
      </c>
      <c r="J2" s="68">
        <v>0.23419999999999999</v>
      </c>
      <c r="K2">
        <v>3</v>
      </c>
      <c r="L2" s="56">
        <v>1</v>
      </c>
      <c r="M2" s="66">
        <v>8192.8252366125016</v>
      </c>
      <c r="N2">
        <v>3.4456946031410447</v>
      </c>
      <c r="O2" t="e">
        <f>VLOOKUP(A2,#REF!,5,FALSE)</f>
        <v>#REF!</v>
      </c>
      <c r="P2" s="66">
        <v>9893.9610106231994</v>
      </c>
      <c r="Q2" s="68">
        <v>0.23419999999999999</v>
      </c>
      <c r="R2" s="68" t="e">
        <f>VLOOKUP(A2,#REF!,49,FALSE)</f>
        <v>#REF!</v>
      </c>
      <c r="S2" s="68">
        <f t="shared" ref="S2:S33" si="0">M2/$C$2</f>
        <v>3.8883725364424059E-3</v>
      </c>
      <c r="T2" s="68">
        <f t="shared" ref="T2:T33" si="1">P2/$C$2</f>
        <v>4.6957435511276718E-3</v>
      </c>
    </row>
    <row r="3" spans="1:20" x14ac:dyDescent="0.25">
      <c r="A3" t="s">
        <v>165</v>
      </c>
      <c r="B3" t="s">
        <v>254</v>
      </c>
      <c r="C3">
        <v>154519.84</v>
      </c>
      <c r="D3">
        <v>154519.84</v>
      </c>
      <c r="E3">
        <v>42549</v>
      </c>
      <c r="F3">
        <v>44627</v>
      </c>
      <c r="G3">
        <v>3.8384668035592062</v>
      </c>
      <c r="H3" s="68">
        <v>1.78E-2</v>
      </c>
      <c r="I3">
        <v>3</v>
      </c>
      <c r="J3" s="68">
        <v>0.05</v>
      </c>
      <c r="K3">
        <v>1</v>
      </c>
      <c r="L3" s="56">
        <v>1</v>
      </c>
      <c r="M3" s="66">
        <v>138.22602460000002</v>
      </c>
      <c r="N3">
        <v>17.370296477019796</v>
      </c>
      <c r="O3" t="e">
        <f>VLOOKUP(A3,#REF!,5,FALSE)</f>
        <v>#REF!</v>
      </c>
      <c r="P3" s="66">
        <v>61.125685594011223</v>
      </c>
      <c r="Q3" s="68">
        <v>0.05</v>
      </c>
      <c r="R3" s="68" t="e">
        <f>VLOOKUP(A3,#REF!,49,FALSE)</f>
        <v>#REF!</v>
      </c>
      <c r="S3" s="68">
        <f t="shared" si="0"/>
        <v>6.5603044414320083E-5</v>
      </c>
      <c r="T3" s="68">
        <f t="shared" si="1"/>
        <v>2.901068072010286E-5</v>
      </c>
    </row>
    <row r="4" spans="1:20" x14ac:dyDescent="0.25">
      <c r="A4" t="s">
        <v>127</v>
      </c>
      <c r="B4" t="s">
        <v>256</v>
      </c>
      <c r="C4">
        <v>13500000</v>
      </c>
      <c r="D4">
        <v>13500000</v>
      </c>
      <c r="E4">
        <v>42580</v>
      </c>
      <c r="F4">
        <v>44770</v>
      </c>
      <c r="G4">
        <v>3.7535934291581108</v>
      </c>
      <c r="H4" s="68">
        <v>1.5299999999999999E-2</v>
      </c>
      <c r="I4">
        <v>3</v>
      </c>
      <c r="J4" s="68">
        <v>0.8448</v>
      </c>
      <c r="K4">
        <v>6</v>
      </c>
      <c r="L4" s="56">
        <v>1</v>
      </c>
      <c r="M4" s="66">
        <v>174521.70005276159</v>
      </c>
      <c r="N4">
        <v>4.7445680390504066</v>
      </c>
      <c r="O4" t="e">
        <f>VLOOKUP(A4,#REF!,5,FALSE)</f>
        <v>#REF!</v>
      </c>
      <c r="P4" s="66">
        <v>59672.084092153178</v>
      </c>
      <c r="Q4" s="68">
        <v>0.8448</v>
      </c>
      <c r="R4" s="68" t="e">
        <f>VLOOKUP(A4,#REF!,49,FALSE)</f>
        <v>#REF!</v>
      </c>
      <c r="S4" s="68">
        <f t="shared" si="0"/>
        <v>8.2829227513094267E-2</v>
      </c>
      <c r="T4" s="68">
        <f t="shared" si="1"/>
        <v>2.8320791213672564E-2</v>
      </c>
    </row>
    <row r="5" spans="1:20" x14ac:dyDescent="0.25">
      <c r="A5" s="2" t="s">
        <v>128</v>
      </c>
      <c r="B5" t="s">
        <v>258</v>
      </c>
      <c r="C5">
        <v>985000</v>
      </c>
      <c r="D5">
        <v>985000</v>
      </c>
      <c r="E5">
        <v>42755</v>
      </c>
      <c r="F5">
        <v>44377</v>
      </c>
      <c r="G5">
        <v>3.2744695414099931</v>
      </c>
      <c r="H5" s="68">
        <v>2.1499999999999998E-2</v>
      </c>
      <c r="I5">
        <v>4</v>
      </c>
      <c r="J5" s="68">
        <v>0.75</v>
      </c>
      <c r="K5">
        <v>6</v>
      </c>
      <c r="L5" s="56">
        <v>1</v>
      </c>
      <c r="M5" s="66">
        <v>15885.627116250002</v>
      </c>
      <c r="N5">
        <v>6.6850263941292525</v>
      </c>
      <c r="O5" t="e">
        <f>VLOOKUP(A5,#REF!,5,FALSE)</f>
        <v>#REF!</v>
      </c>
      <c r="P5" s="66">
        <v>5681.0546737502846</v>
      </c>
      <c r="Q5" s="68">
        <v>0.75</v>
      </c>
      <c r="R5" s="68" t="e">
        <f>VLOOKUP(A5,#REF!,49,FALSE)</f>
        <v>#REF!</v>
      </c>
      <c r="S5" s="68">
        <f t="shared" si="0"/>
        <v>7.5394304673989465E-3</v>
      </c>
      <c r="T5" s="68">
        <f t="shared" si="1"/>
        <v>2.6962685439353988E-3</v>
      </c>
    </row>
    <row r="6" spans="1:20" x14ac:dyDescent="0.25">
      <c r="A6" t="s">
        <v>168</v>
      </c>
      <c r="B6" t="s">
        <v>260</v>
      </c>
      <c r="C6" s="66">
        <v>416673</v>
      </c>
      <c r="D6">
        <v>416673</v>
      </c>
      <c r="E6">
        <v>42804</v>
      </c>
      <c r="F6">
        <v>44630</v>
      </c>
      <c r="G6">
        <v>3.14031485284052</v>
      </c>
      <c r="H6" s="68">
        <v>2.0500000000000001E-2</v>
      </c>
      <c r="I6">
        <v>4</v>
      </c>
      <c r="J6" s="68">
        <v>0.23</v>
      </c>
      <c r="K6">
        <v>3</v>
      </c>
      <c r="L6" s="56">
        <v>1</v>
      </c>
      <c r="M6" s="66">
        <v>1972.8570896000003</v>
      </c>
      <c r="N6">
        <v>4.7198299634786522</v>
      </c>
      <c r="O6" t="e">
        <f>VLOOKUP(A6,#REF!,5,FALSE)</f>
        <v>#REF!</v>
      </c>
      <c r="P6" s="66">
        <v>1960.2554972457847</v>
      </c>
      <c r="Q6" s="68">
        <v>0.23</v>
      </c>
      <c r="R6" s="68" t="e">
        <f>VLOOKUP(A6,#REF!,49,FALSE)</f>
        <v>#REF!</v>
      </c>
      <c r="S6" s="68">
        <f t="shared" si="0"/>
        <v>9.3633186403694832E-4</v>
      </c>
      <c r="T6" s="4">
        <f t="shared" si="1"/>
        <v>9.303510595878796E-4</v>
      </c>
    </row>
    <row r="7" spans="1:20" x14ac:dyDescent="0.25">
      <c r="A7" t="s">
        <v>167</v>
      </c>
      <c r="B7" t="s">
        <v>261</v>
      </c>
      <c r="C7">
        <v>5586000</v>
      </c>
      <c r="D7">
        <v>5576708.2999999998</v>
      </c>
      <c r="E7">
        <v>42811</v>
      </c>
      <c r="F7">
        <v>43938</v>
      </c>
      <c r="G7">
        <v>3.1211498973305956</v>
      </c>
      <c r="H7" s="68">
        <v>1.7000000000000001E-2</v>
      </c>
      <c r="I7">
        <v>3</v>
      </c>
      <c r="J7" s="68">
        <v>0.82920000000000005</v>
      </c>
      <c r="K7">
        <v>6</v>
      </c>
      <c r="L7" s="56">
        <v>1</v>
      </c>
      <c r="M7" s="66">
        <v>79526.32762923601</v>
      </c>
      <c r="N7">
        <v>2.97</v>
      </c>
      <c r="O7" t="e">
        <f>VLOOKUP(A7,#REF!,5,FALSE)</f>
        <v>#REF!</v>
      </c>
      <c r="P7" s="66">
        <v>39472.994346978485</v>
      </c>
      <c r="Q7" s="68">
        <v>0.82920000000000005</v>
      </c>
      <c r="R7" s="68" t="e">
        <f>VLOOKUP(A7,#REF!,49,FALSE)</f>
        <v>#REF!</v>
      </c>
      <c r="S7" s="68">
        <f t="shared" si="0"/>
        <v>3.774375497426076E-2</v>
      </c>
      <c r="T7" s="68">
        <f t="shared" si="1"/>
        <v>1.8734161014936943E-2</v>
      </c>
    </row>
    <row r="8" spans="1:20" x14ac:dyDescent="0.25">
      <c r="A8" t="s">
        <v>126</v>
      </c>
      <c r="B8" t="s">
        <v>263</v>
      </c>
      <c r="C8">
        <v>10000</v>
      </c>
      <c r="D8">
        <v>10000</v>
      </c>
      <c r="E8">
        <v>42837</v>
      </c>
      <c r="F8">
        <v>44298</v>
      </c>
      <c r="G8">
        <v>3.0499657768651609</v>
      </c>
      <c r="H8" s="68">
        <v>1.6500000000000001E-2</v>
      </c>
      <c r="I8">
        <v>3</v>
      </c>
      <c r="J8" s="68">
        <v>0.05</v>
      </c>
      <c r="K8">
        <v>1</v>
      </c>
      <c r="L8" s="56">
        <v>1</v>
      </c>
      <c r="M8" s="66">
        <v>8.2513777500000174</v>
      </c>
      <c r="N8">
        <v>6.9339589576740117</v>
      </c>
      <c r="O8" t="e">
        <f>VLOOKUP(A8,#REF!,5,FALSE)</f>
        <v>#REF!</v>
      </c>
      <c r="P8" s="66">
        <v>2.6361071619271801</v>
      </c>
      <c r="Q8" s="68">
        <v>0.05</v>
      </c>
      <c r="R8" s="68" t="e">
        <f>VLOOKUP(A8,#REF!,49,FALSE)</f>
        <v>#REF!</v>
      </c>
      <c r="S8" s="68">
        <f t="shared" si="0"/>
        <v>3.9161619715176533E-6</v>
      </c>
      <c r="T8" s="68">
        <f t="shared" si="1"/>
        <v>1.2511150177780346E-6</v>
      </c>
    </row>
    <row r="9" spans="1:20" x14ac:dyDescent="0.25">
      <c r="A9" t="s">
        <v>265</v>
      </c>
      <c r="B9" t="s">
        <v>263</v>
      </c>
      <c r="C9">
        <v>492501</v>
      </c>
      <c r="D9">
        <v>492501</v>
      </c>
      <c r="E9">
        <v>42837</v>
      </c>
      <c r="F9">
        <v>44663</v>
      </c>
      <c r="G9">
        <v>3.0499657768651609</v>
      </c>
      <c r="H9" s="68">
        <v>1.6500000000000001E-2</v>
      </c>
      <c r="I9">
        <v>3</v>
      </c>
      <c r="J9" s="68">
        <v>0.05</v>
      </c>
      <c r="K9">
        <v>1</v>
      </c>
      <c r="L9" s="56">
        <v>1</v>
      </c>
      <c r="M9" s="66">
        <v>406.39405950000003</v>
      </c>
      <c r="N9">
        <v>6.9339589576740117</v>
      </c>
      <c r="O9" t="e">
        <f>VLOOKUP(A9,#REF!,5,FALSE)</f>
        <v>#REF!</v>
      </c>
      <c r="P9" s="66">
        <v>394.12974877991979</v>
      </c>
      <c r="Q9" s="68">
        <v>0.05</v>
      </c>
      <c r="R9" s="68" t="e">
        <f>VLOOKUP(A9,#REF!,49,FALSE)</f>
        <v>#REF!</v>
      </c>
      <c r="S9" s="68">
        <f t="shared" si="0"/>
        <v>1.9287748173504469E-4</v>
      </c>
      <c r="T9" s="68">
        <f t="shared" si="1"/>
        <v>1.8705675352406753E-4</v>
      </c>
    </row>
    <row r="10" spans="1:20" x14ac:dyDescent="0.25">
      <c r="A10" s="69" t="s">
        <v>210</v>
      </c>
      <c r="B10" t="s">
        <v>266</v>
      </c>
      <c r="C10">
        <v>4587698</v>
      </c>
      <c r="D10">
        <v>4587698</v>
      </c>
      <c r="E10">
        <v>42838</v>
      </c>
      <c r="F10">
        <v>43922</v>
      </c>
      <c r="G10">
        <v>3.0472279260780288</v>
      </c>
      <c r="H10" s="68">
        <v>1.95E-2</v>
      </c>
      <c r="I10">
        <v>3</v>
      </c>
      <c r="J10" s="68">
        <v>0.25559999999999999</v>
      </c>
      <c r="K10">
        <v>3</v>
      </c>
      <c r="L10" s="56">
        <v>1</v>
      </c>
      <c r="M10" s="66">
        <v>23113.576114902004</v>
      </c>
      <c r="N10">
        <v>1.32</v>
      </c>
      <c r="O10" t="e">
        <f>VLOOKUP(A10,#REF!,5,FALSE)</f>
        <v>#REF!</v>
      </c>
      <c r="P10" s="66">
        <v>23113.576114902004</v>
      </c>
      <c r="Q10" s="68">
        <v>0.25559999999999999</v>
      </c>
      <c r="R10" s="68" t="e">
        <f>VLOOKUP(A10,#REF!,49,FALSE)</f>
        <v>#REF!</v>
      </c>
      <c r="S10" s="68">
        <f t="shared" si="0"/>
        <v>1.0969865948381502E-2</v>
      </c>
      <c r="T10" s="68">
        <f t="shared" si="1"/>
        <v>1.0969865948381502E-2</v>
      </c>
    </row>
    <row r="11" spans="1:20" x14ac:dyDescent="0.25">
      <c r="A11" t="s">
        <v>136</v>
      </c>
      <c r="B11" t="s">
        <v>268</v>
      </c>
      <c r="C11">
        <v>5517000</v>
      </c>
      <c r="D11">
        <v>5517000</v>
      </c>
      <c r="E11">
        <v>42852</v>
      </c>
      <c r="F11">
        <v>46136</v>
      </c>
      <c r="G11">
        <v>3.0088980150581794</v>
      </c>
      <c r="H11" s="68">
        <v>1.2999999999999999E-2</v>
      </c>
      <c r="I11">
        <v>2</v>
      </c>
      <c r="J11" s="68">
        <v>0.2402</v>
      </c>
      <c r="K11">
        <v>3</v>
      </c>
      <c r="L11" s="56">
        <v>1</v>
      </c>
      <c r="M11" s="66">
        <v>17398.128811101997</v>
      </c>
      <c r="N11">
        <v>6.3039048502428576</v>
      </c>
      <c r="O11" t="e">
        <f>VLOOKUP(A11,#REF!,5,FALSE)</f>
        <v>#REF!</v>
      </c>
      <c r="P11" s="66">
        <v>4595.3521401064181</v>
      </c>
      <c r="Q11" s="68">
        <v>0.2402</v>
      </c>
      <c r="R11" s="68" t="e">
        <f>VLOOKUP(A11,#REF!,49,FALSE)</f>
        <v>#REF!</v>
      </c>
      <c r="S11" s="68">
        <f t="shared" si="0"/>
        <v>8.2572744200934359E-3</v>
      </c>
      <c r="T11" s="68">
        <f t="shared" si="1"/>
        <v>2.1809864779026725E-3</v>
      </c>
    </row>
    <row r="12" spans="1:20" x14ac:dyDescent="0.25">
      <c r="A12" t="s">
        <v>116</v>
      </c>
      <c r="B12" t="s">
        <v>270</v>
      </c>
      <c r="C12">
        <v>27000000</v>
      </c>
      <c r="D12">
        <v>26966528</v>
      </c>
      <c r="E12">
        <v>42853</v>
      </c>
      <c r="F12">
        <v>43949</v>
      </c>
      <c r="G12">
        <v>3.0061601642710474</v>
      </c>
      <c r="H12" s="68">
        <v>2.1999999999999999E-2</v>
      </c>
      <c r="I12">
        <v>4</v>
      </c>
      <c r="J12" s="68">
        <v>0.2036</v>
      </c>
      <c r="K12">
        <v>3</v>
      </c>
      <c r="L12" s="56">
        <v>1</v>
      </c>
      <c r="M12" s="66">
        <v>120811.12286012</v>
      </c>
      <c r="N12" t="s">
        <v>271</v>
      </c>
      <c r="O12" t="e">
        <f>VLOOKUP(A12,#REF!,5,FALSE)</f>
        <v>#REF!</v>
      </c>
      <c r="P12" s="66">
        <v>10948.15715406249</v>
      </c>
      <c r="Q12" s="68">
        <v>0.2036</v>
      </c>
      <c r="R12" s="68" t="e">
        <f>VLOOKUP(A12,#REF!,49,FALSE)</f>
        <v>#REF!</v>
      </c>
      <c r="S12" s="68">
        <f t="shared" si="0"/>
        <v>5.7337809444143795E-2</v>
      </c>
      <c r="T12" s="68">
        <f t="shared" si="1"/>
        <v>5.1960724625579489E-3</v>
      </c>
    </row>
    <row r="13" spans="1:20" x14ac:dyDescent="0.25">
      <c r="A13" t="s">
        <v>124</v>
      </c>
      <c r="B13" t="s">
        <v>272</v>
      </c>
      <c r="C13">
        <v>20000000</v>
      </c>
      <c r="D13">
        <v>17000000</v>
      </c>
      <c r="E13">
        <v>42886</v>
      </c>
      <c r="F13">
        <v>44712</v>
      </c>
      <c r="G13">
        <v>2.9158110882956878</v>
      </c>
      <c r="H13" s="68">
        <v>1.7999999999999999E-2</v>
      </c>
      <c r="I13">
        <v>3</v>
      </c>
      <c r="J13" s="68">
        <v>0.42480000000000001</v>
      </c>
      <c r="K13">
        <v>4</v>
      </c>
      <c r="L13" s="56">
        <v>1</v>
      </c>
      <c r="M13" s="66">
        <v>141480.82597363199</v>
      </c>
      <c r="N13">
        <v>3.5195364365969528</v>
      </c>
      <c r="O13" t="e">
        <f>VLOOKUP(A13,#REF!,5,FALSE)</f>
        <v>#REF!</v>
      </c>
      <c r="P13" s="66">
        <v>142464.11783327549</v>
      </c>
      <c r="Q13" s="68">
        <v>0.42480000000000001</v>
      </c>
      <c r="R13" s="68" t="e">
        <f>VLOOKUP(A13,#REF!,49,FALSE)</f>
        <v>#REF!</v>
      </c>
      <c r="S13" s="68">
        <f t="shared" si="0"/>
        <v>6.7147796060705561E-2</v>
      </c>
      <c r="T13" s="68">
        <f t="shared" si="1"/>
        <v>6.7614473299865863E-2</v>
      </c>
    </row>
    <row r="14" spans="1:20" x14ac:dyDescent="0.25">
      <c r="A14" t="s">
        <v>170</v>
      </c>
      <c r="B14" t="s">
        <v>273</v>
      </c>
      <c r="C14">
        <v>5000000.2300000004</v>
      </c>
      <c r="D14">
        <v>5000000.2300000004</v>
      </c>
      <c r="E14">
        <v>43007</v>
      </c>
      <c r="F14">
        <v>44833</v>
      </c>
      <c r="G14">
        <v>2.5845311430527036</v>
      </c>
      <c r="H14" s="68">
        <v>1.5299999999999999E-2</v>
      </c>
      <c r="I14">
        <v>3</v>
      </c>
      <c r="J14" s="68">
        <v>0.19359999999999999</v>
      </c>
      <c r="K14">
        <v>2</v>
      </c>
      <c r="L14" s="56">
        <v>1</v>
      </c>
      <c r="M14" s="66">
        <v>15060.877157779199</v>
      </c>
      <c r="N14">
        <v>0</v>
      </c>
      <c r="O14" t="e">
        <f>VLOOKUP(A14,#REF!,5,FALSE)</f>
        <v>#REF!</v>
      </c>
      <c r="P14" s="66">
        <v>32916.403965100093</v>
      </c>
      <c r="Q14" s="68">
        <v>0.19359999999999999</v>
      </c>
      <c r="R14" s="68" t="e">
        <f>VLOOKUP(A14,#REF!,49,FALSE)</f>
        <v>#REF!</v>
      </c>
      <c r="S14" s="68">
        <f t="shared" si="0"/>
        <v>7.147998330702246E-3</v>
      </c>
      <c r="T14" s="68">
        <f t="shared" si="1"/>
        <v>1.5622357059975542E-2</v>
      </c>
    </row>
    <row r="15" spans="1:20" x14ac:dyDescent="0.25">
      <c r="A15" t="s">
        <v>274</v>
      </c>
      <c r="B15" t="s">
        <v>273</v>
      </c>
      <c r="C15">
        <v>6800000</v>
      </c>
      <c r="D15">
        <v>6800000</v>
      </c>
      <c r="E15">
        <v>43007</v>
      </c>
      <c r="F15">
        <v>44103</v>
      </c>
      <c r="G15">
        <v>2.5845311430527036</v>
      </c>
      <c r="H15" s="68">
        <v>1.5299999999999999E-2</v>
      </c>
      <c r="I15">
        <v>3</v>
      </c>
      <c r="J15" s="68">
        <v>1</v>
      </c>
      <c r="K15">
        <v>7</v>
      </c>
      <c r="L15" s="56">
        <v>1</v>
      </c>
      <c r="M15" s="66">
        <v>106223.69142899997</v>
      </c>
      <c r="N15">
        <v>0</v>
      </c>
      <c r="O15" t="e">
        <f>VLOOKUP(A15,#REF!,5,FALSE)</f>
        <v>#REF!</v>
      </c>
      <c r="P15" s="66">
        <v>118969.84018724338</v>
      </c>
      <c r="Q15" s="68">
        <v>1</v>
      </c>
      <c r="R15" s="68" t="e">
        <f>VLOOKUP(A15,#REF!,49,FALSE)</f>
        <v>#REF!</v>
      </c>
      <c r="S15" s="68">
        <f t="shared" si="0"/>
        <v>5.0414511788467627E-2</v>
      </c>
      <c r="T15" s="68">
        <f t="shared" si="1"/>
        <v>5.6463923724594259E-2</v>
      </c>
    </row>
    <row r="16" spans="1:20" x14ac:dyDescent="0.25">
      <c r="A16" s="69" t="s">
        <v>211</v>
      </c>
      <c r="B16" t="s">
        <v>275</v>
      </c>
      <c r="C16">
        <v>9722974</v>
      </c>
      <c r="D16">
        <v>9512476</v>
      </c>
      <c r="E16">
        <v>43028</v>
      </c>
      <c r="F16">
        <v>43956</v>
      </c>
      <c r="G16">
        <v>2.5270362765229293</v>
      </c>
      <c r="H16" s="68">
        <v>2.2800000000000001E-2</v>
      </c>
      <c r="I16">
        <v>4</v>
      </c>
      <c r="J16" s="68">
        <v>0.2402</v>
      </c>
      <c r="K16">
        <v>3</v>
      </c>
      <c r="L16" s="56">
        <v>1</v>
      </c>
      <c r="M16" s="66">
        <v>52105.316072208007</v>
      </c>
      <c r="N16">
        <v>0</v>
      </c>
      <c r="O16" t="e">
        <f>VLOOKUP(A16,#REF!,5,FALSE)</f>
        <v>#REF!</v>
      </c>
      <c r="P16" s="66">
        <v>52105.316072208007</v>
      </c>
      <c r="Q16" s="68">
        <v>0.2402</v>
      </c>
      <c r="R16" s="68" t="e">
        <f>VLOOKUP(A16,#REF!,49,FALSE)</f>
        <v>#REF!</v>
      </c>
      <c r="S16" s="68">
        <f t="shared" si="0"/>
        <v>2.4729549839829855E-2</v>
      </c>
      <c r="T16" s="68">
        <f t="shared" si="1"/>
        <v>2.4729549839829855E-2</v>
      </c>
    </row>
    <row r="17" spans="1:20" x14ac:dyDescent="0.25">
      <c r="A17" t="s">
        <v>227</v>
      </c>
      <c r="B17" t="s">
        <v>276</v>
      </c>
      <c r="C17">
        <v>10500000</v>
      </c>
      <c r="D17">
        <v>5800000</v>
      </c>
      <c r="E17">
        <v>43045</v>
      </c>
      <c r="F17">
        <v>44140</v>
      </c>
      <c r="G17">
        <v>2.4804928131416837</v>
      </c>
      <c r="H17" s="68">
        <v>1.38E-2</v>
      </c>
      <c r="I17">
        <v>2</v>
      </c>
      <c r="J17" s="68">
        <v>0.14000000000000001</v>
      </c>
      <c r="K17">
        <v>2</v>
      </c>
      <c r="L17" s="56">
        <v>1</v>
      </c>
      <c r="M17" s="66">
        <v>11239.830944159999</v>
      </c>
      <c r="N17">
        <v>0</v>
      </c>
      <c r="O17" t="e">
        <f>VLOOKUP(A17,#REF!,5,FALSE)</f>
        <v>#REF!</v>
      </c>
      <c r="P17" s="66">
        <v>3059.7255369791833</v>
      </c>
      <c r="Q17" s="68">
        <v>0.14000000000000001</v>
      </c>
      <c r="R17" s="68" t="e">
        <f>VLOOKUP(A17,#REF!,49,FALSE)</f>
        <v>#REF!</v>
      </c>
      <c r="S17" s="68">
        <f t="shared" si="0"/>
        <v>5.3345028967806806E-3</v>
      </c>
      <c r="T17" s="68">
        <f t="shared" si="1"/>
        <v>1.4521672809367241E-3</v>
      </c>
    </row>
    <row r="18" spans="1:20" x14ac:dyDescent="0.25">
      <c r="A18" t="s">
        <v>109</v>
      </c>
      <c r="B18" t="s">
        <v>278</v>
      </c>
      <c r="C18">
        <v>3288636.2</v>
      </c>
      <c r="D18">
        <v>2540666.36</v>
      </c>
      <c r="E18">
        <v>43073</v>
      </c>
      <c r="F18">
        <v>44900</v>
      </c>
      <c r="G18">
        <v>2.4038329911019849</v>
      </c>
      <c r="H18" s="68">
        <v>1.55E-2</v>
      </c>
      <c r="I18">
        <v>3</v>
      </c>
      <c r="J18" s="68">
        <v>0.78349999999999997</v>
      </c>
      <c r="K18">
        <v>6</v>
      </c>
      <c r="L18" s="56">
        <v>1</v>
      </c>
      <c r="M18" s="66">
        <v>35402.105878329996</v>
      </c>
      <c r="N18">
        <v>5.9254708026696319</v>
      </c>
      <c r="O18" t="e">
        <f>VLOOKUP(A18,#REF!,5,FALSE)</f>
        <v>#REF!</v>
      </c>
      <c r="P18" s="66">
        <v>20753.087834757243</v>
      </c>
      <c r="Q18" s="68">
        <v>0.78349999999999997</v>
      </c>
      <c r="R18" s="68" t="e">
        <f>VLOOKUP(A18,#REF!,49,FALSE)</f>
        <v>#REF!</v>
      </c>
      <c r="S18" s="68">
        <f t="shared" si="0"/>
        <v>1.6802088687838491E-2</v>
      </c>
      <c r="T18" s="68">
        <f t="shared" si="1"/>
        <v>9.8495615923100584E-3</v>
      </c>
    </row>
    <row r="19" spans="1:20" x14ac:dyDescent="0.25">
      <c r="A19" t="s">
        <v>135</v>
      </c>
      <c r="B19" t="s">
        <v>279</v>
      </c>
      <c r="C19">
        <v>2355265</v>
      </c>
      <c r="D19">
        <v>1855265</v>
      </c>
      <c r="E19">
        <v>43132</v>
      </c>
      <c r="F19">
        <v>44958</v>
      </c>
      <c r="G19">
        <v>2.2422997946611911</v>
      </c>
      <c r="H19" s="68">
        <v>2.23E-2</v>
      </c>
      <c r="I19">
        <v>4</v>
      </c>
      <c r="J19" s="68">
        <v>1</v>
      </c>
      <c r="K19">
        <v>7</v>
      </c>
      <c r="L19" s="56">
        <v>1</v>
      </c>
      <c r="M19" s="66">
        <v>46984.283442</v>
      </c>
      <c r="N19">
        <v>6.1806212298210745</v>
      </c>
      <c r="O19" t="e">
        <f>VLOOKUP(A19,#REF!,5,FALSE)</f>
        <v>#REF!</v>
      </c>
      <c r="P19" s="66">
        <v>32960.080520186799</v>
      </c>
      <c r="Q19" s="68">
        <v>1</v>
      </c>
      <c r="R19" s="68" t="e">
        <f>VLOOKUP(A19,#REF!,49,FALSE)</f>
        <v>#REF!</v>
      </c>
      <c r="S19" s="68">
        <f t="shared" si="0"/>
        <v>2.2299071700428035E-2</v>
      </c>
      <c r="T19" s="68">
        <f t="shared" si="1"/>
        <v>1.5643086260511471E-2</v>
      </c>
    </row>
    <row r="20" spans="1:20" x14ac:dyDescent="0.25">
      <c r="A20" t="s">
        <v>166</v>
      </c>
      <c r="B20" t="s">
        <v>280</v>
      </c>
      <c r="C20">
        <v>645835</v>
      </c>
      <c r="D20">
        <v>645835</v>
      </c>
      <c r="E20">
        <v>43133</v>
      </c>
      <c r="F20">
        <v>44594</v>
      </c>
      <c r="G20">
        <v>2.239561943874059</v>
      </c>
      <c r="H20" s="68">
        <v>0.08</v>
      </c>
      <c r="I20">
        <v>8</v>
      </c>
      <c r="J20" s="68">
        <v>1</v>
      </c>
      <c r="K20">
        <v>7</v>
      </c>
      <c r="L20" s="56">
        <v>2</v>
      </c>
      <c r="M20" s="66">
        <v>51984.915999999997</v>
      </c>
      <c r="N20" t="s">
        <v>271</v>
      </c>
      <c r="O20" t="e">
        <f>VLOOKUP(A20,#REF!,5,FALSE)</f>
        <v>#REF!</v>
      </c>
      <c r="P20" s="66">
        <v>19518.816230043449</v>
      </c>
      <c r="Q20" s="68">
        <v>1</v>
      </c>
      <c r="R20" s="68" t="e">
        <f>VLOOKUP(A20,#REF!,49,FALSE)</f>
        <v>#REF!</v>
      </c>
      <c r="S20" s="68">
        <f t="shared" si="0"/>
        <v>2.4672407117919085E-2</v>
      </c>
      <c r="T20" s="68">
        <f t="shared" si="1"/>
        <v>9.2637675991912461E-3</v>
      </c>
    </row>
    <row r="21" spans="1:20" x14ac:dyDescent="0.25">
      <c r="A21" t="s">
        <v>117</v>
      </c>
      <c r="B21" t="s">
        <v>283</v>
      </c>
      <c r="C21">
        <v>7050000</v>
      </c>
      <c r="D21">
        <v>5950000</v>
      </c>
      <c r="E21">
        <v>43144</v>
      </c>
      <c r="F21">
        <v>44970</v>
      </c>
      <c r="G21">
        <v>2.2094455852156059</v>
      </c>
      <c r="H21" s="68">
        <v>1.7500000000000002E-2</v>
      </c>
      <c r="I21">
        <v>3</v>
      </c>
      <c r="J21" s="68">
        <v>0.63280000000000003</v>
      </c>
      <c r="K21">
        <v>5</v>
      </c>
      <c r="L21" s="56">
        <v>1</v>
      </c>
      <c r="M21" s="66">
        <v>71992.296476660005</v>
      </c>
      <c r="N21">
        <v>4.5702849998640911</v>
      </c>
      <c r="O21" t="e">
        <f>VLOOKUP(A21,#REF!,5,FALSE)</f>
        <v>#REF!</v>
      </c>
      <c r="P21" s="66">
        <v>171778.31890529362</v>
      </c>
      <c r="Q21" s="68">
        <v>0.63280000000000003</v>
      </c>
      <c r="R21" s="68" t="e">
        <f>VLOOKUP(A21,#REF!,49,FALSE)</f>
        <v>#REF!</v>
      </c>
      <c r="S21" s="68">
        <f t="shared" si="0"/>
        <v>3.4168050748145627E-2</v>
      </c>
      <c r="T21" s="68">
        <f t="shared" si="1"/>
        <v>8.1527199506548034E-2</v>
      </c>
    </row>
    <row r="22" spans="1:20" x14ac:dyDescent="0.25">
      <c r="A22" t="s">
        <v>106</v>
      </c>
      <c r="B22" t="s">
        <v>284</v>
      </c>
      <c r="C22">
        <v>25000000</v>
      </c>
      <c r="D22">
        <v>11832383</v>
      </c>
      <c r="E22">
        <v>43168</v>
      </c>
      <c r="F22">
        <v>44994</v>
      </c>
      <c r="G22">
        <v>2.1437371663244353</v>
      </c>
      <c r="H22" s="68">
        <v>1.4800000000000001E-2</v>
      </c>
      <c r="I22">
        <v>2</v>
      </c>
      <c r="J22" s="68">
        <v>0.68440000000000001</v>
      </c>
      <c r="K22">
        <v>5</v>
      </c>
      <c r="L22" s="56">
        <v>1</v>
      </c>
      <c r="M22" s="66">
        <v>187168.2958641584</v>
      </c>
      <c r="N22">
        <v>2.4172160722297478</v>
      </c>
      <c r="O22" t="e">
        <f>VLOOKUP(A22,#REF!,5,FALSE)</f>
        <v>#REF!</v>
      </c>
      <c r="P22" s="66">
        <v>148293.58934299788</v>
      </c>
      <c r="Q22" s="68">
        <v>0.68440000000000001</v>
      </c>
      <c r="R22" s="68" t="e">
        <f>VLOOKUP(A22,#REF!,49,FALSE)</f>
        <v>#REF!</v>
      </c>
      <c r="S22" s="68">
        <f t="shared" si="0"/>
        <v>8.8831390919774628E-2</v>
      </c>
      <c r="T22" s="68">
        <f t="shared" si="1"/>
        <v>7.0381181519038147E-2</v>
      </c>
    </row>
    <row r="23" spans="1:20" x14ac:dyDescent="0.25">
      <c r="A23" t="s">
        <v>139</v>
      </c>
      <c r="B23" t="s">
        <v>286</v>
      </c>
      <c r="C23">
        <v>6630000</v>
      </c>
      <c r="D23">
        <v>6630000</v>
      </c>
      <c r="E23">
        <v>43173</v>
      </c>
      <c r="F23">
        <v>45730</v>
      </c>
      <c r="G23">
        <v>2.130047912388775</v>
      </c>
      <c r="H23" s="68">
        <v>2.0799999999999999E-2</v>
      </c>
      <c r="I23">
        <v>4</v>
      </c>
      <c r="J23" s="68">
        <v>0.2</v>
      </c>
      <c r="K23">
        <v>3</v>
      </c>
      <c r="L23" s="56">
        <v>1</v>
      </c>
      <c r="M23" s="66">
        <v>27707.778508799995</v>
      </c>
      <c r="N23">
        <v>1.69</v>
      </c>
      <c r="O23" t="e">
        <f>VLOOKUP(A23,#REF!,5,FALSE)</f>
        <v>#REF!</v>
      </c>
      <c r="P23" s="66">
        <v>20451.716632416897</v>
      </c>
      <c r="Q23" s="68">
        <v>0.2</v>
      </c>
      <c r="R23" s="68" t="e">
        <f>VLOOKUP(A23,#REF!,49,FALSE)</f>
        <v>#REF!</v>
      </c>
      <c r="S23" s="68">
        <f t="shared" si="0"/>
        <v>1.315030674863921E-2</v>
      </c>
      <c r="T23" s="68">
        <f t="shared" si="1"/>
        <v>9.7065286979651326E-3</v>
      </c>
    </row>
    <row r="24" spans="1:20" x14ac:dyDescent="0.25">
      <c r="A24" t="s">
        <v>132</v>
      </c>
      <c r="B24" t="s">
        <v>287</v>
      </c>
      <c r="C24">
        <v>7021436</v>
      </c>
      <c r="D24">
        <v>7021436</v>
      </c>
      <c r="E24">
        <v>43220</v>
      </c>
      <c r="F24">
        <v>45777</v>
      </c>
      <c r="G24">
        <v>2.001368925393566</v>
      </c>
      <c r="H24" s="68">
        <v>1.2999999999999999E-2</v>
      </c>
      <c r="I24">
        <v>2</v>
      </c>
      <c r="J24" s="68">
        <v>0.2402</v>
      </c>
      <c r="K24">
        <v>3</v>
      </c>
      <c r="L24" s="56">
        <v>1</v>
      </c>
      <c r="M24" s="66">
        <v>21928.265648223998</v>
      </c>
      <c r="N24">
        <v>3.1061666526707814</v>
      </c>
      <c r="O24" t="e">
        <f>VLOOKUP(A24,#REF!,5,FALSE)</f>
        <v>#REF!</v>
      </c>
      <c r="P24" s="66">
        <v>27636.181842368347</v>
      </c>
      <c r="Q24" s="68">
        <v>0.2402</v>
      </c>
      <c r="R24" s="68" t="e">
        <f>VLOOKUP(A24,#REF!,49,FALSE)</f>
        <v>#REF!</v>
      </c>
      <c r="S24" s="68">
        <f t="shared" si="0"/>
        <v>1.0407309256070786E-2</v>
      </c>
      <c r="T24" s="68">
        <f t="shared" si="1"/>
        <v>1.3116326466695742E-2</v>
      </c>
    </row>
    <row r="25" spans="1:20" x14ac:dyDescent="0.25">
      <c r="A25" t="s">
        <v>129</v>
      </c>
      <c r="B25" t="s">
        <v>288</v>
      </c>
      <c r="C25">
        <v>37500000</v>
      </c>
      <c r="D25">
        <v>17967725.899999999</v>
      </c>
      <c r="E25">
        <v>43257</v>
      </c>
      <c r="F25">
        <v>45083</v>
      </c>
      <c r="G25">
        <v>1.9000684462696784</v>
      </c>
      <c r="H25" s="68">
        <v>1.43E-2</v>
      </c>
      <c r="I25">
        <v>2</v>
      </c>
      <c r="J25" s="68">
        <v>0.25490000000000002</v>
      </c>
      <c r="K25">
        <v>3</v>
      </c>
      <c r="L25" s="56">
        <v>1</v>
      </c>
      <c r="M25" s="66">
        <v>83214.699857274711</v>
      </c>
      <c r="N25">
        <v>1.6430423059838342</v>
      </c>
      <c r="O25" t="e">
        <f>VLOOKUP(A25,#REF!,5,FALSE)</f>
        <v>#REF!</v>
      </c>
      <c r="P25" s="66">
        <v>145121.44156173515</v>
      </c>
      <c r="Q25" s="68">
        <v>0.25490000000000002</v>
      </c>
      <c r="R25" s="68" t="e">
        <f>VLOOKUP(A25,#REF!,49,FALSE)</f>
        <v>#REF!</v>
      </c>
      <c r="S25" s="68">
        <f t="shared" si="0"/>
        <v>3.9494282400574135E-2</v>
      </c>
      <c r="T25" s="68">
        <f t="shared" si="1"/>
        <v>6.8875657849489125E-2</v>
      </c>
    </row>
    <row r="26" spans="1:20" x14ac:dyDescent="0.25">
      <c r="A26" t="s">
        <v>112</v>
      </c>
      <c r="B26" t="s">
        <v>289</v>
      </c>
      <c r="C26">
        <v>6500000</v>
      </c>
      <c r="D26">
        <v>6500000</v>
      </c>
      <c r="E26">
        <v>43266</v>
      </c>
      <c r="F26">
        <v>45553</v>
      </c>
      <c r="G26">
        <v>1.8754277891854894</v>
      </c>
      <c r="H26" s="68">
        <v>1.5800000000000002E-2</v>
      </c>
      <c r="I26">
        <v>3</v>
      </c>
      <c r="J26" s="68">
        <v>0.47099999999999997</v>
      </c>
      <c r="K26">
        <v>4</v>
      </c>
      <c r="L26" s="56">
        <v>1</v>
      </c>
      <c r="M26" s="66">
        <v>48466.879580148008</v>
      </c>
      <c r="N26">
        <v>14.388592054130061</v>
      </c>
      <c r="O26" t="e">
        <f>VLOOKUP(A26,#REF!,5,FALSE)</f>
        <v>#REF!</v>
      </c>
      <c r="P26" s="66">
        <v>43814.254808905389</v>
      </c>
      <c r="Q26" s="68">
        <v>0.47099999999999997</v>
      </c>
      <c r="R26" s="68" t="e">
        <f>VLOOKUP(A26,#REF!,49,FALSE)</f>
        <v>#REF!</v>
      </c>
      <c r="S26" s="68">
        <f t="shared" si="0"/>
        <v>2.300272226536965E-2</v>
      </c>
      <c r="T26" s="68">
        <f t="shared" si="1"/>
        <v>2.0794553793518831E-2</v>
      </c>
    </row>
    <row r="27" spans="1:20" x14ac:dyDescent="0.25">
      <c r="A27" t="s">
        <v>221</v>
      </c>
      <c r="B27" t="s">
        <v>291</v>
      </c>
      <c r="C27">
        <v>1500000</v>
      </c>
      <c r="D27">
        <v>0</v>
      </c>
      <c r="E27">
        <v>43279</v>
      </c>
      <c r="F27">
        <v>44740</v>
      </c>
      <c r="G27">
        <v>1.839835728952772</v>
      </c>
      <c r="H27" s="68">
        <v>1.43E-2</v>
      </c>
      <c r="I27">
        <v>2</v>
      </c>
      <c r="J27" s="68">
        <v>0.126</v>
      </c>
      <c r="K27">
        <v>2</v>
      </c>
      <c r="L27" s="56">
        <v>1</v>
      </c>
      <c r="M27" s="72">
        <v>1351.35</v>
      </c>
      <c r="N27">
        <v>0</v>
      </c>
      <c r="O27" s="69" t="e">
        <f>VLOOKUP(A27,#REF!,5,FALSE)</f>
        <v>#REF!</v>
      </c>
      <c r="P27" s="66">
        <v>1162.3499999999999</v>
      </c>
      <c r="Q27" s="68">
        <v>0.126</v>
      </c>
      <c r="R27" s="68" t="e">
        <f>VLOOKUP(A27,#REF!,49,FALSE)</f>
        <v>#REF!</v>
      </c>
      <c r="S27" s="68">
        <f t="shared" si="0"/>
        <v>6.4136022377721941E-4</v>
      </c>
      <c r="T27" s="68">
        <f t="shared" si="1"/>
        <v>5.5165949317900688E-4</v>
      </c>
    </row>
    <row r="28" spans="1:20" x14ac:dyDescent="0.25">
      <c r="A28" t="s">
        <v>224</v>
      </c>
      <c r="B28" t="s">
        <v>293</v>
      </c>
      <c r="C28">
        <v>10000000</v>
      </c>
      <c r="D28">
        <v>2501000</v>
      </c>
      <c r="E28">
        <v>43290</v>
      </c>
      <c r="F28">
        <v>44386</v>
      </c>
      <c r="G28">
        <v>1.8097193702943191</v>
      </c>
      <c r="H28" s="68">
        <v>2.2800000000000001E-2</v>
      </c>
      <c r="I28">
        <v>4</v>
      </c>
      <c r="J28" s="68">
        <v>0.05</v>
      </c>
      <c r="K28">
        <v>1</v>
      </c>
      <c r="L28" s="56">
        <v>1</v>
      </c>
      <c r="M28" s="66">
        <v>2862.8437872000004</v>
      </c>
      <c r="N28">
        <v>3.2</v>
      </c>
      <c r="O28" t="e">
        <f>VLOOKUP(A28,#REF!,5,FALSE)</f>
        <v>#REF!</v>
      </c>
      <c r="P28" s="66">
        <v>644.24582569619724</v>
      </c>
      <c r="Q28" s="68">
        <v>0.05</v>
      </c>
      <c r="R28" s="68" t="e">
        <f>VLOOKUP(A28,#REF!,49,FALSE)</f>
        <v>#REF!</v>
      </c>
      <c r="S28" s="68">
        <f t="shared" si="0"/>
        <v>1.3587258164041993E-3</v>
      </c>
      <c r="T28" s="68">
        <f t="shared" si="1"/>
        <v>3.057636044962834E-4</v>
      </c>
    </row>
    <row r="29" spans="1:20" x14ac:dyDescent="0.25">
      <c r="A29" t="s">
        <v>229</v>
      </c>
      <c r="B29" t="s">
        <v>294</v>
      </c>
      <c r="C29">
        <v>4000000</v>
      </c>
      <c r="D29">
        <v>2500000</v>
      </c>
      <c r="E29">
        <v>43298</v>
      </c>
      <c r="F29">
        <v>44186</v>
      </c>
      <c r="G29">
        <v>1.7878165639972621</v>
      </c>
      <c r="H29" s="68">
        <v>2.2800000000000001E-2</v>
      </c>
      <c r="I29">
        <v>4</v>
      </c>
      <c r="J29" s="68">
        <v>0.05</v>
      </c>
      <c r="K29">
        <v>1</v>
      </c>
      <c r="L29" s="56">
        <v>1</v>
      </c>
      <c r="M29" s="66">
        <v>2878.4935931999999</v>
      </c>
      <c r="N29">
        <v>14.050241052631579</v>
      </c>
      <c r="O29" t="e">
        <f>VLOOKUP(A29,#REF!,5,FALSE)</f>
        <v>#REF!</v>
      </c>
      <c r="P29" s="66">
        <v>2230.6160409378735</v>
      </c>
      <c r="Q29" s="68">
        <v>0.05</v>
      </c>
      <c r="R29" s="68" t="e">
        <f>VLOOKUP(A29,#REF!,49,FALSE)</f>
        <v>#REF!</v>
      </c>
      <c r="S29" s="68">
        <f t="shared" si="0"/>
        <v>1.3661533245095973E-3</v>
      </c>
      <c r="T29" s="68">
        <f t="shared" si="1"/>
        <v>1.0586660770170347E-3</v>
      </c>
    </row>
    <row r="30" spans="1:20" x14ac:dyDescent="0.25">
      <c r="A30" t="s">
        <v>108</v>
      </c>
      <c r="B30" t="s">
        <v>295</v>
      </c>
      <c r="C30">
        <v>10500000</v>
      </c>
      <c r="D30">
        <v>9000000</v>
      </c>
      <c r="E30">
        <v>43304</v>
      </c>
      <c r="F30">
        <v>45131</v>
      </c>
      <c r="G30">
        <v>1.7713894592744694</v>
      </c>
      <c r="H30" s="68">
        <v>1.4E-2</v>
      </c>
      <c r="I30">
        <v>2</v>
      </c>
      <c r="J30" s="68">
        <v>0.5827</v>
      </c>
      <c r="K30">
        <v>5</v>
      </c>
      <c r="L30" s="56">
        <v>1</v>
      </c>
      <c r="M30" s="66">
        <v>80406.014720835999</v>
      </c>
      <c r="N30">
        <v>5.2291693937803938</v>
      </c>
      <c r="O30" t="e">
        <f>VLOOKUP(A30,#REF!,5,FALSE)</f>
        <v>#REF!</v>
      </c>
      <c r="P30" s="66">
        <v>61210.317485330102</v>
      </c>
      <c r="Q30" s="68">
        <v>0.5827</v>
      </c>
      <c r="R30" s="68" t="e">
        <f>VLOOKUP(A30,#REF!,49,FALSE)</f>
        <v>#REF!</v>
      </c>
      <c r="S30" s="68">
        <f t="shared" si="0"/>
        <v>3.81612606611091E-2</v>
      </c>
      <c r="T30" s="68">
        <f t="shared" si="1"/>
        <v>2.9050847611548424E-2</v>
      </c>
    </row>
    <row r="31" spans="1:20" x14ac:dyDescent="0.25">
      <c r="A31" t="s">
        <v>164</v>
      </c>
      <c r="B31" t="s">
        <v>297</v>
      </c>
      <c r="C31">
        <v>429149</v>
      </c>
      <c r="D31">
        <v>429149</v>
      </c>
      <c r="E31">
        <v>43329</v>
      </c>
      <c r="F31">
        <v>44425</v>
      </c>
      <c r="G31">
        <v>1.7029431895961671</v>
      </c>
      <c r="H31" s="68">
        <v>2.5000000000000001E-2</v>
      </c>
      <c r="I31">
        <v>5</v>
      </c>
      <c r="J31" s="68">
        <v>0.3014</v>
      </c>
      <c r="K31">
        <v>4</v>
      </c>
      <c r="L31" s="56">
        <v>1</v>
      </c>
      <c r="M31" s="66">
        <v>3246.5944488999999</v>
      </c>
      <c r="N31">
        <v>1.4366138161655315</v>
      </c>
      <c r="O31" t="e">
        <f>VLOOKUP(A31,#REF!,5,FALSE)</f>
        <v>#REF!</v>
      </c>
      <c r="P31" s="66">
        <v>3314.541634810304</v>
      </c>
      <c r="Q31" s="68">
        <v>0.3014</v>
      </c>
      <c r="R31" s="68" t="e">
        <f>VLOOKUP(A31,#REF!,49,FALSE)</f>
        <v>#REF!</v>
      </c>
      <c r="S31" s="68">
        <f t="shared" si="0"/>
        <v>1.5408565821292651E-3</v>
      </c>
      <c r="T31" s="68">
        <f t="shared" si="1"/>
        <v>1.573104794924222E-3</v>
      </c>
    </row>
    <row r="32" spans="1:20" x14ac:dyDescent="0.25">
      <c r="A32" t="s">
        <v>230</v>
      </c>
      <c r="B32" t="s">
        <v>299</v>
      </c>
      <c r="C32">
        <v>53000000</v>
      </c>
      <c r="D32">
        <v>44985466.399999999</v>
      </c>
      <c r="E32">
        <v>43336</v>
      </c>
      <c r="F32">
        <v>44432</v>
      </c>
      <c r="G32">
        <v>1.6837782340862424</v>
      </c>
      <c r="H32" s="68">
        <v>2.2800000000000001E-2</v>
      </c>
      <c r="I32">
        <v>4</v>
      </c>
      <c r="J32" s="68">
        <v>0.16109999999999999</v>
      </c>
      <c r="K32">
        <v>2</v>
      </c>
      <c r="L32" s="56">
        <v>1</v>
      </c>
      <c r="M32" s="66">
        <v>165938.35922026201</v>
      </c>
      <c r="N32">
        <v>2.3140000000000001</v>
      </c>
      <c r="O32" t="e">
        <f>VLOOKUP(A32,#REF!,5,FALSE)</f>
        <v>#REF!</v>
      </c>
      <c r="P32" s="66">
        <v>155285.3911061711</v>
      </c>
      <c r="Q32" s="68">
        <v>0.16109999999999999</v>
      </c>
      <c r="R32" s="68" t="e">
        <f>VLOOKUP(A32,#REF!,49,FALSE)</f>
        <v>#REF!</v>
      </c>
      <c r="S32" s="68">
        <f t="shared" si="0"/>
        <v>7.8755513525535101E-2</v>
      </c>
      <c r="T32" s="68">
        <f t="shared" si="1"/>
        <v>7.3699539859538199E-2</v>
      </c>
    </row>
    <row r="33" spans="1:20" x14ac:dyDescent="0.25">
      <c r="A33" t="s">
        <v>133</v>
      </c>
      <c r="B33" t="s">
        <v>300</v>
      </c>
      <c r="C33">
        <v>4500000</v>
      </c>
      <c r="D33">
        <v>4500000</v>
      </c>
      <c r="E33">
        <v>43363</v>
      </c>
      <c r="F33">
        <v>45189</v>
      </c>
      <c r="G33">
        <v>1.6098562628336757</v>
      </c>
      <c r="H33" s="68">
        <v>0.08</v>
      </c>
      <c r="I33">
        <v>8</v>
      </c>
      <c r="J33" s="68">
        <v>0.69230000000000003</v>
      </c>
      <c r="K33">
        <v>5</v>
      </c>
      <c r="L33" s="56">
        <v>2</v>
      </c>
      <c r="M33" s="66">
        <v>249274.12767208001</v>
      </c>
      <c r="N33">
        <v>0.9413818752752835</v>
      </c>
      <c r="O33" t="e">
        <f>VLOOKUP(A33,#REF!,5,FALSE)</f>
        <v>#REF!</v>
      </c>
      <c r="P33" s="66">
        <v>229413.36929620686</v>
      </c>
      <c r="Q33" s="68">
        <v>0.69230000000000003</v>
      </c>
      <c r="R33" s="68" t="e">
        <f>VLOOKUP(A33,#REF!,49,FALSE)</f>
        <v>#REF!</v>
      </c>
      <c r="S33" s="68">
        <f t="shared" si="0"/>
        <v>0.11830725593342688</v>
      </c>
      <c r="T33" s="68">
        <f t="shared" si="1"/>
        <v>0.10888120018448301</v>
      </c>
    </row>
    <row r="34" spans="1:20" x14ac:dyDescent="0.25">
      <c r="A34" t="s">
        <v>176</v>
      </c>
      <c r="B34" t="s">
        <v>301</v>
      </c>
      <c r="C34">
        <v>35300241.259999998</v>
      </c>
      <c r="D34">
        <v>35300240.799999997</v>
      </c>
      <c r="E34">
        <v>43371</v>
      </c>
      <c r="F34">
        <v>45197</v>
      </c>
      <c r="G34">
        <v>1.5879534565366187</v>
      </c>
      <c r="H34" s="68">
        <v>1.5800000000000002E-2</v>
      </c>
      <c r="I34">
        <v>3</v>
      </c>
      <c r="J34" s="68">
        <v>0.12470000000000001</v>
      </c>
      <c r="K34">
        <v>2</v>
      </c>
      <c r="L34" s="56">
        <v>1</v>
      </c>
      <c r="M34" s="66">
        <v>70007.735952290197</v>
      </c>
      <c r="N34">
        <v>1.3</v>
      </c>
      <c r="O34" t="e">
        <f>VLOOKUP(A34,#REF!,5,FALSE)</f>
        <v>#REF!</v>
      </c>
      <c r="P34" s="66">
        <v>33495.856857743456</v>
      </c>
      <c r="Q34" s="68">
        <v>0.12470000000000001</v>
      </c>
      <c r="R34" s="68" t="e">
        <f>VLOOKUP(A34,#REF!,49,FALSE)</f>
        <v>#REF!</v>
      </c>
      <c r="S34" s="68">
        <f t="shared" ref="S34:S64" si="2">M34/$C$2</f>
        <v>3.3226164351572378E-2</v>
      </c>
      <c r="T34" s="68">
        <f t="shared" ref="T34:T64" si="3">P34/$C$2</f>
        <v>1.5897369482289602E-2</v>
      </c>
    </row>
    <row r="35" spans="1:20" x14ac:dyDescent="0.25">
      <c r="A35" t="s">
        <v>225</v>
      </c>
      <c r="B35" t="s">
        <v>302</v>
      </c>
      <c r="C35">
        <v>25000000</v>
      </c>
      <c r="D35">
        <v>0</v>
      </c>
      <c r="E35">
        <v>43374</v>
      </c>
      <c r="F35">
        <v>44470</v>
      </c>
      <c r="G35">
        <v>1.5797399041752225</v>
      </c>
      <c r="H35" s="68">
        <v>1.6E-2</v>
      </c>
      <c r="I35">
        <v>3</v>
      </c>
      <c r="J35" s="68">
        <v>0.1177</v>
      </c>
      <c r="K35">
        <v>2</v>
      </c>
      <c r="L35" s="56">
        <v>1</v>
      </c>
      <c r="M35" s="66">
        <v>1.2743802720000001</v>
      </c>
      <c r="N35">
        <v>4.8054950175438593</v>
      </c>
      <c r="O35" t="e">
        <f>VLOOKUP(A35,#REF!,5,FALSE)</f>
        <v>#REF!</v>
      </c>
      <c r="P35" s="66">
        <v>4713.607595704053</v>
      </c>
      <c r="Q35" s="68">
        <v>0.1177</v>
      </c>
      <c r="R35" s="68" t="e">
        <f>VLOOKUP(A35,#REF!,49,FALSE)</f>
        <v>#REF!</v>
      </c>
      <c r="S35" s="68">
        <f t="shared" si="2"/>
        <v>6.0482984898597248E-7</v>
      </c>
      <c r="T35" s="68">
        <f t="shared" si="3"/>
        <v>2.2371113496716267E-3</v>
      </c>
    </row>
    <row r="36" spans="1:20" x14ac:dyDescent="0.25">
      <c r="A36" t="s">
        <v>140</v>
      </c>
      <c r="B36" t="s">
        <v>303</v>
      </c>
      <c r="C36">
        <v>1400000</v>
      </c>
      <c r="D36">
        <v>1400000</v>
      </c>
      <c r="E36">
        <v>43378</v>
      </c>
      <c r="F36">
        <v>44109</v>
      </c>
      <c r="G36">
        <v>1.568788501026694</v>
      </c>
      <c r="H36" s="68">
        <v>2.0299999999999999E-2</v>
      </c>
      <c r="I36">
        <v>4</v>
      </c>
      <c r="J36" s="68">
        <v>1</v>
      </c>
      <c r="K36">
        <v>7</v>
      </c>
      <c r="L36" s="56">
        <v>1</v>
      </c>
      <c r="M36" s="66">
        <v>28636.537055000001</v>
      </c>
      <c r="N36">
        <v>0</v>
      </c>
      <c r="O36" t="e">
        <f>VLOOKUP(A36,#REF!,5,FALSE)</f>
        <v>#REF!</v>
      </c>
      <c r="P36" s="66">
        <v>8175.4484288566518</v>
      </c>
      <c r="Q36" s="68">
        <v>1</v>
      </c>
      <c r="R36" s="68" t="e">
        <f>VLOOKUP(A36,#REF!,49,FALSE)</f>
        <v>#REF!</v>
      </c>
      <c r="S36" s="68">
        <f t="shared" si="2"/>
        <v>1.3591102093313677E-2</v>
      </c>
      <c r="T36" s="68">
        <f t="shared" si="3"/>
        <v>3.8801253811452394E-3</v>
      </c>
    </row>
    <row r="37" spans="1:20" x14ac:dyDescent="0.25">
      <c r="A37" t="s">
        <v>223</v>
      </c>
      <c r="B37" t="s">
        <v>304</v>
      </c>
      <c r="C37">
        <v>40000000</v>
      </c>
      <c r="D37">
        <v>40000000</v>
      </c>
      <c r="E37">
        <v>43395</v>
      </c>
      <c r="F37">
        <v>45222</v>
      </c>
      <c r="G37">
        <v>1.5222450376454484</v>
      </c>
      <c r="H37" s="68">
        <v>2.0799999999999999E-2</v>
      </c>
      <c r="I37">
        <v>4</v>
      </c>
      <c r="J37" s="68">
        <v>0.5</v>
      </c>
      <c r="K37">
        <v>5</v>
      </c>
      <c r="L37" s="56">
        <v>1</v>
      </c>
      <c r="M37" s="66">
        <v>416083.698576</v>
      </c>
      <c r="N37">
        <v>0</v>
      </c>
      <c r="O37" t="e">
        <f>VLOOKUP(A37,#REF!,5,FALSE)</f>
        <v>#REF!</v>
      </c>
      <c r="P37" s="66">
        <v>429092.34387787466</v>
      </c>
      <c r="Q37" s="68">
        <v>0.5</v>
      </c>
      <c r="R37" s="68" t="e">
        <f>VLOOKUP(A37,#REF!,49,FALSE)</f>
        <v>#REF!</v>
      </c>
      <c r="S37" s="68">
        <f t="shared" si="2"/>
        <v>0.19747625265753246</v>
      </c>
      <c r="T37" s="68">
        <f t="shared" si="3"/>
        <v>0.20365024730129522</v>
      </c>
    </row>
    <row r="38" spans="1:20" x14ac:dyDescent="0.25">
      <c r="A38" s="69" t="s">
        <v>212</v>
      </c>
      <c r="B38" t="s">
        <v>305</v>
      </c>
      <c r="C38">
        <v>41433368</v>
      </c>
      <c r="D38">
        <v>41433368</v>
      </c>
      <c r="E38">
        <v>43399</v>
      </c>
      <c r="F38">
        <v>45225</v>
      </c>
      <c r="G38">
        <v>1.5112936344969199</v>
      </c>
      <c r="H38" s="68">
        <v>2.2800000000000001E-2</v>
      </c>
      <c r="I38">
        <v>4</v>
      </c>
      <c r="J38" s="68">
        <v>0.2402</v>
      </c>
      <c r="K38">
        <v>3</v>
      </c>
      <c r="L38" s="56">
        <v>1</v>
      </c>
      <c r="M38" s="66">
        <v>227092.61234724958</v>
      </c>
      <c r="N38">
        <v>0</v>
      </c>
      <c r="O38" t="e">
        <f>VLOOKUP(A38,#REF!,5,FALSE)</f>
        <v>#REF!</v>
      </c>
      <c r="P38" s="66">
        <v>227092.61234724958</v>
      </c>
      <c r="Q38" s="68">
        <v>0.2402</v>
      </c>
      <c r="R38" s="68" t="e">
        <f>VLOOKUP(A38,#REF!,49,FALSE)</f>
        <v>#REF!</v>
      </c>
      <c r="S38" s="68">
        <f t="shared" si="2"/>
        <v>0.10777975259790976</v>
      </c>
      <c r="T38" s="68">
        <f t="shared" si="3"/>
        <v>0.10777975259790976</v>
      </c>
    </row>
    <row r="39" spans="1:20" x14ac:dyDescent="0.25">
      <c r="A39" t="s">
        <v>123</v>
      </c>
      <c r="B39" t="s">
        <v>306</v>
      </c>
      <c r="C39" s="66">
        <v>1377500</v>
      </c>
      <c r="D39">
        <v>1377500</v>
      </c>
      <c r="E39">
        <v>43406</v>
      </c>
      <c r="F39">
        <v>45273</v>
      </c>
      <c r="G39">
        <v>1.4921286789869952</v>
      </c>
      <c r="H39" s="68">
        <v>2.4500000000000001E-2</v>
      </c>
      <c r="I39">
        <v>4</v>
      </c>
      <c r="J39" s="68">
        <v>0.1062</v>
      </c>
      <c r="K39">
        <v>2</v>
      </c>
      <c r="L39" s="56">
        <v>1</v>
      </c>
      <c r="M39" s="66">
        <v>3595.9085144010005</v>
      </c>
      <c r="N39">
        <v>2.0577086644586782</v>
      </c>
      <c r="O39" t="e">
        <f>VLOOKUP(A39,#REF!,5,FALSE)</f>
        <v>#REF!</v>
      </c>
      <c r="P39" s="66">
        <v>1614.260571588761</v>
      </c>
      <c r="Q39" s="68">
        <v>0.1062</v>
      </c>
      <c r="R39" s="68" t="e">
        <f>VLOOKUP(A39,#REF!,49,FALSE)</f>
        <v>#REF!</v>
      </c>
      <c r="S39" s="68">
        <f t="shared" si="2"/>
        <v>1.7066434968576864E-3</v>
      </c>
      <c r="T39" s="4">
        <f t="shared" si="3"/>
        <v>7.6613943199682535E-4</v>
      </c>
    </row>
    <row r="40" spans="1:20" x14ac:dyDescent="0.25">
      <c r="A40" t="s">
        <v>138</v>
      </c>
      <c r="B40" t="s">
        <v>308</v>
      </c>
      <c r="C40">
        <v>30000000</v>
      </c>
      <c r="D40">
        <v>7100000</v>
      </c>
      <c r="E40">
        <v>43448</v>
      </c>
      <c r="F40">
        <v>44726</v>
      </c>
      <c r="G40">
        <v>1.377138945927447</v>
      </c>
      <c r="H40" s="68">
        <v>2.2800000000000001E-2</v>
      </c>
      <c r="I40">
        <v>4</v>
      </c>
      <c r="J40" s="68">
        <v>0.36109999999999998</v>
      </c>
      <c r="K40">
        <v>4</v>
      </c>
      <c r="L40" s="56">
        <v>1</v>
      </c>
      <c r="M40" s="66">
        <v>59073.208368890395</v>
      </c>
      <c r="N40">
        <v>0</v>
      </c>
      <c r="O40" t="e">
        <f>VLOOKUP(A40,#REF!,5,FALSE)</f>
        <v>#REF!</v>
      </c>
      <c r="P40" s="66">
        <v>97569.733575671358</v>
      </c>
      <c r="Q40" s="68">
        <v>0.36109999999999998</v>
      </c>
      <c r="R40" s="68" t="e">
        <f>VLOOKUP(A40,#REF!,49,FALSE)</f>
        <v>#REF!</v>
      </c>
      <c r="S40" s="68">
        <f t="shared" si="2"/>
        <v>2.8036560579205873E-2</v>
      </c>
      <c r="T40" s="68">
        <f t="shared" si="3"/>
        <v>4.6307282465664901E-2</v>
      </c>
    </row>
    <row r="41" spans="1:20" x14ac:dyDescent="0.25">
      <c r="A41" t="s">
        <v>175</v>
      </c>
      <c r="B41" t="s">
        <v>310</v>
      </c>
      <c r="C41">
        <v>18768750</v>
      </c>
      <c r="D41">
        <v>18768750</v>
      </c>
      <c r="E41">
        <v>43458</v>
      </c>
      <c r="F41">
        <v>45464</v>
      </c>
      <c r="G41">
        <v>1.3497604380561259</v>
      </c>
      <c r="H41" s="68">
        <v>1.6E-2</v>
      </c>
      <c r="I41">
        <v>3</v>
      </c>
      <c r="J41" s="68">
        <v>0.2442</v>
      </c>
      <c r="K41">
        <v>3</v>
      </c>
      <c r="L41" s="56">
        <v>1</v>
      </c>
      <c r="M41" s="66">
        <v>73460.196840096003</v>
      </c>
      <c r="N41">
        <v>3.9482318222595811</v>
      </c>
      <c r="O41" t="e">
        <f>VLOOKUP(A41,#REF!,5,FALSE)</f>
        <v>#REF!</v>
      </c>
      <c r="P41" s="66">
        <v>19749.020854273818</v>
      </c>
      <c r="Q41" s="68">
        <v>0.2442</v>
      </c>
      <c r="R41" s="68" t="e">
        <f>VLOOKUP(A41,#REF!,49,FALSE)</f>
        <v>#REF!</v>
      </c>
      <c r="S41" s="68">
        <f t="shared" si="2"/>
        <v>3.4864726594947694E-2</v>
      </c>
      <c r="T41" s="68">
        <f t="shared" si="3"/>
        <v>9.3730243345380767E-3</v>
      </c>
    </row>
    <row r="42" spans="1:20" x14ac:dyDescent="0.25">
      <c r="A42" t="s">
        <v>228</v>
      </c>
      <c r="B42" t="s">
        <v>312</v>
      </c>
      <c r="C42">
        <v>20000000</v>
      </c>
      <c r="D42">
        <v>2871500</v>
      </c>
      <c r="E42">
        <v>43496</v>
      </c>
      <c r="F42">
        <v>44592</v>
      </c>
      <c r="G42">
        <v>1.2457221081451062</v>
      </c>
      <c r="H42" s="68">
        <v>2.2800000000000001E-2</v>
      </c>
      <c r="I42">
        <v>4</v>
      </c>
      <c r="J42" s="68">
        <v>0.05</v>
      </c>
      <c r="K42">
        <v>1</v>
      </c>
      <c r="L42" s="56">
        <v>1</v>
      </c>
      <c r="M42" s="66">
        <v>3276.6364272000001</v>
      </c>
      <c r="N42">
        <v>2.8195222310288872</v>
      </c>
      <c r="O42" t="e">
        <f>VLOOKUP(A42,#REF!,5,FALSE)</f>
        <v>#REF!</v>
      </c>
      <c r="P42" s="66">
        <v>1478.8277554072852</v>
      </c>
      <c r="Q42" s="68">
        <v>0.05</v>
      </c>
      <c r="R42" s="68" t="e">
        <f>VLOOKUP(A42,#REF!,49,FALSE)</f>
        <v>#REF!</v>
      </c>
      <c r="S42" s="68">
        <f t="shared" si="2"/>
        <v>1.5551147165320464E-3</v>
      </c>
      <c r="T42" s="68">
        <f t="shared" si="3"/>
        <v>7.0186206396268881E-4</v>
      </c>
    </row>
    <row r="43" spans="1:20" x14ac:dyDescent="0.25">
      <c r="A43" t="s">
        <v>173</v>
      </c>
      <c r="B43" t="s">
        <v>314</v>
      </c>
      <c r="C43">
        <v>2270000</v>
      </c>
      <c r="D43">
        <v>2270000</v>
      </c>
      <c r="E43">
        <v>43509</v>
      </c>
      <c r="F43">
        <v>45335</v>
      </c>
      <c r="G43">
        <v>1.2101300479123889</v>
      </c>
      <c r="H43" s="68">
        <v>1.6E-2</v>
      </c>
      <c r="I43">
        <v>3</v>
      </c>
      <c r="J43" s="68">
        <v>0.2</v>
      </c>
      <c r="K43">
        <v>3</v>
      </c>
      <c r="L43" s="56">
        <v>1</v>
      </c>
      <c r="M43" s="66">
        <v>7288.2378880000006</v>
      </c>
      <c r="N43">
        <v>2.7603308824254618</v>
      </c>
      <c r="O43" t="e">
        <f>VLOOKUP(A43,#REF!,5,FALSE)</f>
        <v>#REF!</v>
      </c>
      <c r="P43" s="66">
        <v>6644.449142048109</v>
      </c>
      <c r="Q43" s="68">
        <v>0.2</v>
      </c>
      <c r="R43" s="68" t="e">
        <f>VLOOKUP(A43,#REF!,49,FALSE)</f>
        <v>#REF!</v>
      </c>
      <c r="S43" s="68">
        <f t="shared" si="2"/>
        <v>3.4590490123130868E-3</v>
      </c>
      <c r="T43" s="68">
        <f t="shared" si="3"/>
        <v>3.1535023410813844E-3</v>
      </c>
    </row>
    <row r="44" spans="1:20" x14ac:dyDescent="0.25">
      <c r="A44" t="s">
        <v>120</v>
      </c>
      <c r="B44" t="s">
        <v>315</v>
      </c>
      <c r="C44">
        <v>2399999.9600000009</v>
      </c>
      <c r="D44">
        <v>1900000</v>
      </c>
      <c r="E44">
        <v>43539</v>
      </c>
      <c r="F44">
        <v>45000</v>
      </c>
      <c r="G44">
        <v>1.1279945242984257</v>
      </c>
      <c r="H44" s="68">
        <v>1.5800000000000002E-2</v>
      </c>
      <c r="I44">
        <v>3</v>
      </c>
      <c r="J44" s="68">
        <v>0.30130000000000001</v>
      </c>
      <c r="K44">
        <v>4</v>
      </c>
      <c r="L44" s="56">
        <v>1</v>
      </c>
      <c r="M44" s="66">
        <v>9072.1462251152007</v>
      </c>
      <c r="N44">
        <v>3.9260272081475454</v>
      </c>
      <c r="O44" t="e">
        <f>VLOOKUP(A44,#REF!,5,FALSE)</f>
        <v>#REF!</v>
      </c>
      <c r="P44" s="66">
        <v>4305.3271872018631</v>
      </c>
      <c r="Q44" s="68">
        <v>0.30130000000000001</v>
      </c>
      <c r="R44" s="68" t="e">
        <f>VLOOKUP(A44,#REF!,49,FALSE)</f>
        <v>#REF!</v>
      </c>
      <c r="S44" s="68">
        <f t="shared" si="2"/>
        <v>4.3057044681833294E-3</v>
      </c>
      <c r="T44" s="68">
        <f t="shared" si="3"/>
        <v>2.0433385934198645E-3</v>
      </c>
    </row>
    <row r="45" spans="1:20" x14ac:dyDescent="0.25">
      <c r="A45" t="s">
        <v>113</v>
      </c>
      <c r="B45" t="s">
        <v>317</v>
      </c>
      <c r="C45">
        <v>2381250</v>
      </c>
      <c r="D45">
        <v>2081250</v>
      </c>
      <c r="E45">
        <v>43564</v>
      </c>
      <c r="F45">
        <v>45027</v>
      </c>
      <c r="G45">
        <v>1.0595482546201231</v>
      </c>
      <c r="H45" s="68">
        <v>1.55E-2</v>
      </c>
      <c r="I45">
        <v>3</v>
      </c>
      <c r="J45" s="68">
        <v>0.89190000000000003</v>
      </c>
      <c r="K45">
        <v>6</v>
      </c>
      <c r="L45" s="56">
        <v>1</v>
      </c>
      <c r="M45" s="66">
        <v>30962.530529586002</v>
      </c>
      <c r="N45">
        <v>4.8523473314741086</v>
      </c>
      <c r="O45" t="e">
        <f>VLOOKUP(A45,#REF!,5,FALSE)</f>
        <v>#REF!</v>
      </c>
      <c r="P45" s="66">
        <v>12857.768968570974</v>
      </c>
      <c r="Q45" s="68">
        <v>0.89190000000000003</v>
      </c>
      <c r="R45" s="68" t="e">
        <f>VLOOKUP(A45,#REF!,49,FALSE)</f>
        <v>#REF!</v>
      </c>
      <c r="S45" s="68">
        <f t="shared" si="2"/>
        <v>1.4695034971816529E-2</v>
      </c>
      <c r="T45" s="68">
        <f t="shared" si="3"/>
        <v>6.1023876737769404E-3</v>
      </c>
    </row>
    <row r="46" spans="1:20" x14ac:dyDescent="0.25">
      <c r="A46" t="s">
        <v>131</v>
      </c>
      <c r="B46" t="s">
        <v>319</v>
      </c>
      <c r="C46">
        <v>367500</v>
      </c>
      <c r="D46">
        <v>367500</v>
      </c>
      <c r="E46">
        <v>43563</v>
      </c>
      <c r="F46">
        <v>45390</v>
      </c>
      <c r="G46">
        <v>1.0622861054072552</v>
      </c>
      <c r="H46" s="68">
        <v>1.2E-2</v>
      </c>
      <c r="I46">
        <v>2</v>
      </c>
      <c r="J46" s="68">
        <v>0.57020000000000004</v>
      </c>
      <c r="K46">
        <v>5</v>
      </c>
      <c r="L46" s="56">
        <v>1</v>
      </c>
      <c r="M46" s="66">
        <v>2525.7846509760002</v>
      </c>
      <c r="N46">
        <v>19.461028860031927</v>
      </c>
      <c r="O46" t="e">
        <f>VLOOKUP(A46,#REF!,5,FALSE)</f>
        <v>#REF!</v>
      </c>
      <c r="P46" s="66">
        <v>1819.3227972321522</v>
      </c>
      <c r="Q46" s="68">
        <v>0.57020000000000004</v>
      </c>
      <c r="R46" s="68" t="e">
        <f>VLOOKUP(A46,#REF!,49,FALSE)</f>
        <v>#REF!</v>
      </c>
      <c r="S46" s="68">
        <f t="shared" si="2"/>
        <v>1.1987551773878222E-3</v>
      </c>
      <c r="T46" s="68">
        <f t="shared" si="3"/>
        <v>8.6346340796670737E-4</v>
      </c>
    </row>
    <row r="47" spans="1:20" x14ac:dyDescent="0.25">
      <c r="A47" t="s">
        <v>321</v>
      </c>
      <c r="B47" t="s">
        <v>319</v>
      </c>
      <c r="C47">
        <v>100000</v>
      </c>
      <c r="D47">
        <v>0</v>
      </c>
      <c r="E47">
        <v>43563</v>
      </c>
      <c r="F47">
        <v>45390</v>
      </c>
      <c r="G47">
        <v>1.0622861054072552</v>
      </c>
      <c r="H47" s="68">
        <v>1.2E-2</v>
      </c>
      <c r="I47">
        <v>2</v>
      </c>
      <c r="J47" s="68">
        <v>0.57020000000000004</v>
      </c>
      <c r="K47">
        <v>5</v>
      </c>
      <c r="L47" s="56">
        <v>1</v>
      </c>
      <c r="M47" s="66">
        <v>0</v>
      </c>
      <c r="N47">
        <v>19.461028860031927</v>
      </c>
      <c r="O47" t="e">
        <f>VLOOKUP(A47,#REF!,5,FALSE)</f>
        <v>#REF!</v>
      </c>
      <c r="P47" s="66">
        <v>156.04903102972372</v>
      </c>
      <c r="Q47" s="68">
        <v>0.57020000000000004</v>
      </c>
      <c r="R47" s="68" t="e">
        <f>VLOOKUP(A47,#REF!,49,FALSE)</f>
        <v>#REF!</v>
      </c>
      <c r="S47" s="68">
        <f t="shared" si="2"/>
        <v>0</v>
      </c>
      <c r="T47" s="68">
        <f t="shared" si="3"/>
        <v>7.4061968743435725E-5</v>
      </c>
    </row>
    <row r="48" spans="1:20" x14ac:dyDescent="0.25">
      <c r="A48" t="s">
        <v>125</v>
      </c>
      <c r="B48" t="s">
        <v>322</v>
      </c>
      <c r="C48">
        <v>1070000</v>
      </c>
      <c r="D48">
        <v>1070000</v>
      </c>
      <c r="E48">
        <v>43609</v>
      </c>
      <c r="F48">
        <v>45455</v>
      </c>
      <c r="G48">
        <v>0.93634496919917864</v>
      </c>
      <c r="H48" s="68">
        <v>2.1299999999999999E-2</v>
      </c>
      <c r="I48">
        <v>4</v>
      </c>
      <c r="J48" s="68">
        <v>0.05</v>
      </c>
      <c r="K48">
        <v>1</v>
      </c>
      <c r="L48" s="56">
        <v>1</v>
      </c>
      <c r="M48" s="66">
        <v>1144.3392304500001</v>
      </c>
      <c r="N48">
        <v>3.4</v>
      </c>
      <c r="O48" t="e">
        <f>VLOOKUP(A48,#REF!,5,FALSE)</f>
        <v>#REF!</v>
      </c>
      <c r="P48" s="66">
        <v>1748.8125002228853</v>
      </c>
      <c r="Q48" s="68">
        <v>0.05</v>
      </c>
      <c r="R48" s="68" t="e">
        <f>VLOOKUP(A48,#REF!,49,FALSE)</f>
        <v>#REF!</v>
      </c>
      <c r="S48" s="68">
        <f t="shared" si="2"/>
        <v>5.4311145515111784E-4</v>
      </c>
      <c r="T48" s="68">
        <f t="shared" si="3"/>
        <v>8.2999872459936237E-4</v>
      </c>
    </row>
    <row r="49" spans="1:20" x14ac:dyDescent="0.25">
      <c r="A49" t="s">
        <v>325</v>
      </c>
      <c r="B49" t="s">
        <v>310</v>
      </c>
      <c r="C49">
        <v>9425000</v>
      </c>
      <c r="D49">
        <v>9425000</v>
      </c>
      <c r="E49">
        <v>43669</v>
      </c>
      <c r="F49">
        <v>45496</v>
      </c>
      <c r="G49">
        <v>0.77207392197125257</v>
      </c>
      <c r="H49" s="68">
        <v>1.6E-2</v>
      </c>
      <c r="I49">
        <v>3</v>
      </c>
      <c r="J49" s="68">
        <v>0.2442</v>
      </c>
      <c r="K49">
        <v>3</v>
      </c>
      <c r="L49" s="56">
        <v>1</v>
      </c>
      <c r="M49" s="66">
        <v>36889.193997215996</v>
      </c>
      <c r="N49">
        <v>2.74821761568273</v>
      </c>
      <c r="O49" t="e">
        <f>VLOOKUP(A49,#REF!,5,FALSE)</f>
        <v>#REF!</v>
      </c>
      <c r="P49" s="66">
        <v>10010.330608704207</v>
      </c>
      <c r="Q49" s="68">
        <v>0.2442</v>
      </c>
      <c r="R49" s="68" t="e">
        <f>VLOOKUP(A49,#REF!,49,FALSE)</f>
        <v>#REF!</v>
      </c>
      <c r="S49" s="68">
        <f t="shared" si="2"/>
        <v>1.7507871178462805E-2</v>
      </c>
      <c r="T49" s="68">
        <f t="shared" si="3"/>
        <v>4.7509733816424168E-3</v>
      </c>
    </row>
    <row r="50" spans="1:20" x14ac:dyDescent="0.25">
      <c r="A50" t="s">
        <v>103</v>
      </c>
      <c r="B50" t="s">
        <v>326</v>
      </c>
      <c r="C50">
        <v>23000000</v>
      </c>
      <c r="D50">
        <v>23000000</v>
      </c>
      <c r="E50">
        <v>43668</v>
      </c>
      <c r="F50">
        <v>44034</v>
      </c>
      <c r="G50">
        <v>0.77481177275838464</v>
      </c>
      <c r="H50" s="68">
        <v>1.2E-2</v>
      </c>
      <c r="I50">
        <v>2</v>
      </c>
      <c r="J50" s="68">
        <v>0.05</v>
      </c>
      <c r="K50">
        <v>1</v>
      </c>
      <c r="L50" s="56">
        <v>1</v>
      </c>
      <c r="M50" s="66">
        <v>13951.119450000002</v>
      </c>
      <c r="N50">
        <v>5.9810118793867684</v>
      </c>
      <c r="O50" t="e">
        <f>VLOOKUP(A50,#REF!,5,FALSE)</f>
        <v>#REF!</v>
      </c>
      <c r="P50" s="66">
        <v>6896.1587426178667</v>
      </c>
      <c r="Q50" s="68">
        <v>0.05</v>
      </c>
      <c r="R50" s="68" t="e">
        <f>VLOOKUP(A50,#REF!,49,FALSE)</f>
        <v>#REF!</v>
      </c>
      <c r="S50" s="68">
        <f t="shared" si="2"/>
        <v>6.6212995096716024E-3</v>
      </c>
      <c r="T50" s="68">
        <f t="shared" si="3"/>
        <v>3.2729654895982709E-3</v>
      </c>
    </row>
    <row r="51" spans="1:20" x14ac:dyDescent="0.25">
      <c r="A51" t="s">
        <v>121</v>
      </c>
      <c r="B51" t="s">
        <v>327</v>
      </c>
      <c r="C51">
        <v>17000000</v>
      </c>
      <c r="D51">
        <v>17000000</v>
      </c>
      <c r="E51">
        <v>43668</v>
      </c>
      <c r="F51">
        <v>44034</v>
      </c>
      <c r="G51">
        <v>0.77481177275838464</v>
      </c>
      <c r="H51" s="68">
        <v>1.7299999999999999E-2</v>
      </c>
      <c r="I51">
        <v>3</v>
      </c>
      <c r="J51" s="68">
        <v>0.05</v>
      </c>
      <c r="K51">
        <v>1</v>
      </c>
      <c r="L51" s="56">
        <v>1</v>
      </c>
      <c r="M51" s="66">
        <v>14866.0298186</v>
      </c>
      <c r="N51">
        <v>0</v>
      </c>
      <c r="O51" t="e">
        <f>VLOOKUP(A51,#REF!,5,FALSE)</f>
        <v>#REF!</v>
      </c>
      <c r="P51" s="66">
        <v>9381.1653906879892</v>
      </c>
      <c r="Q51" s="68">
        <v>0.05</v>
      </c>
      <c r="R51" s="68" t="e">
        <f>VLOOKUP(A51,#REF!,49,FALSE)</f>
        <v>#REF!</v>
      </c>
      <c r="S51" s="68">
        <f t="shared" si="2"/>
        <v>7.0555224117631356E-3</v>
      </c>
      <c r="T51" s="68">
        <f t="shared" si="3"/>
        <v>4.4523671397215785E-3</v>
      </c>
    </row>
    <row r="52" spans="1:20" x14ac:dyDescent="0.25">
      <c r="A52" t="s">
        <v>111</v>
      </c>
      <c r="B52" t="s">
        <v>328</v>
      </c>
      <c r="C52">
        <v>641763.91000000015</v>
      </c>
      <c r="D52">
        <v>641763.9</v>
      </c>
      <c r="E52">
        <v>43749</v>
      </c>
      <c r="F52">
        <v>45576</v>
      </c>
      <c r="G52">
        <v>0.55304585900068448</v>
      </c>
      <c r="H52" s="68">
        <v>1.55E-2</v>
      </c>
      <c r="I52">
        <v>3</v>
      </c>
      <c r="J52" s="68">
        <v>0.34560000000000002</v>
      </c>
      <c r="K52">
        <v>4</v>
      </c>
      <c r="L52" s="56">
        <v>1</v>
      </c>
      <c r="M52" s="66">
        <v>3448.7387487360002</v>
      </c>
      <c r="N52">
        <v>13.263086412859623</v>
      </c>
      <c r="O52" t="e">
        <f>VLOOKUP(A52,#REF!,5,FALSE)</f>
        <v>#REF!</v>
      </c>
      <c r="P52" s="66">
        <v>2408.7196834339102</v>
      </c>
      <c r="Q52" s="68">
        <v>0.34560000000000002</v>
      </c>
      <c r="R52" s="68" t="e">
        <f>VLOOKUP(A52,#REF!,49,FALSE)</f>
        <v>#REF!</v>
      </c>
      <c r="S52" s="68">
        <f t="shared" si="2"/>
        <v>1.6367956899681717E-3</v>
      </c>
      <c r="T52" s="68">
        <f t="shared" si="3"/>
        <v>1.1431953196313063E-3</v>
      </c>
    </row>
    <row r="53" spans="1:20" x14ac:dyDescent="0.25">
      <c r="A53" t="s">
        <v>142</v>
      </c>
      <c r="B53" t="s">
        <v>329</v>
      </c>
      <c r="C53">
        <v>4600000</v>
      </c>
      <c r="D53">
        <v>4600000</v>
      </c>
      <c r="E53">
        <v>43754</v>
      </c>
      <c r="F53">
        <v>45581</v>
      </c>
      <c r="G53">
        <v>0.53935660506502392</v>
      </c>
      <c r="H53" s="68">
        <v>1.15E-2</v>
      </c>
      <c r="I53">
        <v>2</v>
      </c>
      <c r="J53" s="68">
        <v>0.95120000000000005</v>
      </c>
      <c r="K53">
        <v>7</v>
      </c>
      <c r="L53" s="56">
        <v>1</v>
      </c>
      <c r="M53" s="66">
        <v>50445.971823387998</v>
      </c>
      <c r="N53">
        <v>6.118460480934381</v>
      </c>
      <c r="O53" t="e">
        <f>VLOOKUP(A53,#REF!,5,FALSE)</f>
        <v>#REF!</v>
      </c>
      <c r="P53" s="66">
        <v>45029.85179669311</v>
      </c>
      <c r="Q53" s="68">
        <v>0.95120000000000005</v>
      </c>
      <c r="R53" s="68" t="e">
        <f>VLOOKUP(A53,#REF!,49,FALSE)</f>
        <v>#REF!</v>
      </c>
      <c r="S53" s="68">
        <f t="shared" si="2"/>
        <v>2.3942013377220878E-2</v>
      </c>
      <c r="T53" s="68">
        <f t="shared" si="3"/>
        <v>2.1371484681971451E-2</v>
      </c>
    </row>
    <row r="54" spans="1:20" x14ac:dyDescent="0.25">
      <c r="A54" t="s">
        <v>122</v>
      </c>
      <c r="B54" t="s">
        <v>331</v>
      </c>
      <c r="C54">
        <v>10042976</v>
      </c>
      <c r="D54">
        <v>10042976</v>
      </c>
      <c r="E54">
        <v>43769</v>
      </c>
      <c r="F54">
        <v>44459</v>
      </c>
      <c r="G54">
        <v>0.49828884325804246</v>
      </c>
      <c r="H54" s="68">
        <v>1.9E-2</v>
      </c>
      <c r="I54">
        <v>3</v>
      </c>
      <c r="J54" s="68">
        <v>0.15240000000000001</v>
      </c>
      <c r="K54">
        <v>2</v>
      </c>
      <c r="L54" s="56">
        <v>1</v>
      </c>
      <c r="M54" s="66">
        <v>29085.178217640001</v>
      </c>
      <c r="N54">
        <v>4.0091811812054701</v>
      </c>
      <c r="O54" t="e">
        <f>VLOOKUP(A54,#REF!,5,FALSE)</f>
        <v>#REF!</v>
      </c>
      <c r="P54" s="66">
        <v>34403.53818971962</v>
      </c>
      <c r="Q54" s="68">
        <v>0.15240000000000001</v>
      </c>
      <c r="R54" s="68" t="e">
        <f>VLOOKUP(A54,#REF!,49,FALSE)</f>
        <v>#REF!</v>
      </c>
      <c r="S54" s="68">
        <f t="shared" si="2"/>
        <v>1.3804030347627113E-2</v>
      </c>
      <c r="T54" s="68">
        <f t="shared" si="3"/>
        <v>1.6328161432705584E-2</v>
      </c>
    </row>
    <row r="55" spans="1:20" x14ac:dyDescent="0.25">
      <c r="A55" t="s">
        <v>137</v>
      </c>
      <c r="B55" t="s">
        <v>331</v>
      </c>
      <c r="C55">
        <v>5404000</v>
      </c>
      <c r="D55">
        <v>5404000</v>
      </c>
      <c r="E55">
        <v>43769</v>
      </c>
      <c r="F55">
        <v>44459</v>
      </c>
      <c r="G55">
        <v>0.49828884325804246</v>
      </c>
      <c r="H55" s="68">
        <v>1.9E-2</v>
      </c>
      <c r="I55">
        <v>3</v>
      </c>
      <c r="J55" s="68">
        <v>0.15240000000000001</v>
      </c>
      <c r="K55">
        <v>2</v>
      </c>
      <c r="L55" s="56">
        <v>1</v>
      </c>
      <c r="M55" s="66">
        <v>15650.371280856001</v>
      </c>
      <c r="N55">
        <v>1.7203205702285174</v>
      </c>
      <c r="O55" t="e">
        <f>VLOOKUP(A55,#REF!,5,FALSE)</f>
        <v>#REF!</v>
      </c>
      <c r="P55" s="66">
        <v>35096.658953465725</v>
      </c>
      <c r="Q55" s="68">
        <v>0.15240000000000001</v>
      </c>
      <c r="R55" s="68" t="e">
        <f>VLOOKUP(A55,#REF!,49,FALSE)</f>
        <v>#REF!</v>
      </c>
      <c r="S55" s="68">
        <f t="shared" si="2"/>
        <v>7.427776391672308E-3</v>
      </c>
      <c r="T55" s="68">
        <f t="shared" si="3"/>
        <v>1.6657121426889798E-2</v>
      </c>
    </row>
    <row r="56" spans="1:20" x14ac:dyDescent="0.25">
      <c r="A56" s="69" t="s">
        <v>332</v>
      </c>
      <c r="B56" t="s">
        <v>331</v>
      </c>
      <c r="C56">
        <v>2560000</v>
      </c>
      <c r="D56">
        <v>0</v>
      </c>
      <c r="E56">
        <v>43769</v>
      </c>
      <c r="F56">
        <v>44459</v>
      </c>
      <c r="G56">
        <v>0.49828884325804246</v>
      </c>
      <c r="H56" s="68">
        <v>1.9E-2</v>
      </c>
      <c r="I56">
        <v>3</v>
      </c>
      <c r="J56" s="68">
        <v>0.15240000000000001</v>
      </c>
      <c r="K56">
        <v>2</v>
      </c>
      <c r="L56" s="56">
        <v>1</v>
      </c>
      <c r="M56" s="66">
        <v>0</v>
      </c>
      <c r="N56">
        <v>1.7203205702285174</v>
      </c>
      <c r="O56" t="e">
        <f>VLOOKUP(A56,#REF!,5,FALSE)</f>
        <v>#REF!</v>
      </c>
      <c r="P56" s="66">
        <v>0</v>
      </c>
      <c r="Q56" s="68">
        <v>0.15240000000000001</v>
      </c>
      <c r="R56" s="68" t="e">
        <f>VLOOKUP(A56,#REF!,49,FALSE)</f>
        <v>#REF!</v>
      </c>
      <c r="S56" s="68">
        <f t="shared" si="2"/>
        <v>0</v>
      </c>
      <c r="T56" s="68">
        <f t="shared" si="3"/>
        <v>0</v>
      </c>
    </row>
    <row r="57" spans="1:20" x14ac:dyDescent="0.25">
      <c r="A57" s="69" t="s">
        <v>333</v>
      </c>
      <c r="B57" t="s">
        <v>331</v>
      </c>
      <c r="C57">
        <v>1200000</v>
      </c>
      <c r="D57">
        <v>0</v>
      </c>
      <c r="E57">
        <v>43769</v>
      </c>
      <c r="F57">
        <v>44459</v>
      </c>
      <c r="G57">
        <v>0.49828884325804246</v>
      </c>
      <c r="H57" s="68">
        <v>1.9E-2</v>
      </c>
      <c r="I57">
        <v>3</v>
      </c>
      <c r="J57" s="68">
        <v>0.15240000000000001</v>
      </c>
      <c r="K57">
        <v>2</v>
      </c>
      <c r="L57" s="56">
        <v>1</v>
      </c>
      <c r="M57" s="66">
        <v>0</v>
      </c>
      <c r="N57">
        <v>1.7203205702285174</v>
      </c>
      <c r="O57" t="e">
        <f>VLOOKUP(A57,#REF!,5,FALSE)</f>
        <v>#REF!</v>
      </c>
      <c r="P57" s="66">
        <v>0</v>
      </c>
      <c r="Q57" s="68">
        <v>0.15240000000000001</v>
      </c>
      <c r="R57" s="68" t="e">
        <f>VLOOKUP(A57,#REF!,49,FALSE)</f>
        <v>#REF!</v>
      </c>
      <c r="S57" s="68">
        <f t="shared" si="2"/>
        <v>0</v>
      </c>
      <c r="T57" s="68">
        <f t="shared" si="3"/>
        <v>0</v>
      </c>
    </row>
    <row r="58" spans="1:20" x14ac:dyDescent="0.25">
      <c r="A58" t="s">
        <v>141</v>
      </c>
      <c r="B58" t="s">
        <v>334</v>
      </c>
      <c r="C58">
        <v>750000</v>
      </c>
      <c r="D58">
        <v>500000</v>
      </c>
      <c r="E58">
        <v>43773</v>
      </c>
      <c r="F58">
        <v>44869</v>
      </c>
      <c r="G58">
        <v>0.48733744010951402</v>
      </c>
      <c r="H58" s="68">
        <v>2.3E-2</v>
      </c>
      <c r="I58">
        <v>4</v>
      </c>
      <c r="J58" s="68">
        <v>0.05</v>
      </c>
      <c r="K58">
        <v>1</v>
      </c>
      <c r="L58" s="56">
        <v>1</v>
      </c>
      <c r="M58" s="66">
        <v>575</v>
      </c>
      <c r="N58">
        <v>14.2</v>
      </c>
      <c r="O58" t="e">
        <f>VLOOKUP(A58,#REF!,5,FALSE)</f>
        <v>#REF!</v>
      </c>
      <c r="P58" s="66">
        <v>243.53228927225894</v>
      </c>
      <c r="Q58" s="68">
        <v>0.05</v>
      </c>
      <c r="R58" s="68" t="e">
        <f>VLOOKUP(A58,#REF!,49,FALSE)</f>
        <v>#REF!</v>
      </c>
      <c r="S58" s="68">
        <f t="shared" si="2"/>
        <v>2.7289904811625502E-4</v>
      </c>
      <c r="T58" s="68">
        <f t="shared" si="3"/>
        <v>1.1558213900516856E-4</v>
      </c>
    </row>
    <row r="59" spans="1:20" x14ac:dyDescent="0.25">
      <c r="A59" t="s">
        <v>169</v>
      </c>
      <c r="B59" t="s">
        <v>335</v>
      </c>
      <c r="C59">
        <v>7656759.6299999999</v>
      </c>
      <c r="D59">
        <v>7656759.6299999999</v>
      </c>
      <c r="E59">
        <v>43798</v>
      </c>
      <c r="F59">
        <v>45625</v>
      </c>
      <c r="G59">
        <v>0.41889117043121149</v>
      </c>
      <c r="H59" s="68">
        <v>1.43E-2</v>
      </c>
      <c r="I59">
        <v>2</v>
      </c>
      <c r="J59" s="68">
        <v>0.41289999999999999</v>
      </c>
      <c r="K59">
        <v>4</v>
      </c>
      <c r="L59" s="56">
        <v>1</v>
      </c>
      <c r="M59" s="66">
        <v>45426.110503416501</v>
      </c>
      <c r="N59">
        <v>18.161096509776232</v>
      </c>
      <c r="O59" t="e">
        <f>VLOOKUP(A59,#REF!,5,FALSE)</f>
        <v>#REF!</v>
      </c>
      <c r="P59" s="66">
        <v>25861.112059716914</v>
      </c>
      <c r="Q59" s="68">
        <v>0.41289999999999999</v>
      </c>
      <c r="R59" s="68" t="e">
        <f>VLOOKUP(A59,#REF!,49,FALSE)</f>
        <v>#REF!</v>
      </c>
      <c r="S59" s="68">
        <f t="shared" si="2"/>
        <v>2.1559551853923786E-2</v>
      </c>
      <c r="T59" s="68">
        <f t="shared" si="3"/>
        <v>1.2273865850999214E-2</v>
      </c>
    </row>
    <row r="60" spans="1:20" x14ac:dyDescent="0.25">
      <c r="A60" t="s">
        <v>130</v>
      </c>
      <c r="B60" t="s">
        <v>337</v>
      </c>
      <c r="C60">
        <v>10000000</v>
      </c>
      <c r="D60">
        <v>7000000</v>
      </c>
      <c r="E60">
        <v>43804</v>
      </c>
      <c r="F60">
        <v>45631</v>
      </c>
      <c r="G60">
        <v>0.40246406570841892</v>
      </c>
      <c r="H60" s="68">
        <v>1.3299999999999999E-2</v>
      </c>
      <c r="I60">
        <v>2</v>
      </c>
      <c r="J60" s="68">
        <v>0.37280000000000002</v>
      </c>
      <c r="K60">
        <v>4</v>
      </c>
      <c r="L60" s="56">
        <v>1</v>
      </c>
      <c r="M60" s="66">
        <v>39819.579923356796</v>
      </c>
      <c r="N60">
        <v>8.9660687379729396</v>
      </c>
      <c r="O60" t="e">
        <f>VLOOKUP(A60,#REF!,5,FALSE)</f>
        <v>#REF!</v>
      </c>
      <c r="P60" s="66">
        <v>50348.747890304789</v>
      </c>
      <c r="Q60" s="68">
        <v>0.37280000000000002</v>
      </c>
      <c r="R60" s="68" t="e">
        <f>VLOOKUP(A60,#REF!,49,FALSE)</f>
        <v>#REF!</v>
      </c>
      <c r="S60" s="68">
        <f t="shared" si="2"/>
        <v>1.8898652969518624E-2</v>
      </c>
      <c r="T60" s="68">
        <f t="shared" si="3"/>
        <v>2.3895870214103439E-2</v>
      </c>
    </row>
    <row r="61" spans="1:20" x14ac:dyDescent="0.25">
      <c r="A61" t="s">
        <v>171</v>
      </c>
      <c r="B61" t="s">
        <v>339</v>
      </c>
      <c r="C61">
        <v>2306250</v>
      </c>
      <c r="D61">
        <v>2306250</v>
      </c>
      <c r="E61">
        <v>43819</v>
      </c>
      <c r="F61">
        <v>44550</v>
      </c>
      <c r="G61">
        <v>0.3613963039014374</v>
      </c>
      <c r="H61" s="68">
        <v>1.6500000000000001E-2</v>
      </c>
      <c r="I61">
        <v>3</v>
      </c>
      <c r="J61" s="68">
        <v>0.12720000000000001</v>
      </c>
      <c r="K61">
        <v>2</v>
      </c>
      <c r="L61" s="56">
        <v>1</v>
      </c>
      <c r="M61" s="66">
        <v>4850.780854392</v>
      </c>
      <c r="N61">
        <v>4.7006982883577324</v>
      </c>
      <c r="O61" t="e">
        <f>VLOOKUP(A61,#REF!,5,FALSE)</f>
        <v>#REF!</v>
      </c>
      <c r="P61" s="66">
        <v>2753.6146840475631</v>
      </c>
      <c r="Q61" s="68">
        <v>0.12720000000000001</v>
      </c>
      <c r="R61" s="68" t="e">
        <f>VLOOKUP(A61,#REF!,49,FALSE)</f>
        <v>#REF!</v>
      </c>
      <c r="S61" s="68">
        <f t="shared" si="2"/>
        <v>2.3022147439724018E-3</v>
      </c>
      <c r="T61" s="68">
        <f t="shared" si="3"/>
        <v>1.306884915053082E-3</v>
      </c>
    </row>
    <row r="62" spans="1:20" x14ac:dyDescent="0.25">
      <c r="A62" t="s">
        <v>217</v>
      </c>
      <c r="B62" t="s">
        <v>341</v>
      </c>
      <c r="C62">
        <v>1159794</v>
      </c>
      <c r="D62">
        <v>1159794</v>
      </c>
      <c r="E62">
        <v>43871</v>
      </c>
      <c r="F62">
        <v>45334</v>
      </c>
      <c r="G62">
        <v>0.21902806297056809</v>
      </c>
      <c r="H62" s="68">
        <v>1.9800000000000002E-2</v>
      </c>
      <c r="I62">
        <v>3</v>
      </c>
      <c r="J62" s="68">
        <v>0.72829999999999995</v>
      </c>
      <c r="K62">
        <v>6</v>
      </c>
      <c r="L62" s="56">
        <v>1</v>
      </c>
      <c r="M62" s="66">
        <v>16864.926363786599</v>
      </c>
      <c r="N62">
        <v>15.46671089067963</v>
      </c>
      <c r="O62" t="e">
        <f>VLOOKUP(A62,#REF!,5,FALSE)</f>
        <v>#REF!</v>
      </c>
      <c r="P62" s="66">
        <v>6220.6065553904027</v>
      </c>
      <c r="Q62" s="68">
        <v>0.72829999999999995</v>
      </c>
      <c r="R62" s="68" t="e">
        <f>VLOOKUP(A62,#REF!,49,FALSE)</f>
        <v>#REF!</v>
      </c>
      <c r="S62" s="68">
        <f t="shared" si="2"/>
        <v>8.004212784744516E-3</v>
      </c>
      <c r="T62" s="68">
        <f t="shared" si="3"/>
        <v>2.9523436655161336E-3</v>
      </c>
    </row>
    <row r="63" spans="1:20" x14ac:dyDescent="0.25">
      <c r="A63" t="s">
        <v>218</v>
      </c>
      <c r="B63" t="s">
        <v>343</v>
      </c>
      <c r="C63">
        <v>19950000</v>
      </c>
      <c r="D63">
        <v>16000000</v>
      </c>
      <c r="E63">
        <v>43886</v>
      </c>
      <c r="F63">
        <v>44984</v>
      </c>
      <c r="G63">
        <v>0.17796030116358658</v>
      </c>
      <c r="H63" s="68">
        <v>2.1000000000000001E-2</v>
      </c>
      <c r="I63">
        <v>4</v>
      </c>
      <c r="J63" s="68">
        <v>0.14729999999999999</v>
      </c>
      <c r="K63">
        <v>2</v>
      </c>
      <c r="L63" s="56">
        <v>1</v>
      </c>
      <c r="M63" s="66">
        <v>55843.511010210001</v>
      </c>
      <c r="N63">
        <v>1.56</v>
      </c>
      <c r="O63" t="e">
        <f>VLOOKUP(A63,#REF!,5,FALSE)</f>
        <v>#REF!</v>
      </c>
      <c r="P63" s="66">
        <v>43427.648812291336</v>
      </c>
      <c r="Q63" s="68">
        <v>0.14729999999999999</v>
      </c>
      <c r="R63" s="68" t="e">
        <f>VLOOKUP(A63,#REF!,49,FALSE)</f>
        <v>#REF!</v>
      </c>
      <c r="S63" s="68">
        <f t="shared" si="2"/>
        <v>2.6503723475053764E-2</v>
      </c>
      <c r="T63" s="68">
        <f t="shared" si="3"/>
        <v>2.0611067865741423E-2</v>
      </c>
    </row>
    <row r="64" spans="1:20" x14ac:dyDescent="0.25">
      <c r="A64" t="s">
        <v>222</v>
      </c>
      <c r="B64" t="s">
        <v>344</v>
      </c>
      <c r="C64">
        <v>3000000</v>
      </c>
      <c r="D64">
        <v>0</v>
      </c>
      <c r="E64">
        <v>43910</v>
      </c>
      <c r="F64">
        <v>45005</v>
      </c>
      <c r="G64">
        <v>0.11225188227241616</v>
      </c>
      <c r="H64" s="68">
        <v>1.95E-2</v>
      </c>
      <c r="I64">
        <v>3</v>
      </c>
      <c r="J64" s="68">
        <v>0.44669999999999999</v>
      </c>
      <c r="K64">
        <v>4</v>
      </c>
      <c r="L64" s="56">
        <v>1</v>
      </c>
      <c r="M64" s="66">
        <v>0</v>
      </c>
      <c r="N64">
        <v>14.19813440968036</v>
      </c>
      <c r="O64" t="e">
        <f>VLOOKUP(A64,#REF!,5,FALSE)</f>
        <v>#REF!</v>
      </c>
      <c r="P64" s="66">
        <v>2864.0429484797173</v>
      </c>
      <c r="Q64" s="68">
        <v>0.44669999999999999</v>
      </c>
      <c r="R64" s="68" t="e">
        <f>VLOOKUP(A64,#REF!,49,FALSE)</f>
        <v>#REF!</v>
      </c>
      <c r="S64" s="68">
        <f t="shared" si="2"/>
        <v>0</v>
      </c>
      <c r="T64" s="68">
        <f t="shared" si="3"/>
        <v>1.3592949467898909E-3</v>
      </c>
    </row>
    <row r="65" spans="3:16" x14ac:dyDescent="0.25">
      <c r="C65" s="66">
        <f>SUM(C1:C64)</f>
        <v>632864846.27999997</v>
      </c>
      <c r="D65" s="66">
        <f>SUM(D1:D64)</f>
        <v>489961689.61000001</v>
      </c>
      <c r="P65" s="66"/>
    </row>
    <row r="66" spans="3:16" x14ac:dyDescent="0.25">
      <c r="M66" s="5"/>
      <c r="P66" s="5"/>
    </row>
    <row r="69" spans="3:16" x14ac:dyDescent="0.25">
      <c r="C69" s="4"/>
    </row>
    <row r="70" spans="3:16" ht="31.5" x14ac:dyDescent="0.5">
      <c r="C70" s="4"/>
      <c r="O70" s="71"/>
    </row>
  </sheetData>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0EAB0F-C942-4BC7-A0E0-09A9571F4432}">
  <sheetPr codeName="Sheet41"/>
  <dimension ref="B1:X52"/>
  <sheetViews>
    <sheetView zoomScale="90" zoomScaleNormal="90" zoomScaleSheetLayoutView="50" workbookViewId="0"/>
  </sheetViews>
  <sheetFormatPr defaultColWidth="8.7109375" defaultRowHeight="15" x14ac:dyDescent="0.25"/>
  <cols>
    <col min="1" max="1" width="5.28515625" style="166" customWidth="1"/>
    <col min="2" max="2" width="37.42578125" style="166" bestFit="1" customWidth="1"/>
    <col min="3" max="3" width="29.85546875" style="166" customWidth="1"/>
    <col min="4" max="4" width="24.85546875" style="166" bestFit="1" customWidth="1"/>
    <col min="5" max="5" width="8.7109375" style="166"/>
    <col min="6" max="6" width="15.140625" style="166" customWidth="1"/>
    <col min="7" max="7" width="17.85546875" style="166" customWidth="1"/>
    <col min="8" max="17" width="8.7109375" style="166"/>
    <col min="18" max="18" width="25.140625" style="166" customWidth="1"/>
    <col min="19" max="19" width="20.140625" style="166" customWidth="1"/>
    <col min="20" max="16384" width="8.7109375" style="166"/>
  </cols>
  <sheetData>
    <row r="1" spans="2:20" x14ac:dyDescent="0.25">
      <c r="B1" s="180" t="s">
        <v>451</v>
      </c>
      <c r="C1" s="180" t="s">
        <v>450</v>
      </c>
    </row>
    <row r="2" spans="2:20" x14ac:dyDescent="0.25">
      <c r="B2" s="166" t="s">
        <v>186</v>
      </c>
      <c r="C2" s="166" t="s">
        <v>381</v>
      </c>
      <c r="F2" s="180" t="s">
        <v>187</v>
      </c>
    </row>
    <row r="3" spans="2:20" x14ac:dyDescent="0.25">
      <c r="B3" s="166" t="s">
        <v>187</v>
      </c>
      <c r="C3" s="166" t="s">
        <v>382</v>
      </c>
      <c r="D3" s="166" t="s">
        <v>383</v>
      </c>
      <c r="F3" s="166" t="s">
        <v>382</v>
      </c>
      <c r="G3" s="166" t="s">
        <v>383</v>
      </c>
      <c r="H3" s="166" t="s">
        <v>384</v>
      </c>
      <c r="I3" s="166" t="s">
        <v>385</v>
      </c>
      <c r="N3" s="180" t="s">
        <v>381</v>
      </c>
      <c r="O3" s="180" t="s">
        <v>186</v>
      </c>
      <c r="R3" s="180" t="s">
        <v>386</v>
      </c>
      <c r="T3" s="180" t="s">
        <v>190</v>
      </c>
    </row>
    <row r="4" spans="2:20" x14ac:dyDescent="0.25">
      <c r="B4" s="240" t="s">
        <v>188</v>
      </c>
      <c r="F4" s="166">
        <v>1</v>
      </c>
      <c r="G4" s="166">
        <v>1</v>
      </c>
      <c r="H4" s="186" t="str">
        <f>F4&amp;G4</f>
        <v>11</v>
      </c>
      <c r="I4" s="166" t="s">
        <v>387</v>
      </c>
      <c r="N4" s="166">
        <v>1</v>
      </c>
      <c r="O4" s="166" t="s">
        <v>388</v>
      </c>
      <c r="R4" s="166" t="s">
        <v>389</v>
      </c>
      <c r="S4" s="166">
        <v>1</v>
      </c>
      <c r="T4" s="166" t="s">
        <v>390</v>
      </c>
    </row>
    <row r="5" spans="2:20" x14ac:dyDescent="0.25">
      <c r="B5" s="242" t="s">
        <v>148</v>
      </c>
      <c r="F5" s="166">
        <v>1</v>
      </c>
      <c r="G5" s="166">
        <v>2</v>
      </c>
      <c r="H5" s="186" t="str">
        <f t="shared" ref="H5:H52" si="0">F5&amp;G5</f>
        <v>12</v>
      </c>
      <c r="I5" s="166" t="s">
        <v>387</v>
      </c>
      <c r="N5" s="166">
        <v>2</v>
      </c>
      <c r="O5" s="166" t="s">
        <v>388</v>
      </c>
      <c r="R5" s="166" t="s">
        <v>391</v>
      </c>
      <c r="S5" s="166">
        <v>2</v>
      </c>
      <c r="T5" s="166" t="s">
        <v>392</v>
      </c>
    </row>
    <row r="6" spans="2:20" x14ac:dyDescent="0.25">
      <c r="B6" s="166" t="s">
        <v>189</v>
      </c>
      <c r="C6" s="166" t="s">
        <v>393</v>
      </c>
      <c r="F6" s="166">
        <v>1</v>
      </c>
      <c r="G6" s="166">
        <v>3</v>
      </c>
      <c r="H6" s="186" t="str">
        <f t="shared" si="0"/>
        <v>13</v>
      </c>
      <c r="I6" s="166" t="s">
        <v>387</v>
      </c>
      <c r="N6" s="166">
        <v>3</v>
      </c>
      <c r="O6" s="166" t="s">
        <v>394</v>
      </c>
      <c r="R6" s="166" t="s">
        <v>395</v>
      </c>
      <c r="S6" s="166">
        <v>3</v>
      </c>
      <c r="T6" s="166" t="s">
        <v>396</v>
      </c>
    </row>
    <row r="7" spans="2:20" x14ac:dyDescent="0.25">
      <c r="B7" s="166" t="s">
        <v>190</v>
      </c>
      <c r="C7" s="166" t="s">
        <v>386</v>
      </c>
      <c r="F7" s="166">
        <v>1</v>
      </c>
      <c r="G7" s="166">
        <v>4</v>
      </c>
      <c r="H7" s="186" t="str">
        <f t="shared" si="0"/>
        <v>14</v>
      </c>
      <c r="I7" s="166" t="s">
        <v>387</v>
      </c>
      <c r="N7" s="166">
        <v>4</v>
      </c>
      <c r="O7" s="166" t="s">
        <v>394</v>
      </c>
      <c r="R7" s="166" t="s">
        <v>397</v>
      </c>
      <c r="S7" s="166">
        <v>4</v>
      </c>
      <c r="T7" s="166" t="s">
        <v>398</v>
      </c>
    </row>
    <row r="8" spans="2:20" x14ac:dyDescent="0.25">
      <c r="B8" s="166" t="s">
        <v>191</v>
      </c>
      <c r="C8" s="166" t="s">
        <v>399</v>
      </c>
      <c r="F8" s="166">
        <v>1</v>
      </c>
      <c r="G8" s="166">
        <v>5</v>
      </c>
      <c r="H8" s="186" t="str">
        <f t="shared" si="0"/>
        <v>15</v>
      </c>
      <c r="I8" s="166" t="s">
        <v>400</v>
      </c>
      <c r="N8" s="166">
        <v>5</v>
      </c>
      <c r="O8" s="166" t="s">
        <v>401</v>
      </c>
      <c r="R8" s="166" t="s">
        <v>402</v>
      </c>
      <c r="S8" s="166">
        <v>5</v>
      </c>
      <c r="T8" s="166" t="s">
        <v>403</v>
      </c>
    </row>
    <row r="9" spans="2:20" x14ac:dyDescent="0.25">
      <c r="B9" s="166" t="s">
        <v>192</v>
      </c>
      <c r="C9" s="166" t="s">
        <v>404</v>
      </c>
      <c r="F9" s="166">
        <v>1</v>
      </c>
      <c r="G9" s="166">
        <v>6</v>
      </c>
      <c r="H9" s="186" t="str">
        <f t="shared" si="0"/>
        <v>16</v>
      </c>
      <c r="I9" s="166" t="s">
        <v>400</v>
      </c>
      <c r="N9" s="166">
        <v>6</v>
      </c>
      <c r="O9" s="166" t="s">
        <v>402</v>
      </c>
      <c r="R9" s="166" t="s">
        <v>405</v>
      </c>
      <c r="S9" s="166">
        <v>6</v>
      </c>
      <c r="T9" s="166" t="s">
        <v>403</v>
      </c>
    </row>
    <row r="10" spans="2:20" x14ac:dyDescent="0.25">
      <c r="B10" s="166" t="s">
        <v>193</v>
      </c>
      <c r="C10" s="166" t="s">
        <v>406</v>
      </c>
      <c r="F10" s="166">
        <v>1</v>
      </c>
      <c r="G10" s="166">
        <v>7</v>
      </c>
      <c r="H10" s="186" t="str">
        <f t="shared" si="0"/>
        <v>17</v>
      </c>
      <c r="I10" s="166" t="s">
        <v>400</v>
      </c>
      <c r="N10" s="166">
        <v>7</v>
      </c>
      <c r="O10" s="166" t="s">
        <v>407</v>
      </c>
      <c r="R10" s="166" t="s">
        <v>408</v>
      </c>
      <c r="S10" s="166">
        <v>7</v>
      </c>
      <c r="T10" s="166" t="s">
        <v>409</v>
      </c>
    </row>
    <row r="11" spans="2:20" x14ac:dyDescent="0.25">
      <c r="B11" s="242" t="s">
        <v>143</v>
      </c>
      <c r="F11" s="166">
        <v>2</v>
      </c>
      <c r="G11" s="166">
        <v>1</v>
      </c>
      <c r="H11" s="186" t="str">
        <f t="shared" si="0"/>
        <v>21</v>
      </c>
      <c r="I11" s="166" t="s">
        <v>387</v>
      </c>
    </row>
    <row r="12" spans="2:20" x14ac:dyDescent="0.25">
      <c r="B12" s="240" t="s">
        <v>144</v>
      </c>
      <c r="F12" s="166">
        <v>2</v>
      </c>
      <c r="G12" s="166">
        <v>2</v>
      </c>
      <c r="H12" s="186" t="str">
        <f t="shared" si="0"/>
        <v>22</v>
      </c>
      <c r="I12" s="166" t="s">
        <v>387</v>
      </c>
    </row>
    <row r="13" spans="2:20" x14ac:dyDescent="0.25">
      <c r="B13" s="242" t="s">
        <v>145</v>
      </c>
      <c r="F13" s="166">
        <v>2</v>
      </c>
      <c r="G13" s="166">
        <v>3</v>
      </c>
      <c r="H13" s="186" t="str">
        <f t="shared" si="0"/>
        <v>23</v>
      </c>
      <c r="I13" s="166" t="s">
        <v>387</v>
      </c>
      <c r="N13" s="180" t="s">
        <v>393</v>
      </c>
      <c r="O13" s="180" t="s">
        <v>189</v>
      </c>
      <c r="R13" s="180" t="s">
        <v>399</v>
      </c>
      <c r="T13" s="180" t="s">
        <v>191</v>
      </c>
    </row>
    <row r="14" spans="2:20" x14ac:dyDescent="0.25">
      <c r="F14" s="166">
        <v>2</v>
      </c>
      <c r="G14" s="166">
        <v>4</v>
      </c>
      <c r="H14" s="186" t="str">
        <f t="shared" si="0"/>
        <v>24</v>
      </c>
      <c r="I14" s="166" t="s">
        <v>387</v>
      </c>
      <c r="N14" s="166">
        <v>1</v>
      </c>
      <c r="O14" s="166" t="s">
        <v>410</v>
      </c>
      <c r="R14" s="166" t="s">
        <v>411</v>
      </c>
      <c r="S14" s="166">
        <v>1</v>
      </c>
      <c r="T14" s="166" t="s">
        <v>412</v>
      </c>
    </row>
    <row r="15" spans="2:20" x14ac:dyDescent="0.25">
      <c r="B15" s="240" t="s">
        <v>452</v>
      </c>
      <c r="F15" s="166">
        <v>2</v>
      </c>
      <c r="G15" s="166">
        <v>5</v>
      </c>
      <c r="H15" s="186" t="str">
        <f t="shared" si="0"/>
        <v>25</v>
      </c>
      <c r="I15" s="166" t="s">
        <v>400</v>
      </c>
      <c r="N15" s="166">
        <v>2</v>
      </c>
      <c r="O15" s="166" t="s">
        <v>410</v>
      </c>
      <c r="R15" s="166" t="s">
        <v>411</v>
      </c>
      <c r="S15" s="166">
        <v>2</v>
      </c>
      <c r="T15" s="166" t="s">
        <v>412</v>
      </c>
    </row>
    <row r="16" spans="2:20" x14ac:dyDescent="0.25">
      <c r="B16" s="242" t="s">
        <v>453</v>
      </c>
      <c r="F16" s="166">
        <v>2</v>
      </c>
      <c r="G16" s="166">
        <v>6</v>
      </c>
      <c r="H16" s="186" t="str">
        <f t="shared" si="0"/>
        <v>26</v>
      </c>
      <c r="I16" s="166" t="s">
        <v>400</v>
      </c>
      <c r="N16" s="166">
        <v>3</v>
      </c>
      <c r="O16" s="166" t="s">
        <v>413</v>
      </c>
      <c r="R16" s="166" t="s">
        <v>414</v>
      </c>
      <c r="S16" s="166">
        <v>3</v>
      </c>
      <c r="T16" s="166" t="s">
        <v>415</v>
      </c>
    </row>
    <row r="17" spans="6:20" x14ac:dyDescent="0.25">
      <c r="F17" s="166">
        <v>2</v>
      </c>
      <c r="G17" s="166">
        <v>7</v>
      </c>
      <c r="H17" s="186" t="str">
        <f t="shared" si="0"/>
        <v>27</v>
      </c>
      <c r="I17" s="166" t="s">
        <v>400</v>
      </c>
      <c r="N17" s="166">
        <v>4</v>
      </c>
      <c r="O17" s="166" t="s">
        <v>413</v>
      </c>
      <c r="R17" s="166" t="s">
        <v>414</v>
      </c>
      <c r="S17" s="166">
        <v>4</v>
      </c>
      <c r="T17" s="166" t="s">
        <v>415</v>
      </c>
    </row>
    <row r="18" spans="6:20" x14ac:dyDescent="0.25">
      <c r="F18" s="166">
        <v>3</v>
      </c>
      <c r="G18" s="166">
        <v>1</v>
      </c>
      <c r="H18" s="186" t="str">
        <f t="shared" si="0"/>
        <v>31</v>
      </c>
      <c r="I18" s="166" t="s">
        <v>387</v>
      </c>
      <c r="N18" s="166">
        <v>5</v>
      </c>
      <c r="O18" s="166" t="s">
        <v>416</v>
      </c>
      <c r="R18" s="166" t="s">
        <v>417</v>
      </c>
      <c r="S18" s="166">
        <v>5</v>
      </c>
      <c r="T18" s="166" t="s">
        <v>418</v>
      </c>
    </row>
    <row r="19" spans="6:20" x14ac:dyDescent="0.25">
      <c r="F19" s="166">
        <v>3</v>
      </c>
      <c r="G19" s="166">
        <v>2</v>
      </c>
      <c r="H19" s="186" t="str">
        <f t="shared" si="0"/>
        <v>32</v>
      </c>
      <c r="I19" s="166" t="s">
        <v>387</v>
      </c>
      <c r="N19" s="166">
        <v>6</v>
      </c>
      <c r="O19" s="166" t="s">
        <v>416</v>
      </c>
      <c r="R19" s="166" t="s">
        <v>417</v>
      </c>
      <c r="S19" s="166">
        <v>6</v>
      </c>
      <c r="T19" s="166" t="s">
        <v>420</v>
      </c>
    </row>
    <row r="20" spans="6:20" x14ac:dyDescent="0.25">
      <c r="F20" s="166">
        <v>3</v>
      </c>
      <c r="G20" s="166">
        <v>3</v>
      </c>
      <c r="H20" s="186" t="str">
        <f t="shared" si="0"/>
        <v>33</v>
      </c>
      <c r="I20" s="166" t="s">
        <v>387</v>
      </c>
      <c r="N20" s="166">
        <v>7</v>
      </c>
      <c r="O20" s="166" t="s">
        <v>419</v>
      </c>
      <c r="R20" s="166" t="s">
        <v>421</v>
      </c>
      <c r="S20" s="166">
        <v>7</v>
      </c>
      <c r="T20" s="166" t="s">
        <v>422</v>
      </c>
    </row>
    <row r="21" spans="6:20" x14ac:dyDescent="0.25">
      <c r="F21" s="166">
        <v>3</v>
      </c>
      <c r="G21" s="166">
        <v>4</v>
      </c>
      <c r="H21" s="186" t="str">
        <f t="shared" si="0"/>
        <v>34</v>
      </c>
      <c r="I21" s="166" t="s">
        <v>387</v>
      </c>
    </row>
    <row r="22" spans="6:20" x14ac:dyDescent="0.25">
      <c r="F22" s="166">
        <v>3</v>
      </c>
      <c r="G22" s="166">
        <v>5</v>
      </c>
      <c r="H22" s="186" t="str">
        <f t="shared" si="0"/>
        <v>35</v>
      </c>
      <c r="I22" s="166" t="s">
        <v>400</v>
      </c>
    </row>
    <row r="23" spans="6:20" x14ac:dyDescent="0.25">
      <c r="F23" s="166">
        <v>3</v>
      </c>
      <c r="G23" s="166">
        <v>6</v>
      </c>
      <c r="H23" s="186" t="str">
        <f t="shared" si="0"/>
        <v>36</v>
      </c>
      <c r="I23" s="166" t="s">
        <v>400</v>
      </c>
    </row>
    <row r="24" spans="6:20" x14ac:dyDescent="0.25">
      <c r="F24" s="166">
        <v>3</v>
      </c>
      <c r="G24" s="166">
        <v>7</v>
      </c>
      <c r="H24" s="186" t="str">
        <f t="shared" si="0"/>
        <v>37</v>
      </c>
      <c r="I24" s="166" t="s">
        <v>400</v>
      </c>
      <c r="R24" s="180" t="s">
        <v>404</v>
      </c>
      <c r="T24" s="180" t="s">
        <v>192</v>
      </c>
    </row>
    <row r="25" spans="6:20" x14ac:dyDescent="0.25">
      <c r="F25" s="166">
        <v>4</v>
      </c>
      <c r="G25" s="166">
        <v>1</v>
      </c>
      <c r="H25" s="186" t="str">
        <f t="shared" si="0"/>
        <v>41</v>
      </c>
      <c r="I25" s="166" t="s">
        <v>387</v>
      </c>
      <c r="R25" s="166" t="s">
        <v>423</v>
      </c>
      <c r="S25" s="166">
        <v>1</v>
      </c>
      <c r="T25" s="166" t="s">
        <v>424</v>
      </c>
    </row>
    <row r="26" spans="6:20" x14ac:dyDescent="0.25">
      <c r="F26" s="166">
        <v>4</v>
      </c>
      <c r="G26" s="166">
        <v>2</v>
      </c>
      <c r="H26" s="186" t="str">
        <f t="shared" si="0"/>
        <v>42</v>
      </c>
      <c r="I26" s="166" t="s">
        <v>387</v>
      </c>
      <c r="R26" s="166" t="s">
        <v>423</v>
      </c>
      <c r="S26" s="166">
        <v>2</v>
      </c>
      <c r="T26" s="166" t="s">
        <v>424</v>
      </c>
    </row>
    <row r="27" spans="6:20" x14ac:dyDescent="0.25">
      <c r="F27" s="166">
        <v>4</v>
      </c>
      <c r="G27" s="166">
        <v>3</v>
      </c>
      <c r="H27" s="186" t="str">
        <f t="shared" si="0"/>
        <v>43</v>
      </c>
      <c r="I27" s="166" t="s">
        <v>387</v>
      </c>
      <c r="R27" s="166" t="s">
        <v>423</v>
      </c>
      <c r="S27" s="166">
        <v>3</v>
      </c>
      <c r="T27" s="166" t="s">
        <v>424</v>
      </c>
    </row>
    <row r="28" spans="6:20" x14ac:dyDescent="0.25">
      <c r="F28" s="166">
        <v>4</v>
      </c>
      <c r="G28" s="166">
        <v>4</v>
      </c>
      <c r="H28" s="186" t="str">
        <f t="shared" si="0"/>
        <v>44</v>
      </c>
      <c r="I28" s="166" t="s">
        <v>387</v>
      </c>
      <c r="R28" s="166" t="s">
        <v>394</v>
      </c>
      <c r="S28" s="166">
        <v>4</v>
      </c>
      <c r="T28" s="166" t="s">
        <v>425</v>
      </c>
    </row>
    <row r="29" spans="6:20" x14ac:dyDescent="0.25">
      <c r="F29" s="166">
        <v>4</v>
      </c>
      <c r="G29" s="166">
        <v>5</v>
      </c>
      <c r="H29" s="186" t="str">
        <f t="shared" si="0"/>
        <v>45</v>
      </c>
      <c r="I29" s="166" t="s">
        <v>400</v>
      </c>
      <c r="R29" s="166" t="s">
        <v>426</v>
      </c>
      <c r="S29" s="166">
        <v>5</v>
      </c>
      <c r="T29" s="166" t="s">
        <v>425</v>
      </c>
    </row>
    <row r="30" spans="6:20" x14ac:dyDescent="0.25">
      <c r="F30" s="166">
        <v>4</v>
      </c>
      <c r="G30" s="166">
        <v>6</v>
      </c>
      <c r="H30" s="186" t="str">
        <f t="shared" si="0"/>
        <v>46</v>
      </c>
      <c r="I30" s="166" t="s">
        <v>400</v>
      </c>
      <c r="R30" s="166" t="s">
        <v>427</v>
      </c>
      <c r="S30" s="166">
        <v>6</v>
      </c>
      <c r="T30" s="166" t="s">
        <v>428</v>
      </c>
    </row>
    <row r="31" spans="6:20" x14ac:dyDescent="0.25">
      <c r="F31" s="166">
        <v>4</v>
      </c>
      <c r="G31" s="166">
        <v>7</v>
      </c>
      <c r="H31" s="186" t="str">
        <f t="shared" si="0"/>
        <v>47</v>
      </c>
      <c r="I31" s="166" t="s">
        <v>400</v>
      </c>
      <c r="R31" s="166" t="s">
        <v>429</v>
      </c>
      <c r="S31" s="166">
        <v>7</v>
      </c>
      <c r="T31" s="166" t="s">
        <v>428</v>
      </c>
    </row>
    <row r="32" spans="6:20" x14ac:dyDescent="0.25">
      <c r="F32" s="166">
        <v>5</v>
      </c>
      <c r="G32" s="166">
        <v>1</v>
      </c>
      <c r="H32" s="186" t="str">
        <f t="shared" si="0"/>
        <v>51</v>
      </c>
      <c r="I32" s="166" t="s">
        <v>430</v>
      </c>
    </row>
    <row r="33" spans="6:24" x14ac:dyDescent="0.25">
      <c r="F33" s="166">
        <v>5</v>
      </c>
      <c r="G33" s="166">
        <v>2</v>
      </c>
      <c r="H33" s="186" t="str">
        <f t="shared" si="0"/>
        <v>52</v>
      </c>
      <c r="I33" s="166" t="s">
        <v>430</v>
      </c>
    </row>
    <row r="34" spans="6:24" x14ac:dyDescent="0.25">
      <c r="F34" s="166">
        <v>5</v>
      </c>
      <c r="G34" s="166">
        <v>3</v>
      </c>
      <c r="H34" s="186" t="str">
        <f t="shared" si="0"/>
        <v>53</v>
      </c>
      <c r="I34" s="166" t="s">
        <v>430</v>
      </c>
    </row>
    <row r="35" spans="6:24" x14ac:dyDescent="0.25">
      <c r="F35" s="166">
        <v>5</v>
      </c>
      <c r="G35" s="166">
        <v>4</v>
      </c>
      <c r="H35" s="186" t="str">
        <f t="shared" si="0"/>
        <v>54</v>
      </c>
      <c r="I35" s="166" t="s">
        <v>430</v>
      </c>
      <c r="R35" s="180" t="s">
        <v>406</v>
      </c>
      <c r="T35" s="180" t="s">
        <v>193</v>
      </c>
    </row>
    <row r="36" spans="6:24" x14ac:dyDescent="0.25">
      <c r="F36" s="166">
        <v>5</v>
      </c>
      <c r="G36" s="166">
        <v>5</v>
      </c>
      <c r="H36" s="186" t="str">
        <f t="shared" si="0"/>
        <v>55</v>
      </c>
      <c r="I36" s="166" t="s">
        <v>431</v>
      </c>
      <c r="R36" s="166" t="s">
        <v>432</v>
      </c>
      <c r="S36" s="166">
        <v>1</v>
      </c>
      <c r="T36" s="166" t="s">
        <v>433</v>
      </c>
    </row>
    <row r="37" spans="6:24" x14ac:dyDescent="0.25">
      <c r="F37" s="166">
        <v>5</v>
      </c>
      <c r="G37" s="166">
        <v>6</v>
      </c>
      <c r="H37" s="186" t="str">
        <f t="shared" si="0"/>
        <v>56</v>
      </c>
      <c r="I37" s="166" t="s">
        <v>431</v>
      </c>
      <c r="R37" s="166" t="s">
        <v>432</v>
      </c>
      <c r="S37" s="166">
        <v>2</v>
      </c>
      <c r="T37" s="166" t="s">
        <v>433</v>
      </c>
    </row>
    <row r="38" spans="6:24" x14ac:dyDescent="0.25">
      <c r="F38" s="166">
        <v>5</v>
      </c>
      <c r="G38" s="166">
        <v>7</v>
      </c>
      <c r="H38" s="186" t="str">
        <f t="shared" si="0"/>
        <v>57</v>
      </c>
      <c r="I38" s="166" t="s">
        <v>431</v>
      </c>
      <c r="R38" s="166" t="s">
        <v>434</v>
      </c>
      <c r="S38" s="166">
        <v>3</v>
      </c>
      <c r="T38" s="166" t="s">
        <v>435</v>
      </c>
    </row>
    <row r="39" spans="6:24" x14ac:dyDescent="0.25">
      <c r="F39" s="166">
        <v>6</v>
      </c>
      <c r="G39" s="166">
        <v>1</v>
      </c>
      <c r="H39" s="186" t="str">
        <f t="shared" si="0"/>
        <v>61</v>
      </c>
      <c r="I39" s="166" t="s">
        <v>430</v>
      </c>
      <c r="R39" s="166" t="s">
        <v>434</v>
      </c>
      <c r="S39" s="166">
        <v>4</v>
      </c>
      <c r="T39" s="166" t="s">
        <v>435</v>
      </c>
    </row>
    <row r="40" spans="6:24" x14ac:dyDescent="0.25">
      <c r="F40" s="166">
        <v>6</v>
      </c>
      <c r="G40" s="166">
        <v>2</v>
      </c>
      <c r="H40" s="186" t="str">
        <f t="shared" si="0"/>
        <v>62</v>
      </c>
      <c r="I40" s="166" t="s">
        <v>430</v>
      </c>
      <c r="R40" s="166" t="s">
        <v>436</v>
      </c>
      <c r="S40" s="166">
        <v>5</v>
      </c>
      <c r="T40" s="166" t="s">
        <v>437</v>
      </c>
    </row>
    <row r="41" spans="6:24" x14ac:dyDescent="0.25">
      <c r="F41" s="166">
        <v>6</v>
      </c>
      <c r="G41" s="166">
        <v>3</v>
      </c>
      <c r="H41" s="186" t="str">
        <f t="shared" si="0"/>
        <v>63</v>
      </c>
      <c r="I41" s="166" t="s">
        <v>430</v>
      </c>
      <c r="R41" s="166" t="s">
        <v>436</v>
      </c>
      <c r="S41" s="166">
        <v>6</v>
      </c>
      <c r="T41" s="166" t="s">
        <v>437</v>
      </c>
    </row>
    <row r="42" spans="6:24" x14ac:dyDescent="0.25">
      <c r="F42" s="166">
        <v>6</v>
      </c>
      <c r="G42" s="166">
        <v>4</v>
      </c>
      <c r="H42" s="186" t="str">
        <f t="shared" si="0"/>
        <v>64</v>
      </c>
      <c r="I42" s="166" t="s">
        <v>430</v>
      </c>
      <c r="R42" s="166" t="s">
        <v>438</v>
      </c>
      <c r="S42" s="166">
        <v>7</v>
      </c>
      <c r="T42" s="166" t="s">
        <v>439</v>
      </c>
    </row>
    <row r="43" spans="6:24" x14ac:dyDescent="0.25">
      <c r="F43" s="166">
        <v>6</v>
      </c>
      <c r="G43" s="166">
        <v>5</v>
      </c>
      <c r="H43" s="186" t="str">
        <f t="shared" si="0"/>
        <v>65</v>
      </c>
      <c r="I43" s="166" t="s">
        <v>431</v>
      </c>
    </row>
    <row r="44" spans="6:24" x14ac:dyDescent="0.25">
      <c r="F44" s="166">
        <v>6</v>
      </c>
      <c r="G44" s="166">
        <v>6</v>
      </c>
      <c r="H44" s="186" t="str">
        <f t="shared" si="0"/>
        <v>66</v>
      </c>
      <c r="I44" s="166" t="s">
        <v>431</v>
      </c>
    </row>
    <row r="45" spans="6:24" x14ac:dyDescent="0.25">
      <c r="F45" s="166">
        <v>6</v>
      </c>
      <c r="G45" s="166">
        <v>7</v>
      </c>
      <c r="H45" s="186" t="str">
        <f t="shared" si="0"/>
        <v>67</v>
      </c>
      <c r="I45" s="166" t="s">
        <v>431</v>
      </c>
      <c r="T45" s="236" t="s">
        <v>440</v>
      </c>
      <c r="X45" s="183" t="s">
        <v>441</v>
      </c>
    </row>
    <row r="46" spans="6:24" x14ac:dyDescent="0.25">
      <c r="F46" s="166">
        <v>7</v>
      </c>
      <c r="G46" s="166">
        <v>1</v>
      </c>
      <c r="H46" s="186" t="str">
        <f t="shared" si="0"/>
        <v>71</v>
      </c>
      <c r="I46" s="166" t="s">
        <v>430</v>
      </c>
      <c r="S46" s="166" t="s">
        <v>442</v>
      </c>
      <c r="T46" s="166" t="s">
        <v>443</v>
      </c>
    </row>
    <row r="47" spans="6:24" x14ac:dyDescent="0.25">
      <c r="F47" s="166">
        <v>7</v>
      </c>
      <c r="G47" s="166">
        <v>2</v>
      </c>
      <c r="H47" s="186" t="str">
        <f t="shared" si="0"/>
        <v>72</v>
      </c>
      <c r="I47" s="166" t="s">
        <v>430</v>
      </c>
      <c r="S47" s="243" t="s">
        <v>444</v>
      </c>
      <c r="T47" s="166" t="s">
        <v>445</v>
      </c>
    </row>
    <row r="48" spans="6:24" x14ac:dyDescent="0.25">
      <c r="F48" s="166">
        <v>7</v>
      </c>
      <c r="G48" s="166">
        <v>3</v>
      </c>
      <c r="H48" s="186" t="str">
        <f t="shared" si="0"/>
        <v>73</v>
      </c>
      <c r="I48" s="166" t="s">
        <v>430</v>
      </c>
      <c r="S48" s="166" t="s">
        <v>446</v>
      </c>
      <c r="T48" s="166" t="s">
        <v>447</v>
      </c>
    </row>
    <row r="49" spans="6:20" x14ac:dyDescent="0.25">
      <c r="F49" s="166">
        <v>7</v>
      </c>
      <c r="G49" s="166">
        <v>4</v>
      </c>
      <c r="H49" s="186" t="str">
        <f t="shared" si="0"/>
        <v>74</v>
      </c>
      <c r="I49" s="166" t="s">
        <v>430</v>
      </c>
      <c r="S49" s="166" t="s">
        <v>448</v>
      </c>
      <c r="T49" s="166" t="s">
        <v>449</v>
      </c>
    </row>
    <row r="50" spans="6:20" x14ac:dyDescent="0.25">
      <c r="F50" s="166">
        <v>7</v>
      </c>
      <c r="G50" s="166">
        <v>5</v>
      </c>
      <c r="H50" s="186" t="str">
        <f t="shared" si="0"/>
        <v>75</v>
      </c>
      <c r="I50" s="166" t="s">
        <v>431</v>
      </c>
    </row>
    <row r="51" spans="6:20" x14ac:dyDescent="0.25">
      <c r="F51" s="166">
        <v>7</v>
      </c>
      <c r="G51" s="166">
        <v>6</v>
      </c>
      <c r="H51" s="186" t="str">
        <f t="shared" si="0"/>
        <v>76</v>
      </c>
      <c r="I51" s="166" t="s">
        <v>431</v>
      </c>
    </row>
    <row r="52" spans="6:20" x14ac:dyDescent="0.25">
      <c r="F52" s="166">
        <v>7</v>
      </c>
      <c r="G52" s="166">
        <v>7</v>
      </c>
      <c r="H52" s="186" t="str">
        <f t="shared" si="0"/>
        <v>77</v>
      </c>
      <c r="I52" s="166" t="s">
        <v>431</v>
      </c>
    </row>
  </sheetData>
  <pageMargins left="0.7" right="0.7" top="0.75" bottom="0.75" header="0.3" footer="0.3"/>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6AA3B-38E7-46BA-ACD4-C8616F7389EF}">
  <sheetPr codeName="Sheet42"/>
  <dimension ref="A1:W55"/>
  <sheetViews>
    <sheetView zoomScale="90" zoomScaleNormal="90" workbookViewId="0">
      <pane xSplit="2" ySplit="1" topLeftCell="C2" activePane="bottomRight" state="frozenSplit"/>
      <selection pane="topRight" activeCell="F1" sqref="F1"/>
      <selection pane="bottomLeft" activeCell="A13" sqref="A13"/>
      <selection pane="bottomRight" sqref="A1:XFD1048576"/>
    </sheetView>
  </sheetViews>
  <sheetFormatPr defaultColWidth="8.7109375" defaultRowHeight="15" x14ac:dyDescent="0.25"/>
  <cols>
    <col min="1" max="1" width="8.7109375" style="166"/>
    <col min="2" max="2" width="25.42578125" style="166" customWidth="1"/>
    <col min="3" max="16384" width="8.7109375" style="166"/>
  </cols>
  <sheetData>
    <row r="1" spans="1:23" x14ac:dyDescent="0.25">
      <c r="B1" s="183" t="s">
        <v>454</v>
      </c>
      <c r="C1" s="166" t="s">
        <v>382</v>
      </c>
      <c r="D1" s="166" t="s">
        <v>383</v>
      </c>
      <c r="E1" s="166" t="s">
        <v>393</v>
      </c>
      <c r="F1" s="166" t="s">
        <v>386</v>
      </c>
      <c r="G1" s="166" t="s">
        <v>399</v>
      </c>
      <c r="H1" s="180" t="s">
        <v>404</v>
      </c>
      <c r="I1" s="166" t="s">
        <v>406</v>
      </c>
      <c r="J1" s="183" t="s">
        <v>251</v>
      </c>
      <c r="K1" s="240" t="s">
        <v>144</v>
      </c>
      <c r="L1" s="166" t="s">
        <v>186</v>
      </c>
      <c r="M1" s="241" t="s">
        <v>187</v>
      </c>
      <c r="N1" s="240" t="s">
        <v>188</v>
      </c>
      <c r="O1" s="183" t="s">
        <v>148</v>
      </c>
      <c r="P1" s="166" t="s">
        <v>189</v>
      </c>
      <c r="Q1" s="166" t="s">
        <v>190</v>
      </c>
      <c r="R1" s="241" t="s">
        <v>455</v>
      </c>
      <c r="S1" s="166" t="s">
        <v>192</v>
      </c>
      <c r="T1" s="241" t="s">
        <v>193</v>
      </c>
      <c r="U1" s="183" t="s">
        <v>143</v>
      </c>
      <c r="V1" s="240" t="s">
        <v>144</v>
      </c>
      <c r="W1" s="183" t="s">
        <v>145</v>
      </c>
    </row>
    <row r="2" spans="1:23" x14ac:dyDescent="0.25">
      <c r="A2" s="166">
        <v>1</v>
      </c>
      <c r="B2" s="166" t="s">
        <v>163</v>
      </c>
      <c r="C2" s="166">
        <v>3</v>
      </c>
      <c r="D2" s="166">
        <v>1</v>
      </c>
      <c r="E2" s="166">
        <v>5</v>
      </c>
      <c r="F2" s="166">
        <v>3</v>
      </c>
      <c r="G2" s="166">
        <v>3</v>
      </c>
      <c r="H2" s="166">
        <v>4</v>
      </c>
      <c r="I2" s="166">
        <v>3</v>
      </c>
      <c r="J2" s="166">
        <v>3.4456946031410447</v>
      </c>
      <c r="K2" s="166" t="s">
        <v>442</v>
      </c>
      <c r="L2" s="244" t="s">
        <v>401</v>
      </c>
      <c r="M2" s="244" t="s">
        <v>387</v>
      </c>
      <c r="N2" s="166" t="s">
        <v>458</v>
      </c>
      <c r="O2" s="166" t="s">
        <v>401</v>
      </c>
      <c r="P2" s="244" t="s">
        <v>416</v>
      </c>
      <c r="Q2" s="244" t="s">
        <v>396</v>
      </c>
      <c r="R2" s="244" t="s">
        <v>415</v>
      </c>
      <c r="S2" s="244" t="s">
        <v>425</v>
      </c>
      <c r="T2" s="244" t="s">
        <v>435</v>
      </c>
      <c r="U2" s="166" t="s">
        <v>456</v>
      </c>
      <c r="V2" s="166" t="s">
        <v>443</v>
      </c>
      <c r="W2" s="166" t="s">
        <v>445</v>
      </c>
    </row>
    <row r="3" spans="1:23" x14ac:dyDescent="0.25">
      <c r="A3" s="166">
        <v>2</v>
      </c>
      <c r="B3" s="175" t="s">
        <v>103</v>
      </c>
      <c r="C3" s="166">
        <v>3</v>
      </c>
      <c r="D3" s="166">
        <v>1</v>
      </c>
      <c r="E3" s="166">
        <v>1</v>
      </c>
      <c r="F3" s="166">
        <v>2</v>
      </c>
      <c r="G3" s="166">
        <v>1</v>
      </c>
      <c r="H3" s="166">
        <v>1</v>
      </c>
      <c r="I3" s="166">
        <v>1</v>
      </c>
      <c r="J3" s="166">
        <v>5.9810118793867684</v>
      </c>
      <c r="K3" s="166" t="s">
        <v>442</v>
      </c>
      <c r="L3" s="244" t="s">
        <v>394</v>
      </c>
      <c r="M3" s="244" t="s">
        <v>387</v>
      </c>
      <c r="N3" s="166" t="s">
        <v>459</v>
      </c>
      <c r="O3" s="166" t="s">
        <v>401</v>
      </c>
      <c r="P3" s="244" t="s">
        <v>410</v>
      </c>
      <c r="Q3" s="244" t="s">
        <v>392</v>
      </c>
      <c r="R3" s="244" t="s">
        <v>412</v>
      </c>
      <c r="S3" s="244" t="s">
        <v>424</v>
      </c>
      <c r="T3" s="244" t="s">
        <v>433</v>
      </c>
      <c r="U3" s="166" t="s">
        <v>456</v>
      </c>
      <c r="V3" s="166" t="s">
        <v>443</v>
      </c>
      <c r="W3" s="166" t="s">
        <v>445</v>
      </c>
    </row>
    <row r="4" spans="1:23" x14ac:dyDescent="0.25">
      <c r="A4" s="166">
        <v>3</v>
      </c>
      <c r="B4" s="166" t="s">
        <v>106</v>
      </c>
      <c r="C4" s="166">
        <v>3</v>
      </c>
      <c r="D4" s="166">
        <v>1</v>
      </c>
      <c r="E4" s="166">
        <v>1</v>
      </c>
      <c r="F4" s="166">
        <v>2</v>
      </c>
      <c r="G4" s="166">
        <v>1</v>
      </c>
      <c r="H4" s="166">
        <v>1</v>
      </c>
      <c r="I4" s="166">
        <v>1</v>
      </c>
      <c r="J4" s="166">
        <v>2.4172160722297478</v>
      </c>
      <c r="K4" s="166" t="s">
        <v>444</v>
      </c>
      <c r="L4" s="244" t="s">
        <v>394</v>
      </c>
      <c r="M4" s="244" t="s">
        <v>387</v>
      </c>
      <c r="N4" s="166" t="s">
        <v>458</v>
      </c>
      <c r="O4" s="166" t="s">
        <v>401</v>
      </c>
      <c r="P4" s="244" t="s">
        <v>410</v>
      </c>
      <c r="Q4" s="244" t="s">
        <v>392</v>
      </c>
      <c r="R4" s="244" t="s">
        <v>412</v>
      </c>
      <c r="S4" s="244" t="s">
        <v>424</v>
      </c>
      <c r="T4" s="244" t="s">
        <v>433</v>
      </c>
      <c r="U4" s="166" t="s">
        <v>456</v>
      </c>
      <c r="V4" s="166" t="s">
        <v>445</v>
      </c>
      <c r="W4" s="166" t="s">
        <v>445</v>
      </c>
    </row>
    <row r="5" spans="1:23" x14ac:dyDescent="0.25">
      <c r="A5" s="166">
        <v>4</v>
      </c>
      <c r="B5" s="166" t="s">
        <v>108</v>
      </c>
      <c r="C5" s="166">
        <v>3</v>
      </c>
      <c r="D5" s="166">
        <v>3</v>
      </c>
      <c r="E5" s="166">
        <v>1</v>
      </c>
      <c r="F5" s="166">
        <v>2</v>
      </c>
      <c r="G5" s="166">
        <v>1</v>
      </c>
      <c r="H5" s="166">
        <v>1</v>
      </c>
      <c r="I5" s="166">
        <v>1</v>
      </c>
      <c r="J5" s="166">
        <v>5.2291693937803938</v>
      </c>
      <c r="K5" s="166" t="s">
        <v>442</v>
      </c>
      <c r="L5" s="244" t="s">
        <v>394</v>
      </c>
      <c r="M5" s="244" t="s">
        <v>387</v>
      </c>
      <c r="N5" s="166" t="s">
        <v>460</v>
      </c>
      <c r="O5" s="166" t="s">
        <v>401</v>
      </c>
      <c r="P5" s="244" t="s">
        <v>410</v>
      </c>
      <c r="Q5" s="244" t="s">
        <v>392</v>
      </c>
      <c r="R5" s="244" t="s">
        <v>412</v>
      </c>
      <c r="S5" s="244" t="s">
        <v>424</v>
      </c>
      <c r="T5" s="244" t="s">
        <v>433</v>
      </c>
      <c r="U5" s="166" t="s">
        <v>456</v>
      </c>
      <c r="V5" s="166" t="s">
        <v>443</v>
      </c>
      <c r="W5" s="166" t="s">
        <v>445</v>
      </c>
    </row>
    <row r="6" spans="1:23" x14ac:dyDescent="0.25">
      <c r="A6" s="166">
        <v>5</v>
      </c>
      <c r="B6" s="166" t="s">
        <v>109</v>
      </c>
      <c r="C6" s="166">
        <v>3</v>
      </c>
      <c r="D6" s="166">
        <v>1</v>
      </c>
      <c r="E6" s="166">
        <v>1</v>
      </c>
      <c r="F6" s="166">
        <v>2</v>
      </c>
      <c r="G6" s="166">
        <v>1</v>
      </c>
      <c r="H6" s="166">
        <v>1</v>
      </c>
      <c r="I6" s="166">
        <v>1</v>
      </c>
      <c r="J6" s="166">
        <v>5.9254708026696319</v>
      </c>
      <c r="K6" s="166" t="s">
        <v>442</v>
      </c>
      <c r="L6" s="244" t="s">
        <v>394</v>
      </c>
      <c r="M6" s="244" t="s">
        <v>387</v>
      </c>
      <c r="N6" s="166" t="s">
        <v>458</v>
      </c>
      <c r="O6" s="166" t="s">
        <v>401</v>
      </c>
      <c r="P6" s="244" t="s">
        <v>410</v>
      </c>
      <c r="Q6" s="244" t="s">
        <v>392</v>
      </c>
      <c r="R6" s="244" t="s">
        <v>412</v>
      </c>
      <c r="S6" s="244" t="s">
        <v>424</v>
      </c>
      <c r="T6" s="244" t="s">
        <v>433</v>
      </c>
      <c r="U6" s="166" t="s">
        <v>456</v>
      </c>
      <c r="V6" s="166" t="s">
        <v>443</v>
      </c>
      <c r="W6" s="166" t="s">
        <v>445</v>
      </c>
    </row>
    <row r="7" spans="1:23" x14ac:dyDescent="0.25">
      <c r="A7" s="166">
        <v>6</v>
      </c>
      <c r="B7" s="166" t="s">
        <v>111</v>
      </c>
      <c r="C7" s="166">
        <v>3</v>
      </c>
      <c r="D7" s="166">
        <v>1</v>
      </c>
      <c r="E7" s="166">
        <v>1</v>
      </c>
      <c r="F7" s="166">
        <v>2</v>
      </c>
      <c r="G7" s="166">
        <v>1</v>
      </c>
      <c r="H7" s="166">
        <v>1</v>
      </c>
      <c r="I7" s="166">
        <v>1</v>
      </c>
      <c r="J7" s="166">
        <v>13.263086412859623</v>
      </c>
      <c r="K7" s="166" t="s">
        <v>442</v>
      </c>
      <c r="L7" s="244" t="s">
        <v>394</v>
      </c>
      <c r="M7" s="244" t="s">
        <v>387</v>
      </c>
      <c r="N7" s="166" t="s">
        <v>459</v>
      </c>
      <c r="O7" s="166" t="s">
        <v>401</v>
      </c>
      <c r="P7" s="244" t="s">
        <v>410</v>
      </c>
      <c r="Q7" s="244" t="s">
        <v>392</v>
      </c>
      <c r="R7" s="244" t="s">
        <v>412</v>
      </c>
      <c r="S7" s="244" t="s">
        <v>424</v>
      </c>
      <c r="T7" s="244" t="s">
        <v>433</v>
      </c>
      <c r="U7" s="166" t="s">
        <v>456</v>
      </c>
      <c r="V7" s="166" t="s">
        <v>443</v>
      </c>
      <c r="W7" s="166" t="s">
        <v>445</v>
      </c>
    </row>
    <row r="8" spans="1:23" x14ac:dyDescent="0.25">
      <c r="A8" s="166">
        <v>7</v>
      </c>
      <c r="B8" s="166" t="s">
        <v>112</v>
      </c>
      <c r="C8" s="166">
        <v>3</v>
      </c>
      <c r="D8" s="166">
        <v>1</v>
      </c>
      <c r="E8" s="166">
        <v>1</v>
      </c>
      <c r="F8" s="166">
        <v>1</v>
      </c>
      <c r="G8" s="166">
        <v>1</v>
      </c>
      <c r="H8" s="166">
        <v>1</v>
      </c>
      <c r="I8" s="166">
        <v>1</v>
      </c>
      <c r="J8" s="166">
        <v>14.388592054130061</v>
      </c>
      <c r="K8" s="166" t="s">
        <v>442</v>
      </c>
      <c r="L8" s="244" t="s">
        <v>394</v>
      </c>
      <c r="M8" s="244" t="s">
        <v>387</v>
      </c>
      <c r="N8" s="166" t="s">
        <v>460</v>
      </c>
      <c r="O8" s="166" t="s">
        <v>401</v>
      </c>
      <c r="P8" s="244" t="s">
        <v>410</v>
      </c>
      <c r="Q8" s="244" t="s">
        <v>390</v>
      </c>
      <c r="R8" s="244" t="s">
        <v>412</v>
      </c>
      <c r="S8" s="244" t="s">
        <v>424</v>
      </c>
      <c r="T8" s="244" t="s">
        <v>433</v>
      </c>
      <c r="U8" s="166" t="s">
        <v>456</v>
      </c>
      <c r="V8" s="166" t="s">
        <v>443</v>
      </c>
      <c r="W8" s="166" t="s">
        <v>445</v>
      </c>
    </row>
    <row r="9" spans="1:23" x14ac:dyDescent="0.25">
      <c r="A9" s="166">
        <v>8</v>
      </c>
      <c r="B9" s="166" t="s">
        <v>113</v>
      </c>
      <c r="C9" s="166">
        <v>3</v>
      </c>
      <c r="D9" s="166">
        <v>3</v>
      </c>
      <c r="E9" s="166">
        <v>1</v>
      </c>
      <c r="F9" s="166">
        <v>2</v>
      </c>
      <c r="G9" s="166">
        <v>1</v>
      </c>
      <c r="H9" s="166">
        <v>1</v>
      </c>
      <c r="I9" s="166">
        <v>3</v>
      </c>
      <c r="J9" s="166">
        <v>4.8523473314741086</v>
      </c>
      <c r="K9" s="166" t="s">
        <v>442</v>
      </c>
      <c r="L9" s="244" t="s">
        <v>394</v>
      </c>
      <c r="M9" s="244" t="s">
        <v>387</v>
      </c>
      <c r="N9" s="166" t="s">
        <v>460</v>
      </c>
      <c r="O9" s="166" t="s">
        <v>401</v>
      </c>
      <c r="P9" s="244" t="s">
        <v>410</v>
      </c>
      <c r="Q9" s="244" t="s">
        <v>392</v>
      </c>
      <c r="R9" s="244" t="s">
        <v>412</v>
      </c>
      <c r="S9" s="244" t="s">
        <v>424</v>
      </c>
      <c r="T9" s="244" t="s">
        <v>435</v>
      </c>
      <c r="U9" s="166" t="s">
        <v>456</v>
      </c>
      <c r="V9" s="166" t="s">
        <v>443</v>
      </c>
      <c r="W9" s="166" t="s">
        <v>445</v>
      </c>
    </row>
    <row r="10" spans="1:23" x14ac:dyDescent="0.25">
      <c r="A10" s="166">
        <v>9</v>
      </c>
      <c r="B10" s="166" t="s">
        <v>116</v>
      </c>
      <c r="C10" s="166">
        <v>3</v>
      </c>
      <c r="D10" s="166">
        <v>1</v>
      </c>
      <c r="E10" s="166">
        <v>1</v>
      </c>
      <c r="F10" s="166">
        <v>2</v>
      </c>
      <c r="G10" s="166">
        <v>1</v>
      </c>
      <c r="H10" s="166">
        <v>1</v>
      </c>
      <c r="I10" s="166">
        <v>1</v>
      </c>
      <c r="J10" s="166" t="s">
        <v>271</v>
      </c>
      <c r="K10" s="166" t="s">
        <v>446</v>
      </c>
      <c r="L10" s="244" t="s">
        <v>394</v>
      </c>
      <c r="M10" s="244" t="s">
        <v>387</v>
      </c>
      <c r="N10" s="166" t="s">
        <v>458</v>
      </c>
      <c r="O10" s="166" t="s">
        <v>401</v>
      </c>
      <c r="P10" s="244" t="s">
        <v>410</v>
      </c>
      <c r="Q10" s="244" t="s">
        <v>392</v>
      </c>
      <c r="R10" s="244" t="s">
        <v>412</v>
      </c>
      <c r="S10" s="244" t="s">
        <v>424</v>
      </c>
      <c r="T10" s="244" t="s">
        <v>433</v>
      </c>
      <c r="U10" s="166" t="s">
        <v>456</v>
      </c>
      <c r="V10" s="166" t="s">
        <v>447</v>
      </c>
      <c r="W10" s="166" t="s">
        <v>445</v>
      </c>
    </row>
    <row r="11" spans="1:23" x14ac:dyDescent="0.25">
      <c r="A11" s="166">
        <v>10</v>
      </c>
      <c r="B11" s="166" t="s">
        <v>117</v>
      </c>
      <c r="C11" s="166">
        <v>3</v>
      </c>
      <c r="D11" s="166">
        <v>1</v>
      </c>
      <c r="E11" s="166">
        <v>1</v>
      </c>
      <c r="F11" s="166">
        <v>2</v>
      </c>
      <c r="G11" s="166">
        <v>1</v>
      </c>
      <c r="H11" s="166">
        <v>1</v>
      </c>
      <c r="I11" s="166">
        <v>1</v>
      </c>
      <c r="J11" s="166">
        <v>4.5702849998640911</v>
      </c>
      <c r="K11" s="166" t="s">
        <v>442</v>
      </c>
      <c r="L11" s="244" t="s">
        <v>394</v>
      </c>
      <c r="M11" s="244" t="s">
        <v>387</v>
      </c>
      <c r="N11" s="166" t="s">
        <v>458</v>
      </c>
      <c r="O11" s="166" t="s">
        <v>401</v>
      </c>
      <c r="P11" s="244" t="s">
        <v>410</v>
      </c>
      <c r="Q11" s="244" t="s">
        <v>392</v>
      </c>
      <c r="R11" s="244" t="s">
        <v>412</v>
      </c>
      <c r="S11" s="244" t="s">
        <v>424</v>
      </c>
      <c r="T11" s="244" t="s">
        <v>433</v>
      </c>
      <c r="U11" s="166" t="s">
        <v>456</v>
      </c>
      <c r="V11" s="166" t="s">
        <v>443</v>
      </c>
      <c r="W11" s="166" t="s">
        <v>445</v>
      </c>
    </row>
    <row r="12" spans="1:23" x14ac:dyDescent="0.25">
      <c r="A12" s="166">
        <v>11</v>
      </c>
      <c r="B12" s="166" t="s">
        <v>120</v>
      </c>
      <c r="C12" s="166">
        <v>3</v>
      </c>
      <c r="D12" s="166">
        <v>1</v>
      </c>
      <c r="E12" s="166">
        <v>1</v>
      </c>
      <c r="F12" s="166">
        <v>2</v>
      </c>
      <c r="G12" s="166">
        <v>1</v>
      </c>
      <c r="H12" s="166">
        <v>1</v>
      </c>
      <c r="I12" s="166">
        <v>1</v>
      </c>
      <c r="J12" s="166">
        <v>3.9260272081475454</v>
      </c>
      <c r="K12" s="166" t="s">
        <v>442</v>
      </c>
      <c r="L12" s="244" t="s">
        <v>394</v>
      </c>
      <c r="M12" s="244" t="s">
        <v>387</v>
      </c>
      <c r="N12" s="166" t="s">
        <v>460</v>
      </c>
      <c r="O12" s="166" t="s">
        <v>401</v>
      </c>
      <c r="P12" s="244" t="s">
        <v>410</v>
      </c>
      <c r="Q12" s="244" t="s">
        <v>392</v>
      </c>
      <c r="R12" s="244" t="s">
        <v>412</v>
      </c>
      <c r="S12" s="244" t="s">
        <v>424</v>
      </c>
      <c r="T12" s="244" t="s">
        <v>433</v>
      </c>
      <c r="U12" s="166" t="s">
        <v>456</v>
      </c>
      <c r="V12" s="166" t="s">
        <v>443</v>
      </c>
      <c r="W12" s="166" t="s">
        <v>445</v>
      </c>
    </row>
    <row r="13" spans="1:23" x14ac:dyDescent="0.25">
      <c r="A13" s="166">
        <v>12</v>
      </c>
      <c r="B13" s="166" t="s">
        <v>121</v>
      </c>
      <c r="C13" s="166">
        <v>3</v>
      </c>
      <c r="D13" s="166">
        <v>1</v>
      </c>
      <c r="E13" s="166">
        <v>1</v>
      </c>
      <c r="F13" s="166">
        <v>2</v>
      </c>
      <c r="G13" s="166">
        <v>1</v>
      </c>
      <c r="H13" s="166">
        <v>1</v>
      </c>
      <c r="I13" s="166">
        <v>1</v>
      </c>
      <c r="J13" s="166">
        <v>0</v>
      </c>
      <c r="K13" s="166" t="s">
        <v>448</v>
      </c>
      <c r="L13" s="244" t="s">
        <v>394</v>
      </c>
      <c r="M13" s="244" t="s">
        <v>387</v>
      </c>
      <c r="N13" s="166" t="s">
        <v>459</v>
      </c>
      <c r="O13" s="166" t="s">
        <v>401</v>
      </c>
      <c r="P13" s="244" t="s">
        <v>410</v>
      </c>
      <c r="Q13" s="244" t="s">
        <v>392</v>
      </c>
      <c r="R13" s="244" t="s">
        <v>412</v>
      </c>
      <c r="S13" s="244" t="s">
        <v>424</v>
      </c>
      <c r="T13" s="244" t="s">
        <v>433</v>
      </c>
      <c r="U13" s="166" t="s">
        <v>456</v>
      </c>
      <c r="V13" s="166" t="s">
        <v>449</v>
      </c>
      <c r="W13" s="166" t="s">
        <v>445</v>
      </c>
    </row>
    <row r="14" spans="1:23" x14ac:dyDescent="0.25">
      <c r="A14" s="166">
        <v>13</v>
      </c>
      <c r="B14" s="166" t="s">
        <v>122</v>
      </c>
      <c r="C14" s="166">
        <v>2</v>
      </c>
      <c r="D14" s="166">
        <v>1</v>
      </c>
      <c r="E14" s="166">
        <v>1</v>
      </c>
      <c r="F14" s="166">
        <v>1</v>
      </c>
      <c r="G14" s="166">
        <v>1</v>
      </c>
      <c r="H14" s="166">
        <v>1</v>
      </c>
      <c r="I14" s="166">
        <v>1</v>
      </c>
      <c r="J14" s="166">
        <v>4.0091811812054701</v>
      </c>
      <c r="K14" s="166" t="s">
        <v>442</v>
      </c>
      <c r="L14" s="244" t="s">
        <v>394</v>
      </c>
      <c r="M14" s="244" t="s">
        <v>387</v>
      </c>
      <c r="N14" s="166" t="s">
        <v>459</v>
      </c>
      <c r="O14" s="166" t="s">
        <v>401</v>
      </c>
      <c r="P14" s="244" t="s">
        <v>410</v>
      </c>
      <c r="Q14" s="244" t="s">
        <v>390</v>
      </c>
      <c r="R14" s="244" t="s">
        <v>412</v>
      </c>
      <c r="S14" s="244" t="s">
        <v>424</v>
      </c>
      <c r="T14" s="244" t="s">
        <v>433</v>
      </c>
      <c r="U14" s="166" t="s">
        <v>456</v>
      </c>
      <c r="V14" s="166" t="s">
        <v>443</v>
      </c>
      <c r="W14" s="166" t="s">
        <v>445</v>
      </c>
    </row>
    <row r="15" spans="1:23" x14ac:dyDescent="0.25">
      <c r="A15" s="166">
        <v>14</v>
      </c>
      <c r="B15" s="166" t="s">
        <v>123</v>
      </c>
      <c r="C15" s="166">
        <v>5</v>
      </c>
      <c r="D15" s="166">
        <v>1</v>
      </c>
      <c r="E15" s="166">
        <v>3</v>
      </c>
      <c r="F15" s="166">
        <v>3</v>
      </c>
      <c r="G15" s="166">
        <v>5</v>
      </c>
      <c r="H15" s="166">
        <v>1</v>
      </c>
      <c r="I15" s="166">
        <v>1</v>
      </c>
      <c r="J15" s="166">
        <v>2.0577086644586782</v>
      </c>
      <c r="K15" s="166" t="s">
        <v>444</v>
      </c>
      <c r="L15" s="244" t="s">
        <v>401</v>
      </c>
      <c r="M15" s="244" t="s">
        <v>430</v>
      </c>
      <c r="N15" s="166" t="s">
        <v>460</v>
      </c>
      <c r="O15" s="166" t="s">
        <v>401</v>
      </c>
      <c r="P15" s="244" t="s">
        <v>413</v>
      </c>
      <c r="Q15" s="244" t="s">
        <v>396</v>
      </c>
      <c r="R15" s="244" t="s">
        <v>418</v>
      </c>
      <c r="S15" s="244" t="s">
        <v>424</v>
      </c>
      <c r="T15" s="244" t="s">
        <v>433</v>
      </c>
      <c r="U15" s="166" t="s">
        <v>456</v>
      </c>
      <c r="V15" s="166" t="s">
        <v>445</v>
      </c>
      <c r="W15" s="166" t="s">
        <v>445</v>
      </c>
    </row>
    <row r="16" spans="1:23" x14ac:dyDescent="0.25">
      <c r="A16" s="166">
        <v>15</v>
      </c>
      <c r="B16" s="166" t="s">
        <v>124</v>
      </c>
      <c r="C16" s="166">
        <v>3</v>
      </c>
      <c r="D16" s="166">
        <v>1</v>
      </c>
      <c r="E16" s="166">
        <v>1</v>
      </c>
      <c r="F16" s="166">
        <v>2</v>
      </c>
      <c r="G16" s="166">
        <v>1</v>
      </c>
      <c r="H16" s="166">
        <v>4</v>
      </c>
      <c r="I16" s="166">
        <v>1</v>
      </c>
      <c r="J16" s="166">
        <v>3.5195364365969528</v>
      </c>
      <c r="K16" s="166" t="s">
        <v>442</v>
      </c>
      <c r="L16" s="244" t="s">
        <v>394</v>
      </c>
      <c r="M16" s="244" t="s">
        <v>387</v>
      </c>
      <c r="N16" s="166" t="s">
        <v>458</v>
      </c>
      <c r="O16" s="166" t="s">
        <v>401</v>
      </c>
      <c r="P16" s="244" t="s">
        <v>410</v>
      </c>
      <c r="Q16" s="244" t="s">
        <v>392</v>
      </c>
      <c r="R16" s="244" t="s">
        <v>412</v>
      </c>
      <c r="S16" s="244" t="s">
        <v>425</v>
      </c>
      <c r="T16" s="244" t="s">
        <v>433</v>
      </c>
      <c r="U16" s="166" t="s">
        <v>456</v>
      </c>
      <c r="V16" s="166" t="s">
        <v>443</v>
      </c>
      <c r="W16" s="166" t="s">
        <v>445</v>
      </c>
    </row>
    <row r="17" spans="1:23" x14ac:dyDescent="0.25">
      <c r="A17" s="166">
        <v>16</v>
      </c>
      <c r="B17" s="166" t="s">
        <v>125</v>
      </c>
      <c r="C17" s="166">
        <v>3</v>
      </c>
      <c r="D17" s="166">
        <v>1</v>
      </c>
      <c r="E17" s="166">
        <v>3</v>
      </c>
      <c r="F17" s="166">
        <v>4</v>
      </c>
      <c r="G17" s="166">
        <v>3</v>
      </c>
      <c r="H17" s="166">
        <v>1</v>
      </c>
      <c r="I17" s="166">
        <v>3</v>
      </c>
      <c r="J17" s="166">
        <v>3.4</v>
      </c>
      <c r="K17" s="166" t="s">
        <v>442</v>
      </c>
      <c r="L17" s="244" t="s">
        <v>402</v>
      </c>
      <c r="M17" s="244" t="s">
        <v>387</v>
      </c>
      <c r="N17" s="166" t="s">
        <v>459</v>
      </c>
      <c r="O17" s="166" t="s">
        <v>401</v>
      </c>
      <c r="P17" s="244" t="s">
        <v>413</v>
      </c>
      <c r="Q17" s="244" t="s">
        <v>398</v>
      </c>
      <c r="R17" s="244" t="s">
        <v>415</v>
      </c>
      <c r="S17" s="244" t="s">
        <v>424</v>
      </c>
      <c r="T17" s="244" t="s">
        <v>435</v>
      </c>
      <c r="U17" s="166" t="s">
        <v>456</v>
      </c>
      <c r="V17" s="166" t="s">
        <v>443</v>
      </c>
      <c r="W17" s="166" t="s">
        <v>445</v>
      </c>
    </row>
    <row r="18" spans="1:23" x14ac:dyDescent="0.25">
      <c r="A18" s="166">
        <v>17</v>
      </c>
      <c r="B18" s="166" t="s">
        <v>126</v>
      </c>
      <c r="C18" s="166">
        <v>3</v>
      </c>
      <c r="D18" s="166">
        <v>1</v>
      </c>
      <c r="E18" s="166">
        <v>1</v>
      </c>
      <c r="F18" s="166">
        <v>1</v>
      </c>
      <c r="G18" s="166">
        <v>1</v>
      </c>
      <c r="H18" s="166">
        <v>1</v>
      </c>
      <c r="I18" s="166">
        <v>1</v>
      </c>
      <c r="J18" s="166">
        <v>6.9339589576740117</v>
      </c>
      <c r="K18" s="166" t="s">
        <v>442</v>
      </c>
      <c r="L18" s="244" t="s">
        <v>388</v>
      </c>
      <c r="M18" s="244" t="s">
        <v>387</v>
      </c>
      <c r="N18" s="166" t="s">
        <v>458</v>
      </c>
      <c r="O18" s="166" t="s">
        <v>401</v>
      </c>
      <c r="P18" s="244" t="s">
        <v>410</v>
      </c>
      <c r="Q18" s="244" t="s">
        <v>390</v>
      </c>
      <c r="R18" s="244" t="s">
        <v>412</v>
      </c>
      <c r="S18" s="244" t="s">
        <v>424</v>
      </c>
      <c r="T18" s="244" t="s">
        <v>433</v>
      </c>
      <c r="U18" s="166" t="s">
        <v>456</v>
      </c>
      <c r="V18" s="166" t="s">
        <v>443</v>
      </c>
      <c r="W18" s="166" t="s">
        <v>445</v>
      </c>
    </row>
    <row r="19" spans="1:23" x14ac:dyDescent="0.25">
      <c r="A19" s="166">
        <v>18</v>
      </c>
      <c r="B19" s="166" t="s">
        <v>127</v>
      </c>
      <c r="C19" s="166">
        <v>3</v>
      </c>
      <c r="D19" s="166">
        <v>1</v>
      </c>
      <c r="E19" s="166">
        <v>1</v>
      </c>
      <c r="F19" s="166">
        <v>2</v>
      </c>
      <c r="G19" s="166">
        <v>1</v>
      </c>
      <c r="H19" s="166">
        <v>1</v>
      </c>
      <c r="I19" s="166">
        <v>1</v>
      </c>
      <c r="J19" s="166">
        <v>4.7445680390504066</v>
      </c>
      <c r="K19" s="166" t="s">
        <v>442</v>
      </c>
      <c r="L19" s="244" t="s">
        <v>394</v>
      </c>
      <c r="M19" s="244" t="s">
        <v>387</v>
      </c>
      <c r="N19" s="166" t="s">
        <v>458</v>
      </c>
      <c r="O19" s="166" t="s">
        <v>401</v>
      </c>
      <c r="P19" s="244" t="s">
        <v>410</v>
      </c>
      <c r="Q19" s="244" t="s">
        <v>392</v>
      </c>
      <c r="R19" s="244" t="s">
        <v>412</v>
      </c>
      <c r="S19" s="244" t="s">
        <v>424</v>
      </c>
      <c r="T19" s="244" t="s">
        <v>433</v>
      </c>
      <c r="U19" s="166" t="s">
        <v>456</v>
      </c>
      <c r="V19" s="166" t="s">
        <v>443</v>
      </c>
      <c r="W19" s="166" t="s">
        <v>445</v>
      </c>
    </row>
    <row r="20" spans="1:23" x14ac:dyDescent="0.25">
      <c r="A20" s="166">
        <v>19</v>
      </c>
      <c r="B20" s="166" t="s">
        <v>128</v>
      </c>
      <c r="C20" s="166">
        <v>5</v>
      </c>
      <c r="D20" s="166">
        <v>4</v>
      </c>
      <c r="E20" s="166">
        <v>1</v>
      </c>
      <c r="F20" s="166">
        <v>2</v>
      </c>
      <c r="G20" s="166">
        <v>1</v>
      </c>
      <c r="H20" s="166">
        <v>4</v>
      </c>
      <c r="I20" s="166">
        <v>3</v>
      </c>
      <c r="J20" s="166">
        <v>6.6850263941292525</v>
      </c>
      <c r="K20" s="166" t="s">
        <v>442</v>
      </c>
      <c r="L20" s="244" t="s">
        <v>394</v>
      </c>
      <c r="M20" s="244" t="s">
        <v>430</v>
      </c>
      <c r="N20" s="166" t="s">
        <v>458</v>
      </c>
      <c r="O20" s="166" t="s">
        <v>401</v>
      </c>
      <c r="P20" s="244" t="s">
        <v>410</v>
      </c>
      <c r="Q20" s="244" t="s">
        <v>392</v>
      </c>
      <c r="R20" s="244" t="s">
        <v>412</v>
      </c>
      <c r="S20" s="244" t="s">
        <v>425</v>
      </c>
      <c r="T20" s="244" t="s">
        <v>435</v>
      </c>
      <c r="U20" s="166" t="s">
        <v>456</v>
      </c>
      <c r="V20" s="166" t="s">
        <v>443</v>
      </c>
      <c r="W20" s="166" t="s">
        <v>445</v>
      </c>
    </row>
    <row r="21" spans="1:23" x14ac:dyDescent="0.25">
      <c r="A21" s="166">
        <v>20</v>
      </c>
      <c r="B21" s="166" t="s">
        <v>129</v>
      </c>
      <c r="C21" s="166">
        <v>3</v>
      </c>
      <c r="D21" s="166">
        <v>3</v>
      </c>
      <c r="E21" s="166">
        <v>1</v>
      </c>
      <c r="F21" s="166">
        <v>2</v>
      </c>
      <c r="G21" s="166">
        <v>1</v>
      </c>
      <c r="H21" s="166">
        <v>1</v>
      </c>
      <c r="I21" s="166">
        <v>1</v>
      </c>
      <c r="J21" s="166">
        <v>1.6430423059838342</v>
      </c>
      <c r="K21" s="166" t="s">
        <v>444</v>
      </c>
      <c r="L21" s="244" t="s">
        <v>394</v>
      </c>
      <c r="M21" s="244" t="s">
        <v>387</v>
      </c>
      <c r="N21" s="166" t="s">
        <v>460</v>
      </c>
      <c r="O21" s="166" t="s">
        <v>401</v>
      </c>
      <c r="P21" s="244" t="s">
        <v>410</v>
      </c>
      <c r="Q21" s="244" t="s">
        <v>392</v>
      </c>
      <c r="R21" s="244" t="s">
        <v>412</v>
      </c>
      <c r="S21" s="244" t="s">
        <v>424</v>
      </c>
      <c r="T21" s="244" t="s">
        <v>433</v>
      </c>
      <c r="U21" s="166" t="s">
        <v>456</v>
      </c>
      <c r="V21" s="166" t="s">
        <v>445</v>
      </c>
      <c r="W21" s="166" t="s">
        <v>445</v>
      </c>
    </row>
    <row r="22" spans="1:23" x14ac:dyDescent="0.25">
      <c r="A22" s="166">
        <v>21</v>
      </c>
      <c r="B22" s="166" t="s">
        <v>130</v>
      </c>
      <c r="C22" s="166">
        <v>3</v>
      </c>
      <c r="D22" s="166">
        <v>1</v>
      </c>
      <c r="E22" s="166">
        <v>1</v>
      </c>
      <c r="F22" s="166">
        <v>2</v>
      </c>
      <c r="G22" s="166">
        <v>1</v>
      </c>
      <c r="H22" s="166">
        <v>1</v>
      </c>
      <c r="I22" s="166">
        <v>1</v>
      </c>
      <c r="J22" s="166">
        <v>8.9660687379729396</v>
      </c>
      <c r="K22" s="166" t="s">
        <v>442</v>
      </c>
      <c r="L22" s="244" t="s">
        <v>394</v>
      </c>
      <c r="M22" s="244" t="s">
        <v>387</v>
      </c>
      <c r="N22" s="166" t="s">
        <v>459</v>
      </c>
      <c r="O22" s="166" t="s">
        <v>401</v>
      </c>
      <c r="P22" s="244" t="s">
        <v>410</v>
      </c>
      <c r="Q22" s="244" t="s">
        <v>392</v>
      </c>
      <c r="R22" s="244" t="s">
        <v>412</v>
      </c>
      <c r="S22" s="244" t="s">
        <v>424</v>
      </c>
      <c r="T22" s="244" t="s">
        <v>433</v>
      </c>
      <c r="U22" s="166" t="s">
        <v>456</v>
      </c>
      <c r="V22" s="166" t="s">
        <v>443</v>
      </c>
      <c r="W22" s="166" t="s">
        <v>445</v>
      </c>
    </row>
    <row r="23" spans="1:23" x14ac:dyDescent="0.25">
      <c r="A23" s="166">
        <v>22</v>
      </c>
      <c r="B23" s="166" t="s">
        <v>131</v>
      </c>
      <c r="C23" s="166">
        <v>3</v>
      </c>
      <c r="D23" s="166">
        <v>1</v>
      </c>
      <c r="E23" s="166">
        <v>1</v>
      </c>
      <c r="F23" s="166">
        <v>3</v>
      </c>
      <c r="G23" s="166">
        <v>1</v>
      </c>
      <c r="H23" s="166">
        <v>1</v>
      </c>
      <c r="I23" s="166">
        <v>1</v>
      </c>
      <c r="J23" s="166">
        <v>19.461028860031927</v>
      </c>
      <c r="K23" s="166" t="s">
        <v>442</v>
      </c>
      <c r="L23" s="244" t="s">
        <v>394</v>
      </c>
      <c r="M23" s="244" t="s">
        <v>387</v>
      </c>
      <c r="N23" s="166" t="s">
        <v>460</v>
      </c>
      <c r="O23" s="166" t="s">
        <v>401</v>
      </c>
      <c r="P23" s="244" t="s">
        <v>410</v>
      </c>
      <c r="Q23" s="244" t="s">
        <v>396</v>
      </c>
      <c r="R23" s="244" t="s">
        <v>412</v>
      </c>
      <c r="S23" s="244" t="s">
        <v>424</v>
      </c>
      <c r="T23" s="244" t="s">
        <v>433</v>
      </c>
      <c r="U23" s="166" t="s">
        <v>456</v>
      </c>
      <c r="V23" s="166" t="s">
        <v>443</v>
      </c>
      <c r="W23" s="166" t="s">
        <v>445</v>
      </c>
    </row>
    <row r="24" spans="1:23" x14ac:dyDescent="0.25">
      <c r="A24" s="166">
        <v>23</v>
      </c>
      <c r="B24" s="166" t="s">
        <v>132</v>
      </c>
      <c r="C24" s="166">
        <v>3</v>
      </c>
      <c r="D24" s="166">
        <v>1</v>
      </c>
      <c r="E24" s="166">
        <v>1</v>
      </c>
      <c r="F24" s="166">
        <v>2</v>
      </c>
      <c r="G24" s="166">
        <v>1</v>
      </c>
      <c r="H24" s="166">
        <v>1</v>
      </c>
      <c r="I24" s="166">
        <v>1</v>
      </c>
      <c r="J24" s="166">
        <v>3.1061666526707814</v>
      </c>
      <c r="K24" s="166" t="s">
        <v>442</v>
      </c>
      <c r="L24" s="244" t="s">
        <v>394</v>
      </c>
      <c r="M24" s="244" t="s">
        <v>387</v>
      </c>
      <c r="N24" s="166" t="s">
        <v>458</v>
      </c>
      <c r="O24" s="166" t="s">
        <v>401</v>
      </c>
      <c r="P24" s="244" t="s">
        <v>410</v>
      </c>
      <c r="Q24" s="244" t="s">
        <v>392</v>
      </c>
      <c r="R24" s="244" t="s">
        <v>412</v>
      </c>
      <c r="S24" s="244" t="s">
        <v>424</v>
      </c>
      <c r="T24" s="244" t="s">
        <v>433</v>
      </c>
      <c r="U24" s="166" t="s">
        <v>456</v>
      </c>
      <c r="V24" s="166" t="s">
        <v>443</v>
      </c>
      <c r="W24" s="166" t="s">
        <v>445</v>
      </c>
    </row>
    <row r="25" spans="1:23" x14ac:dyDescent="0.25">
      <c r="A25" s="166">
        <v>24</v>
      </c>
      <c r="B25" s="166" t="s">
        <v>133</v>
      </c>
      <c r="C25" s="166">
        <v>3</v>
      </c>
      <c r="D25" s="166">
        <v>1</v>
      </c>
      <c r="E25" s="166">
        <v>1</v>
      </c>
      <c r="F25" s="166">
        <v>2</v>
      </c>
      <c r="G25" s="166">
        <v>1</v>
      </c>
      <c r="H25" s="166">
        <v>4</v>
      </c>
      <c r="I25" s="166">
        <v>3</v>
      </c>
      <c r="J25" s="166">
        <v>0.9413818752752835</v>
      </c>
      <c r="K25" s="166" t="s">
        <v>446</v>
      </c>
      <c r="L25" s="244" t="s">
        <v>394</v>
      </c>
      <c r="M25" s="244" t="s">
        <v>387</v>
      </c>
      <c r="N25" s="166" t="s">
        <v>460</v>
      </c>
      <c r="O25" s="166" t="s">
        <v>401</v>
      </c>
      <c r="P25" s="244" t="s">
        <v>410</v>
      </c>
      <c r="Q25" s="244" t="s">
        <v>392</v>
      </c>
      <c r="R25" s="244" t="s">
        <v>412</v>
      </c>
      <c r="S25" s="244" t="s">
        <v>425</v>
      </c>
      <c r="T25" s="244" t="s">
        <v>435</v>
      </c>
      <c r="U25" s="166" t="s">
        <v>456</v>
      </c>
      <c r="V25" s="166" t="s">
        <v>447</v>
      </c>
      <c r="W25" s="166" t="s">
        <v>445</v>
      </c>
    </row>
    <row r="26" spans="1:23" x14ac:dyDescent="0.25">
      <c r="A26" s="166">
        <v>25</v>
      </c>
      <c r="B26" s="166" t="s">
        <v>176</v>
      </c>
      <c r="C26" s="166">
        <v>3</v>
      </c>
      <c r="D26" s="166">
        <v>3</v>
      </c>
      <c r="E26" s="166">
        <v>1</v>
      </c>
      <c r="F26" s="166">
        <v>2</v>
      </c>
      <c r="G26" s="166">
        <v>1</v>
      </c>
      <c r="H26" s="166">
        <v>1</v>
      </c>
      <c r="I26" s="166">
        <v>1</v>
      </c>
      <c r="J26" s="166">
        <v>3.6200719846618368</v>
      </c>
      <c r="K26" s="166" t="s">
        <v>442</v>
      </c>
      <c r="L26" s="244" t="s">
        <v>401</v>
      </c>
      <c r="M26" s="244" t="s">
        <v>387</v>
      </c>
      <c r="N26" s="166" t="s">
        <v>460</v>
      </c>
      <c r="O26" s="166" t="s">
        <v>401</v>
      </c>
      <c r="P26" s="244" t="s">
        <v>410</v>
      </c>
      <c r="Q26" s="244" t="s">
        <v>392</v>
      </c>
      <c r="R26" s="244" t="s">
        <v>412</v>
      </c>
      <c r="S26" s="244" t="s">
        <v>424</v>
      </c>
      <c r="T26" s="244" t="s">
        <v>433</v>
      </c>
      <c r="U26" s="166" t="s">
        <v>456</v>
      </c>
      <c r="V26" s="166" t="s">
        <v>443</v>
      </c>
      <c r="W26" s="166" t="s">
        <v>445</v>
      </c>
    </row>
    <row r="27" spans="1:23" x14ac:dyDescent="0.25">
      <c r="A27" s="166">
        <v>26</v>
      </c>
      <c r="B27" s="166" t="s">
        <v>135</v>
      </c>
      <c r="C27" s="166">
        <v>3</v>
      </c>
      <c r="D27" s="166">
        <v>1</v>
      </c>
      <c r="E27" s="166">
        <v>1</v>
      </c>
      <c r="F27" s="166">
        <v>2</v>
      </c>
      <c r="G27" s="166">
        <v>1</v>
      </c>
      <c r="H27" s="166">
        <v>1</v>
      </c>
      <c r="I27" s="166">
        <v>1</v>
      </c>
      <c r="J27" s="166">
        <v>6.1806212298210745</v>
      </c>
      <c r="K27" s="166" t="s">
        <v>442</v>
      </c>
      <c r="L27" s="244" t="s">
        <v>394</v>
      </c>
      <c r="M27" s="244" t="s">
        <v>387</v>
      </c>
      <c r="N27" s="166" t="s">
        <v>458</v>
      </c>
      <c r="O27" s="166" t="s">
        <v>401</v>
      </c>
      <c r="P27" s="244" t="s">
        <v>410</v>
      </c>
      <c r="Q27" s="244" t="s">
        <v>392</v>
      </c>
      <c r="R27" s="244" t="s">
        <v>412</v>
      </c>
      <c r="S27" s="244" t="s">
        <v>424</v>
      </c>
      <c r="T27" s="244" t="s">
        <v>433</v>
      </c>
      <c r="U27" s="166" t="s">
        <v>456</v>
      </c>
      <c r="V27" s="166" t="s">
        <v>443</v>
      </c>
      <c r="W27" s="166" t="s">
        <v>445</v>
      </c>
    </row>
    <row r="28" spans="1:23" x14ac:dyDescent="0.25">
      <c r="A28" s="166">
        <v>27</v>
      </c>
      <c r="B28" s="166" t="s">
        <v>136</v>
      </c>
      <c r="C28" s="166">
        <v>3</v>
      </c>
      <c r="D28" s="166">
        <v>1</v>
      </c>
      <c r="E28" s="166">
        <v>1</v>
      </c>
      <c r="F28" s="166">
        <v>2</v>
      </c>
      <c r="G28" s="166">
        <v>1</v>
      </c>
      <c r="H28" s="166">
        <v>1</v>
      </c>
      <c r="I28" s="166">
        <v>1</v>
      </c>
      <c r="J28" s="166">
        <v>6.3039048502428576</v>
      </c>
      <c r="K28" s="166" t="s">
        <v>442</v>
      </c>
      <c r="L28" s="244" t="s">
        <v>394</v>
      </c>
      <c r="M28" s="244" t="s">
        <v>387</v>
      </c>
      <c r="N28" s="166" t="s">
        <v>458</v>
      </c>
      <c r="O28" s="166" t="s">
        <v>401</v>
      </c>
      <c r="P28" s="244" t="s">
        <v>410</v>
      </c>
      <c r="Q28" s="244" t="s">
        <v>392</v>
      </c>
      <c r="R28" s="244" t="s">
        <v>412</v>
      </c>
      <c r="S28" s="244" t="s">
        <v>424</v>
      </c>
      <c r="T28" s="244" t="s">
        <v>433</v>
      </c>
      <c r="U28" s="166" t="s">
        <v>456</v>
      </c>
      <c r="V28" s="166" t="s">
        <v>443</v>
      </c>
      <c r="W28" s="166" t="s">
        <v>445</v>
      </c>
    </row>
    <row r="29" spans="1:23" x14ac:dyDescent="0.25">
      <c r="A29" s="166">
        <v>28</v>
      </c>
      <c r="B29" s="166" t="s">
        <v>137</v>
      </c>
      <c r="C29" s="166">
        <v>2</v>
      </c>
      <c r="D29" s="166">
        <v>1</v>
      </c>
      <c r="E29" s="166">
        <v>1</v>
      </c>
      <c r="F29" s="166">
        <v>1</v>
      </c>
      <c r="G29" s="166">
        <v>1</v>
      </c>
      <c r="H29" s="166">
        <v>1</v>
      </c>
      <c r="I29" s="166">
        <v>1</v>
      </c>
      <c r="J29" s="166">
        <v>1.7203205702285174</v>
      </c>
      <c r="K29" s="166" t="s">
        <v>444</v>
      </c>
      <c r="L29" s="244" t="s">
        <v>394</v>
      </c>
      <c r="M29" s="244" t="s">
        <v>387</v>
      </c>
      <c r="N29" s="166" t="s">
        <v>459</v>
      </c>
      <c r="O29" s="166" t="s">
        <v>401</v>
      </c>
      <c r="P29" s="244" t="s">
        <v>410</v>
      </c>
      <c r="Q29" s="244" t="s">
        <v>390</v>
      </c>
      <c r="R29" s="244" t="s">
        <v>412</v>
      </c>
      <c r="S29" s="244" t="s">
        <v>424</v>
      </c>
      <c r="T29" s="244" t="s">
        <v>433</v>
      </c>
      <c r="U29" s="166" t="s">
        <v>456</v>
      </c>
      <c r="V29" s="166" t="s">
        <v>445</v>
      </c>
      <c r="W29" s="166" t="s">
        <v>445</v>
      </c>
    </row>
    <row r="30" spans="1:23" x14ac:dyDescent="0.25">
      <c r="A30" s="166">
        <v>29</v>
      </c>
      <c r="B30" s="166" t="s">
        <v>138</v>
      </c>
      <c r="C30" s="166">
        <v>3</v>
      </c>
      <c r="D30" s="166">
        <v>1</v>
      </c>
      <c r="E30" s="166">
        <v>1</v>
      </c>
      <c r="F30" s="166">
        <v>2</v>
      </c>
      <c r="G30" s="166">
        <v>1</v>
      </c>
      <c r="H30" s="166">
        <v>1</v>
      </c>
      <c r="I30" s="166">
        <v>1</v>
      </c>
      <c r="J30" s="166">
        <v>0</v>
      </c>
      <c r="K30" s="166" t="s">
        <v>448</v>
      </c>
      <c r="L30" s="244" t="s">
        <v>394</v>
      </c>
      <c r="M30" s="244" t="s">
        <v>387</v>
      </c>
      <c r="N30" s="166" t="s">
        <v>460</v>
      </c>
      <c r="O30" s="166" t="s">
        <v>401</v>
      </c>
      <c r="P30" s="244" t="s">
        <v>410</v>
      </c>
      <c r="Q30" s="244" t="s">
        <v>392</v>
      </c>
      <c r="R30" s="244" t="s">
        <v>412</v>
      </c>
      <c r="S30" s="244" t="s">
        <v>424</v>
      </c>
      <c r="T30" s="244" t="s">
        <v>433</v>
      </c>
      <c r="U30" s="166" t="s">
        <v>456</v>
      </c>
      <c r="V30" s="166" t="s">
        <v>449</v>
      </c>
      <c r="W30" s="166" t="s">
        <v>445</v>
      </c>
    </row>
    <row r="31" spans="1:23" x14ac:dyDescent="0.25">
      <c r="A31" s="166">
        <v>30</v>
      </c>
      <c r="B31" s="166" t="s">
        <v>139</v>
      </c>
      <c r="C31" s="166">
        <v>3</v>
      </c>
      <c r="D31" s="166">
        <v>1</v>
      </c>
      <c r="E31" s="166">
        <v>1</v>
      </c>
      <c r="F31" s="166">
        <v>2</v>
      </c>
      <c r="G31" s="166">
        <v>1</v>
      </c>
      <c r="H31" s="166">
        <v>1</v>
      </c>
      <c r="I31" s="166">
        <v>1</v>
      </c>
      <c r="J31" s="166">
        <v>1.69</v>
      </c>
      <c r="K31" s="166" t="s">
        <v>444</v>
      </c>
      <c r="L31" s="244" t="s">
        <v>394</v>
      </c>
      <c r="M31" s="244" t="s">
        <v>387</v>
      </c>
      <c r="N31" s="166" t="s">
        <v>458</v>
      </c>
      <c r="O31" s="166" t="s">
        <v>401</v>
      </c>
      <c r="P31" s="244" t="s">
        <v>410</v>
      </c>
      <c r="Q31" s="244" t="s">
        <v>392</v>
      </c>
      <c r="R31" s="244" t="s">
        <v>412</v>
      </c>
      <c r="S31" s="244" t="s">
        <v>424</v>
      </c>
      <c r="T31" s="244" t="s">
        <v>433</v>
      </c>
      <c r="U31" s="166" t="s">
        <v>456</v>
      </c>
      <c r="V31" s="166" t="s">
        <v>445</v>
      </c>
      <c r="W31" s="166" t="s">
        <v>445</v>
      </c>
    </row>
    <row r="32" spans="1:23" x14ac:dyDescent="0.25">
      <c r="A32" s="166">
        <v>31</v>
      </c>
      <c r="B32" s="166" t="s">
        <v>140</v>
      </c>
      <c r="C32" s="166">
        <v>3</v>
      </c>
      <c r="D32" s="166">
        <v>1</v>
      </c>
      <c r="E32" s="166">
        <v>1</v>
      </c>
      <c r="F32" s="166">
        <v>2</v>
      </c>
      <c r="G32" s="166">
        <v>1</v>
      </c>
      <c r="H32" s="166">
        <v>1</v>
      </c>
      <c r="I32" s="166">
        <v>1</v>
      </c>
      <c r="J32" s="166">
        <v>0</v>
      </c>
      <c r="K32" s="166" t="s">
        <v>448</v>
      </c>
      <c r="L32" s="244" t="s">
        <v>394</v>
      </c>
      <c r="M32" s="244" t="s">
        <v>387</v>
      </c>
      <c r="N32" s="166" t="s">
        <v>460</v>
      </c>
      <c r="O32" s="166" t="s">
        <v>401</v>
      </c>
      <c r="P32" s="244" t="s">
        <v>410</v>
      </c>
      <c r="Q32" s="244" t="s">
        <v>392</v>
      </c>
      <c r="R32" s="244" t="s">
        <v>412</v>
      </c>
      <c r="S32" s="244" t="s">
        <v>424</v>
      </c>
      <c r="T32" s="244" t="s">
        <v>433</v>
      </c>
      <c r="U32" s="166" t="s">
        <v>456</v>
      </c>
      <c r="V32" s="166" t="s">
        <v>449</v>
      </c>
      <c r="W32" s="166" t="s">
        <v>445</v>
      </c>
    </row>
    <row r="33" spans="1:23" x14ac:dyDescent="0.25">
      <c r="A33" s="166">
        <v>32</v>
      </c>
      <c r="B33" s="166" t="s">
        <v>141</v>
      </c>
      <c r="C33" s="166">
        <v>3</v>
      </c>
      <c r="D33" s="166">
        <v>1</v>
      </c>
      <c r="E33" s="166">
        <v>1</v>
      </c>
      <c r="F33" s="166">
        <v>2</v>
      </c>
      <c r="G33" s="166">
        <v>1</v>
      </c>
      <c r="H33" s="166">
        <v>1</v>
      </c>
      <c r="I33" s="166">
        <v>1</v>
      </c>
      <c r="J33" s="166">
        <v>14.2</v>
      </c>
      <c r="K33" s="166" t="s">
        <v>442</v>
      </c>
      <c r="L33" s="244" t="s">
        <v>394</v>
      </c>
      <c r="M33" s="244" t="s">
        <v>387</v>
      </c>
      <c r="N33" s="166" t="s">
        <v>459</v>
      </c>
      <c r="O33" s="166" t="s">
        <v>401</v>
      </c>
      <c r="P33" s="244" t="s">
        <v>410</v>
      </c>
      <c r="Q33" s="244" t="s">
        <v>392</v>
      </c>
      <c r="R33" s="244" t="s">
        <v>412</v>
      </c>
      <c r="S33" s="244" t="s">
        <v>424</v>
      </c>
      <c r="T33" s="244" t="s">
        <v>433</v>
      </c>
      <c r="U33" s="166" t="s">
        <v>456</v>
      </c>
      <c r="V33" s="166" t="s">
        <v>443</v>
      </c>
      <c r="W33" s="166" t="s">
        <v>445</v>
      </c>
    </row>
    <row r="34" spans="1:23" x14ac:dyDescent="0.25">
      <c r="A34" s="166">
        <v>33</v>
      </c>
      <c r="B34" s="166" t="s">
        <v>164</v>
      </c>
      <c r="C34" s="166">
        <v>3</v>
      </c>
      <c r="D34" s="166">
        <v>1</v>
      </c>
      <c r="E34" s="166">
        <v>3</v>
      </c>
      <c r="F34" s="166">
        <v>2</v>
      </c>
      <c r="G34" s="166">
        <v>1</v>
      </c>
      <c r="H34" s="166">
        <v>5</v>
      </c>
      <c r="I34" s="166">
        <v>1</v>
      </c>
      <c r="J34" s="166">
        <v>1.4366138161655315</v>
      </c>
      <c r="K34" s="166" t="s">
        <v>444</v>
      </c>
      <c r="L34" s="244" t="s">
        <v>402</v>
      </c>
      <c r="M34" s="244" t="s">
        <v>387</v>
      </c>
      <c r="N34" s="166" t="s">
        <v>460</v>
      </c>
      <c r="O34" s="166" t="s">
        <v>401</v>
      </c>
      <c r="P34" s="244" t="s">
        <v>413</v>
      </c>
      <c r="Q34" s="244" t="s">
        <v>392</v>
      </c>
      <c r="R34" s="244" t="s">
        <v>412</v>
      </c>
      <c r="S34" s="244" t="s">
        <v>425</v>
      </c>
      <c r="T34" s="244" t="s">
        <v>433</v>
      </c>
      <c r="U34" s="166" t="s">
        <v>456</v>
      </c>
      <c r="V34" s="166" t="s">
        <v>445</v>
      </c>
      <c r="W34" s="166" t="s">
        <v>445</v>
      </c>
    </row>
    <row r="35" spans="1:23" x14ac:dyDescent="0.25">
      <c r="A35" s="166">
        <v>34</v>
      </c>
      <c r="B35" s="166" t="s">
        <v>142</v>
      </c>
      <c r="C35" s="166">
        <v>2</v>
      </c>
      <c r="D35" s="166">
        <v>1</v>
      </c>
      <c r="E35" s="166">
        <v>1</v>
      </c>
      <c r="F35" s="166">
        <v>2</v>
      </c>
      <c r="G35" s="166">
        <v>1</v>
      </c>
      <c r="H35" s="166">
        <v>1</v>
      </c>
      <c r="I35" s="166">
        <v>1</v>
      </c>
      <c r="J35" s="166">
        <v>6.118460480934381</v>
      </c>
      <c r="K35" s="166" t="s">
        <v>442</v>
      </c>
      <c r="L35" s="244" t="s">
        <v>394</v>
      </c>
      <c r="M35" s="244" t="s">
        <v>387</v>
      </c>
      <c r="N35" s="166" t="s">
        <v>459</v>
      </c>
      <c r="O35" s="166" t="s">
        <v>401</v>
      </c>
      <c r="P35" s="244" t="s">
        <v>410</v>
      </c>
      <c r="Q35" s="244" t="s">
        <v>392</v>
      </c>
      <c r="R35" s="244" t="s">
        <v>412</v>
      </c>
      <c r="S35" s="244" t="s">
        <v>424</v>
      </c>
      <c r="T35" s="244" t="s">
        <v>433</v>
      </c>
      <c r="U35" s="166" t="s">
        <v>456</v>
      </c>
      <c r="V35" s="166" t="s">
        <v>443</v>
      </c>
      <c r="W35" s="166" t="s">
        <v>445</v>
      </c>
    </row>
    <row r="36" spans="1:23" x14ac:dyDescent="0.25">
      <c r="A36" s="166">
        <v>35</v>
      </c>
      <c r="B36" s="166" t="s">
        <v>165</v>
      </c>
      <c r="C36" s="166">
        <v>1</v>
      </c>
      <c r="D36" s="166">
        <v>2</v>
      </c>
      <c r="E36" s="166">
        <v>1</v>
      </c>
      <c r="F36" s="166">
        <v>1</v>
      </c>
      <c r="G36" s="166">
        <v>3</v>
      </c>
      <c r="H36" s="166">
        <v>1</v>
      </c>
      <c r="I36" s="166">
        <v>1</v>
      </c>
      <c r="J36" s="166">
        <v>17.370296477019796</v>
      </c>
      <c r="K36" s="166" t="s">
        <v>442</v>
      </c>
      <c r="L36" s="244" t="s">
        <v>394</v>
      </c>
      <c r="M36" s="244" t="s">
        <v>387</v>
      </c>
      <c r="N36" s="166" t="s">
        <v>458</v>
      </c>
      <c r="O36" s="166" t="s">
        <v>401</v>
      </c>
      <c r="P36" s="244" t="s">
        <v>410</v>
      </c>
      <c r="Q36" s="244" t="s">
        <v>390</v>
      </c>
      <c r="R36" s="244" t="s">
        <v>415</v>
      </c>
      <c r="S36" s="244" t="s">
        <v>424</v>
      </c>
      <c r="T36" s="244" t="s">
        <v>433</v>
      </c>
      <c r="U36" s="166" t="s">
        <v>456</v>
      </c>
      <c r="V36" s="166" t="s">
        <v>443</v>
      </c>
      <c r="W36" s="166" t="s">
        <v>445</v>
      </c>
    </row>
    <row r="37" spans="1:23" x14ac:dyDescent="0.25">
      <c r="A37" s="166">
        <v>36</v>
      </c>
      <c r="B37" s="166" t="s">
        <v>166</v>
      </c>
      <c r="C37" s="166">
        <v>3</v>
      </c>
      <c r="D37" s="166">
        <v>1</v>
      </c>
      <c r="E37" s="166">
        <v>1</v>
      </c>
      <c r="F37" s="166">
        <v>2</v>
      </c>
      <c r="G37" s="166">
        <v>1</v>
      </c>
      <c r="H37" s="166">
        <v>1</v>
      </c>
      <c r="I37" s="166">
        <v>1</v>
      </c>
      <c r="J37" s="166" t="s">
        <v>271</v>
      </c>
      <c r="K37" s="166" t="s">
        <v>446</v>
      </c>
      <c r="L37" s="244" t="s">
        <v>394</v>
      </c>
      <c r="M37" s="244" t="s">
        <v>387</v>
      </c>
      <c r="N37" s="166" t="s">
        <v>458</v>
      </c>
      <c r="O37" s="166" t="s">
        <v>401</v>
      </c>
      <c r="P37" s="244" t="s">
        <v>410</v>
      </c>
      <c r="Q37" s="244" t="s">
        <v>392</v>
      </c>
      <c r="R37" s="244" t="s">
        <v>412</v>
      </c>
      <c r="S37" s="244" t="s">
        <v>424</v>
      </c>
      <c r="T37" s="244" t="s">
        <v>433</v>
      </c>
      <c r="U37" s="166" t="s">
        <v>456</v>
      </c>
      <c r="V37" s="166" t="s">
        <v>447</v>
      </c>
      <c r="W37" s="166" t="s">
        <v>445</v>
      </c>
    </row>
    <row r="38" spans="1:23" x14ac:dyDescent="0.25">
      <c r="A38" s="166">
        <v>37</v>
      </c>
      <c r="B38" s="166" t="s">
        <v>167</v>
      </c>
      <c r="C38" s="166">
        <v>1</v>
      </c>
      <c r="D38" s="166">
        <v>1</v>
      </c>
      <c r="E38" s="166">
        <v>1</v>
      </c>
      <c r="F38" s="166">
        <v>1</v>
      </c>
      <c r="G38" s="166">
        <v>1</v>
      </c>
      <c r="H38" s="166">
        <v>1</v>
      </c>
      <c r="I38" s="166">
        <v>1</v>
      </c>
      <c r="J38" s="166">
        <v>2.97</v>
      </c>
      <c r="K38" s="166" t="s">
        <v>444</v>
      </c>
      <c r="L38" s="244" t="s">
        <v>388</v>
      </c>
      <c r="M38" s="244" t="s">
        <v>387</v>
      </c>
      <c r="N38" s="166" t="s">
        <v>458</v>
      </c>
      <c r="O38" s="166" t="s">
        <v>401</v>
      </c>
      <c r="P38" s="244" t="s">
        <v>410</v>
      </c>
      <c r="Q38" s="244" t="s">
        <v>390</v>
      </c>
      <c r="R38" s="244" t="s">
        <v>412</v>
      </c>
      <c r="S38" s="244" t="s">
        <v>424</v>
      </c>
      <c r="T38" s="244" t="s">
        <v>433</v>
      </c>
      <c r="U38" s="166" t="s">
        <v>456</v>
      </c>
      <c r="V38" s="166" t="s">
        <v>445</v>
      </c>
      <c r="W38" s="166" t="s">
        <v>445</v>
      </c>
    </row>
    <row r="39" spans="1:23" x14ac:dyDescent="0.25">
      <c r="A39" s="166">
        <v>38</v>
      </c>
      <c r="B39" s="166" t="s">
        <v>168</v>
      </c>
      <c r="C39" s="166">
        <v>3</v>
      </c>
      <c r="D39" s="166">
        <v>1</v>
      </c>
      <c r="E39" s="166">
        <v>1</v>
      </c>
      <c r="F39" s="166">
        <v>4</v>
      </c>
      <c r="G39" s="166">
        <v>1</v>
      </c>
      <c r="H39" s="166">
        <v>4</v>
      </c>
      <c r="I39" s="166">
        <v>1</v>
      </c>
      <c r="J39" s="166">
        <v>4.7198299634786522</v>
      </c>
      <c r="K39" s="166" t="s">
        <v>442</v>
      </c>
      <c r="L39" s="244" t="s">
        <v>394</v>
      </c>
      <c r="M39" s="244" t="s">
        <v>387</v>
      </c>
      <c r="N39" s="166" t="s">
        <v>458</v>
      </c>
      <c r="O39" s="166" t="s">
        <v>401</v>
      </c>
      <c r="P39" s="244" t="s">
        <v>410</v>
      </c>
      <c r="Q39" s="244" t="s">
        <v>398</v>
      </c>
      <c r="R39" s="244" t="s">
        <v>412</v>
      </c>
      <c r="S39" s="244" t="s">
        <v>425</v>
      </c>
      <c r="T39" s="244" t="s">
        <v>433</v>
      </c>
      <c r="U39" s="166" t="s">
        <v>456</v>
      </c>
      <c r="V39" s="166" t="s">
        <v>443</v>
      </c>
      <c r="W39" s="166" t="s">
        <v>445</v>
      </c>
    </row>
    <row r="40" spans="1:23" x14ac:dyDescent="0.25">
      <c r="A40" s="166">
        <v>39</v>
      </c>
      <c r="B40" s="166" t="s">
        <v>169</v>
      </c>
      <c r="C40" s="166">
        <v>3</v>
      </c>
      <c r="D40" s="166">
        <v>1</v>
      </c>
      <c r="E40" s="166">
        <v>1</v>
      </c>
      <c r="F40" s="166">
        <v>1</v>
      </c>
      <c r="G40" s="166">
        <v>1</v>
      </c>
      <c r="H40" s="166">
        <v>1</v>
      </c>
      <c r="I40" s="166">
        <v>1</v>
      </c>
      <c r="J40" s="166">
        <v>18.161096509776232</v>
      </c>
      <c r="K40" s="166" t="s">
        <v>442</v>
      </c>
      <c r="L40" s="244" t="s">
        <v>394</v>
      </c>
      <c r="M40" s="244" t="s">
        <v>387</v>
      </c>
      <c r="N40" s="166" t="s">
        <v>459</v>
      </c>
      <c r="O40" s="166" t="s">
        <v>401</v>
      </c>
      <c r="P40" s="244" t="s">
        <v>410</v>
      </c>
      <c r="Q40" s="244" t="s">
        <v>390</v>
      </c>
      <c r="R40" s="244" t="s">
        <v>412</v>
      </c>
      <c r="S40" s="244" t="s">
        <v>424</v>
      </c>
      <c r="T40" s="244" t="s">
        <v>433</v>
      </c>
      <c r="U40" s="166" t="s">
        <v>456</v>
      </c>
      <c r="V40" s="166" t="s">
        <v>443</v>
      </c>
      <c r="W40" s="166" t="s">
        <v>445</v>
      </c>
    </row>
    <row r="41" spans="1:23" x14ac:dyDescent="0.25">
      <c r="A41" s="166">
        <v>40</v>
      </c>
      <c r="B41" s="166" t="s">
        <v>175</v>
      </c>
      <c r="C41" s="166">
        <v>5</v>
      </c>
      <c r="D41" s="166">
        <v>2</v>
      </c>
      <c r="E41" s="166">
        <v>1</v>
      </c>
      <c r="F41" s="166">
        <v>1</v>
      </c>
      <c r="G41" s="166">
        <v>1</v>
      </c>
      <c r="H41" s="166">
        <v>1</v>
      </c>
      <c r="I41" s="166">
        <v>1</v>
      </c>
      <c r="J41" s="166">
        <v>3.9482318222595811</v>
      </c>
      <c r="K41" s="166" t="s">
        <v>442</v>
      </c>
      <c r="L41" s="244" t="s">
        <v>394</v>
      </c>
      <c r="M41" s="244" t="s">
        <v>430</v>
      </c>
      <c r="N41" s="166" t="s">
        <v>460</v>
      </c>
      <c r="O41" s="166" t="s">
        <v>401</v>
      </c>
      <c r="P41" s="244" t="s">
        <v>410</v>
      </c>
      <c r="Q41" s="244" t="s">
        <v>390</v>
      </c>
      <c r="R41" s="244" t="s">
        <v>412</v>
      </c>
      <c r="S41" s="244" t="s">
        <v>424</v>
      </c>
      <c r="T41" s="244" t="s">
        <v>433</v>
      </c>
      <c r="U41" s="166" t="s">
        <v>456</v>
      </c>
      <c r="V41" s="166" t="s">
        <v>443</v>
      </c>
      <c r="W41" s="166" t="s">
        <v>445</v>
      </c>
    </row>
    <row r="42" spans="1:23" x14ac:dyDescent="0.25">
      <c r="A42" s="166">
        <v>41</v>
      </c>
      <c r="B42" s="166" t="s">
        <v>170</v>
      </c>
      <c r="C42" s="166">
        <v>3</v>
      </c>
      <c r="D42" s="166">
        <v>1</v>
      </c>
      <c r="E42" s="166">
        <v>1</v>
      </c>
      <c r="F42" s="166">
        <v>2</v>
      </c>
      <c r="G42" s="166">
        <v>1</v>
      </c>
      <c r="H42" s="166">
        <v>1</v>
      </c>
      <c r="I42" s="166">
        <v>1</v>
      </c>
      <c r="J42" s="166">
        <v>0</v>
      </c>
      <c r="K42" s="166" t="s">
        <v>448</v>
      </c>
      <c r="L42" s="244" t="s">
        <v>394</v>
      </c>
      <c r="M42" s="244" t="s">
        <v>387</v>
      </c>
      <c r="N42" s="166" t="s">
        <v>458</v>
      </c>
      <c r="O42" s="166" t="s">
        <v>401</v>
      </c>
      <c r="P42" s="244" t="s">
        <v>410</v>
      </c>
      <c r="Q42" s="244" t="s">
        <v>392</v>
      </c>
      <c r="R42" s="244" t="s">
        <v>412</v>
      </c>
      <c r="S42" s="244" t="s">
        <v>424</v>
      </c>
      <c r="T42" s="244" t="s">
        <v>433</v>
      </c>
      <c r="U42" s="166" t="s">
        <v>456</v>
      </c>
      <c r="V42" s="166" t="s">
        <v>449</v>
      </c>
      <c r="W42" s="166" t="s">
        <v>445</v>
      </c>
    </row>
    <row r="43" spans="1:23" x14ac:dyDescent="0.25">
      <c r="A43" s="166">
        <v>42</v>
      </c>
      <c r="B43" s="166" t="s">
        <v>171</v>
      </c>
      <c r="C43" s="166">
        <v>3</v>
      </c>
      <c r="D43" s="166">
        <v>1</v>
      </c>
      <c r="E43" s="166">
        <v>1</v>
      </c>
      <c r="F43" s="166">
        <v>2</v>
      </c>
      <c r="G43" s="166">
        <v>1</v>
      </c>
      <c r="H43" s="166">
        <v>1</v>
      </c>
      <c r="I43" s="166">
        <v>1</v>
      </c>
      <c r="J43" s="166">
        <v>4.7006982883577324</v>
      </c>
      <c r="K43" s="166" t="s">
        <v>442</v>
      </c>
      <c r="L43" s="244" t="s">
        <v>394</v>
      </c>
      <c r="M43" s="244" t="s">
        <v>387</v>
      </c>
      <c r="N43" s="166" t="s">
        <v>459</v>
      </c>
      <c r="O43" s="166" t="s">
        <v>401</v>
      </c>
      <c r="P43" s="244" t="s">
        <v>410</v>
      </c>
      <c r="Q43" s="244" t="s">
        <v>392</v>
      </c>
      <c r="R43" s="244" t="s">
        <v>412</v>
      </c>
      <c r="S43" s="244" t="s">
        <v>424</v>
      </c>
      <c r="T43" s="244" t="s">
        <v>433</v>
      </c>
      <c r="U43" s="166" t="s">
        <v>456</v>
      </c>
      <c r="V43" s="166" t="s">
        <v>443</v>
      </c>
      <c r="W43" s="166" t="s">
        <v>445</v>
      </c>
    </row>
    <row r="44" spans="1:23" x14ac:dyDescent="0.25">
      <c r="A44" s="166">
        <v>43</v>
      </c>
      <c r="B44" s="166" t="s">
        <v>173</v>
      </c>
      <c r="C44" s="166">
        <v>3</v>
      </c>
      <c r="D44" s="166">
        <v>1</v>
      </c>
      <c r="E44" s="166">
        <v>1</v>
      </c>
      <c r="F44" s="166">
        <v>2</v>
      </c>
      <c r="G44" s="166">
        <v>1</v>
      </c>
      <c r="H44" s="166">
        <v>1</v>
      </c>
      <c r="I44" s="166">
        <v>1</v>
      </c>
      <c r="J44" s="166">
        <v>2.7603308824254618</v>
      </c>
      <c r="K44" s="166" t="s">
        <v>444</v>
      </c>
      <c r="L44" s="244" t="s">
        <v>394</v>
      </c>
      <c r="M44" s="244" t="s">
        <v>387</v>
      </c>
      <c r="N44" s="166" t="s">
        <v>460</v>
      </c>
      <c r="O44" s="166" t="s">
        <v>401</v>
      </c>
      <c r="P44" s="244" t="s">
        <v>410</v>
      </c>
      <c r="Q44" s="244" t="s">
        <v>392</v>
      </c>
      <c r="R44" s="244" t="s">
        <v>412</v>
      </c>
      <c r="S44" s="244" t="s">
        <v>424</v>
      </c>
      <c r="T44" s="244" t="s">
        <v>433</v>
      </c>
      <c r="U44" s="166" t="s">
        <v>456</v>
      </c>
      <c r="V44" s="166" t="s">
        <v>445</v>
      </c>
      <c r="W44" s="166" t="s">
        <v>445</v>
      </c>
    </row>
    <row r="45" spans="1:23" x14ac:dyDescent="0.25">
      <c r="A45" s="166">
        <v>44</v>
      </c>
      <c r="B45" s="166" t="s">
        <v>221</v>
      </c>
      <c r="C45" s="166">
        <v>3</v>
      </c>
      <c r="D45" s="166">
        <v>1</v>
      </c>
      <c r="E45" s="166">
        <v>1</v>
      </c>
      <c r="F45" s="166">
        <v>2</v>
      </c>
      <c r="G45" s="166">
        <v>1</v>
      </c>
      <c r="H45" s="166">
        <v>4</v>
      </c>
      <c r="I45" s="166">
        <v>1</v>
      </c>
      <c r="J45" s="166">
        <v>0</v>
      </c>
      <c r="K45" s="166" t="s">
        <v>448</v>
      </c>
      <c r="L45" s="244" t="s">
        <v>394</v>
      </c>
      <c r="M45" s="244" t="s">
        <v>387</v>
      </c>
      <c r="N45" s="166" t="s">
        <v>460</v>
      </c>
      <c r="O45" s="166" t="s">
        <v>401</v>
      </c>
      <c r="P45" s="244" t="s">
        <v>410</v>
      </c>
      <c r="Q45" s="244" t="s">
        <v>392</v>
      </c>
      <c r="R45" s="244" t="s">
        <v>412</v>
      </c>
      <c r="S45" s="244" t="s">
        <v>425</v>
      </c>
      <c r="T45" s="244" t="s">
        <v>433</v>
      </c>
      <c r="U45" s="166" t="s">
        <v>456</v>
      </c>
      <c r="V45" s="166" t="s">
        <v>449</v>
      </c>
      <c r="W45" s="166" t="s">
        <v>445</v>
      </c>
    </row>
    <row r="46" spans="1:23" x14ac:dyDescent="0.25">
      <c r="A46" s="245" t="s">
        <v>457</v>
      </c>
    </row>
    <row r="47" spans="1:23" x14ac:dyDescent="0.25">
      <c r="A47" s="166">
        <v>45</v>
      </c>
      <c r="B47" s="166" t="s">
        <v>222</v>
      </c>
      <c r="C47" s="166">
        <v>3</v>
      </c>
      <c r="D47" s="166">
        <v>1</v>
      </c>
      <c r="E47" s="166">
        <v>1</v>
      </c>
      <c r="F47" s="166">
        <v>2</v>
      </c>
      <c r="G47" s="166">
        <v>1</v>
      </c>
      <c r="H47" s="166">
        <v>1</v>
      </c>
      <c r="I47" s="166">
        <v>1</v>
      </c>
      <c r="J47" s="166">
        <v>14.19813440968036</v>
      </c>
      <c r="K47" s="166" t="s">
        <v>442</v>
      </c>
      <c r="L47" s="244" t="s">
        <v>401</v>
      </c>
      <c r="M47" s="244" t="s">
        <v>387</v>
      </c>
      <c r="N47" s="166" t="s">
        <v>459</v>
      </c>
      <c r="O47" s="166" t="s">
        <v>401</v>
      </c>
      <c r="P47" s="244" t="s">
        <v>410</v>
      </c>
      <c r="Q47" s="244" t="s">
        <v>392</v>
      </c>
      <c r="R47" s="244" t="s">
        <v>412</v>
      </c>
      <c r="S47" s="244" t="s">
        <v>424</v>
      </c>
      <c r="T47" s="244" t="s">
        <v>433</v>
      </c>
      <c r="U47" s="166" t="s">
        <v>456</v>
      </c>
      <c r="V47" s="166" t="s">
        <v>443</v>
      </c>
      <c r="W47" s="166" t="s">
        <v>445</v>
      </c>
    </row>
    <row r="48" spans="1:23" x14ac:dyDescent="0.25">
      <c r="A48" s="166">
        <v>46</v>
      </c>
      <c r="B48" s="166" t="s">
        <v>218</v>
      </c>
      <c r="C48" s="166">
        <v>3</v>
      </c>
      <c r="D48" s="166">
        <v>1</v>
      </c>
      <c r="E48" s="166">
        <v>1</v>
      </c>
      <c r="F48" s="166">
        <v>2</v>
      </c>
      <c r="G48" s="166">
        <v>1</v>
      </c>
      <c r="H48" s="166">
        <v>1</v>
      </c>
      <c r="I48" s="166">
        <v>1</v>
      </c>
      <c r="J48" s="166">
        <v>1.56</v>
      </c>
      <c r="K48" s="166" t="s">
        <v>444</v>
      </c>
      <c r="L48" s="244" t="s">
        <v>394</v>
      </c>
      <c r="M48" s="244" t="s">
        <v>387</v>
      </c>
      <c r="N48" s="166" t="s">
        <v>459</v>
      </c>
      <c r="O48" s="166" t="s">
        <v>401</v>
      </c>
      <c r="P48" s="244" t="s">
        <v>410</v>
      </c>
      <c r="Q48" s="244" t="s">
        <v>392</v>
      </c>
      <c r="R48" s="244" t="s">
        <v>412</v>
      </c>
      <c r="S48" s="244" t="s">
        <v>424</v>
      </c>
      <c r="T48" s="244" t="s">
        <v>433</v>
      </c>
      <c r="U48" s="166" t="s">
        <v>456</v>
      </c>
      <c r="V48" s="166" t="s">
        <v>445</v>
      </c>
      <c r="W48" s="166" t="s">
        <v>445</v>
      </c>
    </row>
    <row r="49" spans="1:23" x14ac:dyDescent="0.25">
      <c r="A49" s="166">
        <v>47</v>
      </c>
      <c r="B49" s="166" t="s">
        <v>223</v>
      </c>
      <c r="C49" s="166">
        <v>3</v>
      </c>
      <c r="D49" s="166">
        <v>1</v>
      </c>
      <c r="E49" s="166">
        <v>1</v>
      </c>
      <c r="F49" s="166">
        <v>2</v>
      </c>
      <c r="G49" s="166">
        <v>1</v>
      </c>
      <c r="H49" s="166">
        <v>1</v>
      </c>
      <c r="I49" s="166">
        <v>1</v>
      </c>
      <c r="J49" s="166">
        <v>0</v>
      </c>
      <c r="K49" s="166" t="s">
        <v>448</v>
      </c>
      <c r="L49" s="244" t="s">
        <v>394</v>
      </c>
      <c r="M49" s="244" t="s">
        <v>387</v>
      </c>
      <c r="N49" s="166" t="s">
        <v>460</v>
      </c>
      <c r="O49" s="166" t="s">
        <v>401</v>
      </c>
      <c r="P49" s="244" t="s">
        <v>410</v>
      </c>
      <c r="Q49" s="244" t="s">
        <v>392</v>
      </c>
      <c r="R49" s="244" t="s">
        <v>412</v>
      </c>
      <c r="S49" s="244" t="s">
        <v>424</v>
      </c>
      <c r="T49" s="244" t="s">
        <v>433</v>
      </c>
      <c r="U49" s="166" t="s">
        <v>456</v>
      </c>
      <c r="V49" s="166" t="s">
        <v>449</v>
      </c>
      <c r="W49" s="166" t="s">
        <v>445</v>
      </c>
    </row>
    <row r="50" spans="1:23" x14ac:dyDescent="0.25">
      <c r="A50" s="166">
        <v>48</v>
      </c>
      <c r="B50" s="166" t="s">
        <v>224</v>
      </c>
      <c r="C50" s="166">
        <v>3</v>
      </c>
      <c r="D50" s="166">
        <v>1</v>
      </c>
      <c r="E50" s="166">
        <v>1</v>
      </c>
      <c r="F50" s="166">
        <v>2</v>
      </c>
      <c r="G50" s="166">
        <v>1</v>
      </c>
      <c r="H50" s="166">
        <v>4</v>
      </c>
      <c r="I50" s="166">
        <v>1</v>
      </c>
      <c r="J50" s="166">
        <v>3.2</v>
      </c>
      <c r="K50" s="166" t="s">
        <v>442</v>
      </c>
      <c r="L50" s="244" t="s">
        <v>394</v>
      </c>
      <c r="M50" s="244" t="s">
        <v>387</v>
      </c>
      <c r="N50" s="166" t="s">
        <v>460</v>
      </c>
      <c r="O50" s="166" t="s">
        <v>401</v>
      </c>
      <c r="P50" s="244" t="s">
        <v>410</v>
      </c>
      <c r="Q50" s="244" t="s">
        <v>392</v>
      </c>
      <c r="R50" s="244" t="s">
        <v>412</v>
      </c>
      <c r="S50" s="244" t="s">
        <v>425</v>
      </c>
      <c r="T50" s="244" t="s">
        <v>433</v>
      </c>
      <c r="U50" s="166" t="s">
        <v>456</v>
      </c>
      <c r="V50" s="166" t="s">
        <v>443</v>
      </c>
      <c r="W50" s="166" t="s">
        <v>445</v>
      </c>
    </row>
    <row r="51" spans="1:23" x14ac:dyDescent="0.25">
      <c r="A51" s="166">
        <v>49</v>
      </c>
      <c r="B51" s="166" t="s">
        <v>225</v>
      </c>
      <c r="C51" s="166">
        <v>3</v>
      </c>
      <c r="D51" s="166">
        <v>1</v>
      </c>
      <c r="E51" s="166">
        <v>1</v>
      </c>
      <c r="F51" s="166">
        <v>2</v>
      </c>
      <c r="G51" s="166">
        <v>1</v>
      </c>
      <c r="H51" s="166">
        <v>1</v>
      </c>
      <c r="I51" s="166">
        <v>1</v>
      </c>
      <c r="J51" s="166">
        <v>4.8054950175438593</v>
      </c>
      <c r="K51" s="166" t="s">
        <v>442</v>
      </c>
      <c r="L51" s="244" t="s">
        <v>394</v>
      </c>
      <c r="M51" s="244" t="s">
        <v>387</v>
      </c>
      <c r="N51" s="166" t="s">
        <v>460</v>
      </c>
      <c r="O51" s="166" t="s">
        <v>401</v>
      </c>
      <c r="P51" s="244" t="s">
        <v>410</v>
      </c>
      <c r="Q51" s="244" t="s">
        <v>392</v>
      </c>
      <c r="R51" s="244" t="s">
        <v>412</v>
      </c>
      <c r="S51" s="244" t="s">
        <v>424</v>
      </c>
      <c r="T51" s="244" t="s">
        <v>433</v>
      </c>
      <c r="U51" s="166" t="s">
        <v>456</v>
      </c>
      <c r="V51" s="166" t="s">
        <v>443</v>
      </c>
      <c r="W51" s="166" t="s">
        <v>445</v>
      </c>
    </row>
    <row r="52" spans="1:23" x14ac:dyDescent="0.25">
      <c r="A52" s="166">
        <v>50</v>
      </c>
      <c r="B52" s="166" t="s">
        <v>227</v>
      </c>
      <c r="C52" s="166">
        <v>3</v>
      </c>
      <c r="D52" s="166">
        <v>1</v>
      </c>
      <c r="E52" s="166">
        <v>1</v>
      </c>
      <c r="F52" s="166">
        <v>2</v>
      </c>
      <c r="G52" s="166">
        <v>1</v>
      </c>
      <c r="H52" s="166">
        <v>1</v>
      </c>
      <c r="I52" s="166">
        <v>1</v>
      </c>
      <c r="J52" s="166">
        <v>0</v>
      </c>
      <c r="K52" s="166" t="s">
        <v>448</v>
      </c>
      <c r="L52" s="244" t="s">
        <v>394</v>
      </c>
      <c r="M52" s="244" t="s">
        <v>387</v>
      </c>
      <c r="N52" s="166" t="s">
        <v>458</v>
      </c>
      <c r="O52" s="166" t="s">
        <v>401</v>
      </c>
      <c r="P52" s="244" t="s">
        <v>410</v>
      </c>
      <c r="Q52" s="244" t="s">
        <v>392</v>
      </c>
      <c r="R52" s="244" t="s">
        <v>412</v>
      </c>
      <c r="S52" s="244" t="s">
        <v>424</v>
      </c>
      <c r="T52" s="244" t="s">
        <v>433</v>
      </c>
      <c r="U52" s="166" t="s">
        <v>456</v>
      </c>
      <c r="V52" s="166" t="s">
        <v>449</v>
      </c>
      <c r="W52" s="166" t="s">
        <v>445</v>
      </c>
    </row>
    <row r="53" spans="1:23" x14ac:dyDescent="0.25">
      <c r="A53" s="166">
        <v>51</v>
      </c>
      <c r="B53" s="166" t="s">
        <v>228</v>
      </c>
      <c r="C53" s="166">
        <v>3</v>
      </c>
      <c r="D53" s="166">
        <v>1</v>
      </c>
      <c r="E53" s="166">
        <v>1</v>
      </c>
      <c r="F53" s="166">
        <v>2</v>
      </c>
      <c r="G53" s="166">
        <v>1</v>
      </c>
      <c r="H53" s="166">
        <v>1</v>
      </c>
      <c r="I53" s="166">
        <v>1</v>
      </c>
      <c r="J53" s="166">
        <v>2.8195222310288872</v>
      </c>
      <c r="K53" s="166" t="s">
        <v>444</v>
      </c>
      <c r="L53" s="244" t="s">
        <v>394</v>
      </c>
      <c r="M53" s="244" t="s">
        <v>387</v>
      </c>
      <c r="N53" s="166" t="s">
        <v>460</v>
      </c>
      <c r="O53" s="166" t="s">
        <v>401</v>
      </c>
      <c r="P53" s="244" t="s">
        <v>410</v>
      </c>
      <c r="Q53" s="244" t="s">
        <v>392</v>
      </c>
      <c r="R53" s="244" t="s">
        <v>412</v>
      </c>
      <c r="S53" s="244" t="s">
        <v>424</v>
      </c>
      <c r="T53" s="244" t="s">
        <v>433</v>
      </c>
      <c r="U53" s="166" t="s">
        <v>456</v>
      </c>
      <c r="V53" s="166" t="s">
        <v>445</v>
      </c>
      <c r="W53" s="166" t="s">
        <v>445</v>
      </c>
    </row>
    <row r="54" spans="1:23" x14ac:dyDescent="0.25">
      <c r="A54" s="166">
        <v>52</v>
      </c>
      <c r="B54" s="166" t="s">
        <v>229</v>
      </c>
      <c r="C54" s="166">
        <v>3</v>
      </c>
      <c r="D54" s="166">
        <v>1</v>
      </c>
      <c r="E54" s="166">
        <v>1</v>
      </c>
      <c r="F54" s="166">
        <v>2</v>
      </c>
      <c r="G54" s="166">
        <v>1</v>
      </c>
      <c r="H54" s="166">
        <v>1</v>
      </c>
      <c r="I54" s="166">
        <v>1</v>
      </c>
      <c r="J54" s="166">
        <v>14.050241052631579</v>
      </c>
      <c r="K54" s="166" t="s">
        <v>442</v>
      </c>
      <c r="L54" s="244" t="s">
        <v>394</v>
      </c>
      <c r="M54" s="244" t="s">
        <v>387</v>
      </c>
      <c r="N54" s="166" t="s">
        <v>460</v>
      </c>
      <c r="O54" s="166" t="s">
        <v>401</v>
      </c>
      <c r="P54" s="244" t="s">
        <v>410</v>
      </c>
      <c r="Q54" s="244" t="s">
        <v>392</v>
      </c>
      <c r="R54" s="244" t="s">
        <v>412</v>
      </c>
      <c r="S54" s="244" t="s">
        <v>424</v>
      </c>
      <c r="T54" s="244" t="s">
        <v>433</v>
      </c>
      <c r="U54" s="166" t="s">
        <v>456</v>
      </c>
      <c r="V54" s="166" t="s">
        <v>443</v>
      </c>
      <c r="W54" s="166" t="s">
        <v>445</v>
      </c>
    </row>
    <row r="55" spans="1:23" x14ac:dyDescent="0.25">
      <c r="A55" s="166">
        <v>54</v>
      </c>
      <c r="B55" s="166" t="s">
        <v>217</v>
      </c>
      <c r="C55" s="166">
        <v>3</v>
      </c>
      <c r="D55" s="166">
        <v>1</v>
      </c>
      <c r="E55" s="166">
        <v>1</v>
      </c>
      <c r="F55" s="166">
        <v>2</v>
      </c>
      <c r="G55" s="166">
        <v>1</v>
      </c>
      <c r="H55" s="166">
        <v>1</v>
      </c>
      <c r="I55" s="166">
        <v>1</v>
      </c>
      <c r="J55" s="166">
        <v>15.46671089067963</v>
      </c>
      <c r="K55" s="166" t="s">
        <v>442</v>
      </c>
      <c r="L55" s="244" t="s">
        <v>394</v>
      </c>
      <c r="M55" s="244" t="s">
        <v>387</v>
      </c>
      <c r="N55" s="166" t="s">
        <v>459</v>
      </c>
      <c r="O55" s="166" t="s">
        <v>401</v>
      </c>
      <c r="P55" s="244" t="s">
        <v>410</v>
      </c>
      <c r="Q55" s="244" t="s">
        <v>392</v>
      </c>
      <c r="R55" s="244" t="s">
        <v>412</v>
      </c>
      <c r="S55" s="244" t="s">
        <v>424</v>
      </c>
      <c r="T55" s="244" t="s">
        <v>433</v>
      </c>
      <c r="U55" s="166" t="s">
        <v>456</v>
      </c>
      <c r="V55" s="166" t="s">
        <v>443</v>
      </c>
      <c r="W55" s="166" t="s">
        <v>445</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1</vt:i4>
      </vt:variant>
    </vt:vector>
  </HeadingPairs>
  <TitlesOfParts>
    <vt:vector size="43" baseType="lpstr">
      <vt:lpstr>Results_Summary</vt:lpstr>
      <vt:lpstr>Qtrlycal-newloans</vt:lpstr>
      <vt:lpstr>Index</vt:lpstr>
      <vt:lpstr>Data Summary</vt:lpstr>
      <vt:lpstr>Input Baseline</vt:lpstr>
      <vt:lpstr>Input 90% Downside</vt:lpstr>
      <vt:lpstr>Input 96% Downside</vt:lpstr>
      <vt:lpstr>Output Baseline</vt:lpstr>
      <vt:lpstr>Output 90% Downside</vt:lpstr>
      <vt:lpstr>Output 96% Downside</vt:lpstr>
      <vt:lpstr>Ref-Data</vt:lpstr>
      <vt:lpstr>Model Output-LoanNameUpdate</vt:lpstr>
      <vt:lpstr>Model Output_TTC</vt:lpstr>
      <vt:lpstr>MacroPD-Cal</vt:lpstr>
      <vt:lpstr>Stage 2 loans</vt:lpstr>
      <vt:lpstr>Updated Ncino PD</vt:lpstr>
      <vt:lpstr>Loan Book Summary</vt:lpstr>
      <vt:lpstr>MacroAssumptions</vt:lpstr>
      <vt:lpstr>Input PD LGD</vt:lpstr>
      <vt:lpstr>Code Results</vt:lpstr>
      <vt:lpstr>Prov Code output</vt:lpstr>
      <vt:lpstr>Reference_Rate_Repricing_Report</vt:lpstr>
      <vt:lpstr>Adjustment Factor</vt:lpstr>
      <vt:lpstr>Cashflow-Provisions</vt:lpstr>
      <vt:lpstr>Mambu Name</vt:lpstr>
      <vt:lpstr>inputs</vt:lpstr>
      <vt:lpstr>LGD Data</vt:lpstr>
      <vt:lpstr>Scen-Calculations &gt;&gt;</vt:lpstr>
      <vt:lpstr>Baseline</vt:lpstr>
      <vt:lpstr>Adv</vt:lpstr>
      <vt:lpstr>SevAdv</vt:lpstr>
      <vt:lpstr>Historical Data</vt:lpstr>
      <vt:lpstr>Prov-Calculations &gt;&gt;</vt:lpstr>
      <vt:lpstr>Others &gt;&gt;</vt:lpstr>
      <vt:lpstr>Weighted PD</vt:lpstr>
      <vt:lpstr>Scenario Data &gt;&gt;</vt:lpstr>
      <vt:lpstr>HPICalc</vt:lpstr>
      <vt:lpstr>Summary - PD</vt:lpstr>
      <vt:lpstr>Important</vt:lpstr>
      <vt:lpstr>Pro_analysis</vt:lpstr>
      <vt:lpstr>Qual-Mapping</vt:lpstr>
      <vt:lpstr>Qual_data</vt:lpstr>
      <vt:lpstr>'MacroPD-Cal'!Print_Area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Taruna Birthalia;kshitij.pathak@oaknorth.co.uk</dc:creator>
  <cp:lastModifiedBy>Kshitij Pathak</cp:lastModifiedBy>
  <cp:lastPrinted>2020-07-28T07:23:21Z</cp:lastPrinted>
  <dcterms:created xsi:type="dcterms:W3CDTF">2020-04-30T13:52:34Z</dcterms:created>
  <dcterms:modified xsi:type="dcterms:W3CDTF">2022-06-27T14:17:12Z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a28ac72-3de3-4645-a656-e8d8933b06f3_Enabled">
    <vt:lpwstr>true</vt:lpwstr>
  </property>
  <property fmtid="{D5CDD505-2E9C-101B-9397-08002B2CF9AE}" pid="3" name="MSIP_Label_9a28ac72-3de3-4645-a656-e8d8933b06f3_SetDate">
    <vt:lpwstr>2020-09-04T20:49:22Z</vt:lpwstr>
  </property>
  <property fmtid="{D5CDD505-2E9C-101B-9397-08002B2CF9AE}" pid="4" name="MSIP_Label_9a28ac72-3de3-4645-a656-e8d8933b06f3_Method">
    <vt:lpwstr>Standard</vt:lpwstr>
  </property>
  <property fmtid="{D5CDD505-2E9C-101B-9397-08002B2CF9AE}" pid="5" name="MSIP_Label_9a28ac72-3de3-4645-a656-e8d8933b06f3_Name">
    <vt:lpwstr>ON Internal</vt:lpwstr>
  </property>
  <property fmtid="{D5CDD505-2E9C-101B-9397-08002B2CF9AE}" pid="6" name="MSIP_Label_9a28ac72-3de3-4645-a656-e8d8933b06f3_SiteId">
    <vt:lpwstr>df00dfd0-8e5d-4233-90fc-4dc0b1925210</vt:lpwstr>
  </property>
  <property fmtid="{D5CDD505-2E9C-101B-9397-08002B2CF9AE}" pid="7" name="MSIP_Label_9a28ac72-3de3-4645-a656-e8d8933b06f3_ActionId">
    <vt:lpwstr>7b4fc4e2-ff88-4054-a106-e42ba155d4c1</vt:lpwstr>
  </property>
  <property fmtid="{D5CDD505-2E9C-101B-9397-08002B2CF9AE}" pid="8" name="MSIP_Label_9a28ac72-3de3-4645-a656-e8d8933b06f3_ContentBits">
    <vt:lpwstr>0</vt:lpwstr>
  </property>
</Properties>
</file>